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AB3CEC22-6AC6-45AC-B590-C3144E51C297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</calcChain>
</file>

<file path=xl/sharedStrings.xml><?xml version="1.0" encoding="utf-8"?>
<sst xmlns="http://schemas.openxmlformats.org/spreadsheetml/2006/main" count="13312" uniqueCount="92">
  <si>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</si>
  <si>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</si>
  <si>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</si>
  <si>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</si>
  <si>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</si>
  <si>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</si>
  <si>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</si>
  <si>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</si>
  <si>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</si>
  <si>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</si>
  <si>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</si>
  <si>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</si>
  <si>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</si>
  <si>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</si>
  <si>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</si>
  <si>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</si>
  <si>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</si>
  <si>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</si>
  <si>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</si>
  <si>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</si>
  <si>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</si>
  <si>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</si>
  <si>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</si>
  <si>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</si>
  <si>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</si>
  <si>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</si>
  <si>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</si>
  <si>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</si>
  <si>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</si>
  <si>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</si>
  <si>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</si>
  <si>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</si>
  <si>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</si>
  <si>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</si>
  <si>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</si>
  <si>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</si>
  <si>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</si>
  <si>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</si>
  <si>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</si>
  <si>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</si>
  <si>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</si>
  <si>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Kooper</t>
  </si>
  <si>
    <t>mcp_road_part_02</t>
  </si>
  <si>
    <t>Plane_01</t>
  </si>
  <si>
    <t>FAR</t>
  </si>
  <si>
    <t>Plane_01 (1)</t>
  </si>
  <si>
    <t>Building 07 (16)</t>
  </si>
  <si>
    <t>Box001</t>
  </si>
  <si>
    <t>Building 15 (22)</t>
  </si>
  <si>
    <t>Building 15 (24)</t>
  </si>
  <si>
    <t>Building 18 (9)</t>
  </si>
  <si>
    <t>mcp_roads_turn_01 (1)</t>
  </si>
  <si>
    <t>mcp_roads_cross_02</t>
  </si>
  <si>
    <t>mcp_roads_T_cross_01</t>
  </si>
  <si>
    <t>mcp_road_part_01</t>
  </si>
  <si>
    <t>Floor 01</t>
  </si>
  <si>
    <t>Building 01 (9)</t>
  </si>
  <si>
    <t>mcp_roads_cross_01</t>
  </si>
  <si>
    <t>Building 15 (33)</t>
  </si>
  <si>
    <t>Wall Small 03 (10)</t>
  </si>
  <si>
    <t>Building 19</t>
  </si>
  <si>
    <t>Building 07 (4)</t>
  </si>
  <si>
    <t>Building 15 (31)</t>
  </si>
  <si>
    <t>Building 02 (8)</t>
  </si>
  <si>
    <t>Building 07 (18)</t>
  </si>
  <si>
    <t>Building 18 (5)</t>
  </si>
  <si>
    <t>Building 24</t>
  </si>
  <si>
    <t>Tree 02 (3)</t>
  </si>
  <si>
    <t>Bannar 14 (1)</t>
  </si>
  <si>
    <t>Building 11 (3)</t>
  </si>
  <si>
    <t>Building 23 (4)</t>
  </si>
  <si>
    <t>mcp_roads_turn_01</t>
  </si>
  <si>
    <t>Building 15 (35)</t>
  </si>
  <si>
    <t>Stand 03 (2)</t>
  </si>
  <si>
    <t>Building 02 (11)</t>
  </si>
  <si>
    <t>Building 15 (30)</t>
  </si>
  <si>
    <t>Building 15 (32)</t>
  </si>
  <si>
    <t>Tong (3)</t>
  </si>
  <si>
    <t>Building 09 (4)</t>
  </si>
  <si>
    <t>Building 13 (1)</t>
  </si>
  <si>
    <t>mcp_road_part_02 (1)</t>
  </si>
  <si>
    <t>mcp_road_part_02 (3)</t>
  </si>
  <si>
    <t>mcp_road_part_02 (2)</t>
  </si>
  <si>
    <t>Shurbs (1)</t>
  </si>
  <si>
    <t>Shurbs (2)</t>
  </si>
  <si>
    <t>Building 30 (4)</t>
  </si>
  <si>
    <t>mcp_road_part_02 (10)</t>
  </si>
  <si>
    <t>mcp_road_part_02 (8)</t>
  </si>
  <si>
    <t>mcp_road_part_02 (9)</t>
  </si>
  <si>
    <t>mcp_road_part_02 (11)</t>
  </si>
  <si>
    <t>mcp_road_part_02 (12)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</si>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</sst>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37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"20190312154501363"</f>
        <v>20190312154501363</v>
      </c>
      <c r="B2" t="str">
        <f>"1552376701356042"</f>
        <v>1552376701356042</v>
      </c>
      <c r="C2" t="s">
        <v>40</v>
      </c>
      <c r="D2">
        <v>4.3984750000000004</v>
      </c>
      <c r="E2">
        <v>0.50918399999999997</v>
      </c>
      <c r="F2" t="s">
        <v>41</v>
      </c>
      <c r="G2">
        <v>-475.92230000000001</v>
      </c>
      <c r="H2">
        <v>0.96606159999999996</v>
      </c>
      <c r="I2">
        <v>367.17340000000002</v>
      </c>
      <c r="J2">
        <v>-476.5926</v>
      </c>
      <c r="K2">
        <v>1.1091200000000001</v>
      </c>
      <c r="L2">
        <v>367.21629999999999</v>
      </c>
      <c r="M2">
        <v>0.99997590000000003</v>
      </c>
      <c r="N2">
        <v>0</v>
      </c>
      <c r="O2" s="1">
        <v>-2.4221159999999998E-5</v>
      </c>
      <c r="P2">
        <v>0.99866370000000004</v>
      </c>
      <c r="Q2">
        <v>3.1671709999999999E-2</v>
      </c>
      <c r="R2">
        <v>-4.0843560000000001E-2</v>
      </c>
      <c r="S2">
        <v>3.014923</v>
      </c>
      <c r="T2">
        <v>-0.62308200000000002</v>
      </c>
      <c r="U2">
        <v>-0.18505859999999999</v>
      </c>
      <c r="V2">
        <v>4.0822659999999997E-2</v>
      </c>
      <c r="W2">
        <v>3.8615469999999999E-2</v>
      </c>
      <c r="X2">
        <v>0.99841990000000003</v>
      </c>
      <c r="Y2">
        <v>5.9979119999999997E-2</v>
      </c>
      <c r="Z2">
        <v>-6.1224840000000001E-3</v>
      </c>
      <c r="AA2">
        <v>0.99818090000000004</v>
      </c>
      <c r="AB2">
        <v>1</v>
      </c>
      <c r="AC2">
        <v>0.67029999999999701</v>
      </c>
      <c r="AD2">
        <v>-0.1430584</v>
      </c>
      <c r="AE2">
        <v>-4.2899999999974597E-2</v>
      </c>
      <c r="AF2">
        <v>4.1022798863192503E-2</v>
      </c>
      <c r="AG2">
        <v>-0.1430584</v>
      </c>
      <c r="AH2">
        <v>0.64121294482036795</v>
      </c>
      <c r="AI2">
        <v>102.552201349371</v>
      </c>
      <c r="AJ2">
        <v>86.339384124875195</v>
      </c>
      <c r="AK2">
        <v>0.65825725703735205</v>
      </c>
      <c r="AL2">
        <v>87.786946246170203</v>
      </c>
      <c r="AM2">
        <v>87.658636382328098</v>
      </c>
      <c r="AN2">
        <v>0.99999997040440203</v>
      </c>
    </row>
    <row r="3" spans="1:40" x14ac:dyDescent="0.25">
      <c r="A3" t="str">
        <f>"20190312154501387"</f>
        <v>20190312154501387</v>
      </c>
      <c r="B3" t="str">
        <f>"1552376701375562"</f>
        <v>1552376701375562</v>
      </c>
      <c r="C3" t="s">
        <v>40</v>
      </c>
      <c r="D3">
        <v>4.4323180000000004</v>
      </c>
      <c r="E3">
        <v>0.50920699999999997</v>
      </c>
      <c r="F3" t="s">
        <v>41</v>
      </c>
      <c r="G3">
        <v>-475.90129999999999</v>
      </c>
      <c r="H3">
        <v>0.96538650000000004</v>
      </c>
      <c r="I3">
        <v>367.17439999999999</v>
      </c>
      <c r="J3">
        <v>-476.57600000000002</v>
      </c>
      <c r="K3">
        <v>1.1089659999999999</v>
      </c>
      <c r="L3">
        <v>367.21629999999999</v>
      </c>
      <c r="M3">
        <v>0.99998310000000001</v>
      </c>
      <c r="N3">
        <v>0</v>
      </c>
      <c r="O3" s="1">
        <v>-8.0136169999999897E-5</v>
      </c>
      <c r="P3">
        <v>0.99863259999999998</v>
      </c>
      <c r="Q3">
        <v>3.1978279999999998E-2</v>
      </c>
      <c r="R3">
        <v>-4.1358279999999997E-2</v>
      </c>
      <c r="S3">
        <v>3.0164789999999999</v>
      </c>
      <c r="T3">
        <v>-0.62728850000000003</v>
      </c>
      <c r="U3">
        <v>-0.18212890000000001</v>
      </c>
      <c r="V3">
        <v>4.1281699999999998E-2</v>
      </c>
      <c r="W3">
        <v>3.7780179999999997E-2</v>
      </c>
      <c r="X3">
        <v>0.99843300000000001</v>
      </c>
      <c r="Y3">
        <v>5.8933659999999999E-2</v>
      </c>
      <c r="Z3">
        <v>-6.0410699999999999E-3</v>
      </c>
      <c r="AA3">
        <v>0.99824360000000001</v>
      </c>
      <c r="AB3">
        <v>1</v>
      </c>
      <c r="AC3">
        <v>0.67469999999997299</v>
      </c>
      <c r="AD3">
        <v>-0.143579499999999</v>
      </c>
      <c r="AE3">
        <v>-4.1899999999998203E-2</v>
      </c>
      <c r="AF3">
        <v>4.0039663106522502E-2</v>
      </c>
      <c r="AG3">
        <v>-0.143579499999999</v>
      </c>
      <c r="AH3">
        <v>0.64557997298612801</v>
      </c>
      <c r="AI3">
        <v>102.515438273236</v>
      </c>
      <c r="AJ3">
        <v>86.450991278347104</v>
      </c>
      <c r="AK3">
        <v>0.66256452437683599</v>
      </c>
      <c r="AL3">
        <v>87.834839831903295</v>
      </c>
      <c r="AM3">
        <v>87.632369194082699</v>
      </c>
      <c r="AN3">
        <v>0.99999998812236102</v>
      </c>
    </row>
    <row r="4" spans="1:40" x14ac:dyDescent="0.25">
      <c r="A4" t="str">
        <f>"20190312154501408"</f>
        <v>20190312154501408</v>
      </c>
      <c r="B4" t="str">
        <f>"1552376701396058"</f>
        <v>1552376701396058</v>
      </c>
      <c r="C4" t="s">
        <v>40</v>
      </c>
      <c r="D4">
        <v>4.4688210000000002</v>
      </c>
      <c r="E4">
        <v>0.51042619999999905</v>
      </c>
      <c r="F4" t="s">
        <v>41</v>
      </c>
      <c r="G4">
        <v>-475.8725</v>
      </c>
      <c r="H4">
        <v>0.96226909999999999</v>
      </c>
      <c r="I4">
        <v>367.17290000000003</v>
      </c>
      <c r="J4">
        <v>-476.5575</v>
      </c>
      <c r="K4">
        <v>1.1088469999999999</v>
      </c>
      <c r="L4">
        <v>367.21620000000001</v>
      </c>
      <c r="M4">
        <v>0.99998849999999995</v>
      </c>
      <c r="N4">
        <v>0</v>
      </c>
      <c r="O4">
        <v>-1.4029759999999999E-4</v>
      </c>
      <c r="P4">
        <v>0.9985948</v>
      </c>
      <c r="Q4">
        <v>3.240121E-2</v>
      </c>
      <c r="R4">
        <v>-4.1935390000000003E-2</v>
      </c>
      <c r="S4">
        <v>3.0166629999999999</v>
      </c>
      <c r="T4">
        <v>-0.62921660000000001</v>
      </c>
      <c r="U4">
        <v>-0.18444820000000001</v>
      </c>
      <c r="V4">
        <v>4.179894E-2</v>
      </c>
      <c r="W4">
        <v>3.7169300000000002E-2</v>
      </c>
      <c r="X4">
        <v>0.99843440000000006</v>
      </c>
      <c r="Y4">
        <v>5.9613899999999997E-2</v>
      </c>
      <c r="Z4">
        <v>-6.1164720000000004E-3</v>
      </c>
      <c r="AA4">
        <v>0.9982027</v>
      </c>
      <c r="AB4">
        <v>2</v>
      </c>
      <c r="AC4">
        <v>0.68500000000000205</v>
      </c>
      <c r="AD4">
        <v>-0.14657790000000001</v>
      </c>
      <c r="AE4">
        <v>-4.3299999999987897E-2</v>
      </c>
      <c r="AF4">
        <v>4.1319470158162903E-2</v>
      </c>
      <c r="AG4">
        <v>-0.14657790000000001</v>
      </c>
      <c r="AH4">
        <v>0.65512815561874704</v>
      </c>
      <c r="AI4">
        <v>102.587399780005</v>
      </c>
      <c r="AJ4">
        <v>86.391088452890799</v>
      </c>
      <c r="AK4">
        <v>0.67259592599642004</v>
      </c>
      <c r="AL4">
        <v>87.869865263397898</v>
      </c>
      <c r="AM4">
        <v>87.602741662905103</v>
      </c>
      <c r="AN4">
        <v>0.99999997967548604</v>
      </c>
    </row>
    <row r="5" spans="1:40" x14ac:dyDescent="0.25">
      <c r="A5" t="str">
        <f>"20190312154501430"</f>
        <v>20190312154501430</v>
      </c>
      <c r="B5" t="str">
        <f>"1552376701426314"</f>
        <v>1552376701426314</v>
      </c>
      <c r="C5" t="s">
        <v>40</v>
      </c>
      <c r="D5">
        <v>4.5156260000000001</v>
      </c>
      <c r="E5">
        <v>0.51016149999999905</v>
      </c>
      <c r="F5" t="s">
        <v>41</v>
      </c>
      <c r="G5">
        <v>-475.86470000000003</v>
      </c>
      <c r="H5">
        <v>0.93955679999999997</v>
      </c>
      <c r="I5">
        <v>367.17180000000002</v>
      </c>
      <c r="J5">
        <v>-476.5369</v>
      </c>
      <c r="K5">
        <v>1.1087480000000001</v>
      </c>
      <c r="L5">
        <v>367.21609999999998</v>
      </c>
      <c r="M5">
        <v>0.99999249999999995</v>
      </c>
      <c r="N5">
        <v>0</v>
      </c>
      <c r="O5">
        <v>-2.0573E-4</v>
      </c>
      <c r="P5">
        <v>0.99852070000000004</v>
      </c>
      <c r="Q5">
        <v>3.2878589999999999E-2</v>
      </c>
      <c r="R5">
        <v>-4.3310729999999999E-2</v>
      </c>
      <c r="S5">
        <v>3.0200200000000001</v>
      </c>
      <c r="T5">
        <v>-0.737936699999999</v>
      </c>
      <c r="U5">
        <v>-0.193634</v>
      </c>
      <c r="V5">
        <v>4.3109000000000001E-2</v>
      </c>
      <c r="W5">
        <v>3.6720429999999998E-2</v>
      </c>
      <c r="X5">
        <v>0.99839529999999999</v>
      </c>
      <c r="Y5">
        <v>6.1970329999999997E-2</v>
      </c>
      <c r="Z5">
        <v>-7.4045949999999999E-3</v>
      </c>
      <c r="AA5">
        <v>0.99805049999999995</v>
      </c>
      <c r="AB5">
        <v>2</v>
      </c>
      <c r="AC5">
        <v>0.67219999999997504</v>
      </c>
      <c r="AD5">
        <v>-0.16919120000000001</v>
      </c>
      <c r="AE5">
        <v>-4.4299999999964201E-2</v>
      </c>
      <c r="AF5">
        <v>4.1541369107842403E-2</v>
      </c>
      <c r="AG5">
        <v>-0.16919120000000001</v>
      </c>
      <c r="AH5">
        <v>0.632323536681207</v>
      </c>
      <c r="AI5">
        <v>104.94898222802399</v>
      </c>
      <c r="AJ5">
        <v>86.241275897083696</v>
      </c>
      <c r="AK5">
        <v>0.65588444298201098</v>
      </c>
      <c r="AL5">
        <v>87.895601181593406</v>
      </c>
      <c r="AM5">
        <v>87.527602040175694</v>
      </c>
      <c r="AN5">
        <v>0.99999997546123698</v>
      </c>
    </row>
    <row r="6" spans="1:40" x14ac:dyDescent="0.25">
      <c r="A6" t="str">
        <f>"20190312154501451"</f>
        <v>20190312154501451</v>
      </c>
      <c r="B6" t="str">
        <f>"1552376701445834"</f>
        <v>1552376701445834</v>
      </c>
      <c r="C6" t="s">
        <v>40</v>
      </c>
      <c r="D6">
        <v>4.5194979999999996</v>
      </c>
      <c r="E6">
        <v>0.51003339999999997</v>
      </c>
      <c r="F6" t="s">
        <v>41</v>
      </c>
      <c r="G6">
        <v>-475.84219999999999</v>
      </c>
      <c r="H6">
        <v>0.94311230000000001</v>
      </c>
      <c r="I6">
        <v>367.17070000000001</v>
      </c>
      <c r="J6">
        <v>-476.5129</v>
      </c>
      <c r="K6">
        <v>1.1086879999999999</v>
      </c>
      <c r="L6">
        <v>367.21609999999998</v>
      </c>
      <c r="M6">
        <v>0.99999559999999998</v>
      </c>
      <c r="N6">
        <v>0</v>
      </c>
      <c r="O6">
        <v>-2.7970760000000001E-4</v>
      </c>
      <c r="P6">
        <v>0.99846729999999995</v>
      </c>
      <c r="Q6">
        <v>3.363878E-2</v>
      </c>
      <c r="R6">
        <v>-4.39552E-2</v>
      </c>
      <c r="S6">
        <v>3.0196529999999999</v>
      </c>
      <c r="T6">
        <v>-0.71994650000000004</v>
      </c>
      <c r="U6">
        <v>-0.1959534</v>
      </c>
      <c r="V6">
        <v>4.3679639999999999E-2</v>
      </c>
      <c r="W6">
        <v>3.6639419999999999E-2</v>
      </c>
      <c r="X6">
        <v>0.99837350000000002</v>
      </c>
      <c r="Y6">
        <v>6.273405E-2</v>
      </c>
      <c r="Z6">
        <v>-7.3020389999999998E-3</v>
      </c>
      <c r="AA6">
        <v>0.99800350000000004</v>
      </c>
      <c r="AB6">
        <v>2</v>
      </c>
      <c r="AC6">
        <v>0.67070000000000995</v>
      </c>
      <c r="AD6">
        <v>-0.16557569999999899</v>
      </c>
      <c r="AE6">
        <v>-4.5399999999972303E-2</v>
      </c>
      <c r="AF6">
        <v>4.2626390193826802E-2</v>
      </c>
      <c r="AG6">
        <v>-0.16557569999999899</v>
      </c>
      <c r="AH6">
        <v>0.632350011433226</v>
      </c>
      <c r="AI6">
        <v>104.64122503259701</v>
      </c>
      <c r="AJ6">
        <v>86.143555084255794</v>
      </c>
      <c r="AK6">
        <v>0.65505637813172002</v>
      </c>
      <c r="AL6">
        <v>87.900245893636594</v>
      </c>
      <c r="AM6">
        <v>87.494861344970701</v>
      </c>
      <c r="AN6">
        <v>1.0000000017753501</v>
      </c>
    </row>
    <row r="7" spans="1:40" x14ac:dyDescent="0.25">
      <c r="A7" t="str">
        <f>"20190312154501475"</f>
        <v>20190312154501475</v>
      </c>
      <c r="B7" t="str">
        <f>"1552376701466330"</f>
        <v>1552376701466330</v>
      </c>
      <c r="C7" t="s">
        <v>40</v>
      </c>
      <c r="D7">
        <v>4.5203629999999997</v>
      </c>
      <c r="E7">
        <v>0.50980639999999999</v>
      </c>
      <c r="F7" t="s">
        <v>41</v>
      </c>
      <c r="G7">
        <v>-475.81880000000001</v>
      </c>
      <c r="H7">
        <v>0.94389509999999999</v>
      </c>
      <c r="I7">
        <v>367.17070000000001</v>
      </c>
      <c r="J7">
        <v>-476.48410000000001</v>
      </c>
      <c r="K7">
        <v>1.108641</v>
      </c>
      <c r="L7">
        <v>367.21600000000001</v>
      </c>
      <c r="M7">
        <v>0.99999749999999998</v>
      </c>
      <c r="N7">
        <v>0</v>
      </c>
      <c r="O7">
        <v>-3.6590439999999999E-4</v>
      </c>
      <c r="P7">
        <v>0.99841170000000001</v>
      </c>
      <c r="Q7">
        <v>3.4309539999999999E-2</v>
      </c>
      <c r="R7">
        <v>-4.4688850000000002E-2</v>
      </c>
      <c r="S7">
        <v>3.020111</v>
      </c>
      <c r="T7">
        <v>-0.71699429999999997</v>
      </c>
      <c r="U7">
        <v>-0.19668579999999999</v>
      </c>
      <c r="V7">
        <v>4.432759E-2</v>
      </c>
      <c r="W7">
        <v>3.6527440000000001E-2</v>
      </c>
      <c r="X7">
        <v>0.99834909999999999</v>
      </c>
      <c r="Y7">
        <v>6.2891920000000004E-2</v>
      </c>
      <c r="Z7">
        <v>-7.2700830000000001E-3</v>
      </c>
      <c r="AA7">
        <v>0.99799389999999999</v>
      </c>
      <c r="AB7">
        <v>2</v>
      </c>
      <c r="AC7">
        <v>0.665300000000002</v>
      </c>
      <c r="AD7">
        <v>-0.1647459</v>
      </c>
      <c r="AE7">
        <v>-4.5299999999997398E-2</v>
      </c>
      <c r="AF7">
        <v>4.2464689564095298E-2</v>
      </c>
      <c r="AG7">
        <v>-0.1647459</v>
      </c>
      <c r="AH7">
        <v>0.62704431581279796</v>
      </c>
      <c r="AI7">
        <v>104.688664511056</v>
      </c>
      <c r="AJ7">
        <v>86.125731316041296</v>
      </c>
      <c r="AK7">
        <v>0.64971457996548398</v>
      </c>
      <c r="AL7">
        <v>87.906666288999901</v>
      </c>
      <c r="AM7">
        <v>87.457686109338695</v>
      </c>
      <c r="AN7">
        <v>1.00000005728948</v>
      </c>
    </row>
    <row r="8" spans="1:40" x14ac:dyDescent="0.25">
      <c r="A8" t="str">
        <f>"20190312154501495"</f>
        <v>20190312154501495</v>
      </c>
      <c r="B8" t="str">
        <f>"1552376701485850"</f>
        <v>1552376701485850</v>
      </c>
      <c r="C8" t="s">
        <v>40</v>
      </c>
      <c r="D8">
        <v>4.5508730000000002</v>
      </c>
      <c r="E8">
        <v>0.50970170000000004</v>
      </c>
      <c r="F8" t="s">
        <v>41</v>
      </c>
      <c r="G8">
        <v>-475.79270000000002</v>
      </c>
      <c r="H8">
        <v>0.94555990000000001</v>
      </c>
      <c r="I8">
        <v>367.1705</v>
      </c>
      <c r="J8">
        <v>-476.45710000000003</v>
      </c>
      <c r="K8">
        <v>1.108609</v>
      </c>
      <c r="L8">
        <v>367.21589999999998</v>
      </c>
      <c r="M8">
        <v>0.99999859999999896</v>
      </c>
      <c r="N8">
        <v>0</v>
      </c>
      <c r="O8">
        <v>-4.4552920000000002E-4</v>
      </c>
      <c r="P8">
        <v>0.9983476</v>
      </c>
      <c r="Q8">
        <v>3.5460140000000001E-2</v>
      </c>
      <c r="R8">
        <v>-4.5216770000000003E-2</v>
      </c>
      <c r="S8">
        <v>3.0204770000000001</v>
      </c>
      <c r="T8">
        <v>-0.71245849999999999</v>
      </c>
      <c r="U8">
        <v>-0.1973877</v>
      </c>
      <c r="V8">
        <v>4.477602E-2</v>
      </c>
      <c r="W8">
        <v>3.7085439999999997E-2</v>
      </c>
      <c r="X8">
        <v>0.99830850000000004</v>
      </c>
      <c r="Y8">
        <v>6.3055219999999995E-2</v>
      </c>
      <c r="Z8">
        <v>-7.2248869999999897E-3</v>
      </c>
      <c r="AA8">
        <v>0.99798390000000003</v>
      </c>
      <c r="AB8">
        <v>3</v>
      </c>
      <c r="AC8">
        <v>0.66439999999999999</v>
      </c>
      <c r="AD8">
        <v>-0.163049099999999</v>
      </c>
      <c r="AE8">
        <v>-4.5399999999972303E-2</v>
      </c>
      <c r="AF8">
        <v>4.2553129552720198E-2</v>
      </c>
      <c r="AG8">
        <v>-0.163049099999999</v>
      </c>
      <c r="AH8">
        <v>0.626843878083295</v>
      </c>
      <c r="AI8">
        <v>104.548125299219</v>
      </c>
      <c r="AJ8">
        <v>86.116449538710896</v>
      </c>
      <c r="AK8">
        <v>0.64909862527665596</v>
      </c>
      <c r="AL8">
        <v>87.874673534036205</v>
      </c>
      <c r="AM8">
        <v>87.431897327765</v>
      </c>
      <c r="AN8">
        <v>1.0000000414996399</v>
      </c>
    </row>
    <row r="9" spans="1:40" x14ac:dyDescent="0.25">
      <c r="A9" t="str">
        <f>"20190312154501518"</f>
        <v>20190312154501518</v>
      </c>
      <c r="B9" t="str">
        <f>"1552376701506347"</f>
        <v>1552376701506347</v>
      </c>
      <c r="C9" t="s">
        <v>40</v>
      </c>
      <c r="D9">
        <v>4.541099</v>
      </c>
      <c r="E9">
        <v>0.5097931</v>
      </c>
      <c r="F9" t="s">
        <v>41</v>
      </c>
      <c r="G9">
        <v>-475.76479999999998</v>
      </c>
      <c r="H9">
        <v>0.94642000000000004</v>
      </c>
      <c r="I9">
        <v>367.17039999999997</v>
      </c>
      <c r="J9">
        <v>-476.42419999999998</v>
      </c>
      <c r="K9">
        <v>1.1085879999999999</v>
      </c>
      <c r="L9">
        <v>367.21570000000003</v>
      </c>
      <c r="M9">
        <v>0.99999930000000004</v>
      </c>
      <c r="N9">
        <v>0</v>
      </c>
      <c r="O9">
        <v>-5.3999009999999999E-4</v>
      </c>
      <c r="P9">
        <v>0.99832529999999997</v>
      </c>
      <c r="Q9">
        <v>3.6272190000000003E-2</v>
      </c>
      <c r="R9">
        <v>-4.5067860000000001E-2</v>
      </c>
      <c r="S9">
        <v>3.0211790000000001</v>
      </c>
      <c r="T9">
        <v>-0.70782089999999998</v>
      </c>
      <c r="U9">
        <v>-0.19796749999999999</v>
      </c>
      <c r="V9">
        <v>4.4532769999999999E-2</v>
      </c>
      <c r="W9">
        <v>3.7303210000000003E-2</v>
      </c>
      <c r="X9">
        <v>0.99831119999999995</v>
      </c>
      <c r="Y9">
        <v>6.3159060000000003E-2</v>
      </c>
      <c r="Z9">
        <v>-7.1676119999999899E-3</v>
      </c>
      <c r="AA9">
        <v>0.99797769999999997</v>
      </c>
      <c r="AB9">
        <v>3</v>
      </c>
      <c r="AC9">
        <v>0.65940000000000498</v>
      </c>
      <c r="AD9">
        <v>-0.16216799999999901</v>
      </c>
      <c r="AE9">
        <v>-4.5300000000054297E-2</v>
      </c>
      <c r="AF9">
        <v>4.2391978887612203E-2</v>
      </c>
      <c r="AG9">
        <v>-0.16216799999999901</v>
      </c>
      <c r="AH9">
        <v>0.62198182667480095</v>
      </c>
      <c r="AI9">
        <v>104.58089225389899</v>
      </c>
      <c r="AJ9">
        <v>86.100961678387193</v>
      </c>
      <c r="AK9">
        <v>0.64417150884817098</v>
      </c>
      <c r="AL9">
        <v>87.862187449834806</v>
      </c>
      <c r="AM9">
        <v>87.445837162843603</v>
      </c>
      <c r="AN9">
        <v>0.99999997456280798</v>
      </c>
    </row>
    <row r="10" spans="1:40" x14ac:dyDescent="0.25">
      <c r="A10" t="str">
        <f>"20190312154501540"</f>
        <v>20190312154501540</v>
      </c>
      <c r="B10" t="str">
        <f>"1552376701535626"</f>
        <v>1552376701535626</v>
      </c>
      <c r="C10" t="s">
        <v>40</v>
      </c>
      <c r="D10">
        <v>4.5938429999999997</v>
      </c>
      <c r="E10">
        <v>0.50998940000000004</v>
      </c>
      <c r="F10" t="s">
        <v>41</v>
      </c>
      <c r="G10">
        <v>-475.7346</v>
      </c>
      <c r="H10">
        <v>0.94744209999999995</v>
      </c>
      <c r="I10">
        <v>367.17020000000002</v>
      </c>
      <c r="J10">
        <v>-476.3895</v>
      </c>
      <c r="K10">
        <v>1.1085640000000001</v>
      </c>
      <c r="L10">
        <v>367.21559999999999</v>
      </c>
      <c r="M10">
        <v>0.99999979999999999</v>
      </c>
      <c r="N10">
        <v>0</v>
      </c>
      <c r="O10">
        <v>-6.3727279999999998E-4</v>
      </c>
      <c r="P10">
        <v>0.99830059999999998</v>
      </c>
      <c r="Q10">
        <v>3.7047040000000003E-2</v>
      </c>
      <c r="R10">
        <v>-4.4991070000000001E-2</v>
      </c>
      <c r="S10">
        <v>3.0217290000000001</v>
      </c>
      <c r="T10">
        <v>-0.70626709999999904</v>
      </c>
      <c r="U10">
        <v>-0.1982727</v>
      </c>
      <c r="V10">
        <v>4.4358920000000003E-2</v>
      </c>
      <c r="W10">
        <v>3.7560040000000003E-2</v>
      </c>
      <c r="X10">
        <v>0.99830929999999996</v>
      </c>
      <c r="Y10">
        <v>6.3160980000000005E-2</v>
      </c>
      <c r="Z10">
        <v>-7.1288130000000003E-3</v>
      </c>
      <c r="AA10">
        <v>0.99797789999999997</v>
      </c>
      <c r="AB10">
        <v>3</v>
      </c>
      <c r="AC10">
        <v>0.65489999999999704</v>
      </c>
      <c r="AD10">
        <v>-0.16112189999999901</v>
      </c>
      <c r="AE10">
        <v>-4.5399999999972303E-2</v>
      </c>
      <c r="AF10">
        <v>4.2426891430507201E-2</v>
      </c>
      <c r="AG10">
        <v>-0.16112189999999901</v>
      </c>
      <c r="AH10">
        <v>0.61771813633933803</v>
      </c>
      <c r="AI10">
        <v>104.58607361436199</v>
      </c>
      <c r="AJ10">
        <v>86.070910039714903</v>
      </c>
      <c r="AK10">
        <v>0.63979371967737397</v>
      </c>
      <c r="AL10">
        <v>87.847461832712497</v>
      </c>
      <c r="AM10">
        <v>87.455790310708494</v>
      </c>
      <c r="AN10">
        <v>0.999999964427428</v>
      </c>
    </row>
    <row r="11" spans="1:40" x14ac:dyDescent="0.25">
      <c r="A11" t="str">
        <f>"20190312154501564"</f>
        <v>20190312154501564</v>
      </c>
      <c r="B11" t="str">
        <f>"1552376701556122"</f>
        <v>1552376701556122</v>
      </c>
      <c r="C11" t="s">
        <v>40</v>
      </c>
      <c r="D11">
        <v>4.5920909999999999</v>
      </c>
      <c r="E11">
        <v>0.51023099999999999</v>
      </c>
      <c r="F11" t="s">
        <v>41</v>
      </c>
      <c r="G11">
        <v>-475.7022</v>
      </c>
      <c r="H11">
        <v>0.94846900000000001</v>
      </c>
      <c r="I11">
        <v>367.17</v>
      </c>
      <c r="J11">
        <v>-476.34949999999998</v>
      </c>
      <c r="K11">
        <v>1.1085419999999999</v>
      </c>
      <c r="L11">
        <v>367.21550000000002</v>
      </c>
      <c r="M11">
        <v>0.99999979999999999</v>
      </c>
      <c r="N11">
        <v>0</v>
      </c>
      <c r="O11">
        <v>-7.4732789999999998E-4</v>
      </c>
      <c r="P11">
        <v>0.9982837</v>
      </c>
      <c r="Q11">
        <v>3.7951110000000003E-2</v>
      </c>
      <c r="R11">
        <v>-4.4600809999999998E-2</v>
      </c>
      <c r="S11">
        <v>3.0222470000000001</v>
      </c>
      <c r="T11">
        <v>-0.70401380000000002</v>
      </c>
      <c r="U11">
        <v>-0.19967650000000001</v>
      </c>
      <c r="V11">
        <v>4.3859040000000002E-2</v>
      </c>
      <c r="W11">
        <v>3.797507E-2</v>
      </c>
      <c r="X11">
        <v>0.99831570000000003</v>
      </c>
      <c r="Y11">
        <v>6.3506409999999999E-2</v>
      </c>
      <c r="Z11">
        <v>-7.1197609999999996E-3</v>
      </c>
      <c r="AA11">
        <v>0.99795599999999995</v>
      </c>
      <c r="AB11">
        <v>3</v>
      </c>
      <c r="AC11">
        <v>0.64729999999997201</v>
      </c>
      <c r="AD11">
        <v>-0.16007299999999899</v>
      </c>
      <c r="AE11">
        <v>-4.5500000000004003E-2</v>
      </c>
      <c r="AF11">
        <v>4.2433991929585801E-2</v>
      </c>
      <c r="AG11">
        <v>-0.16007299999999899</v>
      </c>
      <c r="AH11">
        <v>0.61020105180979101</v>
      </c>
      <c r="AI11">
        <v>104.66521422965501</v>
      </c>
      <c r="AJ11">
        <v>86.021998366740505</v>
      </c>
      <c r="AK11">
        <v>0.63227314716810101</v>
      </c>
      <c r="AL11">
        <v>87.823665418726506</v>
      </c>
      <c r="AM11">
        <v>87.484440037393497</v>
      </c>
      <c r="AN11">
        <v>0.99999997909885796</v>
      </c>
    </row>
    <row r="12" spans="1:40" x14ac:dyDescent="0.25">
      <c r="A12" t="str">
        <f>"20190312154501587"</f>
        <v>20190312154501587</v>
      </c>
      <c r="B12" t="str">
        <f>"1552376701575642"</f>
        <v>1552376701575642</v>
      </c>
      <c r="C12" t="s">
        <v>40</v>
      </c>
      <c r="D12">
        <v>4.9648599999999998</v>
      </c>
      <c r="E12">
        <v>0.51026660000000001</v>
      </c>
      <c r="F12" t="s">
        <v>41</v>
      </c>
      <c r="G12">
        <v>-475.63440000000003</v>
      </c>
      <c r="H12">
        <v>0.9422024</v>
      </c>
      <c r="I12">
        <v>367.16809999999998</v>
      </c>
      <c r="J12">
        <v>-476.30610000000001</v>
      </c>
      <c r="K12">
        <v>1.1085240000000001</v>
      </c>
      <c r="L12">
        <v>367.21530000000001</v>
      </c>
      <c r="M12">
        <v>0.99999950000000004</v>
      </c>
      <c r="N12">
        <v>0</v>
      </c>
      <c r="O12">
        <v>-8.6321429999999897E-4</v>
      </c>
      <c r="P12">
        <v>0.99827949999999999</v>
      </c>
      <c r="Q12">
        <v>3.8217269999999998E-2</v>
      </c>
      <c r="R12">
        <v>-4.4469040000000001E-2</v>
      </c>
      <c r="S12">
        <v>3.022888</v>
      </c>
      <c r="T12">
        <v>-0.70320590000000005</v>
      </c>
      <c r="U12">
        <v>-0.1998596</v>
      </c>
      <c r="V12">
        <v>4.3611490000000003E-2</v>
      </c>
      <c r="W12">
        <v>3.782116E-2</v>
      </c>
      <c r="X12">
        <v>0.99833240000000001</v>
      </c>
      <c r="Y12">
        <v>6.3446230000000006E-2</v>
      </c>
      <c r="Z12">
        <v>-7.0768480000000002E-3</v>
      </c>
      <c r="AA12">
        <v>0.99796019999999996</v>
      </c>
      <c r="AB12">
        <v>4</v>
      </c>
      <c r="AC12">
        <v>0.67169999999998697</v>
      </c>
      <c r="AD12">
        <v>-0.16632160000000001</v>
      </c>
      <c r="AE12">
        <v>-4.7200000000032098E-2</v>
      </c>
      <c r="AF12">
        <v>4.3939380171520603E-2</v>
      </c>
      <c r="AG12">
        <v>-0.16632160000000001</v>
      </c>
      <c r="AH12">
        <v>0.63311365938553499</v>
      </c>
      <c r="AI12">
        <v>104.68545477089199</v>
      </c>
      <c r="AJ12">
        <v>86.029921942176898</v>
      </c>
      <c r="AK12">
        <v>0.65606893651274201</v>
      </c>
      <c r="AL12">
        <v>87.832490178952796</v>
      </c>
      <c r="AM12">
        <v>87.498662111632697</v>
      </c>
      <c r="AN12">
        <v>0.999999991546762</v>
      </c>
    </row>
    <row r="13" spans="1:40" x14ac:dyDescent="0.25">
      <c r="A13" t="str">
        <f>"20190312154501609"</f>
        <v>20190312154501609</v>
      </c>
      <c r="B13" t="str">
        <f>"1552376701605898"</f>
        <v>1552376701605898</v>
      </c>
      <c r="C13" t="s">
        <v>40</v>
      </c>
      <c r="D13">
        <v>4.6377860000000002</v>
      </c>
      <c r="E13">
        <v>0.51024689999999995</v>
      </c>
      <c r="F13" t="s">
        <v>41</v>
      </c>
      <c r="G13">
        <v>-475.59519999999998</v>
      </c>
      <c r="H13">
        <v>0.94336019999999998</v>
      </c>
      <c r="I13">
        <v>367.16789999999997</v>
      </c>
      <c r="J13">
        <v>-476.26229999999998</v>
      </c>
      <c r="K13">
        <v>1.1084989999999999</v>
      </c>
      <c r="L13">
        <v>367.21510000000001</v>
      </c>
      <c r="M13">
        <v>0.99999930000000004</v>
      </c>
      <c r="N13">
        <v>0</v>
      </c>
      <c r="O13">
        <v>-9.7773559999999996E-4</v>
      </c>
      <c r="P13">
        <v>0.9982915</v>
      </c>
      <c r="Q13">
        <v>3.8339930000000001E-2</v>
      </c>
      <c r="R13">
        <v>-4.4096589999999998E-2</v>
      </c>
      <c r="S13">
        <v>3.023193</v>
      </c>
      <c r="T13">
        <v>-0.70253540000000003</v>
      </c>
      <c r="U13">
        <v>-0.1999512</v>
      </c>
      <c r="V13">
        <v>4.3124530000000001E-2</v>
      </c>
      <c r="W13">
        <v>3.7592430000000003E-2</v>
      </c>
      <c r="X13">
        <v>0.99836219999999998</v>
      </c>
      <c r="Y13">
        <v>6.3364080000000003E-2</v>
      </c>
      <c r="Z13">
        <v>-7.0339290000000004E-3</v>
      </c>
      <c r="AA13">
        <v>0.99796569999999996</v>
      </c>
      <c r="AB13">
        <v>4</v>
      </c>
      <c r="AC13">
        <v>0.66710000000000402</v>
      </c>
      <c r="AD13">
        <v>-0.1651388</v>
      </c>
      <c r="AE13">
        <v>-4.7200000000032098E-2</v>
      </c>
      <c r="AF13">
        <v>4.3872622306410397E-2</v>
      </c>
      <c r="AG13">
        <v>-0.1651388</v>
      </c>
      <c r="AH13">
        <v>0.62880482276648697</v>
      </c>
      <c r="AI13">
        <v>104.680770094788</v>
      </c>
      <c r="AJ13">
        <v>86.008858540925104</v>
      </c>
      <c r="AK13">
        <v>0.65160658022143603</v>
      </c>
      <c r="AL13">
        <v>87.845604785590297</v>
      </c>
      <c r="AM13">
        <v>87.526630567361394</v>
      </c>
      <c r="AN13">
        <v>0.99999999913493198</v>
      </c>
    </row>
    <row r="14" spans="1:40" x14ac:dyDescent="0.25">
      <c r="A14" t="str">
        <f>"20190312154501630"</f>
        <v>20190312154501630</v>
      </c>
      <c r="B14" t="str">
        <f>"1552376701626394"</f>
        <v>1552376701626394</v>
      </c>
      <c r="C14" t="s">
        <v>40</v>
      </c>
      <c r="D14">
        <v>4.6636920000000002</v>
      </c>
      <c r="E14">
        <v>0.51014020000000004</v>
      </c>
      <c r="F14" t="s">
        <v>41</v>
      </c>
      <c r="G14">
        <v>-475.5496</v>
      </c>
      <c r="H14">
        <v>0.95335150000000002</v>
      </c>
      <c r="I14">
        <v>367.16829999999999</v>
      </c>
      <c r="J14">
        <v>-476.22070000000002</v>
      </c>
      <c r="K14">
        <v>1.108466</v>
      </c>
      <c r="L14">
        <v>367.21499999999997</v>
      </c>
      <c r="M14">
        <v>0.99999890000000002</v>
      </c>
      <c r="N14">
        <v>0</v>
      </c>
      <c r="O14">
        <v>-1.0838219999999999E-3</v>
      </c>
      <c r="P14">
        <v>0.99830569999999996</v>
      </c>
      <c r="Q14">
        <v>3.761043E-2</v>
      </c>
      <c r="R14">
        <v>-4.4396249999999998E-2</v>
      </c>
      <c r="S14">
        <v>3.021576</v>
      </c>
      <c r="T14">
        <v>-0.65777750000000001</v>
      </c>
      <c r="U14">
        <v>-0.1991272</v>
      </c>
      <c r="V14">
        <v>4.3318339999999997E-2</v>
      </c>
      <c r="W14">
        <v>3.658177E-2</v>
      </c>
      <c r="X14">
        <v>0.99839129999999998</v>
      </c>
      <c r="Y14">
        <v>6.3228380000000001E-2</v>
      </c>
      <c r="Z14">
        <v>-6.5624610000000003E-3</v>
      </c>
      <c r="AA14">
        <v>0.99797749999999996</v>
      </c>
      <c r="AB14">
        <v>4</v>
      </c>
      <c r="AC14">
        <v>0.67110000000002401</v>
      </c>
      <c r="AD14">
        <v>-0.15511449999999999</v>
      </c>
      <c r="AE14">
        <v>-4.6699999999987002E-2</v>
      </c>
      <c r="AF14">
        <v>4.3651834456648303E-2</v>
      </c>
      <c r="AG14">
        <v>-0.15511449999999999</v>
      </c>
      <c r="AH14">
        <v>0.63726928744899203</v>
      </c>
      <c r="AI14">
        <v>103.649271076733</v>
      </c>
      <c r="AJ14">
        <v>86.0814600189548</v>
      </c>
      <c r="AK14">
        <v>0.65732650599791398</v>
      </c>
      <c r="AL14">
        <v>87.903551094609398</v>
      </c>
      <c r="AM14">
        <v>87.515600986950105</v>
      </c>
      <c r="AN14">
        <v>0.99999994619618704</v>
      </c>
    </row>
    <row r="15" spans="1:40" x14ac:dyDescent="0.25">
      <c r="A15" t="str">
        <f>"20190312154501675"</f>
        <v>20190312154501675</v>
      </c>
      <c r="B15" t="str">
        <f>"1552376701666410"</f>
        <v>1552376701666410</v>
      </c>
      <c r="C15" t="s">
        <v>40</v>
      </c>
      <c r="D15">
        <v>4.7140519999999997</v>
      </c>
      <c r="E15">
        <v>0.53298859999999904</v>
      </c>
      <c r="F15" t="s">
        <v>41</v>
      </c>
      <c r="G15">
        <v>-475.50700000000001</v>
      </c>
      <c r="H15">
        <v>0.95221339999999999</v>
      </c>
      <c r="I15">
        <v>367.16770000000002</v>
      </c>
      <c r="J15">
        <v>-476.11919999999998</v>
      </c>
      <c r="K15">
        <v>1.1084130000000001</v>
      </c>
      <c r="L15">
        <v>367.21460000000002</v>
      </c>
      <c r="M15">
        <v>0.99999800000000005</v>
      </c>
      <c r="N15">
        <v>0</v>
      </c>
      <c r="O15">
        <v>-1.3339980000000001E-3</v>
      </c>
      <c r="P15">
        <v>0.99825600000000003</v>
      </c>
      <c r="Q15">
        <v>3.7301149999999998E-2</v>
      </c>
      <c r="R15">
        <v>-4.5759719999999997E-2</v>
      </c>
      <c r="S15">
        <v>3.0211790000000001</v>
      </c>
      <c r="T15">
        <v>-0.66142670000000003</v>
      </c>
      <c r="U15">
        <v>-0.198822</v>
      </c>
      <c r="V15">
        <v>4.4432010000000001E-2</v>
      </c>
      <c r="W15">
        <v>3.5741170000000003E-2</v>
      </c>
      <c r="X15">
        <v>0.99837290000000001</v>
      </c>
      <c r="Y15">
        <v>6.2884629999999997E-2</v>
      </c>
      <c r="Z15">
        <v>-6.5076730000000003E-3</v>
      </c>
      <c r="AA15">
        <v>0.99799959999999999</v>
      </c>
      <c r="AB15">
        <v>5</v>
      </c>
      <c r="AC15">
        <v>0.61220000000002905</v>
      </c>
      <c r="AD15">
        <v>-0.15619959999999899</v>
      </c>
      <c r="AE15">
        <v>-4.6899999999993697E-2</v>
      </c>
      <c r="AF15">
        <v>4.3282109025397301E-2</v>
      </c>
      <c r="AG15">
        <v>-0.15619959999999899</v>
      </c>
      <c r="AH15">
        <v>0.57504564166547301</v>
      </c>
      <c r="AI15">
        <v>105.155692084907</v>
      </c>
      <c r="AJ15">
        <v>85.695619837143795</v>
      </c>
      <c r="AK15">
        <v>0.59745221231517898</v>
      </c>
      <c r="AL15">
        <v>87.951745646388005</v>
      </c>
      <c r="AM15">
        <v>87.451765877622293</v>
      </c>
      <c r="AN15">
        <v>1.0000000411000001</v>
      </c>
    </row>
    <row r="16" spans="1:40" x14ac:dyDescent="0.25">
      <c r="A16" t="str">
        <f>"20190312154501696"</f>
        <v>20190312154501696</v>
      </c>
      <c r="B16" t="str">
        <f>"1552376701685930"</f>
        <v>1552376701685930</v>
      </c>
      <c r="C16" t="s">
        <v>40</v>
      </c>
      <c r="D16">
        <v>4.8356320000000004</v>
      </c>
      <c r="E16">
        <v>0.53994039999999999</v>
      </c>
      <c r="F16" t="s">
        <v>41</v>
      </c>
      <c r="G16">
        <v>-475.41969999999998</v>
      </c>
      <c r="H16">
        <v>0.93990499999999999</v>
      </c>
      <c r="I16">
        <v>367.12529999999998</v>
      </c>
      <c r="J16">
        <v>-476.06619999999998</v>
      </c>
      <c r="K16">
        <v>1.1083889999999901</v>
      </c>
      <c r="L16">
        <v>367.21440000000001</v>
      </c>
      <c r="M16">
        <v>0.99999740000000004</v>
      </c>
      <c r="N16">
        <v>0</v>
      </c>
      <c r="O16">
        <v>-1.459929E-3</v>
      </c>
      <c r="P16">
        <v>0.99820600000000004</v>
      </c>
      <c r="Q16">
        <v>3.7760620000000002E-2</v>
      </c>
      <c r="R16">
        <v>-4.6466269999999997E-2</v>
      </c>
      <c r="S16">
        <v>3.0148009999999998</v>
      </c>
      <c r="T16">
        <v>-0.72622159999999902</v>
      </c>
      <c r="U16">
        <v>-0.38250729999999999</v>
      </c>
      <c r="V16">
        <v>4.5012780000000002E-2</v>
      </c>
      <c r="W16">
        <v>3.5986579999999997E-2</v>
      </c>
      <c r="X16">
        <v>0.99833799999999995</v>
      </c>
      <c r="Y16">
        <v>0.1210518</v>
      </c>
      <c r="Z16">
        <v>-1.397382E-2</v>
      </c>
      <c r="AA16">
        <v>0.99254779999999998</v>
      </c>
      <c r="AB16">
        <v>5</v>
      </c>
      <c r="AC16">
        <v>0.64650000000000296</v>
      </c>
      <c r="AD16">
        <v>-0.168483999999999</v>
      </c>
      <c r="AE16">
        <v>-8.9100000000030294E-2</v>
      </c>
      <c r="AF16">
        <v>8.2647496614916993E-2</v>
      </c>
      <c r="AG16">
        <v>-0.168483999999999</v>
      </c>
      <c r="AH16">
        <v>0.60622378879896799</v>
      </c>
      <c r="AI16">
        <v>105.396300935718</v>
      </c>
      <c r="AJ16">
        <v>82.236632546408799</v>
      </c>
      <c r="AK16">
        <v>0.63460597937498897</v>
      </c>
      <c r="AL16">
        <v>87.937675498283596</v>
      </c>
      <c r="AM16">
        <v>87.418412601867601</v>
      </c>
      <c r="AN16">
        <v>0.99999997327371204</v>
      </c>
    </row>
    <row r="17" spans="1:40" x14ac:dyDescent="0.25">
      <c r="A17" t="str">
        <f>"20190312154501720"</f>
        <v>20190312154501720</v>
      </c>
      <c r="B17" t="str">
        <f>"1552376701716186"</f>
        <v>1552376701716186</v>
      </c>
      <c r="C17" t="s">
        <v>40</v>
      </c>
      <c r="D17">
        <v>4.7147269999999999</v>
      </c>
      <c r="E17">
        <v>0.54241219999999901</v>
      </c>
      <c r="F17" t="s">
        <v>41</v>
      </c>
      <c r="G17">
        <v>-475.37110000000001</v>
      </c>
      <c r="H17">
        <v>0.93635119999999905</v>
      </c>
      <c r="I17">
        <v>367.11279999999999</v>
      </c>
      <c r="J17">
        <v>-476.0059</v>
      </c>
      <c r="K17">
        <v>1.108368</v>
      </c>
      <c r="L17">
        <v>367.21409999999997</v>
      </c>
      <c r="M17">
        <v>0.99999680000000002</v>
      </c>
      <c r="N17">
        <v>0</v>
      </c>
      <c r="O17">
        <v>-1.6000599999999999E-3</v>
      </c>
      <c r="P17">
        <v>0.9981698</v>
      </c>
      <c r="Q17">
        <v>3.7679810000000001E-2</v>
      </c>
      <c r="R17">
        <v>-4.730036E-2</v>
      </c>
      <c r="S17">
        <v>3.013153</v>
      </c>
      <c r="T17">
        <v>-0.74583489999999997</v>
      </c>
      <c r="U17">
        <v>-0.43978879999999998</v>
      </c>
      <c r="V17">
        <v>4.5707369999999997E-2</v>
      </c>
      <c r="W17">
        <v>3.5700660000000002E-2</v>
      </c>
      <c r="X17">
        <v>0.99831669999999995</v>
      </c>
      <c r="Y17">
        <v>0.13878779999999999</v>
      </c>
      <c r="Z17">
        <v>-1.6447969999999999E-2</v>
      </c>
      <c r="AA17">
        <v>0.9901856</v>
      </c>
      <c r="AB17">
        <v>5</v>
      </c>
      <c r="AC17">
        <v>0.63479999999998404</v>
      </c>
      <c r="AD17">
        <v>-0.1720168</v>
      </c>
      <c r="AE17">
        <v>-0.10129999999998</v>
      </c>
      <c r="AF17">
        <v>9.3583077444562998E-2</v>
      </c>
      <c r="AG17">
        <v>-0.1720168</v>
      </c>
      <c r="AH17">
        <v>0.59253261744851204</v>
      </c>
      <c r="AI17">
        <v>106.000421094918</v>
      </c>
      <c r="AJ17">
        <v>81.024986890714899</v>
      </c>
      <c r="AK17">
        <v>0.62405326263598604</v>
      </c>
      <c r="AL17">
        <v>87.954068029186203</v>
      </c>
      <c r="AM17">
        <v>87.3785755478619</v>
      </c>
      <c r="AN17">
        <v>0.99999996714782002</v>
      </c>
    </row>
    <row r="18" spans="1:40" x14ac:dyDescent="0.25">
      <c r="A18" t="str">
        <f>"20190312154501742"</f>
        <v>20190312154501742</v>
      </c>
      <c r="B18" t="str">
        <f>"1552376701735707"</f>
        <v>1552376701735707</v>
      </c>
      <c r="C18" t="s">
        <v>40</v>
      </c>
      <c r="D18">
        <v>4.770092</v>
      </c>
      <c r="E18">
        <v>0.54342500000000005</v>
      </c>
      <c r="F18" t="s">
        <v>41</v>
      </c>
      <c r="G18">
        <v>-475.31849999999997</v>
      </c>
      <c r="H18">
        <v>0.93689140000000004</v>
      </c>
      <c r="I18">
        <v>367.10840000000002</v>
      </c>
      <c r="J18">
        <v>-475.9434</v>
      </c>
      <c r="K18">
        <v>1.1083430000000001</v>
      </c>
      <c r="L18">
        <v>367.21390000000002</v>
      </c>
      <c r="M18">
        <v>0.99999610000000005</v>
      </c>
      <c r="N18">
        <v>0</v>
      </c>
      <c r="O18">
        <v>-1.7416160000000001E-3</v>
      </c>
      <c r="P18">
        <v>0.99810449999999995</v>
      </c>
      <c r="Q18">
        <v>3.7965260000000001E-2</v>
      </c>
      <c r="R18">
        <v>-4.8434070000000003E-2</v>
      </c>
      <c r="S18">
        <v>3.0119630000000002</v>
      </c>
      <c r="T18">
        <v>-0.7513746</v>
      </c>
      <c r="U18">
        <v>-0.46228029999999998</v>
      </c>
      <c r="V18">
        <v>4.6699919999999999E-2</v>
      </c>
      <c r="W18">
        <v>3.5806449999999997E-2</v>
      </c>
      <c r="X18">
        <v>0.99826700000000002</v>
      </c>
      <c r="Y18">
        <v>0.14567269999999999</v>
      </c>
      <c r="Z18">
        <v>-1.737066E-2</v>
      </c>
      <c r="AA18">
        <v>0.98918030000000001</v>
      </c>
      <c r="AB18">
        <v>6</v>
      </c>
      <c r="AC18">
        <v>0.62490000000002499</v>
      </c>
      <c r="AD18">
        <v>-0.17145160000000001</v>
      </c>
      <c r="AE18">
        <v>-0.10550000000000601</v>
      </c>
      <c r="AF18">
        <v>9.7290713704480697E-2</v>
      </c>
      <c r="AG18">
        <v>-0.17145160000000001</v>
      </c>
      <c r="AH18">
        <v>0.58245260495964701</v>
      </c>
      <c r="AI18">
        <v>106.190070514917</v>
      </c>
      <c r="AJ18">
        <v>80.517074361568305</v>
      </c>
      <c r="AK18">
        <v>0.61490826237737695</v>
      </c>
      <c r="AL18">
        <v>87.948002885401607</v>
      </c>
      <c r="AM18">
        <v>87.321599347662499</v>
      </c>
      <c r="AN18">
        <v>0.99999999383930405</v>
      </c>
    </row>
    <row r="19" spans="1:40" x14ac:dyDescent="0.25">
      <c r="A19" t="str">
        <f>"20190312154501766"</f>
        <v>20190312154501766</v>
      </c>
      <c r="B19" t="str">
        <f>"1552376701756203"</f>
        <v>1552376701756203</v>
      </c>
      <c r="C19" t="s">
        <v>40</v>
      </c>
      <c r="D19">
        <v>4.7278909999999996</v>
      </c>
      <c r="E19">
        <v>0.54342800000000002</v>
      </c>
      <c r="F19" t="s">
        <v>41</v>
      </c>
      <c r="G19">
        <v>-475.26319999999998</v>
      </c>
      <c r="H19">
        <v>0.93883280000000002</v>
      </c>
      <c r="I19">
        <v>367.10660000000001</v>
      </c>
      <c r="J19">
        <v>-475.87529999999998</v>
      </c>
      <c r="K19">
        <v>1.108312</v>
      </c>
      <c r="L19">
        <v>367.21359999999999</v>
      </c>
      <c r="M19">
        <v>0.99999570000000004</v>
      </c>
      <c r="N19">
        <v>0</v>
      </c>
      <c r="O19">
        <v>-1.892108E-3</v>
      </c>
      <c r="P19">
        <v>0.99804009999999999</v>
      </c>
      <c r="Q19">
        <v>3.8589169999999999E-2</v>
      </c>
      <c r="R19">
        <v>-4.926912E-2</v>
      </c>
      <c r="S19">
        <v>3.0112299999999999</v>
      </c>
      <c r="T19">
        <v>-0.75043199999999999</v>
      </c>
      <c r="U19">
        <v>-0.47430420000000001</v>
      </c>
      <c r="V19">
        <v>4.7384759999999998E-2</v>
      </c>
      <c r="W19">
        <v>3.6269160000000002E-2</v>
      </c>
      <c r="X19">
        <v>0.99821800000000005</v>
      </c>
      <c r="Y19">
        <v>0.14932279999999901</v>
      </c>
      <c r="Z19">
        <v>-1.7757120000000001E-2</v>
      </c>
      <c r="AA19">
        <v>0.98862899999999998</v>
      </c>
      <c r="AB19">
        <v>6</v>
      </c>
      <c r="AC19">
        <v>0.61209999999999798</v>
      </c>
      <c r="AD19">
        <v>-0.1694792</v>
      </c>
      <c r="AE19">
        <v>-0.10699999999996999</v>
      </c>
      <c r="AF19">
        <v>9.8513228344286705E-2</v>
      </c>
      <c r="AG19">
        <v>-0.1694792</v>
      </c>
      <c r="AH19">
        <v>0.56990594786397697</v>
      </c>
      <c r="AI19">
        <v>106.33244472233</v>
      </c>
      <c r="AJ19">
        <v>80.192836774984798</v>
      </c>
      <c r="AK19">
        <v>0.60267806066107299</v>
      </c>
      <c r="AL19">
        <v>87.921474276149596</v>
      </c>
      <c r="AM19">
        <v>87.2822466817383</v>
      </c>
      <c r="AN19">
        <v>0.99999997148568098</v>
      </c>
    </row>
    <row r="20" spans="1:40" x14ac:dyDescent="0.25">
      <c r="A20" t="str">
        <f>"20190312154501808"</f>
        <v>20190312154501808</v>
      </c>
      <c r="B20" t="str">
        <f>"1552376701805978"</f>
        <v>1552376701805978</v>
      </c>
      <c r="C20" t="s">
        <v>40</v>
      </c>
      <c r="D20">
        <v>4.8098799999999997</v>
      </c>
      <c r="E20">
        <v>0.54453940000000001</v>
      </c>
      <c r="F20" t="s">
        <v>41</v>
      </c>
      <c r="G20">
        <v>-475.15179999999998</v>
      </c>
      <c r="H20">
        <v>0.92905930000000003</v>
      </c>
      <c r="I20">
        <v>367.09879999999998</v>
      </c>
      <c r="J20">
        <v>-475.74779999999998</v>
      </c>
      <c r="K20">
        <v>1.1082719999999999</v>
      </c>
      <c r="L20">
        <v>367.21300000000002</v>
      </c>
      <c r="M20">
        <v>0.99999439999999995</v>
      </c>
      <c r="N20">
        <v>0</v>
      </c>
      <c r="O20">
        <v>-2.1636979999999999E-3</v>
      </c>
      <c r="P20">
        <v>0.99806680000000003</v>
      </c>
      <c r="Q20">
        <v>3.9016620000000002E-2</v>
      </c>
      <c r="R20">
        <v>-4.8376280000000001E-2</v>
      </c>
      <c r="S20">
        <v>3.0112610000000002</v>
      </c>
      <c r="T20">
        <v>-0.7461624</v>
      </c>
      <c r="U20">
        <v>-0.47711179999999997</v>
      </c>
      <c r="V20">
        <v>4.6220990000000003E-2</v>
      </c>
      <c r="W20">
        <v>3.6459779999999997E-2</v>
      </c>
      <c r="X20">
        <v>0.99826559999999998</v>
      </c>
      <c r="Y20">
        <v>0.1499906</v>
      </c>
      <c r="Z20">
        <v>-1.7672750000000001E-2</v>
      </c>
      <c r="AA20">
        <v>0.9885294</v>
      </c>
      <c r="AB20">
        <v>6</v>
      </c>
      <c r="AC20">
        <v>0.59600000000000297</v>
      </c>
      <c r="AD20">
        <v>-0.179212699999999</v>
      </c>
      <c r="AE20">
        <v>-0.11420000000003901</v>
      </c>
      <c r="AF20">
        <v>0.103852758446087</v>
      </c>
      <c r="AG20">
        <v>-0.179212699999999</v>
      </c>
      <c r="AH20">
        <v>0.54841617623579897</v>
      </c>
      <c r="AI20">
        <v>107.800580119957</v>
      </c>
      <c r="AJ20">
        <v>79.276957580263002</v>
      </c>
      <c r="AK20">
        <v>0.58622767730229697</v>
      </c>
      <c r="AL20">
        <v>87.910545284724094</v>
      </c>
      <c r="AM20">
        <v>87.349024526514995</v>
      </c>
      <c r="AN20">
        <v>0.99999995180879298</v>
      </c>
    </row>
    <row r="21" spans="1:40" x14ac:dyDescent="0.25">
      <c r="A21" t="str">
        <f>"20190312154501830"</f>
        <v>20190312154501830</v>
      </c>
      <c r="B21" t="str">
        <f>"1552376701825499"</f>
        <v>1552376701825499</v>
      </c>
      <c r="C21" t="s">
        <v>40</v>
      </c>
      <c r="D21">
        <v>4.7321619999999998</v>
      </c>
      <c r="E21">
        <v>0.54455430000000005</v>
      </c>
      <c r="F21" t="s">
        <v>41</v>
      </c>
      <c r="G21">
        <v>-475.02710000000002</v>
      </c>
      <c r="H21">
        <v>0.92904640000000005</v>
      </c>
      <c r="I21">
        <v>367.09730000000002</v>
      </c>
      <c r="J21">
        <v>-475.67959999999999</v>
      </c>
      <c r="K21">
        <v>1.108249</v>
      </c>
      <c r="L21">
        <v>367.21280000000002</v>
      </c>
      <c r="M21">
        <v>0.99999389999999999</v>
      </c>
      <c r="N21">
        <v>0</v>
      </c>
      <c r="O21">
        <v>-2.3046070000000002E-3</v>
      </c>
      <c r="P21">
        <v>0.99814290000000006</v>
      </c>
      <c r="Q21">
        <v>3.9163040000000003E-2</v>
      </c>
      <c r="R21">
        <v>-4.6663879999999998E-2</v>
      </c>
      <c r="S21">
        <v>3.0116879999999999</v>
      </c>
      <c r="T21">
        <v>-0.74889269999999997</v>
      </c>
      <c r="U21">
        <v>-0.48333739999999997</v>
      </c>
      <c r="V21">
        <v>4.4367690000000001E-2</v>
      </c>
      <c r="W21">
        <v>3.650552E-2</v>
      </c>
      <c r="X21">
        <v>0.99834809999999996</v>
      </c>
      <c r="Y21">
        <v>0.15174579999999999</v>
      </c>
      <c r="Z21">
        <v>-1.7909720000000001E-2</v>
      </c>
      <c r="AA21">
        <v>0.98825730000000001</v>
      </c>
      <c r="AB21">
        <v>7</v>
      </c>
      <c r="AC21">
        <v>0.65249999999997499</v>
      </c>
      <c r="AD21">
        <v>-0.17920259999999999</v>
      </c>
      <c r="AE21">
        <v>-0.11549999999999699</v>
      </c>
      <c r="AF21">
        <v>0.106226962788596</v>
      </c>
      <c r="AG21">
        <v>-0.17920259999999999</v>
      </c>
      <c r="AH21">
        <v>0.608277714217906</v>
      </c>
      <c r="AI21">
        <v>106.18348786856301</v>
      </c>
      <c r="AJ21">
        <v>80.094012166541802</v>
      </c>
      <c r="AK21">
        <v>0.64296152068705503</v>
      </c>
      <c r="AL21">
        <v>87.907923007809899</v>
      </c>
      <c r="AM21">
        <v>87.455386735947997</v>
      </c>
      <c r="AN21">
        <v>1.0000000368399999</v>
      </c>
    </row>
    <row r="22" spans="1:40" x14ac:dyDescent="0.25">
      <c r="A22" t="str">
        <f>"20190312154501853"</f>
        <v>20190312154501853</v>
      </c>
      <c r="B22" t="str">
        <f>"1552376701845995"</f>
        <v>1552376701845995</v>
      </c>
      <c r="C22" t="s">
        <v>40</v>
      </c>
      <c r="D22">
        <v>4.8217030000000003</v>
      </c>
      <c r="E22">
        <v>0.54457409999999995</v>
      </c>
      <c r="F22" t="s">
        <v>41</v>
      </c>
      <c r="G22">
        <v>-474.96109999999999</v>
      </c>
      <c r="H22">
        <v>0.92977390000000004</v>
      </c>
      <c r="I22">
        <v>367.09820000000002</v>
      </c>
      <c r="J22">
        <v>-475.6026</v>
      </c>
      <c r="K22">
        <v>1.108223</v>
      </c>
      <c r="L22">
        <v>367.2124</v>
      </c>
      <c r="M22">
        <v>0.99999329999999997</v>
      </c>
      <c r="N22">
        <v>0</v>
      </c>
      <c r="O22">
        <v>-2.4598179999999999E-3</v>
      </c>
      <c r="P22">
        <v>0.99816990000000005</v>
      </c>
      <c r="Q22">
        <v>3.933325E-2</v>
      </c>
      <c r="R22">
        <v>-4.5934299999999997E-2</v>
      </c>
      <c r="S22">
        <v>3.0126040000000001</v>
      </c>
      <c r="T22">
        <v>-0.74835609999999997</v>
      </c>
      <c r="U22">
        <v>-0.47851559999999999</v>
      </c>
      <c r="V22">
        <v>4.3483519999999998E-2</v>
      </c>
      <c r="W22">
        <v>3.6579380000000002E-2</v>
      </c>
      <c r="X22">
        <v>0.99838419999999894</v>
      </c>
      <c r="Y22">
        <v>0.1500648</v>
      </c>
      <c r="Z22">
        <v>-1.7652009999999999E-2</v>
      </c>
      <c r="AA22">
        <v>0.98851860000000003</v>
      </c>
      <c r="AB22">
        <v>7</v>
      </c>
      <c r="AC22">
        <v>0.64150000000000695</v>
      </c>
      <c r="AD22">
        <v>-0.1784491</v>
      </c>
      <c r="AE22">
        <v>-0.114199999999982</v>
      </c>
      <c r="AF22">
        <v>0.104763938488562</v>
      </c>
      <c r="AG22">
        <v>-0.1784491</v>
      </c>
      <c r="AH22">
        <v>0.59700135358214901</v>
      </c>
      <c r="AI22">
        <v>106.404971958978</v>
      </c>
      <c r="AJ22">
        <v>80.046872581018405</v>
      </c>
      <c r="AK22">
        <v>0.63184664300553495</v>
      </c>
      <c r="AL22">
        <v>87.903688108530005</v>
      </c>
      <c r="AM22">
        <v>87.506121787501499</v>
      </c>
      <c r="AN22">
        <v>0.999999939181205</v>
      </c>
    </row>
    <row r="23" spans="1:40" x14ac:dyDescent="0.25">
      <c r="A23" t="str">
        <f>"20190312154501875"</f>
        <v>20190312154501875</v>
      </c>
      <c r="B23" t="str">
        <f>"1552376701865515"</f>
        <v>1552376701865515</v>
      </c>
      <c r="C23" t="s">
        <v>40</v>
      </c>
      <c r="D23">
        <v>4.8342010000000002</v>
      </c>
      <c r="E23">
        <v>0.54460819999999999</v>
      </c>
      <c r="F23" t="s">
        <v>41</v>
      </c>
      <c r="G23">
        <v>-474.8922</v>
      </c>
      <c r="H23">
        <v>0.93218520000000005</v>
      </c>
      <c r="I23">
        <v>367.10019999999997</v>
      </c>
      <c r="J23">
        <v>-475.52670000000001</v>
      </c>
      <c r="K23">
        <v>1.108201</v>
      </c>
      <c r="L23">
        <v>367.21199999999999</v>
      </c>
      <c r="M23">
        <v>0.99999269999999996</v>
      </c>
      <c r="N23">
        <v>0</v>
      </c>
      <c r="O23">
        <v>-2.6096489999999999E-3</v>
      </c>
      <c r="P23">
        <v>0.99819579999999997</v>
      </c>
      <c r="Q23">
        <v>3.8624520000000002E-2</v>
      </c>
      <c r="R23">
        <v>-4.5973550000000002E-2</v>
      </c>
      <c r="S23">
        <v>3.0129999999999999</v>
      </c>
      <c r="T23">
        <v>-0.74657119999999999</v>
      </c>
      <c r="U23">
        <v>-0.47659299999999999</v>
      </c>
      <c r="V23">
        <v>4.3372889999999997E-2</v>
      </c>
      <c r="W23">
        <v>3.578978E-2</v>
      </c>
      <c r="X23">
        <v>0.99841769999999996</v>
      </c>
      <c r="Y23">
        <v>0.1493285</v>
      </c>
      <c r="Z23">
        <v>-1.7484050000000001E-2</v>
      </c>
      <c r="AA23">
        <v>0.98863299999999998</v>
      </c>
      <c r="AB23">
        <v>7</v>
      </c>
      <c r="AC23">
        <v>0.63450000000000195</v>
      </c>
      <c r="AD23">
        <v>-0.1760158</v>
      </c>
      <c r="AE23">
        <v>-0.111800000000016</v>
      </c>
      <c r="AF23">
        <v>0.10249382841987301</v>
      </c>
      <c r="AG23">
        <v>-0.1760158</v>
      </c>
      <c r="AH23">
        <v>0.59070071896625498</v>
      </c>
      <c r="AI23">
        <v>106.361776645581</v>
      </c>
      <c r="AJ23">
        <v>80.156482516024695</v>
      </c>
      <c r="AK23">
        <v>0.62483108605530602</v>
      </c>
      <c r="AL23">
        <v>87.948958651399806</v>
      </c>
      <c r="AM23">
        <v>87.512542047814307</v>
      </c>
      <c r="AN23">
        <v>1.00000000980634</v>
      </c>
    </row>
    <row r="24" spans="1:40" x14ac:dyDescent="0.25">
      <c r="A24" t="str">
        <f>"20190312154501898"</f>
        <v>20190312154501898</v>
      </c>
      <c r="B24" t="str">
        <f>"1552376701886011"</f>
        <v>1552376701886011</v>
      </c>
      <c r="C24" t="s">
        <v>40</v>
      </c>
      <c r="D24">
        <v>4.7329800000000004</v>
      </c>
      <c r="E24">
        <v>0.54442480000000004</v>
      </c>
      <c r="F24" t="s">
        <v>41</v>
      </c>
      <c r="G24">
        <v>-474.82159999999999</v>
      </c>
      <c r="H24">
        <v>0.93299350000000003</v>
      </c>
      <c r="I24">
        <v>367.10019999999997</v>
      </c>
      <c r="J24">
        <v>-475.44310000000002</v>
      </c>
      <c r="K24">
        <v>1.108182</v>
      </c>
      <c r="L24">
        <v>367.21159999999998</v>
      </c>
      <c r="M24">
        <v>0.9999922</v>
      </c>
      <c r="N24">
        <v>0</v>
      </c>
      <c r="O24">
        <v>-2.7716350000000002E-3</v>
      </c>
      <c r="P24">
        <v>0.99818830000000003</v>
      </c>
      <c r="Q24">
        <v>3.8711820000000001E-2</v>
      </c>
      <c r="R24">
        <v>-4.6063170000000001E-2</v>
      </c>
      <c r="S24">
        <v>3.0124819999999999</v>
      </c>
      <c r="T24">
        <v>-0.74861719999999998</v>
      </c>
      <c r="U24">
        <v>-0.47628779999999998</v>
      </c>
      <c r="V24">
        <v>4.3301109999999997E-2</v>
      </c>
      <c r="W24">
        <v>3.5801220000000002E-2</v>
      </c>
      <c r="X24">
        <v>0.99842039999999999</v>
      </c>
      <c r="Y24">
        <v>0.1490842</v>
      </c>
      <c r="Z24">
        <v>-1.7464460000000001E-2</v>
      </c>
      <c r="AA24">
        <v>0.9886703</v>
      </c>
      <c r="AB24">
        <v>8</v>
      </c>
      <c r="AC24">
        <v>0.62150000000002503</v>
      </c>
      <c r="AD24">
        <v>-0.1751885</v>
      </c>
      <c r="AE24">
        <v>-0.111400000000003</v>
      </c>
      <c r="AF24">
        <v>0.10183725002135401</v>
      </c>
      <c r="AG24">
        <v>-0.1751885</v>
      </c>
      <c r="AH24">
        <v>0.57735946985541697</v>
      </c>
      <c r="AI24">
        <v>106.6370826527</v>
      </c>
      <c r="AJ24">
        <v>79.996804889827601</v>
      </c>
      <c r="AK24">
        <v>0.61188707573856305</v>
      </c>
      <c r="AL24">
        <v>87.948302756071101</v>
      </c>
      <c r="AM24">
        <v>87.5166602177123</v>
      </c>
      <c r="AN24">
        <v>1.00000000430844</v>
      </c>
    </row>
    <row r="25" spans="1:40" x14ac:dyDescent="0.25">
      <c r="A25" t="str">
        <f>"20190312154501921"</f>
        <v>20190312154501921</v>
      </c>
      <c r="B25" t="str">
        <f>"1552376701916267"</f>
        <v>1552376701916267</v>
      </c>
      <c r="C25" t="s">
        <v>40</v>
      </c>
      <c r="D25">
        <v>4.6859250000000001</v>
      </c>
      <c r="E25">
        <v>0.51069010000000004</v>
      </c>
      <c r="F25" t="s">
        <v>41</v>
      </c>
      <c r="G25">
        <v>-474.74810000000002</v>
      </c>
      <c r="H25">
        <v>0.93556760000000005</v>
      </c>
      <c r="I25">
        <v>367.10180000000003</v>
      </c>
      <c r="J25">
        <v>-475.36020000000002</v>
      </c>
      <c r="K25">
        <v>1.1081639999999999</v>
      </c>
      <c r="L25">
        <v>367.21129999999999</v>
      </c>
      <c r="M25">
        <v>0.99999139999999997</v>
      </c>
      <c r="N25">
        <v>0</v>
      </c>
      <c r="O25">
        <v>-2.9289569999999998E-3</v>
      </c>
      <c r="P25">
        <v>0.99814590000000003</v>
      </c>
      <c r="Q25">
        <v>3.9684230000000001E-2</v>
      </c>
      <c r="R25">
        <v>-4.6152760000000001E-2</v>
      </c>
      <c r="S25">
        <v>3.012543</v>
      </c>
      <c r="T25">
        <v>-0.74832509999999997</v>
      </c>
      <c r="U25">
        <v>-0.474823</v>
      </c>
      <c r="V25">
        <v>4.3233889999999997E-2</v>
      </c>
      <c r="W25">
        <v>3.6710899999999998E-2</v>
      </c>
      <c r="X25">
        <v>0.99839029999999995</v>
      </c>
      <c r="Y25">
        <v>0.14848220000000001</v>
      </c>
      <c r="Z25">
        <v>-1.7346670000000002E-2</v>
      </c>
      <c r="AA25">
        <v>0.9887629</v>
      </c>
      <c r="AB25">
        <v>8</v>
      </c>
      <c r="AC25">
        <v>0.61209999999999798</v>
      </c>
      <c r="AD25">
        <v>-0.17259639999999901</v>
      </c>
      <c r="AE25">
        <v>-0.109499999999968</v>
      </c>
      <c r="AF25">
        <v>0.100002156929305</v>
      </c>
      <c r="AG25">
        <v>-0.17259639999999901</v>
      </c>
      <c r="AH25">
        <v>0.56861017982442497</v>
      </c>
      <c r="AI25">
        <v>106.644173142228</v>
      </c>
      <c r="AJ25">
        <v>80.025328618702602</v>
      </c>
      <c r="AK25">
        <v>0.60258400682679703</v>
      </c>
      <c r="AL25">
        <v>87.896147683648195</v>
      </c>
      <c r="AM25">
        <v>87.520435842822394</v>
      </c>
      <c r="AN25">
        <v>1.00000002527871</v>
      </c>
    </row>
    <row r="26" spans="1:40" x14ac:dyDescent="0.25">
      <c r="A26" t="str">
        <f>"20190312154501942"</f>
        <v>20190312154501942</v>
      </c>
      <c r="B26" t="str">
        <f>"1552376701935786"</f>
        <v>1552376701935786</v>
      </c>
      <c r="C26" t="s">
        <v>40</v>
      </c>
      <c r="D26">
        <v>4.7450609999999998</v>
      </c>
      <c r="E26">
        <v>0.48718210000000001</v>
      </c>
      <c r="F26" t="s">
        <v>41</v>
      </c>
      <c r="G26">
        <v>-474.649</v>
      </c>
      <c r="H26">
        <v>0.9887532</v>
      </c>
      <c r="I26">
        <v>367.16120000000001</v>
      </c>
      <c r="J26">
        <v>-475.2774</v>
      </c>
      <c r="K26">
        <v>1.1081449999999999</v>
      </c>
      <c r="L26">
        <v>367.21080000000001</v>
      </c>
      <c r="M26">
        <v>0.99999070000000001</v>
      </c>
      <c r="N26">
        <v>0</v>
      </c>
      <c r="O26">
        <v>-3.0819739999999999E-3</v>
      </c>
      <c r="P26">
        <v>0.99808980000000003</v>
      </c>
      <c r="Q26">
        <v>4.0587520000000002E-2</v>
      </c>
      <c r="R26">
        <v>-4.6574600000000001E-2</v>
      </c>
      <c r="S26">
        <v>3.0159609999999999</v>
      </c>
      <c r="T26">
        <v>-0.50651619999999997</v>
      </c>
      <c r="U26">
        <v>-0.21139530000000001</v>
      </c>
      <c r="V26">
        <v>4.3503550000000002E-2</v>
      </c>
      <c r="W26">
        <v>3.7560980000000001E-2</v>
      </c>
      <c r="X26">
        <v>0.99834690000000004</v>
      </c>
      <c r="Y26">
        <v>6.5969449999999999E-2</v>
      </c>
      <c r="Z26">
        <v>-4.9811309999999998E-3</v>
      </c>
      <c r="AA26">
        <v>0.99780919999999895</v>
      </c>
      <c r="AB26">
        <v>8</v>
      </c>
      <c r="AC26">
        <v>0.62839999999999896</v>
      </c>
      <c r="AD26">
        <v>-0.11939180000000001</v>
      </c>
      <c r="AE26">
        <v>-4.9599999999998E-2</v>
      </c>
      <c r="AF26">
        <v>4.60123961184929E-2</v>
      </c>
      <c r="AG26">
        <v>-0.11939180000000001</v>
      </c>
      <c r="AH26">
        <v>0.60678219937960698</v>
      </c>
      <c r="AI26">
        <v>101.100370478819</v>
      </c>
      <c r="AJ26">
        <v>85.663550544776598</v>
      </c>
      <c r="AK26">
        <v>0.62012593881223699</v>
      </c>
      <c r="AL26">
        <v>87.847407925841694</v>
      </c>
      <c r="AM26">
        <v>87.504881372336698</v>
      </c>
      <c r="AN26">
        <v>0.999999959410385</v>
      </c>
    </row>
    <row r="27" spans="1:40" x14ac:dyDescent="0.25">
      <c r="A27" t="str">
        <f>"20190312154501967"</f>
        <v>20190312154501967</v>
      </c>
      <c r="B27" t="str">
        <f>"1552376701956283"</f>
        <v>1552376701956283</v>
      </c>
      <c r="C27" t="s">
        <v>40</v>
      </c>
      <c r="D27">
        <v>4.7526859999999997</v>
      </c>
      <c r="E27">
        <v>0.48421769999999997</v>
      </c>
      <c r="F27" t="s">
        <v>42</v>
      </c>
      <c r="G27">
        <v>-449.81200000000001</v>
      </c>
      <c r="H27" s="1">
        <v>-7.6987910000000003E-7</v>
      </c>
      <c r="I27">
        <v>366.9348</v>
      </c>
      <c r="J27">
        <v>-475.18119999999999</v>
      </c>
      <c r="K27">
        <v>1.108114</v>
      </c>
      <c r="L27">
        <v>367.21039999999999</v>
      </c>
      <c r="M27">
        <v>0.99998989999999999</v>
      </c>
      <c r="N27">
        <v>0</v>
      </c>
      <c r="O27">
        <v>-3.2554939999999998E-3</v>
      </c>
      <c r="P27">
        <v>0.99808129999999995</v>
      </c>
      <c r="Q27">
        <v>4.0483659999999998E-2</v>
      </c>
      <c r="R27">
        <v>-4.6845419999999999E-2</v>
      </c>
      <c r="S27">
        <v>3.0095209999999999</v>
      </c>
      <c r="T27">
        <v>-0.13096189999999999</v>
      </c>
      <c r="U27">
        <v>-3.2623289999999999E-2</v>
      </c>
      <c r="V27">
        <v>4.3601279999999999E-2</v>
      </c>
      <c r="W27">
        <v>3.7405649999999999E-2</v>
      </c>
      <c r="X27">
        <v>0.99834849999999997</v>
      </c>
      <c r="Y27">
        <v>7.5799200000000004E-3</v>
      </c>
      <c r="Z27" s="1">
        <v>-2.3246150000000001E-5</v>
      </c>
      <c r="AA27">
        <v>0.99997130000000001</v>
      </c>
      <c r="AB27">
        <v>8</v>
      </c>
      <c r="AC27">
        <v>25.369199999999999</v>
      </c>
      <c r="AD27">
        <v>-1.1081147698791001</v>
      </c>
      <c r="AE27">
        <v>-0.27559999999999701</v>
      </c>
      <c r="AF27">
        <v>0.19264136728304199</v>
      </c>
      <c r="AG27">
        <v>-1.1081147698791001</v>
      </c>
      <c r="AH27">
        <v>25.321657256136799</v>
      </c>
      <c r="AI27">
        <v>92.505680498107395</v>
      </c>
      <c r="AJ27">
        <v>89.564115245044405</v>
      </c>
      <c r="AK27">
        <v>25.346624138864701</v>
      </c>
      <c r="AL27">
        <v>87.856314005763707</v>
      </c>
      <c r="AM27">
        <v>87.499287240407199</v>
      </c>
      <c r="AN27">
        <v>0.99999999086090496</v>
      </c>
    </row>
    <row r="28" spans="1:40" x14ac:dyDescent="0.25">
      <c r="A28" t="str">
        <f>"20190312154501989"</f>
        <v>20190312154501989</v>
      </c>
      <c r="B28" t="str">
        <f>"1552376701975802"</f>
        <v>1552376701975802</v>
      </c>
      <c r="C28" t="s">
        <v>40</v>
      </c>
      <c r="D28">
        <v>4.7718319999999999</v>
      </c>
      <c r="E28">
        <v>0.48380069999999997</v>
      </c>
      <c r="F28" t="s">
        <v>42</v>
      </c>
      <c r="G28">
        <v>-442.12329999999997</v>
      </c>
      <c r="H28" s="1">
        <v>-4.1503790000000002E-6</v>
      </c>
      <c r="I28">
        <v>367.09910000000002</v>
      </c>
      <c r="J28">
        <v>-475.08949999999999</v>
      </c>
      <c r="K28">
        <v>1.1080970000000001</v>
      </c>
      <c r="L28">
        <v>367.20979999999997</v>
      </c>
      <c r="M28">
        <v>0.99998929999999997</v>
      </c>
      <c r="N28">
        <v>0</v>
      </c>
      <c r="O28">
        <v>-3.4166029999999998E-3</v>
      </c>
      <c r="P28">
        <v>0.99806430000000002</v>
      </c>
      <c r="Q28">
        <v>4.0216450000000001E-2</v>
      </c>
      <c r="R28">
        <v>-4.7440070000000001E-2</v>
      </c>
      <c r="S28">
        <v>3.009369</v>
      </c>
      <c r="T28">
        <v>-0.10087550000000001</v>
      </c>
      <c r="U28">
        <v>-1.013184E-2</v>
      </c>
      <c r="V28">
        <v>4.4034799999999999E-2</v>
      </c>
      <c r="W28">
        <v>3.7097829999999998E-2</v>
      </c>
      <c r="X28">
        <v>0.99834100000000003</v>
      </c>
      <c r="Y28" s="1">
        <v>-4.7928869999999999E-5</v>
      </c>
      <c r="Z28">
        <v>1.15297E-4</v>
      </c>
      <c r="AA28">
        <v>1</v>
      </c>
      <c r="AB28">
        <v>9</v>
      </c>
      <c r="AC28">
        <v>32.966200000000001</v>
      </c>
      <c r="AD28">
        <v>-1.1081011503789999</v>
      </c>
      <c r="AE28">
        <v>-0.110699999999951</v>
      </c>
      <c r="AF28">
        <v>-1.9314295102625899E-3</v>
      </c>
      <c r="AG28">
        <v>-1.1081011503789999</v>
      </c>
      <c r="AH28">
        <v>32.929181170557897</v>
      </c>
      <c r="AI28">
        <v>91.927335210843694</v>
      </c>
      <c r="AJ28">
        <v>90.003360628940698</v>
      </c>
      <c r="AK28">
        <v>32.947820329322496</v>
      </c>
      <c r="AL28">
        <v>87.873963131253205</v>
      </c>
      <c r="AM28">
        <v>87.474436172770197</v>
      </c>
      <c r="AN28">
        <v>1.00000003244137</v>
      </c>
    </row>
    <row r="29" spans="1:40" x14ac:dyDescent="0.25">
      <c r="A29" t="str">
        <f>"20190312154502012"</f>
        <v>20190312154502012</v>
      </c>
      <c r="B29" t="str">
        <f>"1552376702006060"</f>
        <v>1552376702006060</v>
      </c>
      <c r="C29" t="s">
        <v>40</v>
      </c>
      <c r="D29">
        <v>4.7720029999999998</v>
      </c>
      <c r="E29">
        <v>0.48428349999999998</v>
      </c>
      <c r="F29" t="s">
        <v>43</v>
      </c>
      <c r="G29">
        <v>-437.34089999999998</v>
      </c>
      <c r="H29">
        <v>-0.05</v>
      </c>
      <c r="I29">
        <v>367.09809999999999</v>
      </c>
      <c r="J29">
        <v>-474.99079999999998</v>
      </c>
      <c r="K29">
        <v>1.10808</v>
      </c>
      <c r="L29">
        <v>367.20940000000002</v>
      </c>
      <c r="M29">
        <v>0.99998869999999895</v>
      </c>
      <c r="N29">
        <v>0</v>
      </c>
      <c r="O29">
        <v>-3.5848579999999998E-3</v>
      </c>
      <c r="P29">
        <v>0.99806569999999994</v>
      </c>
      <c r="Q29">
        <v>3.8994899999999999E-2</v>
      </c>
      <c r="R29">
        <v>-4.8423000000000001E-2</v>
      </c>
      <c r="S29">
        <v>3.0091549999999998</v>
      </c>
      <c r="T29">
        <v>-9.2318300000000006E-2</v>
      </c>
      <c r="U29">
        <v>-8.9111329999999999E-3</v>
      </c>
      <c r="V29">
        <v>4.4849689999999998E-2</v>
      </c>
      <c r="W29">
        <v>3.583981E-2</v>
      </c>
      <c r="X29">
        <v>0.99835059999999998</v>
      </c>
      <c r="Y29">
        <v>-6.2157279999999998E-4</v>
      </c>
      <c r="Z29">
        <v>1.194869E-4</v>
      </c>
      <c r="AA29">
        <v>0.99999979999999999</v>
      </c>
      <c r="AB29">
        <v>9</v>
      </c>
      <c r="AC29">
        <v>37.649900000000002</v>
      </c>
      <c r="AD29">
        <v>-1.15808</v>
      </c>
      <c r="AE29">
        <v>-0.111300000000028</v>
      </c>
      <c r="AF29">
        <v>-2.36485439522954E-2</v>
      </c>
      <c r="AG29">
        <v>-1.15808</v>
      </c>
      <c r="AH29">
        <v>37.614469313508103</v>
      </c>
      <c r="AI29">
        <v>91.763473758080707</v>
      </c>
      <c r="AJ29">
        <v>90.036022350076905</v>
      </c>
      <c r="AK29">
        <v>37.632300092830803</v>
      </c>
      <c r="AL29">
        <v>87.946090187875896</v>
      </c>
      <c r="AM29">
        <v>87.427786026363904</v>
      </c>
      <c r="AN29">
        <v>0.999999953597145</v>
      </c>
    </row>
    <row r="30" spans="1:40" x14ac:dyDescent="0.25">
      <c r="A30" t="str">
        <f>"20190312154502034"</f>
        <v>20190312154502034</v>
      </c>
      <c r="B30" t="str">
        <f>"1552376702025579"</f>
        <v>1552376702025579</v>
      </c>
      <c r="C30" t="s">
        <v>40</v>
      </c>
      <c r="D30">
        <v>4.7243440000000003</v>
      </c>
      <c r="E30">
        <v>0.48437819999999998</v>
      </c>
      <c r="F30" t="s">
        <v>42</v>
      </c>
      <c r="G30">
        <v>-442.7801</v>
      </c>
      <c r="H30" s="1">
        <v>-3.8504550000000001E-6</v>
      </c>
      <c r="I30">
        <v>367.03949999999998</v>
      </c>
      <c r="J30">
        <v>-474.89690000000002</v>
      </c>
      <c r="K30">
        <v>1.10806</v>
      </c>
      <c r="L30">
        <v>367.20890000000003</v>
      </c>
      <c r="M30">
        <v>0.99998810000000005</v>
      </c>
      <c r="N30">
        <v>0</v>
      </c>
      <c r="O30">
        <v>-3.7396349999999998E-3</v>
      </c>
      <c r="P30">
        <v>0.99806419999999996</v>
      </c>
      <c r="Q30">
        <v>3.8336179999999997E-2</v>
      </c>
      <c r="R30">
        <v>-4.8971090000000002E-2</v>
      </c>
      <c r="S30">
        <v>3.0090940000000002</v>
      </c>
      <c r="T30">
        <v>-0.1035162</v>
      </c>
      <c r="U30">
        <v>-1.586914E-2</v>
      </c>
      <c r="V30">
        <v>4.5243489999999997E-2</v>
      </c>
      <c r="W30">
        <v>3.5151689999999999E-2</v>
      </c>
      <c r="X30">
        <v>0.99835739999999995</v>
      </c>
      <c r="Y30">
        <v>1.53532E-3</v>
      </c>
      <c r="Z30">
        <v>1.022084E-4</v>
      </c>
      <c r="AA30">
        <v>0.99999879999999997</v>
      </c>
      <c r="AB30">
        <v>9</v>
      </c>
      <c r="AC30">
        <v>32.116799999999998</v>
      </c>
      <c r="AD30">
        <v>-1.108063850455</v>
      </c>
      <c r="AE30">
        <v>-0.16940000000005201</v>
      </c>
      <c r="AF30">
        <v>4.9234513306307702E-2</v>
      </c>
      <c r="AG30">
        <v>-1.108063850455</v>
      </c>
      <c r="AH30">
        <v>32.079025561214202</v>
      </c>
      <c r="AI30">
        <v>91.978304352783596</v>
      </c>
      <c r="AJ30">
        <v>89.912063176654698</v>
      </c>
      <c r="AK30">
        <v>32.098194816703</v>
      </c>
      <c r="AL30">
        <v>87.985541630589097</v>
      </c>
      <c r="AM30">
        <v>87.405249239663803</v>
      </c>
      <c r="AN30">
        <v>1.0000000564159901</v>
      </c>
    </row>
    <row r="31" spans="1:40" x14ac:dyDescent="0.25">
      <c r="A31" t="str">
        <f>"20190312154502054"</f>
        <v>20190312154502054</v>
      </c>
      <c r="B31" t="str">
        <f>"1552376702046075"</f>
        <v>1552376702046075</v>
      </c>
      <c r="C31" t="s">
        <v>40</v>
      </c>
      <c r="D31">
        <v>4.7467550000000003</v>
      </c>
      <c r="E31">
        <v>0.48446460000000002</v>
      </c>
      <c r="F31" t="s">
        <v>42</v>
      </c>
      <c r="G31">
        <v>-443.96409999999997</v>
      </c>
      <c r="H31" s="1">
        <v>-3.2941989999999999E-6</v>
      </c>
      <c r="I31">
        <v>367.02010000000001</v>
      </c>
      <c r="J31">
        <v>-474.80239999999998</v>
      </c>
      <c r="K31">
        <v>1.108055</v>
      </c>
      <c r="L31">
        <v>367.20830000000001</v>
      </c>
      <c r="M31">
        <v>0.99998739999999997</v>
      </c>
      <c r="N31">
        <v>0</v>
      </c>
      <c r="O31">
        <v>-3.8892800000000002E-3</v>
      </c>
      <c r="P31">
        <v>0.99801490000000004</v>
      </c>
      <c r="Q31">
        <v>3.871223E-2</v>
      </c>
      <c r="R31">
        <v>-4.967448E-2</v>
      </c>
      <c r="S31">
        <v>3.0090940000000002</v>
      </c>
      <c r="T31">
        <v>-0.10779080000000001</v>
      </c>
      <c r="U31">
        <v>-1.8371579999999998E-2</v>
      </c>
      <c r="V31">
        <v>4.5797749999999998E-2</v>
      </c>
      <c r="W31">
        <v>3.5503850000000003E-2</v>
      </c>
      <c r="X31">
        <v>0.99831959999999997</v>
      </c>
      <c r="Y31">
        <v>2.2170390000000001E-3</v>
      </c>
      <c r="Z31" s="1">
        <v>9.9578749999999999E-5</v>
      </c>
      <c r="AA31">
        <v>0.99999760000000004</v>
      </c>
      <c r="AB31">
        <v>10</v>
      </c>
      <c r="AC31">
        <v>30.8383</v>
      </c>
      <c r="AD31">
        <v>-1.108058294199</v>
      </c>
      <c r="AE31">
        <v>-0.18819999999999401</v>
      </c>
      <c r="AF31">
        <v>6.8171179669262394E-2</v>
      </c>
      <c r="AG31">
        <v>-1.108058294199</v>
      </c>
      <c r="AH31">
        <v>30.7990369905555</v>
      </c>
      <c r="AI31">
        <v>92.060439039801693</v>
      </c>
      <c r="AJ31">
        <v>89.873180628925695</v>
      </c>
      <c r="AK31">
        <v>30.819038272449099</v>
      </c>
      <c r="AL31">
        <v>87.965351612813606</v>
      </c>
      <c r="AM31">
        <v>87.373406915107594</v>
      </c>
      <c r="AN31">
        <v>0.99999999050702204</v>
      </c>
    </row>
    <row r="32" spans="1:40" x14ac:dyDescent="0.25">
      <c r="A32" t="str">
        <f>"20190312154502078"</f>
        <v>20190312154502078</v>
      </c>
      <c r="B32" t="str">
        <f>"1552376702065594"</f>
        <v>1552376702065594</v>
      </c>
      <c r="C32" t="s">
        <v>40</v>
      </c>
      <c r="D32">
        <v>4.727506</v>
      </c>
      <c r="E32">
        <v>0.4846627</v>
      </c>
      <c r="F32" t="s">
        <v>42</v>
      </c>
      <c r="G32">
        <v>-442.9556</v>
      </c>
      <c r="H32" s="1">
        <v>-3.7768500000000001E-6</v>
      </c>
      <c r="I32">
        <v>366.98669999999998</v>
      </c>
      <c r="J32">
        <v>-474.69600000000003</v>
      </c>
      <c r="K32">
        <v>1.108044</v>
      </c>
      <c r="L32">
        <v>367.20769999999999</v>
      </c>
      <c r="M32">
        <v>0.99998659999999995</v>
      </c>
      <c r="N32">
        <v>0</v>
      </c>
      <c r="O32">
        <v>-4.0497759999999997E-3</v>
      </c>
      <c r="P32">
        <v>0.99797999999999998</v>
      </c>
      <c r="Q32">
        <v>3.860541E-2</v>
      </c>
      <c r="R32">
        <v>-5.0455680000000003E-2</v>
      </c>
      <c r="S32">
        <v>3.0089419999999998</v>
      </c>
      <c r="T32">
        <v>-0.10469150000000001</v>
      </c>
      <c r="U32">
        <v>-2.0935059999999998E-2</v>
      </c>
      <c r="V32">
        <v>4.6418420000000002E-2</v>
      </c>
      <c r="W32">
        <v>3.5374709999999997E-2</v>
      </c>
      <c r="X32">
        <v>0.9982955</v>
      </c>
      <c r="Y32">
        <v>2.9083820000000002E-3</v>
      </c>
      <c r="Z32" s="1">
        <v>9.0280929999999994E-5</v>
      </c>
      <c r="AA32">
        <v>0.99999579999999999</v>
      </c>
      <c r="AB32">
        <v>10</v>
      </c>
      <c r="AC32">
        <v>31.740399999999902</v>
      </c>
      <c r="AD32">
        <v>-1.1080477768500001</v>
      </c>
      <c r="AE32">
        <v>-0.221000000000003</v>
      </c>
      <c r="AF32">
        <v>9.2343476841854594E-2</v>
      </c>
      <c r="AG32">
        <v>-1.1080477768500001</v>
      </c>
      <c r="AH32">
        <v>31.702401287482701</v>
      </c>
      <c r="AI32">
        <v>92.001752440439006</v>
      </c>
      <c r="AJ32">
        <v>89.833108019890503</v>
      </c>
      <c r="AK32">
        <v>31.7218937736397</v>
      </c>
      <c r="AL32">
        <v>87.972755404332801</v>
      </c>
      <c r="AM32">
        <v>87.337796934966207</v>
      </c>
      <c r="AN32">
        <v>0.99999997257156403</v>
      </c>
    </row>
    <row r="33" spans="1:40" x14ac:dyDescent="0.25">
      <c r="A33" t="str">
        <f>"20190312154502099"</f>
        <v>20190312154502099</v>
      </c>
      <c r="B33" t="str">
        <f>"1552376702086091"</f>
        <v>1552376702086091</v>
      </c>
      <c r="C33" t="s">
        <v>40</v>
      </c>
      <c r="D33">
        <v>4.7359640000000001</v>
      </c>
      <c r="E33">
        <v>0.48476849999999999</v>
      </c>
      <c r="F33" t="s">
        <v>42</v>
      </c>
      <c r="G33">
        <v>-443.2097</v>
      </c>
      <c r="H33" s="1">
        <v>-3.6637319999999998E-6</v>
      </c>
      <c r="I33">
        <v>366.94740000000002</v>
      </c>
      <c r="J33">
        <v>-474.59620000000001</v>
      </c>
      <c r="K33">
        <v>1.1080369999999999</v>
      </c>
      <c r="L33">
        <v>367.2072</v>
      </c>
      <c r="M33">
        <v>0.99998589999999998</v>
      </c>
      <c r="N33">
        <v>0</v>
      </c>
      <c r="O33">
        <v>-4.191073E-3</v>
      </c>
      <c r="P33">
        <v>0.99791770000000002</v>
      </c>
      <c r="Q33">
        <v>3.8244130000000001E-2</v>
      </c>
      <c r="R33">
        <v>-5.1938360000000003E-2</v>
      </c>
      <c r="S33">
        <v>3.0089109999999999</v>
      </c>
      <c r="T33">
        <v>-0.1058875</v>
      </c>
      <c r="U33">
        <v>-2.4871830000000001E-2</v>
      </c>
      <c r="V33">
        <v>4.7760169999999998E-2</v>
      </c>
      <c r="W33">
        <v>3.4996340000000001E-2</v>
      </c>
      <c r="X33">
        <v>0.99824559999999996</v>
      </c>
      <c r="Y33">
        <v>4.0748210000000002E-3</v>
      </c>
      <c r="Z33" s="1">
        <v>7.5765319999999999E-5</v>
      </c>
      <c r="AA33">
        <v>0.99999170000000004</v>
      </c>
      <c r="AB33">
        <v>10</v>
      </c>
      <c r="AC33">
        <v>31.386500000000002</v>
      </c>
      <c r="AD33">
        <v>-1.1080406637319999</v>
      </c>
      <c r="AE33">
        <v>-0.25979999999998399</v>
      </c>
      <c r="AF33">
        <v>0.128094272013207</v>
      </c>
      <c r="AG33">
        <v>-1.1080406637319999</v>
      </c>
      <c r="AH33">
        <v>31.348246274305801</v>
      </c>
      <c r="AI33">
        <v>92.024327123556205</v>
      </c>
      <c r="AJ33">
        <v>89.765880992034198</v>
      </c>
      <c r="AK33">
        <v>31.368084205598802</v>
      </c>
      <c r="AL33">
        <v>87.994447951938895</v>
      </c>
      <c r="AM33">
        <v>87.260823325151804</v>
      </c>
      <c r="AN33">
        <v>1.0000000277855901</v>
      </c>
    </row>
    <row r="34" spans="1:40" x14ac:dyDescent="0.25">
      <c r="A34" t="str">
        <f>"20190312154502120"</f>
        <v>20190312154502120</v>
      </c>
      <c r="B34" t="str">
        <f>"1552376702115878"</f>
        <v>1552376702115878</v>
      </c>
      <c r="C34" t="s">
        <v>40</v>
      </c>
      <c r="D34">
        <v>4.713724</v>
      </c>
      <c r="E34">
        <v>0.4846183</v>
      </c>
      <c r="F34" t="s">
        <v>42</v>
      </c>
      <c r="G34">
        <v>-443.90100000000001</v>
      </c>
      <c r="H34" s="1">
        <v>-3.344941E-6</v>
      </c>
      <c r="I34">
        <v>366.90230000000003</v>
      </c>
      <c r="J34">
        <v>-474.49090000000001</v>
      </c>
      <c r="K34">
        <v>1.1080289999999999</v>
      </c>
      <c r="L34">
        <v>367.20650000000001</v>
      </c>
      <c r="M34">
        <v>0.99998529999999997</v>
      </c>
      <c r="N34">
        <v>0</v>
      </c>
      <c r="O34">
        <v>-4.3287949999999999E-3</v>
      </c>
      <c r="P34">
        <v>0.99788980000000005</v>
      </c>
      <c r="Q34">
        <v>3.7963900000000002E-2</v>
      </c>
      <c r="R34">
        <v>-5.2678099999999901E-2</v>
      </c>
      <c r="S34">
        <v>3.0088499999999998</v>
      </c>
      <c r="T34">
        <v>-0.1086138</v>
      </c>
      <c r="U34">
        <v>-2.9876710000000001E-2</v>
      </c>
      <c r="V34">
        <v>4.8361990000000001E-2</v>
      </c>
      <c r="W34">
        <v>3.4702789999999997E-2</v>
      </c>
      <c r="X34">
        <v>0.99822679999999997</v>
      </c>
      <c r="Y34">
        <v>5.5995970000000004E-3</v>
      </c>
      <c r="Z34" s="1">
        <v>5.5174209999999897E-5</v>
      </c>
      <c r="AA34">
        <v>0.99998430000000005</v>
      </c>
      <c r="AB34">
        <v>10</v>
      </c>
      <c r="AC34">
        <v>30.5899</v>
      </c>
      <c r="AD34">
        <v>-1.1080323449409999</v>
      </c>
      <c r="AE34">
        <v>-0.30419999999997999</v>
      </c>
      <c r="AF34">
        <v>0.171553973495083</v>
      </c>
      <c r="AG34">
        <v>-1.1080323449409999</v>
      </c>
      <c r="AH34">
        <v>30.550850088773</v>
      </c>
      <c r="AI34">
        <v>92.077086653009005</v>
      </c>
      <c r="AJ34">
        <v>89.678267043311394</v>
      </c>
      <c r="AK34">
        <v>30.571418148164799</v>
      </c>
      <c r="AL34">
        <v>88.011277205439399</v>
      </c>
      <c r="AM34">
        <v>87.226308707365703</v>
      </c>
      <c r="AN34">
        <v>0.99999995497439098</v>
      </c>
    </row>
    <row r="35" spans="1:40" x14ac:dyDescent="0.25">
      <c r="A35" t="str">
        <f>"20190312154502146"</f>
        <v>20190312154502146</v>
      </c>
      <c r="B35" t="str">
        <f>"1552376702136375"</f>
        <v>1552376702136375</v>
      </c>
      <c r="C35" t="s">
        <v>40</v>
      </c>
      <c r="D35">
        <v>4.7051619999999996</v>
      </c>
      <c r="E35">
        <v>0.48442780000000002</v>
      </c>
      <c r="F35" t="s">
        <v>42</v>
      </c>
      <c r="G35">
        <v>-444.1644</v>
      </c>
      <c r="H35" s="1">
        <v>-3.2211649999999998E-6</v>
      </c>
      <c r="I35">
        <v>366.89800000000002</v>
      </c>
      <c r="J35">
        <v>-474.3716</v>
      </c>
      <c r="K35">
        <v>1.108026</v>
      </c>
      <c r="L35">
        <v>367.20589999999999</v>
      </c>
      <c r="M35">
        <v>0.99998480000000001</v>
      </c>
      <c r="N35">
        <v>0</v>
      </c>
      <c r="O35">
        <v>-4.4689029999999998E-3</v>
      </c>
      <c r="P35">
        <v>0.99784019999999995</v>
      </c>
      <c r="Q35">
        <v>3.8260049999999997E-2</v>
      </c>
      <c r="R35">
        <v>-5.3398590000000003E-2</v>
      </c>
      <c r="S35">
        <v>3.0088810000000001</v>
      </c>
      <c r="T35">
        <v>-0.1099348</v>
      </c>
      <c r="U35">
        <v>-3.0609129999999998E-2</v>
      </c>
      <c r="V35">
        <v>4.8942649999999997E-2</v>
      </c>
      <c r="W35">
        <v>3.4986330000000003E-2</v>
      </c>
      <c r="X35">
        <v>0.99818870000000004</v>
      </c>
      <c r="Y35">
        <v>5.7027850000000001E-3</v>
      </c>
      <c r="Z35" s="1">
        <v>5.907695E-5</v>
      </c>
      <c r="AA35">
        <v>0.99998370000000003</v>
      </c>
      <c r="AB35">
        <v>11</v>
      </c>
      <c r="AC35">
        <v>30.2072</v>
      </c>
      <c r="AD35">
        <v>-1.108029221165</v>
      </c>
      <c r="AE35">
        <v>-0.30789999999996098</v>
      </c>
      <c r="AF35">
        <v>0.172670871459737</v>
      </c>
      <c r="AG35">
        <v>-1.108029221165</v>
      </c>
      <c r="AH35">
        <v>30.167688141843499</v>
      </c>
      <c r="AI35">
        <v>92.103437113185507</v>
      </c>
      <c r="AJ35">
        <v>89.672059585819497</v>
      </c>
      <c r="AK35">
        <v>30.1885235115653</v>
      </c>
      <c r="AL35">
        <v>87.995021885773895</v>
      </c>
      <c r="AM35">
        <v>87.192952258760698</v>
      </c>
      <c r="AN35">
        <v>1.0000000535417799</v>
      </c>
    </row>
    <row r="36" spans="1:40" x14ac:dyDescent="0.25">
      <c r="A36" t="str">
        <f>"20190312154502166"</f>
        <v>20190312154502166</v>
      </c>
      <c r="B36" t="str">
        <f>"1552376702155894"</f>
        <v>1552376702155894</v>
      </c>
      <c r="C36" t="s">
        <v>40</v>
      </c>
      <c r="D36">
        <v>4.7077640000000001</v>
      </c>
      <c r="E36">
        <v>0.48442259999999998</v>
      </c>
      <c r="F36" t="s">
        <v>42</v>
      </c>
      <c r="G36">
        <v>-444.56290000000001</v>
      </c>
      <c r="H36" s="1">
        <v>-3.033538E-6</v>
      </c>
      <c r="I36">
        <v>366.89389999999997</v>
      </c>
      <c r="J36">
        <v>-474.26119999999997</v>
      </c>
      <c r="K36">
        <v>1.108031</v>
      </c>
      <c r="L36">
        <v>367.20519999999999</v>
      </c>
      <c r="M36">
        <v>0.99998410000000004</v>
      </c>
      <c r="N36">
        <v>0</v>
      </c>
      <c r="O36">
        <v>-4.5834990000000004E-3</v>
      </c>
      <c r="P36">
        <v>0.9977973</v>
      </c>
      <c r="Q36">
        <v>3.8579530000000001E-2</v>
      </c>
      <c r="R36">
        <v>-5.3964600000000001E-2</v>
      </c>
      <c r="S36">
        <v>3.009064</v>
      </c>
      <c r="T36">
        <v>-0.1118507</v>
      </c>
      <c r="U36">
        <v>-3.1494139999999997E-2</v>
      </c>
      <c r="V36">
        <v>4.9394029999999998E-2</v>
      </c>
      <c r="W36">
        <v>3.5297040000000002E-2</v>
      </c>
      <c r="X36">
        <v>0.99815549999999997</v>
      </c>
      <c r="Y36">
        <v>5.8815719999999998E-3</v>
      </c>
      <c r="Z36" s="1">
        <v>6.1038459999999999E-5</v>
      </c>
      <c r="AA36">
        <v>0.9999827</v>
      </c>
      <c r="AB36">
        <v>11</v>
      </c>
      <c r="AC36">
        <v>29.6982999999999</v>
      </c>
      <c r="AD36">
        <v>-1.1080340335379999</v>
      </c>
      <c r="AE36">
        <v>-0.31130000000001601</v>
      </c>
      <c r="AF36">
        <v>0.17493038868514099</v>
      </c>
      <c r="AG36">
        <v>-1.1080340335379999</v>
      </c>
      <c r="AH36">
        <v>29.658134940080799</v>
      </c>
      <c r="AI36">
        <v>92.139549851422004</v>
      </c>
      <c r="AJ36">
        <v>89.662060450690504</v>
      </c>
      <c r="AK36">
        <v>29.679341437848802</v>
      </c>
      <c r="AL36">
        <v>87.977208458094694</v>
      </c>
      <c r="AM36">
        <v>87.167011799978894</v>
      </c>
      <c r="AN36">
        <v>1.00000002670632</v>
      </c>
    </row>
    <row r="37" spans="1:40" x14ac:dyDescent="0.25">
      <c r="A37" t="str">
        <f>"20190312154502213"</f>
        <v>20190312154502213</v>
      </c>
      <c r="B37" t="str">
        <f>"1552376702205670"</f>
        <v>1552376702205670</v>
      </c>
      <c r="C37" t="s">
        <v>40</v>
      </c>
      <c r="D37">
        <v>4.6124710000000002</v>
      </c>
      <c r="E37">
        <v>0.48419030000000002</v>
      </c>
      <c r="F37" t="s">
        <v>42</v>
      </c>
      <c r="G37">
        <v>-443.67239999999998</v>
      </c>
      <c r="H37" s="1">
        <v>-3.4590339999999999E-6</v>
      </c>
      <c r="I37">
        <v>366.86829999999998</v>
      </c>
      <c r="J37">
        <v>-474.01769999999999</v>
      </c>
      <c r="K37">
        <v>1.1080219999999901</v>
      </c>
      <c r="L37">
        <v>367.20389999999998</v>
      </c>
      <c r="M37">
        <v>0.99998330000000002</v>
      </c>
      <c r="N37">
        <v>0</v>
      </c>
      <c r="O37">
        <v>-4.7882439999999997E-3</v>
      </c>
      <c r="P37">
        <v>0.99779240000000002</v>
      </c>
      <c r="Q37">
        <v>3.8243249999999999E-2</v>
      </c>
      <c r="R37">
        <v>-5.4298150000000003E-2</v>
      </c>
      <c r="S37">
        <v>3.0090330000000001</v>
      </c>
      <c r="T37">
        <v>-0.10899780000000001</v>
      </c>
      <c r="U37">
        <v>-3.3142089999999999E-2</v>
      </c>
      <c r="V37">
        <v>4.9522330000000003E-2</v>
      </c>
      <c r="W37">
        <v>3.494916E-2</v>
      </c>
      <c r="X37">
        <v>0.99816139999999998</v>
      </c>
      <c r="Y37">
        <v>6.2244839999999997E-3</v>
      </c>
      <c r="Z37" s="1">
        <v>6.0688279999999998E-5</v>
      </c>
      <c r="AA37">
        <v>0.9999806</v>
      </c>
      <c r="AB37">
        <v>11</v>
      </c>
      <c r="AC37">
        <v>30.345300000000002</v>
      </c>
      <c r="AD37">
        <v>-1.10802545903399</v>
      </c>
      <c r="AE37">
        <v>-0.33559999999999901</v>
      </c>
      <c r="AF37">
        <v>0.19004134668927999</v>
      </c>
      <c r="AG37">
        <v>-1.10802545903399</v>
      </c>
      <c r="AH37">
        <v>30.306157859728899</v>
      </c>
      <c r="AI37">
        <v>92.093821056181795</v>
      </c>
      <c r="AJ37">
        <v>89.640719076553793</v>
      </c>
      <c r="AK37">
        <v>30.327001835824898</v>
      </c>
      <c r="AL37">
        <v>87.997152851288007</v>
      </c>
      <c r="AM37">
        <v>87.159681965833499</v>
      </c>
      <c r="AN37">
        <v>1.00000004270164</v>
      </c>
    </row>
    <row r="38" spans="1:40" x14ac:dyDescent="0.25">
      <c r="A38" t="str">
        <f>"20190312154502233"</f>
        <v>20190312154502233</v>
      </c>
      <c r="B38" t="str">
        <f>"1552376702225697"</f>
        <v>1552376702225697</v>
      </c>
      <c r="C38" t="s">
        <v>40</v>
      </c>
      <c r="D38">
        <v>4.557512</v>
      </c>
      <c r="E38">
        <v>0.4841628</v>
      </c>
      <c r="F38" t="s">
        <v>42</v>
      </c>
      <c r="G38">
        <v>-443.05509999999998</v>
      </c>
      <c r="H38" s="1">
        <v>-3.7502300000000001E-6</v>
      </c>
      <c r="I38">
        <v>366.8716</v>
      </c>
      <c r="J38">
        <v>-473.90429999999998</v>
      </c>
      <c r="K38">
        <v>1.1080219999999901</v>
      </c>
      <c r="L38">
        <v>367.20319999999998</v>
      </c>
      <c r="M38">
        <v>0.99998279999999995</v>
      </c>
      <c r="N38">
        <v>0</v>
      </c>
      <c r="O38">
        <v>-4.8634899999999998E-3</v>
      </c>
      <c r="P38">
        <v>0.99781759999999997</v>
      </c>
      <c r="Q38">
        <v>3.7687940000000003E-2</v>
      </c>
      <c r="R38">
        <v>-5.4221279999999997E-2</v>
      </c>
      <c r="S38">
        <v>3.0090029999999999</v>
      </c>
      <c r="T38">
        <v>-0.1076801</v>
      </c>
      <c r="U38">
        <v>-3.22876E-2</v>
      </c>
      <c r="V38">
        <v>4.9369730000000001E-2</v>
      </c>
      <c r="W38">
        <v>3.4390169999999998E-2</v>
      </c>
      <c r="X38">
        <v>0.99818830000000003</v>
      </c>
      <c r="Y38">
        <v>5.8657090000000002E-3</v>
      </c>
      <c r="Z38" s="1">
        <v>6.9064869999999995E-5</v>
      </c>
      <c r="AA38">
        <v>0.99998279999999995</v>
      </c>
      <c r="AB38">
        <v>12</v>
      </c>
      <c r="AC38">
        <v>30.8492</v>
      </c>
      <c r="AD38">
        <v>-1.1080257502299999</v>
      </c>
      <c r="AE38">
        <v>-0.33159999999998002</v>
      </c>
      <c r="AF38">
        <v>0.181326600076576</v>
      </c>
      <c r="AG38">
        <v>-1.1080257502299999</v>
      </c>
      <c r="AH38">
        <v>30.810704642283699</v>
      </c>
      <c r="AI38">
        <v>92.059568412193002</v>
      </c>
      <c r="AJ38">
        <v>89.662807810603098</v>
      </c>
      <c r="AK38">
        <v>30.831155037609498</v>
      </c>
      <c r="AL38">
        <v>88.029199736961402</v>
      </c>
      <c r="AM38">
        <v>87.168496148051204</v>
      </c>
      <c r="AN38">
        <v>0.999999968144895</v>
      </c>
    </row>
    <row r="39" spans="1:40" x14ac:dyDescent="0.25">
      <c r="A39" t="str">
        <f>"20190312154502255"</f>
        <v>20190312154502255</v>
      </c>
      <c r="B39" t="str">
        <f>"1552376702246193"</f>
        <v>1552376702246193</v>
      </c>
      <c r="C39" t="s">
        <v>40</v>
      </c>
      <c r="D39">
        <v>4.5304549999999999</v>
      </c>
      <c r="E39">
        <v>0.48414590000000002</v>
      </c>
      <c r="F39" t="s">
        <v>42</v>
      </c>
      <c r="G39">
        <v>-443.399</v>
      </c>
      <c r="H39" s="1">
        <v>-3.5865829999999998E-6</v>
      </c>
      <c r="I39">
        <v>366.87779999999998</v>
      </c>
      <c r="J39">
        <v>-473.77679999999998</v>
      </c>
      <c r="K39">
        <v>1.1080110000000001</v>
      </c>
      <c r="L39">
        <v>367.20249999999999</v>
      </c>
      <c r="M39">
        <v>0.99998240000000005</v>
      </c>
      <c r="N39">
        <v>0</v>
      </c>
      <c r="O39">
        <v>-4.9323020000000004E-3</v>
      </c>
      <c r="P39">
        <v>0.99787340000000002</v>
      </c>
      <c r="Q39">
        <v>3.6463290000000002E-2</v>
      </c>
      <c r="R39">
        <v>-5.4033600000000001E-2</v>
      </c>
      <c r="S39">
        <v>3.0089419999999998</v>
      </c>
      <c r="T39">
        <v>-0.1092921</v>
      </c>
      <c r="U39">
        <v>-3.2104489999999999E-2</v>
      </c>
      <c r="V39">
        <v>4.9112580000000003E-2</v>
      </c>
      <c r="W39">
        <v>3.316301E-2</v>
      </c>
      <c r="X39">
        <v>0.99824259999999998</v>
      </c>
      <c r="Y39">
        <v>5.7363800000000001E-3</v>
      </c>
      <c r="Z39" s="1">
        <v>7.494604E-5</v>
      </c>
      <c r="AA39">
        <v>0.99998350000000003</v>
      </c>
      <c r="AB39">
        <v>12</v>
      </c>
      <c r="AC39">
        <v>30.377799999999901</v>
      </c>
      <c r="AD39">
        <v>-1.108014586583</v>
      </c>
      <c r="AE39">
        <v>-0.32470000000000698</v>
      </c>
      <c r="AF39">
        <v>0.17463045243039099</v>
      </c>
      <c r="AG39">
        <v>-1.108014586583</v>
      </c>
      <c r="AH39">
        <v>30.3386744138433</v>
      </c>
      <c r="AI39">
        <v>92.091564885239904</v>
      </c>
      <c r="AJ39">
        <v>89.670207166504596</v>
      </c>
      <c r="AK39">
        <v>30.359403111856299</v>
      </c>
      <c r="AL39">
        <v>88.099551148133003</v>
      </c>
      <c r="AM39">
        <v>87.183373640517303</v>
      </c>
      <c r="AN39">
        <v>1.00000005960063</v>
      </c>
    </row>
    <row r="40" spans="1:40" x14ac:dyDescent="0.25">
      <c r="A40" t="str">
        <f>"20190312154502277"</f>
        <v>20190312154502277</v>
      </c>
      <c r="B40" t="str">
        <f>"1552376702265713"</f>
        <v>1552376702265713</v>
      </c>
      <c r="C40" t="s">
        <v>40</v>
      </c>
      <c r="D40">
        <v>4.5079370000000001</v>
      </c>
      <c r="E40">
        <v>0.48412450000000001</v>
      </c>
      <c r="F40" t="s">
        <v>42</v>
      </c>
      <c r="G40">
        <v>-444.2713</v>
      </c>
      <c r="H40" s="1">
        <v>-3.171282E-6</v>
      </c>
      <c r="I40">
        <v>366.89460000000003</v>
      </c>
      <c r="J40">
        <v>-473.65269999999998</v>
      </c>
      <c r="K40">
        <v>1.108009</v>
      </c>
      <c r="L40">
        <v>367.20179999999999</v>
      </c>
      <c r="M40">
        <v>0.99998220000000004</v>
      </c>
      <c r="N40">
        <v>0</v>
      </c>
      <c r="O40">
        <v>-4.9819240000000004E-3</v>
      </c>
      <c r="P40">
        <v>0.99790760000000001</v>
      </c>
      <c r="Q40">
        <v>3.5547960000000003E-2</v>
      </c>
      <c r="R40">
        <v>-5.400742E-2</v>
      </c>
      <c r="S40">
        <v>3.0087890000000002</v>
      </c>
      <c r="T40">
        <v>-0.11298850000000001</v>
      </c>
      <c r="U40">
        <v>-3.1402590000000001E-2</v>
      </c>
      <c r="V40">
        <v>4.9036200000000002E-2</v>
      </c>
      <c r="W40">
        <v>3.2246539999999997E-2</v>
      </c>
      <c r="X40">
        <v>0.99827630000000001</v>
      </c>
      <c r="Y40">
        <v>5.4542419999999998E-3</v>
      </c>
      <c r="Z40" s="1">
        <v>8.4641239999999995E-5</v>
      </c>
      <c r="AA40">
        <v>0.99998509999999996</v>
      </c>
      <c r="AB40">
        <v>12</v>
      </c>
      <c r="AC40">
        <v>29.3813999999999</v>
      </c>
      <c r="AD40">
        <v>-1.1080121712819999</v>
      </c>
      <c r="AE40">
        <v>-0.307199999999966</v>
      </c>
      <c r="AF40">
        <v>0.16059113782409601</v>
      </c>
      <c r="AG40">
        <v>-1.1080121712819999</v>
      </c>
      <c r="AH40">
        <v>29.3408434392156</v>
      </c>
      <c r="AI40">
        <v>92.162627652880801</v>
      </c>
      <c r="AJ40">
        <v>89.686406337798203</v>
      </c>
      <c r="AK40">
        <v>29.362196345127401</v>
      </c>
      <c r="AL40">
        <v>88.152088967072501</v>
      </c>
      <c r="AM40">
        <v>87.187841811164404</v>
      </c>
      <c r="AN40">
        <v>0.99999997969705001</v>
      </c>
    </row>
    <row r="41" spans="1:40" x14ac:dyDescent="0.25">
      <c r="A41" t="str">
        <f>"20190312154502300"</f>
        <v>20190312154502300</v>
      </c>
      <c r="B41" t="str">
        <f>"1552376702295970"</f>
        <v>1552376702295970</v>
      </c>
      <c r="C41" t="s">
        <v>40</v>
      </c>
      <c r="D41">
        <v>4.4456819999999997</v>
      </c>
      <c r="E41">
        <v>0.48406480000000002</v>
      </c>
      <c r="F41" t="s">
        <v>42</v>
      </c>
      <c r="G41">
        <v>-444.6259</v>
      </c>
      <c r="H41" s="1">
        <v>-3.0016019999999998E-6</v>
      </c>
      <c r="I41">
        <v>366.90589999999997</v>
      </c>
      <c r="J41">
        <v>-473.52</v>
      </c>
      <c r="K41">
        <v>1.1080139999999901</v>
      </c>
      <c r="L41">
        <v>367.2011</v>
      </c>
      <c r="M41">
        <v>0.99998209999999998</v>
      </c>
      <c r="N41">
        <v>0</v>
      </c>
      <c r="O41">
        <v>-5.0165289999999996E-3</v>
      </c>
      <c r="P41">
        <v>0.9979287</v>
      </c>
      <c r="Q41">
        <v>3.5432379999999999E-2</v>
      </c>
      <c r="R41">
        <v>-5.3694180000000001E-2</v>
      </c>
      <c r="S41">
        <v>3.008759</v>
      </c>
      <c r="T41">
        <v>-0.1148508</v>
      </c>
      <c r="U41">
        <v>-3.067017E-2</v>
      </c>
      <c r="V41">
        <v>4.8687719999999997E-2</v>
      </c>
      <c r="W41">
        <v>3.2130260000000001E-2</v>
      </c>
      <c r="X41">
        <v>0.9982972</v>
      </c>
      <c r="Y41">
        <v>5.1765589999999998E-3</v>
      </c>
      <c r="Z41" s="1">
        <v>9.2654579999999997E-5</v>
      </c>
      <c r="AA41">
        <v>0.99998659999999995</v>
      </c>
      <c r="AB41">
        <v>13</v>
      </c>
      <c r="AC41">
        <v>28.894099999999899</v>
      </c>
      <c r="AD41">
        <v>-1.1080170016019999</v>
      </c>
      <c r="AE41">
        <v>-0.295200000000022</v>
      </c>
      <c r="AF41">
        <v>0.15002682797856901</v>
      </c>
      <c r="AG41">
        <v>-1.1080170016019999</v>
      </c>
      <c r="AH41">
        <v>28.852792783547201</v>
      </c>
      <c r="AI41">
        <v>92.199186089530301</v>
      </c>
      <c r="AJ41">
        <v>89.702079911194403</v>
      </c>
      <c r="AK41">
        <v>28.874449971129501</v>
      </c>
      <c r="AL41">
        <v>88.158754947518005</v>
      </c>
      <c r="AM41">
        <v>87.207853281378405</v>
      </c>
      <c r="AN41">
        <v>1.0000000736071499</v>
      </c>
    </row>
    <row r="42" spans="1:40" x14ac:dyDescent="0.25">
      <c r="A42" t="str">
        <f>"20190312154502323"</f>
        <v>20190312154502323</v>
      </c>
      <c r="B42" t="str">
        <f>"1552376702316465"</f>
        <v>1552376702316465</v>
      </c>
      <c r="C42" t="s">
        <v>40</v>
      </c>
      <c r="D42">
        <v>4.3956520000000001</v>
      </c>
      <c r="E42">
        <v>0.48408970000000001</v>
      </c>
      <c r="F42" t="s">
        <v>42</v>
      </c>
      <c r="G42">
        <v>-444.12099999999998</v>
      </c>
      <c r="H42" s="1">
        <v>-3.2390810000000002E-6</v>
      </c>
      <c r="I42">
        <v>366.9128</v>
      </c>
      <c r="J42">
        <v>-473.38569999999999</v>
      </c>
      <c r="K42">
        <v>1.1080190000000001</v>
      </c>
      <c r="L42">
        <v>367.2004</v>
      </c>
      <c r="M42">
        <v>0.99998189999999998</v>
      </c>
      <c r="N42">
        <v>0</v>
      </c>
      <c r="O42">
        <v>-5.0323140000000004E-3</v>
      </c>
      <c r="P42">
        <v>0.99795869999999998</v>
      </c>
      <c r="Q42">
        <v>3.5162470000000001E-2</v>
      </c>
      <c r="R42">
        <v>-5.331321E-2</v>
      </c>
      <c r="S42">
        <v>3.008667</v>
      </c>
      <c r="T42">
        <v>-0.1133937</v>
      </c>
      <c r="U42">
        <v>-2.9510499999999999E-2</v>
      </c>
      <c r="V42">
        <v>4.8290100000000002E-2</v>
      </c>
      <c r="W42">
        <v>3.1853840000000001E-2</v>
      </c>
      <c r="X42">
        <v>0.99832529999999997</v>
      </c>
      <c r="Y42">
        <v>4.7759839999999996E-3</v>
      </c>
      <c r="Z42" s="1">
        <v>9.9623360000000003E-5</v>
      </c>
      <c r="AA42">
        <v>0.99998860000000001</v>
      </c>
      <c r="AB42">
        <v>13</v>
      </c>
      <c r="AC42">
        <v>29.264700000000001</v>
      </c>
      <c r="AD42">
        <v>-1.1080222390809999</v>
      </c>
      <c r="AE42">
        <v>-0.28759999999999702</v>
      </c>
      <c r="AF42">
        <v>0.140125542283181</v>
      </c>
      <c r="AG42">
        <v>-1.1080222390809999</v>
      </c>
      <c r="AH42">
        <v>29.223887274829501</v>
      </c>
      <c r="AI42">
        <v>92.171301646949999</v>
      </c>
      <c r="AJ42">
        <v>89.725274718879305</v>
      </c>
      <c r="AK42">
        <v>29.245220736076501</v>
      </c>
      <c r="AL42">
        <v>88.174600627488701</v>
      </c>
      <c r="AM42">
        <v>87.230698204789206</v>
      </c>
      <c r="AN42">
        <v>1.0000000027504199</v>
      </c>
    </row>
    <row r="43" spans="1:40" x14ac:dyDescent="0.25">
      <c r="A43" t="str">
        <f>"20190312154502344"</f>
        <v>20190312154502344</v>
      </c>
      <c r="B43" t="str">
        <f>"1552376702335986"</f>
        <v>1552376702335986</v>
      </c>
      <c r="C43" t="s">
        <v>40</v>
      </c>
      <c r="D43">
        <v>4.3447389999999997</v>
      </c>
      <c r="E43">
        <v>0.48413489999999998</v>
      </c>
      <c r="F43" t="s">
        <v>42</v>
      </c>
      <c r="G43">
        <v>-443.82209999999998</v>
      </c>
      <c r="H43" s="1">
        <v>-3.3799110000000001E-6</v>
      </c>
      <c r="I43">
        <v>366.9153</v>
      </c>
      <c r="J43">
        <v>-473.25529999999998</v>
      </c>
      <c r="K43">
        <v>1.1080129999999999</v>
      </c>
      <c r="L43">
        <v>367.19979999999998</v>
      </c>
      <c r="M43">
        <v>0.99998189999999998</v>
      </c>
      <c r="N43">
        <v>0</v>
      </c>
      <c r="O43">
        <v>-5.0271439999999999E-3</v>
      </c>
      <c r="P43">
        <v>0.99800100000000003</v>
      </c>
      <c r="Q43">
        <v>3.4668810000000001E-2</v>
      </c>
      <c r="R43">
        <v>-5.2842489999999999E-2</v>
      </c>
      <c r="S43">
        <v>3.0085139999999999</v>
      </c>
      <c r="T43">
        <v>-0.1127571</v>
      </c>
      <c r="U43">
        <v>-2.9022220000000001E-2</v>
      </c>
      <c r="V43">
        <v>4.78238E-2</v>
      </c>
      <c r="W43">
        <v>3.1337209999999997E-2</v>
      </c>
      <c r="X43">
        <v>0.99836409999999998</v>
      </c>
      <c r="Y43">
        <v>4.6194720000000003E-3</v>
      </c>
      <c r="Z43">
        <v>1.018078E-4</v>
      </c>
      <c r="AA43">
        <v>0.99998929999999997</v>
      </c>
      <c r="AB43">
        <v>13</v>
      </c>
      <c r="AC43">
        <v>29.433199999999999</v>
      </c>
      <c r="AD43">
        <v>-1.1080163799110001</v>
      </c>
      <c r="AE43">
        <v>-0.28449999999997999</v>
      </c>
      <c r="AF43">
        <v>0.13633746844542199</v>
      </c>
      <c r="AG43">
        <v>-1.1080163799110001</v>
      </c>
      <c r="AH43">
        <v>29.3926083086027</v>
      </c>
      <c r="AI43">
        <v>92.158839837514407</v>
      </c>
      <c r="AJ43">
        <v>89.734235715777402</v>
      </c>
      <c r="AK43">
        <v>29.413801375993401</v>
      </c>
      <c r="AL43">
        <v>88.204216138747498</v>
      </c>
      <c r="AM43">
        <v>87.257504599090495</v>
      </c>
      <c r="AN43">
        <v>1.00000000637291</v>
      </c>
    </row>
    <row r="44" spans="1:40" x14ac:dyDescent="0.25">
      <c r="A44" t="str">
        <f>"20190312154502368"</f>
        <v>20190312154502368</v>
      </c>
      <c r="B44" t="str">
        <f>"1552376702355506"</f>
        <v>1552376702355506</v>
      </c>
      <c r="C44" t="s">
        <v>40</v>
      </c>
      <c r="D44">
        <v>4.3282429999999996</v>
      </c>
      <c r="E44">
        <v>0.48416569999999998</v>
      </c>
      <c r="F44" t="s">
        <v>42</v>
      </c>
      <c r="G44">
        <v>-443.69580000000002</v>
      </c>
      <c r="H44" s="1">
        <v>-3.4372880000000002E-6</v>
      </c>
      <c r="I44">
        <v>366.92840000000001</v>
      </c>
      <c r="J44">
        <v>-473.1105</v>
      </c>
      <c r="K44">
        <v>1.108001</v>
      </c>
      <c r="L44">
        <v>367.19900000000001</v>
      </c>
      <c r="M44">
        <v>0.99998189999999998</v>
      </c>
      <c r="N44">
        <v>0</v>
      </c>
      <c r="O44">
        <v>-4.997952E-3</v>
      </c>
      <c r="P44">
        <v>0.99806499999999998</v>
      </c>
      <c r="Q44">
        <v>3.3947520000000002E-2</v>
      </c>
      <c r="R44">
        <v>-5.2099350000000003E-2</v>
      </c>
      <c r="S44">
        <v>3.0084230000000001</v>
      </c>
      <c r="T44">
        <v>-0.11276849999999999</v>
      </c>
      <c r="U44">
        <v>-2.7618409999999999E-2</v>
      </c>
      <c r="V44">
        <v>4.710839E-2</v>
      </c>
      <c r="W44">
        <v>3.056176E-2</v>
      </c>
      <c r="X44">
        <v>0.99842209999999998</v>
      </c>
      <c r="Y44">
        <v>4.1826620000000002E-3</v>
      </c>
      <c r="Z44">
        <v>1.089114E-4</v>
      </c>
      <c r="AA44">
        <v>0.99999119999999997</v>
      </c>
      <c r="AB44">
        <v>14</v>
      </c>
      <c r="AC44">
        <v>29.4146999999999</v>
      </c>
      <c r="AD44">
        <v>-1.108004437288</v>
      </c>
      <c r="AE44">
        <v>-0.27060000000000101</v>
      </c>
      <c r="AF44">
        <v>0.123407447791861</v>
      </c>
      <c r="AG44">
        <v>-1.108004437288</v>
      </c>
      <c r="AH44">
        <v>29.3740095823437</v>
      </c>
      <c r="AI44">
        <v>92.160186363649601</v>
      </c>
      <c r="AJ44">
        <v>89.759287737037397</v>
      </c>
      <c r="AK44">
        <v>29.395158481879999</v>
      </c>
      <c r="AL44">
        <v>88.248667357390701</v>
      </c>
      <c r="AM44">
        <v>87.298625843237105</v>
      </c>
      <c r="AN44">
        <v>0.999999955675548</v>
      </c>
    </row>
    <row r="45" spans="1:40" x14ac:dyDescent="0.25">
      <c r="A45" t="str">
        <f>"20190312154502392"</f>
        <v>20190312154502392</v>
      </c>
      <c r="B45" t="str">
        <f>"1552376702385761"</f>
        <v>1552376702385761</v>
      </c>
      <c r="C45" t="s">
        <v>40</v>
      </c>
      <c r="D45">
        <v>4.2781379999999896</v>
      </c>
      <c r="E45">
        <v>0.48417539999999998</v>
      </c>
      <c r="F45" t="s">
        <v>42</v>
      </c>
      <c r="G45">
        <v>-443.77859999999998</v>
      </c>
      <c r="H45" s="1">
        <v>-3.3947150000000001E-6</v>
      </c>
      <c r="I45">
        <v>366.9479</v>
      </c>
      <c r="J45">
        <v>-472.95249999999999</v>
      </c>
      <c r="K45">
        <v>1.1079810000000001</v>
      </c>
      <c r="L45">
        <v>367.19830000000002</v>
      </c>
      <c r="M45">
        <v>0.99998180000000003</v>
      </c>
      <c r="N45">
        <v>0</v>
      </c>
      <c r="O45">
        <v>-4.9385610000000002E-3</v>
      </c>
      <c r="P45">
        <v>0.99809270000000005</v>
      </c>
      <c r="Q45">
        <v>3.3174040000000002E-2</v>
      </c>
      <c r="R45">
        <v>-5.206736E-2</v>
      </c>
      <c r="S45">
        <v>3.0083310000000001</v>
      </c>
      <c r="T45">
        <v>-0.1136388</v>
      </c>
      <c r="U45">
        <v>-2.575684E-2</v>
      </c>
      <c r="V45">
        <v>4.7134849999999999E-2</v>
      </c>
      <c r="W45">
        <v>2.9695740000000002E-2</v>
      </c>
      <c r="X45">
        <v>0.99844699999999997</v>
      </c>
      <c r="Y45">
        <v>3.6239449999999999E-3</v>
      </c>
      <c r="Z45">
        <v>1.180611E-4</v>
      </c>
      <c r="AA45">
        <v>0.99999340000000003</v>
      </c>
      <c r="AB45">
        <v>14</v>
      </c>
      <c r="AC45">
        <v>29.1739</v>
      </c>
      <c r="AD45">
        <v>-1.1079843947150001</v>
      </c>
      <c r="AE45">
        <v>-0.250400000000013</v>
      </c>
      <c r="AF45">
        <v>0.10616587665574199</v>
      </c>
      <c r="AG45">
        <v>-1.1079843947150001</v>
      </c>
      <c r="AH45">
        <v>29.132763563704501</v>
      </c>
      <c r="AI45">
        <v>92.178022925260905</v>
      </c>
      <c r="AJ45">
        <v>89.791203133877403</v>
      </c>
      <c r="AK45">
        <v>29.1540188219568</v>
      </c>
      <c r="AL45">
        <v>88.298309215038103</v>
      </c>
      <c r="AM45">
        <v>87.297178082397295</v>
      </c>
      <c r="AN45">
        <v>0.99999997143383401</v>
      </c>
    </row>
    <row r="46" spans="1:40" x14ac:dyDescent="0.25">
      <c r="A46" t="str">
        <f>"20190312154502416"</f>
        <v>20190312154502416</v>
      </c>
      <c r="B46" t="str">
        <f>"1552376702406258"</f>
        <v>1552376702406258</v>
      </c>
      <c r="C46" t="s">
        <v>40</v>
      </c>
      <c r="D46">
        <v>4.2325809999999997</v>
      </c>
      <c r="E46">
        <v>0.48412919999999998</v>
      </c>
      <c r="F46" t="s">
        <v>42</v>
      </c>
      <c r="G46">
        <v>-443.37920000000003</v>
      </c>
      <c r="H46" s="1">
        <v>-3.5843210000000001E-6</v>
      </c>
      <c r="I46">
        <v>366.94330000000002</v>
      </c>
      <c r="J46">
        <v>-472.79739999999998</v>
      </c>
      <c r="K46">
        <v>1.1079570000000001</v>
      </c>
      <c r="L46">
        <v>367.19760000000002</v>
      </c>
      <c r="M46">
        <v>0.99998180000000003</v>
      </c>
      <c r="N46">
        <v>0</v>
      </c>
      <c r="O46">
        <v>-4.8519319999999998E-3</v>
      </c>
      <c r="P46">
        <v>0.99809499999999995</v>
      </c>
      <c r="Q46">
        <v>3.364027E-2</v>
      </c>
      <c r="R46">
        <v>-5.1720660000000002E-2</v>
      </c>
      <c r="S46">
        <v>3.0081479999999998</v>
      </c>
      <c r="T46">
        <v>-0.1127025</v>
      </c>
      <c r="U46">
        <v>-2.5939940000000002E-2</v>
      </c>
      <c r="V46">
        <v>4.6873850000000002E-2</v>
      </c>
      <c r="W46">
        <v>3.0041769999999999E-2</v>
      </c>
      <c r="X46">
        <v>0.99844900000000003</v>
      </c>
      <c r="Y46">
        <v>3.7717789999999998E-3</v>
      </c>
      <c r="Z46">
        <v>1.110837E-4</v>
      </c>
      <c r="AA46">
        <v>0.99999289999999996</v>
      </c>
      <c r="AB46">
        <v>14</v>
      </c>
      <c r="AC46">
        <v>29.418199999999899</v>
      </c>
      <c r="AD46">
        <v>-1.1079605843210001</v>
      </c>
      <c r="AE46">
        <v>-0.25430000000000003</v>
      </c>
      <c r="AF46">
        <v>0.11140297441488201</v>
      </c>
      <c r="AG46">
        <v>-1.1079605843210001</v>
      </c>
      <c r="AH46">
        <v>29.377420059301102</v>
      </c>
      <c r="AI46">
        <v>92.159853943822398</v>
      </c>
      <c r="AJ46">
        <v>89.782728039066299</v>
      </c>
      <c r="AK46">
        <v>29.398516911908001</v>
      </c>
      <c r="AL46">
        <v>88.278474416664196</v>
      </c>
      <c r="AM46">
        <v>87.312127796022693</v>
      </c>
      <c r="AN46">
        <v>1.00000003567977</v>
      </c>
    </row>
    <row r="47" spans="1:40" x14ac:dyDescent="0.25">
      <c r="A47" t="str">
        <f>"20190312154502457"</f>
        <v>20190312154502457</v>
      </c>
      <c r="B47" t="str">
        <f>"1552376702445804"</f>
        <v>1552376702445804</v>
      </c>
      <c r="C47" t="s">
        <v>40</v>
      </c>
      <c r="D47">
        <v>4.2041040000000001</v>
      </c>
      <c r="E47">
        <v>0.48415789999999997</v>
      </c>
      <c r="F47" t="s">
        <v>42</v>
      </c>
      <c r="G47">
        <v>-442.08589999999998</v>
      </c>
      <c r="H47" s="1">
        <v>-4.1947699999999996E-6</v>
      </c>
      <c r="I47">
        <v>366.94830000000002</v>
      </c>
      <c r="J47">
        <v>-472.52449999999999</v>
      </c>
      <c r="K47">
        <v>1.1079319999999999</v>
      </c>
      <c r="L47">
        <v>367.19639999999998</v>
      </c>
      <c r="M47">
        <v>0.99998209999999998</v>
      </c>
      <c r="N47">
        <v>0</v>
      </c>
      <c r="O47">
        <v>-4.6314470000000003E-3</v>
      </c>
      <c r="P47">
        <v>0.99808110000000005</v>
      </c>
      <c r="Q47">
        <v>3.3441100000000001E-2</v>
      </c>
      <c r="R47">
        <v>-5.2116099999999901E-2</v>
      </c>
      <c r="S47">
        <v>3.0081479999999998</v>
      </c>
      <c r="T47">
        <v>-0.10852349999999999</v>
      </c>
      <c r="U47">
        <v>-2.4414060000000001E-2</v>
      </c>
      <c r="V47">
        <v>4.748782E-2</v>
      </c>
      <c r="W47">
        <v>2.9627580000000001E-2</v>
      </c>
      <c r="X47">
        <v>0.99843230000000005</v>
      </c>
      <c r="Y47">
        <v>3.4850419999999998E-3</v>
      </c>
      <c r="Z47">
        <v>1.041867E-4</v>
      </c>
      <c r="AA47">
        <v>0.99999389999999999</v>
      </c>
      <c r="AB47">
        <v>14</v>
      </c>
      <c r="AC47">
        <v>30.438600000000001</v>
      </c>
      <c r="AD47">
        <v>-1.1079361947699999</v>
      </c>
      <c r="AE47">
        <v>-0.24809999999996499</v>
      </c>
      <c r="AF47">
        <v>0.106979837712829</v>
      </c>
      <c r="AG47">
        <v>-1.1079361947699999</v>
      </c>
      <c r="AH47">
        <v>30.399149720582599</v>
      </c>
      <c r="AI47">
        <v>92.087281742989404</v>
      </c>
      <c r="AJ47">
        <v>89.798367127148197</v>
      </c>
      <c r="AK47">
        <v>30.419521216346499</v>
      </c>
      <c r="AL47">
        <v>88.302216215732301</v>
      </c>
      <c r="AM47">
        <v>87.276928281616307</v>
      </c>
      <c r="AN47">
        <v>0.99999997211414904</v>
      </c>
    </row>
    <row r="48" spans="1:40" x14ac:dyDescent="0.25">
      <c r="A48" t="str">
        <f>"20190312154502479"</f>
        <v>20190312154502479</v>
      </c>
      <c r="B48" t="str">
        <f>"1552376702466301"</f>
        <v>1552376702466301</v>
      </c>
      <c r="C48" t="s">
        <v>40</v>
      </c>
      <c r="D48">
        <v>4.18079</v>
      </c>
      <c r="E48">
        <v>0.48422660000000001</v>
      </c>
      <c r="F48" t="s">
        <v>42</v>
      </c>
      <c r="G48">
        <v>-440.65249999999997</v>
      </c>
      <c r="H48" s="1">
        <v>-4.8765529999999998E-6</v>
      </c>
      <c r="I48">
        <v>366.9248</v>
      </c>
      <c r="J48">
        <v>-472.36720000000003</v>
      </c>
      <c r="K48">
        <v>1.107931</v>
      </c>
      <c r="L48">
        <v>367.19580000000002</v>
      </c>
      <c r="M48">
        <v>0.9999825</v>
      </c>
      <c r="N48">
        <v>0</v>
      </c>
      <c r="O48">
        <v>-4.4733689999999996E-3</v>
      </c>
      <c r="P48">
        <v>0.99807579999999996</v>
      </c>
      <c r="Q48">
        <v>3.337354E-2</v>
      </c>
      <c r="R48">
        <v>-5.2261139999999998E-2</v>
      </c>
      <c r="S48">
        <v>3.0079349999999998</v>
      </c>
      <c r="T48">
        <v>-0.1045619</v>
      </c>
      <c r="U48">
        <v>-2.5634770000000001E-2</v>
      </c>
      <c r="V48">
        <v>4.7789909999999998E-2</v>
      </c>
      <c r="W48">
        <v>2.9476970000000002E-2</v>
      </c>
      <c r="X48">
        <v>0.99842240000000004</v>
      </c>
      <c r="Y48">
        <v>4.0490029999999998E-3</v>
      </c>
      <c r="Z48" s="1">
        <v>8.5100399999999996E-5</v>
      </c>
      <c r="AA48">
        <v>0.99999179999999999</v>
      </c>
      <c r="AB48">
        <v>15</v>
      </c>
      <c r="AC48">
        <v>31.714700000000001</v>
      </c>
      <c r="AD48">
        <v>-1.1079358765530001</v>
      </c>
      <c r="AE48">
        <v>-0.27100000000001501</v>
      </c>
      <c r="AF48">
        <v>0.12896728708126401</v>
      </c>
      <c r="AG48">
        <v>-1.1079358765530001</v>
      </c>
      <c r="AH48">
        <v>31.676938730727699</v>
      </c>
      <c r="AI48">
        <v>92.003149929330505</v>
      </c>
      <c r="AJ48">
        <v>89.766731233701407</v>
      </c>
      <c r="AK48">
        <v>31.696570821115198</v>
      </c>
      <c r="AL48">
        <v>88.310849398449193</v>
      </c>
      <c r="AM48">
        <v>87.259604868122295</v>
      </c>
      <c r="AN48">
        <v>1.0000000280399699</v>
      </c>
    </row>
    <row r="49" spans="1:40" x14ac:dyDescent="0.25">
      <c r="A49" t="str">
        <f>"20190312154502501"</f>
        <v>20190312154502501</v>
      </c>
      <c r="B49" t="str">
        <f>"1552376702495581"</f>
        <v>1552376702495581</v>
      </c>
      <c r="C49" t="s">
        <v>40</v>
      </c>
      <c r="D49">
        <v>4.1033949999999999</v>
      </c>
      <c r="E49">
        <v>0.484319</v>
      </c>
      <c r="F49" t="s">
        <v>42</v>
      </c>
      <c r="G49">
        <v>-440.02679999999998</v>
      </c>
      <c r="H49" s="1">
        <v>-5.1745740000000001E-6</v>
      </c>
      <c r="I49">
        <v>366.91199999999998</v>
      </c>
      <c r="J49">
        <v>-472.21690000000001</v>
      </c>
      <c r="K49">
        <v>1.1079369999999999</v>
      </c>
      <c r="L49">
        <v>367.19529999999997</v>
      </c>
      <c r="M49">
        <v>0.99998299999999996</v>
      </c>
      <c r="N49">
        <v>0</v>
      </c>
      <c r="O49">
        <v>-4.3100689999999997E-3</v>
      </c>
      <c r="P49">
        <v>0.99804340000000002</v>
      </c>
      <c r="Q49">
        <v>3.341856E-2</v>
      </c>
      <c r="R49">
        <v>-5.2844580000000002E-2</v>
      </c>
      <c r="S49">
        <v>3.0078130000000001</v>
      </c>
      <c r="T49">
        <v>-0.1030433</v>
      </c>
      <c r="U49">
        <v>-2.6397710000000001E-2</v>
      </c>
      <c r="V49">
        <v>4.8535910000000002E-2</v>
      </c>
      <c r="W49">
        <v>2.9479829999999999E-2</v>
      </c>
      <c r="X49">
        <v>0.99838629999999995</v>
      </c>
      <c r="Y49">
        <v>4.4659319999999997E-3</v>
      </c>
      <c r="Z49" s="1">
        <v>7.1136409999999898E-5</v>
      </c>
      <c r="AA49">
        <v>0.99999000000000005</v>
      </c>
      <c r="AB49">
        <v>15</v>
      </c>
      <c r="AC49">
        <v>32.190100000000001</v>
      </c>
      <c r="AD49">
        <v>-1.1079421745739999</v>
      </c>
      <c r="AE49">
        <v>-0.283299999999997</v>
      </c>
      <c r="AF49">
        <v>0.14438371580616899</v>
      </c>
      <c r="AG49">
        <v>-1.1079421745739999</v>
      </c>
      <c r="AH49">
        <v>32.1529350743686</v>
      </c>
      <c r="AI49">
        <v>91.973526326870498</v>
      </c>
      <c r="AJ49">
        <v>89.742713319249702</v>
      </c>
      <c r="AK49">
        <v>32.172342414194098</v>
      </c>
      <c r="AL49">
        <v>88.310685413022796</v>
      </c>
      <c r="AM49">
        <v>87.216793595057695</v>
      </c>
      <c r="AN49">
        <v>0.99999999948202301</v>
      </c>
    </row>
    <row r="50" spans="1:40" x14ac:dyDescent="0.25">
      <c r="A50" t="str">
        <f>"20190312154502525"</f>
        <v>20190312154502525</v>
      </c>
      <c r="B50" t="str">
        <f>"1552376702516077"</f>
        <v>1552376702516077</v>
      </c>
      <c r="C50" t="s">
        <v>40</v>
      </c>
      <c r="D50">
        <v>4.0966519999999997</v>
      </c>
      <c r="E50">
        <v>0.48436439999999997</v>
      </c>
      <c r="F50" t="s">
        <v>43</v>
      </c>
      <c r="G50">
        <v>-437.50599999999997</v>
      </c>
      <c r="H50">
        <v>-0.05</v>
      </c>
      <c r="I50">
        <v>366.85750000000002</v>
      </c>
      <c r="J50">
        <v>-472.0437</v>
      </c>
      <c r="K50">
        <v>1.107944</v>
      </c>
      <c r="L50">
        <v>367.19479999999999</v>
      </c>
      <c r="M50">
        <v>0.99998370000000003</v>
      </c>
      <c r="N50">
        <v>0</v>
      </c>
      <c r="O50">
        <v>-4.1182049999999998E-3</v>
      </c>
      <c r="P50">
        <v>0.99801770000000001</v>
      </c>
      <c r="Q50">
        <v>3.3301850000000001E-2</v>
      </c>
      <c r="R50">
        <v>-5.3402579999999998E-2</v>
      </c>
      <c r="S50">
        <v>3.00766</v>
      </c>
      <c r="T50">
        <v>-0.10033400000000001</v>
      </c>
      <c r="U50">
        <v>-2.9266360000000002E-2</v>
      </c>
      <c r="V50">
        <v>4.9285080000000002E-2</v>
      </c>
      <c r="W50">
        <v>2.9349710000000001E-2</v>
      </c>
      <c r="X50">
        <v>0.99835339999999995</v>
      </c>
      <c r="Y50">
        <v>5.6111919999999897E-3</v>
      </c>
      <c r="Z50" s="1">
        <v>4.3774879999999999E-5</v>
      </c>
      <c r="AA50">
        <v>0.99998430000000005</v>
      </c>
      <c r="AB50">
        <v>16</v>
      </c>
      <c r="AC50">
        <v>34.537700000000001</v>
      </c>
      <c r="AD50">
        <v>-1.1579440000000001</v>
      </c>
      <c r="AE50">
        <v>-0.33729999999997001</v>
      </c>
      <c r="AF50">
        <v>0.19484370407085799</v>
      </c>
      <c r="AG50">
        <v>-1.1579440000000001</v>
      </c>
      <c r="AH50">
        <v>34.500019916252</v>
      </c>
      <c r="AI50">
        <v>91.922298922828304</v>
      </c>
      <c r="AJ50">
        <v>89.676417484823901</v>
      </c>
      <c r="AK50">
        <v>34.519996706227197</v>
      </c>
      <c r="AL50">
        <v>88.318143914173007</v>
      </c>
      <c r="AM50">
        <v>87.173809894785194</v>
      </c>
      <c r="AN50">
        <v>0.99999996793962398</v>
      </c>
    </row>
    <row r="51" spans="1:40" x14ac:dyDescent="0.25">
      <c r="A51" t="str">
        <f>"20190312154502546"</f>
        <v>20190312154502546</v>
      </c>
      <c r="B51" t="str">
        <f>"1552376702535596"</f>
        <v>1552376702535596</v>
      </c>
      <c r="C51" t="s">
        <v>40</v>
      </c>
      <c r="D51">
        <v>4.0954879999999996</v>
      </c>
      <c r="E51">
        <v>0.4844098</v>
      </c>
      <c r="F51" t="s">
        <v>43</v>
      </c>
      <c r="G51">
        <v>-436.84550000000002</v>
      </c>
      <c r="H51">
        <v>-0.05</v>
      </c>
      <c r="I51">
        <v>366.82900000000001</v>
      </c>
      <c r="J51">
        <v>-471.89359999999999</v>
      </c>
      <c r="K51">
        <v>1.107953</v>
      </c>
      <c r="L51">
        <v>367.1943</v>
      </c>
      <c r="M51">
        <v>0.99998430000000005</v>
      </c>
      <c r="N51">
        <v>0</v>
      </c>
      <c r="O51">
        <v>-3.9528439999999996E-3</v>
      </c>
      <c r="P51">
        <v>0.99800319999999998</v>
      </c>
      <c r="Q51">
        <v>3.2918320000000001E-2</v>
      </c>
      <c r="R51">
        <v>-5.3904899999999999E-2</v>
      </c>
      <c r="S51">
        <v>3.0075989999999999</v>
      </c>
      <c r="T51">
        <v>-9.8943349999999999E-2</v>
      </c>
      <c r="U51">
        <v>-3.125E-2</v>
      </c>
      <c r="V51">
        <v>4.9952459999999997E-2</v>
      </c>
      <c r="W51">
        <v>2.8976979999999999E-2</v>
      </c>
      <c r="X51">
        <v>0.99833110000000003</v>
      </c>
      <c r="Y51">
        <v>6.4357019999999997E-3</v>
      </c>
      <c r="Z51" s="1">
        <v>2.4172570000000001E-5</v>
      </c>
      <c r="AA51">
        <v>0.99997930000000002</v>
      </c>
      <c r="AB51">
        <v>16</v>
      </c>
      <c r="AC51">
        <v>35.048099999999899</v>
      </c>
      <c r="AD51">
        <v>-1.157953</v>
      </c>
      <c r="AE51">
        <v>-0.36529999999999002</v>
      </c>
      <c r="AF51">
        <v>0.22650915702475999</v>
      </c>
      <c r="AG51">
        <v>-1.157953</v>
      </c>
      <c r="AH51">
        <v>35.011057182965303</v>
      </c>
      <c r="AI51">
        <v>91.894266054469696</v>
      </c>
      <c r="AJ51">
        <v>89.629321742996893</v>
      </c>
      <c r="AK51">
        <v>35.030933282133603</v>
      </c>
      <c r="AL51">
        <v>88.339508827516696</v>
      </c>
      <c r="AM51">
        <v>87.135539272367097</v>
      </c>
      <c r="AN51">
        <v>0.99999994942858905</v>
      </c>
    </row>
    <row r="52" spans="1:40" x14ac:dyDescent="0.25">
      <c r="A52" t="str">
        <f>"20190312154502567"</f>
        <v>20190312154502567</v>
      </c>
      <c r="B52" t="str">
        <f>"1552376702556094"</f>
        <v>1552376702556094</v>
      </c>
      <c r="C52" t="s">
        <v>40</v>
      </c>
      <c r="D52">
        <v>4.09666</v>
      </c>
      <c r="E52">
        <v>0.48442289999999999</v>
      </c>
      <c r="F52" t="s">
        <v>43</v>
      </c>
      <c r="G52">
        <v>-436.41</v>
      </c>
      <c r="H52">
        <v>-0.05</v>
      </c>
      <c r="I52">
        <v>366.80259999999998</v>
      </c>
      <c r="J52">
        <v>-471.72989999999999</v>
      </c>
      <c r="K52">
        <v>1.10796299999999</v>
      </c>
      <c r="L52">
        <v>367.19389999999999</v>
      </c>
      <c r="M52">
        <v>0.99998520000000002</v>
      </c>
      <c r="N52">
        <v>0</v>
      </c>
      <c r="O52">
        <v>-3.7793219999999999E-3</v>
      </c>
      <c r="P52">
        <v>0.99795180000000006</v>
      </c>
      <c r="Q52">
        <v>3.3879569999999998E-2</v>
      </c>
      <c r="R52">
        <v>-5.4264529999999998E-2</v>
      </c>
      <c r="S52">
        <v>3.0074160000000001</v>
      </c>
      <c r="T52">
        <v>-9.8142389999999996E-2</v>
      </c>
      <c r="U52">
        <v>-3.3203129999999997E-2</v>
      </c>
      <c r="V52">
        <v>5.0485519999999999E-2</v>
      </c>
      <c r="W52">
        <v>2.9967420000000002E-2</v>
      </c>
      <c r="X52">
        <v>0.99827509999999997</v>
      </c>
      <c r="Y52">
        <v>7.2586909999999899E-3</v>
      </c>
      <c r="Z52" s="1">
        <v>4.892892E-6</v>
      </c>
      <c r="AA52">
        <v>0.99997369999999997</v>
      </c>
      <c r="AB52">
        <v>16</v>
      </c>
      <c r="AC52">
        <v>35.319899999999897</v>
      </c>
      <c r="AD52">
        <v>-1.1579630000000001</v>
      </c>
      <c r="AE52">
        <v>-0.39130000000000098</v>
      </c>
      <c r="AF52">
        <v>0.25753412981217599</v>
      </c>
      <c r="AG52">
        <v>-1.1579630000000001</v>
      </c>
      <c r="AH52">
        <v>35.283206887847797</v>
      </c>
      <c r="AI52">
        <v>91.879671044062803</v>
      </c>
      <c r="AJ52">
        <v>89.5818022796837</v>
      </c>
      <c r="AK52">
        <v>35.303142784008003</v>
      </c>
      <c r="AL52">
        <v>88.282736223249302</v>
      </c>
      <c r="AM52">
        <v>87.104861222494506</v>
      </c>
      <c r="AN52">
        <v>1.0000000046355599</v>
      </c>
    </row>
    <row r="53" spans="1:40" x14ac:dyDescent="0.25">
      <c r="A53" t="str">
        <f>"20190312154502592"</f>
        <v>20190312154502592</v>
      </c>
      <c r="B53" t="str">
        <f>"1552376702586348"</f>
        <v>1552376702586348</v>
      </c>
      <c r="C53" t="s">
        <v>40</v>
      </c>
      <c r="D53">
        <v>4.1124839999999896</v>
      </c>
      <c r="E53">
        <v>0.48446640000000002</v>
      </c>
      <c r="F53" t="s">
        <v>43</v>
      </c>
      <c r="G53">
        <v>-434.34699999999998</v>
      </c>
      <c r="H53">
        <v>-0.05</v>
      </c>
      <c r="I53">
        <v>366.76530000000002</v>
      </c>
      <c r="J53">
        <v>-471.54939999999999</v>
      </c>
      <c r="K53">
        <v>1.1079730000000001</v>
      </c>
      <c r="L53">
        <v>367.19349999999997</v>
      </c>
      <c r="M53">
        <v>0.99998600000000004</v>
      </c>
      <c r="N53">
        <v>0</v>
      </c>
      <c r="O53">
        <v>-3.5964529999999999E-3</v>
      </c>
      <c r="P53">
        <v>0.99795009999999995</v>
      </c>
      <c r="Q53">
        <v>3.4396639999999999E-2</v>
      </c>
      <c r="R53">
        <v>-5.3969540000000003E-2</v>
      </c>
      <c r="S53">
        <v>3.0074160000000001</v>
      </c>
      <c r="T53">
        <v>-9.3157050000000005E-2</v>
      </c>
      <c r="U53">
        <v>-3.4484859999999999E-2</v>
      </c>
      <c r="V53">
        <v>5.0373309999999998E-2</v>
      </c>
      <c r="W53">
        <v>3.0528389999999999E-2</v>
      </c>
      <c r="X53">
        <v>0.99826380000000003</v>
      </c>
      <c r="Y53">
        <v>7.8674899999999996E-3</v>
      </c>
      <c r="Z53" s="1">
        <v>-1.044492E-5</v>
      </c>
      <c r="AA53">
        <v>0.99996910000000006</v>
      </c>
      <c r="AB53">
        <v>17</v>
      </c>
      <c r="AC53">
        <v>37.202399999999997</v>
      </c>
      <c r="AD53">
        <v>-1.1579729999999999</v>
      </c>
      <c r="AE53">
        <v>-0.42819999999994701</v>
      </c>
      <c r="AF53">
        <v>0.29411462556998402</v>
      </c>
      <c r="AG53">
        <v>-1.1579729999999999</v>
      </c>
      <c r="AH53">
        <v>37.167694392966801</v>
      </c>
      <c r="AI53">
        <v>91.784437732838398</v>
      </c>
      <c r="AJ53">
        <v>89.546617693454195</v>
      </c>
      <c r="AK53">
        <v>37.186891660512302</v>
      </c>
      <c r="AL53">
        <v>88.250580346686903</v>
      </c>
      <c r="AM53">
        <v>87.111252453633</v>
      </c>
      <c r="AN53">
        <v>1.0000000336733901</v>
      </c>
    </row>
    <row r="54" spans="1:40" x14ac:dyDescent="0.25">
      <c r="A54" t="str">
        <f>"20190312154502615"</f>
        <v>20190312154502615</v>
      </c>
      <c r="B54" t="str">
        <f>"1552376702605869"</f>
        <v>1552376702605869</v>
      </c>
      <c r="C54" t="s">
        <v>40</v>
      </c>
      <c r="D54">
        <v>4.0868799999999998</v>
      </c>
      <c r="E54">
        <v>0.4844656</v>
      </c>
      <c r="F54" t="s">
        <v>43</v>
      </c>
      <c r="G54">
        <v>-432.4785</v>
      </c>
      <c r="H54">
        <v>-0.05</v>
      </c>
      <c r="I54">
        <v>366.75380000000001</v>
      </c>
      <c r="J54">
        <v>-471.36939999999998</v>
      </c>
      <c r="K54">
        <v>1.107977</v>
      </c>
      <c r="L54">
        <v>367.19310000000002</v>
      </c>
      <c r="M54">
        <v>0.99998679999999995</v>
      </c>
      <c r="N54">
        <v>0</v>
      </c>
      <c r="O54">
        <v>-3.4232249999999998E-3</v>
      </c>
      <c r="P54">
        <v>0.99799340000000003</v>
      </c>
      <c r="Q54">
        <v>3.4755609999999999E-2</v>
      </c>
      <c r="R54">
        <v>-5.292707E-2</v>
      </c>
      <c r="S54">
        <v>3.0074459999999998</v>
      </c>
      <c r="T54">
        <v>-8.9133859999999995E-2</v>
      </c>
      <c r="U54">
        <v>-3.3843989999999997E-2</v>
      </c>
      <c r="V54">
        <v>4.950425E-2</v>
      </c>
      <c r="W54">
        <v>3.0937329999999999E-2</v>
      </c>
      <c r="X54">
        <v>0.99829469999999998</v>
      </c>
      <c r="Y54">
        <v>7.8276539999999999E-3</v>
      </c>
      <c r="Z54" s="1">
        <v>-1.453657E-5</v>
      </c>
      <c r="AA54">
        <v>0.99996940000000001</v>
      </c>
      <c r="AB54">
        <v>17</v>
      </c>
      <c r="AC54">
        <v>38.890899999999903</v>
      </c>
      <c r="AD54">
        <v>-1.157977</v>
      </c>
      <c r="AE54">
        <v>-0.43930000000000202</v>
      </c>
      <c r="AF54">
        <v>0.30589299231024503</v>
      </c>
      <c r="AG54">
        <v>-1.157977</v>
      </c>
      <c r="AH54">
        <v>38.857730981180602</v>
      </c>
      <c r="AI54">
        <v>91.706880705019003</v>
      </c>
      <c r="AJ54">
        <v>89.548969665130997</v>
      </c>
      <c r="AK54">
        <v>38.876184718424597</v>
      </c>
      <c r="AL54">
        <v>88.227138764696605</v>
      </c>
      <c r="AM54">
        <v>87.161095736937497</v>
      </c>
      <c r="AN54">
        <v>1.0000000486018299</v>
      </c>
    </row>
    <row r="55" spans="1:40" x14ac:dyDescent="0.25">
      <c r="A55" t="str">
        <f>"20190312154502636"</f>
        <v>20190312154502636</v>
      </c>
      <c r="B55" t="str">
        <f>"1552376702626364"</f>
        <v>1552376702626364</v>
      </c>
      <c r="C55" t="s">
        <v>40</v>
      </c>
      <c r="D55">
        <v>4.085286</v>
      </c>
      <c r="E55">
        <v>0.48448279999999999</v>
      </c>
      <c r="F55" t="s">
        <v>43</v>
      </c>
      <c r="G55">
        <v>-431.20749999999998</v>
      </c>
      <c r="H55">
        <v>-0.05</v>
      </c>
      <c r="I55">
        <v>366.78140000000002</v>
      </c>
      <c r="J55">
        <v>-471.20569999999998</v>
      </c>
      <c r="K55">
        <v>1.10798</v>
      </c>
      <c r="L55">
        <v>367.1927</v>
      </c>
      <c r="M55">
        <v>0.99998750000000003</v>
      </c>
      <c r="N55">
        <v>0</v>
      </c>
      <c r="O55">
        <v>-3.2719429999999998E-3</v>
      </c>
      <c r="P55">
        <v>0.99800180000000005</v>
      </c>
      <c r="Q55">
        <v>3.587742E-2</v>
      </c>
      <c r="R55">
        <v>-5.2015609999999997E-2</v>
      </c>
      <c r="S55">
        <v>3.007355</v>
      </c>
      <c r="T55">
        <v>-8.6710209999999996E-2</v>
      </c>
      <c r="U55">
        <v>-3.0822749999999999E-2</v>
      </c>
      <c r="V55">
        <v>4.8743880000000003E-2</v>
      </c>
      <c r="W55">
        <v>3.2104050000000002E-2</v>
      </c>
      <c r="X55">
        <v>0.99829520000000005</v>
      </c>
      <c r="Y55">
        <v>6.9751980000000002E-3</v>
      </c>
      <c r="Z55" s="1">
        <v>-6.2163379999999999E-6</v>
      </c>
      <c r="AA55">
        <v>0.99997570000000002</v>
      </c>
      <c r="AB55">
        <v>17</v>
      </c>
      <c r="AC55">
        <v>39.998199999999997</v>
      </c>
      <c r="AD55">
        <v>-1.15798</v>
      </c>
      <c r="AE55">
        <v>-0.41129999999998201</v>
      </c>
      <c r="AF55">
        <v>0.28019021616976703</v>
      </c>
      <c r="AG55">
        <v>-1.15798</v>
      </c>
      <c r="AH55">
        <v>39.965837868842897</v>
      </c>
      <c r="AI55">
        <v>91.659596901010005</v>
      </c>
      <c r="AJ55">
        <v>89.598320598415398</v>
      </c>
      <c r="AK55">
        <v>39.983591894629399</v>
      </c>
      <c r="AL55">
        <v>88.160257256264899</v>
      </c>
      <c r="AM55">
        <v>87.204632127835893</v>
      </c>
      <c r="AN55">
        <v>0.99999997110344796</v>
      </c>
    </row>
    <row r="56" spans="1:40" x14ac:dyDescent="0.25">
      <c r="A56" t="str">
        <f>"20190312154502657"</f>
        <v>20190312154502657</v>
      </c>
      <c r="B56" t="str">
        <f>"1552376702645884"</f>
        <v>1552376702645884</v>
      </c>
      <c r="C56" t="s">
        <v>40</v>
      </c>
      <c r="D56">
        <v>4.1207909999999996</v>
      </c>
      <c r="E56">
        <v>0.48450510000000002</v>
      </c>
      <c r="F56" t="s">
        <v>43</v>
      </c>
      <c r="G56">
        <v>-428.88240000000002</v>
      </c>
      <c r="H56">
        <v>-0.05</v>
      </c>
      <c r="I56">
        <v>366.79880000000003</v>
      </c>
      <c r="J56">
        <v>-471.03680000000003</v>
      </c>
      <c r="K56">
        <v>1.1079920000000001</v>
      </c>
      <c r="L56">
        <v>367.19229999999999</v>
      </c>
      <c r="M56">
        <v>0.99998810000000005</v>
      </c>
      <c r="N56">
        <v>0</v>
      </c>
      <c r="O56">
        <v>-3.1200709999999999E-3</v>
      </c>
      <c r="P56">
        <v>0.99793050000000005</v>
      </c>
      <c r="Q56">
        <v>3.8741890000000001E-2</v>
      </c>
      <c r="R56">
        <v>-5.1320619999999997E-2</v>
      </c>
      <c r="S56">
        <v>3.0074770000000002</v>
      </c>
      <c r="T56">
        <v>-8.2285520000000001E-2</v>
      </c>
      <c r="U56">
        <v>-2.7984620000000002E-2</v>
      </c>
      <c r="V56">
        <v>4.8200779999999999E-2</v>
      </c>
      <c r="W56">
        <v>3.501398E-2</v>
      </c>
      <c r="X56">
        <v>0.99822379999999999</v>
      </c>
      <c r="Y56">
        <v>6.183465E-3</v>
      </c>
      <c r="Z56" s="1">
        <v>7.7535509999999999E-7</v>
      </c>
      <c r="AA56">
        <v>0.99998089999999995</v>
      </c>
      <c r="AB56">
        <v>17</v>
      </c>
      <c r="AC56">
        <v>42.154400000000003</v>
      </c>
      <c r="AD56">
        <v>-1.1579919999999999</v>
      </c>
      <c r="AE56">
        <v>-0.39349999999995999</v>
      </c>
      <c r="AF56">
        <v>0.26177491671362901</v>
      </c>
      <c r="AG56">
        <v>-1.1579919999999999</v>
      </c>
      <c r="AH56">
        <v>42.123638220542098</v>
      </c>
      <c r="AI56">
        <v>91.574651931210298</v>
      </c>
      <c r="AJ56">
        <v>89.643943271053203</v>
      </c>
      <c r="AK56">
        <v>42.140365073337897</v>
      </c>
      <c r="AL56">
        <v>87.993436627890503</v>
      </c>
      <c r="AM56">
        <v>87.235531876325595</v>
      </c>
      <c r="AN56">
        <v>1.00000002443724</v>
      </c>
    </row>
    <row r="57" spans="1:40" x14ac:dyDescent="0.25">
      <c r="A57" t="str">
        <f>"20190312154502680"</f>
        <v>20190312154502680</v>
      </c>
      <c r="B57" t="str">
        <f>"1552376702676141"</f>
        <v>1552376702676141</v>
      </c>
      <c r="C57" t="s">
        <v>40</v>
      </c>
      <c r="D57">
        <v>4.098598</v>
      </c>
      <c r="E57">
        <v>0.50057700000000005</v>
      </c>
      <c r="F57" t="s">
        <v>43</v>
      </c>
      <c r="G57">
        <v>-423.303</v>
      </c>
      <c r="H57">
        <v>-0.05</v>
      </c>
      <c r="I57">
        <v>366.7704</v>
      </c>
      <c r="J57">
        <v>-470.85590000000002</v>
      </c>
      <c r="K57">
        <v>1.108007</v>
      </c>
      <c r="L57">
        <v>367.19200000000001</v>
      </c>
      <c r="M57">
        <v>0.99998889999999996</v>
      </c>
      <c r="N57">
        <v>0</v>
      </c>
      <c r="O57">
        <v>-2.9615319999999998E-3</v>
      </c>
      <c r="P57">
        <v>0.99776810000000005</v>
      </c>
      <c r="Q57">
        <v>4.2339370000000001E-2</v>
      </c>
      <c r="R57">
        <v>-5.163835E-2</v>
      </c>
      <c r="S57">
        <v>3.00766</v>
      </c>
      <c r="T57">
        <v>-7.296395E-2</v>
      </c>
      <c r="U57">
        <v>-2.658081E-2</v>
      </c>
      <c r="V57">
        <v>4.867689E-2</v>
      </c>
      <c r="W57">
        <v>3.865644E-2</v>
      </c>
      <c r="X57">
        <v>0.99806620000000001</v>
      </c>
      <c r="Y57">
        <v>5.875028E-3</v>
      </c>
      <c r="Z57" s="1">
        <v>5.8273869999999898E-7</v>
      </c>
      <c r="AA57">
        <v>0.9999827</v>
      </c>
      <c r="AB57">
        <v>18</v>
      </c>
      <c r="AC57">
        <v>47.552899999999902</v>
      </c>
      <c r="AD57">
        <v>-1.158007</v>
      </c>
      <c r="AE57">
        <v>-0.42159999999995501</v>
      </c>
      <c r="AF57">
        <v>0.28060138167278598</v>
      </c>
      <c r="AG57">
        <v>-1.158007</v>
      </c>
      <c r="AH57">
        <v>47.525758605383501</v>
      </c>
      <c r="AI57">
        <v>91.395761672688806</v>
      </c>
      <c r="AJ57">
        <v>89.661718433210297</v>
      </c>
      <c r="AK57">
        <v>47.540692552429597</v>
      </c>
      <c r="AL57">
        <v>87.784597038299793</v>
      </c>
      <c r="AM57">
        <v>87.207828308710603</v>
      </c>
      <c r="AN57">
        <v>0.999999949777991</v>
      </c>
    </row>
    <row r="58" spans="1:40" x14ac:dyDescent="0.25">
      <c r="A58" t="str">
        <f>"20190312154502701"</f>
        <v>20190312154502701</v>
      </c>
      <c r="B58" t="str">
        <f>"1552376702695661"</f>
        <v>1552376702695661</v>
      </c>
      <c r="C58" t="s">
        <v>40</v>
      </c>
      <c r="D58">
        <v>4.100962</v>
      </c>
      <c r="E58">
        <v>0.50287899999999996</v>
      </c>
      <c r="F58" t="s">
        <v>44</v>
      </c>
      <c r="G58">
        <v>0</v>
      </c>
      <c r="H58">
        <v>0</v>
      </c>
      <c r="I58">
        <v>0</v>
      </c>
      <c r="J58">
        <v>-470.67689999999999</v>
      </c>
      <c r="K58">
        <v>1.108017</v>
      </c>
      <c r="L58">
        <v>367.19159999999999</v>
      </c>
      <c r="M58">
        <v>0.99998940000000003</v>
      </c>
      <c r="N58">
        <v>0</v>
      </c>
      <c r="O58">
        <v>-2.80599E-3</v>
      </c>
      <c r="P58">
        <v>0.9976891</v>
      </c>
      <c r="Q58">
        <v>4.4544359999999998E-2</v>
      </c>
      <c r="R58">
        <v>-5.1309510000000003E-2</v>
      </c>
      <c r="S58">
        <v>2.997131</v>
      </c>
      <c r="T58">
        <v>3.479815E-2</v>
      </c>
      <c r="U58">
        <v>-0.1572876</v>
      </c>
      <c r="V58">
        <v>4.8503400000000002E-2</v>
      </c>
      <c r="W58">
        <v>4.0902470000000003E-2</v>
      </c>
      <c r="X58">
        <v>0.99798520000000002</v>
      </c>
      <c r="Y58">
        <v>4.9601760000000002E-2</v>
      </c>
      <c r="Z58">
        <v>2.5518760000000002E-4</v>
      </c>
      <c r="AA58">
        <v>0.99876900000000002</v>
      </c>
      <c r="AB58">
        <v>18</v>
      </c>
      <c r="AC58">
        <v>2.997131</v>
      </c>
      <c r="AD58">
        <v>3.479815E-2</v>
      </c>
      <c r="AE58">
        <v>-0.1572876</v>
      </c>
      <c r="AF58">
        <v>0.14885699381380299</v>
      </c>
      <c r="AG58">
        <v>3.479815E-2</v>
      </c>
      <c r="AH58">
        <v>2.9971576337345001</v>
      </c>
      <c r="AI58">
        <v>89.335622743795497</v>
      </c>
      <c r="AJ58">
        <v>87.156681054769606</v>
      </c>
      <c r="AK58">
        <v>3.00105368117661</v>
      </c>
      <c r="AL58">
        <v>87.655807203557401</v>
      </c>
      <c r="AM58">
        <v>87.217538802148098</v>
      </c>
      <c r="AN58">
        <v>1.0000000256413499</v>
      </c>
    </row>
    <row r="59" spans="1:40" x14ac:dyDescent="0.25">
      <c r="A59" t="str">
        <f>"20190312154502724"</f>
        <v>20190312154502724</v>
      </c>
      <c r="B59" t="str">
        <f>"1552376702716157"</f>
        <v>1552376702716157</v>
      </c>
      <c r="C59" t="s">
        <v>40</v>
      </c>
      <c r="D59">
        <v>4.1307710000000002</v>
      </c>
      <c r="E59">
        <v>0.50393390000000005</v>
      </c>
      <c r="F59" t="s">
        <v>44</v>
      </c>
      <c r="G59">
        <v>0</v>
      </c>
      <c r="H59">
        <v>0</v>
      </c>
      <c r="I59">
        <v>0</v>
      </c>
      <c r="J59">
        <v>-470.48809999999997</v>
      </c>
      <c r="K59">
        <v>1.108031</v>
      </c>
      <c r="L59">
        <v>367.19130000000001</v>
      </c>
      <c r="M59">
        <v>0.99999000000000005</v>
      </c>
      <c r="N59">
        <v>0</v>
      </c>
      <c r="O59">
        <v>-2.6425910000000001E-3</v>
      </c>
      <c r="P59">
        <v>0.99760760000000004</v>
      </c>
      <c r="Q59">
        <v>4.7352770000000002E-2</v>
      </c>
      <c r="R59">
        <v>-5.036943E-2</v>
      </c>
      <c r="S59">
        <v>2.996216</v>
      </c>
      <c r="T59">
        <v>3.9898749999999997E-2</v>
      </c>
      <c r="U59">
        <v>-0.1741943</v>
      </c>
      <c r="V59">
        <v>4.7726310000000001E-2</v>
      </c>
      <c r="W59">
        <v>4.3752350000000002E-2</v>
      </c>
      <c r="X59">
        <v>0.9979017</v>
      </c>
      <c r="Y59">
        <v>5.5397090000000003E-2</v>
      </c>
      <c r="Z59">
        <v>3.333589E-4</v>
      </c>
      <c r="AA59">
        <v>0.99846429999999997</v>
      </c>
      <c r="AB59">
        <v>18</v>
      </c>
      <c r="AC59">
        <v>2.996216</v>
      </c>
      <c r="AD59">
        <v>3.9898749999999997E-2</v>
      </c>
      <c r="AE59">
        <v>-0.1741943</v>
      </c>
      <c r="AF59">
        <v>0.16624648628713501</v>
      </c>
      <c r="AG59">
        <v>3.9898749999999997E-2</v>
      </c>
      <c r="AH59">
        <v>2.99613636236937</v>
      </c>
      <c r="AI59">
        <v>89.238224099492101</v>
      </c>
      <c r="AJ59">
        <v>86.824088270513997</v>
      </c>
      <c r="AK59">
        <v>3.0010103142719098</v>
      </c>
      <c r="AL59">
        <v>87.492374361261497</v>
      </c>
      <c r="AM59">
        <v>87.261820454467795</v>
      </c>
      <c r="AN59">
        <v>0.99999993582981195</v>
      </c>
    </row>
    <row r="60" spans="1:40" x14ac:dyDescent="0.25">
      <c r="A60" t="str">
        <f>"20190312154502746"</f>
        <v>20190312154502746</v>
      </c>
      <c r="B60" t="str">
        <f>"1552376702735677"</f>
        <v>1552376702735677</v>
      </c>
      <c r="C60" t="s">
        <v>40</v>
      </c>
      <c r="D60">
        <v>4.1365489999999996</v>
      </c>
      <c r="E60">
        <v>0.50453570000000003</v>
      </c>
      <c r="F60" t="s">
        <v>44</v>
      </c>
      <c r="G60">
        <v>0</v>
      </c>
      <c r="H60">
        <v>0</v>
      </c>
      <c r="I60">
        <v>0</v>
      </c>
      <c r="J60">
        <v>-470.30380000000002</v>
      </c>
      <c r="K60">
        <v>1.108061</v>
      </c>
      <c r="L60">
        <v>367.19099999999997</v>
      </c>
      <c r="M60">
        <v>0.9999905</v>
      </c>
      <c r="N60">
        <v>0</v>
      </c>
      <c r="O60">
        <v>-2.4818230000000002E-3</v>
      </c>
      <c r="P60">
        <v>0.9972337</v>
      </c>
      <c r="Q60">
        <v>5.5654429999999998E-2</v>
      </c>
      <c r="R60">
        <v>-4.9266459999999998E-2</v>
      </c>
      <c r="S60">
        <v>2.9958499999999999</v>
      </c>
      <c r="T60">
        <v>4.8397299999999997E-2</v>
      </c>
      <c r="U60">
        <v>-0.17962649999999999</v>
      </c>
      <c r="V60">
        <v>4.6783600000000002E-2</v>
      </c>
      <c r="W60">
        <v>5.2096440000000001E-2</v>
      </c>
      <c r="X60">
        <v>0.99754560000000003</v>
      </c>
      <c r="Y60">
        <v>5.7366250000000001E-2</v>
      </c>
      <c r="Z60">
        <v>4.2286960000000002E-4</v>
      </c>
      <c r="AA60">
        <v>0.99835309999999999</v>
      </c>
      <c r="AB60">
        <v>19</v>
      </c>
      <c r="AC60">
        <v>2.9958499999999999</v>
      </c>
      <c r="AD60">
        <v>4.8397299999999997E-2</v>
      </c>
      <c r="AE60">
        <v>-0.17962649999999999</v>
      </c>
      <c r="AF60">
        <v>0.17214596442587099</v>
      </c>
      <c r="AG60">
        <v>4.8397299999999997E-2</v>
      </c>
      <c r="AH60">
        <v>2.9955076194686701</v>
      </c>
      <c r="AI60">
        <v>89.075898418203295</v>
      </c>
      <c r="AJ60">
        <v>86.710941213336199</v>
      </c>
      <c r="AK60">
        <v>3.0008402873212501</v>
      </c>
      <c r="AL60">
        <v>87.013741969413402</v>
      </c>
      <c r="AM60">
        <v>87.314869441018899</v>
      </c>
      <c r="AN60">
        <v>0.99999998418449598</v>
      </c>
    </row>
    <row r="61" spans="1:40" x14ac:dyDescent="0.25">
      <c r="A61" t="str">
        <f>"20190312154502769"</f>
        <v>20190312154502769</v>
      </c>
      <c r="B61" t="str">
        <f>"1552376702765933"</f>
        <v>1552376702765933</v>
      </c>
      <c r="C61" t="s">
        <v>40</v>
      </c>
      <c r="D61">
        <v>4.1858870000000001</v>
      </c>
      <c r="E61">
        <v>0.50511030000000001</v>
      </c>
      <c r="F61" t="s">
        <v>44</v>
      </c>
      <c r="G61">
        <v>0</v>
      </c>
      <c r="H61">
        <v>0</v>
      </c>
      <c r="I61">
        <v>0</v>
      </c>
      <c r="J61">
        <v>-470.1026</v>
      </c>
      <c r="K61">
        <v>1.1080970000000001</v>
      </c>
      <c r="L61">
        <v>367.19060000000002</v>
      </c>
      <c r="M61">
        <v>0.99999119999999997</v>
      </c>
      <c r="N61">
        <v>0</v>
      </c>
      <c r="O61">
        <v>-2.3062709999999999E-3</v>
      </c>
      <c r="P61">
        <v>0.99661390000000005</v>
      </c>
      <c r="Q61">
        <v>6.6251080000000004E-2</v>
      </c>
      <c r="R61">
        <v>-4.8699100000000002E-2</v>
      </c>
      <c r="S61">
        <v>2.995422</v>
      </c>
      <c r="T61">
        <v>7.0376519999999998E-2</v>
      </c>
      <c r="U61">
        <v>-0.1809692</v>
      </c>
      <c r="V61">
        <v>4.639062E-2</v>
      </c>
      <c r="W61">
        <v>6.2742779999999998E-2</v>
      </c>
      <c r="X61">
        <v>0.99695100000000003</v>
      </c>
      <c r="Y61">
        <v>5.7987759999999999E-2</v>
      </c>
      <c r="Z61">
        <v>6.2636059999999995E-4</v>
      </c>
      <c r="AA61">
        <v>0.99831709999999996</v>
      </c>
      <c r="AB61">
        <v>19</v>
      </c>
      <c r="AC61">
        <v>2.995422</v>
      </c>
      <c r="AD61">
        <v>7.0376519999999998E-2</v>
      </c>
      <c r="AE61">
        <v>-0.1809692</v>
      </c>
      <c r="AF61">
        <v>0.17396474199335901</v>
      </c>
      <c r="AG61">
        <v>7.0376519999999998E-2</v>
      </c>
      <c r="AH61">
        <v>2.9941846193847601</v>
      </c>
      <c r="AI61">
        <v>88.655810913758501</v>
      </c>
      <c r="AJ61">
        <v>86.674803431387801</v>
      </c>
      <c r="AK61">
        <v>3.0000596862369902</v>
      </c>
      <c r="AL61">
        <v>86.402740754014999</v>
      </c>
      <c r="AM61">
        <v>87.335806071817998</v>
      </c>
      <c r="AN61">
        <v>1.00000002123355</v>
      </c>
    </row>
    <row r="62" spans="1:40" x14ac:dyDescent="0.25">
      <c r="A62" t="str">
        <f>"20190312154502793"</f>
        <v>20190312154502793</v>
      </c>
      <c r="B62" t="str">
        <f>"1552376702786429"</f>
        <v>1552376702786429</v>
      </c>
      <c r="C62" t="s">
        <v>40</v>
      </c>
      <c r="D62">
        <v>4.2037050000000002</v>
      </c>
      <c r="E62">
        <v>0.50531939999999997</v>
      </c>
      <c r="F62" t="s">
        <v>44</v>
      </c>
      <c r="G62">
        <v>0</v>
      </c>
      <c r="H62">
        <v>0</v>
      </c>
      <c r="I62">
        <v>0</v>
      </c>
      <c r="J62">
        <v>-469.89940000000001</v>
      </c>
      <c r="K62">
        <v>1.1081270000000001</v>
      </c>
      <c r="L62">
        <v>367.19029999999998</v>
      </c>
      <c r="M62">
        <v>0.99999170000000004</v>
      </c>
      <c r="N62">
        <v>0</v>
      </c>
      <c r="O62">
        <v>-2.127379E-3</v>
      </c>
      <c r="P62">
        <v>0.99592219999999998</v>
      </c>
      <c r="Q62">
        <v>7.537083E-2</v>
      </c>
      <c r="R62">
        <v>-4.9583769999999999E-2</v>
      </c>
      <c r="S62">
        <v>2.99472</v>
      </c>
      <c r="T62">
        <v>9.7689509999999993E-2</v>
      </c>
      <c r="U62">
        <v>-0.1832886</v>
      </c>
      <c r="V62">
        <v>4.7452719999999997E-2</v>
      </c>
      <c r="W62">
        <v>7.1916740000000007E-2</v>
      </c>
      <c r="X62">
        <v>0.99628119999999998</v>
      </c>
      <c r="Y62">
        <v>5.8935939999999999E-2</v>
      </c>
      <c r="Z62">
        <v>8.9079670000000004E-4</v>
      </c>
      <c r="AA62">
        <v>0.99826139999999997</v>
      </c>
      <c r="AB62">
        <v>19</v>
      </c>
      <c r="AC62">
        <v>2.99472</v>
      </c>
      <c r="AD62">
        <v>9.7689509999999993E-2</v>
      </c>
      <c r="AE62">
        <v>-0.1832886</v>
      </c>
      <c r="AF62">
        <v>0.17672988546635099</v>
      </c>
      <c r="AG62">
        <v>9.7689509999999993E-2</v>
      </c>
      <c r="AH62">
        <v>2.99193131013415</v>
      </c>
      <c r="AI62">
        <v>88.133152317629595</v>
      </c>
      <c r="AJ62">
        <v>86.619533246790098</v>
      </c>
      <c r="AK62">
        <v>2.9987380107875401</v>
      </c>
      <c r="AL62">
        <v>85.875914139941798</v>
      </c>
      <c r="AM62">
        <v>87.273071711918206</v>
      </c>
      <c r="AN62">
        <v>1.0000000038005299</v>
      </c>
    </row>
    <row r="63" spans="1:40" x14ac:dyDescent="0.25">
      <c r="A63" t="str">
        <f>"20190312154502816"</f>
        <v>20190312154502816</v>
      </c>
      <c r="B63" t="str">
        <f>"1552376702805948"</f>
        <v>1552376702805948</v>
      </c>
      <c r="C63" t="s">
        <v>40</v>
      </c>
      <c r="D63">
        <v>4.2256830000000001</v>
      </c>
      <c r="E63">
        <v>0.50549789999999994</v>
      </c>
      <c r="F63" t="s">
        <v>44</v>
      </c>
      <c r="G63">
        <v>0</v>
      </c>
      <c r="H63">
        <v>0</v>
      </c>
      <c r="I63">
        <v>0</v>
      </c>
      <c r="J63">
        <v>-469.69560000000001</v>
      </c>
      <c r="K63">
        <v>1.1081570000000001</v>
      </c>
      <c r="L63">
        <v>367.19009999999997</v>
      </c>
      <c r="M63">
        <v>0.99999229999999995</v>
      </c>
      <c r="N63">
        <v>0</v>
      </c>
      <c r="O63">
        <v>-1.947292E-3</v>
      </c>
      <c r="P63">
        <v>0.99530850000000004</v>
      </c>
      <c r="Q63">
        <v>8.1845780000000007E-2</v>
      </c>
      <c r="R63">
        <v>-5.1597740000000003E-2</v>
      </c>
      <c r="S63">
        <v>2.993805</v>
      </c>
      <c r="T63">
        <v>0.1208558</v>
      </c>
      <c r="U63">
        <v>-0.18722530000000001</v>
      </c>
      <c r="V63">
        <v>4.9645689999999999E-2</v>
      </c>
      <c r="W63">
        <v>7.8448970000000007E-2</v>
      </c>
      <c r="X63">
        <v>0.99568120000000004</v>
      </c>
      <c r="Y63">
        <v>6.0424600000000002E-2</v>
      </c>
      <c r="Z63">
        <v>1.1394440000000001E-3</v>
      </c>
      <c r="AA63">
        <v>0.99817210000000001</v>
      </c>
      <c r="AB63">
        <v>19</v>
      </c>
      <c r="AC63">
        <v>2.993805</v>
      </c>
      <c r="AD63">
        <v>0.1208558</v>
      </c>
      <c r="AE63">
        <v>-0.18722530000000001</v>
      </c>
      <c r="AF63">
        <v>0.18110112127207001</v>
      </c>
      <c r="AG63">
        <v>0.1208558</v>
      </c>
      <c r="AH63">
        <v>2.9893114260336402</v>
      </c>
      <c r="AI63">
        <v>87.6890643974954</v>
      </c>
      <c r="AJ63">
        <v>86.533093539299699</v>
      </c>
      <c r="AK63">
        <v>2.99722981139834</v>
      </c>
      <c r="AL63">
        <v>85.500581926949295</v>
      </c>
      <c r="AM63">
        <v>87.1455373775634</v>
      </c>
      <c r="AN63">
        <v>0.99999999373153803</v>
      </c>
    </row>
    <row r="64" spans="1:40" x14ac:dyDescent="0.25">
      <c r="A64" t="str">
        <f>"20190312154502837"</f>
        <v>20190312154502837</v>
      </c>
      <c r="B64" t="str">
        <f>"1552376702826446"</f>
        <v>1552376702826446</v>
      </c>
      <c r="C64" t="s">
        <v>40</v>
      </c>
      <c r="D64">
        <v>4.233854</v>
      </c>
      <c r="E64">
        <v>0.50562640000000003</v>
      </c>
      <c r="F64" t="s">
        <v>44</v>
      </c>
      <c r="G64">
        <v>0</v>
      </c>
      <c r="H64">
        <v>0</v>
      </c>
      <c r="I64">
        <v>0</v>
      </c>
      <c r="J64">
        <v>-469.50479999999999</v>
      </c>
      <c r="K64">
        <v>1.1081749999999999</v>
      </c>
      <c r="L64">
        <v>367.18990000000002</v>
      </c>
      <c r="M64">
        <v>0.99999289999999996</v>
      </c>
      <c r="N64">
        <v>0</v>
      </c>
      <c r="O64">
        <v>-1.778296E-3</v>
      </c>
      <c r="P64">
        <v>0.99487829999999999</v>
      </c>
      <c r="Q64">
        <v>8.5045910000000002E-2</v>
      </c>
      <c r="R64">
        <v>-5.4634269999999999E-2</v>
      </c>
      <c r="S64">
        <v>2.9930729999999999</v>
      </c>
      <c r="T64">
        <v>0.13344029999999901</v>
      </c>
      <c r="U64">
        <v>-0.19445799999999999</v>
      </c>
      <c r="V64">
        <v>5.2849689999999998E-2</v>
      </c>
      <c r="W64">
        <v>8.1704830000000006E-2</v>
      </c>
      <c r="X64">
        <v>0.99525430000000004</v>
      </c>
      <c r="Y64">
        <v>6.2997479999999995E-2</v>
      </c>
      <c r="Z64">
        <v>1.3229779999999901E-3</v>
      </c>
      <c r="AA64">
        <v>0.99801280000000003</v>
      </c>
      <c r="AB64">
        <v>20</v>
      </c>
      <c r="AC64">
        <v>2.9930729999999999</v>
      </c>
      <c r="AD64">
        <v>0.13344029999999901</v>
      </c>
      <c r="AE64">
        <v>-0.19445799999999999</v>
      </c>
      <c r="AF64">
        <v>0.18876147912785499</v>
      </c>
      <c r="AG64">
        <v>0.13344029999999901</v>
      </c>
      <c r="AH64">
        <v>2.9875009334151401</v>
      </c>
      <c r="AI64">
        <v>87.447598411002801</v>
      </c>
      <c r="AJ64">
        <v>86.384644368510905</v>
      </c>
      <c r="AK64">
        <v>2.99643104990303</v>
      </c>
      <c r="AL64">
        <v>85.313433586342796</v>
      </c>
      <c r="AM64">
        <v>86.960351919198601</v>
      </c>
      <c r="AN64">
        <v>0.99999994532345604</v>
      </c>
    </row>
    <row r="65" spans="1:40" x14ac:dyDescent="0.25">
      <c r="A65" t="str">
        <f>"20190312154502859"</f>
        <v>20190312154502859</v>
      </c>
      <c r="B65" t="str">
        <f>"1552376702855725"</f>
        <v>1552376702855725</v>
      </c>
      <c r="C65" t="s">
        <v>40</v>
      </c>
      <c r="D65">
        <v>4.3064910000000003</v>
      </c>
      <c r="E65">
        <v>0.50625399999999998</v>
      </c>
      <c r="F65" t="s">
        <v>44</v>
      </c>
      <c r="G65">
        <v>0</v>
      </c>
      <c r="H65">
        <v>0</v>
      </c>
      <c r="I65">
        <v>0</v>
      </c>
      <c r="J65">
        <v>-469.30759999999998</v>
      </c>
      <c r="K65">
        <v>1.1081799999999999</v>
      </c>
      <c r="L65">
        <v>367.18970000000002</v>
      </c>
      <c r="M65">
        <v>0.99999329999999997</v>
      </c>
      <c r="N65">
        <v>0</v>
      </c>
      <c r="O65">
        <v>-1.6032150000000001E-3</v>
      </c>
      <c r="P65">
        <v>0.99485109999999999</v>
      </c>
      <c r="Q65">
        <v>8.3335709999999993E-2</v>
      </c>
      <c r="R65">
        <v>-5.7677970000000002E-2</v>
      </c>
      <c r="S65">
        <v>2.9923099999999998</v>
      </c>
      <c r="T65">
        <v>0.1391598</v>
      </c>
      <c r="U65">
        <v>-0.20468140000000001</v>
      </c>
      <c r="V65">
        <v>5.6067110000000003E-2</v>
      </c>
      <c r="W65">
        <v>8.0051819999999996E-2</v>
      </c>
      <c r="X65">
        <v>0.9952126</v>
      </c>
      <c r="Y65">
        <v>6.6573560000000004E-2</v>
      </c>
      <c r="Z65">
        <v>1.470959E-3</v>
      </c>
      <c r="AA65">
        <v>0.99778040000000001</v>
      </c>
      <c r="AB65">
        <v>20</v>
      </c>
      <c r="AC65">
        <v>2.9923099999999998</v>
      </c>
      <c r="AD65">
        <v>0.1391598</v>
      </c>
      <c r="AE65">
        <v>-0.20468140000000001</v>
      </c>
      <c r="AF65">
        <v>0.19945442556415199</v>
      </c>
      <c r="AG65">
        <v>0.1391598</v>
      </c>
      <c r="AH65">
        <v>2.98620584536723</v>
      </c>
      <c r="AI65">
        <v>87.337819950095806</v>
      </c>
      <c r="AJ65">
        <v>86.178780422671494</v>
      </c>
      <c r="AK65">
        <v>2.9960929339255502</v>
      </c>
      <c r="AL65">
        <v>85.408455491781496</v>
      </c>
      <c r="AM65">
        <v>86.775546575815298</v>
      </c>
      <c r="AN65">
        <v>0.99999996695391102</v>
      </c>
    </row>
    <row r="66" spans="1:40" x14ac:dyDescent="0.25">
      <c r="A66" t="str">
        <f>"20190312154502881"</f>
        <v>20190312154502881</v>
      </c>
      <c r="B66" t="str">
        <f>"1552376702876222"</f>
        <v>1552376702876222</v>
      </c>
      <c r="C66" t="s">
        <v>40</v>
      </c>
      <c r="D66">
        <v>4.3325149999999999</v>
      </c>
      <c r="E66">
        <v>0.50569149999999996</v>
      </c>
      <c r="F66" t="s">
        <v>44</v>
      </c>
      <c r="G66">
        <v>0</v>
      </c>
      <c r="H66">
        <v>0</v>
      </c>
      <c r="I66">
        <v>0</v>
      </c>
      <c r="J66">
        <v>-469.11270000000002</v>
      </c>
      <c r="K66">
        <v>1.1081730000000001</v>
      </c>
      <c r="L66">
        <v>367.18959999999998</v>
      </c>
      <c r="M66">
        <v>0.99999369999999999</v>
      </c>
      <c r="N66">
        <v>0</v>
      </c>
      <c r="O66">
        <v>-1.43016E-3</v>
      </c>
      <c r="P66">
        <v>0.99491859999999999</v>
      </c>
      <c r="Q66">
        <v>8.0700820000000006E-2</v>
      </c>
      <c r="R66">
        <v>-6.0203390000000002E-2</v>
      </c>
      <c r="S66">
        <v>2.9998779999999998</v>
      </c>
      <c r="T66">
        <v>3.754818E-2</v>
      </c>
      <c r="U66">
        <v>-0.2156372</v>
      </c>
      <c r="V66">
        <v>5.8764469999999999E-2</v>
      </c>
      <c r="W66">
        <v>7.7473959999999994E-2</v>
      </c>
      <c r="X66">
        <v>0.99526099999999995</v>
      </c>
      <c r="Y66">
        <v>7.0265079999999994E-2</v>
      </c>
      <c r="Z66">
        <v>4.212784E-4</v>
      </c>
      <c r="AA66">
        <v>0.99752830000000003</v>
      </c>
      <c r="AB66">
        <v>20</v>
      </c>
      <c r="AC66">
        <v>2.9998779999999998</v>
      </c>
      <c r="AD66">
        <v>3.754818E-2</v>
      </c>
      <c r="AE66">
        <v>-0.2156372</v>
      </c>
      <c r="AF66">
        <v>0.21131371612720401</v>
      </c>
      <c r="AG66">
        <v>3.754818E-2</v>
      </c>
      <c r="AH66">
        <v>2.9997157961590801</v>
      </c>
      <c r="AI66">
        <v>89.284624718043801</v>
      </c>
      <c r="AJ66">
        <v>85.970479557010904</v>
      </c>
      <c r="AK66">
        <v>3.0073839479140498</v>
      </c>
      <c r="AL66">
        <v>85.556616320083293</v>
      </c>
      <c r="AM66">
        <v>86.620934988550701</v>
      </c>
      <c r="AN66">
        <v>0.99999996776672995</v>
      </c>
    </row>
    <row r="67" spans="1:40" x14ac:dyDescent="0.25">
      <c r="A67" t="str">
        <f>"20190312154502903"</f>
        <v>20190312154502903</v>
      </c>
      <c r="B67" t="str">
        <f>"1552376702895741"</f>
        <v>1552376702895741</v>
      </c>
      <c r="C67" t="s">
        <v>40</v>
      </c>
      <c r="D67">
        <v>4.3377239999999997</v>
      </c>
      <c r="E67">
        <v>0.505243</v>
      </c>
      <c r="F67" t="s">
        <v>44</v>
      </c>
      <c r="G67">
        <v>0</v>
      </c>
      <c r="H67">
        <v>0</v>
      </c>
      <c r="I67">
        <v>0</v>
      </c>
      <c r="J67">
        <v>-468.90170000000001</v>
      </c>
      <c r="K67">
        <v>1.1081719999999999</v>
      </c>
      <c r="L67">
        <v>367.18950000000001</v>
      </c>
      <c r="M67">
        <v>0.99999420000000006</v>
      </c>
      <c r="N67">
        <v>0</v>
      </c>
      <c r="O67">
        <v>-1.24303E-3</v>
      </c>
      <c r="P67">
        <v>0.99499070000000001</v>
      </c>
      <c r="Q67">
        <v>7.8264429999999996E-2</v>
      </c>
      <c r="R67">
        <v>-6.2197379999999997E-2</v>
      </c>
      <c r="S67">
        <v>3.0009769999999998</v>
      </c>
      <c r="T67">
        <v>1.4485359999999999E-2</v>
      </c>
      <c r="U67">
        <v>-0.21801760000000001</v>
      </c>
      <c r="V67">
        <v>6.0944489999999997E-2</v>
      </c>
      <c r="W67">
        <v>7.5100050000000002E-2</v>
      </c>
      <c r="X67">
        <v>0.99531190000000003</v>
      </c>
      <c r="Y67">
        <v>7.1217279999999994E-2</v>
      </c>
      <c r="Z67">
        <v>1.656595E-4</v>
      </c>
      <c r="AA67">
        <v>0.99746080000000004</v>
      </c>
      <c r="AB67">
        <v>20</v>
      </c>
      <c r="AC67">
        <v>3.0009769999999998</v>
      </c>
      <c r="AD67">
        <v>1.4485359999999999E-2</v>
      </c>
      <c r="AE67">
        <v>-0.21801760000000001</v>
      </c>
      <c r="AF67">
        <v>0.21428214207004001</v>
      </c>
      <c r="AG67">
        <v>1.4485359999999999E-2</v>
      </c>
      <c r="AH67">
        <v>3.0011761286716498</v>
      </c>
      <c r="AI67">
        <v>89.724162752875699</v>
      </c>
      <c r="AJ67">
        <v>85.916046762178496</v>
      </c>
      <c r="AK67">
        <v>3.0088510792947201</v>
      </c>
      <c r="AL67">
        <v>85.693029097562103</v>
      </c>
      <c r="AM67">
        <v>86.4960653673932</v>
      </c>
      <c r="AN67">
        <v>1.0000000133264799</v>
      </c>
    </row>
    <row r="68" spans="1:40" x14ac:dyDescent="0.25">
      <c r="A68" t="str">
        <f>"20190312154502925"</f>
        <v>20190312154502925</v>
      </c>
      <c r="B68" t="str">
        <f>"1552376702916237"</f>
        <v>1552376702916237</v>
      </c>
      <c r="C68" t="s">
        <v>40</v>
      </c>
      <c r="D68">
        <v>4.336856</v>
      </c>
      <c r="E68">
        <v>0.50459549999999997</v>
      </c>
      <c r="F68" t="s">
        <v>45</v>
      </c>
      <c r="G68">
        <v>64.396609999999995</v>
      </c>
      <c r="H68">
        <v>-0.1</v>
      </c>
      <c r="I68">
        <v>328.17619999999999</v>
      </c>
      <c r="J68">
        <v>-468.6925</v>
      </c>
      <c r="K68">
        <v>1.108166</v>
      </c>
      <c r="L68">
        <v>367.18939999999998</v>
      </c>
      <c r="M68">
        <v>0.99999459999999996</v>
      </c>
      <c r="N68">
        <v>0</v>
      </c>
      <c r="O68">
        <v>-1.057568E-3</v>
      </c>
      <c r="P68">
        <v>0.99494579999999999</v>
      </c>
      <c r="Q68">
        <v>7.8537940000000001E-2</v>
      </c>
      <c r="R68">
        <v>-6.2570139999999996E-2</v>
      </c>
      <c r="S68">
        <v>3.0019230000000001</v>
      </c>
      <c r="T68">
        <v>-6.8007709999999997E-3</v>
      </c>
      <c r="U68">
        <v>-0.21960450000000001</v>
      </c>
      <c r="V68">
        <v>6.1501239999999999E-2</v>
      </c>
      <c r="W68">
        <v>7.5435269999999999E-2</v>
      </c>
      <c r="X68">
        <v>0.99525229999999998</v>
      </c>
      <c r="Y68">
        <v>7.1904679999999999E-2</v>
      </c>
      <c r="Z68" s="1">
        <v>-7.8947549999999999E-5</v>
      </c>
      <c r="AA68">
        <v>0.99741150000000001</v>
      </c>
      <c r="AB68">
        <v>21</v>
      </c>
      <c r="AC68">
        <v>533.08911000000001</v>
      </c>
      <c r="AD68">
        <v>-1.2081660000000001</v>
      </c>
      <c r="AE68">
        <v>-39.013199999999898</v>
      </c>
      <c r="AF68">
        <v>38.449201033582398</v>
      </c>
      <c r="AG68">
        <v>-1.2081660000000001</v>
      </c>
      <c r="AH68">
        <v>533.12734745735497</v>
      </c>
      <c r="AI68">
        <v>90.129506336706399</v>
      </c>
      <c r="AJ68">
        <v>85.874964254217304</v>
      </c>
      <c r="AK68">
        <v>534.51339490429996</v>
      </c>
      <c r="AL68">
        <v>85.6737677615682</v>
      </c>
      <c r="AM68">
        <v>86.4639252924608</v>
      </c>
      <c r="AN68">
        <v>1.0000000115684</v>
      </c>
    </row>
    <row r="69" spans="1:40" x14ac:dyDescent="0.25">
      <c r="A69" t="str">
        <f>"20190312154502948"</f>
        <v>20190312154502948</v>
      </c>
      <c r="B69" t="str">
        <f>"1552376702935757"</f>
        <v>1552376702935757</v>
      </c>
      <c r="C69" t="s">
        <v>40</v>
      </c>
      <c r="D69">
        <v>4.3687800000000001</v>
      </c>
      <c r="E69">
        <v>0.50446670000000005</v>
      </c>
      <c r="F69" t="s">
        <v>43</v>
      </c>
      <c r="G69">
        <v>-265.48070000000001</v>
      </c>
      <c r="H69">
        <v>-0.05</v>
      </c>
      <c r="I69">
        <v>352.64940000000001</v>
      </c>
      <c r="J69">
        <v>-468.47669999999999</v>
      </c>
      <c r="K69">
        <v>1.108168</v>
      </c>
      <c r="L69">
        <v>367.18939999999998</v>
      </c>
      <c r="M69">
        <v>0.99999510000000003</v>
      </c>
      <c r="N69">
        <v>0</v>
      </c>
      <c r="O69">
        <v>-8.6638090000000002E-4</v>
      </c>
      <c r="P69">
        <v>0.99498810000000004</v>
      </c>
      <c r="Q69">
        <v>7.8248349999999994E-2</v>
      </c>
      <c r="R69">
        <v>-6.2262640000000001E-2</v>
      </c>
      <c r="S69">
        <v>3.003082</v>
      </c>
      <c r="T69">
        <v>-1.7115470000000001E-2</v>
      </c>
      <c r="U69">
        <v>-0.21487429999999999</v>
      </c>
      <c r="V69">
        <v>6.1383529999999999E-2</v>
      </c>
      <c r="W69">
        <v>7.5208469999999999E-2</v>
      </c>
      <c r="X69">
        <v>0.99527670000000001</v>
      </c>
      <c r="Y69">
        <v>7.0503460000000004E-2</v>
      </c>
      <c r="Z69">
        <v>-1.957208E-4</v>
      </c>
      <c r="AA69">
        <v>0.9975115</v>
      </c>
      <c r="AB69">
        <v>21</v>
      </c>
      <c r="AC69">
        <v>202.99600000000001</v>
      </c>
      <c r="AD69">
        <v>-1.1581680000000001</v>
      </c>
      <c r="AE69">
        <v>-14.5399999999999</v>
      </c>
      <c r="AF69">
        <v>14.363656721034101</v>
      </c>
      <c r="AG69">
        <v>-1.1581680000000001</v>
      </c>
      <c r="AH69">
        <v>203.00194680268899</v>
      </c>
      <c r="AI69">
        <v>90.326065521503395</v>
      </c>
      <c r="AJ69">
        <v>85.952710624402997</v>
      </c>
      <c r="AK69">
        <v>203.512767150363</v>
      </c>
      <c r="AL69">
        <v>85.686799330088704</v>
      </c>
      <c r="AM69">
        <v>86.470762327886405</v>
      </c>
      <c r="AN69">
        <v>0.99999998063894502</v>
      </c>
    </row>
    <row r="70" spans="1:40" x14ac:dyDescent="0.25">
      <c r="A70" t="str">
        <f>"20190312154502969"</f>
        <v>20190312154502969</v>
      </c>
      <c r="B70" t="str">
        <f>"1552376702966013"</f>
        <v>1552376702966013</v>
      </c>
      <c r="C70" t="s">
        <v>40</v>
      </c>
      <c r="D70">
        <v>4.2961710000000002</v>
      </c>
      <c r="E70">
        <v>0.50453840000000005</v>
      </c>
      <c r="F70" t="s">
        <v>43</v>
      </c>
      <c r="G70">
        <v>-292.61630000000002</v>
      </c>
      <c r="H70">
        <v>-0.05</v>
      </c>
      <c r="I70">
        <v>354.72710000000001</v>
      </c>
      <c r="J70">
        <v>-468.27069999999998</v>
      </c>
      <c r="K70">
        <v>1.1081700000000001</v>
      </c>
      <c r="L70">
        <v>367.18939999999998</v>
      </c>
      <c r="M70">
        <v>0.99999530000000003</v>
      </c>
      <c r="N70">
        <v>0</v>
      </c>
      <c r="O70">
        <v>-6.8461759999999998E-4</v>
      </c>
      <c r="P70">
        <v>0.99505730000000003</v>
      </c>
      <c r="Q70">
        <v>7.7697310000000006E-2</v>
      </c>
      <c r="R70">
        <v>-6.1841800000000002E-2</v>
      </c>
      <c r="S70">
        <v>3.0033259999999999</v>
      </c>
      <c r="T70">
        <v>-1.9779089999999999E-2</v>
      </c>
      <c r="U70">
        <v>-0.21282960000000001</v>
      </c>
      <c r="V70">
        <v>6.1143349999999999E-2</v>
      </c>
      <c r="W70">
        <v>7.4717270000000002E-2</v>
      </c>
      <c r="X70">
        <v>0.99532849999999995</v>
      </c>
      <c r="Y70">
        <v>7.0002949999999994E-2</v>
      </c>
      <c r="Z70">
        <v>-2.2571599999999999E-4</v>
      </c>
      <c r="AA70">
        <v>0.99754670000000001</v>
      </c>
      <c r="AB70">
        <v>21</v>
      </c>
      <c r="AC70">
        <v>175.65439999999899</v>
      </c>
      <c r="AD70">
        <v>-1.1581699999999999</v>
      </c>
      <c r="AE70">
        <v>-12.4622999999999</v>
      </c>
      <c r="AF70">
        <v>12.341506604901101</v>
      </c>
      <c r="AG70">
        <v>-1.1581699999999999</v>
      </c>
      <c r="AH70">
        <v>175.655292644225</v>
      </c>
      <c r="AI70">
        <v>90.376840996908797</v>
      </c>
      <c r="AJ70">
        <v>85.981014183252199</v>
      </c>
      <c r="AK70">
        <v>176.092123551725</v>
      </c>
      <c r="AL70">
        <v>85.715022517122605</v>
      </c>
      <c r="AM70">
        <v>86.484719242120505</v>
      </c>
      <c r="AN70">
        <v>1.0000000012988599</v>
      </c>
    </row>
    <row r="71" spans="1:40" x14ac:dyDescent="0.25">
      <c r="A71" t="str">
        <f>"20190312154502998"</f>
        <v>20190312154502998</v>
      </c>
      <c r="B71" t="str">
        <f>"1552376702985533"</f>
        <v>1552376702985533</v>
      </c>
      <c r="C71" t="s">
        <v>40</v>
      </c>
      <c r="D71">
        <v>4.3134699999999997</v>
      </c>
      <c r="E71">
        <v>0.5045288</v>
      </c>
      <c r="F71" t="s">
        <v>43</v>
      </c>
      <c r="G71">
        <v>-275.59140000000002</v>
      </c>
      <c r="H71">
        <v>-0.05</v>
      </c>
      <c r="I71">
        <v>353.59120000000001</v>
      </c>
      <c r="J71">
        <v>-467.98689999999999</v>
      </c>
      <c r="K71">
        <v>1.108176</v>
      </c>
      <c r="L71">
        <v>367.18950000000001</v>
      </c>
      <c r="M71">
        <v>0.99999579999999999</v>
      </c>
      <c r="N71">
        <v>0</v>
      </c>
      <c r="O71">
        <v>-4.3523120000000002E-4</v>
      </c>
      <c r="P71">
        <v>0.99499179999999998</v>
      </c>
      <c r="Q71">
        <v>7.8484429999999994E-2</v>
      </c>
      <c r="R71">
        <v>-6.1902319999999997E-2</v>
      </c>
      <c r="S71">
        <v>3.0031430000000001</v>
      </c>
      <c r="T71">
        <v>-1.805151E-2</v>
      </c>
      <c r="U71">
        <v>-0.21194460000000001</v>
      </c>
      <c r="V71">
        <v>6.1451350000000002E-2</v>
      </c>
      <c r="W71">
        <v>7.5586479999999998E-2</v>
      </c>
      <c r="X71">
        <v>0.99524389999999996</v>
      </c>
      <c r="Y71">
        <v>6.9963750000000005E-2</v>
      </c>
      <c r="Z71">
        <v>-2.0739559999999999E-4</v>
      </c>
      <c r="AA71">
        <v>0.99754949999999998</v>
      </c>
      <c r="AB71">
        <v>22</v>
      </c>
      <c r="AC71">
        <v>192.3955</v>
      </c>
      <c r="AD71">
        <v>-1.1581760000000001</v>
      </c>
      <c r="AE71">
        <v>-13.598299999999901</v>
      </c>
      <c r="AF71">
        <v>13.5140745606869</v>
      </c>
      <c r="AG71">
        <v>-1.1581760000000001</v>
      </c>
      <c r="AH71">
        <v>192.39446294970799</v>
      </c>
      <c r="AI71">
        <v>90.344057209787096</v>
      </c>
      <c r="AJ71">
        <v>85.982058159315798</v>
      </c>
      <c r="AK71">
        <v>192.871980745222</v>
      </c>
      <c r="AL71">
        <v>85.665079221298797</v>
      </c>
      <c r="AM71">
        <v>86.466756752727406</v>
      </c>
      <c r="AN71">
        <v>1.00000000243141</v>
      </c>
    </row>
    <row r="72" spans="1:40" x14ac:dyDescent="0.25">
      <c r="A72" t="str">
        <f>"20190312154503022"</f>
        <v>20190312154503022</v>
      </c>
      <c r="B72" t="str">
        <f>"1552376703015789"</f>
        <v>1552376703015789</v>
      </c>
      <c r="C72" t="s">
        <v>40</v>
      </c>
      <c r="D72">
        <v>4.3439139999999998</v>
      </c>
      <c r="E72">
        <v>0.50435099999999999</v>
      </c>
      <c r="F72" t="s">
        <v>43</v>
      </c>
      <c r="G72">
        <v>-217.68620000000001</v>
      </c>
      <c r="H72">
        <v>-0.05</v>
      </c>
      <c r="I72">
        <v>349.49599999999998</v>
      </c>
      <c r="J72">
        <v>-467.75290000000001</v>
      </c>
      <c r="K72">
        <v>1.1081799999999999</v>
      </c>
      <c r="L72">
        <v>367.18959999999998</v>
      </c>
      <c r="M72">
        <v>0.99999610000000005</v>
      </c>
      <c r="N72">
        <v>0</v>
      </c>
      <c r="O72">
        <v>-2.2997480000000001E-4</v>
      </c>
      <c r="P72">
        <v>0.99498779999999998</v>
      </c>
      <c r="Q72">
        <v>7.8623449999999998E-2</v>
      </c>
      <c r="R72">
        <v>-6.1791550000000001E-2</v>
      </c>
      <c r="S72">
        <v>3.0030209999999999</v>
      </c>
      <c r="T72">
        <v>-1.3895390000000001E-2</v>
      </c>
      <c r="U72">
        <v>-0.21228030000000001</v>
      </c>
      <c r="V72">
        <v>6.1544399999999999E-2</v>
      </c>
      <c r="W72">
        <v>7.5793289999999999E-2</v>
      </c>
      <c r="X72">
        <v>0.99522239999999995</v>
      </c>
      <c r="Y72">
        <v>7.0282789999999998E-2</v>
      </c>
      <c r="Z72">
        <v>-1.6133780000000001E-4</v>
      </c>
      <c r="AA72">
        <v>0.9975271</v>
      </c>
      <c r="AB72">
        <v>22</v>
      </c>
      <c r="AC72">
        <v>250.0667</v>
      </c>
      <c r="AD72">
        <v>-1.15818</v>
      </c>
      <c r="AE72">
        <v>-17.6936</v>
      </c>
      <c r="AF72">
        <v>17.6357138569991</v>
      </c>
      <c r="AG72">
        <v>-1.15818</v>
      </c>
      <c r="AH72">
        <v>250.06542514043599</v>
      </c>
      <c r="AI72">
        <v>90.264706501584499</v>
      </c>
      <c r="AJ72">
        <v>85.965928802724306</v>
      </c>
      <c r="AK72">
        <v>250.68920326736301</v>
      </c>
      <c r="AL72">
        <v>85.653195697863097</v>
      </c>
      <c r="AM72">
        <v>86.461344028135599</v>
      </c>
      <c r="AN72">
        <v>0.99999998072107099</v>
      </c>
    </row>
    <row r="73" spans="1:40" x14ac:dyDescent="0.25">
      <c r="A73" t="str">
        <f>"20190312154503044"</f>
        <v>20190312154503044</v>
      </c>
      <c r="B73" t="str">
        <f>"1552376703036285"</f>
        <v>1552376703036285</v>
      </c>
      <c r="C73" t="s">
        <v>40</v>
      </c>
      <c r="D73">
        <v>4.312773</v>
      </c>
      <c r="E73">
        <v>0.50422359999999999</v>
      </c>
      <c r="F73" t="s">
        <v>43</v>
      </c>
      <c r="G73">
        <v>-235.8683</v>
      </c>
      <c r="H73">
        <v>-0.05</v>
      </c>
      <c r="I73">
        <v>350.94529999999997</v>
      </c>
      <c r="J73">
        <v>-467.53699999999998</v>
      </c>
      <c r="K73">
        <v>1.1081939999999999</v>
      </c>
      <c r="L73">
        <v>367.18979999999999</v>
      </c>
      <c r="M73">
        <v>0.99999610000000005</v>
      </c>
      <c r="N73">
        <v>0</v>
      </c>
      <c r="O73" s="1">
        <v>-4.1060219999999998E-5</v>
      </c>
      <c r="P73">
        <v>0.99507159999999995</v>
      </c>
      <c r="Q73">
        <v>7.72428E-2</v>
      </c>
      <c r="R73">
        <v>-6.218017E-2</v>
      </c>
      <c r="S73">
        <v>3.0032649999999999</v>
      </c>
      <c r="T73">
        <v>-1.500022E-2</v>
      </c>
      <c r="U73">
        <v>-0.2103882</v>
      </c>
      <c r="V73">
        <v>6.2120549999999997E-2</v>
      </c>
      <c r="W73">
        <v>7.4474289999999999E-2</v>
      </c>
      <c r="X73">
        <v>0.99528620000000001</v>
      </c>
      <c r="Y73">
        <v>6.9840070000000004E-2</v>
      </c>
      <c r="Z73">
        <v>-1.7399359999999999E-4</v>
      </c>
      <c r="AA73">
        <v>0.99755819999999995</v>
      </c>
      <c r="AB73">
        <v>22</v>
      </c>
      <c r="AC73">
        <v>231.6687</v>
      </c>
      <c r="AD73">
        <v>-1.1581939999999999</v>
      </c>
      <c r="AE73">
        <v>-16.244499999999999</v>
      </c>
      <c r="AF73">
        <v>16.2345838068475</v>
      </c>
      <c r="AG73">
        <v>-1.1581939999999999</v>
      </c>
      <c r="AH73">
        <v>231.66360504395101</v>
      </c>
      <c r="AI73">
        <v>90.285745065938798</v>
      </c>
      <c r="AJ73">
        <v>85.991364620889399</v>
      </c>
      <c r="AK73">
        <v>232.234642176146</v>
      </c>
      <c r="AL73">
        <v>85.728983141811995</v>
      </c>
      <c r="AM73">
        <v>86.428530499688506</v>
      </c>
      <c r="AN73">
        <v>1.0000000012568699</v>
      </c>
    </row>
    <row r="74" spans="1:40" x14ac:dyDescent="0.25">
      <c r="A74" t="str">
        <f>"20190312154503083"</f>
        <v>20190312154503083</v>
      </c>
      <c r="B74" t="str">
        <f>"1552376703076301"</f>
        <v>1552376703076301</v>
      </c>
      <c r="C74" t="s">
        <v>40</v>
      </c>
      <c r="D74">
        <v>4.3911499999999997</v>
      </c>
      <c r="E74">
        <v>0.47208450000000002</v>
      </c>
      <c r="F74" t="s">
        <v>43</v>
      </c>
      <c r="G74">
        <v>-222.81030000000001</v>
      </c>
      <c r="H74">
        <v>-0.05</v>
      </c>
      <c r="I74">
        <v>349.99079999999998</v>
      </c>
      <c r="J74">
        <v>-467.13740000000001</v>
      </c>
      <c r="K74">
        <v>1.1082289999999999</v>
      </c>
      <c r="L74">
        <v>367.1902</v>
      </c>
      <c r="M74">
        <v>0.99999649999999995</v>
      </c>
      <c r="N74">
        <v>0</v>
      </c>
      <c r="O74">
        <v>3.0706780000000001E-4</v>
      </c>
      <c r="P74">
        <v>0.99501249999999997</v>
      </c>
      <c r="Q74">
        <v>7.8453620000000002E-2</v>
      </c>
      <c r="R74">
        <v>-6.1609360000000002E-2</v>
      </c>
      <c r="S74">
        <v>3.002777</v>
      </c>
      <c r="T74">
        <v>-1.421094E-2</v>
      </c>
      <c r="U74">
        <v>-0.2110291</v>
      </c>
      <c r="V74">
        <v>6.1895230000000002E-2</v>
      </c>
      <c r="W74">
        <v>7.5800430000000002E-2</v>
      </c>
      <c r="X74">
        <v>0.99520010000000003</v>
      </c>
      <c r="Y74">
        <v>7.0410559999999997E-2</v>
      </c>
      <c r="Z74">
        <v>-1.6785770000000001E-4</v>
      </c>
      <c r="AA74">
        <v>0.99751809999999996</v>
      </c>
      <c r="AB74">
        <v>22</v>
      </c>
      <c r="AC74">
        <v>244.3271</v>
      </c>
      <c r="AD74">
        <v>-1.158229</v>
      </c>
      <c r="AE74">
        <v>-17.199400000000001</v>
      </c>
      <c r="AF74">
        <v>17.274038161763599</v>
      </c>
      <c r="AG74">
        <v>-1.158229</v>
      </c>
      <c r="AH74">
        <v>244.31634382806499</v>
      </c>
      <c r="AI74">
        <v>90.2709433495707</v>
      </c>
      <c r="AJ74">
        <v>85.955713900267099</v>
      </c>
      <c r="AK74">
        <v>244.928989199612</v>
      </c>
      <c r="AL74">
        <v>85.652785430723</v>
      </c>
      <c r="AM74">
        <v>86.441144297758697</v>
      </c>
      <c r="AN74">
        <v>0.99999998186247296</v>
      </c>
    </row>
    <row r="75" spans="1:40" x14ac:dyDescent="0.25">
      <c r="A75" t="str">
        <f>"20190312154503104"</f>
        <v>20190312154503104</v>
      </c>
      <c r="B75" t="str">
        <f>"1552376703095821"</f>
        <v>1552376703095821</v>
      </c>
      <c r="C75" t="s">
        <v>40</v>
      </c>
      <c r="D75">
        <v>4.3673890000000002</v>
      </c>
      <c r="E75">
        <v>0.46676689999999998</v>
      </c>
      <c r="F75" t="s">
        <v>46</v>
      </c>
      <c r="G75">
        <v>-158.19499999999999</v>
      </c>
      <c r="H75">
        <v>2.2584029999999999</v>
      </c>
      <c r="I75">
        <v>371.75299999999999</v>
      </c>
      <c r="J75">
        <v>-466.91449999999998</v>
      </c>
      <c r="K75">
        <v>1.108258</v>
      </c>
      <c r="L75">
        <v>367.19049999999999</v>
      </c>
      <c r="M75">
        <v>0.99999649999999995</v>
      </c>
      <c r="N75">
        <v>0</v>
      </c>
      <c r="O75">
        <v>5.0080779999999998E-4</v>
      </c>
      <c r="P75">
        <v>0.9947433</v>
      </c>
      <c r="Q75">
        <v>8.2309419999999994E-2</v>
      </c>
      <c r="R75">
        <v>-6.0918890000000003E-2</v>
      </c>
      <c r="S75">
        <v>3.0168460000000001</v>
      </c>
      <c r="T75">
        <v>1.123238E-2</v>
      </c>
      <c r="U75">
        <v>4.4555659999999997E-2</v>
      </c>
      <c r="V75">
        <v>6.1396079999999999E-2</v>
      </c>
      <c r="W75">
        <v>7.9720529999999998E-2</v>
      </c>
      <c r="X75">
        <v>0.9949247</v>
      </c>
      <c r="Y75">
        <v>-1.426649E-2</v>
      </c>
      <c r="Z75" s="1">
        <v>-2.469258E-5</v>
      </c>
      <c r="AA75">
        <v>0.99989830000000002</v>
      </c>
      <c r="AB75">
        <v>23</v>
      </c>
      <c r="AC75">
        <v>308.71949999999998</v>
      </c>
      <c r="AD75">
        <v>1.150145</v>
      </c>
      <c r="AE75">
        <v>4.5625000000000497</v>
      </c>
      <c r="AF75">
        <v>-4.4078286069271702</v>
      </c>
      <c r="AG75">
        <v>1.150145</v>
      </c>
      <c r="AH75">
        <v>308.71746228792699</v>
      </c>
      <c r="AI75">
        <v>89.786563956813794</v>
      </c>
      <c r="AJ75">
        <v>90.818006259855096</v>
      </c>
      <c r="AK75">
        <v>308.75107013263403</v>
      </c>
      <c r="AL75">
        <v>85.427498022799995</v>
      </c>
      <c r="AM75">
        <v>86.468796867749504</v>
      </c>
      <c r="AN75">
        <v>1.00000000010646</v>
      </c>
    </row>
    <row r="76" spans="1:40" x14ac:dyDescent="0.25">
      <c r="A76" t="str">
        <f>"20190312154503128"</f>
        <v>20190312154503128</v>
      </c>
      <c r="B76" t="str">
        <f>"1552376703116317"</f>
        <v>1552376703116317</v>
      </c>
      <c r="C76" t="s">
        <v>40</v>
      </c>
      <c r="D76">
        <v>4.3692460000000004</v>
      </c>
      <c r="E76">
        <v>0.4651653</v>
      </c>
      <c r="F76" t="s">
        <v>46</v>
      </c>
      <c r="G76">
        <v>-158.19499999999999</v>
      </c>
      <c r="H76">
        <v>3.3752460000000002</v>
      </c>
      <c r="I76">
        <v>376.29520000000002</v>
      </c>
      <c r="J76">
        <v>-466.6678</v>
      </c>
      <c r="K76">
        <v>1.1082799999999999</v>
      </c>
      <c r="L76">
        <v>367.19080000000002</v>
      </c>
      <c r="M76">
        <v>0.99999649999999995</v>
      </c>
      <c r="N76">
        <v>0</v>
      </c>
      <c r="O76">
        <v>7.1511929999999995E-4</v>
      </c>
      <c r="P76">
        <v>0.9945174</v>
      </c>
      <c r="Q76">
        <v>8.5947330000000002E-2</v>
      </c>
      <c r="R76">
        <v>-5.95691E-2</v>
      </c>
      <c r="S76">
        <v>3.0194700000000001</v>
      </c>
      <c r="T76">
        <v>2.2173399999999999E-2</v>
      </c>
      <c r="U76">
        <v>8.9050290000000004E-2</v>
      </c>
      <c r="V76">
        <v>6.0257680000000001E-2</v>
      </c>
      <c r="W76">
        <v>8.3430309999999994E-2</v>
      </c>
      <c r="X76">
        <v>0.99469010000000002</v>
      </c>
      <c r="Y76">
        <v>-2.8763629999999998E-2</v>
      </c>
      <c r="Z76">
        <v>-1.0033789999999999E-4</v>
      </c>
      <c r="AA76">
        <v>0.99958619999999998</v>
      </c>
      <c r="AB76">
        <v>23</v>
      </c>
      <c r="AC76">
        <v>308.47280000000001</v>
      </c>
      <c r="AD76">
        <v>2.266966</v>
      </c>
      <c r="AE76">
        <v>9.1043999999999894</v>
      </c>
      <c r="AF76">
        <v>-8.88332275261895</v>
      </c>
      <c r="AG76">
        <v>2.266966</v>
      </c>
      <c r="AH76">
        <v>308.46258699922998</v>
      </c>
      <c r="AI76">
        <v>89.579101565522507</v>
      </c>
      <c r="AJ76">
        <v>91.649588261047299</v>
      </c>
      <c r="AK76">
        <v>308.59880125533499</v>
      </c>
      <c r="AL76">
        <v>85.214232381622793</v>
      </c>
      <c r="AM76">
        <v>86.533295531111307</v>
      </c>
      <c r="AN76">
        <v>0.99999999983184396</v>
      </c>
    </row>
    <row r="77" spans="1:40" x14ac:dyDescent="0.25">
      <c r="A77" t="str">
        <f>"20190312154503149"</f>
        <v>20190312154503149</v>
      </c>
      <c r="B77" t="str">
        <f>"1552376703135837"</f>
        <v>1552376703135837</v>
      </c>
      <c r="C77" t="s">
        <v>40</v>
      </c>
      <c r="D77">
        <v>4.3409519999999997</v>
      </c>
      <c r="E77">
        <v>0.46467959999999903</v>
      </c>
      <c r="F77" t="s">
        <v>46</v>
      </c>
      <c r="G77">
        <v>-158.19499999999999</v>
      </c>
      <c r="H77">
        <v>4.2400120000000001</v>
      </c>
      <c r="I77">
        <v>378.02839999999998</v>
      </c>
      <c r="J77">
        <v>-466.43619999999999</v>
      </c>
      <c r="K77">
        <v>1.108301</v>
      </c>
      <c r="L77">
        <v>367.19119999999998</v>
      </c>
      <c r="M77">
        <v>0.99999669999999896</v>
      </c>
      <c r="N77">
        <v>0</v>
      </c>
      <c r="O77">
        <v>9.1619219999999999E-4</v>
      </c>
      <c r="P77">
        <v>0.99423349999999999</v>
      </c>
      <c r="Q77">
        <v>8.9847590000000005E-2</v>
      </c>
      <c r="R77">
        <v>-5.8546010000000002E-2</v>
      </c>
      <c r="S77">
        <v>3.0202330000000002</v>
      </c>
      <c r="T77">
        <v>3.0663369999999999E-2</v>
      </c>
      <c r="U77">
        <v>0.1061096</v>
      </c>
      <c r="V77">
        <v>5.9432720000000001E-2</v>
      </c>
      <c r="W77">
        <v>8.7398279999999995E-2</v>
      </c>
      <c r="X77">
        <v>0.99439900000000003</v>
      </c>
      <c r="Y77">
        <v>-3.4193910000000001E-2</v>
      </c>
      <c r="Z77">
        <v>-1.642227E-4</v>
      </c>
      <c r="AA77">
        <v>0.99941519999999995</v>
      </c>
      <c r="AB77">
        <v>23</v>
      </c>
      <c r="AC77">
        <v>308.24119999999999</v>
      </c>
      <c r="AD77">
        <v>3.1317110000000001</v>
      </c>
      <c r="AE77">
        <v>10.8371999999999</v>
      </c>
      <c r="AF77">
        <v>-10.553698401697099</v>
      </c>
      <c r="AG77">
        <v>3.1317110000000001</v>
      </c>
      <c r="AH77">
        <v>308.21922317846497</v>
      </c>
      <c r="AI77">
        <v>89.418197987934306</v>
      </c>
      <c r="AJ77">
        <v>91.961091910464305</v>
      </c>
      <c r="AK77">
        <v>308.41575462430302</v>
      </c>
      <c r="AL77">
        <v>84.986050606461305</v>
      </c>
      <c r="AM77">
        <v>86.579644582452801</v>
      </c>
      <c r="AN77">
        <v>1.0000000393772699</v>
      </c>
    </row>
    <row r="78" spans="1:40" x14ac:dyDescent="0.25">
      <c r="A78" t="str">
        <f>"20190312154503170"</f>
        <v>20190312154503170</v>
      </c>
      <c r="B78" t="str">
        <f>"1552376703166095"</f>
        <v>1552376703166095</v>
      </c>
      <c r="C78" t="s">
        <v>40</v>
      </c>
      <c r="D78">
        <v>4.3745969999999996</v>
      </c>
      <c r="E78">
        <v>0.46420299999999998</v>
      </c>
      <c r="F78" t="s">
        <v>46</v>
      </c>
      <c r="G78">
        <v>-158.19499999999999</v>
      </c>
      <c r="H78">
        <v>4.7074639999999999</v>
      </c>
      <c r="I78">
        <v>378.76260000000002</v>
      </c>
      <c r="J78">
        <v>-466.20499999999998</v>
      </c>
      <c r="K78">
        <v>1.1083160000000001</v>
      </c>
      <c r="L78">
        <v>367.19170000000003</v>
      </c>
      <c r="M78">
        <v>0.99999649999999995</v>
      </c>
      <c r="N78">
        <v>0</v>
      </c>
      <c r="O78">
        <v>1.1164879999999999E-3</v>
      </c>
      <c r="P78">
        <v>0.9940466</v>
      </c>
      <c r="Q78">
        <v>9.2600660000000001E-2</v>
      </c>
      <c r="R78">
        <v>-5.7418240000000002E-2</v>
      </c>
      <c r="S78">
        <v>3.0208740000000001</v>
      </c>
      <c r="T78">
        <v>3.5273909999999999E-2</v>
      </c>
      <c r="U78">
        <v>0.1134033</v>
      </c>
      <c r="V78">
        <v>5.8502640000000002E-2</v>
      </c>
      <c r="W78">
        <v>9.021904E-2</v>
      </c>
      <c r="X78">
        <v>0.99420220000000004</v>
      </c>
      <c r="Y78">
        <v>-3.639535E-2</v>
      </c>
      <c r="Z78">
        <v>-1.993753E-4</v>
      </c>
      <c r="AA78">
        <v>0.99933740000000004</v>
      </c>
      <c r="AB78">
        <v>24</v>
      </c>
      <c r="AC78">
        <v>308.01</v>
      </c>
      <c r="AD78">
        <v>3.599148</v>
      </c>
      <c r="AE78">
        <v>11.5708999999999</v>
      </c>
      <c r="AF78">
        <v>-11.225471729259</v>
      </c>
      <c r="AG78">
        <v>3.599148</v>
      </c>
      <c r="AH78">
        <v>307.98073345009101</v>
      </c>
      <c r="AI78">
        <v>89.3309004203239</v>
      </c>
      <c r="AJ78">
        <v>92.087427854062497</v>
      </c>
      <c r="AK78">
        <v>308.206257656015</v>
      </c>
      <c r="AL78">
        <v>84.823791703627904</v>
      </c>
      <c r="AM78">
        <v>86.632381660441894</v>
      </c>
      <c r="AN78">
        <v>1.0000000242751601</v>
      </c>
    </row>
    <row r="79" spans="1:40" x14ac:dyDescent="0.25">
      <c r="A79" t="str">
        <f>"20190312154503195"</f>
        <v>20190312154503195</v>
      </c>
      <c r="B79" t="str">
        <f>"1552376703185613"</f>
        <v>1552376703185613</v>
      </c>
      <c r="C79" t="s">
        <v>40</v>
      </c>
      <c r="D79">
        <v>4.3374569999999997</v>
      </c>
      <c r="E79">
        <v>0.46363670000000001</v>
      </c>
      <c r="F79" t="s">
        <v>46</v>
      </c>
      <c r="G79">
        <v>-158.19499999999999</v>
      </c>
      <c r="H79">
        <v>5.3605140000000002</v>
      </c>
      <c r="I79">
        <v>379.55630000000002</v>
      </c>
      <c r="J79">
        <v>-465.94349999999997</v>
      </c>
      <c r="K79">
        <v>1.108317</v>
      </c>
      <c r="L79">
        <v>367.19220000000001</v>
      </c>
      <c r="M79">
        <v>0.99999640000000001</v>
      </c>
      <c r="N79">
        <v>0</v>
      </c>
      <c r="O79">
        <v>1.342841E-3</v>
      </c>
      <c r="P79">
        <v>0.99417160000000004</v>
      </c>
      <c r="Q79">
        <v>9.2164449999999995E-2</v>
      </c>
      <c r="R79">
        <v>-5.5934280000000003E-2</v>
      </c>
      <c r="S79">
        <v>3.0210880000000002</v>
      </c>
      <c r="T79">
        <v>4.170811E-2</v>
      </c>
      <c r="U79">
        <v>0.12127690000000001</v>
      </c>
      <c r="V79">
        <v>5.724344E-2</v>
      </c>
      <c r="W79">
        <v>8.9859069999999999E-2</v>
      </c>
      <c r="X79">
        <v>0.99430810000000003</v>
      </c>
      <c r="Y79">
        <v>-3.8765769999999998E-2</v>
      </c>
      <c r="Z79">
        <v>-2.4894270000000001E-4</v>
      </c>
      <c r="AA79">
        <v>0.99924829999999998</v>
      </c>
      <c r="AB79">
        <v>24</v>
      </c>
      <c r="AC79">
        <v>307.74849999999998</v>
      </c>
      <c r="AD79">
        <v>4.2521969999999998</v>
      </c>
      <c r="AE79">
        <v>12.364100000000001</v>
      </c>
      <c r="AF79">
        <v>-11.948552979027401</v>
      </c>
      <c r="AG79">
        <v>4.2521969999999998</v>
      </c>
      <c r="AH79">
        <v>307.70617523959402</v>
      </c>
      <c r="AI79">
        <v>89.208875166887694</v>
      </c>
      <c r="AJ79">
        <v>92.223737873217104</v>
      </c>
      <c r="AK79">
        <v>307.96743233367903</v>
      </c>
      <c r="AL79">
        <v>84.844500613325806</v>
      </c>
      <c r="AM79">
        <v>86.705054362588299</v>
      </c>
      <c r="AN79">
        <v>1.0000000308049499</v>
      </c>
    </row>
    <row r="80" spans="1:40" x14ac:dyDescent="0.25">
      <c r="A80" t="str">
        <f>"20190312154503218"</f>
        <v>20190312154503218</v>
      </c>
      <c r="B80" t="str">
        <f>"1552376703206109"</f>
        <v>1552376703206109</v>
      </c>
      <c r="C80" t="s">
        <v>40</v>
      </c>
      <c r="D80">
        <v>4.3547039999999999</v>
      </c>
      <c r="E80">
        <v>0.46337970000000001</v>
      </c>
      <c r="F80" t="s">
        <v>46</v>
      </c>
      <c r="G80">
        <v>-158.19499999999999</v>
      </c>
      <c r="H80">
        <v>5.5530269999999904</v>
      </c>
      <c r="I80">
        <v>380.45510000000002</v>
      </c>
      <c r="J80">
        <v>-465.69650000000001</v>
      </c>
      <c r="K80">
        <v>1.108314</v>
      </c>
      <c r="L80">
        <v>367.19279999999998</v>
      </c>
      <c r="M80">
        <v>0.9999962</v>
      </c>
      <c r="N80">
        <v>0</v>
      </c>
      <c r="O80">
        <v>1.5563720000000001E-3</v>
      </c>
      <c r="P80">
        <v>0.99452929999999995</v>
      </c>
      <c r="Q80">
        <v>8.9211929999999995E-2</v>
      </c>
      <c r="R80">
        <v>-5.4339510000000001E-2</v>
      </c>
      <c r="S80">
        <v>3.0208439999999999</v>
      </c>
      <c r="T80">
        <v>4.3629880000000003E-2</v>
      </c>
      <c r="U80">
        <v>0.130188</v>
      </c>
      <c r="V80">
        <v>5.5861960000000002E-2</v>
      </c>
      <c r="W80">
        <v>8.6977899999999997E-2</v>
      </c>
      <c r="X80">
        <v>0.99464280000000005</v>
      </c>
      <c r="Y80">
        <v>-4.149746E-2</v>
      </c>
      <c r="Z80">
        <v>-2.7705129999999999E-4</v>
      </c>
      <c r="AA80">
        <v>0.99913859999999999</v>
      </c>
      <c r="AB80">
        <v>24</v>
      </c>
      <c r="AC80">
        <v>307.50150000000002</v>
      </c>
      <c r="AD80">
        <v>4.4447129999999904</v>
      </c>
      <c r="AE80">
        <v>13.2623</v>
      </c>
      <c r="AF80">
        <v>-12.781030639073601</v>
      </c>
      <c r="AG80">
        <v>4.4447129999999904</v>
      </c>
      <c r="AH80">
        <v>307.45765199116801</v>
      </c>
      <c r="AI80">
        <v>89.172484896615799</v>
      </c>
      <c r="AJ80">
        <v>92.380418000132806</v>
      </c>
      <c r="AK80">
        <v>307.75528912720898</v>
      </c>
      <c r="AL80">
        <v>85.010228514954505</v>
      </c>
      <c r="AM80">
        <v>86.7854835310212</v>
      </c>
      <c r="AN80">
        <v>1.00000000662764</v>
      </c>
    </row>
    <row r="81" spans="1:40" x14ac:dyDescent="0.25">
      <c r="A81" t="str">
        <f>"20190312154503396"</f>
        <v>20190312154503396</v>
      </c>
      <c r="B81" t="str">
        <f>"1552376703385693"</f>
        <v>1552376703385693</v>
      </c>
      <c r="C81" t="s">
        <v>40</v>
      </c>
      <c r="D81">
        <v>3.999412</v>
      </c>
      <c r="E81">
        <v>0.44805109999999898</v>
      </c>
      <c r="F81" t="s">
        <v>46</v>
      </c>
      <c r="G81">
        <v>-158.19499999999999</v>
      </c>
      <c r="H81">
        <v>4.0363699999999998</v>
      </c>
      <c r="I81">
        <v>381.1508</v>
      </c>
      <c r="J81">
        <v>-463.6592</v>
      </c>
      <c r="K81">
        <v>1.1084719999999999</v>
      </c>
      <c r="L81">
        <v>367.1995</v>
      </c>
      <c r="M81">
        <v>0.99999309999999997</v>
      </c>
      <c r="N81">
        <v>0</v>
      </c>
      <c r="O81">
        <v>3.3097019999999999E-3</v>
      </c>
      <c r="P81">
        <v>0.99357870000000004</v>
      </c>
      <c r="Q81">
        <v>0.1066054</v>
      </c>
      <c r="R81">
        <v>-3.790429E-2</v>
      </c>
      <c r="S81">
        <v>3.0213930000000002</v>
      </c>
      <c r="T81">
        <v>2.8770799999999999E-2</v>
      </c>
      <c r="U81">
        <v>0.13714599999999999</v>
      </c>
      <c r="V81">
        <v>4.1157010000000001E-2</v>
      </c>
      <c r="W81">
        <v>0.104992</v>
      </c>
      <c r="X81">
        <v>0.99362110000000003</v>
      </c>
      <c r="Y81">
        <v>-4.2036650000000002E-2</v>
      </c>
      <c r="Z81">
        <v>-1.68538E-4</v>
      </c>
      <c r="AA81">
        <v>0.99911609999999995</v>
      </c>
      <c r="AB81">
        <v>26</v>
      </c>
      <c r="AC81">
        <v>305.46420000000001</v>
      </c>
      <c r="AD81">
        <v>2.9278979999999999</v>
      </c>
      <c r="AE81">
        <v>13.9513</v>
      </c>
      <c r="AF81">
        <v>-12.9390403921113</v>
      </c>
      <c r="AG81">
        <v>2.9278979999999999</v>
      </c>
      <c r="AH81">
        <v>305.48069443295998</v>
      </c>
      <c r="AI81">
        <v>89.451353887727393</v>
      </c>
      <c r="AJ81">
        <v>92.425389074810894</v>
      </c>
      <c r="AK81">
        <v>305.76861517201303</v>
      </c>
      <c r="AL81">
        <v>83.973294686138303</v>
      </c>
      <c r="AM81">
        <v>87.628094117602302</v>
      </c>
      <c r="AN81">
        <v>1.00000005495067</v>
      </c>
    </row>
    <row r="82" spans="1:40" x14ac:dyDescent="0.25">
      <c r="A82" t="str">
        <f>"20190312154503418"</f>
        <v>20190312154503418</v>
      </c>
      <c r="B82" t="str">
        <f>"1552376703415949"</f>
        <v>1552376703415949</v>
      </c>
      <c r="C82" t="s">
        <v>40</v>
      </c>
      <c r="D82">
        <v>4.1551929999999997</v>
      </c>
      <c r="E82">
        <v>0.46058339999999998</v>
      </c>
      <c r="F82" t="s">
        <v>41</v>
      </c>
      <c r="G82">
        <v>-462.91269999999997</v>
      </c>
      <c r="H82">
        <v>0.88358749999999997</v>
      </c>
      <c r="I82">
        <v>367.27839999999998</v>
      </c>
      <c r="J82">
        <v>-463.39319999999998</v>
      </c>
      <c r="K82">
        <v>1.1084959999999999</v>
      </c>
      <c r="L82">
        <v>367.20060000000001</v>
      </c>
      <c r="M82">
        <v>0.99999260000000001</v>
      </c>
      <c r="N82">
        <v>0</v>
      </c>
      <c r="O82">
        <v>3.5371690000000002E-3</v>
      </c>
      <c r="P82">
        <v>0.99336990000000003</v>
      </c>
      <c r="Q82">
        <v>0.10921069999999999</v>
      </c>
      <c r="R82">
        <v>-3.5914979999999999E-2</v>
      </c>
      <c r="S82">
        <v>3.133362</v>
      </c>
      <c r="T82">
        <v>-0.94396080000000004</v>
      </c>
      <c r="U82">
        <v>0.33245849999999999</v>
      </c>
      <c r="V82">
        <v>3.9391299999999997E-2</v>
      </c>
      <c r="W82">
        <v>0.10768079999999999</v>
      </c>
      <c r="X82">
        <v>0.99340490000000004</v>
      </c>
      <c r="Y82">
        <v>-9.7851530000000006E-2</v>
      </c>
      <c r="Z82">
        <v>1.334187E-2</v>
      </c>
      <c r="AA82">
        <v>0.99511159999999999</v>
      </c>
      <c r="AB82">
        <v>26</v>
      </c>
      <c r="AC82">
        <v>0.48050000000000598</v>
      </c>
      <c r="AD82">
        <v>-0.22490850000000001</v>
      </c>
      <c r="AE82">
        <v>7.7799999999967895E-2</v>
      </c>
      <c r="AF82">
        <v>-6.2711386289012905E-2</v>
      </c>
      <c r="AG82">
        <v>-0.22490850000000001</v>
      </c>
      <c r="AH82">
        <v>0.396188294980933</v>
      </c>
      <c r="AI82">
        <v>119.279357712475</v>
      </c>
      <c r="AJ82">
        <v>98.994543696040097</v>
      </c>
      <c r="AK82">
        <v>0.459871412921524</v>
      </c>
      <c r="AL82">
        <v>83.818359348835102</v>
      </c>
      <c r="AM82">
        <v>87.729250731865804</v>
      </c>
      <c r="AN82">
        <v>1.0000000622741601</v>
      </c>
    </row>
    <row r="83" spans="1:40" x14ac:dyDescent="0.25">
      <c r="A83" t="str">
        <f>"20190312154503461"</f>
        <v>20190312154503461</v>
      </c>
      <c r="B83" t="str">
        <f>"1552376703455966"</f>
        <v>1552376703455966</v>
      </c>
      <c r="C83" t="s">
        <v>40</v>
      </c>
      <c r="D83">
        <v>4.2907769999999896</v>
      </c>
      <c r="E83">
        <v>0.46428550000000002</v>
      </c>
      <c r="F83" t="s">
        <v>42</v>
      </c>
      <c r="G83">
        <v>-450.46039999999999</v>
      </c>
      <c r="H83" s="1">
        <v>-4.3374930000000004E-6</v>
      </c>
      <c r="I83">
        <v>368.1352</v>
      </c>
      <c r="J83">
        <v>-462.87740000000002</v>
      </c>
      <c r="K83">
        <v>1.10854599999999</v>
      </c>
      <c r="L83">
        <v>367.2029</v>
      </c>
      <c r="M83">
        <v>0.99999110000000002</v>
      </c>
      <c r="N83">
        <v>0</v>
      </c>
      <c r="O83">
        <v>3.9785020000000001E-3</v>
      </c>
      <c r="P83">
        <v>0.99284899999999998</v>
      </c>
      <c r="Q83">
        <v>0.1145924</v>
      </c>
      <c r="R83">
        <v>-3.3461829999999998E-2</v>
      </c>
      <c r="S83">
        <v>3.0568240000000002</v>
      </c>
      <c r="T83">
        <v>-0.26200519999999999</v>
      </c>
      <c r="U83">
        <v>0.22091669999999999</v>
      </c>
      <c r="V83">
        <v>3.7371130000000002E-2</v>
      </c>
      <c r="W83">
        <v>0.1132261</v>
      </c>
      <c r="X83">
        <v>0.99286620000000003</v>
      </c>
      <c r="Y83">
        <v>-6.7880250000000003E-2</v>
      </c>
      <c r="Z83">
        <v>2.5600509999999998E-3</v>
      </c>
      <c r="AA83">
        <v>0.99769019999999997</v>
      </c>
      <c r="AB83">
        <v>27</v>
      </c>
      <c r="AC83">
        <v>12.417</v>
      </c>
      <c r="AD83">
        <v>-1.1085503374929999</v>
      </c>
      <c r="AE83">
        <v>0.93229999999999802</v>
      </c>
      <c r="AF83">
        <v>-0.875949029303146</v>
      </c>
      <c r="AG83">
        <v>-1.1085503374929999</v>
      </c>
      <c r="AH83">
        <v>12.322943290058999</v>
      </c>
      <c r="AI83">
        <v>95.127522796112103</v>
      </c>
      <c r="AJ83">
        <v>94.065904303748297</v>
      </c>
      <c r="AK83">
        <v>12.403672919047199</v>
      </c>
      <c r="AL83">
        <v>83.498680367807907</v>
      </c>
      <c r="AM83">
        <v>87.844424855049994</v>
      </c>
      <c r="AN83">
        <v>1.00000002109056</v>
      </c>
    </row>
    <row r="84" spans="1:40" x14ac:dyDescent="0.25">
      <c r="A84" t="str">
        <f>"20190312154503483"</f>
        <v>20190312154503483</v>
      </c>
      <c r="B84" t="str">
        <f>"1552376703476461"</f>
        <v>1552376703476461</v>
      </c>
      <c r="C84" t="s">
        <v>40</v>
      </c>
      <c r="D84">
        <v>4.3010409999999997</v>
      </c>
      <c r="E84">
        <v>0.46494770000000002</v>
      </c>
      <c r="F84" t="s">
        <v>43</v>
      </c>
      <c r="G84">
        <v>-398.0788</v>
      </c>
      <c r="H84">
        <v>-0.05</v>
      </c>
      <c r="I84">
        <v>371.34449999999998</v>
      </c>
      <c r="J84">
        <v>-462.60759999999999</v>
      </c>
      <c r="K84">
        <v>1.1085769999999999</v>
      </c>
      <c r="L84">
        <v>367.20420000000001</v>
      </c>
      <c r="M84">
        <v>0.9999903</v>
      </c>
      <c r="N84">
        <v>0</v>
      </c>
      <c r="O84">
        <v>4.2087629999999999E-3</v>
      </c>
      <c r="P84">
        <v>0.99247660000000004</v>
      </c>
      <c r="Q84">
        <v>0.1179553</v>
      </c>
      <c r="R84">
        <v>-3.2818989999999999E-2</v>
      </c>
      <c r="S84">
        <v>3.0343629999999999</v>
      </c>
      <c r="T84">
        <v>-5.425191E-2</v>
      </c>
      <c r="U84">
        <v>0.19393920000000001</v>
      </c>
      <c r="V84">
        <v>3.6953319999999998E-2</v>
      </c>
      <c r="W84">
        <v>0.1166759</v>
      </c>
      <c r="X84">
        <v>0.99248239999999999</v>
      </c>
      <c r="Y84">
        <v>-5.9574599999999998E-2</v>
      </c>
      <c r="Z84">
        <v>4.568234E-4</v>
      </c>
      <c r="AA84">
        <v>0.99822370000000005</v>
      </c>
      <c r="AB84">
        <v>27</v>
      </c>
      <c r="AC84">
        <v>64.528799999999904</v>
      </c>
      <c r="AD84">
        <v>-1.158577</v>
      </c>
      <c r="AE84">
        <v>4.1402999999999599</v>
      </c>
      <c r="AF84">
        <v>-3.8674350756925802</v>
      </c>
      <c r="AG84">
        <v>-1.158577</v>
      </c>
      <c r="AH84">
        <v>64.524938980030797</v>
      </c>
      <c r="AI84">
        <v>91.026820997522904</v>
      </c>
      <c r="AJ84">
        <v>93.430037032170404</v>
      </c>
      <c r="AK84">
        <v>64.651118359285306</v>
      </c>
      <c r="AL84">
        <v>83.299702583536202</v>
      </c>
      <c r="AM84">
        <v>87.867678370214804</v>
      </c>
      <c r="AN84">
        <v>1.0000000639047899</v>
      </c>
    </row>
    <row r="85" spans="1:40" x14ac:dyDescent="0.25">
      <c r="A85" t="str">
        <f>"20190312154503506"</f>
        <v>20190312154503506</v>
      </c>
      <c r="B85" t="str">
        <f>"1552376703495981"</f>
        <v>1552376703495981</v>
      </c>
      <c r="C85" t="s">
        <v>40</v>
      </c>
      <c r="D85">
        <v>4.3618030000000001</v>
      </c>
      <c r="E85">
        <v>0.46524460000000001</v>
      </c>
      <c r="F85" t="s">
        <v>46</v>
      </c>
      <c r="G85">
        <v>-158.78319999999999</v>
      </c>
      <c r="H85">
        <v>0.32564739999999998</v>
      </c>
      <c r="I85">
        <v>386.19839999999999</v>
      </c>
      <c r="J85">
        <v>-462.33030000000002</v>
      </c>
      <c r="K85">
        <v>1.1086</v>
      </c>
      <c r="L85">
        <v>367.2056</v>
      </c>
      <c r="M85">
        <v>0.99998940000000003</v>
      </c>
      <c r="N85">
        <v>0</v>
      </c>
      <c r="O85">
        <v>4.4456399999999998E-3</v>
      </c>
      <c r="P85">
        <v>0.99209329999999996</v>
      </c>
      <c r="Q85">
        <v>0.1210676</v>
      </c>
      <c r="R85">
        <v>-3.307384E-2</v>
      </c>
      <c r="S85">
        <v>3.029938</v>
      </c>
      <c r="T85">
        <v>-7.807016E-3</v>
      </c>
      <c r="U85">
        <v>0.1894226</v>
      </c>
      <c r="V85">
        <v>3.7439489999999999E-2</v>
      </c>
      <c r="W85">
        <v>0.1198776</v>
      </c>
      <c r="X85">
        <v>0.99208249999999998</v>
      </c>
      <c r="Y85">
        <v>-5.7957399999999999E-2</v>
      </c>
      <c r="Z85" s="1">
        <v>6.3151190000000005E-5</v>
      </c>
      <c r="AA85">
        <v>0.99831899999999996</v>
      </c>
      <c r="AB85">
        <v>27</v>
      </c>
      <c r="AC85">
        <v>303.5471</v>
      </c>
      <c r="AD85">
        <v>-0.7829526</v>
      </c>
      <c r="AE85">
        <v>18.9927999999999</v>
      </c>
      <c r="AF85">
        <v>-17.6430332942913</v>
      </c>
      <c r="AG85">
        <v>-0.7829526</v>
      </c>
      <c r="AH85">
        <v>303.62652342815198</v>
      </c>
      <c r="AI85">
        <v>90.147497776553095</v>
      </c>
      <c r="AJ85">
        <v>93.325585317711699</v>
      </c>
      <c r="AK85">
        <v>304.13969712561902</v>
      </c>
      <c r="AL85">
        <v>83.114961559548206</v>
      </c>
      <c r="AM85">
        <v>87.8387812637271</v>
      </c>
      <c r="AN85">
        <v>1.0000000205997299</v>
      </c>
    </row>
    <row r="86" spans="1:40" x14ac:dyDescent="0.25">
      <c r="A86" t="str">
        <f>"20190312154503528"</f>
        <v>20190312154503528</v>
      </c>
      <c r="B86" t="str">
        <f>"1552376703516482"</f>
        <v>1552376703516482</v>
      </c>
      <c r="C86" t="s">
        <v>40</v>
      </c>
      <c r="D86">
        <v>4.3231229999999998</v>
      </c>
      <c r="E86">
        <v>0.46547680000000002</v>
      </c>
      <c r="F86" t="s">
        <v>46</v>
      </c>
      <c r="G86">
        <v>-158.78319999999999</v>
      </c>
      <c r="H86">
        <v>3.725946</v>
      </c>
      <c r="I86">
        <v>385.77640000000002</v>
      </c>
      <c r="J86">
        <v>-462.05869999999999</v>
      </c>
      <c r="K86">
        <v>1.1086100000000001</v>
      </c>
      <c r="L86">
        <v>367.20699999999999</v>
      </c>
      <c r="M86">
        <v>0.99998860000000001</v>
      </c>
      <c r="N86">
        <v>0</v>
      </c>
      <c r="O86">
        <v>4.6776839999999997E-3</v>
      </c>
      <c r="P86">
        <v>0.99196430000000002</v>
      </c>
      <c r="Q86">
        <v>0.1221855</v>
      </c>
      <c r="R86">
        <v>-3.2829610000000002E-2</v>
      </c>
      <c r="S86">
        <v>3.0268549999999999</v>
      </c>
      <c r="T86">
        <v>2.6100040000000001E-2</v>
      </c>
      <c r="U86">
        <v>0.1851807</v>
      </c>
      <c r="V86">
        <v>3.742388E-2</v>
      </c>
      <c r="W86">
        <v>0.1210828</v>
      </c>
      <c r="X86">
        <v>0.9919367</v>
      </c>
      <c r="Y86">
        <v>-5.6393510000000001E-2</v>
      </c>
      <c r="Z86">
        <v>-2.026091E-4</v>
      </c>
      <c r="AA86">
        <v>0.99840859999999998</v>
      </c>
      <c r="AB86">
        <v>28</v>
      </c>
      <c r="AC86">
        <v>303.27550000000002</v>
      </c>
      <c r="AD86">
        <v>2.6173359999999999</v>
      </c>
      <c r="AE86">
        <v>18.569400000000002</v>
      </c>
      <c r="AF86">
        <v>-17.1492967143068</v>
      </c>
      <c r="AG86">
        <v>2.6173359999999999</v>
      </c>
      <c r="AH86">
        <v>303.33653549836799</v>
      </c>
      <c r="AI86">
        <v>89.506424389069196</v>
      </c>
      <c r="AJ86">
        <v>93.235803624269806</v>
      </c>
      <c r="AK86">
        <v>303.83219479456898</v>
      </c>
      <c r="AL86">
        <v>83.045401876639502</v>
      </c>
      <c r="AM86">
        <v>87.839364273209995</v>
      </c>
      <c r="AN86">
        <v>1.00000000402849</v>
      </c>
    </row>
    <row r="87" spans="1:40" x14ac:dyDescent="0.25">
      <c r="A87" t="str">
        <f>"20190312154503550"</f>
        <v>20190312154503550</v>
      </c>
      <c r="B87" t="str">
        <f>"1552376703535997"</f>
        <v>1552376703535997</v>
      </c>
      <c r="C87" t="s">
        <v>40</v>
      </c>
      <c r="D87">
        <v>4.3595459999999999</v>
      </c>
      <c r="E87">
        <v>0.4657366</v>
      </c>
      <c r="F87" t="s">
        <v>46</v>
      </c>
      <c r="G87">
        <v>-158.78319999999999</v>
      </c>
      <c r="H87">
        <v>6.0336420000000004</v>
      </c>
      <c r="I87">
        <v>385.70030000000003</v>
      </c>
      <c r="J87">
        <v>-461.77769999999998</v>
      </c>
      <c r="K87">
        <v>1.1086119999999999</v>
      </c>
      <c r="L87">
        <v>367.20859999999999</v>
      </c>
      <c r="M87">
        <v>0.99998739999999997</v>
      </c>
      <c r="N87">
        <v>0</v>
      </c>
      <c r="O87">
        <v>4.9180730000000002E-3</v>
      </c>
      <c r="P87">
        <v>0.99198019999999998</v>
      </c>
      <c r="Q87">
        <v>0.12192939999999999</v>
      </c>
      <c r="R87">
        <v>-3.3297960000000001E-2</v>
      </c>
      <c r="S87">
        <v>3.0243229999999999</v>
      </c>
      <c r="T87">
        <v>4.9114230000000002E-2</v>
      </c>
      <c r="U87">
        <v>0.18441769999999999</v>
      </c>
      <c r="V87">
        <v>3.8130020000000001E-2</v>
      </c>
      <c r="W87">
        <v>0.1209181</v>
      </c>
      <c r="X87">
        <v>0.99192990000000003</v>
      </c>
      <c r="Y87">
        <v>-5.594876E-2</v>
      </c>
      <c r="Z87">
        <v>-3.7405979999999999E-4</v>
      </c>
      <c r="AA87">
        <v>0.99843360000000003</v>
      </c>
      <c r="AB87">
        <v>28</v>
      </c>
      <c r="AC87">
        <v>302.99450000000002</v>
      </c>
      <c r="AD87">
        <v>4.9250299999999996</v>
      </c>
      <c r="AE87">
        <v>18.491700000000002</v>
      </c>
      <c r="AF87">
        <v>-16.996852477071599</v>
      </c>
      <c r="AG87">
        <v>4.9250299999999996</v>
      </c>
      <c r="AH87">
        <v>303.00202030988697</v>
      </c>
      <c r="AI87">
        <v>89.070251135256996</v>
      </c>
      <c r="AJ87">
        <v>93.210633341910395</v>
      </c>
      <c r="AK87">
        <v>303.518324366917</v>
      </c>
      <c r="AL87">
        <v>83.054908353921206</v>
      </c>
      <c r="AM87">
        <v>87.798620545865006</v>
      </c>
      <c r="AN87">
        <v>1.00000000592341</v>
      </c>
    </row>
    <row r="88" spans="1:40" x14ac:dyDescent="0.25">
      <c r="A88" t="str">
        <f>"20190312154503574"</f>
        <v>20190312154503574</v>
      </c>
      <c r="B88" t="str">
        <f>"1552376703566254"</f>
        <v>1552376703566254</v>
      </c>
      <c r="C88" t="s">
        <v>40</v>
      </c>
      <c r="D88">
        <v>4.3606490000000004</v>
      </c>
      <c r="E88">
        <v>0.46604620000000002</v>
      </c>
      <c r="F88" t="s">
        <v>46</v>
      </c>
      <c r="G88">
        <v>-170.08879999999999</v>
      </c>
      <c r="H88">
        <v>7.0386439999999997</v>
      </c>
      <c r="I88">
        <v>384.63319999999999</v>
      </c>
      <c r="J88">
        <v>-461.47809999999998</v>
      </c>
      <c r="K88">
        <v>1.108617</v>
      </c>
      <c r="L88">
        <v>367.21030000000002</v>
      </c>
      <c r="M88">
        <v>0.99998629999999999</v>
      </c>
      <c r="N88">
        <v>0</v>
      </c>
      <c r="O88">
        <v>5.1740780000000004E-3</v>
      </c>
      <c r="P88">
        <v>0.99206399999999995</v>
      </c>
      <c r="Q88">
        <v>0.1211362</v>
      </c>
      <c r="R88">
        <v>-3.3696709999999998E-2</v>
      </c>
      <c r="S88">
        <v>3.0227970000000002</v>
      </c>
      <c r="T88">
        <v>6.1454300000000003E-2</v>
      </c>
      <c r="U88">
        <v>0.1805725</v>
      </c>
      <c r="V88">
        <v>3.8782469999999999E-2</v>
      </c>
      <c r="W88">
        <v>0.1202222</v>
      </c>
      <c r="X88">
        <v>0.99198920000000002</v>
      </c>
      <c r="Y88">
        <v>-5.4454790000000003E-2</v>
      </c>
      <c r="Z88">
        <v>-4.479091E-4</v>
      </c>
      <c r="AA88">
        <v>0.99851610000000002</v>
      </c>
      <c r="AB88">
        <v>28</v>
      </c>
      <c r="AC88">
        <v>291.38929999999999</v>
      </c>
      <c r="AD88">
        <v>5.9300269999999999</v>
      </c>
      <c r="AE88">
        <v>17.422899999999899</v>
      </c>
      <c r="AF88">
        <v>-15.908430209172099</v>
      </c>
      <c r="AG88">
        <v>5.9300269999999999</v>
      </c>
      <c r="AH88">
        <v>291.35530974915702</v>
      </c>
      <c r="AI88">
        <v>88.835739501423603</v>
      </c>
      <c r="AJ88">
        <v>93.125330774079103</v>
      </c>
      <c r="AK88">
        <v>291.84955009553801</v>
      </c>
      <c r="AL88">
        <v>83.095073563796802</v>
      </c>
      <c r="AM88">
        <v>87.761124049029803</v>
      </c>
      <c r="AN88">
        <v>1.00000001513439</v>
      </c>
    </row>
    <row r="89" spans="1:40" x14ac:dyDescent="0.25">
      <c r="A89" t="str">
        <f>"20190312154503595"</f>
        <v>20190312154503595</v>
      </c>
      <c r="B89" t="str">
        <f>"1552376703585774"</f>
        <v>1552376703585774</v>
      </c>
      <c r="C89" t="s">
        <v>40</v>
      </c>
      <c r="D89">
        <v>4.3612380000000002</v>
      </c>
      <c r="E89">
        <v>0.46645950000000003</v>
      </c>
      <c r="F89" t="s">
        <v>46</v>
      </c>
      <c r="G89">
        <v>-170.08879999999999</v>
      </c>
      <c r="H89">
        <v>7.8510749999999998</v>
      </c>
      <c r="I89">
        <v>384.2131</v>
      </c>
      <c r="J89">
        <v>-461.20310000000001</v>
      </c>
      <c r="K89">
        <v>1.1086210000000001</v>
      </c>
      <c r="L89">
        <v>367.21190000000001</v>
      </c>
      <c r="M89">
        <v>0.99998520000000002</v>
      </c>
      <c r="N89">
        <v>0</v>
      </c>
      <c r="O89">
        <v>5.4084980000000003E-3</v>
      </c>
      <c r="P89">
        <v>0.99223589999999995</v>
      </c>
      <c r="Q89">
        <v>0.1197304</v>
      </c>
      <c r="R89">
        <v>-3.366036E-2</v>
      </c>
      <c r="S89">
        <v>3.0213930000000002</v>
      </c>
      <c r="T89">
        <v>6.9912909999999995E-2</v>
      </c>
      <c r="U89">
        <v>0.17630000000000001</v>
      </c>
      <c r="V89">
        <v>3.8979420000000001E-2</v>
      </c>
      <c r="W89">
        <v>0.1189066</v>
      </c>
      <c r="X89">
        <v>0.99214000000000002</v>
      </c>
      <c r="Y89">
        <v>-5.2838690000000001E-2</v>
      </c>
      <c r="Z89">
        <v>-4.857037E-4</v>
      </c>
      <c r="AA89">
        <v>0.99860289999999996</v>
      </c>
      <c r="AB89">
        <v>28</v>
      </c>
      <c r="AC89">
        <v>291.11430000000001</v>
      </c>
      <c r="AD89">
        <v>6.7424539999999897</v>
      </c>
      <c r="AE89">
        <v>17.001199999999901</v>
      </c>
      <c r="AF89">
        <v>-15.418217353625399</v>
      </c>
      <c r="AG89">
        <v>6.7424539999999897</v>
      </c>
      <c r="AH89">
        <v>291.04639926617602</v>
      </c>
      <c r="AI89">
        <v>88.674766526308105</v>
      </c>
      <c r="AJ89">
        <v>93.032416115214801</v>
      </c>
      <c r="AK89">
        <v>291.53248298965201</v>
      </c>
      <c r="AL89">
        <v>83.170996272746294</v>
      </c>
      <c r="AM89">
        <v>87.750107639039896</v>
      </c>
      <c r="AN89">
        <v>0.99999997715354705</v>
      </c>
    </row>
    <row r="90" spans="1:40" x14ac:dyDescent="0.25">
      <c r="A90" t="str">
        <f>"20190312154503619"</f>
        <v>20190312154503619</v>
      </c>
      <c r="B90" t="str">
        <f>"1552376703606269"</f>
        <v>1552376703606269</v>
      </c>
      <c r="C90" t="s">
        <v>40</v>
      </c>
      <c r="D90">
        <v>4.3379539999999999</v>
      </c>
      <c r="E90">
        <v>0.46661439999999998</v>
      </c>
      <c r="F90" t="s">
        <v>47</v>
      </c>
      <c r="G90">
        <v>-223.28219999999999</v>
      </c>
      <c r="H90">
        <v>6.4870979999999996</v>
      </c>
      <c r="I90">
        <v>380.8605</v>
      </c>
      <c r="J90">
        <v>-460.8999</v>
      </c>
      <c r="K90">
        <v>1.1086290000000001</v>
      </c>
      <c r="L90">
        <v>367.21390000000002</v>
      </c>
      <c r="M90">
        <v>0.99998370000000003</v>
      </c>
      <c r="N90">
        <v>0</v>
      </c>
      <c r="O90">
        <v>5.6669989999999998E-3</v>
      </c>
      <c r="P90">
        <v>0.99237299999999995</v>
      </c>
      <c r="Q90">
        <v>0.118562</v>
      </c>
      <c r="R90">
        <v>-3.3753379999999999E-2</v>
      </c>
      <c r="S90">
        <v>3.021118</v>
      </c>
      <c r="T90">
        <v>6.8296789999999996E-2</v>
      </c>
      <c r="U90">
        <v>0.173309299999999</v>
      </c>
      <c r="V90">
        <v>3.9329080000000002E-2</v>
      </c>
      <c r="W90">
        <v>0.1178375</v>
      </c>
      <c r="X90">
        <v>0.99225379999999996</v>
      </c>
      <c r="Y90">
        <v>-5.1601479999999998E-2</v>
      </c>
      <c r="Z90">
        <v>-4.5472660000000001E-4</v>
      </c>
      <c r="AA90">
        <v>0.99866770000000005</v>
      </c>
      <c r="AB90">
        <v>28</v>
      </c>
      <c r="AC90">
        <v>237.61770000000001</v>
      </c>
      <c r="AD90">
        <v>5.3784689999999999</v>
      </c>
      <c r="AE90">
        <v>13.6465999999999</v>
      </c>
      <c r="AF90">
        <v>-12.293523494434099</v>
      </c>
      <c r="AG90">
        <v>5.3784689999999999</v>
      </c>
      <c r="AH90">
        <v>237.56990287914601</v>
      </c>
      <c r="AI90">
        <v>88.704804851548602</v>
      </c>
      <c r="AJ90">
        <v>92.962241029457601</v>
      </c>
      <c r="AK90">
        <v>237.948560413168</v>
      </c>
      <c r="AL90">
        <v>83.2326852561675</v>
      </c>
      <c r="AM90">
        <v>87.730206358562199</v>
      </c>
      <c r="AN90">
        <v>1.0000000282771599</v>
      </c>
    </row>
    <row r="91" spans="1:40" x14ac:dyDescent="0.25">
      <c r="A91" t="str">
        <f>"20190312154503641"</f>
        <v>20190312154503641</v>
      </c>
      <c r="B91" t="str">
        <f>"1552376703636527"</f>
        <v>1552376703636527</v>
      </c>
      <c r="C91" t="s">
        <v>40</v>
      </c>
      <c r="D91">
        <v>4.3894089999999997</v>
      </c>
      <c r="E91">
        <v>0.46692899999999998</v>
      </c>
      <c r="F91" t="s">
        <v>47</v>
      </c>
      <c r="G91">
        <v>-223.2149</v>
      </c>
      <c r="H91">
        <v>6.3892490000000004</v>
      </c>
      <c r="I91">
        <v>380.75380000000001</v>
      </c>
      <c r="J91">
        <v>-460.61709999999999</v>
      </c>
      <c r="K91">
        <v>1.108635</v>
      </c>
      <c r="L91">
        <v>367.21570000000003</v>
      </c>
      <c r="M91">
        <v>0.99998240000000005</v>
      </c>
      <c r="N91">
        <v>0</v>
      </c>
      <c r="O91">
        <v>5.9074319999999998E-3</v>
      </c>
      <c r="P91">
        <v>0.99235649999999997</v>
      </c>
      <c r="Q91">
        <v>0.1186738</v>
      </c>
      <c r="R91">
        <v>-3.384127E-2</v>
      </c>
      <c r="S91">
        <v>3.020905</v>
      </c>
      <c r="T91">
        <v>6.7116019999999998E-2</v>
      </c>
      <c r="U91">
        <v>0.17208860000000001</v>
      </c>
      <c r="V91">
        <v>3.9654509999999997E-2</v>
      </c>
      <c r="W91">
        <v>0.11804249999999999</v>
      </c>
      <c r="X91">
        <v>0.99221649999999995</v>
      </c>
      <c r="Y91">
        <v>-5.096378E-2</v>
      </c>
      <c r="Z91">
        <v>-4.3448990000000002E-4</v>
      </c>
      <c r="AA91">
        <v>0.99870040000000004</v>
      </c>
      <c r="AB91">
        <v>29</v>
      </c>
      <c r="AC91">
        <v>237.40219999999999</v>
      </c>
      <c r="AD91">
        <v>5.2806139999999999</v>
      </c>
      <c r="AE91">
        <v>13.538099999999901</v>
      </c>
      <c r="AF91">
        <v>-12.129444430830301</v>
      </c>
      <c r="AG91">
        <v>5.2806139999999999</v>
      </c>
      <c r="AH91">
        <v>237.360975634109</v>
      </c>
      <c r="AI91">
        <v>88.727200537363203</v>
      </c>
      <c r="AJ91">
        <v>92.925341823487699</v>
      </c>
      <c r="AK91">
        <v>237.729344129818</v>
      </c>
      <c r="AL91">
        <v>83.220857199878907</v>
      </c>
      <c r="AM91">
        <v>87.711358809839098</v>
      </c>
      <c r="AN91">
        <v>1.0000000474209101</v>
      </c>
    </row>
    <row r="92" spans="1:40" x14ac:dyDescent="0.25">
      <c r="A92" t="str">
        <f>"20190312154503662"</f>
        <v>20190312154503662</v>
      </c>
      <c r="B92" t="str">
        <f>"1552376703656045"</f>
        <v>1552376703656045</v>
      </c>
      <c r="C92" t="s">
        <v>40</v>
      </c>
      <c r="D92">
        <v>4.4181889999999999</v>
      </c>
      <c r="E92">
        <v>0.46715869999999998</v>
      </c>
      <c r="F92" t="s">
        <v>46</v>
      </c>
      <c r="G92">
        <v>-170.08879999999999</v>
      </c>
      <c r="H92">
        <v>7.8050769999999998</v>
      </c>
      <c r="I92">
        <v>383.47739999999999</v>
      </c>
      <c r="J92">
        <v>-460.33789999999999</v>
      </c>
      <c r="K92">
        <v>1.1086450000000001</v>
      </c>
      <c r="L92">
        <v>367.2176</v>
      </c>
      <c r="M92">
        <v>0.99998100000000001</v>
      </c>
      <c r="N92">
        <v>0</v>
      </c>
      <c r="O92">
        <v>6.1452980000000004E-3</v>
      </c>
      <c r="P92">
        <v>0.9922898</v>
      </c>
      <c r="Q92">
        <v>0.1192864</v>
      </c>
      <c r="R92">
        <v>-3.3642499999999999E-2</v>
      </c>
      <c r="S92">
        <v>3.0205380000000002</v>
      </c>
      <c r="T92">
        <v>6.9621799999999998E-2</v>
      </c>
      <c r="U92">
        <v>0.16906740000000001</v>
      </c>
      <c r="V92">
        <v>3.9690290000000003E-2</v>
      </c>
      <c r="W92">
        <v>0.11874709999999999</v>
      </c>
      <c r="X92">
        <v>0.99213090000000004</v>
      </c>
      <c r="Y92">
        <v>-4.9736839999999997E-2</v>
      </c>
      <c r="Z92">
        <v>-4.3117019999999999E-4</v>
      </c>
      <c r="AA92">
        <v>0.99876220000000004</v>
      </c>
      <c r="AB92">
        <v>29</v>
      </c>
      <c r="AC92">
        <v>290.2491</v>
      </c>
      <c r="AD92">
        <v>6.6964319999999997</v>
      </c>
      <c r="AE92">
        <v>16.259799999999899</v>
      </c>
      <c r="AF92">
        <v>-14.4681484483788</v>
      </c>
      <c r="AG92">
        <v>6.6964319999999997</v>
      </c>
      <c r="AH92">
        <v>290.18956004037398</v>
      </c>
      <c r="AI92">
        <v>88.679713075429206</v>
      </c>
      <c r="AJ92">
        <v>92.854265303723807</v>
      </c>
      <c r="AK92">
        <v>290.62716713597302</v>
      </c>
      <c r="AL92">
        <v>83.180200026850898</v>
      </c>
      <c r="AM92">
        <v>87.709098554045198</v>
      </c>
      <c r="AN92">
        <v>0.99999995780675099</v>
      </c>
    </row>
    <row r="93" spans="1:40" x14ac:dyDescent="0.25">
      <c r="A93" t="str">
        <f>"20190312154503685"</f>
        <v>20190312154503685</v>
      </c>
      <c r="B93" t="str">
        <f>"1552376703676542"</f>
        <v>1552376703676542</v>
      </c>
      <c r="C93" t="s">
        <v>40</v>
      </c>
      <c r="D93">
        <v>4.3847630000000004</v>
      </c>
      <c r="E93">
        <v>0.4672692</v>
      </c>
      <c r="F93" t="s">
        <v>46</v>
      </c>
      <c r="G93">
        <v>-170.08879999999999</v>
      </c>
      <c r="H93">
        <v>8.0645089999999993</v>
      </c>
      <c r="I93">
        <v>383.38850000000002</v>
      </c>
      <c r="J93">
        <v>-460.04090000000002</v>
      </c>
      <c r="K93">
        <v>1.108657</v>
      </c>
      <c r="L93">
        <v>367.21960000000001</v>
      </c>
      <c r="M93">
        <v>0.99997959999999997</v>
      </c>
      <c r="N93">
        <v>0</v>
      </c>
      <c r="O93">
        <v>6.3977670000000004E-3</v>
      </c>
      <c r="P93">
        <v>0.99221539999999997</v>
      </c>
      <c r="Q93">
        <v>0.1200249</v>
      </c>
      <c r="R93">
        <v>-3.3208729999999999E-2</v>
      </c>
      <c r="S93">
        <v>3.0203250000000001</v>
      </c>
      <c r="T93">
        <v>7.2383400000000001E-2</v>
      </c>
      <c r="U93">
        <v>0.1682739</v>
      </c>
      <c r="V93">
        <v>3.9505459999999999E-2</v>
      </c>
      <c r="W93">
        <v>0.1195832</v>
      </c>
      <c r="X93">
        <v>0.99203790000000003</v>
      </c>
      <c r="Y93">
        <v>-4.922634E-2</v>
      </c>
      <c r="Z93">
        <v>-4.3614689999999998E-4</v>
      </c>
      <c r="AA93">
        <v>0.9987876</v>
      </c>
      <c r="AB93">
        <v>29</v>
      </c>
      <c r="AC93">
        <v>289.95209999999997</v>
      </c>
      <c r="AD93">
        <v>6.9558519999999904</v>
      </c>
      <c r="AE93">
        <v>16.168900000000001</v>
      </c>
      <c r="AF93">
        <v>-14.305315992580301</v>
      </c>
      <c r="AG93">
        <v>6.9558519999999904</v>
      </c>
      <c r="AH93">
        <v>289.88329895765099</v>
      </c>
      <c r="AI93">
        <v>88.627101374626093</v>
      </c>
      <c r="AJ93">
        <v>92.825170883298995</v>
      </c>
      <c r="AK93">
        <v>290.31939817598197</v>
      </c>
      <c r="AL93">
        <v>83.131951576384594</v>
      </c>
      <c r="AM93">
        <v>87.719542012226</v>
      </c>
      <c r="AN93">
        <v>1.00000000906423</v>
      </c>
    </row>
    <row r="94" spans="1:40" x14ac:dyDescent="0.25">
      <c r="A94" t="str">
        <f>"20190312154503706"</f>
        <v>20190312154503706</v>
      </c>
      <c r="B94" t="str">
        <f>"1552376703696063"</f>
        <v>1552376703696063</v>
      </c>
      <c r="C94" t="s">
        <v>40</v>
      </c>
      <c r="D94">
        <v>4.5236999999999998</v>
      </c>
      <c r="E94">
        <v>0.46737640000000003</v>
      </c>
      <c r="F94" t="s">
        <v>46</v>
      </c>
      <c r="G94">
        <v>-170.08879999999999</v>
      </c>
      <c r="H94">
        <v>8.2576499999999999</v>
      </c>
      <c r="I94">
        <v>383.38929999999999</v>
      </c>
      <c r="J94">
        <v>-459.76190000000003</v>
      </c>
      <c r="K94">
        <v>1.10867</v>
      </c>
      <c r="L94">
        <v>367.22160000000002</v>
      </c>
      <c r="M94">
        <v>0.99997800000000003</v>
      </c>
      <c r="N94">
        <v>0</v>
      </c>
      <c r="O94">
        <v>6.6352090000000004E-3</v>
      </c>
      <c r="P94">
        <v>0.99221939999999997</v>
      </c>
      <c r="Q94">
        <v>0.1200296</v>
      </c>
      <c r="R94">
        <v>-3.3074060000000002E-2</v>
      </c>
      <c r="S94">
        <v>3.020203</v>
      </c>
      <c r="T94">
        <v>7.4466350000000001E-2</v>
      </c>
      <c r="U94">
        <v>0.16842650000000001</v>
      </c>
      <c r="V94">
        <v>3.960557E-2</v>
      </c>
      <c r="W94">
        <v>0.1196797</v>
      </c>
      <c r="X94">
        <v>0.99202230000000002</v>
      </c>
      <c r="Y94">
        <v>-4.9041130000000002E-2</v>
      </c>
      <c r="Z94">
        <v>-4.4058200000000002E-4</v>
      </c>
      <c r="AA94">
        <v>0.99879660000000003</v>
      </c>
      <c r="AB94">
        <v>29</v>
      </c>
      <c r="AC94">
        <v>289.67309999999998</v>
      </c>
      <c r="AD94">
        <v>7.1489799999999999</v>
      </c>
      <c r="AE94">
        <v>16.1676999999999</v>
      </c>
      <c r="AF94">
        <v>-14.2366582763884</v>
      </c>
      <c r="AG94">
        <v>7.1489799999999999</v>
      </c>
      <c r="AH94">
        <v>289.59815976367599</v>
      </c>
      <c r="AI94">
        <v>88.5875964995234</v>
      </c>
      <c r="AJ94">
        <v>92.814397307185203</v>
      </c>
      <c r="AK94">
        <v>290.03600551039602</v>
      </c>
      <c r="AL94">
        <v>83.126382736948301</v>
      </c>
      <c r="AM94">
        <v>87.713733359500196</v>
      </c>
      <c r="AN94">
        <v>1.0000000377322</v>
      </c>
    </row>
    <row r="95" spans="1:40" x14ac:dyDescent="0.25">
      <c r="A95" t="str">
        <f>"20190312154503729"</f>
        <v>20190312154503729</v>
      </c>
      <c r="B95" t="str">
        <f>"1552376703716557"</f>
        <v>1552376703716557</v>
      </c>
      <c r="C95" t="s">
        <v>40</v>
      </c>
      <c r="D95">
        <v>4.7898009999999998</v>
      </c>
      <c r="E95">
        <v>0.49007450000000002</v>
      </c>
      <c r="F95" t="s">
        <v>46</v>
      </c>
      <c r="G95">
        <v>-170.08879999999999</v>
      </c>
      <c r="H95">
        <v>8.3281240000000007</v>
      </c>
      <c r="I95">
        <v>383.36489999999998</v>
      </c>
      <c r="J95">
        <v>-459.45940000000002</v>
      </c>
      <c r="K95">
        <v>1.108679</v>
      </c>
      <c r="L95">
        <v>367.22390000000001</v>
      </c>
      <c r="M95">
        <v>0.99997630000000004</v>
      </c>
      <c r="N95">
        <v>0</v>
      </c>
      <c r="O95">
        <v>6.8919609999999899E-3</v>
      </c>
      <c r="P95">
        <v>0.99229219999999896</v>
      </c>
      <c r="Q95">
        <v>0.11949220000000001</v>
      </c>
      <c r="R95">
        <v>-3.2832130000000001E-2</v>
      </c>
      <c r="S95">
        <v>3.0200499999999999</v>
      </c>
      <c r="T95">
        <v>7.5268860000000007E-2</v>
      </c>
      <c r="U95">
        <v>0.16830439999999999</v>
      </c>
      <c r="V95">
        <v>3.961812E-2</v>
      </c>
      <c r="W95">
        <v>0.1192428</v>
      </c>
      <c r="X95">
        <v>0.99207440000000002</v>
      </c>
      <c r="Y95">
        <v>-4.8747140000000001E-2</v>
      </c>
      <c r="Z95">
        <v>-4.3529909999999997E-4</v>
      </c>
      <c r="AA95">
        <v>0.99881109999999995</v>
      </c>
      <c r="AB95">
        <v>30</v>
      </c>
      <c r="AC95">
        <v>289.37060000000002</v>
      </c>
      <c r="AD95">
        <v>7.2194449999999897</v>
      </c>
      <c r="AE95">
        <v>16.140999999999899</v>
      </c>
      <c r="AF95">
        <v>-14.1375133773338</v>
      </c>
      <c r="AG95">
        <v>7.2194449999999897</v>
      </c>
      <c r="AH95">
        <v>289.29545954317501</v>
      </c>
      <c r="AI95">
        <v>88.572168535295702</v>
      </c>
      <c r="AJ95">
        <v>92.797748553943507</v>
      </c>
      <c r="AK95">
        <v>289.73065523499503</v>
      </c>
      <c r="AL95">
        <v>83.151595749317593</v>
      </c>
      <c r="AM95">
        <v>87.713129645326902</v>
      </c>
      <c r="AN95">
        <v>1.0000000279597601</v>
      </c>
    </row>
    <row r="96" spans="1:40" x14ac:dyDescent="0.25">
      <c r="A96" t="str">
        <f>"20190312154503751"</f>
        <v>20190312154503751</v>
      </c>
      <c r="B96" t="str">
        <f>"1552376703745838"</f>
        <v>1552376703745838</v>
      </c>
      <c r="C96" t="s">
        <v>40</v>
      </c>
      <c r="D96">
        <v>4.5242659999999999</v>
      </c>
      <c r="E96">
        <v>0.49508970000000002</v>
      </c>
      <c r="F96" t="s">
        <v>46</v>
      </c>
      <c r="G96">
        <v>-158.19499999999999</v>
      </c>
      <c r="H96">
        <v>1.734804</v>
      </c>
      <c r="I96">
        <v>366.20179999999999</v>
      </c>
      <c r="J96">
        <v>-459.16379999999998</v>
      </c>
      <c r="K96">
        <v>1.1087039999999999</v>
      </c>
      <c r="L96">
        <v>367.22609999999997</v>
      </c>
      <c r="M96">
        <v>0.99997449999999999</v>
      </c>
      <c r="N96">
        <v>0</v>
      </c>
      <c r="O96">
        <v>7.1426880000000003E-3</v>
      </c>
      <c r="P96">
        <v>0.99204119999999996</v>
      </c>
      <c r="Q96">
        <v>0.12176289999999999</v>
      </c>
      <c r="R96">
        <v>-3.2067650000000003E-2</v>
      </c>
      <c r="S96">
        <v>3.0222470000000001</v>
      </c>
      <c r="T96">
        <v>6.2820910000000001E-3</v>
      </c>
      <c r="U96">
        <v>-1.025391E-2</v>
      </c>
      <c r="V96">
        <v>3.9098809999999998E-2</v>
      </c>
      <c r="W96">
        <v>0.1216105</v>
      </c>
      <c r="X96">
        <v>0.99180749999999995</v>
      </c>
      <c r="Y96">
        <v>1.0535310000000001E-2</v>
      </c>
      <c r="Z96" s="1">
        <v>2.5796190000000001E-5</v>
      </c>
      <c r="AA96">
        <v>0.99994450000000001</v>
      </c>
      <c r="AB96">
        <v>30</v>
      </c>
      <c r="AC96">
        <v>300.96879999999999</v>
      </c>
      <c r="AD96">
        <v>0.62609999999999899</v>
      </c>
      <c r="AE96">
        <v>-1.02429999999998</v>
      </c>
      <c r="AF96">
        <v>3.1739863513991602</v>
      </c>
      <c r="AG96">
        <v>0.62609999999999899</v>
      </c>
      <c r="AH96">
        <v>300.95250385607397</v>
      </c>
      <c r="AI96">
        <v>89.880808963273097</v>
      </c>
      <c r="AJ96">
        <v>89.395754221040093</v>
      </c>
      <c r="AK96">
        <v>300.96989179618799</v>
      </c>
      <c r="AL96">
        <v>83.0149415875633</v>
      </c>
      <c r="AM96">
        <v>87.742467768147193</v>
      </c>
      <c r="AN96">
        <v>0.99999997385495698</v>
      </c>
    </row>
    <row r="97" spans="1:40" x14ac:dyDescent="0.25">
      <c r="A97" t="str">
        <f>"20190312154503775"</f>
        <v>20190312154503775</v>
      </c>
      <c r="B97" t="str">
        <f>"1552376703766333"</f>
        <v>1552376703766333</v>
      </c>
      <c r="C97" t="s">
        <v>40</v>
      </c>
      <c r="D97">
        <v>4.4903110000000002</v>
      </c>
      <c r="E97">
        <v>0.49651190000000001</v>
      </c>
      <c r="F97" t="s">
        <v>42</v>
      </c>
      <c r="G97">
        <v>-342.15649999999999</v>
      </c>
      <c r="H97" s="1">
        <v>-4.4334300000000002E-6</v>
      </c>
      <c r="I97">
        <v>365.41480000000001</v>
      </c>
      <c r="J97">
        <v>-458.84269999999998</v>
      </c>
      <c r="K97">
        <v>1.108725</v>
      </c>
      <c r="L97">
        <v>367.2287</v>
      </c>
      <c r="M97">
        <v>0.99997250000000004</v>
      </c>
      <c r="N97">
        <v>0</v>
      </c>
      <c r="O97">
        <v>7.4152890000000003E-3</v>
      </c>
      <c r="P97">
        <v>0.99164739999999996</v>
      </c>
      <c r="Q97">
        <v>0.1252026</v>
      </c>
      <c r="R97">
        <v>-3.0986E-2</v>
      </c>
      <c r="S97">
        <v>3.0260929999999999</v>
      </c>
      <c r="T97">
        <v>-2.867389E-2</v>
      </c>
      <c r="U97">
        <v>-4.6844480000000001E-2</v>
      </c>
      <c r="V97">
        <v>3.8282200000000002E-2</v>
      </c>
      <c r="W97">
        <v>0.12515570000000001</v>
      </c>
      <c r="X97">
        <v>0.99139829999999995</v>
      </c>
      <c r="Y97">
        <v>2.289095E-2</v>
      </c>
      <c r="Z97">
        <v>-1.78701899999999E-4</v>
      </c>
      <c r="AA97">
        <v>0.99973800000000002</v>
      </c>
      <c r="AB97">
        <v>30</v>
      </c>
      <c r="AC97">
        <v>116.6862</v>
      </c>
      <c r="AD97">
        <v>-1.10872943343</v>
      </c>
      <c r="AE97">
        <v>-1.8138999999999801</v>
      </c>
      <c r="AF97">
        <v>2.6788702286679502</v>
      </c>
      <c r="AG97">
        <v>-1.10872943343</v>
      </c>
      <c r="AH97">
        <v>116.659011348753</v>
      </c>
      <c r="AI97">
        <v>90.544380268043696</v>
      </c>
      <c r="AJ97">
        <v>88.684533786987402</v>
      </c>
      <c r="AK97">
        <v>116.695032265847</v>
      </c>
      <c r="AL97">
        <v>82.810252890347201</v>
      </c>
      <c r="AM97">
        <v>87.788659420689001</v>
      </c>
      <c r="AN97">
        <v>1.0000000326611</v>
      </c>
    </row>
    <row r="98" spans="1:40" x14ac:dyDescent="0.25">
      <c r="A98" t="str">
        <f>"20190312154503798"</f>
        <v>20190312154503798</v>
      </c>
      <c r="B98" t="str">
        <f>"1552376703785854"</f>
        <v>1552376703785854</v>
      </c>
      <c r="C98" t="s">
        <v>40</v>
      </c>
      <c r="D98">
        <v>4.4676019999999896</v>
      </c>
      <c r="E98">
        <v>0.49709170000000003</v>
      </c>
      <c r="F98" t="s">
        <v>42</v>
      </c>
      <c r="G98">
        <v>-325.45119999999997</v>
      </c>
      <c r="H98" s="1">
        <v>-2.8106339999999999E-6</v>
      </c>
      <c r="I98">
        <v>364.81849999999997</v>
      </c>
      <c r="J98">
        <v>-458.52460000000002</v>
      </c>
      <c r="K98">
        <v>1.108741</v>
      </c>
      <c r="L98">
        <v>367.23129999999998</v>
      </c>
      <c r="M98">
        <v>0.99997060000000004</v>
      </c>
      <c r="N98">
        <v>0</v>
      </c>
      <c r="O98">
        <v>7.6849029999999999E-3</v>
      </c>
      <c r="P98">
        <v>0.99143389999999998</v>
      </c>
      <c r="Q98">
        <v>0.1271978</v>
      </c>
      <c r="R98">
        <v>-2.9668659999999999E-2</v>
      </c>
      <c r="S98">
        <v>3.0267330000000001</v>
      </c>
      <c r="T98">
        <v>-2.515769E-2</v>
      </c>
      <c r="U98">
        <v>-5.46875E-2</v>
      </c>
      <c r="V98">
        <v>3.7228440000000002E-2</v>
      </c>
      <c r="W98">
        <v>0.12725549999999999</v>
      </c>
      <c r="X98">
        <v>0.99117109999999997</v>
      </c>
      <c r="Y98">
        <v>2.574717E-2</v>
      </c>
      <c r="Z98">
        <v>-1.7086240000000001E-4</v>
      </c>
      <c r="AA98">
        <v>0.99966849999999996</v>
      </c>
      <c r="AB98">
        <v>30</v>
      </c>
      <c r="AC98">
        <v>133.07339999999999</v>
      </c>
      <c r="AD98">
        <v>-1.108743810634</v>
      </c>
      <c r="AE98">
        <v>-2.4127999999999998</v>
      </c>
      <c r="AF98">
        <v>3.43514640345296</v>
      </c>
      <c r="AG98">
        <v>-1.108743810634</v>
      </c>
      <c r="AH98">
        <v>133.04169568529099</v>
      </c>
      <c r="AI98">
        <v>90.477321837051207</v>
      </c>
      <c r="AJ98">
        <v>88.520947368173694</v>
      </c>
      <c r="AK98">
        <v>133.09065457224401</v>
      </c>
      <c r="AL98">
        <v>82.688973467155606</v>
      </c>
      <c r="AM98">
        <v>87.848978572842299</v>
      </c>
      <c r="AN98">
        <v>1.0000000342501401</v>
      </c>
    </row>
    <row r="99" spans="1:40" x14ac:dyDescent="0.25">
      <c r="A99" t="str">
        <f>"20190312154503820"</f>
        <v>20190312154503820</v>
      </c>
      <c r="B99" t="str">
        <f>"1552376703806350"</f>
        <v>1552376703806350</v>
      </c>
      <c r="C99" t="s">
        <v>40</v>
      </c>
      <c r="D99">
        <v>4.4660739999999999</v>
      </c>
      <c r="E99">
        <v>0.49752000000000002</v>
      </c>
      <c r="F99" t="s">
        <v>43</v>
      </c>
      <c r="G99">
        <v>-305.40519999999998</v>
      </c>
      <c r="H99">
        <v>-0.05</v>
      </c>
      <c r="I99">
        <v>364.4049</v>
      </c>
      <c r="J99">
        <v>-458.22289999999998</v>
      </c>
      <c r="K99">
        <v>1.1087590000000001</v>
      </c>
      <c r="L99">
        <v>367.23379999999997</v>
      </c>
      <c r="M99">
        <v>0.99996859999999999</v>
      </c>
      <c r="N99">
        <v>0</v>
      </c>
      <c r="O99">
        <v>7.9399689999999998E-3</v>
      </c>
      <c r="P99">
        <v>0.99138289999999996</v>
      </c>
      <c r="Q99">
        <v>0.1277481</v>
      </c>
      <c r="R99">
        <v>-2.899243E-2</v>
      </c>
      <c r="S99">
        <v>3.0272220000000001</v>
      </c>
      <c r="T99">
        <v>-2.2908689999999999E-2</v>
      </c>
      <c r="U99">
        <v>-5.5877690000000001E-2</v>
      </c>
      <c r="V99">
        <v>3.6803710000000003E-2</v>
      </c>
      <c r="W99">
        <v>0.1279053</v>
      </c>
      <c r="X99">
        <v>0.99110330000000002</v>
      </c>
      <c r="Y99">
        <v>2.639232E-2</v>
      </c>
      <c r="Z99">
        <v>-1.5993370000000001E-4</v>
      </c>
      <c r="AA99">
        <v>0.99965170000000003</v>
      </c>
      <c r="AB99">
        <v>30</v>
      </c>
      <c r="AC99">
        <v>152.8177</v>
      </c>
      <c r="AD99">
        <v>-1.1587590000000001</v>
      </c>
      <c r="AE99">
        <v>-2.8288999999999702</v>
      </c>
      <c r="AF99">
        <v>4.0419461630390696</v>
      </c>
      <c r="AG99">
        <v>-1.1587590000000001</v>
      </c>
      <c r="AH99">
        <v>152.78164014822599</v>
      </c>
      <c r="AI99">
        <v>90.434394516392203</v>
      </c>
      <c r="AJ99">
        <v>88.484553188747199</v>
      </c>
      <c r="AK99">
        <v>152.83948971907401</v>
      </c>
      <c r="AL99">
        <v>82.6514357802711</v>
      </c>
      <c r="AM99">
        <v>87.873351043297305</v>
      </c>
      <c r="AN99">
        <v>1.00000001505437</v>
      </c>
    </row>
    <row r="100" spans="1:40" x14ac:dyDescent="0.25">
      <c r="A100" t="str">
        <f>"20190312154503842"</f>
        <v>20190312154503842</v>
      </c>
      <c r="B100" t="str">
        <f>"1552376703835632"</f>
        <v>1552376703835632</v>
      </c>
      <c r="C100" t="s">
        <v>40</v>
      </c>
      <c r="D100">
        <v>4.435238</v>
      </c>
      <c r="E100">
        <v>0.49798150000000002</v>
      </c>
      <c r="F100" t="s">
        <v>42</v>
      </c>
      <c r="G100">
        <v>-349.46010000000001</v>
      </c>
      <c r="H100" s="1">
        <v>-1.367339E-6</v>
      </c>
      <c r="I100">
        <v>365.19740000000002</v>
      </c>
      <c r="J100">
        <v>-457.91789999999997</v>
      </c>
      <c r="K100">
        <v>1.10876</v>
      </c>
      <c r="L100">
        <v>367.23649999999998</v>
      </c>
      <c r="M100">
        <v>0.99996640000000003</v>
      </c>
      <c r="N100">
        <v>0</v>
      </c>
      <c r="O100">
        <v>8.1986070000000001E-3</v>
      </c>
      <c r="P100">
        <v>0.99144670000000001</v>
      </c>
      <c r="Q100">
        <v>0.1273744</v>
      </c>
      <c r="R100">
        <v>-2.8449929999999998E-2</v>
      </c>
      <c r="S100">
        <v>3.028381</v>
      </c>
      <c r="T100">
        <v>-3.0872230000000001E-2</v>
      </c>
      <c r="U100">
        <v>-5.6701660000000001E-2</v>
      </c>
      <c r="V100">
        <v>3.6517460000000002E-2</v>
      </c>
      <c r="W100">
        <v>0.12763239999999901</v>
      </c>
      <c r="X100">
        <v>0.99114910000000001</v>
      </c>
      <c r="Y100">
        <v>2.6914859999999999E-2</v>
      </c>
      <c r="Z100">
        <v>-2.2074400000000001E-4</v>
      </c>
      <c r="AA100">
        <v>0.99963769999999996</v>
      </c>
      <c r="AB100">
        <v>30</v>
      </c>
      <c r="AC100">
        <v>108.457799999999</v>
      </c>
      <c r="AD100">
        <v>-1.108761367339</v>
      </c>
      <c r="AE100">
        <v>-2.0390999999999599</v>
      </c>
      <c r="AF100">
        <v>2.9279284503684799</v>
      </c>
      <c r="AG100">
        <v>-1.108761367339</v>
      </c>
      <c r="AH100">
        <v>108.426109523241</v>
      </c>
      <c r="AI100">
        <v>90.585670606069101</v>
      </c>
      <c r="AJ100">
        <v>88.453166082261802</v>
      </c>
      <c r="AK100">
        <v>108.471301933397</v>
      </c>
      <c r="AL100">
        <v>82.667201241846797</v>
      </c>
      <c r="AM100">
        <v>87.889973991627699</v>
      </c>
      <c r="AN100">
        <v>1.0000000464226999</v>
      </c>
    </row>
    <row r="101" spans="1:40" x14ac:dyDescent="0.25">
      <c r="A101" t="str">
        <f>"20190312154503865"</f>
        <v>20190312154503865</v>
      </c>
      <c r="B101" t="str">
        <f>"1552376703856126"</f>
        <v>1552376703856126</v>
      </c>
      <c r="C101" t="s">
        <v>40</v>
      </c>
      <c r="D101">
        <v>4.4163410000000001</v>
      </c>
      <c r="E101">
        <v>0.49831170000000002</v>
      </c>
      <c r="F101" t="s">
        <v>42</v>
      </c>
      <c r="G101">
        <v>-368.24059999999997</v>
      </c>
      <c r="H101" s="1">
        <v>-1.676692E-6</v>
      </c>
      <c r="I101">
        <v>365.51249999999999</v>
      </c>
      <c r="J101">
        <v>-457.60300000000001</v>
      </c>
      <c r="K101">
        <v>1.1087590000000001</v>
      </c>
      <c r="L101">
        <v>367.23930000000001</v>
      </c>
      <c r="M101">
        <v>0.99996410000000002</v>
      </c>
      <c r="N101">
        <v>0</v>
      </c>
      <c r="O101">
        <v>8.4646900000000004E-3</v>
      </c>
      <c r="P101">
        <v>0.99149799999999999</v>
      </c>
      <c r="Q101">
        <v>0.1272094</v>
      </c>
      <c r="R101">
        <v>-2.738171E-2</v>
      </c>
      <c r="S101">
        <v>3.0290530000000002</v>
      </c>
      <c r="T101">
        <v>-3.7450909999999997E-2</v>
      </c>
      <c r="U101">
        <v>-5.8227540000000001E-2</v>
      </c>
      <c r="V101">
        <v>3.5712479999999998E-2</v>
      </c>
      <c r="W101">
        <v>0.1275705</v>
      </c>
      <c r="X101">
        <v>0.99118640000000002</v>
      </c>
      <c r="Y101">
        <v>2.767915E-2</v>
      </c>
      <c r="Z101">
        <v>-2.7573289999999998E-4</v>
      </c>
      <c r="AA101">
        <v>0.99961679999999997</v>
      </c>
      <c r="AB101">
        <v>31</v>
      </c>
      <c r="AC101">
        <v>89.362399999999994</v>
      </c>
      <c r="AD101">
        <v>-1.108760676692</v>
      </c>
      <c r="AE101">
        <v>-1.7268000000000201</v>
      </c>
      <c r="AF101">
        <v>2.4827811355368099</v>
      </c>
      <c r="AG101">
        <v>-1.108760676692</v>
      </c>
      <c r="AH101">
        <v>89.330834748063296</v>
      </c>
      <c r="AI101">
        <v>90.710835485546497</v>
      </c>
      <c r="AJ101">
        <v>88.407982307229801</v>
      </c>
      <c r="AK101">
        <v>89.372208147672794</v>
      </c>
      <c r="AL101">
        <v>82.670777082508593</v>
      </c>
      <c r="AM101">
        <v>87.936523699192406</v>
      </c>
      <c r="AN101">
        <v>1.00000004662147</v>
      </c>
    </row>
    <row r="102" spans="1:40" x14ac:dyDescent="0.25">
      <c r="A102" t="str">
        <f>"20190312154503885"</f>
        <v>20190312154503885</v>
      </c>
      <c r="B102" t="str">
        <f>"1552376703875645"</f>
        <v>1552376703875645</v>
      </c>
      <c r="C102" t="s">
        <v>40</v>
      </c>
      <c r="D102">
        <v>4.3557329999999999</v>
      </c>
      <c r="E102">
        <v>0.4984615</v>
      </c>
      <c r="F102" t="s">
        <v>42</v>
      </c>
      <c r="G102">
        <v>-371.9425</v>
      </c>
      <c r="H102" s="1">
        <v>-4.1511519999999997E-6</v>
      </c>
      <c r="I102">
        <v>365.60120000000001</v>
      </c>
      <c r="J102">
        <v>-457.31830000000002</v>
      </c>
      <c r="K102">
        <v>1.1087590000000001</v>
      </c>
      <c r="L102">
        <v>367.24189999999999</v>
      </c>
      <c r="M102">
        <v>0.99996200000000002</v>
      </c>
      <c r="N102">
        <v>0</v>
      </c>
      <c r="O102">
        <v>8.7053779999999997E-3</v>
      </c>
      <c r="P102">
        <v>0.99155090000000001</v>
      </c>
      <c r="Q102">
        <v>0.1268968</v>
      </c>
      <c r="R102">
        <v>-2.690422E-2</v>
      </c>
      <c r="S102">
        <v>3.0291139999999999</v>
      </c>
      <c r="T102">
        <v>-3.9207939999999997E-2</v>
      </c>
      <c r="U102">
        <v>-5.7922359999999999E-2</v>
      </c>
      <c r="V102">
        <v>3.5473640000000001E-2</v>
      </c>
      <c r="W102">
        <v>0.12735150000000001</v>
      </c>
      <c r="X102">
        <v>0.99122310000000002</v>
      </c>
      <c r="Y102">
        <v>2.78184E-2</v>
      </c>
      <c r="Z102">
        <v>-2.9267859999999998E-4</v>
      </c>
      <c r="AA102">
        <v>0.99961290000000003</v>
      </c>
      <c r="AB102">
        <v>31</v>
      </c>
      <c r="AC102">
        <v>85.375799999999998</v>
      </c>
      <c r="AD102">
        <v>-1.108763151152</v>
      </c>
      <c r="AE102">
        <v>-1.6406999999999801</v>
      </c>
      <c r="AF102">
        <v>2.3834646777048598</v>
      </c>
      <c r="AG102">
        <v>-1.108763151152</v>
      </c>
      <c r="AH102">
        <v>85.343893328483503</v>
      </c>
      <c r="AI102">
        <v>90.744038231546</v>
      </c>
      <c r="AJ102">
        <v>88.4002724331541</v>
      </c>
      <c r="AK102">
        <v>85.384368522925797</v>
      </c>
      <c r="AL102">
        <v>82.683427766156399</v>
      </c>
      <c r="AM102">
        <v>87.950387950259</v>
      </c>
      <c r="AN102">
        <v>1.00000000883035</v>
      </c>
    </row>
    <row r="103" spans="1:40" x14ac:dyDescent="0.25">
      <c r="A103" t="str">
        <f>"20190312154503907"</f>
        <v>20190312154503907</v>
      </c>
      <c r="B103" t="str">
        <f>"1552376703896142"</f>
        <v>1552376703896142</v>
      </c>
      <c r="C103" t="s">
        <v>40</v>
      </c>
      <c r="D103">
        <v>4.365653</v>
      </c>
      <c r="E103">
        <v>0.49890390000000001</v>
      </c>
      <c r="F103" t="s">
        <v>42</v>
      </c>
      <c r="G103">
        <v>-373.60759999999999</v>
      </c>
      <c r="H103" s="1">
        <v>-3.4287019999999999E-6</v>
      </c>
      <c r="I103">
        <v>365.64710000000002</v>
      </c>
      <c r="J103">
        <v>-457.00450000000001</v>
      </c>
      <c r="K103">
        <v>1.10876</v>
      </c>
      <c r="L103">
        <v>367.24489999999997</v>
      </c>
      <c r="M103">
        <v>0.99995970000000001</v>
      </c>
      <c r="N103">
        <v>0</v>
      </c>
      <c r="O103">
        <v>8.9707369999999995E-3</v>
      </c>
      <c r="P103">
        <v>0.99157810000000002</v>
      </c>
      <c r="Q103">
        <v>0.12673579999999901</v>
      </c>
      <c r="R103">
        <v>-2.6661460000000001E-2</v>
      </c>
      <c r="S103">
        <v>3.029175</v>
      </c>
      <c r="T103">
        <v>-4.0121909999999997E-2</v>
      </c>
      <c r="U103">
        <v>-5.7708740000000001E-2</v>
      </c>
      <c r="V103">
        <v>3.549356E-2</v>
      </c>
      <c r="W103">
        <v>0.12729380000000001</v>
      </c>
      <c r="X103">
        <v>0.99122980000000005</v>
      </c>
      <c r="Y103">
        <v>2.8012619999999998E-2</v>
      </c>
      <c r="Z103">
        <v>-3.0429509999999998E-4</v>
      </c>
      <c r="AA103">
        <v>0.99960749999999998</v>
      </c>
      <c r="AB103">
        <v>31</v>
      </c>
      <c r="AC103">
        <v>83.396900000000002</v>
      </c>
      <c r="AD103">
        <v>-1.1087634287019901</v>
      </c>
      <c r="AE103">
        <v>-1.5977999999999399</v>
      </c>
      <c r="AF103">
        <v>2.3454529865168898</v>
      </c>
      <c r="AG103">
        <v>-1.1087634287019901</v>
      </c>
      <c r="AH103">
        <v>83.364480946970005</v>
      </c>
      <c r="AI103">
        <v>90.761698444534204</v>
      </c>
      <c r="AJ103">
        <v>88.388412978149802</v>
      </c>
      <c r="AK103">
        <v>83.404839125859596</v>
      </c>
      <c r="AL103">
        <v>82.686760870753403</v>
      </c>
      <c r="AM103">
        <v>87.949251835773197</v>
      </c>
      <c r="AN103">
        <v>1.0000000103639699</v>
      </c>
    </row>
    <row r="104" spans="1:40" x14ac:dyDescent="0.25">
      <c r="A104" t="str">
        <f>"20190312154503929"</f>
        <v>20190312154503929</v>
      </c>
      <c r="B104" t="str">
        <f>"1552376703915662"</f>
        <v>1552376703915662</v>
      </c>
      <c r="C104" t="s">
        <v>40</v>
      </c>
      <c r="D104">
        <v>4.29535</v>
      </c>
      <c r="E104">
        <v>0.49908540000000001</v>
      </c>
      <c r="F104" t="s">
        <v>42</v>
      </c>
      <c r="G104">
        <v>-375.14830000000001</v>
      </c>
      <c r="H104" s="1">
        <v>-2.7720969999999998E-6</v>
      </c>
      <c r="I104">
        <v>365.62270000000001</v>
      </c>
      <c r="J104">
        <v>-456.69670000000002</v>
      </c>
      <c r="K104">
        <v>1.1087659999999999</v>
      </c>
      <c r="L104">
        <v>367.24799999999999</v>
      </c>
      <c r="M104">
        <v>0.99995719999999999</v>
      </c>
      <c r="N104">
        <v>0</v>
      </c>
      <c r="O104">
        <v>9.2307259999999999E-3</v>
      </c>
      <c r="P104">
        <v>0.99173100000000003</v>
      </c>
      <c r="Q104">
        <v>0.12560009999999999</v>
      </c>
      <c r="R104">
        <v>-2.6353910000000001E-2</v>
      </c>
      <c r="S104">
        <v>3.0291139999999999</v>
      </c>
      <c r="T104">
        <v>-4.1030049999999998E-2</v>
      </c>
      <c r="U104">
        <v>-6.0028079999999998E-2</v>
      </c>
      <c r="V104">
        <v>3.5444749999999997E-2</v>
      </c>
      <c r="W104">
        <v>0.12625890000000001</v>
      </c>
      <c r="X104">
        <v>0.99136389999999996</v>
      </c>
      <c r="Y104">
        <v>2.903772E-2</v>
      </c>
      <c r="Z104">
        <v>-3.2164900000000002E-4</v>
      </c>
      <c r="AA104">
        <v>0.99957819999999997</v>
      </c>
      <c r="AB104">
        <v>31</v>
      </c>
      <c r="AC104">
        <v>81.548400000000001</v>
      </c>
      <c r="AD104">
        <v>-1.1087687720970001</v>
      </c>
      <c r="AE104">
        <v>-1.6253000000000299</v>
      </c>
      <c r="AF104">
        <v>2.3775424930054601</v>
      </c>
      <c r="AG104">
        <v>-1.1087687720970001</v>
      </c>
      <c r="AH104">
        <v>81.514859868131794</v>
      </c>
      <c r="AI104">
        <v>90.778960474614195</v>
      </c>
      <c r="AJ104">
        <v>88.329328646840906</v>
      </c>
      <c r="AK104">
        <v>81.557062574722494</v>
      </c>
      <c r="AL104">
        <v>82.746538608080002</v>
      </c>
      <c r="AM104">
        <v>87.952346362689596</v>
      </c>
      <c r="AN104">
        <v>1.00000001117749</v>
      </c>
    </row>
    <row r="105" spans="1:40" x14ac:dyDescent="0.25">
      <c r="A105" t="str">
        <f>"20190312154503953"</f>
        <v>20190312154503953</v>
      </c>
      <c r="B105" t="str">
        <f>"1552376703946397"</f>
        <v>1552376703946397</v>
      </c>
      <c r="C105" t="s">
        <v>40</v>
      </c>
      <c r="D105">
        <v>4.2382289999999996</v>
      </c>
      <c r="E105">
        <v>0.49943070000000001</v>
      </c>
      <c r="F105" t="s">
        <v>42</v>
      </c>
      <c r="G105">
        <v>-380.161</v>
      </c>
      <c r="H105" s="1">
        <v>-4.8952569999999901E-6</v>
      </c>
      <c r="I105">
        <v>365.7149</v>
      </c>
      <c r="J105">
        <v>-456.36430000000001</v>
      </c>
      <c r="K105">
        <v>1.1087670000000001</v>
      </c>
      <c r="L105">
        <v>367.25130000000001</v>
      </c>
      <c r="M105">
        <v>0.99995449999999997</v>
      </c>
      <c r="N105">
        <v>0</v>
      </c>
      <c r="O105">
        <v>9.5112749999999996E-3</v>
      </c>
      <c r="P105">
        <v>0.99179980000000001</v>
      </c>
      <c r="Q105">
        <v>0.12494959999999999</v>
      </c>
      <c r="R105">
        <v>-2.685032E-2</v>
      </c>
      <c r="S105">
        <v>3.0289609999999998</v>
      </c>
      <c r="T105">
        <v>-4.3880460000000003E-2</v>
      </c>
      <c r="U105">
        <v>-6.0668949999999999E-2</v>
      </c>
      <c r="V105">
        <v>3.6219359999999999E-2</v>
      </c>
      <c r="W105">
        <v>0.12571769999999999</v>
      </c>
      <c r="X105">
        <v>0.99140470000000003</v>
      </c>
      <c r="Y105">
        <v>2.9529980000000001E-2</v>
      </c>
      <c r="Z105">
        <v>-3.5163749999999998E-4</v>
      </c>
      <c r="AA105">
        <v>0.9995638</v>
      </c>
      <c r="AB105">
        <v>32</v>
      </c>
      <c r="AC105">
        <v>76.203299999999999</v>
      </c>
      <c r="AD105">
        <v>-1.108771895257</v>
      </c>
      <c r="AE105">
        <v>-1.53640000000001</v>
      </c>
      <c r="AF105">
        <v>2.26064283799675</v>
      </c>
      <c r="AG105">
        <v>-1.108771895257</v>
      </c>
      <c r="AH105">
        <v>76.169120907655596</v>
      </c>
      <c r="AI105">
        <v>90.833612197995095</v>
      </c>
      <c r="AJ105">
        <v>88.300002927597006</v>
      </c>
      <c r="AK105">
        <v>76.210726679396998</v>
      </c>
      <c r="AL105">
        <v>82.777796294073397</v>
      </c>
      <c r="AM105">
        <v>87.907722297313896</v>
      </c>
      <c r="AN105">
        <v>1.00000003065709</v>
      </c>
    </row>
    <row r="106" spans="1:40" x14ac:dyDescent="0.25">
      <c r="A106" t="str">
        <f>"20190312154503974"</f>
        <v>20190312154503974</v>
      </c>
      <c r="B106" t="str">
        <f>"1552376703965917"</f>
        <v>1552376703965917</v>
      </c>
      <c r="C106" t="s">
        <v>40</v>
      </c>
      <c r="D106">
        <v>4.2396690000000001</v>
      </c>
      <c r="E106">
        <v>0.49963459999999899</v>
      </c>
      <c r="F106" t="s">
        <v>42</v>
      </c>
      <c r="G106">
        <v>-382.52249999999998</v>
      </c>
      <c r="H106" s="1">
        <v>-3.8897339999999999E-6</v>
      </c>
      <c r="I106">
        <v>365.67230000000001</v>
      </c>
      <c r="J106">
        <v>-456.06009999999998</v>
      </c>
      <c r="K106">
        <v>1.108787</v>
      </c>
      <c r="L106">
        <v>367.2543</v>
      </c>
      <c r="M106">
        <v>0.99995210000000001</v>
      </c>
      <c r="N106">
        <v>0</v>
      </c>
      <c r="O106">
        <v>9.7679180000000004E-3</v>
      </c>
      <c r="P106">
        <v>0.99174819999999997</v>
      </c>
      <c r="Q106">
        <v>0.12536710000000001</v>
      </c>
      <c r="R106">
        <v>-2.6812619999999999E-2</v>
      </c>
      <c r="S106">
        <v>3.0287480000000002</v>
      </c>
      <c r="T106">
        <v>-4.5478110000000002E-2</v>
      </c>
      <c r="U106">
        <v>-6.4758300000000005E-2</v>
      </c>
      <c r="V106">
        <v>3.6434679999999997E-2</v>
      </c>
      <c r="W106">
        <v>0.12623429999999999</v>
      </c>
      <c r="X106">
        <v>0.99133119999999997</v>
      </c>
      <c r="Y106">
        <v>3.113639E-2</v>
      </c>
      <c r="Z106">
        <v>-3.8037120000000002E-4</v>
      </c>
      <c r="AA106">
        <v>0.99951509999999999</v>
      </c>
      <c r="AB106">
        <v>32</v>
      </c>
      <c r="AC106">
        <v>73.537599999999998</v>
      </c>
      <c r="AD106">
        <v>-1.108790889734</v>
      </c>
      <c r="AE106">
        <v>-1.5819999999999901</v>
      </c>
      <c r="AF106">
        <v>2.2997113322807499</v>
      </c>
      <c r="AG106">
        <v>-1.108790889734</v>
      </c>
      <c r="AH106">
        <v>73.501936497809595</v>
      </c>
      <c r="AI106">
        <v>90.863829687930604</v>
      </c>
      <c r="AJ106">
        <v>88.207927717658393</v>
      </c>
      <c r="AK106">
        <v>73.546262708427307</v>
      </c>
      <c r="AL106">
        <v>82.747959854096706</v>
      </c>
      <c r="AM106">
        <v>87.895139188157401</v>
      </c>
      <c r="AN106">
        <v>1.0000000662483099</v>
      </c>
    </row>
    <row r="107" spans="1:40" x14ac:dyDescent="0.25">
      <c r="A107" t="str">
        <f>"20190312154503999"</f>
        <v>20190312154503999</v>
      </c>
      <c r="B107" t="str">
        <f>"1552376703986413"</f>
        <v>1552376703986413</v>
      </c>
      <c r="C107" t="s">
        <v>40</v>
      </c>
      <c r="D107">
        <v>4.2179779999999996</v>
      </c>
      <c r="E107">
        <v>0.49979230000000002</v>
      </c>
      <c r="F107" t="s">
        <v>42</v>
      </c>
      <c r="G107">
        <v>-379.70359999999999</v>
      </c>
      <c r="H107" s="1">
        <v>-1.1600309999999999E-6</v>
      </c>
      <c r="I107">
        <v>365.58319999999998</v>
      </c>
      <c r="J107">
        <v>-455.7131</v>
      </c>
      <c r="K107">
        <v>1.108808</v>
      </c>
      <c r="L107">
        <v>367.25799999999998</v>
      </c>
      <c r="M107">
        <v>0.99994899999999998</v>
      </c>
      <c r="N107">
        <v>0</v>
      </c>
      <c r="O107">
        <v>1.0060970000000001E-2</v>
      </c>
      <c r="P107">
        <v>0.99142039999999998</v>
      </c>
      <c r="Q107">
        <v>0.1278107</v>
      </c>
      <c r="R107">
        <v>-2.7390629999999999E-2</v>
      </c>
      <c r="S107">
        <v>3.0287169999999999</v>
      </c>
      <c r="T107">
        <v>-4.3980600000000002E-2</v>
      </c>
      <c r="U107">
        <v>-6.6284179999999998E-2</v>
      </c>
      <c r="V107">
        <v>3.7297740000000003E-2</v>
      </c>
      <c r="W107">
        <v>0.12879099999999999</v>
      </c>
      <c r="X107">
        <v>0.99097009999999996</v>
      </c>
      <c r="Y107">
        <v>3.1933030000000001E-2</v>
      </c>
      <c r="Z107">
        <v>-3.7788740000000001E-4</v>
      </c>
      <c r="AA107">
        <v>0.99948999999999999</v>
      </c>
      <c r="AB107">
        <v>32</v>
      </c>
      <c r="AC107">
        <v>76.009500000000003</v>
      </c>
      <c r="AD107">
        <v>-1.1088091600309999</v>
      </c>
      <c r="AE107">
        <v>-1.67480000000006</v>
      </c>
      <c r="AF107">
        <v>2.4389260697630601</v>
      </c>
      <c r="AG107">
        <v>-1.1088091600309999</v>
      </c>
      <c r="AH107">
        <v>75.972643456070898</v>
      </c>
      <c r="AI107">
        <v>90.835733334384798</v>
      </c>
      <c r="AJ107">
        <v>88.161282942728505</v>
      </c>
      <c r="AK107">
        <v>76.019868270277897</v>
      </c>
      <c r="AL107">
        <v>82.600265510072205</v>
      </c>
      <c r="AM107">
        <v>87.844541566888594</v>
      </c>
      <c r="AN107">
        <v>0.99999999109205795</v>
      </c>
    </row>
    <row r="108" spans="1:40" x14ac:dyDescent="0.25">
      <c r="A108" t="str">
        <f>"20190312154504021"</f>
        <v>20190312154504021</v>
      </c>
      <c r="B108" t="str">
        <f>"1552376704005932"</f>
        <v>1552376704005932</v>
      </c>
      <c r="C108" t="s">
        <v>40</v>
      </c>
      <c r="D108">
        <v>4.1821570000000001</v>
      </c>
      <c r="E108">
        <v>0.49991360000000001</v>
      </c>
      <c r="F108" t="s">
        <v>42</v>
      </c>
      <c r="G108">
        <v>-362.34980000000002</v>
      </c>
      <c r="H108" s="1">
        <v>-4.0613649999999999E-6</v>
      </c>
      <c r="I108">
        <v>365.1225</v>
      </c>
      <c r="J108">
        <v>-455.3852</v>
      </c>
      <c r="K108">
        <v>1.1088309999999999</v>
      </c>
      <c r="L108">
        <v>367.26159999999999</v>
      </c>
      <c r="M108">
        <v>0.99994609999999995</v>
      </c>
      <c r="N108">
        <v>0</v>
      </c>
      <c r="O108">
        <v>1.0337020000000001E-2</v>
      </c>
      <c r="P108">
        <v>0.99127849999999995</v>
      </c>
      <c r="Q108">
        <v>0.12876000000000001</v>
      </c>
      <c r="R108">
        <v>-2.8074450000000001E-2</v>
      </c>
      <c r="S108">
        <v>3.0287169999999999</v>
      </c>
      <c r="T108">
        <v>-3.5969969999999997E-2</v>
      </c>
      <c r="U108">
        <v>-6.9274899999999903E-2</v>
      </c>
      <c r="V108">
        <v>3.8252189999999998E-2</v>
      </c>
      <c r="W108">
        <v>0.12988469999999999</v>
      </c>
      <c r="X108">
        <v>0.99079099999999998</v>
      </c>
      <c r="Y108">
        <v>3.3196740000000002E-2</v>
      </c>
      <c r="Z108">
        <v>-3.1984199999999998E-4</v>
      </c>
      <c r="AA108">
        <v>0.99944880000000003</v>
      </c>
      <c r="AB108">
        <v>32</v>
      </c>
      <c r="AC108">
        <v>93.035399999999896</v>
      </c>
      <c r="AD108">
        <v>-1.108835061365</v>
      </c>
      <c r="AE108">
        <v>-2.13909999999998</v>
      </c>
      <c r="AF108">
        <v>3.1002548005120798</v>
      </c>
      <c r="AG108">
        <v>-1.108835061365</v>
      </c>
      <c r="AH108">
        <v>92.995114470237795</v>
      </c>
      <c r="AI108">
        <v>90.682759396509894</v>
      </c>
      <c r="AJ108">
        <v>88.090590530856602</v>
      </c>
      <c r="AK108">
        <v>93.053384733463901</v>
      </c>
      <c r="AL108">
        <v>82.537070642764704</v>
      </c>
      <c r="AM108">
        <v>87.789038181233394</v>
      </c>
      <c r="AN108">
        <v>1.0000000355074401</v>
      </c>
    </row>
    <row r="109" spans="1:40" x14ac:dyDescent="0.25">
      <c r="A109" t="str">
        <f>"20190312154504043"</f>
        <v>20190312154504043</v>
      </c>
      <c r="B109" t="str">
        <f>"1552376704035722"</f>
        <v>1552376704035722</v>
      </c>
      <c r="C109" t="s">
        <v>40</v>
      </c>
      <c r="D109">
        <v>4.1740069999999996</v>
      </c>
      <c r="E109">
        <v>0.50004870000000001</v>
      </c>
      <c r="F109" t="s">
        <v>42</v>
      </c>
      <c r="G109">
        <v>-351.48320000000001</v>
      </c>
      <c r="H109" s="1">
        <v>-4.4925239999999996E-6</v>
      </c>
      <c r="I109">
        <v>364.78750000000002</v>
      </c>
      <c r="J109">
        <v>-455.06119999999999</v>
      </c>
      <c r="K109">
        <v>1.1088849999999999</v>
      </c>
      <c r="L109">
        <v>367.26519999999999</v>
      </c>
      <c r="M109">
        <v>0.99994280000000002</v>
      </c>
      <c r="N109">
        <v>0</v>
      </c>
      <c r="O109">
        <v>1.0608070000000001E-2</v>
      </c>
      <c r="P109">
        <v>0.99126979999999998</v>
      </c>
      <c r="Q109">
        <v>0.12881999999999999</v>
      </c>
      <c r="R109">
        <v>-2.8099590000000001E-2</v>
      </c>
      <c r="S109">
        <v>3.0285950000000001</v>
      </c>
      <c r="T109">
        <v>-3.2320979999999999E-2</v>
      </c>
      <c r="U109">
        <v>-7.2113040000000003E-2</v>
      </c>
      <c r="V109">
        <v>3.8544599999999998E-2</v>
      </c>
      <c r="W109">
        <v>0.1301996</v>
      </c>
      <c r="X109">
        <v>0.99073829999999996</v>
      </c>
      <c r="Y109">
        <v>3.4405150000000002E-2</v>
      </c>
      <c r="Z109">
        <v>-2.9674509999999999E-4</v>
      </c>
      <c r="AA109">
        <v>0.99940790000000002</v>
      </c>
      <c r="AB109">
        <v>32</v>
      </c>
      <c r="AC109">
        <v>103.57799999999899</v>
      </c>
      <c r="AD109">
        <v>-1.108889492524</v>
      </c>
      <c r="AE109">
        <v>-2.4776999999999698</v>
      </c>
      <c r="AF109">
        <v>3.5759146668777602</v>
      </c>
      <c r="AG109">
        <v>-1.108889492524</v>
      </c>
      <c r="AH109">
        <v>103.53402854264699</v>
      </c>
      <c r="AI109">
        <v>90.613270845524696</v>
      </c>
      <c r="AJ109">
        <v>88.021873487712796</v>
      </c>
      <c r="AK109">
        <v>103.60169819014099</v>
      </c>
      <c r="AL109">
        <v>82.518873419312598</v>
      </c>
      <c r="AM109">
        <v>87.7720355761642</v>
      </c>
      <c r="AN109">
        <v>1.0000000005581</v>
      </c>
    </row>
    <row r="110" spans="1:40" x14ac:dyDescent="0.25">
      <c r="A110" t="str">
        <f>"20190312154504065"</f>
        <v>20190312154504065</v>
      </c>
      <c r="B110" t="str">
        <f>"1552376704056218"</f>
        <v>1552376704056218</v>
      </c>
      <c r="C110" t="s">
        <v>40</v>
      </c>
      <c r="D110">
        <v>4.1551269999999896</v>
      </c>
      <c r="E110">
        <v>0.50016959999999999</v>
      </c>
      <c r="F110" t="s">
        <v>42</v>
      </c>
      <c r="G110">
        <v>-348.9092</v>
      </c>
      <c r="H110" s="1">
        <v>-1.713768E-6</v>
      </c>
      <c r="I110">
        <v>364.69040000000001</v>
      </c>
      <c r="J110">
        <v>-454.73009999999999</v>
      </c>
      <c r="K110">
        <v>1.108992</v>
      </c>
      <c r="L110">
        <v>367.26889999999997</v>
      </c>
      <c r="M110">
        <v>0.99993909999999997</v>
      </c>
      <c r="N110">
        <v>0</v>
      </c>
      <c r="O110">
        <v>1.0882650000000001E-2</v>
      </c>
      <c r="P110">
        <v>0.99124469999999998</v>
      </c>
      <c r="Q110">
        <v>0.12892799999999999</v>
      </c>
      <c r="R110">
        <v>-2.848649E-2</v>
      </c>
      <c r="S110">
        <v>3.0284420000000001</v>
      </c>
      <c r="T110">
        <v>-3.1635759999999999E-2</v>
      </c>
      <c r="U110">
        <v>-7.3455809999999996E-2</v>
      </c>
      <c r="V110">
        <v>3.920154E-2</v>
      </c>
      <c r="W110">
        <v>0.13078529999999999</v>
      </c>
      <c r="X110">
        <v>0.99063540000000005</v>
      </c>
      <c r="Y110">
        <v>3.5123710000000002E-2</v>
      </c>
      <c r="Z110">
        <v>-2.9708799999999999E-4</v>
      </c>
      <c r="AA110">
        <v>0.99938289999999996</v>
      </c>
      <c r="AB110">
        <v>32</v>
      </c>
      <c r="AC110">
        <v>105.82089999999999</v>
      </c>
      <c r="AD110">
        <v>-1.1089937137679999</v>
      </c>
      <c r="AE110">
        <v>-2.57849999999996</v>
      </c>
      <c r="AF110">
        <v>3.7295516927301202</v>
      </c>
      <c r="AG110">
        <v>-1.1089937137679999</v>
      </c>
      <c r="AH110">
        <v>105.77496232115</v>
      </c>
      <c r="AI110">
        <v>90.600320468198902</v>
      </c>
      <c r="AJ110">
        <v>87.980627179411201</v>
      </c>
      <c r="AK110">
        <v>105.84650243124</v>
      </c>
      <c r="AL110">
        <v>82.485026049693005</v>
      </c>
      <c r="AM110">
        <v>87.733867098693196</v>
      </c>
      <c r="AN110">
        <v>1.00000002558381</v>
      </c>
    </row>
    <row r="111" spans="1:40" x14ac:dyDescent="0.25">
      <c r="A111" t="str">
        <f>"20190312154504087"</f>
        <v>20190312154504087</v>
      </c>
      <c r="B111" t="str">
        <f>"1552376704075738"</f>
        <v>1552376704075738</v>
      </c>
      <c r="C111" t="s">
        <v>40</v>
      </c>
      <c r="D111">
        <v>4.1591399999999998</v>
      </c>
      <c r="E111">
        <v>0.50026219999999999</v>
      </c>
      <c r="F111" t="s">
        <v>42</v>
      </c>
      <c r="G111">
        <v>-347.0215</v>
      </c>
      <c r="H111" s="1">
        <v>-2.4667800000000001E-6</v>
      </c>
      <c r="I111">
        <v>364.5847</v>
      </c>
      <c r="J111">
        <v>-454.42349999999999</v>
      </c>
      <c r="K111">
        <v>1.10914</v>
      </c>
      <c r="L111">
        <v>367.27249999999998</v>
      </c>
      <c r="M111">
        <v>0.99993489999999996</v>
      </c>
      <c r="N111">
        <v>0</v>
      </c>
      <c r="O111">
        <v>1.113578E-2</v>
      </c>
      <c r="P111">
        <v>0.99136500000000005</v>
      </c>
      <c r="Q111">
        <v>0.1279565</v>
      </c>
      <c r="R111">
        <v>-2.8687359999999999E-2</v>
      </c>
      <c r="S111">
        <v>3.028381</v>
      </c>
      <c r="T111">
        <v>-3.1180980000000001E-2</v>
      </c>
      <c r="U111">
        <v>-7.5469969999999997E-2</v>
      </c>
      <c r="V111">
        <v>3.9652989999999999E-2</v>
      </c>
      <c r="W111">
        <v>0.1304823</v>
      </c>
      <c r="X111">
        <v>0.99065740000000002</v>
      </c>
      <c r="Y111">
        <v>3.6041480000000001E-2</v>
      </c>
      <c r="Z111">
        <v>-3.0015089999999999E-4</v>
      </c>
      <c r="AA111">
        <v>0.99935019999999997</v>
      </c>
      <c r="AB111">
        <v>33</v>
      </c>
      <c r="AC111">
        <v>107.402</v>
      </c>
      <c r="AD111">
        <v>-1.1091424667799901</v>
      </c>
      <c r="AE111">
        <v>-2.6877999999999802</v>
      </c>
      <c r="AF111">
        <v>3.8832282113293801</v>
      </c>
      <c r="AG111">
        <v>-1.1091424667799901</v>
      </c>
      <c r="AH111">
        <v>107.35396783894301</v>
      </c>
      <c r="AI111">
        <v>90.591551415828604</v>
      </c>
      <c r="AJ111">
        <v>87.928389331883906</v>
      </c>
      <c r="AK111">
        <v>107.429903049001</v>
      </c>
      <c r="AL111">
        <v>82.502536812541095</v>
      </c>
      <c r="AM111">
        <v>87.707848547911297</v>
      </c>
      <c r="AN111">
        <v>1.0000000372019899</v>
      </c>
    </row>
    <row r="112" spans="1:40" x14ac:dyDescent="0.25">
      <c r="A112" t="str">
        <f>"20190312154504109"</f>
        <v>20190312154504109</v>
      </c>
      <c r="B112" t="str">
        <f>"1552376704096233"</f>
        <v>1552376704096233</v>
      </c>
      <c r="C112" t="s">
        <v>40</v>
      </c>
      <c r="D112">
        <v>4.1287419999999999</v>
      </c>
      <c r="E112">
        <v>0.50032259999999995</v>
      </c>
      <c r="F112" t="s">
        <v>42</v>
      </c>
      <c r="G112">
        <v>-355.48340000000002</v>
      </c>
      <c r="H112" s="1">
        <v>-2.8120879999999998E-6</v>
      </c>
      <c r="I112">
        <v>364.77179999999998</v>
      </c>
      <c r="J112">
        <v>-454.09059999999999</v>
      </c>
      <c r="K112">
        <v>1.10931</v>
      </c>
      <c r="L112">
        <v>367.2765</v>
      </c>
      <c r="M112">
        <v>0.99992919999999996</v>
      </c>
      <c r="N112">
        <v>0</v>
      </c>
      <c r="O112">
        <v>1.1410170000000001E-2</v>
      </c>
      <c r="P112">
        <v>0.99157779999999995</v>
      </c>
      <c r="Q112">
        <v>0.1260906</v>
      </c>
      <c r="R112">
        <v>-2.9577280000000001E-2</v>
      </c>
      <c r="S112">
        <v>3.0283199999999999</v>
      </c>
      <c r="T112">
        <v>-3.3948180000000001E-2</v>
      </c>
      <c r="U112">
        <v>-7.6538090000000003E-2</v>
      </c>
      <c r="V112">
        <v>4.081663E-2</v>
      </c>
      <c r="W112">
        <v>0.1294738</v>
      </c>
      <c r="X112">
        <v>0.99074240000000002</v>
      </c>
      <c r="Y112">
        <v>3.6667970000000001E-2</v>
      </c>
      <c r="Z112">
        <v>-3.3337859999999999E-4</v>
      </c>
      <c r="AA112">
        <v>0.99932739999999998</v>
      </c>
      <c r="AB112">
        <v>33</v>
      </c>
      <c r="AC112">
        <v>98.607199999999906</v>
      </c>
      <c r="AD112">
        <v>-1.109312812088</v>
      </c>
      <c r="AE112">
        <v>-2.5047000000000099</v>
      </c>
      <c r="AF112">
        <v>3.6292092665081901</v>
      </c>
      <c r="AG112">
        <v>-1.109312812088</v>
      </c>
      <c r="AH112">
        <v>98.5597360540214</v>
      </c>
      <c r="AI112">
        <v>90.6444134374958</v>
      </c>
      <c r="AJ112">
        <v>87.891182768790003</v>
      </c>
      <c r="AK112">
        <v>98.632769939070201</v>
      </c>
      <c r="AL112">
        <v>82.560813571294702</v>
      </c>
      <c r="AM112">
        <v>87.640861153367098</v>
      </c>
      <c r="AN112">
        <v>0.99999998266437795</v>
      </c>
    </row>
    <row r="113" spans="1:40" x14ac:dyDescent="0.25">
      <c r="A113" t="str">
        <f>"20190312154504131"</f>
        <v>20190312154504131</v>
      </c>
      <c r="B113" t="str">
        <f>"1552376704126490"</f>
        <v>1552376704126490</v>
      </c>
      <c r="C113" t="s">
        <v>40</v>
      </c>
      <c r="D113">
        <v>4.1449730000000002</v>
      </c>
      <c r="E113">
        <v>0.50043660000000001</v>
      </c>
      <c r="F113" t="s">
        <v>42</v>
      </c>
      <c r="G113">
        <v>-369.04</v>
      </c>
      <c r="H113" s="1">
        <v>-1.531498E-6</v>
      </c>
      <c r="I113">
        <v>365.03590000000003</v>
      </c>
      <c r="J113">
        <v>-453.77170000000001</v>
      </c>
      <c r="K113">
        <v>1.1094109999999999</v>
      </c>
      <c r="L113">
        <v>367.28050000000002</v>
      </c>
      <c r="M113">
        <v>0.99992360000000002</v>
      </c>
      <c r="N113">
        <v>0</v>
      </c>
      <c r="O113">
        <v>1.167792E-2</v>
      </c>
      <c r="P113">
        <v>0.9918903</v>
      </c>
      <c r="Q113">
        <v>0.1232543</v>
      </c>
      <c r="R113">
        <v>-3.1024280000000001E-2</v>
      </c>
      <c r="S113">
        <v>3.0281370000000001</v>
      </c>
      <c r="T113">
        <v>-3.9495830000000003E-2</v>
      </c>
      <c r="U113">
        <v>-7.9772949999999995E-2</v>
      </c>
      <c r="V113">
        <v>4.2532960000000002E-2</v>
      </c>
      <c r="W113">
        <v>0.12730369999999999</v>
      </c>
      <c r="X113">
        <v>0.99095140000000004</v>
      </c>
      <c r="Y113">
        <v>3.8002710000000002E-2</v>
      </c>
      <c r="Z113">
        <v>-4.0006619999999999E-4</v>
      </c>
      <c r="AA113">
        <v>0.99927750000000004</v>
      </c>
      <c r="AB113">
        <v>33</v>
      </c>
      <c r="AC113">
        <v>84.731699999999904</v>
      </c>
      <c r="AD113">
        <v>-1.1094125314979999</v>
      </c>
      <c r="AE113">
        <v>-2.2445999999999899</v>
      </c>
      <c r="AF113">
        <v>3.2333911569217899</v>
      </c>
      <c r="AG113">
        <v>-1.1094125314979999</v>
      </c>
      <c r="AH113">
        <v>84.685201988038799</v>
      </c>
      <c r="AI113">
        <v>90.750009968813004</v>
      </c>
      <c r="AJ113">
        <v>87.8134347377121</v>
      </c>
      <c r="AK113">
        <v>84.754168335803001</v>
      </c>
      <c r="AL113">
        <v>82.686188773589905</v>
      </c>
      <c r="AM113">
        <v>87.542296967038993</v>
      </c>
      <c r="AN113">
        <v>0.99999998094100495</v>
      </c>
    </row>
    <row r="114" spans="1:40" x14ac:dyDescent="0.25">
      <c r="A114" t="str">
        <f>"20190312154504154"</f>
        <v>20190312154504154</v>
      </c>
      <c r="B114" t="str">
        <f>"1552376704146010"</f>
        <v>1552376704146010</v>
      </c>
      <c r="C114" t="s">
        <v>40</v>
      </c>
      <c r="D114">
        <v>4.1645339999999997</v>
      </c>
      <c r="E114">
        <v>0.50051309999999904</v>
      </c>
      <c r="F114" t="s">
        <v>42</v>
      </c>
      <c r="G114">
        <v>-384.09949999999998</v>
      </c>
      <c r="H114" s="1">
        <v>-3.275582E-6</v>
      </c>
      <c r="I114">
        <v>365.32049999999998</v>
      </c>
      <c r="J114">
        <v>-453.4384</v>
      </c>
      <c r="K114">
        <v>1.109505</v>
      </c>
      <c r="L114">
        <v>367.28460000000001</v>
      </c>
      <c r="M114">
        <v>0.99991699999999994</v>
      </c>
      <c r="N114">
        <v>0</v>
      </c>
      <c r="O114">
        <v>1.1961569999999999E-2</v>
      </c>
      <c r="P114">
        <v>0.99218640000000002</v>
      </c>
      <c r="Q114">
        <v>0.12053079999999999</v>
      </c>
      <c r="R114">
        <v>-3.2228819999999998E-2</v>
      </c>
      <c r="S114">
        <v>3.0278019999999999</v>
      </c>
      <c r="T114">
        <v>-4.8212770000000002E-2</v>
      </c>
      <c r="U114">
        <v>-8.5174559999999996E-2</v>
      </c>
      <c r="V114">
        <v>4.4022779999999997E-2</v>
      </c>
      <c r="W114">
        <v>0.12531800000000001</v>
      </c>
      <c r="X114">
        <v>0.99113949999999995</v>
      </c>
      <c r="Y114">
        <v>4.0068079999999999E-2</v>
      </c>
      <c r="Z114">
        <v>-5.093513E-4</v>
      </c>
      <c r="AA114">
        <v>0.9991968</v>
      </c>
      <c r="AB114">
        <v>33</v>
      </c>
      <c r="AC114">
        <v>69.338899999999995</v>
      </c>
      <c r="AD114">
        <v>-1.109508275582</v>
      </c>
      <c r="AE114">
        <v>-1.9641000000000299</v>
      </c>
      <c r="AF114">
        <v>2.7926566320225099</v>
      </c>
      <c r="AG114">
        <v>-1.109508275582</v>
      </c>
      <c r="AH114">
        <v>69.292717786280903</v>
      </c>
      <c r="AI114">
        <v>90.916592102941607</v>
      </c>
      <c r="AJ114">
        <v>87.692096716789806</v>
      </c>
      <c r="AK114">
        <v>69.357845107003797</v>
      </c>
      <c r="AL114">
        <v>82.800880170440095</v>
      </c>
      <c r="AM114">
        <v>87.456803234108804</v>
      </c>
      <c r="AN114">
        <v>1.0000000573715799</v>
      </c>
    </row>
    <row r="115" spans="1:40" x14ac:dyDescent="0.25">
      <c r="A115" t="str">
        <f>"20190312154504175"</f>
        <v>20190312154504175</v>
      </c>
      <c r="B115" t="str">
        <f>"1552376704166505"</f>
        <v>1552376704166505</v>
      </c>
      <c r="C115" t="s">
        <v>40</v>
      </c>
      <c r="D115">
        <v>4.1725320000000004</v>
      </c>
      <c r="E115">
        <v>0.50061639999999996</v>
      </c>
      <c r="F115" t="s">
        <v>42</v>
      </c>
      <c r="G115">
        <v>-393.73899999999998</v>
      </c>
      <c r="H115" s="1">
        <v>-3.3949249999999999E-6</v>
      </c>
      <c r="I115">
        <v>365.51960000000003</v>
      </c>
      <c r="J115">
        <v>-453.13529999999997</v>
      </c>
      <c r="K115">
        <v>1.1096060000000001</v>
      </c>
      <c r="L115">
        <v>367.2885</v>
      </c>
      <c r="M115">
        <v>0.99991019999999997</v>
      </c>
      <c r="N115">
        <v>0</v>
      </c>
      <c r="O115">
        <v>1.222061E-2</v>
      </c>
      <c r="P115">
        <v>0.99237940000000002</v>
      </c>
      <c r="Q115">
        <v>0.11851150000000001</v>
      </c>
      <c r="R115">
        <v>-3.3738499999999998E-2</v>
      </c>
      <c r="S115">
        <v>3.0275270000000001</v>
      </c>
      <c r="T115">
        <v>-5.626631E-2</v>
      </c>
      <c r="U115">
        <v>-8.950806E-2</v>
      </c>
      <c r="V115">
        <v>4.5791789999999999E-2</v>
      </c>
      <c r="W115">
        <v>0.1240183</v>
      </c>
      <c r="X115">
        <v>0.99122270000000001</v>
      </c>
      <c r="Y115">
        <v>4.1755769999999998E-2</v>
      </c>
      <c r="Z115">
        <v>-6.1495460000000001E-4</v>
      </c>
      <c r="AA115">
        <v>0.99912769999999995</v>
      </c>
      <c r="AB115">
        <v>33</v>
      </c>
      <c r="AC115">
        <v>59.396299999999897</v>
      </c>
      <c r="AD115">
        <v>-1.1096093949250001</v>
      </c>
      <c r="AE115">
        <v>-1.7688999999999699</v>
      </c>
      <c r="AF115">
        <v>2.4937683544995601</v>
      </c>
      <c r="AG115">
        <v>-1.1096093949250001</v>
      </c>
      <c r="AH115">
        <v>59.349552665743303</v>
      </c>
      <c r="AI115">
        <v>91.070142860827701</v>
      </c>
      <c r="AJ115">
        <v>87.593943067893903</v>
      </c>
      <c r="AK115">
        <v>59.4122842115925</v>
      </c>
      <c r="AL115">
        <v>82.875932137226002</v>
      </c>
      <c r="AM115">
        <v>87.3549715754625</v>
      </c>
      <c r="AN115">
        <v>0.999999933880789</v>
      </c>
    </row>
    <row r="116" spans="1:40" x14ac:dyDescent="0.25">
      <c r="A116" t="str">
        <f>"20190312154504198"</f>
        <v>20190312154504198</v>
      </c>
      <c r="B116" t="str">
        <f>"1552376704186026"</f>
        <v>1552376704186026</v>
      </c>
      <c r="C116" t="s">
        <v>40</v>
      </c>
      <c r="D116">
        <v>4.1730749999999999</v>
      </c>
      <c r="E116">
        <v>0.50069649999999999</v>
      </c>
      <c r="F116" t="s">
        <v>42</v>
      </c>
      <c r="G116">
        <v>-398.97370000000001</v>
      </c>
      <c r="H116" s="1">
        <v>-1.406514E-6</v>
      </c>
      <c r="I116">
        <v>365.59039999999999</v>
      </c>
      <c r="J116">
        <v>-452.79500000000002</v>
      </c>
      <c r="K116">
        <v>1.1097090000000001</v>
      </c>
      <c r="L116">
        <v>367.29300000000001</v>
      </c>
      <c r="M116">
        <v>0.99990179999999995</v>
      </c>
      <c r="N116">
        <v>0</v>
      </c>
      <c r="O116">
        <v>1.2512229999999999E-2</v>
      </c>
      <c r="P116">
        <v>0.99236069999999998</v>
      </c>
      <c r="Q116">
        <v>0.11833050000000001</v>
      </c>
      <c r="R116">
        <v>-3.490016E-2</v>
      </c>
      <c r="S116">
        <v>3.0272220000000001</v>
      </c>
      <c r="T116">
        <v>-6.201839E-2</v>
      </c>
      <c r="U116">
        <v>-9.4909670000000002E-2</v>
      </c>
      <c r="V116">
        <v>4.724126E-2</v>
      </c>
      <c r="W116">
        <v>0.1246173</v>
      </c>
      <c r="X116">
        <v>0.99107959999999995</v>
      </c>
      <c r="Y116">
        <v>4.382875E-2</v>
      </c>
      <c r="Z116">
        <v>-7.0505999999999997E-4</v>
      </c>
      <c r="AA116">
        <v>0.9990388</v>
      </c>
      <c r="AB116">
        <v>33</v>
      </c>
      <c r="AC116">
        <v>53.821300000000001</v>
      </c>
      <c r="AD116">
        <v>-1.109710406514</v>
      </c>
      <c r="AE116">
        <v>-1.7026000000000101</v>
      </c>
      <c r="AF116">
        <v>2.37489600600049</v>
      </c>
      <c r="AG116">
        <v>-1.109710406514</v>
      </c>
      <c r="AH116">
        <v>53.772945829004399</v>
      </c>
      <c r="AI116">
        <v>91.181092174731106</v>
      </c>
      <c r="AJ116">
        <v>87.471160508517102</v>
      </c>
      <c r="AK116">
        <v>53.8368023879083</v>
      </c>
      <c r="AL116">
        <v>82.841344050291397</v>
      </c>
      <c r="AM116">
        <v>87.270978404505499</v>
      </c>
      <c r="AN116">
        <v>0.99999999082091795</v>
      </c>
    </row>
    <row r="117" spans="1:40" x14ac:dyDescent="0.25">
      <c r="A117" t="str">
        <f>"20190312154504221"</f>
        <v>20190312154504221</v>
      </c>
      <c r="B117" t="str">
        <f>"1552376704216281"</f>
        <v>1552376704216281</v>
      </c>
      <c r="C117" t="s">
        <v>40</v>
      </c>
      <c r="D117">
        <v>4.1482070000000002</v>
      </c>
      <c r="E117">
        <v>0.50081679999999995</v>
      </c>
      <c r="F117" t="s">
        <v>42</v>
      </c>
      <c r="G117">
        <v>-398.37959999999998</v>
      </c>
      <c r="H117" s="1">
        <v>-1.6259660000000001E-6</v>
      </c>
      <c r="I117">
        <v>365.52539999999999</v>
      </c>
      <c r="J117">
        <v>-452.4556</v>
      </c>
      <c r="K117">
        <v>1.1097889999999999</v>
      </c>
      <c r="L117">
        <v>367.29759999999999</v>
      </c>
      <c r="M117">
        <v>0.99989340000000004</v>
      </c>
      <c r="N117">
        <v>0</v>
      </c>
      <c r="O117">
        <v>1.2806029999999999E-2</v>
      </c>
      <c r="P117">
        <v>0.99239299999999997</v>
      </c>
      <c r="Q117">
        <v>0.1179586</v>
      </c>
      <c r="R117">
        <v>-3.5246979999999997E-2</v>
      </c>
      <c r="S117">
        <v>3.0270389999999998</v>
      </c>
      <c r="T117">
        <v>-6.1731220000000003E-2</v>
      </c>
      <c r="U117">
        <v>-9.8327639999999994E-2</v>
      </c>
      <c r="V117">
        <v>4.7878959999999998E-2</v>
      </c>
      <c r="W117">
        <v>0.1249551</v>
      </c>
      <c r="X117">
        <v>0.99100650000000001</v>
      </c>
      <c r="Y117">
        <v>4.5250859999999997E-2</v>
      </c>
      <c r="Z117">
        <v>-7.2231240000000005E-4</v>
      </c>
      <c r="AA117">
        <v>0.99897539999999996</v>
      </c>
      <c r="AB117">
        <v>33</v>
      </c>
      <c r="AC117">
        <v>54.076000000000001</v>
      </c>
      <c r="AD117">
        <v>-1.109790625966</v>
      </c>
      <c r="AE117">
        <v>-1.77219999999999</v>
      </c>
      <c r="AF117">
        <v>2.4635340932347898</v>
      </c>
      <c r="AG117">
        <v>-1.109790625966</v>
      </c>
      <c r="AH117">
        <v>54.026139523775001</v>
      </c>
      <c r="AI117">
        <v>91.175568022239204</v>
      </c>
      <c r="AJ117">
        <v>87.389182348145695</v>
      </c>
      <c r="AK117">
        <v>54.093663097486903</v>
      </c>
      <c r="AL117">
        <v>82.821837326538002</v>
      </c>
      <c r="AM117">
        <v>87.233993029355901</v>
      </c>
      <c r="AN117">
        <v>1.00000002743447</v>
      </c>
    </row>
    <row r="118" spans="1:40" x14ac:dyDescent="0.25">
      <c r="A118" t="str">
        <f>"20190312154504246"</f>
        <v>20190312154504246</v>
      </c>
      <c r="B118" t="str">
        <f>"1552376704236308"</f>
        <v>1552376704236308</v>
      </c>
      <c r="C118" t="s">
        <v>40</v>
      </c>
      <c r="D118">
        <v>4.1800280000000001</v>
      </c>
      <c r="E118">
        <v>0.50084050000000002</v>
      </c>
      <c r="F118" t="s">
        <v>42</v>
      </c>
      <c r="G118">
        <v>-398.69029999999998</v>
      </c>
      <c r="H118" s="1">
        <v>-1.5219260000000001E-6</v>
      </c>
      <c r="I118">
        <v>365.51900000000001</v>
      </c>
      <c r="J118">
        <v>-452.11950000000002</v>
      </c>
      <c r="K118">
        <v>1.1098460000000001</v>
      </c>
      <c r="L118">
        <v>367.30220000000003</v>
      </c>
      <c r="M118">
        <v>0.99988500000000002</v>
      </c>
      <c r="N118">
        <v>0</v>
      </c>
      <c r="O118">
        <v>1.3093260000000001E-2</v>
      </c>
      <c r="P118">
        <v>0.9924811</v>
      </c>
      <c r="Q118">
        <v>0.11698169999999999</v>
      </c>
      <c r="R118">
        <v>-3.6010239999999999E-2</v>
      </c>
      <c r="S118">
        <v>3.0268860000000002</v>
      </c>
      <c r="T118">
        <v>-6.2479020000000003E-2</v>
      </c>
      <c r="U118">
        <v>-0.1001282</v>
      </c>
      <c r="V118">
        <v>4.8927709999999999E-2</v>
      </c>
      <c r="W118">
        <v>0.12460980000000001</v>
      </c>
      <c r="X118">
        <v>0.99099870000000001</v>
      </c>
      <c r="Y118">
        <v>4.6132560000000003E-2</v>
      </c>
      <c r="Z118">
        <v>-7.4611499999999999E-4</v>
      </c>
      <c r="AA118">
        <v>0.99893500000000002</v>
      </c>
      <c r="AB118">
        <v>33</v>
      </c>
      <c r="AC118">
        <v>53.429200000000002</v>
      </c>
      <c r="AD118">
        <v>-1.10984752192599</v>
      </c>
      <c r="AE118">
        <v>-1.7832000000000201</v>
      </c>
      <c r="AF118">
        <v>2.4815604498004098</v>
      </c>
      <c r="AG118">
        <v>-1.10984752192599</v>
      </c>
      <c r="AH118">
        <v>53.378264690361398</v>
      </c>
      <c r="AI118">
        <v>91.189844592176001</v>
      </c>
      <c r="AJ118">
        <v>87.338230473624805</v>
      </c>
      <c r="AK118">
        <v>53.447441895213402</v>
      </c>
      <c r="AL118">
        <v>82.841777017891602</v>
      </c>
      <c r="AM118">
        <v>87.173480865898796</v>
      </c>
      <c r="AN118">
        <v>0.99999997323178602</v>
      </c>
    </row>
    <row r="119" spans="1:40" x14ac:dyDescent="0.25">
      <c r="A119" t="str">
        <f>"20190312154504268"</f>
        <v>20190312154504268</v>
      </c>
      <c r="B119" t="str">
        <f>"1552376704255829"</f>
        <v>1552376704255829</v>
      </c>
      <c r="C119" t="s">
        <v>40</v>
      </c>
      <c r="D119">
        <v>4.1924330000000003</v>
      </c>
      <c r="E119">
        <v>0.50087029999999999</v>
      </c>
      <c r="F119" t="s">
        <v>43</v>
      </c>
      <c r="G119">
        <v>-398.21210000000002</v>
      </c>
      <c r="H119">
        <v>-0.05</v>
      </c>
      <c r="I119">
        <v>365.47590000000002</v>
      </c>
      <c r="J119">
        <v>-451.77789999999999</v>
      </c>
      <c r="K119">
        <v>1.109883</v>
      </c>
      <c r="L119">
        <v>367.30700000000002</v>
      </c>
      <c r="M119">
        <v>0.99987649999999995</v>
      </c>
      <c r="N119">
        <v>0</v>
      </c>
      <c r="O119">
        <v>1.3381870000000001E-2</v>
      </c>
      <c r="P119">
        <v>0.99263619999999997</v>
      </c>
      <c r="Q119">
        <v>0.11567189999999999</v>
      </c>
      <c r="R119">
        <v>-3.5966989999999997E-2</v>
      </c>
      <c r="S119">
        <v>3.026672</v>
      </c>
      <c r="T119">
        <v>-6.5120460000000005E-2</v>
      </c>
      <c r="U119">
        <v>-0.10253909999999999</v>
      </c>
      <c r="V119">
        <v>4.9172899999999999E-2</v>
      </c>
      <c r="W119">
        <v>0.1238717</v>
      </c>
      <c r="X119">
        <v>0.99107920000000005</v>
      </c>
      <c r="Y119">
        <v>4.7216660000000001E-2</v>
      </c>
      <c r="Z119">
        <v>-7.9556319999999996E-4</v>
      </c>
      <c r="AA119">
        <v>0.99888440000000001</v>
      </c>
      <c r="AB119">
        <v>33</v>
      </c>
      <c r="AC119">
        <v>53.565799999999903</v>
      </c>
      <c r="AD119">
        <v>-1.159883</v>
      </c>
      <c r="AE119">
        <v>-1.83109999999993</v>
      </c>
      <c r="AF119">
        <v>2.5465783200746599</v>
      </c>
      <c r="AG119">
        <v>-1.159883</v>
      </c>
      <c r="AH119">
        <v>53.511438286873101</v>
      </c>
      <c r="AI119">
        <v>91.240312487259303</v>
      </c>
      <c r="AJ119">
        <v>87.275382696196701</v>
      </c>
      <c r="AK119">
        <v>53.584553905428699</v>
      </c>
      <c r="AL119">
        <v>82.884397990104205</v>
      </c>
      <c r="AM119">
        <v>87.159569909289999</v>
      </c>
      <c r="AN119">
        <v>1.00000007641396</v>
      </c>
    </row>
    <row r="120" spans="1:40" x14ac:dyDescent="0.25">
      <c r="A120" t="str">
        <f>"20190312154504288"</f>
        <v>20190312154504288</v>
      </c>
      <c r="B120" t="str">
        <f>"1552376704276325"</f>
        <v>1552376704276325</v>
      </c>
      <c r="C120" t="s">
        <v>40</v>
      </c>
      <c r="D120">
        <v>4.178191</v>
      </c>
      <c r="E120">
        <v>0.50089700000000004</v>
      </c>
      <c r="F120" t="s">
        <v>43</v>
      </c>
      <c r="G120">
        <v>-400.4341</v>
      </c>
      <c r="H120">
        <v>-0.05</v>
      </c>
      <c r="I120">
        <v>365.57420000000002</v>
      </c>
      <c r="J120">
        <v>-451.49189999999999</v>
      </c>
      <c r="K120">
        <v>1.10991</v>
      </c>
      <c r="L120">
        <v>367.31110000000001</v>
      </c>
      <c r="M120">
        <v>0.99986949999999997</v>
      </c>
      <c r="N120">
        <v>0</v>
      </c>
      <c r="O120">
        <v>1.362611E-2</v>
      </c>
      <c r="P120">
        <v>0.99260040000000005</v>
      </c>
      <c r="Q120">
        <v>0.1158984</v>
      </c>
      <c r="R120">
        <v>-3.6222459999999998E-2</v>
      </c>
      <c r="S120">
        <v>3.0265499999999999</v>
      </c>
      <c r="T120">
        <v>-6.8371299999999996E-2</v>
      </c>
      <c r="U120">
        <v>-0.10214230000000001</v>
      </c>
      <c r="V120">
        <v>4.9670510000000001E-2</v>
      </c>
      <c r="W120">
        <v>0.1245279</v>
      </c>
      <c r="X120">
        <v>0.99097199999999996</v>
      </c>
      <c r="Y120">
        <v>4.732977E-2</v>
      </c>
      <c r="Z120">
        <v>-8.4209740000000001E-4</v>
      </c>
      <c r="AA120">
        <v>0.99887899999999996</v>
      </c>
      <c r="AB120">
        <v>33</v>
      </c>
      <c r="AC120">
        <v>51.057799999999901</v>
      </c>
      <c r="AD120">
        <v>-1.15991</v>
      </c>
      <c r="AE120">
        <v>-1.7368999999999899</v>
      </c>
      <c r="AF120">
        <v>2.43123085264043</v>
      </c>
      <c r="AG120">
        <v>-1.15991</v>
      </c>
      <c r="AH120">
        <v>51.003099668175402</v>
      </c>
      <c r="AI120">
        <v>91.301316127890402</v>
      </c>
      <c r="AJ120">
        <v>87.270873671469005</v>
      </c>
      <c r="AK120">
        <v>51.074185753947802</v>
      </c>
      <c r="AL120">
        <v>82.846506076648296</v>
      </c>
      <c r="AM120">
        <v>87.130563831620506</v>
      </c>
      <c r="AN120">
        <v>0.99999993111303198</v>
      </c>
    </row>
    <row r="121" spans="1:40" x14ac:dyDescent="0.25">
      <c r="A121" t="str">
        <f>"20190312154504310"</f>
        <v>20190312154504310</v>
      </c>
      <c r="B121" t="str">
        <f>"1552376704306580"</f>
        <v>1552376704306580</v>
      </c>
      <c r="C121" t="s">
        <v>40</v>
      </c>
      <c r="D121">
        <v>4.2135959999999999</v>
      </c>
      <c r="E121">
        <v>0.50081529999999996</v>
      </c>
      <c r="F121" t="s">
        <v>43</v>
      </c>
      <c r="G121">
        <v>-399.31259999999997</v>
      </c>
      <c r="H121">
        <v>-0.05</v>
      </c>
      <c r="I121">
        <v>365.53590000000003</v>
      </c>
      <c r="J121">
        <v>-451.16050000000001</v>
      </c>
      <c r="K121">
        <v>1.109937</v>
      </c>
      <c r="L121">
        <v>367.31599999999997</v>
      </c>
      <c r="M121">
        <v>0.99986169999999996</v>
      </c>
      <c r="N121">
        <v>0</v>
      </c>
      <c r="O121">
        <v>1.3913979999999999E-2</v>
      </c>
      <c r="P121">
        <v>0.99237439999999999</v>
      </c>
      <c r="Q121">
        <v>0.117769</v>
      </c>
      <c r="R121">
        <v>-3.6386540000000002E-2</v>
      </c>
      <c r="S121">
        <v>3.0264890000000002</v>
      </c>
      <c r="T121">
        <v>-6.7276840000000004E-2</v>
      </c>
      <c r="U121">
        <v>-0.1029663</v>
      </c>
      <c r="V121">
        <v>5.0116960000000002E-2</v>
      </c>
      <c r="W121">
        <v>0.1268378</v>
      </c>
      <c r="X121">
        <v>0.9906566</v>
      </c>
      <c r="Y121">
        <v>4.788999E-2</v>
      </c>
      <c r="Z121">
        <v>-8.412561E-4</v>
      </c>
      <c r="AA121">
        <v>0.99885230000000003</v>
      </c>
      <c r="AB121">
        <v>33</v>
      </c>
      <c r="AC121">
        <v>51.847900000000003</v>
      </c>
      <c r="AD121">
        <v>-1.159937</v>
      </c>
      <c r="AE121">
        <v>-1.7800999999999401</v>
      </c>
      <c r="AF121">
        <v>2.5001183994279801</v>
      </c>
      <c r="AG121">
        <v>-1.159937</v>
      </c>
      <c r="AH121">
        <v>51.792219562480902</v>
      </c>
      <c r="AI121">
        <v>91.281488396060496</v>
      </c>
      <c r="AJ121">
        <v>87.236358564341998</v>
      </c>
      <c r="AK121">
        <v>51.865499641508897</v>
      </c>
      <c r="AL121">
        <v>82.713101310771705</v>
      </c>
      <c r="AM121">
        <v>87.103896178159701</v>
      </c>
      <c r="AN121">
        <v>1.00000001815602</v>
      </c>
    </row>
    <row r="122" spans="1:40" x14ac:dyDescent="0.25">
      <c r="A122" t="str">
        <f>"20190312154504332"</f>
        <v>20190312154504332</v>
      </c>
      <c r="B122" t="str">
        <f>"1552376704326101"</f>
        <v>1552376704326101</v>
      </c>
      <c r="C122" t="s">
        <v>40</v>
      </c>
      <c r="D122">
        <v>4.1988539999999999</v>
      </c>
      <c r="E122">
        <v>0.50074470000000004</v>
      </c>
      <c r="F122" t="s">
        <v>42</v>
      </c>
      <c r="G122">
        <v>-396.23509999999999</v>
      </c>
      <c r="H122" s="1">
        <v>-2.3743120000000002E-6</v>
      </c>
      <c r="I122">
        <v>365.4556</v>
      </c>
      <c r="J122">
        <v>-450.84089999999998</v>
      </c>
      <c r="K122">
        <v>1.1099669999999999</v>
      </c>
      <c r="L122">
        <v>367.32069999999999</v>
      </c>
      <c r="M122">
        <v>0.99985409999999997</v>
      </c>
      <c r="N122">
        <v>0</v>
      </c>
      <c r="O122">
        <v>1.419429E-2</v>
      </c>
      <c r="P122">
        <v>0.99228260000000001</v>
      </c>
      <c r="Q122">
        <v>0.1186194</v>
      </c>
      <c r="R122">
        <v>-3.612253E-2</v>
      </c>
      <c r="S122">
        <v>3.0265810000000002</v>
      </c>
      <c r="T122">
        <v>-6.1161399999999998E-2</v>
      </c>
      <c r="U122">
        <v>-0.1025085</v>
      </c>
      <c r="V122">
        <v>5.013049E-2</v>
      </c>
      <c r="W122">
        <v>0.12806229999999999</v>
      </c>
      <c r="X122">
        <v>0.9904984</v>
      </c>
      <c r="Y122">
        <v>4.8020710000000001E-2</v>
      </c>
      <c r="Z122">
        <v>-7.7176570000000002E-4</v>
      </c>
      <c r="AA122">
        <v>0.99884609999999996</v>
      </c>
      <c r="AB122">
        <v>33</v>
      </c>
      <c r="AC122">
        <v>54.605799999999903</v>
      </c>
      <c r="AD122">
        <v>-1.1099693743119901</v>
      </c>
      <c r="AE122">
        <v>-1.86509999999998</v>
      </c>
      <c r="AF122">
        <v>2.6389485411640301</v>
      </c>
      <c r="AG122">
        <v>-1.1099693743119901</v>
      </c>
      <c r="AH122">
        <v>54.551309817233999</v>
      </c>
      <c r="AI122">
        <v>91.164289791678399</v>
      </c>
      <c r="AJ122">
        <v>87.230445365132596</v>
      </c>
      <c r="AK122">
        <v>54.6263808447043</v>
      </c>
      <c r="AL122">
        <v>82.642366008712699</v>
      </c>
      <c r="AM122">
        <v>87.102653757945106</v>
      </c>
      <c r="AN122">
        <v>1.00000004955574</v>
      </c>
    </row>
    <row r="123" spans="1:40" x14ac:dyDescent="0.25">
      <c r="A123" t="str">
        <f>"20190312154504355"</f>
        <v>20190312154504355</v>
      </c>
      <c r="B123" t="str">
        <f>"1552376704346596"</f>
        <v>1552376704346596</v>
      </c>
      <c r="C123" t="s">
        <v>40</v>
      </c>
      <c r="D123">
        <v>4.2571019999999997</v>
      </c>
      <c r="E123">
        <v>0.50073889999999999</v>
      </c>
      <c r="F123" t="s">
        <v>42</v>
      </c>
      <c r="G123">
        <v>-393.51740000000001</v>
      </c>
      <c r="H123" s="1">
        <v>-3.5094670000000002E-6</v>
      </c>
      <c r="I123">
        <v>365.40989999999999</v>
      </c>
      <c r="J123">
        <v>-450.5256</v>
      </c>
      <c r="K123">
        <v>1.109982</v>
      </c>
      <c r="L123">
        <v>367.32560000000001</v>
      </c>
      <c r="M123">
        <v>0.99984709999999999</v>
      </c>
      <c r="N123">
        <v>0</v>
      </c>
      <c r="O123">
        <v>1.4470429999999999E-2</v>
      </c>
      <c r="P123">
        <v>0.99229290000000003</v>
      </c>
      <c r="Q123">
        <v>0.1186214</v>
      </c>
      <c r="R123">
        <v>-3.5831969999999998E-2</v>
      </c>
      <c r="S123">
        <v>3.0267029999999999</v>
      </c>
      <c r="T123">
        <v>-5.8606739999999997E-2</v>
      </c>
      <c r="U123">
        <v>-0.1008911</v>
      </c>
      <c r="V123">
        <v>5.0114800000000001E-2</v>
      </c>
      <c r="W123">
        <v>0.12839</v>
      </c>
      <c r="X123">
        <v>0.99045669999999997</v>
      </c>
      <c r="Y123">
        <v>4.7763119999999999E-2</v>
      </c>
      <c r="Z123">
        <v>-7.4236569999999995E-4</v>
      </c>
      <c r="AA123">
        <v>0.99885840000000004</v>
      </c>
      <c r="AB123">
        <v>33</v>
      </c>
      <c r="AC123">
        <v>57.008199999999903</v>
      </c>
      <c r="AD123">
        <v>-1.1099855094669999</v>
      </c>
      <c r="AE123">
        <v>-1.91570000000001</v>
      </c>
      <c r="AF123">
        <v>2.7394349648807799</v>
      </c>
      <c r="AG123">
        <v>-1.1099855094669999</v>
      </c>
      <c r="AH123">
        <v>56.952941391156401</v>
      </c>
      <c r="AI123">
        <v>91.115236868133593</v>
      </c>
      <c r="AJ123">
        <v>87.246196961631298</v>
      </c>
      <c r="AK123">
        <v>57.029589730792701</v>
      </c>
      <c r="AL123">
        <v>82.623433380699296</v>
      </c>
      <c r="AM123">
        <v>87.103437296490199</v>
      </c>
      <c r="AN123">
        <v>0.99999997992696399</v>
      </c>
    </row>
    <row r="124" spans="1:40" x14ac:dyDescent="0.25">
      <c r="A124" t="str">
        <f>"20190312154504375"</f>
        <v>20190312154504375</v>
      </c>
      <c r="B124" t="str">
        <f>"1552376704366117"</f>
        <v>1552376704366117</v>
      </c>
      <c r="C124" t="s">
        <v>40</v>
      </c>
      <c r="D124">
        <v>4.1843199999999996</v>
      </c>
      <c r="E124">
        <v>0.51992720000000003</v>
      </c>
      <c r="F124" t="s">
        <v>42</v>
      </c>
      <c r="G124">
        <v>-393.7903</v>
      </c>
      <c r="H124" s="1">
        <v>-3.385201E-6</v>
      </c>
      <c r="I124">
        <v>365.45030000000003</v>
      </c>
      <c r="J124">
        <v>-450.21640000000002</v>
      </c>
      <c r="K124">
        <v>1.1099920000000001</v>
      </c>
      <c r="L124">
        <v>367.33030000000002</v>
      </c>
      <c r="M124">
        <v>0.99984030000000002</v>
      </c>
      <c r="N124">
        <v>0</v>
      </c>
      <c r="O124">
        <v>1.473995E-2</v>
      </c>
      <c r="P124">
        <v>0.99237750000000002</v>
      </c>
      <c r="Q124">
        <v>0.11801499999999999</v>
      </c>
      <c r="R124">
        <v>-3.549153E-2</v>
      </c>
      <c r="S124">
        <v>3.0267940000000002</v>
      </c>
      <c r="T124">
        <v>-5.9216980000000002E-2</v>
      </c>
      <c r="U124">
        <v>-0.1000366</v>
      </c>
      <c r="V124">
        <v>5.0043669999999998E-2</v>
      </c>
      <c r="W124">
        <v>0.12806509999999999</v>
      </c>
      <c r="X124">
        <v>0.99050240000000001</v>
      </c>
      <c r="Y124">
        <v>4.7749439999999997E-2</v>
      </c>
      <c r="Z124">
        <v>-7.5521339999999897E-4</v>
      </c>
      <c r="AA124">
        <v>0.99885900000000005</v>
      </c>
      <c r="AB124">
        <v>33</v>
      </c>
      <c r="AC124">
        <v>56.426099999999998</v>
      </c>
      <c r="AD124">
        <v>-1.1099953852010001</v>
      </c>
      <c r="AE124">
        <v>-1.8799999999999899</v>
      </c>
      <c r="AF124">
        <v>2.7105083621383601</v>
      </c>
      <c r="AG124">
        <v>-1.1099953852010001</v>
      </c>
      <c r="AH124">
        <v>56.370467038672601</v>
      </c>
      <c r="AI124">
        <v>91.126768516229404</v>
      </c>
      <c r="AJ124">
        <v>87.247119361143703</v>
      </c>
      <c r="AK124">
        <v>56.446510073648199</v>
      </c>
      <c r="AL124">
        <v>82.642204041583597</v>
      </c>
      <c r="AM124">
        <v>87.107674747073105</v>
      </c>
      <c r="AN124">
        <v>1.0000000215754099</v>
      </c>
    </row>
    <row r="125" spans="1:40" x14ac:dyDescent="0.25">
      <c r="A125" t="str">
        <f>"20190312154504400"</f>
        <v>20190312154504400</v>
      </c>
      <c r="B125" t="str">
        <f>"1552376704396373"</f>
        <v>1552376704396373</v>
      </c>
      <c r="C125" t="s">
        <v>40</v>
      </c>
      <c r="D125">
        <v>4.1662999999999997</v>
      </c>
      <c r="E125">
        <v>0.52845500000000001</v>
      </c>
      <c r="F125" t="s">
        <v>41</v>
      </c>
      <c r="G125">
        <v>-449.37959999999998</v>
      </c>
      <c r="H125">
        <v>1.0217449999999999</v>
      </c>
      <c r="I125">
        <v>367.26350000000002</v>
      </c>
      <c r="J125">
        <v>-449.86320000000001</v>
      </c>
      <c r="K125">
        <v>1.109999</v>
      </c>
      <c r="L125">
        <v>367.33589999999998</v>
      </c>
      <c r="M125">
        <v>0.99983270000000002</v>
      </c>
      <c r="N125">
        <v>0</v>
      </c>
      <c r="O125">
        <v>1.5046459999999999E-2</v>
      </c>
      <c r="P125">
        <v>0.99253449999999999</v>
      </c>
      <c r="Q125">
        <v>0.11672689999999999</v>
      </c>
      <c r="R125">
        <v>-3.5358729999999998E-2</v>
      </c>
      <c r="S125">
        <v>3.0526430000000002</v>
      </c>
      <c r="T125">
        <v>-0.32188650000000002</v>
      </c>
      <c r="U125">
        <v>-0.2433777</v>
      </c>
      <c r="V125">
        <v>5.0218110000000003E-2</v>
      </c>
      <c r="W125">
        <v>0.1270587</v>
      </c>
      <c r="X125">
        <v>0.99062320000000004</v>
      </c>
      <c r="Y125">
        <v>9.3865180000000006E-2</v>
      </c>
      <c r="Z125">
        <v>-6.5073650000000002E-3</v>
      </c>
      <c r="AA125">
        <v>0.99556359999999999</v>
      </c>
      <c r="AB125">
        <v>33</v>
      </c>
      <c r="AC125">
        <v>0.48360000000002401</v>
      </c>
      <c r="AD125">
        <v>-8.8253999999999805E-2</v>
      </c>
      <c r="AE125">
        <v>-7.2399999999959094E-2</v>
      </c>
      <c r="AF125">
        <v>7.7155412147210098E-2</v>
      </c>
      <c r="AG125">
        <v>-8.8253999999999805E-2</v>
      </c>
      <c r="AH125">
        <v>0.46723612337078502</v>
      </c>
      <c r="AI125">
        <v>100.556622193039</v>
      </c>
      <c r="AJ125">
        <v>80.623279128419298</v>
      </c>
      <c r="AK125">
        <v>0.48171705504597301</v>
      </c>
      <c r="AL125">
        <v>82.700341657262896</v>
      </c>
      <c r="AM125">
        <v>87.097963339179202</v>
      </c>
      <c r="AN125">
        <v>1.0000000480979401</v>
      </c>
    </row>
    <row r="126" spans="1:40" x14ac:dyDescent="0.25">
      <c r="A126" t="str">
        <f>"20190312154504423"</f>
        <v>20190312154504423</v>
      </c>
      <c r="B126" t="str">
        <f>"1552376704415893"</f>
        <v>1552376704415893</v>
      </c>
      <c r="C126" t="s">
        <v>40</v>
      </c>
      <c r="D126">
        <v>4.2226470000000003</v>
      </c>
      <c r="E126">
        <v>0.53255719999999995</v>
      </c>
      <c r="F126" t="s">
        <v>41</v>
      </c>
      <c r="G126">
        <v>-449.10489999999999</v>
      </c>
      <c r="H126">
        <v>0.98802040000000002</v>
      </c>
      <c r="I126">
        <v>367.26029999999997</v>
      </c>
      <c r="J126">
        <v>-449.52249999999998</v>
      </c>
      <c r="K126">
        <v>1.1100110000000001</v>
      </c>
      <c r="L126">
        <v>367.34129999999999</v>
      </c>
      <c r="M126">
        <v>0.99982579999999999</v>
      </c>
      <c r="N126">
        <v>0</v>
      </c>
      <c r="O126">
        <v>1.534159E-2</v>
      </c>
      <c r="P126">
        <v>0.99262289999999997</v>
      </c>
      <c r="Q126">
        <v>0.1160017</v>
      </c>
      <c r="R126">
        <v>-3.5266739999999998E-2</v>
      </c>
      <c r="S126">
        <v>3.0697939999999999</v>
      </c>
      <c r="T126">
        <v>-0.4938748</v>
      </c>
      <c r="U126">
        <v>-0.30520629999999999</v>
      </c>
      <c r="V126">
        <v>5.0420680000000002E-2</v>
      </c>
      <c r="W126">
        <v>0.1265848</v>
      </c>
      <c r="X126">
        <v>0.99067349999999998</v>
      </c>
      <c r="Y126">
        <v>0.11256090000000001</v>
      </c>
      <c r="Z126">
        <v>-1.142199E-2</v>
      </c>
      <c r="AA126">
        <v>0.9935792</v>
      </c>
      <c r="AB126">
        <v>33</v>
      </c>
      <c r="AC126">
        <v>0.41759999999999298</v>
      </c>
      <c r="AD126">
        <v>-0.1219906</v>
      </c>
      <c r="AE126">
        <v>-8.1000000000017197E-2</v>
      </c>
      <c r="AF126">
        <v>8.0755964565015201E-2</v>
      </c>
      <c r="AG126">
        <v>-0.1219906</v>
      </c>
      <c r="AH126">
        <v>0.38467201057512701</v>
      </c>
      <c r="AI126">
        <v>107.242427902686</v>
      </c>
      <c r="AJ126">
        <v>78.143809816026007</v>
      </c>
      <c r="AK126">
        <v>0.41155289820519603</v>
      </c>
      <c r="AL126">
        <v>82.727714582352803</v>
      </c>
      <c r="AM126">
        <v>87.086424909722098</v>
      </c>
      <c r="AN126">
        <v>0.99999997008247499</v>
      </c>
    </row>
    <row r="127" spans="1:40" x14ac:dyDescent="0.25">
      <c r="A127" t="str">
        <f>"20190312154504447"</f>
        <v>20190312154504447</v>
      </c>
      <c r="B127" t="str">
        <f>"1552376704436388"</f>
        <v>1552376704436388</v>
      </c>
      <c r="C127" t="s">
        <v>40</v>
      </c>
      <c r="D127">
        <v>4.2389650000000003</v>
      </c>
      <c r="E127">
        <v>0.53487890000000005</v>
      </c>
      <c r="F127" t="s">
        <v>41</v>
      </c>
      <c r="G127">
        <v>-448.81720000000001</v>
      </c>
      <c r="H127">
        <v>0.98124719999999999</v>
      </c>
      <c r="I127">
        <v>367.26429999999999</v>
      </c>
      <c r="J127">
        <v>-449.18630000000002</v>
      </c>
      <c r="K127">
        <v>1.109718</v>
      </c>
      <c r="L127">
        <v>367.34679999999997</v>
      </c>
      <c r="M127">
        <v>0.99983040000000001</v>
      </c>
      <c r="N127">
        <v>0</v>
      </c>
      <c r="O127">
        <v>1.5623649999999999E-2</v>
      </c>
      <c r="P127">
        <v>0.99253009999999997</v>
      </c>
      <c r="Q127">
        <v>0.1168545</v>
      </c>
      <c r="R127">
        <v>-3.5063190000000001E-2</v>
      </c>
      <c r="S127">
        <v>3.07605</v>
      </c>
      <c r="T127">
        <v>-0.56177279999999996</v>
      </c>
      <c r="U127">
        <v>-0.33517459999999999</v>
      </c>
      <c r="V127">
        <v>5.0499000000000002E-2</v>
      </c>
      <c r="W127">
        <v>0.12656110000000001</v>
      </c>
      <c r="X127">
        <v>0.99067260000000001</v>
      </c>
      <c r="Y127">
        <v>0.1215966</v>
      </c>
      <c r="Z127">
        <v>-1.38031E-2</v>
      </c>
      <c r="AA127">
        <v>0.99248360000000002</v>
      </c>
      <c r="AB127">
        <v>33</v>
      </c>
      <c r="AC127">
        <v>0.36910000000000298</v>
      </c>
      <c r="AD127">
        <v>-0.1284708</v>
      </c>
      <c r="AE127">
        <v>-8.2499999999981796E-2</v>
      </c>
      <c r="AF127">
        <v>7.9126864999001095E-2</v>
      </c>
      <c r="AG127">
        <v>-0.1284708</v>
      </c>
      <c r="AH127">
        <v>0.32972116248732403</v>
      </c>
      <c r="AI127">
        <v>110.750567571194</v>
      </c>
      <c r="AJ127">
        <v>76.505287722940395</v>
      </c>
      <c r="AK127">
        <v>0.36260426391481199</v>
      </c>
      <c r="AL127">
        <v>82.729083945395203</v>
      </c>
      <c r="AM127">
        <v>87.081904333199901</v>
      </c>
      <c r="AN127">
        <v>1.0000000307124799</v>
      </c>
    </row>
    <row r="128" spans="1:40" x14ac:dyDescent="0.25">
      <c r="A128" t="str">
        <f>"20190312154504468"</f>
        <v>20190312154504468</v>
      </c>
      <c r="B128" t="str">
        <f>"1552376704455909"</f>
        <v>1552376704455909</v>
      </c>
      <c r="C128" t="s">
        <v>40</v>
      </c>
      <c r="D128">
        <v>4.2598419999999999</v>
      </c>
      <c r="E128">
        <v>0.53632159999999995</v>
      </c>
      <c r="F128" t="s">
        <v>41</v>
      </c>
      <c r="G128">
        <v>-448.24979999999999</v>
      </c>
      <c r="H128">
        <v>0.92871619999999999</v>
      </c>
      <c r="I128">
        <v>367.23970000000003</v>
      </c>
      <c r="J128">
        <v>-448.85649999999998</v>
      </c>
      <c r="K128">
        <v>1.1093959999999901</v>
      </c>
      <c r="L128">
        <v>367.35230000000001</v>
      </c>
      <c r="M128">
        <v>0.99983659999999996</v>
      </c>
      <c r="N128">
        <v>0</v>
      </c>
      <c r="O128">
        <v>1.589604E-2</v>
      </c>
      <c r="P128">
        <v>0.99244960000000004</v>
      </c>
      <c r="Q128">
        <v>0.1173172</v>
      </c>
      <c r="R128">
        <v>-3.5785850000000001E-2</v>
      </c>
      <c r="S128">
        <v>3.0802309999999999</v>
      </c>
      <c r="T128">
        <v>-0.59536719999999999</v>
      </c>
      <c r="U128">
        <v>-0.35165410000000002</v>
      </c>
      <c r="V128">
        <v>5.1496279999999998E-2</v>
      </c>
      <c r="W128">
        <v>0.12586439999999999</v>
      </c>
      <c r="X128">
        <v>0.99070999999999998</v>
      </c>
      <c r="Y128">
        <v>0.12660279999999999</v>
      </c>
      <c r="Z128">
        <v>-1.5120359999999999E-2</v>
      </c>
      <c r="AA128">
        <v>0.99183829999999995</v>
      </c>
      <c r="AB128">
        <v>33</v>
      </c>
      <c r="AC128">
        <v>0.60669999999998903</v>
      </c>
      <c r="AD128">
        <v>-0.180679799999999</v>
      </c>
      <c r="AE128">
        <v>-0.112599999999986</v>
      </c>
      <c r="AF128">
        <v>0.112578237709845</v>
      </c>
      <c r="AG128">
        <v>-0.180679799999999</v>
      </c>
      <c r="AH128">
        <v>0.55707218144762904</v>
      </c>
      <c r="AI128">
        <v>107.636055084451</v>
      </c>
      <c r="AJ128">
        <v>78.5750188368566</v>
      </c>
      <c r="AK128">
        <v>0.596362695913078</v>
      </c>
      <c r="AL128">
        <v>82.769323546720301</v>
      </c>
      <c r="AM128">
        <v>87.024490988305303</v>
      </c>
      <c r="AN128">
        <v>1.0000000090705901</v>
      </c>
    </row>
    <row r="129" spans="1:40" x14ac:dyDescent="0.25">
      <c r="A129" t="str">
        <f>"20190312154504489"</f>
        <v>20190312154504489</v>
      </c>
      <c r="B129" t="str">
        <f>"1552376704486164"</f>
        <v>1552376704486164</v>
      </c>
      <c r="C129" t="s">
        <v>40</v>
      </c>
      <c r="D129">
        <v>4.2698479999999996</v>
      </c>
      <c r="E129">
        <v>0.53766910000000001</v>
      </c>
      <c r="F129" t="s">
        <v>41</v>
      </c>
      <c r="G129">
        <v>-447.95089999999999</v>
      </c>
      <c r="H129">
        <v>0.92844669999999896</v>
      </c>
      <c r="I129">
        <v>367.24489999999997</v>
      </c>
      <c r="J129">
        <v>-448.54590000000002</v>
      </c>
      <c r="K129">
        <v>1.1091329999999999</v>
      </c>
      <c r="L129">
        <v>367.35739999999998</v>
      </c>
      <c r="M129">
        <v>0.99984150000000005</v>
      </c>
      <c r="N129">
        <v>0</v>
      </c>
      <c r="O129">
        <v>1.6150629999999999E-2</v>
      </c>
      <c r="P129">
        <v>0.99241749999999995</v>
      </c>
      <c r="Q129">
        <v>0.117383</v>
      </c>
      <c r="R129">
        <v>-3.6456240000000001E-2</v>
      </c>
      <c r="S129">
        <v>3.0825200000000001</v>
      </c>
      <c r="T129">
        <v>-0.61591859999999998</v>
      </c>
      <c r="U129">
        <v>-0.3648071</v>
      </c>
      <c r="V129">
        <v>5.2423930000000001E-2</v>
      </c>
      <c r="W129">
        <v>0.12482500000000001</v>
      </c>
      <c r="X129">
        <v>0.99079280000000003</v>
      </c>
      <c r="Y129">
        <v>0.13068660000000001</v>
      </c>
      <c r="Z129">
        <v>-1.607024E-2</v>
      </c>
      <c r="AA129">
        <v>0.99129350000000005</v>
      </c>
      <c r="AB129">
        <v>33</v>
      </c>
      <c r="AC129">
        <v>0.59500000000002695</v>
      </c>
      <c r="AD129">
        <v>-0.18068629999999999</v>
      </c>
      <c r="AE129">
        <v>-0.11250000000001099</v>
      </c>
      <c r="AF129">
        <v>0.112113199093709</v>
      </c>
      <c r="AG129">
        <v>-0.18068629999999999</v>
      </c>
      <c r="AH129">
        <v>0.54461544686983698</v>
      </c>
      <c r="AI129">
        <v>108.001812805836</v>
      </c>
      <c r="AJ129">
        <v>78.367729575377993</v>
      </c>
      <c r="AK129">
        <v>0.58465621812134005</v>
      </c>
      <c r="AL129">
        <v>82.829349849302005</v>
      </c>
      <c r="AM129">
        <v>86.971241994368896</v>
      </c>
      <c r="AN129">
        <v>0.99999996079674103</v>
      </c>
    </row>
    <row r="130" spans="1:40" x14ac:dyDescent="0.25">
      <c r="A130" t="str">
        <f>"20190312154504510"</f>
        <v>20190312154504510</v>
      </c>
      <c r="B130" t="str">
        <f>"1552376704505685"</f>
        <v>1552376704505685</v>
      </c>
      <c r="C130" t="s">
        <v>40</v>
      </c>
      <c r="D130">
        <v>4.2751780000000004</v>
      </c>
      <c r="E130">
        <v>0.53842469999999998</v>
      </c>
      <c r="F130" t="s">
        <v>41</v>
      </c>
      <c r="G130">
        <v>-447.65120000000002</v>
      </c>
      <c r="H130">
        <v>0.92441989999999996</v>
      </c>
      <c r="I130">
        <v>367.2482</v>
      </c>
      <c r="J130">
        <v>-448.22089999999997</v>
      </c>
      <c r="K130">
        <v>1.1089150000000001</v>
      </c>
      <c r="L130">
        <v>367.36279999999999</v>
      </c>
      <c r="M130">
        <v>0.9998454</v>
      </c>
      <c r="N130">
        <v>0</v>
      </c>
      <c r="O130">
        <v>1.6409650000000001E-2</v>
      </c>
      <c r="P130">
        <v>0.99247569999999996</v>
      </c>
      <c r="Q130">
        <v>0.11659</v>
      </c>
      <c r="R130">
        <v>-3.740607E-2</v>
      </c>
      <c r="S130">
        <v>3.0844119999999999</v>
      </c>
      <c r="T130">
        <v>-0.63678840000000003</v>
      </c>
      <c r="U130">
        <v>-0.37637330000000002</v>
      </c>
      <c r="V130">
        <v>5.3635269999999999E-2</v>
      </c>
      <c r="W130">
        <v>0.1229025</v>
      </c>
      <c r="X130">
        <v>0.99096830000000002</v>
      </c>
      <c r="Y130">
        <v>0.13426569999999999</v>
      </c>
      <c r="Z130">
        <v>-1.7007330000000001E-2</v>
      </c>
      <c r="AA130">
        <v>0.9907994</v>
      </c>
      <c r="AB130">
        <v>34</v>
      </c>
      <c r="AC130">
        <v>0.56969999999995402</v>
      </c>
      <c r="AD130">
        <v>-0.184495099999999</v>
      </c>
      <c r="AE130">
        <v>-0.114599999999995</v>
      </c>
      <c r="AF130">
        <v>0.112585039655238</v>
      </c>
      <c r="AG130">
        <v>-0.184495099999999</v>
      </c>
      <c r="AH130">
        <v>0.51575579747696199</v>
      </c>
      <c r="AI130">
        <v>109.263912467178</v>
      </c>
      <c r="AJ130">
        <v>77.685992680030495</v>
      </c>
      <c r="AK130">
        <v>0.55921183437877797</v>
      </c>
      <c r="AL130">
        <v>82.940355898161201</v>
      </c>
      <c r="AM130">
        <v>86.901940159445004</v>
      </c>
      <c r="AN130">
        <v>0.99999996914955502</v>
      </c>
    </row>
    <row r="131" spans="1:40" x14ac:dyDescent="0.25">
      <c r="A131" t="str">
        <f>"20190312154504533"</f>
        <v>20190312154504533</v>
      </c>
      <c r="B131" t="str">
        <f>"1552376704526181"</f>
        <v>1552376704526181</v>
      </c>
      <c r="C131" t="s">
        <v>40</v>
      </c>
      <c r="D131">
        <v>4.2737669999999897</v>
      </c>
      <c r="E131">
        <v>0.53879309999999903</v>
      </c>
      <c r="F131" t="s">
        <v>41</v>
      </c>
      <c r="G131">
        <v>-447.34710000000001</v>
      </c>
      <c r="H131">
        <v>0.92482949999999997</v>
      </c>
      <c r="I131">
        <v>367.25330000000002</v>
      </c>
      <c r="J131">
        <v>-447.87259999999998</v>
      </c>
      <c r="K131">
        <v>1.1087320000000001</v>
      </c>
      <c r="L131">
        <v>367.36869999999999</v>
      </c>
      <c r="M131">
        <v>0.99984770000000001</v>
      </c>
      <c r="N131">
        <v>0</v>
      </c>
      <c r="O131">
        <v>1.6675499999999999E-2</v>
      </c>
      <c r="P131">
        <v>0.99251940000000005</v>
      </c>
      <c r="Q131">
        <v>0.1160489</v>
      </c>
      <c r="R131">
        <v>-3.7921969999999999E-2</v>
      </c>
      <c r="S131">
        <v>3.0845950000000002</v>
      </c>
      <c r="T131">
        <v>-0.64995119999999995</v>
      </c>
      <c r="U131">
        <v>-0.38522339999999999</v>
      </c>
      <c r="V131">
        <v>5.441642E-2</v>
      </c>
      <c r="W131">
        <v>0.12120069999999999</v>
      </c>
      <c r="X131">
        <v>0.9911354</v>
      </c>
      <c r="Y131">
        <v>0.1371259</v>
      </c>
      <c r="Z131">
        <v>-1.769971E-2</v>
      </c>
      <c r="AA131">
        <v>0.99039549999999998</v>
      </c>
      <c r="AB131">
        <v>34</v>
      </c>
      <c r="AC131">
        <v>0.525499999999965</v>
      </c>
      <c r="AD131">
        <v>-0.1839025</v>
      </c>
      <c r="AE131">
        <v>-0.115399999999965</v>
      </c>
      <c r="AF131">
        <v>0.11115963099013799</v>
      </c>
      <c r="AG131">
        <v>-0.1839025</v>
      </c>
      <c r="AH131">
        <v>0.46873729770082401</v>
      </c>
      <c r="AI131">
        <v>110.89426980114</v>
      </c>
      <c r="AJ131">
        <v>76.658930057583603</v>
      </c>
      <c r="AK131">
        <v>0.515646436353423</v>
      </c>
      <c r="AL131">
        <v>83.038597037828595</v>
      </c>
      <c r="AM131">
        <v>86.857438338783894</v>
      </c>
      <c r="AN131">
        <v>1.00000006878963</v>
      </c>
    </row>
    <row r="132" spans="1:40" x14ac:dyDescent="0.25">
      <c r="A132" t="str">
        <f>"20190312154504555"</f>
        <v>20190312154504555</v>
      </c>
      <c r="B132" t="str">
        <f>"1552376704545700"</f>
        <v>1552376704545700</v>
      </c>
      <c r="C132" t="s">
        <v>40</v>
      </c>
      <c r="D132">
        <v>4.28491</v>
      </c>
      <c r="E132">
        <v>0.53887890000000005</v>
      </c>
      <c r="F132" t="s">
        <v>41</v>
      </c>
      <c r="G132">
        <v>-447.03840000000002</v>
      </c>
      <c r="H132">
        <v>0.93068419999999996</v>
      </c>
      <c r="I132">
        <v>367.26330000000002</v>
      </c>
      <c r="J132">
        <v>-447.54169999999999</v>
      </c>
      <c r="K132">
        <v>1.1085959999999999</v>
      </c>
      <c r="L132">
        <v>367.37439999999998</v>
      </c>
      <c r="M132">
        <v>0.99984850000000003</v>
      </c>
      <c r="N132">
        <v>0</v>
      </c>
      <c r="O132">
        <v>1.6916110000000002E-2</v>
      </c>
      <c r="P132">
        <v>0.99256489999999997</v>
      </c>
      <c r="Q132">
        <v>0.1153942</v>
      </c>
      <c r="R132">
        <v>-3.8718589999999997E-2</v>
      </c>
      <c r="S132">
        <v>3.084778</v>
      </c>
      <c r="T132">
        <v>-0.65844820000000004</v>
      </c>
      <c r="U132">
        <v>-0.3888855</v>
      </c>
      <c r="V132">
        <v>5.5451399999999998E-2</v>
      </c>
      <c r="W132">
        <v>0.1195259</v>
      </c>
      <c r="X132">
        <v>0.99128130000000003</v>
      </c>
      <c r="Y132">
        <v>0.1383952</v>
      </c>
      <c r="Z132">
        <v>-1.8107829999999998E-2</v>
      </c>
      <c r="AA132">
        <v>0.99021150000000002</v>
      </c>
      <c r="AB132">
        <v>34</v>
      </c>
      <c r="AC132">
        <v>0.503299999999967</v>
      </c>
      <c r="AD132">
        <v>-0.17791180000000001</v>
      </c>
      <c r="AE132">
        <v>-0.11109999999996401</v>
      </c>
      <c r="AF132">
        <v>0.106865106217021</v>
      </c>
      <c r="AG132">
        <v>-0.17791180000000001</v>
      </c>
      <c r="AH132">
        <v>0.44797276302318101</v>
      </c>
      <c r="AI132">
        <v>111.121988696979</v>
      </c>
      <c r="AJ132">
        <v>76.582701035321705</v>
      </c>
      <c r="AK132">
        <v>0.49371282737704802</v>
      </c>
      <c r="AL132">
        <v>83.135257983632897</v>
      </c>
      <c r="AM132">
        <v>86.798261550272599</v>
      </c>
      <c r="AN132">
        <v>0.99999995713122902</v>
      </c>
    </row>
    <row r="133" spans="1:40" x14ac:dyDescent="0.25">
      <c r="A133" t="str">
        <f>"20190312154504578"</f>
        <v>20190312154504578</v>
      </c>
      <c r="B133" t="str">
        <f>"1552376704575957"</f>
        <v>1552376704575957</v>
      </c>
      <c r="C133" t="s">
        <v>40</v>
      </c>
      <c r="D133">
        <v>4.3334210000000004</v>
      </c>
      <c r="E133">
        <v>0.539242</v>
      </c>
      <c r="F133" t="s">
        <v>41</v>
      </c>
      <c r="G133">
        <v>-446.7285</v>
      </c>
      <c r="H133">
        <v>0.93326330000000002</v>
      </c>
      <c r="I133">
        <v>367.27019999999999</v>
      </c>
      <c r="J133">
        <v>-447.17360000000002</v>
      </c>
      <c r="K133">
        <v>1.1085039999999999</v>
      </c>
      <c r="L133">
        <v>367.38080000000002</v>
      </c>
      <c r="M133">
        <v>0.99984770000000001</v>
      </c>
      <c r="N133">
        <v>0</v>
      </c>
      <c r="O133">
        <v>1.7171349999999998E-2</v>
      </c>
      <c r="P133">
        <v>0.99273089999999997</v>
      </c>
      <c r="Q133">
        <v>0.11380369999999999</v>
      </c>
      <c r="R133">
        <v>-3.9164669999999999E-2</v>
      </c>
      <c r="S133">
        <v>3.0845030000000002</v>
      </c>
      <c r="T133">
        <v>-0.66520140000000005</v>
      </c>
      <c r="U133">
        <v>-0.39288329999999999</v>
      </c>
      <c r="V133">
        <v>5.6151800000000002E-2</v>
      </c>
      <c r="W133">
        <v>0.1169283</v>
      </c>
      <c r="X133">
        <v>0.99155170000000004</v>
      </c>
      <c r="Y133">
        <v>0.13981360000000001</v>
      </c>
      <c r="Z133">
        <v>-1.8494440000000001E-2</v>
      </c>
      <c r="AA133">
        <v>0.99000509999999997</v>
      </c>
      <c r="AB133">
        <v>34</v>
      </c>
      <c r="AC133">
        <v>0.44510000000002398</v>
      </c>
      <c r="AD133">
        <v>-0.1752407</v>
      </c>
      <c r="AE133">
        <v>-0.11060000000003301</v>
      </c>
      <c r="AF133">
        <v>0.103165200371305</v>
      </c>
      <c r="AG133">
        <v>-0.1752407</v>
      </c>
      <c r="AH133">
        <v>0.38668197490192802</v>
      </c>
      <c r="AI133">
        <v>113.647392505336</v>
      </c>
      <c r="AJ133">
        <v>75.061665283864102</v>
      </c>
      <c r="AK133">
        <v>0.43689279144682303</v>
      </c>
      <c r="AL133">
        <v>83.285141117639199</v>
      </c>
      <c r="AM133">
        <v>86.758788754137299</v>
      </c>
      <c r="AN133">
        <v>1.00000001287851</v>
      </c>
    </row>
    <row r="134" spans="1:40" x14ac:dyDescent="0.25">
      <c r="A134" t="str">
        <f>"20190312154504601"</f>
        <v>20190312154504601</v>
      </c>
      <c r="B134" t="str">
        <f>"1552376704596453"</f>
        <v>1552376704596453</v>
      </c>
      <c r="C134" t="s">
        <v>40</v>
      </c>
      <c r="D134">
        <v>4.3379669999999999</v>
      </c>
      <c r="E134">
        <v>0.53925339999999999</v>
      </c>
      <c r="F134" t="s">
        <v>41</v>
      </c>
      <c r="G134">
        <v>-446.41379999999998</v>
      </c>
      <c r="H134">
        <v>0.94196630000000003</v>
      </c>
      <c r="I134">
        <v>367.28300000000002</v>
      </c>
      <c r="J134">
        <v>-446.82459999999998</v>
      </c>
      <c r="K134">
        <v>1.108457</v>
      </c>
      <c r="L134">
        <v>367.38690000000003</v>
      </c>
      <c r="M134">
        <v>0.99984609999999996</v>
      </c>
      <c r="N134">
        <v>0</v>
      </c>
      <c r="O134">
        <v>1.7399580000000001E-2</v>
      </c>
      <c r="P134">
        <v>0.99290009999999995</v>
      </c>
      <c r="Q134">
        <v>0.112334</v>
      </c>
      <c r="R134">
        <v>-3.9124720000000002E-2</v>
      </c>
      <c r="S134">
        <v>3.0837400000000001</v>
      </c>
      <c r="T134">
        <v>-0.67585530000000005</v>
      </c>
      <c r="U134">
        <v>-0.39706419999999998</v>
      </c>
      <c r="V134">
        <v>5.6340199999999903E-2</v>
      </c>
      <c r="W134">
        <v>0.11465060000000001</v>
      </c>
      <c r="X134">
        <v>0.99180690000000005</v>
      </c>
      <c r="Y134">
        <v>0.14123749999999999</v>
      </c>
      <c r="Z134">
        <v>-1.898971E-2</v>
      </c>
      <c r="AA134">
        <v>0.98979360000000005</v>
      </c>
      <c r="AB134">
        <v>35</v>
      </c>
      <c r="AC134">
        <v>0.410799999999994</v>
      </c>
      <c r="AD134">
        <v>-0.16649069999999999</v>
      </c>
      <c r="AE134">
        <v>-0.10390000000001</v>
      </c>
      <c r="AF134">
        <v>9.6183292721218797E-2</v>
      </c>
      <c r="AG134">
        <v>-0.16649069999999999</v>
      </c>
      <c r="AH134">
        <v>0.354242200435396</v>
      </c>
      <c r="AI134">
        <v>114.39758770202199</v>
      </c>
      <c r="AJ134">
        <v>74.8093666143604</v>
      </c>
      <c r="AK134">
        <v>0.40306068470454498</v>
      </c>
      <c r="AL134">
        <v>83.416527077247395</v>
      </c>
      <c r="AM134">
        <v>86.748772161539094</v>
      </c>
      <c r="AN134">
        <v>0.99999995255200402</v>
      </c>
    </row>
    <row r="135" spans="1:40" x14ac:dyDescent="0.25">
      <c r="A135" t="str">
        <f>"20190312154504625"</f>
        <v>20190312154504625</v>
      </c>
      <c r="B135" t="str">
        <f>"1552376704615974"</f>
        <v>1552376704615974</v>
      </c>
      <c r="C135" t="s">
        <v>40</v>
      </c>
      <c r="D135">
        <v>4.331645</v>
      </c>
      <c r="E135">
        <v>0.53959019999999902</v>
      </c>
      <c r="F135" t="s">
        <v>41</v>
      </c>
      <c r="G135">
        <v>-446.09780000000001</v>
      </c>
      <c r="H135">
        <v>0.94789970000000001</v>
      </c>
      <c r="I135">
        <v>367.29309999999998</v>
      </c>
      <c r="J135">
        <v>-446.44810000000001</v>
      </c>
      <c r="K135">
        <v>1.1084369999999999</v>
      </c>
      <c r="L135">
        <v>367.39359999999999</v>
      </c>
      <c r="M135">
        <v>0.9998435</v>
      </c>
      <c r="N135">
        <v>0</v>
      </c>
      <c r="O135">
        <v>1.762387E-2</v>
      </c>
      <c r="P135">
        <v>0.99287720000000002</v>
      </c>
      <c r="Q135">
        <v>0.1126885</v>
      </c>
      <c r="R135">
        <v>-3.8684459999999997E-2</v>
      </c>
      <c r="S135">
        <v>3.0828549999999999</v>
      </c>
      <c r="T135">
        <v>-0.6810524</v>
      </c>
      <c r="U135">
        <v>-0.39752199999999999</v>
      </c>
      <c r="V135">
        <v>5.6121989999999997E-2</v>
      </c>
      <c r="W135">
        <v>0.11431189999999999</v>
      </c>
      <c r="X135">
        <v>0.99185840000000003</v>
      </c>
      <c r="Y135">
        <v>0.1415681</v>
      </c>
      <c r="Z135">
        <v>-1.922223E-2</v>
      </c>
      <c r="AA135">
        <v>0.98974189999999995</v>
      </c>
      <c r="AB135">
        <v>35</v>
      </c>
      <c r="AC135">
        <v>0.350300000000004</v>
      </c>
      <c r="AD135">
        <v>-0.16053729999999999</v>
      </c>
      <c r="AE135">
        <v>-0.10050000000001</v>
      </c>
      <c r="AF135">
        <v>8.9324388154833095E-2</v>
      </c>
      <c r="AG135">
        <v>-0.16053729999999999</v>
      </c>
      <c r="AH135">
        <v>0.29184168316116998</v>
      </c>
      <c r="AI135">
        <v>117.74425139365999</v>
      </c>
      <c r="AJ135">
        <v>72.982149496091793</v>
      </c>
      <c r="AK135">
        <v>0.34485161887523502</v>
      </c>
      <c r="AL135">
        <v>83.436061816989593</v>
      </c>
      <c r="AM135">
        <v>86.761505366198904</v>
      </c>
      <c r="AN135">
        <v>0.99999998694686498</v>
      </c>
    </row>
    <row r="136" spans="1:40" x14ac:dyDescent="0.25">
      <c r="A136" t="str">
        <f>"20190312154504647"</f>
        <v>20190312154504647</v>
      </c>
      <c r="B136" t="str">
        <f>"1552376704636468"</f>
        <v>1552376704636468</v>
      </c>
      <c r="C136" t="s">
        <v>40</v>
      </c>
      <c r="D136">
        <v>4.3340350000000001</v>
      </c>
      <c r="E136">
        <v>0.5401127</v>
      </c>
      <c r="F136" t="s">
        <v>41</v>
      </c>
      <c r="G136">
        <v>-445.48520000000002</v>
      </c>
      <c r="H136">
        <v>0.89517869999999999</v>
      </c>
      <c r="I136">
        <v>367.26859999999999</v>
      </c>
      <c r="J136">
        <v>-446.10149999999999</v>
      </c>
      <c r="K136">
        <v>1.1084449999999999</v>
      </c>
      <c r="L136">
        <v>367.3999</v>
      </c>
      <c r="M136">
        <v>0.99984099999999998</v>
      </c>
      <c r="N136">
        <v>0</v>
      </c>
      <c r="O136">
        <v>1.77977E-2</v>
      </c>
      <c r="P136">
        <v>0.99285800000000002</v>
      </c>
      <c r="Q136">
        <v>0.1133057</v>
      </c>
      <c r="R136">
        <v>-3.7352639999999999E-2</v>
      </c>
      <c r="S136">
        <v>3.083466</v>
      </c>
      <c r="T136">
        <v>-0.68292299999999995</v>
      </c>
      <c r="U136">
        <v>-0.39910889999999999</v>
      </c>
      <c r="V136">
        <v>5.4965399999999998E-2</v>
      </c>
      <c r="W136">
        <v>0.11446630000000001</v>
      </c>
      <c r="X136">
        <v>0.99190540000000005</v>
      </c>
      <c r="Y136">
        <v>0.14217879999999899</v>
      </c>
      <c r="Z136">
        <v>-1.9373939999999999E-2</v>
      </c>
      <c r="AA136">
        <v>0.98965139999999996</v>
      </c>
      <c r="AB136">
        <v>35</v>
      </c>
      <c r="AC136">
        <v>0.61629999999996699</v>
      </c>
      <c r="AD136">
        <v>-0.21326629999999999</v>
      </c>
      <c r="AE136">
        <v>-0.13130000000000999</v>
      </c>
      <c r="AF136">
        <v>0.12762851203865</v>
      </c>
      <c r="AG136">
        <v>-0.21326629999999999</v>
      </c>
      <c r="AH136">
        <v>0.55077599123085197</v>
      </c>
      <c r="AI136">
        <v>110.667250688292</v>
      </c>
      <c r="AJ136">
        <v>76.953406790288</v>
      </c>
      <c r="AK136">
        <v>0.60425635645578302</v>
      </c>
      <c r="AL136">
        <v>83.427157153266805</v>
      </c>
      <c r="AM136">
        <v>86.828258163390998</v>
      </c>
      <c r="AN136">
        <v>1.000000025791</v>
      </c>
    </row>
    <row r="137" spans="1:40" x14ac:dyDescent="0.25">
      <c r="A137" t="str">
        <f>"20190312154504668"</f>
        <v>20190312154504668</v>
      </c>
      <c r="B137" t="str">
        <f>"1552376704655989"</f>
        <v>1552376704655989</v>
      </c>
      <c r="C137" t="s">
        <v>40</v>
      </c>
      <c r="D137">
        <v>4.3384199999999904</v>
      </c>
      <c r="E137">
        <v>0.54053999999999902</v>
      </c>
      <c r="F137" t="s">
        <v>41</v>
      </c>
      <c r="G137">
        <v>-445.16390000000001</v>
      </c>
      <c r="H137">
        <v>0.89994699999999905</v>
      </c>
      <c r="I137">
        <v>367.27839999999998</v>
      </c>
      <c r="J137">
        <v>-445.74970000000002</v>
      </c>
      <c r="K137">
        <v>1.108463</v>
      </c>
      <c r="L137">
        <v>367.40640000000002</v>
      </c>
      <c r="M137">
        <v>0.99983889999999997</v>
      </c>
      <c r="N137">
        <v>0</v>
      </c>
      <c r="O137">
        <v>1.7940950000000001E-2</v>
      </c>
      <c r="P137">
        <v>0.99285020000000002</v>
      </c>
      <c r="Q137">
        <v>0.1138221</v>
      </c>
      <c r="R137">
        <v>-3.5965530000000002E-2</v>
      </c>
      <c r="S137">
        <v>3.0848689999999999</v>
      </c>
      <c r="T137">
        <v>-0.6859634</v>
      </c>
      <c r="U137">
        <v>-0.39916990000000002</v>
      </c>
      <c r="V137">
        <v>5.3725679999999998E-2</v>
      </c>
      <c r="W137">
        <v>0.1146596</v>
      </c>
      <c r="X137">
        <v>0.99195100000000003</v>
      </c>
      <c r="Y137">
        <v>0.14224709999999999</v>
      </c>
      <c r="Z137">
        <v>-1.9488390000000001E-2</v>
      </c>
      <c r="AA137">
        <v>0.9896393</v>
      </c>
      <c r="AB137">
        <v>36</v>
      </c>
      <c r="AC137">
        <v>0.58580000000000598</v>
      </c>
      <c r="AD137">
        <v>-0.20851600000000001</v>
      </c>
      <c r="AE137">
        <v>-0.128000000000042</v>
      </c>
      <c r="AF137">
        <v>0.123548775111656</v>
      </c>
      <c r="AG137">
        <v>-0.20851600000000001</v>
      </c>
      <c r="AH137">
        <v>0.52047016459201501</v>
      </c>
      <c r="AI137">
        <v>111.295748469317</v>
      </c>
      <c r="AJ137">
        <v>76.646335189042702</v>
      </c>
      <c r="AK137">
        <v>0.57413623323914198</v>
      </c>
      <c r="AL137">
        <v>83.4160085007763</v>
      </c>
      <c r="AM137">
        <v>86.899796460875706</v>
      </c>
      <c r="AN137">
        <v>1.0000000294823099</v>
      </c>
    </row>
    <row r="138" spans="1:40" x14ac:dyDescent="0.25">
      <c r="A138" t="str">
        <f>"20190312154504690"</f>
        <v>20190312154504690</v>
      </c>
      <c r="B138" t="str">
        <f>"1552376704686245"</f>
        <v>1552376704686245</v>
      </c>
      <c r="C138" t="s">
        <v>40</v>
      </c>
      <c r="D138">
        <v>4.3256860000000001</v>
      </c>
      <c r="E138">
        <v>0.54107059999999996</v>
      </c>
      <c r="F138" t="s">
        <v>41</v>
      </c>
      <c r="G138">
        <v>-444.84039999999999</v>
      </c>
      <c r="H138">
        <v>0.90563269999999996</v>
      </c>
      <c r="I138">
        <v>367.28840000000002</v>
      </c>
      <c r="J138">
        <v>-445.40800000000002</v>
      </c>
      <c r="K138">
        <v>1.108474</v>
      </c>
      <c r="L138">
        <v>367.4126</v>
      </c>
      <c r="M138">
        <v>0.99983719999999998</v>
      </c>
      <c r="N138">
        <v>0</v>
      </c>
      <c r="O138">
        <v>1.8043739999999999E-2</v>
      </c>
      <c r="P138">
        <v>0.99294910000000003</v>
      </c>
      <c r="Q138">
        <v>0.1134574</v>
      </c>
      <c r="R138">
        <v>-3.4343819999999997E-2</v>
      </c>
      <c r="S138">
        <v>3.0861510000000001</v>
      </c>
      <c r="T138">
        <v>-0.68845769999999995</v>
      </c>
      <c r="U138">
        <v>-0.39883420000000003</v>
      </c>
      <c r="V138">
        <v>5.2215579999999998E-2</v>
      </c>
      <c r="W138">
        <v>0.1140978</v>
      </c>
      <c r="X138">
        <v>0.99209639999999999</v>
      </c>
      <c r="Y138">
        <v>0.1421655</v>
      </c>
      <c r="Z138">
        <v>-1.956345E-2</v>
      </c>
      <c r="AA138">
        <v>0.98964949999999996</v>
      </c>
      <c r="AB138">
        <v>36</v>
      </c>
      <c r="AC138">
        <v>0.56760000000002697</v>
      </c>
      <c r="AD138">
        <v>-0.202841299999999</v>
      </c>
      <c r="AE138">
        <v>-0.124199999999973</v>
      </c>
      <c r="AF138">
        <v>0.119818475622868</v>
      </c>
      <c r="AG138">
        <v>-0.202841299999999</v>
      </c>
      <c r="AH138">
        <v>0.50385856898961701</v>
      </c>
      <c r="AI138">
        <v>111.38800278975999</v>
      </c>
      <c r="AJ138">
        <v>76.623413985382399</v>
      </c>
      <c r="AK138">
        <v>0.55621445291410998</v>
      </c>
      <c r="AL138">
        <v>83.448409855521206</v>
      </c>
      <c r="AM138">
        <v>86.987213647670501</v>
      </c>
      <c r="AN138">
        <v>1.00000002082626</v>
      </c>
    </row>
    <row r="139" spans="1:40" x14ac:dyDescent="0.25">
      <c r="A139" t="str">
        <f>"20190312154504712"</f>
        <v>20190312154504712</v>
      </c>
      <c r="B139" t="str">
        <f>"1552376704705765"</f>
        <v>1552376704705765</v>
      </c>
      <c r="C139" t="s">
        <v>40</v>
      </c>
      <c r="D139">
        <v>4.3300190000000001</v>
      </c>
      <c r="E139">
        <v>0.54138240000000004</v>
      </c>
      <c r="F139" t="s">
        <v>41</v>
      </c>
      <c r="G139">
        <v>-444.51639999999998</v>
      </c>
      <c r="H139">
        <v>0.90794779999999997</v>
      </c>
      <c r="I139">
        <v>367.2971</v>
      </c>
      <c r="J139">
        <v>-445.04</v>
      </c>
      <c r="K139">
        <v>1.1084889999999901</v>
      </c>
      <c r="L139">
        <v>367.41930000000002</v>
      </c>
      <c r="M139">
        <v>0.99983569999999999</v>
      </c>
      <c r="N139">
        <v>0</v>
      </c>
      <c r="O139">
        <v>1.8118539999999999E-2</v>
      </c>
      <c r="P139">
        <v>0.99298090000000006</v>
      </c>
      <c r="Q139">
        <v>0.11346829999999999</v>
      </c>
      <c r="R139">
        <v>-3.3375519999999999E-2</v>
      </c>
      <c r="S139">
        <v>3.086884</v>
      </c>
      <c r="T139">
        <v>-0.69444859999999997</v>
      </c>
      <c r="U139">
        <v>-0.39816279999999998</v>
      </c>
      <c r="V139">
        <v>5.133124E-2</v>
      </c>
      <c r="W139">
        <v>0.1139974</v>
      </c>
      <c r="X139">
        <v>0.99215410000000004</v>
      </c>
      <c r="Y139">
        <v>0.14193649999999999</v>
      </c>
      <c r="Z139">
        <v>-1.9716560000000001E-2</v>
      </c>
      <c r="AA139">
        <v>0.98967939999999999</v>
      </c>
      <c r="AB139">
        <v>36</v>
      </c>
      <c r="AC139">
        <v>0.52360000000004403</v>
      </c>
      <c r="AD139">
        <v>-0.200541199999999</v>
      </c>
      <c r="AE139">
        <v>-0.12220000000002</v>
      </c>
      <c r="AF139">
        <v>0.11558691715488301</v>
      </c>
      <c r="AG139">
        <v>-0.200541199999999</v>
      </c>
      <c r="AH139">
        <v>0.457635876178138</v>
      </c>
      <c r="AI139">
        <v>113.01912530238</v>
      </c>
      <c r="AJ139">
        <v>75.825037518018803</v>
      </c>
      <c r="AK139">
        <v>0.51284276682053498</v>
      </c>
      <c r="AL139">
        <v>83.454200196976302</v>
      </c>
      <c r="AM139">
        <v>87.038319483555597</v>
      </c>
      <c r="AN139">
        <v>1.00000003077675</v>
      </c>
    </row>
    <row r="140" spans="1:40" x14ac:dyDescent="0.25">
      <c r="A140" t="str">
        <f>"20190312154504734"</f>
        <v>20190312154504734</v>
      </c>
      <c r="B140" t="str">
        <f>"1552376704726261"</f>
        <v>1552376704726261</v>
      </c>
      <c r="C140" t="s">
        <v>40</v>
      </c>
      <c r="D140">
        <v>4.2980359999999997</v>
      </c>
      <c r="E140">
        <v>0.54166479999999995</v>
      </c>
      <c r="F140" t="s">
        <v>41</v>
      </c>
      <c r="G140">
        <v>-444.18860000000001</v>
      </c>
      <c r="H140">
        <v>0.91608880000000004</v>
      </c>
      <c r="I140">
        <v>367.3091</v>
      </c>
      <c r="J140">
        <v>-444.68860000000001</v>
      </c>
      <c r="K140">
        <v>1.1085</v>
      </c>
      <c r="L140">
        <v>367.42579999999998</v>
      </c>
      <c r="M140">
        <v>0.99983500000000003</v>
      </c>
      <c r="N140">
        <v>0</v>
      </c>
      <c r="O140">
        <v>1.815746E-2</v>
      </c>
      <c r="P140">
        <v>0.99298039999999999</v>
      </c>
      <c r="Q140">
        <v>0.1137522</v>
      </c>
      <c r="R140">
        <v>-3.2411049999999997E-2</v>
      </c>
      <c r="S140">
        <v>3.0875240000000002</v>
      </c>
      <c r="T140">
        <v>-0.69775220000000004</v>
      </c>
      <c r="U140">
        <v>-0.39785769999999998</v>
      </c>
      <c r="V140">
        <v>5.0414460000000001E-2</v>
      </c>
      <c r="W140">
        <v>0.1142437</v>
      </c>
      <c r="X140">
        <v>0.99217279999999997</v>
      </c>
      <c r="Y140">
        <v>0.1418191</v>
      </c>
      <c r="Z140">
        <v>-1.9799819999999999E-2</v>
      </c>
      <c r="AA140">
        <v>0.98969450000000003</v>
      </c>
      <c r="AB140">
        <v>36</v>
      </c>
      <c r="AC140">
        <v>0.5</v>
      </c>
      <c r="AD140">
        <v>-0.1924112</v>
      </c>
      <c r="AE140">
        <v>-0.11669999999998</v>
      </c>
      <c r="AF140">
        <v>0.11027299047698</v>
      </c>
      <c r="AG140">
        <v>-0.1924112</v>
      </c>
      <c r="AH140">
        <v>0.43649778405053302</v>
      </c>
      <c r="AI140">
        <v>113.140871223196</v>
      </c>
      <c r="AJ140">
        <v>75.821952108704707</v>
      </c>
      <c r="AK140">
        <v>0.48960445034252098</v>
      </c>
      <c r="AL140">
        <v>83.439995591813101</v>
      </c>
      <c r="AM140">
        <v>87.091178391475694</v>
      </c>
      <c r="AN140">
        <v>1.0000000529133</v>
      </c>
    </row>
    <row r="141" spans="1:40" x14ac:dyDescent="0.25">
      <c r="A141" t="str">
        <f>"20190312154504756"</f>
        <v>20190312154504756</v>
      </c>
      <c r="B141" t="str">
        <f>"1552376704746757"</f>
        <v>1552376704746757</v>
      </c>
      <c r="C141" t="s">
        <v>40</v>
      </c>
      <c r="D141">
        <v>4.3321459999999998</v>
      </c>
      <c r="E141">
        <v>0.54197779999999995</v>
      </c>
      <c r="F141" t="s">
        <v>41</v>
      </c>
      <c r="G141">
        <v>-443.86020000000002</v>
      </c>
      <c r="H141">
        <v>0.92115179999999997</v>
      </c>
      <c r="I141">
        <v>367.31900000000002</v>
      </c>
      <c r="J141">
        <v>-444.32049999999998</v>
      </c>
      <c r="K141">
        <v>1.108498</v>
      </c>
      <c r="L141">
        <v>367.4325</v>
      </c>
      <c r="M141">
        <v>0.99983509999999998</v>
      </c>
      <c r="N141">
        <v>0</v>
      </c>
      <c r="O141">
        <v>1.8158279999999999E-2</v>
      </c>
      <c r="P141">
        <v>0.99299349999999997</v>
      </c>
      <c r="Q141">
        <v>0.1136022</v>
      </c>
      <c r="R141">
        <v>-3.2541269999999997E-2</v>
      </c>
      <c r="S141">
        <v>3.0882260000000001</v>
      </c>
      <c r="T141">
        <v>-0.69851300000000005</v>
      </c>
      <c r="U141">
        <v>-0.39691159999999998</v>
      </c>
      <c r="V141">
        <v>5.0555669999999997E-2</v>
      </c>
      <c r="W141">
        <v>0.114103</v>
      </c>
      <c r="X141">
        <v>0.9921818</v>
      </c>
      <c r="Y141">
        <v>0.14149419999999999</v>
      </c>
      <c r="Z141">
        <v>-1.9780929999999999E-2</v>
      </c>
      <c r="AA141">
        <v>0.98974139999999999</v>
      </c>
      <c r="AB141">
        <v>36</v>
      </c>
      <c r="AC141">
        <v>0.46029999999996102</v>
      </c>
      <c r="AD141">
        <v>-0.18734619999999999</v>
      </c>
      <c r="AE141">
        <v>-0.113499999999987</v>
      </c>
      <c r="AF141">
        <v>0.105382806435124</v>
      </c>
      <c r="AG141">
        <v>-0.18734619999999999</v>
      </c>
      <c r="AH141">
        <v>0.39627953762645801</v>
      </c>
      <c r="AI141">
        <v>114.55487912154901</v>
      </c>
      <c r="AJ141">
        <v>75.107970230583305</v>
      </c>
      <c r="AK141">
        <v>0.45082325415624103</v>
      </c>
      <c r="AL141">
        <v>83.448110133226095</v>
      </c>
      <c r="AM141">
        <v>87.083071299398796</v>
      </c>
      <c r="AN141">
        <v>1.0000000473146899</v>
      </c>
    </row>
    <row r="142" spans="1:40" x14ac:dyDescent="0.25">
      <c r="A142" t="str">
        <f>"20190312154504777"</f>
        <v>20190312154504777</v>
      </c>
      <c r="B142" t="str">
        <f>"1552376704766276"</f>
        <v>1552376704766276</v>
      </c>
      <c r="C142" t="s">
        <v>40</v>
      </c>
      <c r="D142">
        <v>4.3410159999999998</v>
      </c>
      <c r="E142">
        <v>0.54229079999999996</v>
      </c>
      <c r="F142" t="s">
        <v>41</v>
      </c>
      <c r="G142">
        <v>-443.529</v>
      </c>
      <c r="H142">
        <v>0.92884560000000005</v>
      </c>
      <c r="I142">
        <v>367.32990000000001</v>
      </c>
      <c r="J142">
        <v>-443.96170000000001</v>
      </c>
      <c r="K142">
        <v>1.108484</v>
      </c>
      <c r="L142">
        <v>367.43900000000002</v>
      </c>
      <c r="M142">
        <v>0.99983580000000005</v>
      </c>
      <c r="N142">
        <v>0</v>
      </c>
      <c r="O142">
        <v>1.8117830000000001E-2</v>
      </c>
      <c r="P142">
        <v>0.99311990000000006</v>
      </c>
      <c r="Q142">
        <v>0.11240410000000001</v>
      </c>
      <c r="R142">
        <v>-3.2837150000000002E-2</v>
      </c>
      <c r="S142">
        <v>3.088257</v>
      </c>
      <c r="T142">
        <v>-0.70096369999999997</v>
      </c>
      <c r="U142">
        <v>-0.40020749999999999</v>
      </c>
      <c r="V142">
        <v>5.0824130000000002E-2</v>
      </c>
      <c r="W142">
        <v>0.1129447</v>
      </c>
      <c r="X142">
        <v>0.99230059999999998</v>
      </c>
      <c r="Y142">
        <v>0.14244229999999899</v>
      </c>
      <c r="Z142">
        <v>-1.9943949999999998E-2</v>
      </c>
      <c r="AA142">
        <v>0.98960210000000004</v>
      </c>
      <c r="AB142">
        <v>37</v>
      </c>
      <c r="AC142">
        <v>0.43270000000001102</v>
      </c>
      <c r="AD142">
        <v>-0.179638399999999</v>
      </c>
      <c r="AE142">
        <v>-0.10910000000001201</v>
      </c>
      <c r="AF142">
        <v>0.10061647566628</v>
      </c>
      <c r="AG142">
        <v>-0.179638399999999</v>
      </c>
      <c r="AH142">
        <v>0.370596108464609</v>
      </c>
      <c r="AI142">
        <v>115.06990244222899</v>
      </c>
      <c r="AJ142">
        <v>74.810404031596207</v>
      </c>
      <c r="AK142">
        <v>0.42395177265719203</v>
      </c>
      <c r="AL142">
        <v>83.514907609791294</v>
      </c>
      <c r="AM142">
        <v>87.067959287676402</v>
      </c>
      <c r="AN142">
        <v>1.00000003910435</v>
      </c>
    </row>
    <row r="143" spans="1:40" x14ac:dyDescent="0.25">
      <c r="A143" t="str">
        <f>"20190312154504801"</f>
        <v>20190312154504801</v>
      </c>
      <c r="B143" t="str">
        <f>"1552376704796532"</f>
        <v>1552376704796532</v>
      </c>
      <c r="C143" t="s">
        <v>40</v>
      </c>
      <c r="D143">
        <v>4.3703909999999997</v>
      </c>
      <c r="E143">
        <v>0.54270099999999999</v>
      </c>
      <c r="F143" t="s">
        <v>41</v>
      </c>
      <c r="G143">
        <v>-443.19729999999998</v>
      </c>
      <c r="H143">
        <v>0.93341909999999895</v>
      </c>
      <c r="I143">
        <v>367.339</v>
      </c>
      <c r="J143">
        <v>-443.58929999999998</v>
      </c>
      <c r="K143">
        <v>1.108466</v>
      </c>
      <c r="L143">
        <v>367.44569999999999</v>
      </c>
      <c r="M143">
        <v>0.99983719999999998</v>
      </c>
      <c r="N143">
        <v>0</v>
      </c>
      <c r="O143">
        <v>1.803445E-2</v>
      </c>
      <c r="P143">
        <v>0.99321729999999997</v>
      </c>
      <c r="Q143">
        <v>0.1113765</v>
      </c>
      <c r="R143">
        <v>-3.3389080000000002E-2</v>
      </c>
      <c r="S143">
        <v>3.087494</v>
      </c>
      <c r="T143">
        <v>-0.70715569999999905</v>
      </c>
      <c r="U143">
        <v>-0.40380860000000002</v>
      </c>
      <c r="V143">
        <v>5.1305570000000002E-2</v>
      </c>
      <c r="W143">
        <v>0.1119781</v>
      </c>
      <c r="X143">
        <v>0.99238530000000003</v>
      </c>
      <c r="Y143">
        <v>0.14343110000000001</v>
      </c>
      <c r="Z143">
        <v>-2.0211659999999999E-2</v>
      </c>
      <c r="AA143">
        <v>0.9894539</v>
      </c>
      <c r="AB143">
        <v>37</v>
      </c>
      <c r="AC143">
        <v>0.39199999999999502</v>
      </c>
      <c r="AD143">
        <v>-0.17504690000000001</v>
      </c>
      <c r="AE143">
        <v>-0.106699999999989</v>
      </c>
      <c r="AF143">
        <v>9.5940707430555203E-2</v>
      </c>
      <c r="AG143">
        <v>-0.17504690000000001</v>
      </c>
      <c r="AH143">
        <v>0.32894344067890002</v>
      </c>
      <c r="AI143">
        <v>117.060828020407</v>
      </c>
      <c r="AJ143">
        <v>73.739976594764499</v>
      </c>
      <c r="AK143">
        <v>0.38477243106485498</v>
      </c>
      <c r="AL143">
        <v>83.570642846249399</v>
      </c>
      <c r="AM143">
        <v>87.040486365645705</v>
      </c>
      <c r="AN143">
        <v>0.99999997002436103</v>
      </c>
    </row>
    <row r="144" spans="1:40" x14ac:dyDescent="0.25">
      <c r="A144" t="str">
        <f>"20190312154504824"</f>
        <v>20190312154504824</v>
      </c>
      <c r="B144" t="str">
        <f>"1552376704816053"</f>
        <v>1552376704816053</v>
      </c>
      <c r="C144" t="s">
        <v>40</v>
      </c>
      <c r="D144">
        <v>4.3523829999999997</v>
      </c>
      <c r="E144">
        <v>0.5429119</v>
      </c>
      <c r="F144" t="s">
        <v>41</v>
      </c>
      <c r="G144">
        <v>-442.86270000000002</v>
      </c>
      <c r="H144">
        <v>0.94057349999999995</v>
      </c>
      <c r="I144">
        <v>367.34930000000003</v>
      </c>
      <c r="J144">
        <v>-443.20589999999999</v>
      </c>
      <c r="K144">
        <v>1.1084320000000001</v>
      </c>
      <c r="L144">
        <v>367.45249999999999</v>
      </c>
      <c r="M144">
        <v>0.99983940000000004</v>
      </c>
      <c r="N144">
        <v>0</v>
      </c>
      <c r="O144">
        <v>1.7911900000000001E-2</v>
      </c>
      <c r="P144">
        <v>0.99334579999999995</v>
      </c>
      <c r="Q144">
        <v>0.1099473</v>
      </c>
      <c r="R144">
        <v>-3.4292900000000001E-2</v>
      </c>
      <c r="S144">
        <v>3.0867610000000001</v>
      </c>
      <c r="T144">
        <v>-0.71332340000000005</v>
      </c>
      <c r="U144">
        <v>-0.40820309999999999</v>
      </c>
      <c r="V144">
        <v>5.2099439999999997E-2</v>
      </c>
      <c r="W144">
        <v>0.11062470000000001</v>
      </c>
      <c r="X144">
        <v>0.99249580000000004</v>
      </c>
      <c r="Y144">
        <v>0.14462469999999999</v>
      </c>
      <c r="Z144">
        <v>-2.049407E-2</v>
      </c>
      <c r="AA144">
        <v>0.98927430000000005</v>
      </c>
      <c r="AB144">
        <v>37</v>
      </c>
      <c r="AC144">
        <v>0.34319999999996698</v>
      </c>
      <c r="AD144">
        <v>-0.16785849999999899</v>
      </c>
      <c r="AE144">
        <v>-0.10319999999995801</v>
      </c>
      <c r="AF144">
        <v>8.9660935939426895E-2</v>
      </c>
      <c r="AG144">
        <v>-0.16785849999999899</v>
      </c>
      <c r="AH144">
        <v>0.27989326959769201</v>
      </c>
      <c r="AI144">
        <v>119.732180248739</v>
      </c>
      <c r="AJ144">
        <v>72.237672816294904</v>
      </c>
      <c r="AK144">
        <v>0.338460931012533</v>
      </c>
      <c r="AL144">
        <v>83.6486722549527</v>
      </c>
      <c r="AM144">
        <v>86.995110000007699</v>
      </c>
      <c r="AN144">
        <v>1.0000000444580199</v>
      </c>
    </row>
    <row r="145" spans="1:40" x14ac:dyDescent="0.25">
      <c r="A145" t="str">
        <f>"20190312154504847"</f>
        <v>20190312154504847</v>
      </c>
      <c r="B145" t="str">
        <f>"1552376704836548"</f>
        <v>1552376704836548</v>
      </c>
      <c r="C145" t="s">
        <v>40</v>
      </c>
      <c r="D145">
        <v>4.3275139999999999</v>
      </c>
      <c r="E145">
        <v>0.54294869999999995</v>
      </c>
      <c r="F145" t="s">
        <v>41</v>
      </c>
      <c r="G145">
        <v>-442.21879999999999</v>
      </c>
      <c r="H145">
        <v>0.87827909999999998</v>
      </c>
      <c r="I145">
        <v>367.32029999999997</v>
      </c>
      <c r="J145">
        <v>-442.82139999999998</v>
      </c>
      <c r="K145">
        <v>1.1083989999999999</v>
      </c>
      <c r="L145">
        <v>367.45929999999998</v>
      </c>
      <c r="M145">
        <v>0.99984209999999996</v>
      </c>
      <c r="N145">
        <v>0</v>
      </c>
      <c r="O145">
        <v>1.7759589999999999E-2</v>
      </c>
      <c r="P145">
        <v>0.99343409999999999</v>
      </c>
      <c r="Q145">
        <v>0.10884919999999999</v>
      </c>
      <c r="R145">
        <v>-3.5226149999999998E-2</v>
      </c>
      <c r="S145">
        <v>3.0855709999999998</v>
      </c>
      <c r="T145">
        <v>-0.71950419999999904</v>
      </c>
      <c r="U145">
        <v>-0.41162109999999902</v>
      </c>
      <c r="V145">
        <v>5.2890810000000003E-2</v>
      </c>
      <c r="W145">
        <v>0.1096086</v>
      </c>
      <c r="X145">
        <v>0.99256659999999997</v>
      </c>
      <c r="Y145">
        <v>0.14550639999999901</v>
      </c>
      <c r="Z145">
        <v>-2.073945E-2</v>
      </c>
      <c r="AA145">
        <v>0.98913989999999996</v>
      </c>
      <c r="AB145">
        <v>37</v>
      </c>
      <c r="AC145">
        <v>0.60259999999999503</v>
      </c>
      <c r="AD145">
        <v>-0.23011989999999999</v>
      </c>
      <c r="AE145">
        <v>-0.13900000000001</v>
      </c>
      <c r="AF145">
        <v>0.131475422659034</v>
      </c>
      <c r="AG145">
        <v>-0.23011989999999999</v>
      </c>
      <c r="AH145">
        <v>0.52705793588889205</v>
      </c>
      <c r="AI145">
        <v>112.95900303019199</v>
      </c>
      <c r="AJ145">
        <v>75.993335384246194</v>
      </c>
      <c r="AK145">
        <v>0.58994154195381199</v>
      </c>
      <c r="AL145">
        <v>83.707246231617603</v>
      </c>
      <c r="AM145">
        <v>86.949769640562494</v>
      </c>
      <c r="AN145">
        <v>0.99999996920598699</v>
      </c>
    </row>
    <row r="146" spans="1:40" x14ac:dyDescent="0.25">
      <c r="A146" t="str">
        <f>"20190312154504869"</f>
        <v>20190312154504869</v>
      </c>
      <c r="B146" t="str">
        <f>"1552376704865828"</f>
        <v>1552376704865828</v>
      </c>
      <c r="C146" t="s">
        <v>40</v>
      </c>
      <c r="D146">
        <v>4.380058</v>
      </c>
      <c r="E146">
        <v>0.54319410000000001</v>
      </c>
      <c r="F146" t="s">
        <v>41</v>
      </c>
      <c r="G146">
        <v>-441.8793</v>
      </c>
      <c r="H146">
        <v>0.88725140000000002</v>
      </c>
      <c r="I146">
        <v>367.33300000000003</v>
      </c>
      <c r="J146">
        <v>-442.43650000000002</v>
      </c>
      <c r="K146">
        <v>1.1083750000000001</v>
      </c>
      <c r="L146">
        <v>367.46600000000001</v>
      </c>
      <c r="M146">
        <v>0.99984499999999998</v>
      </c>
      <c r="N146">
        <v>0</v>
      </c>
      <c r="O146">
        <v>1.7588449999999999E-2</v>
      </c>
      <c r="P146">
        <v>0.99351679999999998</v>
      </c>
      <c r="Q146">
        <v>0.1075444</v>
      </c>
      <c r="R146">
        <v>-3.6864790000000001E-2</v>
      </c>
      <c r="S146">
        <v>3.0845340000000001</v>
      </c>
      <c r="T146">
        <v>-0.72413919999999998</v>
      </c>
      <c r="U146">
        <v>-0.41238399999999997</v>
      </c>
      <c r="V146">
        <v>5.4366400000000002E-2</v>
      </c>
      <c r="W146">
        <v>0.108389</v>
      </c>
      <c r="X146">
        <v>0.99262079999999997</v>
      </c>
      <c r="Y146">
        <v>0.14556649999999999</v>
      </c>
      <c r="Z146">
        <v>-2.0843460000000001E-2</v>
      </c>
      <c r="AA146">
        <v>0.98912889999999998</v>
      </c>
      <c r="AB146">
        <v>37</v>
      </c>
      <c r="AC146">
        <v>0.55720000000002201</v>
      </c>
      <c r="AD146">
        <v>-0.2211236</v>
      </c>
      <c r="AE146">
        <v>-0.13299999999998099</v>
      </c>
      <c r="AF146">
        <v>0.12426443381082</v>
      </c>
      <c r="AG146">
        <v>-0.2211236</v>
      </c>
      <c r="AH146">
        <v>0.48283290834140202</v>
      </c>
      <c r="AI146">
        <v>113.91815444266101</v>
      </c>
      <c r="AJ146">
        <v>75.567273220257405</v>
      </c>
      <c r="AK146">
        <v>0.545403440917547</v>
      </c>
      <c r="AL146">
        <v>83.777542991800203</v>
      </c>
      <c r="AM146">
        <v>86.865010194372204</v>
      </c>
      <c r="AN146">
        <v>0.99999996668129898</v>
      </c>
    </row>
    <row r="147" spans="1:40" x14ac:dyDescent="0.25">
      <c r="A147" t="str">
        <f>"20190312154504890"</f>
        <v>20190312154504890</v>
      </c>
      <c r="B147" t="str">
        <f>"1552376704886324"</f>
        <v>1552376704886324</v>
      </c>
      <c r="C147" t="s">
        <v>40</v>
      </c>
      <c r="D147">
        <v>4.3669289999999998</v>
      </c>
      <c r="E147">
        <v>0.54331240000000003</v>
      </c>
      <c r="F147" t="s">
        <v>41</v>
      </c>
      <c r="G147">
        <v>-441.53820000000002</v>
      </c>
      <c r="H147">
        <v>0.89573530000000001</v>
      </c>
      <c r="I147">
        <v>367.34359999999998</v>
      </c>
      <c r="J147">
        <v>-442.09649999999999</v>
      </c>
      <c r="K147">
        <v>1.1083449999999999</v>
      </c>
      <c r="L147">
        <v>367.47190000000001</v>
      </c>
      <c r="M147">
        <v>0.99984770000000001</v>
      </c>
      <c r="N147">
        <v>0</v>
      </c>
      <c r="O147">
        <v>1.74278E-2</v>
      </c>
      <c r="P147">
        <v>0.99363449999999998</v>
      </c>
      <c r="Q147">
        <v>0.10582270000000001</v>
      </c>
      <c r="R147">
        <v>-3.8632489999999998E-2</v>
      </c>
      <c r="S147">
        <v>3.0830690000000001</v>
      </c>
      <c r="T147">
        <v>-0.72983439999999999</v>
      </c>
      <c r="U147">
        <v>-0.4182129</v>
      </c>
      <c r="V147">
        <v>5.5979910000000001E-2</v>
      </c>
      <c r="W147">
        <v>0.1067425</v>
      </c>
      <c r="X147">
        <v>0.99270959999999997</v>
      </c>
      <c r="Y147">
        <v>0.1471952</v>
      </c>
      <c r="Z147">
        <v>-2.1162130000000001E-2</v>
      </c>
      <c r="AA147">
        <v>0.98888109999999996</v>
      </c>
      <c r="AB147">
        <v>38</v>
      </c>
      <c r="AC147">
        <v>0.55829999999997404</v>
      </c>
      <c r="AD147">
        <v>-0.21260970000000001</v>
      </c>
      <c r="AE147">
        <v>-0.12830000000002401</v>
      </c>
      <c r="AF147">
        <v>0.121301582169942</v>
      </c>
      <c r="AG147">
        <v>-0.21260970000000001</v>
      </c>
      <c r="AH147">
        <v>0.48866701433667098</v>
      </c>
      <c r="AI147">
        <v>112.892671884603</v>
      </c>
      <c r="AJ147">
        <v>76.059269729817203</v>
      </c>
      <c r="AK147">
        <v>0.54654588944729798</v>
      </c>
      <c r="AL147">
        <v>83.872431444468702</v>
      </c>
      <c r="AM147">
        <v>86.772450622674</v>
      </c>
      <c r="AN147">
        <v>1.000000030781</v>
      </c>
    </row>
    <row r="148" spans="1:40" x14ac:dyDescent="0.25">
      <c r="A148" t="str">
        <f>"20190312154504912"</f>
        <v>20190312154504912</v>
      </c>
      <c r="B148" t="str">
        <f>"1552376704905844"</f>
        <v>1552376704905844</v>
      </c>
      <c r="C148" t="s">
        <v>40</v>
      </c>
      <c r="D148">
        <v>4.3982739999999998</v>
      </c>
      <c r="E148">
        <v>0.54345290000000002</v>
      </c>
      <c r="F148" t="s">
        <v>41</v>
      </c>
      <c r="G148">
        <v>-441.19940000000003</v>
      </c>
      <c r="H148">
        <v>0.8941308</v>
      </c>
      <c r="I148">
        <v>367.34809999999999</v>
      </c>
      <c r="J148">
        <v>-441.70670000000001</v>
      </c>
      <c r="K148">
        <v>1.1083160000000001</v>
      </c>
      <c r="L148">
        <v>367.4785</v>
      </c>
      <c r="M148">
        <v>0.99985089999999999</v>
      </c>
      <c r="N148">
        <v>0</v>
      </c>
      <c r="O148">
        <v>1.7236680000000001E-2</v>
      </c>
      <c r="P148">
        <v>0.99377590000000005</v>
      </c>
      <c r="Q148">
        <v>0.103896699999999</v>
      </c>
      <c r="R148">
        <v>-4.0187399999999998E-2</v>
      </c>
      <c r="S148">
        <v>3.0810849999999999</v>
      </c>
      <c r="T148">
        <v>-0.73587009999999997</v>
      </c>
      <c r="U148">
        <v>-0.42446899999999999</v>
      </c>
      <c r="V148">
        <v>5.73508E-2</v>
      </c>
      <c r="W148">
        <v>0.10490090000000001</v>
      </c>
      <c r="X148">
        <v>0.99282760000000003</v>
      </c>
      <c r="Y148">
        <v>0.1489415</v>
      </c>
      <c r="Z148">
        <v>-2.1502779999999999E-2</v>
      </c>
      <c r="AA148">
        <v>0.98861220000000005</v>
      </c>
      <c r="AB148">
        <v>38</v>
      </c>
      <c r="AC148">
        <v>0.50729999999998598</v>
      </c>
      <c r="AD148">
        <v>-0.21418519999999999</v>
      </c>
      <c r="AE148">
        <v>-0.13040000000000801</v>
      </c>
      <c r="AF148">
        <v>0.119194321437517</v>
      </c>
      <c r="AG148">
        <v>-0.21418519999999999</v>
      </c>
      <c r="AH148">
        <v>0.43263593056931299</v>
      </c>
      <c r="AI148">
        <v>115.51456010822901</v>
      </c>
      <c r="AJ148">
        <v>74.596734081699395</v>
      </c>
      <c r="AK148">
        <v>0.49724886584241301</v>
      </c>
      <c r="AL148">
        <v>83.978542851101196</v>
      </c>
      <c r="AM148">
        <v>86.693976658207603</v>
      </c>
      <c r="AN148">
        <v>0.99999997820160402</v>
      </c>
    </row>
    <row r="149" spans="1:40" x14ac:dyDescent="0.25">
      <c r="A149" t="str">
        <f>"20190312154504934"</f>
        <v>20190312154504934</v>
      </c>
      <c r="B149" t="str">
        <f>"1552376704926341"</f>
        <v>1552376704926341</v>
      </c>
      <c r="C149" t="s">
        <v>40</v>
      </c>
      <c r="D149">
        <v>4.3815720000000002</v>
      </c>
      <c r="E149">
        <v>0.54343149999999996</v>
      </c>
      <c r="F149" t="s">
        <v>41</v>
      </c>
      <c r="G149">
        <v>-440.85509999999999</v>
      </c>
      <c r="H149">
        <v>0.90296549999999998</v>
      </c>
      <c r="I149">
        <v>367.35899999999998</v>
      </c>
      <c r="J149">
        <v>-441.33960000000002</v>
      </c>
      <c r="K149">
        <v>1.108287</v>
      </c>
      <c r="L149">
        <v>367.48469999999998</v>
      </c>
      <c r="M149">
        <v>0.99985409999999997</v>
      </c>
      <c r="N149">
        <v>0</v>
      </c>
      <c r="O149">
        <v>1.705392E-2</v>
      </c>
      <c r="P149">
        <v>0.99383069999999896</v>
      </c>
      <c r="Q149">
        <v>0.1028891</v>
      </c>
      <c r="R149">
        <v>-4.1406419999999999E-2</v>
      </c>
      <c r="S149">
        <v>3.0790410000000001</v>
      </c>
      <c r="T149">
        <v>-0.74248590000000003</v>
      </c>
      <c r="U149">
        <v>-0.43041990000000002</v>
      </c>
      <c r="V149">
        <v>5.8391480000000003E-2</v>
      </c>
      <c r="W149">
        <v>0.10397049999999999</v>
      </c>
      <c r="X149">
        <v>0.99286479999999999</v>
      </c>
      <c r="Y149">
        <v>0.15059620000000001</v>
      </c>
      <c r="Z149">
        <v>-2.1854470000000001E-2</v>
      </c>
      <c r="AA149">
        <v>0.98835379999999995</v>
      </c>
      <c r="AB149">
        <v>38</v>
      </c>
      <c r="AC149">
        <v>0.48450000000002502</v>
      </c>
      <c r="AD149">
        <v>-0.20532149999999999</v>
      </c>
      <c r="AE149">
        <v>-0.125699999999937</v>
      </c>
      <c r="AF149">
        <v>0.114652492225611</v>
      </c>
      <c r="AG149">
        <v>-0.20532149999999999</v>
      </c>
      <c r="AH149">
        <v>0.41282276455490702</v>
      </c>
      <c r="AI149">
        <v>115.60473477781299</v>
      </c>
      <c r="AJ149">
        <v>74.478530159607004</v>
      </c>
      <c r="AK149">
        <v>0.47510498552483099</v>
      </c>
      <c r="AL149">
        <v>84.032143911176306</v>
      </c>
      <c r="AM149">
        <v>86.634248518904997</v>
      </c>
      <c r="AN149">
        <v>0.99999997044293898</v>
      </c>
    </row>
    <row r="150" spans="1:40" x14ac:dyDescent="0.25">
      <c r="A150" t="str">
        <f>"20190312154504958"</f>
        <v>20190312154504958</v>
      </c>
      <c r="B150" t="str">
        <f>"1552376704945861"</f>
        <v>1552376704945861</v>
      </c>
      <c r="C150" t="s">
        <v>40</v>
      </c>
      <c r="D150">
        <v>4.4348369999999999</v>
      </c>
      <c r="E150">
        <v>0.54353469999999904</v>
      </c>
      <c r="F150" t="s">
        <v>41</v>
      </c>
      <c r="G150">
        <v>-440.51080000000002</v>
      </c>
      <c r="H150">
        <v>0.90763760000000004</v>
      </c>
      <c r="I150">
        <v>367.3673</v>
      </c>
      <c r="J150">
        <v>-440.9289</v>
      </c>
      <c r="K150">
        <v>1.108204</v>
      </c>
      <c r="L150">
        <v>367.49160000000001</v>
      </c>
      <c r="M150">
        <v>0.99985780000000002</v>
      </c>
      <c r="N150">
        <v>0</v>
      </c>
      <c r="O150">
        <v>1.6844370000000001E-2</v>
      </c>
      <c r="P150">
        <v>0.99384890000000004</v>
      </c>
      <c r="Q150">
        <v>0.1025319</v>
      </c>
      <c r="R150">
        <v>-4.1853660000000001E-2</v>
      </c>
      <c r="S150">
        <v>3.0776370000000002</v>
      </c>
      <c r="T150">
        <v>-0.74517180000000005</v>
      </c>
      <c r="U150">
        <v>-0.4349365</v>
      </c>
      <c r="V150">
        <v>5.8632610000000002E-2</v>
      </c>
      <c r="W150">
        <v>0.10347770000000001</v>
      </c>
      <c r="X150">
        <v>0.99290210000000001</v>
      </c>
      <c r="Y150">
        <v>0.151808</v>
      </c>
      <c r="Z150">
        <v>-2.2032980000000001E-2</v>
      </c>
      <c r="AA150">
        <v>0.98816440000000005</v>
      </c>
      <c r="AB150">
        <v>38</v>
      </c>
      <c r="AC150">
        <v>0.41809999999998099</v>
      </c>
      <c r="AD150">
        <v>-0.20056640000000001</v>
      </c>
      <c r="AE150">
        <v>-0.124300000000005</v>
      </c>
      <c r="AF150">
        <v>0.108404654120948</v>
      </c>
      <c r="AG150">
        <v>-0.20056640000000001</v>
      </c>
      <c r="AH150">
        <v>0.343351100262419</v>
      </c>
      <c r="AI150">
        <v>119.119538885898</v>
      </c>
      <c r="AJ150">
        <v>72.477771357773605</v>
      </c>
      <c r="AK150">
        <v>0.41215097706478399</v>
      </c>
      <c r="AL150">
        <v>84.060532565718006</v>
      </c>
      <c r="AM150">
        <v>86.6205083280868</v>
      </c>
      <c r="AN150">
        <v>0.99999999876855605</v>
      </c>
    </row>
    <row r="151" spans="1:40" x14ac:dyDescent="0.25">
      <c r="A151" t="str">
        <f>"20190312154504979"</f>
        <v>20190312154504979</v>
      </c>
      <c r="B151" t="str">
        <f>"1552376704976116"</f>
        <v>1552376704976116</v>
      </c>
      <c r="C151" t="s">
        <v>40</v>
      </c>
      <c r="D151">
        <v>4.434463</v>
      </c>
      <c r="E151">
        <v>0.54372069999999995</v>
      </c>
      <c r="F151" t="s">
        <v>41</v>
      </c>
      <c r="G151">
        <v>-440.16039999999998</v>
      </c>
      <c r="H151">
        <v>0.92176519999999995</v>
      </c>
      <c r="I151">
        <v>367.38209999999998</v>
      </c>
      <c r="J151">
        <v>-440.56220000000002</v>
      </c>
      <c r="K151">
        <v>1.1080369999999999</v>
      </c>
      <c r="L151">
        <v>367.49770000000001</v>
      </c>
      <c r="M151">
        <v>0.99986109999999995</v>
      </c>
      <c r="N151">
        <v>0</v>
      </c>
      <c r="O151">
        <v>1.6655260000000002E-2</v>
      </c>
      <c r="P151">
        <v>0.99401949999999994</v>
      </c>
      <c r="Q151">
        <v>0.1009422</v>
      </c>
      <c r="R151">
        <v>-4.1665849999999997E-2</v>
      </c>
      <c r="S151">
        <v>3.0772089999999999</v>
      </c>
      <c r="T151">
        <v>-0.74654830000000005</v>
      </c>
      <c r="U151">
        <v>-0.4368591</v>
      </c>
      <c r="V151">
        <v>5.8259949999999998E-2</v>
      </c>
      <c r="W151">
        <v>0.1016852</v>
      </c>
      <c r="X151">
        <v>0.99310920000000003</v>
      </c>
      <c r="Y151">
        <v>0.15222089999999999</v>
      </c>
      <c r="Z151">
        <v>-2.2078690000000002E-2</v>
      </c>
      <c r="AA151">
        <v>0.98809990000000003</v>
      </c>
      <c r="AB151">
        <v>38</v>
      </c>
      <c r="AC151">
        <v>0.40180000000003702</v>
      </c>
      <c r="AD151">
        <v>-0.18627179999999999</v>
      </c>
      <c r="AE151">
        <v>-0.115600000000029</v>
      </c>
      <c r="AF151">
        <v>0.102025176897847</v>
      </c>
      <c r="AG151">
        <v>-0.18627179999999999</v>
      </c>
      <c r="AH151">
        <v>0.33360249919211499</v>
      </c>
      <c r="AI151">
        <v>118.10007837390999</v>
      </c>
      <c r="AJ151">
        <v>72.994870715399202</v>
      </c>
      <c r="AK151">
        <v>0.395470539564583</v>
      </c>
      <c r="AL151">
        <v>84.163779897986998</v>
      </c>
      <c r="AM151">
        <v>86.642637232316801</v>
      </c>
      <c r="AN151">
        <v>0.99999999239884096</v>
      </c>
    </row>
    <row r="152" spans="1:40" x14ac:dyDescent="0.25">
      <c r="A152" t="str">
        <f>"20190312154505002"</f>
        <v>20190312154505002</v>
      </c>
      <c r="B152" t="str">
        <f>"1552376704996613"</f>
        <v>1552376704996613</v>
      </c>
      <c r="C152" t="s">
        <v>40</v>
      </c>
      <c r="D152">
        <v>4.4362709999999996</v>
      </c>
      <c r="E152">
        <v>0.54380010000000001</v>
      </c>
      <c r="F152" t="s">
        <v>41</v>
      </c>
      <c r="G152">
        <v>-439.81200000000001</v>
      </c>
      <c r="H152">
        <v>0.92441309999999999</v>
      </c>
      <c r="I152">
        <v>367.39109999999999</v>
      </c>
      <c r="J152">
        <v>-440.15839999999997</v>
      </c>
      <c r="K152">
        <v>1.1077239999999999</v>
      </c>
      <c r="L152">
        <v>367.5043</v>
      </c>
      <c r="M152">
        <v>0.99986450000000004</v>
      </c>
      <c r="N152">
        <v>0</v>
      </c>
      <c r="O152">
        <v>1.645218E-2</v>
      </c>
      <c r="P152">
        <v>0.99427359999999998</v>
      </c>
      <c r="Q152">
        <v>9.8805080000000003E-2</v>
      </c>
      <c r="R152">
        <v>-4.0716889999999999E-2</v>
      </c>
      <c r="S152">
        <v>3.0761720000000001</v>
      </c>
      <c r="T152">
        <v>-0.7529266</v>
      </c>
      <c r="U152">
        <v>-0.4363708</v>
      </c>
      <c r="V152">
        <v>5.711393E-2</v>
      </c>
      <c r="W152">
        <v>9.9539450000000002E-2</v>
      </c>
      <c r="X152">
        <v>0.99339310000000003</v>
      </c>
      <c r="Y152">
        <v>0.15184510000000001</v>
      </c>
      <c r="Z152">
        <v>-2.2175589999999998E-2</v>
      </c>
      <c r="AA152">
        <v>0.98815549999999996</v>
      </c>
      <c r="AB152">
        <v>39</v>
      </c>
      <c r="AC152">
        <v>0.34640000000001597</v>
      </c>
      <c r="AD152">
        <v>-0.183310899999999</v>
      </c>
      <c r="AE152">
        <v>-0.113200000000006</v>
      </c>
      <c r="AF152">
        <v>9.4877742482236502E-2</v>
      </c>
      <c r="AG152">
        <v>-0.183310899999999</v>
      </c>
      <c r="AH152">
        <v>0.27492834253383203</v>
      </c>
      <c r="AI152">
        <v>122.222528560442</v>
      </c>
      <c r="AJ152">
        <v>70.960450963427604</v>
      </c>
      <c r="AK152">
        <v>0.34378811149563598</v>
      </c>
      <c r="AL152">
        <v>84.287349282645394</v>
      </c>
      <c r="AM152">
        <v>86.709471194317501</v>
      </c>
      <c r="AN152">
        <v>0.99999997711697797</v>
      </c>
    </row>
    <row r="153" spans="1:40" x14ac:dyDescent="0.25">
      <c r="A153" t="str">
        <f>"20190312154505025"</f>
        <v>20190312154505025</v>
      </c>
      <c r="B153" t="str">
        <f>"1552376705016133"</f>
        <v>1552376705016133</v>
      </c>
      <c r="C153" t="s">
        <v>40</v>
      </c>
      <c r="D153">
        <v>4.4679900000000004</v>
      </c>
      <c r="E153">
        <v>0.54379069999999996</v>
      </c>
      <c r="F153" t="s">
        <v>41</v>
      </c>
      <c r="G153">
        <v>-439.45819999999998</v>
      </c>
      <c r="H153">
        <v>0.93476409999999999</v>
      </c>
      <c r="I153">
        <v>367.40530000000001</v>
      </c>
      <c r="J153">
        <v>-439.76089999999999</v>
      </c>
      <c r="K153">
        <v>1.1072379999999999</v>
      </c>
      <c r="L153">
        <v>367.51080000000002</v>
      </c>
      <c r="M153">
        <v>0.99986719999999896</v>
      </c>
      <c r="N153">
        <v>0</v>
      </c>
      <c r="O153">
        <v>1.6262820000000001E-2</v>
      </c>
      <c r="P153">
        <v>0.99450519999999998</v>
      </c>
      <c r="Q153">
        <v>9.7011639999999996E-2</v>
      </c>
      <c r="R153">
        <v>-3.934762E-2</v>
      </c>
      <c r="S153">
        <v>3.075043</v>
      </c>
      <c r="T153">
        <v>-0.75976089999999996</v>
      </c>
      <c r="U153">
        <v>-0.43298340000000002</v>
      </c>
      <c r="V153">
        <v>5.5562250000000001E-2</v>
      </c>
      <c r="W153">
        <v>9.8057110000000003E-2</v>
      </c>
      <c r="X153">
        <v>0.99362850000000003</v>
      </c>
      <c r="Y153">
        <v>0.1505917</v>
      </c>
      <c r="Z153">
        <v>-2.2182919999999998E-2</v>
      </c>
      <c r="AA153">
        <v>0.98834710000000003</v>
      </c>
      <c r="AB153">
        <v>39</v>
      </c>
      <c r="AC153">
        <v>0.30270000000001501</v>
      </c>
      <c r="AD153">
        <v>-0.17247389999999899</v>
      </c>
      <c r="AE153">
        <v>-0.10550000000000601</v>
      </c>
      <c r="AF153">
        <v>8.5622094392881598E-2</v>
      </c>
      <c r="AG153">
        <v>-0.17247389999999899</v>
      </c>
      <c r="AH153">
        <v>0.233382435920893</v>
      </c>
      <c r="AI153">
        <v>124.752919689191</v>
      </c>
      <c r="AJ153">
        <v>69.853194062083503</v>
      </c>
      <c r="AK153">
        <v>0.30256528324611698</v>
      </c>
      <c r="AL153">
        <v>84.372698698335398</v>
      </c>
      <c r="AM153">
        <v>86.799437102097798</v>
      </c>
      <c r="AN153">
        <v>0.99999997822943198</v>
      </c>
    </row>
    <row r="154" spans="1:40" x14ac:dyDescent="0.25">
      <c r="A154" t="str">
        <f>"20190312154505049"</f>
        <v>20190312154505049</v>
      </c>
      <c r="B154" t="str">
        <f>"1552376705046389"</f>
        <v>1552376705046389</v>
      </c>
      <c r="C154" t="s">
        <v>40</v>
      </c>
      <c r="D154">
        <v>4.4831059999999896</v>
      </c>
      <c r="E154">
        <v>0.5439543</v>
      </c>
      <c r="F154" t="s">
        <v>41</v>
      </c>
      <c r="G154">
        <v>-438.7808</v>
      </c>
      <c r="H154">
        <v>0.86340430000000001</v>
      </c>
      <c r="I154">
        <v>367.37349999999998</v>
      </c>
      <c r="J154">
        <v>-439.34370000000001</v>
      </c>
      <c r="K154">
        <v>1.1064860000000001</v>
      </c>
      <c r="L154">
        <v>367.51749999999998</v>
      </c>
      <c r="M154">
        <v>0.99986929999999996</v>
      </c>
      <c r="N154">
        <v>0</v>
      </c>
      <c r="O154">
        <v>1.607534E-2</v>
      </c>
      <c r="P154">
        <v>0.99452510000000005</v>
      </c>
      <c r="Q154">
        <v>9.6977480000000005E-2</v>
      </c>
      <c r="R154">
        <v>-3.8926160000000001E-2</v>
      </c>
      <c r="S154">
        <v>3.0741580000000002</v>
      </c>
      <c r="T154">
        <v>-0.76477050000000002</v>
      </c>
      <c r="U154">
        <v>-0.42910769999999998</v>
      </c>
      <c r="V154">
        <v>5.4958699999999999E-2</v>
      </c>
      <c r="W154">
        <v>9.8684439999999998E-2</v>
      </c>
      <c r="X154">
        <v>0.99360000000000004</v>
      </c>
      <c r="Y154">
        <v>0.14920269999999999</v>
      </c>
      <c r="Z154">
        <v>-2.211784E-2</v>
      </c>
      <c r="AA154">
        <v>0.98855919999999997</v>
      </c>
      <c r="AB154">
        <v>39</v>
      </c>
      <c r="AC154">
        <v>0.56290000000001295</v>
      </c>
      <c r="AD154">
        <v>-0.24308170000000001</v>
      </c>
      <c r="AE154">
        <v>-0.14400000000000501</v>
      </c>
      <c r="AF154">
        <v>0.13023518419458299</v>
      </c>
      <c r="AG154">
        <v>-0.24308170000000001</v>
      </c>
      <c r="AH154">
        <v>0.47701976441881999</v>
      </c>
      <c r="AI154">
        <v>116.178361204453</v>
      </c>
      <c r="AJ154">
        <v>74.729355606908001</v>
      </c>
      <c r="AK154">
        <v>0.55099707052149904</v>
      </c>
      <c r="AL154">
        <v>84.336580384573097</v>
      </c>
      <c r="AM154">
        <v>86.834041777079094</v>
      </c>
      <c r="AN154">
        <v>1.0000000187019</v>
      </c>
    </row>
    <row r="155" spans="1:40" x14ac:dyDescent="0.25">
      <c r="A155" t="str">
        <f>"20190312154505070"</f>
        <v>20190312154505070</v>
      </c>
      <c r="B155" t="str">
        <f>"1552376705065909"</f>
        <v>1552376705065909</v>
      </c>
      <c r="C155" t="s">
        <v>40</v>
      </c>
      <c r="D155">
        <v>4.4932679999999996</v>
      </c>
      <c r="E155">
        <v>0.54401339999999998</v>
      </c>
      <c r="F155" t="s">
        <v>41</v>
      </c>
      <c r="G155">
        <v>-438.42059999999998</v>
      </c>
      <c r="H155">
        <v>0.87673539999999905</v>
      </c>
      <c r="I155">
        <v>367.38850000000002</v>
      </c>
      <c r="J155">
        <v>-438.95269999999999</v>
      </c>
      <c r="K155">
        <v>1.105561</v>
      </c>
      <c r="L155">
        <v>367.52359999999999</v>
      </c>
      <c r="M155">
        <v>0.99986989999999998</v>
      </c>
      <c r="N155">
        <v>0</v>
      </c>
      <c r="O155">
        <v>1.591184E-2</v>
      </c>
      <c r="P155">
        <v>0.99448510000000001</v>
      </c>
      <c r="Q155">
        <v>9.7560519999999998E-2</v>
      </c>
      <c r="R155">
        <v>-3.8492419999999999E-2</v>
      </c>
      <c r="S155">
        <v>3.074341</v>
      </c>
      <c r="T155">
        <v>-0.76519199999999998</v>
      </c>
      <c r="U155">
        <v>-0.42926029999999998</v>
      </c>
      <c r="V155">
        <v>5.4366089999999999E-2</v>
      </c>
      <c r="W155">
        <v>0.10017520000000001</v>
      </c>
      <c r="X155">
        <v>0.99348340000000002</v>
      </c>
      <c r="Y155">
        <v>0.149085</v>
      </c>
      <c r="Z155">
        <v>-2.2074050000000001E-2</v>
      </c>
      <c r="AA155">
        <v>0.98857799999999996</v>
      </c>
      <c r="AB155">
        <v>39</v>
      </c>
      <c r="AC155">
        <v>0.53210000000001401</v>
      </c>
      <c r="AD155">
        <v>-0.22882559999999999</v>
      </c>
      <c r="AE155">
        <v>-0.135099999999965</v>
      </c>
      <c r="AF155">
        <v>0.122301388936688</v>
      </c>
      <c r="AG155">
        <v>-0.22882559999999999</v>
      </c>
      <c r="AH155">
        <v>0.45144961863739502</v>
      </c>
      <c r="AI155">
        <v>116.069434732594</v>
      </c>
      <c r="AJ155">
        <v>74.841937351124898</v>
      </c>
      <c r="AK155">
        <v>0.52069717026219098</v>
      </c>
      <c r="AL155">
        <v>84.250740666690206</v>
      </c>
      <c r="AM155">
        <v>86.867744576995804</v>
      </c>
      <c r="AN155">
        <v>1.00000000425624</v>
      </c>
    </row>
    <row r="156" spans="1:40" x14ac:dyDescent="0.25">
      <c r="A156" t="str">
        <f>"20190312154505091"</f>
        <v>20190312154505091</v>
      </c>
      <c r="B156" t="str">
        <f>"1552376705086405"</f>
        <v>1552376705086405</v>
      </c>
      <c r="C156" t="s">
        <v>40</v>
      </c>
      <c r="D156">
        <v>4.4682789999999999</v>
      </c>
      <c r="E156">
        <v>0.54422609999999905</v>
      </c>
      <c r="F156" t="s">
        <v>41</v>
      </c>
      <c r="G156">
        <v>-438.06119999999999</v>
      </c>
      <c r="H156">
        <v>0.88410270000000002</v>
      </c>
      <c r="I156">
        <v>367.39920000000001</v>
      </c>
      <c r="J156">
        <v>-438.58479999999997</v>
      </c>
      <c r="K156">
        <v>1.1044769999999999</v>
      </c>
      <c r="L156">
        <v>367.52940000000001</v>
      </c>
      <c r="M156">
        <v>0.99986889999999995</v>
      </c>
      <c r="N156">
        <v>0</v>
      </c>
      <c r="O156">
        <v>1.5770510000000001E-2</v>
      </c>
      <c r="P156">
        <v>0.99456009999999995</v>
      </c>
      <c r="Q156">
        <v>9.6577270000000007E-2</v>
      </c>
      <c r="R156">
        <v>-3.9030290000000002E-2</v>
      </c>
      <c r="S156">
        <v>3.075043</v>
      </c>
      <c r="T156">
        <v>-0.76397919999999997</v>
      </c>
      <c r="U156">
        <v>-0.42724609999999902</v>
      </c>
      <c r="V156">
        <v>5.4768329999999997E-2</v>
      </c>
      <c r="W156">
        <v>0.1001947</v>
      </c>
      <c r="X156">
        <v>0.99345930000000005</v>
      </c>
      <c r="Y156">
        <v>0.14832329999999999</v>
      </c>
      <c r="Z156">
        <v>-2.1908980000000002E-2</v>
      </c>
      <c r="AA156">
        <v>0.98869620000000003</v>
      </c>
      <c r="AB156">
        <v>40</v>
      </c>
      <c r="AC156">
        <v>0.52359999999998696</v>
      </c>
      <c r="AD156">
        <v>-0.2203743</v>
      </c>
      <c r="AE156">
        <v>-0.13020000000000201</v>
      </c>
      <c r="AF156">
        <v>0.118647671138651</v>
      </c>
      <c r="AG156">
        <v>-0.2203743</v>
      </c>
      <c r="AH156">
        <v>0.44692277664844898</v>
      </c>
      <c r="AI156">
        <v>115.48172847094099</v>
      </c>
      <c r="AJ156">
        <v>75.1322448015314</v>
      </c>
      <c r="AK156">
        <v>0.51223243772166005</v>
      </c>
      <c r="AL156">
        <v>84.249617518972897</v>
      </c>
      <c r="AM156">
        <v>86.844540133314993</v>
      </c>
      <c r="AN156">
        <v>0.99999996431778304</v>
      </c>
    </row>
    <row r="157" spans="1:40" x14ac:dyDescent="0.25">
      <c r="A157" t="str">
        <f>"20190312154505113"</f>
        <v>20190312154505113</v>
      </c>
      <c r="B157" t="str">
        <f>"1552376705105925"</f>
        <v>1552376705105925</v>
      </c>
      <c r="C157" t="s">
        <v>40</v>
      </c>
      <c r="D157">
        <v>4.5349779999999997</v>
      </c>
      <c r="E157">
        <v>0.54430619999999996</v>
      </c>
      <c r="F157" t="s">
        <v>41</v>
      </c>
      <c r="G157">
        <v>-437.70190000000002</v>
      </c>
      <c r="H157">
        <v>0.88382240000000001</v>
      </c>
      <c r="I157">
        <v>367.40589999999997</v>
      </c>
      <c r="J157">
        <v>-438.1782</v>
      </c>
      <c r="K157">
        <v>1.1029739999999999</v>
      </c>
      <c r="L157">
        <v>367.53559999999999</v>
      </c>
      <c r="M157">
        <v>0.99986730000000001</v>
      </c>
      <c r="N157">
        <v>0</v>
      </c>
      <c r="O157">
        <v>1.5600910000000001E-2</v>
      </c>
      <c r="P157">
        <v>0.99469050000000003</v>
      </c>
      <c r="Q157">
        <v>9.5028219999999997E-2</v>
      </c>
      <c r="R157">
        <v>-3.9500880000000002E-2</v>
      </c>
      <c r="S157">
        <v>3.0741269999999998</v>
      </c>
      <c r="T157">
        <v>-0.76821229999999996</v>
      </c>
      <c r="U157">
        <v>-0.42959589999999998</v>
      </c>
      <c r="V157">
        <v>5.5074789999999998E-2</v>
      </c>
      <c r="W157">
        <v>9.9658070000000001E-2</v>
      </c>
      <c r="X157">
        <v>0.99349639999999995</v>
      </c>
      <c r="Y157">
        <v>0.148869899999999</v>
      </c>
      <c r="Z157">
        <v>-2.2057429999999999E-2</v>
      </c>
      <c r="AA157">
        <v>0.98861069999999995</v>
      </c>
      <c r="AB157">
        <v>40</v>
      </c>
      <c r="AC157">
        <v>0.47629999999998002</v>
      </c>
      <c r="AD157">
        <v>-0.219151599999999</v>
      </c>
      <c r="AE157">
        <v>-0.129700000000013</v>
      </c>
      <c r="AF157">
        <v>0.11454035197774499</v>
      </c>
      <c r="AG157">
        <v>-0.219151599999999</v>
      </c>
      <c r="AH157">
        <v>0.39614307803778198</v>
      </c>
      <c r="AI157">
        <v>117.988159603274</v>
      </c>
      <c r="AJ157">
        <v>73.873364380776096</v>
      </c>
      <c r="AK157">
        <v>0.46698635343122602</v>
      </c>
      <c r="AL157">
        <v>84.280519198362796</v>
      </c>
      <c r="AM157">
        <v>86.827037767859693</v>
      </c>
      <c r="AN157">
        <v>1.0000000301113099</v>
      </c>
    </row>
    <row r="158" spans="1:40" x14ac:dyDescent="0.25">
      <c r="A158" t="str">
        <f>"20190312154505136"</f>
        <v>20190312154505136</v>
      </c>
      <c r="B158" t="str">
        <f>"1552376705126421"</f>
        <v>1552376705126421</v>
      </c>
      <c r="C158" t="s">
        <v>40</v>
      </c>
      <c r="D158">
        <v>4.5139440000000004</v>
      </c>
      <c r="E158">
        <v>0.54442519999999905</v>
      </c>
      <c r="F158" t="s">
        <v>41</v>
      </c>
      <c r="G158">
        <v>-437.33760000000001</v>
      </c>
      <c r="H158">
        <v>0.89134419999999903</v>
      </c>
      <c r="I158">
        <v>367.4169</v>
      </c>
      <c r="J158">
        <v>-437.78019999999998</v>
      </c>
      <c r="K158">
        <v>1.1012439999999999</v>
      </c>
      <c r="L158">
        <v>367.54160000000002</v>
      </c>
      <c r="M158">
        <v>0.99986419999999998</v>
      </c>
      <c r="N158">
        <v>0</v>
      </c>
      <c r="O158">
        <v>1.541852E-2</v>
      </c>
      <c r="P158">
        <v>0.99472450000000001</v>
      </c>
      <c r="Q158">
        <v>9.4499109999999997E-2</v>
      </c>
      <c r="R158">
        <v>-3.9916979999999998E-2</v>
      </c>
      <c r="S158">
        <v>3.0727540000000002</v>
      </c>
      <c r="T158">
        <v>-0.77364309999999903</v>
      </c>
      <c r="U158">
        <v>-0.43197629999999998</v>
      </c>
      <c r="V158">
        <v>5.5312029999999998E-2</v>
      </c>
      <c r="W158">
        <v>0.1002473</v>
      </c>
      <c r="X158">
        <v>0.99342390000000003</v>
      </c>
      <c r="Y158">
        <v>0.1494172</v>
      </c>
      <c r="Z158">
        <v>-2.223965E-2</v>
      </c>
      <c r="AA158">
        <v>0.98852410000000002</v>
      </c>
      <c r="AB158">
        <v>40</v>
      </c>
      <c r="AC158">
        <v>0.44259999999997002</v>
      </c>
      <c r="AD158">
        <v>-0.2098998</v>
      </c>
      <c r="AE158">
        <v>-0.124700000000018</v>
      </c>
      <c r="AF158">
        <v>0.108832526093745</v>
      </c>
      <c r="AG158">
        <v>-0.2098998</v>
      </c>
      <c r="AH158">
        <v>0.36464502374154001</v>
      </c>
      <c r="AI158">
        <v>118.88044370460599</v>
      </c>
      <c r="AJ158">
        <v>73.381657467872301</v>
      </c>
      <c r="AK158">
        <v>0.43458996550248802</v>
      </c>
      <c r="AL158">
        <v>84.246588678619801</v>
      </c>
      <c r="AM158">
        <v>86.8131659540621</v>
      </c>
      <c r="AN158">
        <v>0.99999999345560997</v>
      </c>
    </row>
    <row r="159" spans="1:40" x14ac:dyDescent="0.25">
      <c r="A159" t="str">
        <f>"20190312154505158"</f>
        <v>20190312154505158</v>
      </c>
      <c r="B159" t="str">
        <f>"1552376705145942"</f>
        <v>1552376705145942</v>
      </c>
      <c r="C159" t="s">
        <v>40</v>
      </c>
      <c r="D159">
        <v>4.6097060000000001</v>
      </c>
      <c r="E159">
        <v>0.54452599999999995</v>
      </c>
      <c r="F159" t="s">
        <v>41</v>
      </c>
      <c r="G159">
        <v>-436.97280000000001</v>
      </c>
      <c r="H159">
        <v>0.89742900000000003</v>
      </c>
      <c r="I159">
        <v>367.42680000000001</v>
      </c>
      <c r="J159">
        <v>-437.37810000000002</v>
      </c>
      <c r="K159">
        <v>1.099213</v>
      </c>
      <c r="L159">
        <v>367.54770000000002</v>
      </c>
      <c r="M159">
        <v>0.99985930000000001</v>
      </c>
      <c r="N159">
        <v>0</v>
      </c>
      <c r="O159">
        <v>1.522369E-2</v>
      </c>
      <c r="P159">
        <v>0.99483920000000003</v>
      </c>
      <c r="Q159">
        <v>9.2832070000000003E-2</v>
      </c>
      <c r="R159">
        <v>-4.0956729999999997E-2</v>
      </c>
      <c r="S159">
        <v>3.0721129999999999</v>
      </c>
      <c r="T159">
        <v>-0.77548229999999996</v>
      </c>
      <c r="U159">
        <v>-0.43560789999999999</v>
      </c>
      <c r="V159">
        <v>5.616115E-2</v>
      </c>
      <c r="W159">
        <v>9.9798529999999996E-2</v>
      </c>
      <c r="X159">
        <v>0.99342140000000001</v>
      </c>
      <c r="Y159">
        <v>0.1503514</v>
      </c>
      <c r="Z159">
        <v>-2.2361010000000001E-2</v>
      </c>
      <c r="AA159">
        <v>0.98837969999999997</v>
      </c>
      <c r="AB159">
        <v>40</v>
      </c>
      <c r="AC159">
        <v>0.40530000000001098</v>
      </c>
      <c r="AD159">
        <v>-0.20178399999999999</v>
      </c>
      <c r="AE159">
        <v>-0.120900000000006</v>
      </c>
      <c r="AF159">
        <v>0.103498542530487</v>
      </c>
      <c r="AG159">
        <v>-0.20178399999999999</v>
      </c>
      <c r="AH159">
        <v>0.32861494005556902</v>
      </c>
      <c r="AI159">
        <v>120.35673751886399</v>
      </c>
      <c r="AJ159">
        <v>72.517977905723797</v>
      </c>
      <c r="AK159">
        <v>0.39926997105925799</v>
      </c>
      <c r="AL159">
        <v>84.272430649644207</v>
      </c>
      <c r="AM159">
        <v>86.764338462837401</v>
      </c>
      <c r="AN159">
        <v>0.99999994966871997</v>
      </c>
    </row>
    <row r="160" spans="1:40" x14ac:dyDescent="0.25">
      <c r="A160" t="str">
        <f>"20190312154505180"</f>
        <v>20190312154505180</v>
      </c>
      <c r="B160" t="str">
        <f>"1552376705176197"</f>
        <v>1552376705176197</v>
      </c>
      <c r="C160" t="s">
        <v>40</v>
      </c>
      <c r="D160">
        <v>4.6202019999999999</v>
      </c>
      <c r="E160">
        <v>0.55466709999999997</v>
      </c>
      <c r="F160" t="s">
        <v>41</v>
      </c>
      <c r="G160">
        <v>-436.60750000000002</v>
      </c>
      <c r="H160">
        <v>0.90316090000000004</v>
      </c>
      <c r="I160">
        <v>367.43700000000001</v>
      </c>
      <c r="J160">
        <v>-436.97899999999998</v>
      </c>
      <c r="K160">
        <v>1.0968910000000001</v>
      </c>
      <c r="L160">
        <v>367.55360000000002</v>
      </c>
      <c r="M160">
        <v>0.99985389999999996</v>
      </c>
      <c r="N160">
        <v>0</v>
      </c>
      <c r="O160">
        <v>1.5022829999999999E-2</v>
      </c>
      <c r="P160">
        <v>0.99511640000000001</v>
      </c>
      <c r="Q160">
        <v>8.9210940000000002E-2</v>
      </c>
      <c r="R160">
        <v>-4.2252400000000002E-2</v>
      </c>
      <c r="S160">
        <v>3.0703740000000002</v>
      </c>
      <c r="T160">
        <v>-0.78118180000000004</v>
      </c>
      <c r="U160">
        <v>-0.43948359999999898</v>
      </c>
      <c r="V160">
        <v>5.7261489999999998E-2</v>
      </c>
      <c r="W160">
        <v>9.7290230000000005E-2</v>
      </c>
      <c r="X160">
        <v>0.99360749999999998</v>
      </c>
      <c r="Y160">
        <v>0.15135009999999999</v>
      </c>
      <c r="Z160">
        <v>-2.2605130000000001E-2</v>
      </c>
      <c r="AA160">
        <v>0.98822169999999998</v>
      </c>
      <c r="AB160">
        <v>40</v>
      </c>
      <c r="AC160">
        <v>0.37150000000002498</v>
      </c>
      <c r="AD160">
        <v>-0.19373009999999999</v>
      </c>
      <c r="AE160">
        <v>-0.116600000000062</v>
      </c>
      <c r="AF160">
        <v>9.7925907872828996E-2</v>
      </c>
      <c r="AG160">
        <v>-0.19373009999999999</v>
      </c>
      <c r="AH160">
        <v>0.29634460742455099</v>
      </c>
      <c r="AI160">
        <v>121.828728966879</v>
      </c>
      <c r="AJ160">
        <v>71.714065642908693</v>
      </c>
      <c r="AK160">
        <v>0.36734311131194303</v>
      </c>
      <c r="AL160">
        <v>84.4168492808774</v>
      </c>
      <c r="AM160">
        <v>86.701698798255705</v>
      </c>
      <c r="AN160">
        <v>1.0000000655733501</v>
      </c>
    </row>
    <row r="161" spans="1:40" x14ac:dyDescent="0.25">
      <c r="A161" t="str">
        <f>"20190312154505203"</f>
        <v>20190312154505203</v>
      </c>
      <c r="B161" t="str">
        <f>"1552376705195717"</f>
        <v>1552376705195717</v>
      </c>
      <c r="C161" t="s">
        <v>40</v>
      </c>
      <c r="D161">
        <v>4.6392920000000002</v>
      </c>
      <c r="E161">
        <v>0.55574089999999998</v>
      </c>
      <c r="F161" t="s">
        <v>41</v>
      </c>
      <c r="G161">
        <v>-436.24669999999998</v>
      </c>
      <c r="H161">
        <v>0.89357790000000004</v>
      </c>
      <c r="I161">
        <v>367.42899999999997</v>
      </c>
      <c r="J161">
        <v>-436.56020000000001</v>
      </c>
      <c r="K161">
        <v>1.094171</v>
      </c>
      <c r="L161">
        <v>367.5598</v>
      </c>
      <c r="M161">
        <v>0.99984879999999998</v>
      </c>
      <c r="N161">
        <v>0</v>
      </c>
      <c r="O161">
        <v>1.4808460000000001E-2</v>
      </c>
      <c r="P161">
        <v>0.99536899999999995</v>
      </c>
      <c r="Q161">
        <v>8.5837780000000002E-2</v>
      </c>
      <c r="R161">
        <v>-4.3272539999999998E-2</v>
      </c>
      <c r="S161">
        <v>3.0689090000000001</v>
      </c>
      <c r="T161">
        <v>-0.85204419999999903</v>
      </c>
      <c r="U161">
        <v>-0.52175899999999997</v>
      </c>
      <c r="V161">
        <v>5.8073050000000001E-2</v>
      </c>
      <c r="W161">
        <v>9.4855839999999997E-2</v>
      </c>
      <c r="X161">
        <v>0.99379569999999995</v>
      </c>
      <c r="Y161">
        <v>0.1751973</v>
      </c>
      <c r="Z161">
        <v>-2.7717450000000001E-2</v>
      </c>
      <c r="AA161">
        <v>0.98414310000000005</v>
      </c>
      <c r="AB161">
        <v>40</v>
      </c>
      <c r="AC161">
        <v>0.31350000000003297</v>
      </c>
      <c r="AD161">
        <v>-0.2005931</v>
      </c>
      <c r="AE161">
        <v>-0.130799999999965</v>
      </c>
      <c r="AF161">
        <v>0.100413446592825</v>
      </c>
      <c r="AG161">
        <v>-0.2005931</v>
      </c>
      <c r="AH161">
        <v>0.23098318099603801</v>
      </c>
      <c r="AI161">
        <v>128.53487902772201</v>
      </c>
      <c r="AJ161">
        <v>66.504359893636206</v>
      </c>
      <c r="AK161">
        <v>0.32198397774937298</v>
      </c>
      <c r="AL161">
        <v>84.556977424014704</v>
      </c>
      <c r="AM161">
        <v>86.655689798856898</v>
      </c>
      <c r="AN161">
        <v>1.00000000142844</v>
      </c>
    </row>
    <row r="162" spans="1:40" x14ac:dyDescent="0.25">
      <c r="A162" t="str">
        <f>"20190312154505225"</f>
        <v>20190312154505225</v>
      </c>
      <c r="B162" t="str">
        <f>"1552376705216213"</f>
        <v>1552376705216213</v>
      </c>
      <c r="C162" t="s">
        <v>40</v>
      </c>
      <c r="D162">
        <v>4.6314159999999998</v>
      </c>
      <c r="E162">
        <v>0.55566780000000005</v>
      </c>
      <c r="F162" t="s">
        <v>41</v>
      </c>
      <c r="G162">
        <v>-435.87889999999999</v>
      </c>
      <c r="H162">
        <v>0.90236760000000005</v>
      </c>
      <c r="I162">
        <v>367.4409</v>
      </c>
      <c r="J162">
        <v>-436.15839999999997</v>
      </c>
      <c r="K162">
        <v>1.091359</v>
      </c>
      <c r="L162">
        <v>367.56560000000002</v>
      </c>
      <c r="M162">
        <v>0.99984419999999996</v>
      </c>
      <c r="N162">
        <v>0</v>
      </c>
      <c r="O162">
        <v>1.463274E-2</v>
      </c>
      <c r="P162">
        <v>0.99561789999999994</v>
      </c>
      <c r="Q162">
        <v>8.2263399999999903E-2</v>
      </c>
      <c r="R162">
        <v>-4.4473720000000001E-2</v>
      </c>
      <c r="S162">
        <v>3.0651549999999999</v>
      </c>
      <c r="T162">
        <v>-0.86280579999999996</v>
      </c>
      <c r="U162">
        <v>-0.53375240000000002</v>
      </c>
      <c r="V162">
        <v>5.9104009999999998E-2</v>
      </c>
      <c r="W162">
        <v>9.2054349999999993E-2</v>
      </c>
      <c r="X162">
        <v>0.9939983</v>
      </c>
      <c r="Y162">
        <v>0.178652799999999</v>
      </c>
      <c r="Z162">
        <v>-2.850422E-2</v>
      </c>
      <c r="AA162">
        <v>0.98349920000000002</v>
      </c>
      <c r="AB162">
        <v>41</v>
      </c>
      <c r="AC162">
        <v>0.27949999999998398</v>
      </c>
      <c r="AD162">
        <v>-0.1889914</v>
      </c>
      <c r="AE162">
        <v>-0.124700000000018</v>
      </c>
      <c r="AF162">
        <v>9.3227724022584002E-2</v>
      </c>
      <c r="AG162">
        <v>-0.1889914</v>
      </c>
      <c r="AH162">
        <v>0.201000942345716</v>
      </c>
      <c r="AI162">
        <v>130.46314698241599</v>
      </c>
      <c r="AJ162">
        <v>65.117311702198805</v>
      </c>
      <c r="AK162">
        <v>0.29122248646740401</v>
      </c>
      <c r="AL162">
        <v>84.718196356064396</v>
      </c>
      <c r="AM162">
        <v>86.597149333581498</v>
      </c>
      <c r="AN162">
        <v>0.999999953877445</v>
      </c>
    </row>
    <row r="163" spans="1:40" x14ac:dyDescent="0.25">
      <c r="A163" t="str">
        <f>"20190312154505249"</f>
        <v>20190312154505249</v>
      </c>
      <c r="B163" t="str">
        <f>"1552376705235733"</f>
        <v>1552376705235733</v>
      </c>
      <c r="C163" t="s">
        <v>40</v>
      </c>
      <c r="D163">
        <v>4.7145469999999996</v>
      </c>
      <c r="E163">
        <v>0.55576419999999904</v>
      </c>
      <c r="F163" t="s">
        <v>41</v>
      </c>
      <c r="G163">
        <v>-435.18419999999998</v>
      </c>
      <c r="H163">
        <v>0.81397819999999899</v>
      </c>
      <c r="I163">
        <v>367.39420000000001</v>
      </c>
      <c r="J163">
        <v>-435.73610000000002</v>
      </c>
      <c r="K163">
        <v>1.0883130000000001</v>
      </c>
      <c r="L163">
        <v>367.57150000000001</v>
      </c>
      <c r="M163">
        <v>0.99983820000000001</v>
      </c>
      <c r="N163">
        <v>0</v>
      </c>
      <c r="O163">
        <v>1.445451E-2</v>
      </c>
      <c r="P163">
        <v>0.99583509999999997</v>
      </c>
      <c r="Q163">
        <v>7.9091270000000005E-2</v>
      </c>
      <c r="R163">
        <v>-4.5354869999999999E-2</v>
      </c>
      <c r="S163">
        <v>3.0612180000000002</v>
      </c>
      <c r="T163">
        <v>-0.87168129999999999</v>
      </c>
      <c r="U163">
        <v>-0.53741459999999996</v>
      </c>
      <c r="V163">
        <v>5.9811030000000001E-2</v>
      </c>
      <c r="W163">
        <v>8.9706129999999995E-2</v>
      </c>
      <c r="X163">
        <v>0.99417069999999996</v>
      </c>
      <c r="Y163">
        <v>0.1796372</v>
      </c>
      <c r="Z163">
        <v>-2.890593E-2</v>
      </c>
      <c r="AA163">
        <v>0.98330810000000002</v>
      </c>
      <c r="AB163">
        <v>41</v>
      </c>
      <c r="AC163">
        <v>0.55190000000004602</v>
      </c>
      <c r="AD163">
        <v>-0.27433479999999999</v>
      </c>
      <c r="AE163">
        <v>-0.17730000000000201</v>
      </c>
      <c r="AF163">
        <v>0.15135970763376499</v>
      </c>
      <c r="AG163">
        <v>-0.27433479999999999</v>
      </c>
      <c r="AH163">
        <v>0.44876956616930902</v>
      </c>
      <c r="AI163">
        <v>120.081365342178</v>
      </c>
      <c r="AJ163">
        <v>71.361926162171102</v>
      </c>
      <c r="AK163">
        <v>0.54732391424622495</v>
      </c>
      <c r="AL163">
        <v>84.853298622619505</v>
      </c>
      <c r="AM163">
        <v>86.5571364756576</v>
      </c>
      <c r="AN163">
        <v>0.999999964903863</v>
      </c>
    </row>
    <row r="164" spans="1:40" x14ac:dyDescent="0.25">
      <c r="A164" t="str">
        <f>"20190312154505272"</f>
        <v>20190312154505272</v>
      </c>
      <c r="B164" t="str">
        <f>"1552376705265989"</f>
        <v>1552376705265989</v>
      </c>
      <c r="C164" t="s">
        <v>40</v>
      </c>
      <c r="D164">
        <v>4.66005</v>
      </c>
      <c r="E164">
        <v>0.55531319999999995</v>
      </c>
      <c r="F164" t="s">
        <v>41</v>
      </c>
      <c r="G164">
        <v>-434.81729999999999</v>
      </c>
      <c r="H164">
        <v>0.82341769999999903</v>
      </c>
      <c r="I164">
        <v>367.40910000000002</v>
      </c>
      <c r="J164">
        <v>-435.3125</v>
      </c>
      <c r="K164">
        <v>1.085261</v>
      </c>
      <c r="L164">
        <v>367.57749999999999</v>
      </c>
      <c r="M164">
        <v>0.99983230000000001</v>
      </c>
      <c r="N164">
        <v>0</v>
      </c>
      <c r="O164">
        <v>1.425826E-2</v>
      </c>
      <c r="P164">
        <v>0.99601700000000004</v>
      </c>
      <c r="Q164">
        <v>7.628153E-2</v>
      </c>
      <c r="R164">
        <v>-4.6171209999999997E-2</v>
      </c>
      <c r="S164">
        <v>3.0578919999999998</v>
      </c>
      <c r="T164">
        <v>-0.88165499999999997</v>
      </c>
      <c r="U164">
        <v>-0.54074100000000003</v>
      </c>
      <c r="V164">
        <v>6.043221E-2</v>
      </c>
      <c r="W164">
        <v>8.7671429999999995E-2</v>
      </c>
      <c r="X164">
        <v>0.9943147</v>
      </c>
      <c r="Y164">
        <v>0.1804559</v>
      </c>
      <c r="Z164">
        <v>-2.931141E-2</v>
      </c>
      <c r="AA164">
        <v>0.98314630000000003</v>
      </c>
      <c r="AB164">
        <v>41</v>
      </c>
      <c r="AC164">
        <v>0.49520000000001102</v>
      </c>
      <c r="AD164">
        <v>-0.2618433</v>
      </c>
      <c r="AE164">
        <v>-0.168399999999962</v>
      </c>
      <c r="AF164">
        <v>0.140286920858849</v>
      </c>
      <c r="AG164">
        <v>-0.2618433</v>
      </c>
      <c r="AH164">
        <v>0.39400687583597699</v>
      </c>
      <c r="AI164">
        <v>122.04924317850799</v>
      </c>
      <c r="AJ164">
        <v>70.401628261700907</v>
      </c>
      <c r="AK164">
        <v>0.493440728076812</v>
      </c>
      <c r="AL164">
        <v>84.970339897159405</v>
      </c>
      <c r="AM164">
        <v>86.521969780220601</v>
      </c>
      <c r="AN164">
        <v>1.0000000271399001</v>
      </c>
    </row>
    <row r="165" spans="1:40" x14ac:dyDescent="0.25">
      <c r="A165" t="str">
        <f>"20190312154505294"</f>
        <v>20190312154505294</v>
      </c>
      <c r="B165" t="str">
        <f>"1552376705286485"</f>
        <v>1552376705286485</v>
      </c>
      <c r="C165" t="s">
        <v>40</v>
      </c>
      <c r="D165">
        <v>4.662369</v>
      </c>
      <c r="E165">
        <v>0.55520659999999999</v>
      </c>
      <c r="F165" t="s">
        <v>41</v>
      </c>
      <c r="G165">
        <v>-434.45</v>
      </c>
      <c r="H165">
        <v>0.83514299999999997</v>
      </c>
      <c r="I165">
        <v>367.42450000000002</v>
      </c>
      <c r="J165">
        <v>-434.91219999999998</v>
      </c>
      <c r="K165">
        <v>1.0824450000000001</v>
      </c>
      <c r="L165">
        <v>367.58300000000003</v>
      </c>
      <c r="M165">
        <v>0.99982709999999997</v>
      </c>
      <c r="N165">
        <v>0</v>
      </c>
      <c r="O165">
        <v>1.4051309999999999E-2</v>
      </c>
      <c r="P165">
        <v>0.99608059999999998</v>
      </c>
      <c r="Q165">
        <v>7.4876330000000005E-2</v>
      </c>
      <c r="R165">
        <v>-4.7084840000000003E-2</v>
      </c>
      <c r="S165">
        <v>3.0548099999999998</v>
      </c>
      <c r="T165">
        <v>-0.88595020000000002</v>
      </c>
      <c r="U165">
        <v>-0.53964230000000002</v>
      </c>
      <c r="V165">
        <v>6.1139440000000003E-2</v>
      </c>
      <c r="W165">
        <v>8.6943690000000004E-2</v>
      </c>
      <c r="X165">
        <v>0.99433539999999998</v>
      </c>
      <c r="Y165">
        <v>0.18001639999999999</v>
      </c>
      <c r="Z165">
        <v>-2.9357319999999999E-2</v>
      </c>
      <c r="AA165">
        <v>0.98322540000000003</v>
      </c>
      <c r="AB165">
        <v>40</v>
      </c>
      <c r="AC165">
        <v>0.462199999999995</v>
      </c>
      <c r="AD165">
        <v>-0.24730199999999999</v>
      </c>
      <c r="AE165">
        <v>-0.158500000000003</v>
      </c>
      <c r="AF165">
        <v>0.13133634017134599</v>
      </c>
      <c r="AG165">
        <v>-0.24730199999999999</v>
      </c>
      <c r="AH165">
        <v>0.36613757136810299</v>
      </c>
      <c r="AI165">
        <v>122.446951927302</v>
      </c>
      <c r="AJ165">
        <v>70.266702499258301</v>
      </c>
      <c r="AK165">
        <v>0.46093842823194497</v>
      </c>
      <c r="AL165">
        <v>85.012196334135595</v>
      </c>
      <c r="AM165">
        <v>86.481441600056598</v>
      </c>
      <c r="AN165">
        <v>1.0000000620237399</v>
      </c>
    </row>
    <row r="166" spans="1:40" x14ac:dyDescent="0.25">
      <c r="A166" t="str">
        <f>"20190312154505314"</f>
        <v>20190312154505314</v>
      </c>
      <c r="B166" t="str">
        <f>"1552376705306006"</f>
        <v>1552376705306006</v>
      </c>
      <c r="C166" t="s">
        <v>40</v>
      </c>
      <c r="D166">
        <v>4.653308</v>
      </c>
      <c r="E166">
        <v>0.55478950000000005</v>
      </c>
      <c r="F166" t="s">
        <v>41</v>
      </c>
      <c r="G166">
        <v>-434.08519999999999</v>
      </c>
      <c r="H166">
        <v>0.84196039999999905</v>
      </c>
      <c r="I166">
        <v>367.4359</v>
      </c>
      <c r="J166">
        <v>-434.53919999999999</v>
      </c>
      <c r="K166">
        <v>1.0799299999999901</v>
      </c>
      <c r="L166">
        <v>367.58800000000002</v>
      </c>
      <c r="M166">
        <v>0.99982249999999995</v>
      </c>
      <c r="N166">
        <v>0</v>
      </c>
      <c r="O166">
        <v>1.3847419999999999E-2</v>
      </c>
      <c r="P166">
        <v>0.99620629999999999</v>
      </c>
      <c r="Q166">
        <v>7.3003410000000005E-2</v>
      </c>
      <c r="R166">
        <v>-4.7367930000000003E-2</v>
      </c>
      <c r="S166">
        <v>3.0528559999999998</v>
      </c>
      <c r="T166">
        <v>-0.88776219999999995</v>
      </c>
      <c r="U166">
        <v>-0.54257200000000005</v>
      </c>
      <c r="V166">
        <v>6.1219519999999999E-2</v>
      </c>
      <c r="W166">
        <v>8.5675760000000004E-2</v>
      </c>
      <c r="X166">
        <v>0.9944404</v>
      </c>
      <c r="Y166">
        <v>0.1807772</v>
      </c>
      <c r="Z166">
        <v>-2.9480449999999998E-2</v>
      </c>
      <c r="AA166">
        <v>0.98308220000000002</v>
      </c>
      <c r="AB166">
        <v>40</v>
      </c>
      <c r="AC166">
        <v>0.45400000000000701</v>
      </c>
      <c r="AD166">
        <v>-0.237969599999999</v>
      </c>
      <c r="AE166">
        <v>-0.152100000000018</v>
      </c>
      <c r="AF166">
        <v>0.12700085310384199</v>
      </c>
      <c r="AG166">
        <v>-0.237969599999999</v>
      </c>
      <c r="AH166">
        <v>0.36234378748749202</v>
      </c>
      <c r="AI166">
        <v>121.789950071224</v>
      </c>
      <c r="AJ166">
        <v>70.684527004587807</v>
      </c>
      <c r="AK166">
        <v>0.45172089562477002</v>
      </c>
      <c r="AL166">
        <v>85.085114866405405</v>
      </c>
      <c r="AM166">
        <v>86.477215680797499</v>
      </c>
      <c r="AN166">
        <v>0.99999993731638204</v>
      </c>
    </row>
    <row r="167" spans="1:40" x14ac:dyDescent="0.25">
      <c r="A167" t="str">
        <f>"20190312154505337"</f>
        <v>20190312154505337</v>
      </c>
      <c r="B167" t="str">
        <f>"1552376705326501"</f>
        <v>1552376705326501</v>
      </c>
      <c r="C167" t="s">
        <v>40</v>
      </c>
      <c r="D167">
        <v>4.6994740000000004</v>
      </c>
      <c r="E167">
        <v>0.55454729999999997</v>
      </c>
      <c r="F167" t="s">
        <v>41</v>
      </c>
      <c r="G167">
        <v>-433.72379999999998</v>
      </c>
      <c r="H167">
        <v>0.84221290000000004</v>
      </c>
      <c r="I167">
        <v>367.44349999999997</v>
      </c>
      <c r="J167">
        <v>-434.13479999999998</v>
      </c>
      <c r="K167">
        <v>1.0773779999999999</v>
      </c>
      <c r="L167">
        <v>367.59339999999997</v>
      </c>
      <c r="M167">
        <v>0.99981759999999997</v>
      </c>
      <c r="N167">
        <v>0</v>
      </c>
      <c r="O167">
        <v>1.36293E-2</v>
      </c>
      <c r="P167">
        <v>0.99627750000000004</v>
      </c>
      <c r="Q167">
        <v>7.1346629999999994E-2</v>
      </c>
      <c r="R167">
        <v>-4.8384740000000002E-2</v>
      </c>
      <c r="S167">
        <v>3.0509949999999999</v>
      </c>
      <c r="T167">
        <v>-0.88949319999999898</v>
      </c>
      <c r="U167">
        <v>-0.53979489999999997</v>
      </c>
      <c r="V167">
        <v>6.2018509999999999E-2</v>
      </c>
      <c r="W167">
        <v>8.4630059999999993E-2</v>
      </c>
      <c r="X167">
        <v>0.99448049999999999</v>
      </c>
      <c r="Y167">
        <v>0.1798062</v>
      </c>
      <c r="Z167">
        <v>-2.935544E-2</v>
      </c>
      <c r="AA167">
        <v>0.98326400000000003</v>
      </c>
      <c r="AB167">
        <v>40</v>
      </c>
      <c r="AC167">
        <v>0.41100000000000098</v>
      </c>
      <c r="AD167">
        <v>-0.23516509999999999</v>
      </c>
      <c r="AE167">
        <v>-0.149900000000002</v>
      </c>
      <c r="AF167">
        <v>0.120631597103958</v>
      </c>
      <c r="AG167">
        <v>-0.23516509999999999</v>
      </c>
      <c r="AH167">
        <v>0.317249144715956</v>
      </c>
      <c r="AI167">
        <v>124.716726605223</v>
      </c>
      <c r="AJ167">
        <v>69.181070612244199</v>
      </c>
      <c r="AK167">
        <v>0.41291842572215998</v>
      </c>
      <c r="AL167">
        <v>85.145247800939003</v>
      </c>
      <c r="AM167">
        <v>86.431500591931794</v>
      </c>
      <c r="AN167">
        <v>1.00000000375923</v>
      </c>
    </row>
    <row r="168" spans="1:40" x14ac:dyDescent="0.25">
      <c r="A168" t="str">
        <f>"20190312154505358"</f>
        <v>20190312154505358</v>
      </c>
      <c r="B168" t="str">
        <f>"1552376705355781"</f>
        <v>1552376705355781</v>
      </c>
      <c r="C168" t="s">
        <v>40</v>
      </c>
      <c r="D168">
        <v>4.6265020000000003</v>
      </c>
      <c r="E168">
        <v>0.55368439999999997</v>
      </c>
      <c r="F168" t="s">
        <v>41</v>
      </c>
      <c r="G168">
        <v>-433.36020000000002</v>
      </c>
      <c r="H168">
        <v>0.84998109999999905</v>
      </c>
      <c r="I168">
        <v>367.45569999999998</v>
      </c>
      <c r="J168">
        <v>-433.74549999999999</v>
      </c>
      <c r="K168">
        <v>1.075099</v>
      </c>
      <c r="L168">
        <v>367.5985</v>
      </c>
      <c r="M168">
        <v>0.99981330000000002</v>
      </c>
      <c r="N168">
        <v>0</v>
      </c>
      <c r="O168">
        <v>1.343487E-2</v>
      </c>
      <c r="P168">
        <v>0.99635870000000004</v>
      </c>
      <c r="Q168">
        <v>6.9809259999999998E-2</v>
      </c>
      <c r="R168">
        <v>-4.8953299999999998E-2</v>
      </c>
      <c r="S168">
        <v>3.049042</v>
      </c>
      <c r="T168">
        <v>-0.8952734</v>
      </c>
      <c r="U168">
        <v>-0.54025269999999903</v>
      </c>
      <c r="V168">
        <v>6.2394119999999997E-2</v>
      </c>
      <c r="W168">
        <v>8.3598030000000004E-2</v>
      </c>
      <c r="X168">
        <v>0.99454430000000005</v>
      </c>
      <c r="Y168">
        <v>0.1797667</v>
      </c>
      <c r="Z168">
        <v>-2.949506E-2</v>
      </c>
      <c r="AA168">
        <v>0.983267</v>
      </c>
      <c r="AB168">
        <v>40</v>
      </c>
      <c r="AC168">
        <v>0.385299999999972</v>
      </c>
      <c r="AD168">
        <v>-0.22511790000000001</v>
      </c>
      <c r="AE168">
        <v>-0.14280000000002199</v>
      </c>
      <c r="AF168">
        <v>0.113806228334668</v>
      </c>
      <c r="AG168">
        <v>-0.22511790000000001</v>
      </c>
      <c r="AH168">
        <v>0.29485012795246601</v>
      </c>
      <c r="AI168">
        <v>125.461612186376</v>
      </c>
      <c r="AJ168">
        <v>68.894413105533005</v>
      </c>
      <c r="AK168">
        <v>0.38802902528259198</v>
      </c>
      <c r="AL168">
        <v>85.204589097802497</v>
      </c>
      <c r="AM168">
        <v>86.410174322490903</v>
      </c>
      <c r="AN168">
        <v>1.0000000107464699</v>
      </c>
    </row>
    <row r="169" spans="1:40" x14ac:dyDescent="0.25">
      <c r="A169" t="str">
        <f>"20190312154505382"</f>
        <v>20190312154505382</v>
      </c>
      <c r="B169" t="str">
        <f>"1552376705376277"</f>
        <v>1552376705376277</v>
      </c>
      <c r="C169" t="s">
        <v>40</v>
      </c>
      <c r="D169">
        <v>4.7258190000000004</v>
      </c>
      <c r="E169">
        <v>0.5535272</v>
      </c>
      <c r="F169" t="s">
        <v>41</v>
      </c>
      <c r="G169">
        <v>-432.99849999999998</v>
      </c>
      <c r="H169">
        <v>0.85481849999999904</v>
      </c>
      <c r="I169">
        <v>367.46710000000002</v>
      </c>
      <c r="J169">
        <v>-433.32960000000003</v>
      </c>
      <c r="K169">
        <v>1.072878</v>
      </c>
      <c r="L169">
        <v>367.60390000000001</v>
      </c>
      <c r="M169">
        <v>0.99980970000000002</v>
      </c>
      <c r="N169">
        <v>0</v>
      </c>
      <c r="O169">
        <v>1.323591E-2</v>
      </c>
      <c r="P169">
        <v>0.99642319999999995</v>
      </c>
      <c r="Q169">
        <v>6.8756380000000006E-2</v>
      </c>
      <c r="R169">
        <v>-4.9127799999999999E-2</v>
      </c>
      <c r="S169">
        <v>3.0476679999999998</v>
      </c>
      <c r="T169">
        <v>-0.898682599999999</v>
      </c>
      <c r="U169">
        <v>-0.5344238</v>
      </c>
      <c r="V169">
        <v>6.2370670000000003E-2</v>
      </c>
      <c r="W169">
        <v>8.2979339999999999E-2</v>
      </c>
      <c r="X169">
        <v>0.99459759999999997</v>
      </c>
      <c r="Y169">
        <v>0.17784179999999999</v>
      </c>
      <c r="Z169">
        <v>-2.9287130000000001E-2</v>
      </c>
      <c r="AA169">
        <v>0.98362320000000003</v>
      </c>
      <c r="AB169">
        <v>40</v>
      </c>
      <c r="AC169">
        <v>0.33110000000004902</v>
      </c>
      <c r="AD169">
        <v>-0.21805949999999999</v>
      </c>
      <c r="AE169">
        <v>-0.13679999999999301</v>
      </c>
      <c r="AF169">
        <v>0.103007168742679</v>
      </c>
      <c r="AG169">
        <v>-0.21805949999999999</v>
      </c>
      <c r="AH169">
        <v>0.24024894795888199</v>
      </c>
      <c r="AI169">
        <v>129.83479965130999</v>
      </c>
      <c r="AJ169">
        <v>66.792679196396804</v>
      </c>
      <c r="AK169">
        <v>0.34041148533500198</v>
      </c>
      <c r="AL169">
        <v>85.240161105188207</v>
      </c>
      <c r="AM169">
        <v>86.411711787028594</v>
      </c>
      <c r="AN169">
        <v>1.0000000286344199</v>
      </c>
    </row>
    <row r="170" spans="1:40" x14ac:dyDescent="0.25">
      <c r="A170" t="str">
        <f>"20190312154505405"</f>
        <v>20190312154505405</v>
      </c>
      <c r="B170" t="str">
        <f>"1552376705395798"</f>
        <v>1552376705395798</v>
      </c>
      <c r="C170" t="s">
        <v>40</v>
      </c>
      <c r="D170">
        <v>4.7151050000000003</v>
      </c>
      <c r="E170">
        <v>0.55363619999999902</v>
      </c>
      <c r="F170" t="s">
        <v>41</v>
      </c>
      <c r="G170">
        <v>-432.63409999999999</v>
      </c>
      <c r="H170">
        <v>0.86765360000000002</v>
      </c>
      <c r="I170">
        <v>367.48180000000002</v>
      </c>
      <c r="J170">
        <v>-432.91930000000002</v>
      </c>
      <c r="K170">
        <v>1.070929</v>
      </c>
      <c r="L170">
        <v>367.60910000000001</v>
      </c>
      <c r="M170">
        <v>0.99980769999999997</v>
      </c>
      <c r="N170">
        <v>0</v>
      </c>
      <c r="O170">
        <v>1.303462E-2</v>
      </c>
      <c r="P170">
        <v>0.9964383</v>
      </c>
      <c r="Q170">
        <v>6.8187590000000006E-2</v>
      </c>
      <c r="R170">
        <v>-4.9612879999999998E-2</v>
      </c>
      <c r="S170">
        <v>3.046478</v>
      </c>
      <c r="T170">
        <v>-0.89904519999999899</v>
      </c>
      <c r="U170">
        <v>-0.53369140000000004</v>
      </c>
      <c r="V170">
        <v>6.265358E-2</v>
      </c>
      <c r="W170">
        <v>8.2732719999999996E-2</v>
      </c>
      <c r="X170">
        <v>0.99460040000000005</v>
      </c>
      <c r="Y170">
        <v>0.17749039999999999</v>
      </c>
      <c r="Z170">
        <v>-2.9201700000000001E-2</v>
      </c>
      <c r="AA170">
        <v>0.98368920000000004</v>
      </c>
      <c r="AB170">
        <v>40</v>
      </c>
      <c r="AC170">
        <v>0.28520000000003098</v>
      </c>
      <c r="AD170">
        <v>-0.20327539999999999</v>
      </c>
      <c r="AE170">
        <v>-0.127299999999991</v>
      </c>
      <c r="AF170">
        <v>9.2024451002158794E-2</v>
      </c>
      <c r="AG170">
        <v>-0.20327539999999999</v>
      </c>
      <c r="AH170">
        <v>0.19915286191760601</v>
      </c>
      <c r="AI170">
        <v>132.81706842550801</v>
      </c>
      <c r="AJ170">
        <v>65.199310151961598</v>
      </c>
      <c r="AK170">
        <v>0.29908401869271001</v>
      </c>
      <c r="AL170">
        <v>85.254340316517201</v>
      </c>
      <c r="AM170">
        <v>86.395488440329004</v>
      </c>
      <c r="AN170">
        <v>1.00000006486278</v>
      </c>
    </row>
    <row r="171" spans="1:40" x14ac:dyDescent="0.25">
      <c r="A171" t="str">
        <f>"20190312154505428"</f>
        <v>20190312154505428</v>
      </c>
      <c r="B171" t="str">
        <f>"1552376705416294"</f>
        <v>1552376705416294</v>
      </c>
      <c r="C171" t="s">
        <v>40</v>
      </c>
      <c r="D171">
        <v>4.7463610000000003</v>
      </c>
      <c r="E171">
        <v>0.55346930000000005</v>
      </c>
      <c r="F171" t="s">
        <v>41</v>
      </c>
      <c r="G171">
        <v>-431.94920000000002</v>
      </c>
      <c r="H171">
        <v>0.78450159999999902</v>
      </c>
      <c r="I171">
        <v>367.43790000000001</v>
      </c>
      <c r="J171">
        <v>-432.51569999999998</v>
      </c>
      <c r="K171">
        <v>1.0692410000000001</v>
      </c>
      <c r="L171">
        <v>367.61410000000001</v>
      </c>
      <c r="M171">
        <v>0.99980690000000005</v>
      </c>
      <c r="N171">
        <v>0</v>
      </c>
      <c r="O171">
        <v>1.282847E-2</v>
      </c>
      <c r="P171">
        <v>0.99643700000000002</v>
      </c>
      <c r="Q171">
        <v>6.7927059999999997E-2</v>
      </c>
      <c r="R171">
        <v>-4.9995749999999999E-2</v>
      </c>
      <c r="S171">
        <v>3.0455320000000001</v>
      </c>
      <c r="T171">
        <v>-0.89932999999999996</v>
      </c>
      <c r="U171">
        <v>-0.53701779999999999</v>
      </c>
      <c r="V171">
        <v>6.2829309999999999E-2</v>
      </c>
      <c r="W171">
        <v>8.2711350000000003E-2</v>
      </c>
      <c r="X171">
        <v>0.994591</v>
      </c>
      <c r="Y171">
        <v>0.17834710000000001</v>
      </c>
      <c r="Z171">
        <v>-2.9280339999999998E-2</v>
      </c>
      <c r="AA171">
        <v>0.98353190000000001</v>
      </c>
      <c r="AB171">
        <v>40</v>
      </c>
      <c r="AC171">
        <v>0.56649999999996203</v>
      </c>
      <c r="AD171">
        <v>-0.28473939999999998</v>
      </c>
      <c r="AE171">
        <v>-0.176199999999994</v>
      </c>
      <c r="AF171">
        <v>0.149106679562023</v>
      </c>
      <c r="AG171">
        <v>-0.28473939999999998</v>
      </c>
      <c r="AH171">
        <v>0.45856223460398499</v>
      </c>
      <c r="AI171">
        <v>120.56213155383099</v>
      </c>
      <c r="AJ171">
        <v>71.987481333382604</v>
      </c>
      <c r="AK171">
        <v>0.55998986670061401</v>
      </c>
      <c r="AL171">
        <v>85.255568503442703</v>
      </c>
      <c r="AM171">
        <v>86.385371244372905</v>
      </c>
      <c r="AN171">
        <v>0.99999997344744895</v>
      </c>
    </row>
    <row r="172" spans="1:40" x14ac:dyDescent="0.25">
      <c r="A172" t="str">
        <f>"20190312154505451"</f>
        <v>20190312154505451</v>
      </c>
      <c r="B172" t="str">
        <f>"1552376705446549"</f>
        <v>1552376705446549</v>
      </c>
      <c r="C172" t="s">
        <v>40</v>
      </c>
      <c r="D172">
        <v>4.7355159999999996</v>
      </c>
      <c r="E172">
        <v>0.55333829999999995</v>
      </c>
      <c r="F172" t="s">
        <v>41</v>
      </c>
      <c r="G172">
        <v>-431.58730000000003</v>
      </c>
      <c r="H172">
        <v>0.79498400000000002</v>
      </c>
      <c r="I172">
        <v>367.45</v>
      </c>
      <c r="J172">
        <v>-432.09989999999999</v>
      </c>
      <c r="K172">
        <v>1.0677160000000001</v>
      </c>
      <c r="L172">
        <v>367.61919999999998</v>
      </c>
      <c r="M172">
        <v>0.99980690000000005</v>
      </c>
      <c r="N172">
        <v>0</v>
      </c>
      <c r="O172">
        <v>1.2612989999999999E-2</v>
      </c>
      <c r="P172">
        <v>0.9965039</v>
      </c>
      <c r="Q172">
        <v>6.6427829999999993E-2</v>
      </c>
      <c r="R172">
        <v>-5.06734E-2</v>
      </c>
      <c r="S172">
        <v>3.045166</v>
      </c>
      <c r="T172">
        <v>-0.89960219999999902</v>
      </c>
      <c r="U172">
        <v>-0.53665160000000001</v>
      </c>
      <c r="V172">
        <v>6.3290230000000003E-2</v>
      </c>
      <c r="W172">
        <v>8.1397810000000001E-2</v>
      </c>
      <c r="X172">
        <v>0.99467019999999995</v>
      </c>
      <c r="Y172">
        <v>0.1780552</v>
      </c>
      <c r="Z172">
        <v>-2.9188660000000002E-2</v>
      </c>
      <c r="AA172">
        <v>0.98358749999999995</v>
      </c>
      <c r="AB172">
        <v>40</v>
      </c>
      <c r="AC172">
        <v>0.51259999999996297</v>
      </c>
      <c r="AD172">
        <v>-0.27273199999999898</v>
      </c>
      <c r="AE172">
        <v>-0.169199999999989</v>
      </c>
      <c r="AF172">
        <v>0.13993209025807299</v>
      </c>
      <c r="AG172">
        <v>-0.27273199999999898</v>
      </c>
      <c r="AH172">
        <v>0.40662523671672202</v>
      </c>
      <c r="AI172">
        <v>122.38358396363201</v>
      </c>
      <c r="AJ172">
        <v>71.010104320067001</v>
      </c>
      <c r="AK172">
        <v>0.509222757585444</v>
      </c>
      <c r="AL172">
        <v>85.331083730660893</v>
      </c>
      <c r="AM172">
        <v>86.3592143014816</v>
      </c>
      <c r="AN172">
        <v>1.00000003172714</v>
      </c>
    </row>
    <row r="173" spans="1:40" x14ac:dyDescent="0.25">
      <c r="A173" t="str">
        <f>"20190312154505473"</f>
        <v>20190312154505473</v>
      </c>
      <c r="B173" t="str">
        <f>"1552376705466069"</f>
        <v>1552376705466069</v>
      </c>
      <c r="C173" t="s">
        <v>40</v>
      </c>
      <c r="D173">
        <v>4.7472459999999996</v>
      </c>
      <c r="E173">
        <v>0.55332769999999898</v>
      </c>
      <c r="F173" t="s">
        <v>41</v>
      </c>
      <c r="G173">
        <v>-431.22480000000002</v>
      </c>
      <c r="H173">
        <v>0.80839850000000002</v>
      </c>
      <c r="I173">
        <v>367.46440000000001</v>
      </c>
      <c r="J173">
        <v>-431.7063</v>
      </c>
      <c r="K173">
        <v>1.0664549999999999</v>
      </c>
      <c r="L173">
        <v>367.62400000000002</v>
      </c>
      <c r="M173">
        <v>0.99980720000000001</v>
      </c>
      <c r="N173">
        <v>0</v>
      </c>
      <c r="O173">
        <v>1.241022E-2</v>
      </c>
      <c r="P173">
        <v>0.99659350000000002</v>
      </c>
      <c r="Q173">
        <v>6.4620430000000006E-2</v>
      </c>
      <c r="R173">
        <v>-5.1240510000000003E-2</v>
      </c>
      <c r="S173">
        <v>3.0433650000000001</v>
      </c>
      <c r="T173">
        <v>-0.90183849999999999</v>
      </c>
      <c r="U173">
        <v>-0.53723140000000003</v>
      </c>
      <c r="V173">
        <v>6.3654189999999999E-2</v>
      </c>
      <c r="W173">
        <v>7.9720509999999994E-2</v>
      </c>
      <c r="X173">
        <v>0.99478279999999997</v>
      </c>
      <c r="Y173">
        <v>0.1780967</v>
      </c>
      <c r="Z173">
        <v>-2.9221759999999999E-2</v>
      </c>
      <c r="AA173">
        <v>0.98357899999999998</v>
      </c>
      <c r="AB173">
        <v>40</v>
      </c>
      <c r="AC173">
        <v>0.481499999999982</v>
      </c>
      <c r="AD173">
        <v>-0.25805649999999902</v>
      </c>
      <c r="AE173">
        <v>-0.15960000000001101</v>
      </c>
      <c r="AF173">
        <v>0.13152512172359199</v>
      </c>
      <c r="AG173">
        <v>-0.25805649999999902</v>
      </c>
      <c r="AH173">
        <v>0.38090382318875998</v>
      </c>
      <c r="AI173">
        <v>122.634804534686</v>
      </c>
      <c r="AJ173">
        <v>70.950336763071405</v>
      </c>
      <c r="AK173">
        <v>0.47851827275086301</v>
      </c>
      <c r="AL173">
        <v>85.427499251605994</v>
      </c>
      <c r="AM173">
        <v>86.338747552419406</v>
      </c>
      <c r="AN173">
        <v>1.0000000173975201</v>
      </c>
    </row>
    <row r="174" spans="1:40" x14ac:dyDescent="0.25">
      <c r="A174" t="str">
        <f>"20190312154505515"</f>
        <v>20190312154505515</v>
      </c>
      <c r="B174" t="str">
        <f>"1552376705506085"</f>
        <v>1552376705506085</v>
      </c>
      <c r="C174" t="s">
        <v>40</v>
      </c>
      <c r="D174">
        <v>4.7601649999999998</v>
      </c>
      <c r="E174">
        <v>0.55294259999999995</v>
      </c>
      <c r="F174" t="s">
        <v>41</v>
      </c>
      <c r="G174">
        <v>-430.86509999999998</v>
      </c>
      <c r="H174">
        <v>0.81555739999999999</v>
      </c>
      <c r="I174">
        <v>367.47449999999998</v>
      </c>
      <c r="J174">
        <v>-430.9452</v>
      </c>
      <c r="K174">
        <v>1.0644720000000001</v>
      </c>
      <c r="L174">
        <v>367.63299999999998</v>
      </c>
      <c r="M174">
        <v>0.99980979999999997</v>
      </c>
      <c r="N174">
        <v>0</v>
      </c>
      <c r="O174">
        <v>1.2025950000000001E-2</v>
      </c>
      <c r="P174">
        <v>0.99670300000000001</v>
      </c>
      <c r="Q174">
        <v>6.2017179999999998E-2</v>
      </c>
      <c r="R174">
        <v>-5.2316260000000003E-2</v>
      </c>
      <c r="S174">
        <v>3.0413209999999999</v>
      </c>
      <c r="T174">
        <v>-0.90711299999999995</v>
      </c>
      <c r="U174">
        <v>-0.53897090000000003</v>
      </c>
      <c r="V174">
        <v>6.4345849999999996E-2</v>
      </c>
      <c r="W174">
        <v>7.7271439999999997E-2</v>
      </c>
      <c r="X174">
        <v>0.99493149999999997</v>
      </c>
      <c r="Y174">
        <v>0.17828540000000001</v>
      </c>
      <c r="Z174">
        <v>-2.9318940000000002E-2</v>
      </c>
      <c r="AA174">
        <v>0.98354189999999997</v>
      </c>
      <c r="AB174">
        <v>40</v>
      </c>
      <c r="AC174">
        <v>8.0100000000015797E-2</v>
      </c>
      <c r="AD174">
        <v>-0.24891459999999899</v>
      </c>
      <c r="AE174">
        <v>-0.15850000000006001</v>
      </c>
      <c r="AF174">
        <v>5.3786222424918401E-2</v>
      </c>
      <c r="AG174">
        <v>-0.24891459999999899</v>
      </c>
      <c r="AH174">
        <v>2.6374281871418701E-2</v>
      </c>
      <c r="AI174">
        <v>166.46834078840499</v>
      </c>
      <c r="AJ174">
        <v>26.121201034331602</v>
      </c>
      <c r="AK174">
        <v>0.256021558779989</v>
      </c>
      <c r="AL174">
        <v>85.568254790966094</v>
      </c>
      <c r="AM174">
        <v>86.299626320503293</v>
      </c>
      <c r="AN174">
        <v>0.99999997677207197</v>
      </c>
    </row>
    <row r="175" spans="1:40" x14ac:dyDescent="0.25">
      <c r="A175" t="str">
        <f>"20190312154505539"</f>
        <v>20190312154505539</v>
      </c>
      <c r="B175" t="str">
        <f>"1552376705536342"</f>
        <v>1552376705536342</v>
      </c>
      <c r="C175" t="s">
        <v>40</v>
      </c>
      <c r="D175">
        <v>4.6625839999999998</v>
      </c>
      <c r="E175">
        <v>0.55263600000000002</v>
      </c>
      <c r="F175" t="s">
        <v>41</v>
      </c>
      <c r="G175">
        <v>-430.14870000000002</v>
      </c>
      <c r="H175">
        <v>0.82602140000000002</v>
      </c>
      <c r="I175">
        <v>367.49119999999999</v>
      </c>
      <c r="J175">
        <v>-430.52530000000002</v>
      </c>
      <c r="K175">
        <v>1.0636110000000001</v>
      </c>
      <c r="L175">
        <v>367.63780000000003</v>
      </c>
      <c r="M175">
        <v>0.99981160000000002</v>
      </c>
      <c r="N175">
        <v>0</v>
      </c>
      <c r="O175">
        <v>1.1817039999999999E-2</v>
      </c>
      <c r="P175">
        <v>0.99663420000000003</v>
      </c>
      <c r="Q175">
        <v>6.2540960000000007E-2</v>
      </c>
      <c r="R175">
        <v>-5.3000360000000003E-2</v>
      </c>
      <c r="S175">
        <v>3.0382690000000001</v>
      </c>
      <c r="T175">
        <v>-0.90957730000000003</v>
      </c>
      <c r="U175">
        <v>-0.53887940000000001</v>
      </c>
      <c r="V175">
        <v>6.4820849999999999E-2</v>
      </c>
      <c r="W175">
        <v>7.7837149999999994E-2</v>
      </c>
      <c r="X175">
        <v>0.99485659999999998</v>
      </c>
      <c r="Y175">
        <v>0.17817620000000001</v>
      </c>
      <c r="Z175">
        <v>-2.9346609999999999E-2</v>
      </c>
      <c r="AA175">
        <v>0.98356089999999996</v>
      </c>
      <c r="AB175">
        <v>40</v>
      </c>
      <c r="AC175">
        <v>0.37659999999999599</v>
      </c>
      <c r="AD175">
        <v>-0.23758960000000001</v>
      </c>
      <c r="AE175">
        <v>-0.14660000000003401</v>
      </c>
      <c r="AF175">
        <v>0.112244833703941</v>
      </c>
      <c r="AG175">
        <v>-0.23758960000000001</v>
      </c>
      <c r="AH175">
        <v>0.27856074702655398</v>
      </c>
      <c r="AI175">
        <v>128.347831097415</v>
      </c>
      <c r="AJ175">
        <v>68.053245564451501</v>
      </c>
      <c r="AK175">
        <v>0.38294100133751302</v>
      </c>
      <c r="AL175">
        <v>85.535744222868402</v>
      </c>
      <c r="AM175">
        <v>86.272107107116994</v>
      </c>
      <c r="AN175">
        <v>1.0000000095392001</v>
      </c>
    </row>
    <row r="176" spans="1:40" x14ac:dyDescent="0.25">
      <c r="A176" t="str">
        <f>"20190312154505559"</f>
        <v>20190312154505559</v>
      </c>
      <c r="B176" t="str">
        <f>"1552376705555862"</f>
        <v>1552376705555862</v>
      </c>
      <c r="C176" t="s">
        <v>40</v>
      </c>
      <c r="D176">
        <v>4.725136</v>
      </c>
      <c r="E176">
        <v>0.54736569999999996</v>
      </c>
      <c r="F176" t="s">
        <v>41</v>
      </c>
      <c r="G176">
        <v>-429.78620000000001</v>
      </c>
      <c r="H176">
        <v>0.84365999999999997</v>
      </c>
      <c r="I176">
        <v>367.5068</v>
      </c>
      <c r="J176">
        <v>-430.16460000000001</v>
      </c>
      <c r="K176">
        <v>1.0629919999999999</v>
      </c>
      <c r="L176">
        <v>367.64190000000002</v>
      </c>
      <c r="M176">
        <v>0.99981339999999996</v>
      </c>
      <c r="N176">
        <v>0</v>
      </c>
      <c r="O176">
        <v>1.163727E-2</v>
      </c>
      <c r="P176">
        <v>0.99651259999999997</v>
      </c>
      <c r="Q176">
        <v>6.3588249999999999E-2</v>
      </c>
      <c r="R176">
        <v>-5.403082E-2</v>
      </c>
      <c r="S176">
        <v>3.038208</v>
      </c>
      <c r="T176">
        <v>-0.90412550000000003</v>
      </c>
      <c r="U176">
        <v>-0.53878780000000004</v>
      </c>
      <c r="V176">
        <v>6.5670889999999996E-2</v>
      </c>
      <c r="W176">
        <v>7.8902479999999997E-2</v>
      </c>
      <c r="X176">
        <v>0.99471690000000001</v>
      </c>
      <c r="Y176">
        <v>0.17808019999999999</v>
      </c>
      <c r="Z176">
        <v>-2.911263E-2</v>
      </c>
      <c r="AA176">
        <v>0.98358520000000005</v>
      </c>
      <c r="AB176">
        <v>40</v>
      </c>
      <c r="AC176">
        <v>0.37839999999999901</v>
      </c>
      <c r="AD176">
        <v>-0.219331999999999</v>
      </c>
      <c r="AE176">
        <v>-0.13510000000002201</v>
      </c>
      <c r="AF176">
        <v>0.10747023035167</v>
      </c>
      <c r="AG176">
        <v>-0.219331999999999</v>
      </c>
      <c r="AH176">
        <v>0.29029729287804201</v>
      </c>
      <c r="AI176">
        <v>125.319357439973</v>
      </c>
      <c r="AJ176">
        <v>69.685070538863499</v>
      </c>
      <c r="AK176">
        <v>0.379379618440634</v>
      </c>
      <c r="AL176">
        <v>85.474516902077895</v>
      </c>
      <c r="AM176">
        <v>86.222832407985905</v>
      </c>
      <c r="AN176">
        <v>0.999999989144576</v>
      </c>
    </row>
    <row r="177" spans="1:40" x14ac:dyDescent="0.25">
      <c r="A177" t="str">
        <f>"20190312154505582"</f>
        <v>20190312154505582</v>
      </c>
      <c r="B177" t="str">
        <f>"1552376705576357"</f>
        <v>1552376705576357</v>
      </c>
      <c r="C177" t="s">
        <v>40</v>
      </c>
      <c r="D177">
        <v>4.6364970000000003</v>
      </c>
      <c r="E177">
        <v>0.54893590000000003</v>
      </c>
      <c r="F177" t="s">
        <v>41</v>
      </c>
      <c r="G177">
        <v>-429.42579999999998</v>
      </c>
      <c r="H177">
        <v>0.85720319999999905</v>
      </c>
      <c r="I177">
        <v>367.51960000000003</v>
      </c>
      <c r="J177">
        <v>-429.75790000000001</v>
      </c>
      <c r="K177">
        <v>1.062397</v>
      </c>
      <c r="L177">
        <v>367.64640000000003</v>
      </c>
      <c r="M177">
        <v>0.99981560000000003</v>
      </c>
      <c r="N177">
        <v>0</v>
      </c>
      <c r="O177">
        <v>1.143394E-2</v>
      </c>
      <c r="P177">
        <v>0.99643700000000002</v>
      </c>
      <c r="Q177">
        <v>6.4249600000000004E-2</v>
      </c>
      <c r="R177">
        <v>-5.4641540000000002E-2</v>
      </c>
      <c r="S177">
        <v>3.0373230000000002</v>
      </c>
      <c r="T177">
        <v>-0.84601340000000003</v>
      </c>
      <c r="U177">
        <v>-0.50085449999999998</v>
      </c>
      <c r="V177">
        <v>6.6078219999999993E-2</v>
      </c>
      <c r="W177">
        <v>7.9571740000000002E-2</v>
      </c>
      <c r="X177">
        <v>0.99463659999999998</v>
      </c>
      <c r="Y177">
        <v>0.16734309999999999</v>
      </c>
      <c r="Z177">
        <v>-2.5831880000000002E-2</v>
      </c>
      <c r="AA177">
        <v>0.9855602</v>
      </c>
      <c r="AB177">
        <v>40</v>
      </c>
      <c r="AC177">
        <v>0.33210000000002499</v>
      </c>
      <c r="AD177">
        <v>-0.20519380000000001</v>
      </c>
      <c r="AE177">
        <v>-0.12680000000000199</v>
      </c>
      <c r="AF177">
        <v>9.7952719230565602E-2</v>
      </c>
      <c r="AG177">
        <v>-0.20519380000000001</v>
      </c>
      <c r="AH177">
        <v>0.247998281537404</v>
      </c>
      <c r="AI177">
        <v>127.58002126437199</v>
      </c>
      <c r="AJ177">
        <v>68.447299504412598</v>
      </c>
      <c r="AK177">
        <v>0.33645561134956198</v>
      </c>
      <c r="AL177">
        <v>85.436050136299301</v>
      </c>
      <c r="AM177">
        <v>86.199166684849402</v>
      </c>
      <c r="AN177">
        <v>0.99999997951227704</v>
      </c>
    </row>
    <row r="178" spans="1:40" x14ac:dyDescent="0.25">
      <c r="A178" t="str">
        <f>"20190312154505604"</f>
        <v>20190312154505604</v>
      </c>
      <c r="B178" t="str">
        <f>"1552376705595877"</f>
        <v>1552376705595877</v>
      </c>
      <c r="C178" t="s">
        <v>40</v>
      </c>
      <c r="D178">
        <v>4.5794360000000003</v>
      </c>
      <c r="E178">
        <v>0.54817539999999998</v>
      </c>
      <c r="F178" t="s">
        <v>41</v>
      </c>
      <c r="G178">
        <v>-429.06650000000002</v>
      </c>
      <c r="H178">
        <v>0.868425</v>
      </c>
      <c r="I178">
        <v>367.52890000000002</v>
      </c>
      <c r="J178">
        <v>-429.36880000000002</v>
      </c>
      <c r="K178">
        <v>1.0619179999999999</v>
      </c>
      <c r="L178">
        <v>367.65069999999997</v>
      </c>
      <c r="M178">
        <v>0.99981799999999998</v>
      </c>
      <c r="N178">
        <v>0</v>
      </c>
      <c r="O178">
        <v>1.1238039999999999E-2</v>
      </c>
      <c r="P178">
        <v>0.99635819999999997</v>
      </c>
      <c r="Q178">
        <v>6.5005720000000003E-2</v>
      </c>
      <c r="R178">
        <v>-5.5179480000000003E-2</v>
      </c>
      <c r="S178">
        <v>3.0374759999999998</v>
      </c>
      <c r="T178">
        <v>-0.85214330000000005</v>
      </c>
      <c r="U178">
        <v>-0.51446530000000001</v>
      </c>
      <c r="V178">
        <v>6.6420469999999995E-2</v>
      </c>
      <c r="W178">
        <v>8.0323199999999997E-2</v>
      </c>
      <c r="X178">
        <v>0.99455340000000003</v>
      </c>
      <c r="Y178">
        <v>0.171211</v>
      </c>
      <c r="Z178">
        <v>-2.6477130000000001E-2</v>
      </c>
      <c r="AA178">
        <v>0.98487849999999999</v>
      </c>
      <c r="AB178">
        <v>40</v>
      </c>
      <c r="AC178">
        <v>0.30230000000000201</v>
      </c>
      <c r="AD178">
        <v>-0.193493</v>
      </c>
      <c r="AE178">
        <v>-0.12179999999995</v>
      </c>
      <c r="AF178">
        <v>9.2563959213243494E-2</v>
      </c>
      <c r="AG178">
        <v>-0.193493</v>
      </c>
      <c r="AH178">
        <v>0.22249067913732101</v>
      </c>
      <c r="AI178">
        <v>128.762731370388</v>
      </c>
      <c r="AJ178">
        <v>67.410969108280497</v>
      </c>
      <c r="AK178">
        <v>0.30904648501029303</v>
      </c>
      <c r="AL178">
        <v>85.392856392054796</v>
      </c>
      <c r="AM178">
        <v>86.179219886369907</v>
      </c>
      <c r="AN178">
        <v>0.99999998037241</v>
      </c>
    </row>
    <row r="179" spans="1:40" x14ac:dyDescent="0.25">
      <c r="A179" t="str">
        <f>"20190312154505627"</f>
        <v>20190312154505627</v>
      </c>
      <c r="B179" t="str">
        <f>"1552376705616373"</f>
        <v>1552376705616373</v>
      </c>
      <c r="C179" t="s">
        <v>40</v>
      </c>
      <c r="D179">
        <v>4.5624949999999904</v>
      </c>
      <c r="E179">
        <v>0.54726129999999995</v>
      </c>
      <c r="F179" t="s">
        <v>41</v>
      </c>
      <c r="G179">
        <v>-428.38839999999999</v>
      </c>
      <c r="H179">
        <v>0.79181669999999904</v>
      </c>
      <c r="I179">
        <v>367.48559999999998</v>
      </c>
      <c r="J179">
        <v>-428.9742</v>
      </c>
      <c r="K179">
        <v>1.0615209999999999</v>
      </c>
      <c r="L179">
        <v>367.6549</v>
      </c>
      <c r="M179">
        <v>0.9998203</v>
      </c>
      <c r="N179">
        <v>0</v>
      </c>
      <c r="O179">
        <v>1.1039500000000001E-2</v>
      </c>
      <c r="P179">
        <v>0.99624400000000002</v>
      </c>
      <c r="Q179">
        <v>6.6061439999999999E-2</v>
      </c>
      <c r="R179">
        <v>-5.598239E-2</v>
      </c>
      <c r="S179">
        <v>3.0372309999999998</v>
      </c>
      <c r="T179">
        <v>-0.83678009999999903</v>
      </c>
      <c r="U179">
        <v>-0.51089479999999998</v>
      </c>
      <c r="V179">
        <v>6.7024539999999994E-2</v>
      </c>
      <c r="W179">
        <v>8.1365489999999999E-2</v>
      </c>
      <c r="X179">
        <v>0.99442819999999998</v>
      </c>
      <c r="Y179">
        <v>0.17018529999999901</v>
      </c>
      <c r="Z179">
        <v>-2.5829939999999999E-2</v>
      </c>
      <c r="AA179">
        <v>0.98507350000000005</v>
      </c>
      <c r="AB179">
        <v>40</v>
      </c>
      <c r="AC179">
        <v>0.58580000000000598</v>
      </c>
      <c r="AD179">
        <v>-0.26970429999999901</v>
      </c>
      <c r="AE179">
        <v>-0.16930000000002099</v>
      </c>
      <c r="AF179">
        <v>0.14699966396824801</v>
      </c>
      <c r="AG179">
        <v>-0.26970429999999901</v>
      </c>
      <c r="AH179">
        <v>0.488357173844577</v>
      </c>
      <c r="AI179">
        <v>117.871242835346</v>
      </c>
      <c r="AJ179">
        <v>73.247758366339994</v>
      </c>
      <c r="AK179">
        <v>0.57692463969805496</v>
      </c>
      <c r="AL179">
        <v>85.332941724433695</v>
      </c>
      <c r="AM179">
        <v>86.144091670097893</v>
      </c>
      <c r="AN179">
        <v>1.0000000384401899</v>
      </c>
    </row>
    <row r="180" spans="1:40" x14ac:dyDescent="0.25">
      <c r="A180" t="str">
        <f>"20190312154505650"</f>
        <v>20190312154505650</v>
      </c>
      <c r="B180" t="str">
        <f>"1552376705645653"</f>
        <v>1552376705645653</v>
      </c>
      <c r="C180" t="s">
        <v>40</v>
      </c>
      <c r="D180">
        <v>6.5057419999999997</v>
      </c>
      <c r="E180">
        <v>0.54715599999999998</v>
      </c>
      <c r="F180" t="s">
        <v>41</v>
      </c>
      <c r="G180">
        <v>-428.03070000000002</v>
      </c>
      <c r="H180">
        <v>0.80300179999999999</v>
      </c>
      <c r="I180">
        <v>367.49740000000003</v>
      </c>
      <c r="J180">
        <v>-428.56270000000001</v>
      </c>
      <c r="K180">
        <v>1.0611759999999999</v>
      </c>
      <c r="L180">
        <v>367.6592</v>
      </c>
      <c r="M180">
        <v>0.99982280000000001</v>
      </c>
      <c r="N180">
        <v>0</v>
      </c>
      <c r="O180">
        <v>1.0832619999999999E-2</v>
      </c>
      <c r="P180">
        <v>0.99608719999999995</v>
      </c>
      <c r="Q180">
        <v>6.7815940000000005E-2</v>
      </c>
      <c r="R180">
        <v>-5.666997E-2</v>
      </c>
      <c r="S180">
        <v>3.0381469999999999</v>
      </c>
      <c r="T180">
        <v>-0.83248469999999997</v>
      </c>
      <c r="U180">
        <v>-0.50561520000000004</v>
      </c>
      <c r="V180">
        <v>6.7505129999999997E-2</v>
      </c>
      <c r="W180">
        <v>8.3099569999999998E-2</v>
      </c>
      <c r="X180">
        <v>0.99425229999999998</v>
      </c>
      <c r="Y180">
        <v>0.16840669999999999</v>
      </c>
      <c r="Z180">
        <v>-2.5405009999999999E-2</v>
      </c>
      <c r="AA180">
        <v>0.98539019999999999</v>
      </c>
      <c r="AB180">
        <v>40</v>
      </c>
      <c r="AC180">
        <v>0.53199999999998204</v>
      </c>
      <c r="AD180">
        <v>-0.25817420000000002</v>
      </c>
      <c r="AE180">
        <v>-0.16179999999997099</v>
      </c>
      <c r="AF180">
        <v>0.13784035311621701</v>
      </c>
      <c r="AG180">
        <v>-0.25817420000000002</v>
      </c>
      <c r="AH180">
        <v>0.43618820625806898</v>
      </c>
      <c r="AI180">
        <v>119.439400478807</v>
      </c>
      <c r="AJ180">
        <v>72.462881019414993</v>
      </c>
      <c r="AK180">
        <v>0.52527519622715402</v>
      </c>
      <c r="AL180">
        <v>85.233248702766105</v>
      </c>
      <c r="AM180">
        <v>86.115842775716999</v>
      </c>
      <c r="AN180">
        <v>1.0000000585828901</v>
      </c>
    </row>
    <row r="181" spans="1:40" x14ac:dyDescent="0.25">
      <c r="A181" t="str">
        <f>"20190312154505760"</f>
        <v>20190312154505760</v>
      </c>
      <c r="B181" t="str">
        <f>"1552376705755942"</f>
        <v>1552376705755942</v>
      </c>
      <c r="C181" t="s">
        <v>40</v>
      </c>
      <c r="D181">
        <v>4.884741</v>
      </c>
      <c r="E181">
        <v>0.50573459999999903</v>
      </c>
      <c r="F181" t="s">
        <v>41</v>
      </c>
      <c r="G181">
        <v>-426.28109999999998</v>
      </c>
      <c r="H181">
        <v>0.78526119999999899</v>
      </c>
      <c r="I181">
        <v>367.62630000000001</v>
      </c>
      <c r="J181">
        <v>-426.61680000000001</v>
      </c>
      <c r="K181">
        <v>1.060263</v>
      </c>
      <c r="L181">
        <v>367.67860000000002</v>
      </c>
      <c r="M181">
        <v>0.99983469999999997</v>
      </c>
      <c r="N181">
        <v>0</v>
      </c>
      <c r="O181">
        <v>9.8556579999999998E-3</v>
      </c>
      <c r="P181">
        <v>0.99565320000000002</v>
      </c>
      <c r="Q181">
        <v>7.3688809999999993E-2</v>
      </c>
      <c r="R181">
        <v>-5.6964819999999999E-2</v>
      </c>
      <c r="S181">
        <v>3.0896910000000002</v>
      </c>
      <c r="T181">
        <v>-1.1970989999999999</v>
      </c>
      <c r="U181">
        <v>-0.2109375</v>
      </c>
      <c r="V181">
        <v>6.6825350000000006E-2</v>
      </c>
      <c r="W181">
        <v>8.884794E-2</v>
      </c>
      <c r="X181">
        <v>0.99380100000000005</v>
      </c>
      <c r="Y181">
        <v>7.2037039999999997E-2</v>
      </c>
      <c r="Z181">
        <v>-1.7135419999999998E-2</v>
      </c>
      <c r="AA181">
        <v>0.99725469999999905</v>
      </c>
      <c r="AB181">
        <v>39</v>
      </c>
      <c r="AC181">
        <v>0.33570000000003097</v>
      </c>
      <c r="AD181">
        <v>-0.27500180000000002</v>
      </c>
      <c r="AE181">
        <v>-5.23000000000024E-2</v>
      </c>
      <c r="AF181">
        <v>3.3595600672093599E-2</v>
      </c>
      <c r="AG181">
        <v>-0.27500180000000002</v>
      </c>
      <c r="AH181">
        <v>0.202497885138543</v>
      </c>
      <c r="AI181">
        <v>143.26174081012999</v>
      </c>
      <c r="AJ181">
        <v>80.580091792914999</v>
      </c>
      <c r="AK181">
        <v>0.343161839185742</v>
      </c>
      <c r="AL181">
        <v>84.9026666334438</v>
      </c>
      <c r="AM181">
        <v>86.153097597690305</v>
      </c>
      <c r="AN181">
        <v>1.0000000057229299</v>
      </c>
    </row>
    <row r="182" spans="1:40" x14ac:dyDescent="0.25">
      <c r="A182" t="str">
        <f>"20190312154505784"</f>
        <v>20190312154505784</v>
      </c>
      <c r="B182" t="str">
        <f>"1552376705776438"</f>
        <v>1552376705776438</v>
      </c>
      <c r="C182" t="s">
        <v>40</v>
      </c>
      <c r="D182">
        <v>5.1177440000000001</v>
      </c>
      <c r="E182">
        <v>0.48027160000000002</v>
      </c>
      <c r="F182" t="s">
        <v>41</v>
      </c>
      <c r="G182">
        <v>-425.92020000000002</v>
      </c>
      <c r="H182">
        <v>0.8102608</v>
      </c>
      <c r="I182">
        <v>367.6404</v>
      </c>
      <c r="J182">
        <v>-426.20490000000001</v>
      </c>
      <c r="K182">
        <v>1.060162</v>
      </c>
      <c r="L182">
        <v>367.6825</v>
      </c>
      <c r="M182">
        <v>0.99983710000000003</v>
      </c>
      <c r="N182">
        <v>0</v>
      </c>
      <c r="O182">
        <v>9.6495599999999997E-3</v>
      </c>
      <c r="P182">
        <v>0.99570829999999999</v>
      </c>
      <c r="Q182">
        <v>7.3396009999999998E-2</v>
      </c>
      <c r="R182">
        <v>-5.6375269999999998E-2</v>
      </c>
      <c r="S182">
        <v>3.08548</v>
      </c>
      <c r="T182">
        <v>-1.1073120000000001</v>
      </c>
      <c r="U182">
        <v>-0.16754150000000001</v>
      </c>
      <c r="V182">
        <v>6.6030759999999994E-2</v>
      </c>
      <c r="W182">
        <v>8.8530659999999997E-2</v>
      </c>
      <c r="X182">
        <v>0.99388240000000005</v>
      </c>
      <c r="Y182">
        <v>5.9544779999999999E-2</v>
      </c>
      <c r="Z182">
        <v>-1.3710669999999999E-2</v>
      </c>
      <c r="AA182">
        <v>0.99813149999999995</v>
      </c>
      <c r="AB182">
        <v>39</v>
      </c>
      <c r="AC182">
        <v>0.28469999999998602</v>
      </c>
      <c r="AD182">
        <v>-0.24990119999999999</v>
      </c>
      <c r="AE182">
        <v>-4.2100000000004897E-2</v>
      </c>
      <c r="AF182">
        <v>2.55677110354821E-2</v>
      </c>
      <c r="AG182">
        <v>-0.24990119999999999</v>
      </c>
      <c r="AH182">
        <v>0.16207614931191899</v>
      </c>
      <c r="AI182">
        <v>146.71185069601799</v>
      </c>
      <c r="AJ182">
        <v>81.035396196842498</v>
      </c>
      <c r="AK182">
        <v>0.29895316654087001</v>
      </c>
      <c r="AL182">
        <v>84.920917237584604</v>
      </c>
      <c r="AM182">
        <v>86.199014878978701</v>
      </c>
      <c r="AN182">
        <v>0.99999998202798601</v>
      </c>
    </row>
    <row r="183" spans="1:40" x14ac:dyDescent="0.25">
      <c r="A183" t="str">
        <f>"20190312154505806"</f>
        <v>20190312154505806</v>
      </c>
      <c r="B183" t="str">
        <f>"1552376705795958"</f>
        <v>1552376705795958</v>
      </c>
      <c r="C183" t="s">
        <v>40</v>
      </c>
      <c r="D183">
        <v>4.6625629999999996</v>
      </c>
      <c r="E183">
        <v>0.48067310000000002</v>
      </c>
      <c r="F183" t="s">
        <v>41</v>
      </c>
      <c r="G183">
        <v>-425.17200000000003</v>
      </c>
      <c r="H183">
        <v>0.91265819999999998</v>
      </c>
      <c r="I183">
        <v>367.68619999999999</v>
      </c>
      <c r="J183">
        <v>-425.81779999999998</v>
      </c>
      <c r="K183">
        <v>1.06009</v>
      </c>
      <c r="L183">
        <v>367.68610000000001</v>
      </c>
      <c r="M183">
        <v>0.99983929999999999</v>
      </c>
      <c r="N183">
        <v>0</v>
      </c>
      <c r="O183">
        <v>9.458892E-3</v>
      </c>
      <c r="P183">
        <v>0.99571849999999995</v>
      </c>
      <c r="Q183">
        <v>7.3595939999999999E-2</v>
      </c>
      <c r="R183">
        <v>-5.5930540000000001E-2</v>
      </c>
      <c r="S183">
        <v>3.0456850000000002</v>
      </c>
      <c r="T183">
        <v>-0.43506489999999998</v>
      </c>
      <c r="U183">
        <v>1.1810299999999999E-2</v>
      </c>
      <c r="V183">
        <v>6.5396049999999997E-2</v>
      </c>
      <c r="W183">
        <v>8.8707839999999996E-2</v>
      </c>
      <c r="X183">
        <v>0.99390860000000003</v>
      </c>
      <c r="Y183">
        <v>5.4312500000000003E-3</v>
      </c>
      <c r="Z183">
        <v>-1.7304309999999999E-3</v>
      </c>
      <c r="AA183">
        <v>0.99998370000000003</v>
      </c>
      <c r="AB183">
        <v>39</v>
      </c>
      <c r="AC183">
        <v>0.64580000000000803</v>
      </c>
      <c r="AD183">
        <v>-0.147431799999999</v>
      </c>
      <c r="AE183" s="1">
        <v>9.9999999974897906E-5</v>
      </c>
      <c r="AF183">
        <v>5.7115897412939503E-3</v>
      </c>
      <c r="AG183">
        <v>-0.147431799999999</v>
      </c>
      <c r="AH183">
        <v>0.61378301567701998</v>
      </c>
      <c r="AI183">
        <v>103.506103328097</v>
      </c>
      <c r="AJ183">
        <v>89.466846535772802</v>
      </c>
      <c r="AK183">
        <v>0.63126725579756704</v>
      </c>
      <c r="AL183">
        <v>84.910725639113707</v>
      </c>
      <c r="AM183">
        <v>86.235544615799199</v>
      </c>
      <c r="AN183">
        <v>1.00000001469351</v>
      </c>
    </row>
    <row r="184" spans="1:40" x14ac:dyDescent="0.25">
      <c r="A184" t="str">
        <f>"20190312154505828"</f>
        <v>20190312154505828</v>
      </c>
      <c r="B184" t="str">
        <f>"1552376705816454"</f>
        <v>1552376705816454</v>
      </c>
      <c r="C184" t="s">
        <v>40</v>
      </c>
      <c r="D184">
        <v>4.423826</v>
      </c>
      <c r="E184">
        <v>0.4810082</v>
      </c>
      <c r="F184" t="s">
        <v>46</v>
      </c>
      <c r="G184">
        <v>-170.08879999999999</v>
      </c>
      <c r="H184">
        <v>7.1483259999999902</v>
      </c>
      <c r="I184">
        <v>366.99579999999997</v>
      </c>
      <c r="J184">
        <v>-425.43349999999998</v>
      </c>
      <c r="K184">
        <v>1.0600270000000001</v>
      </c>
      <c r="L184">
        <v>367.68950000000001</v>
      </c>
      <c r="M184">
        <v>0.99984150000000005</v>
      </c>
      <c r="N184">
        <v>0</v>
      </c>
      <c r="O184">
        <v>9.2724020000000008E-3</v>
      </c>
      <c r="P184">
        <v>0.99571969999999999</v>
      </c>
      <c r="Q184">
        <v>7.380652E-2</v>
      </c>
      <c r="R184">
        <v>-5.5636520000000002E-2</v>
      </c>
      <c r="S184">
        <v>3.0071720000000002</v>
      </c>
      <c r="T184">
        <v>7.1593879999999999E-2</v>
      </c>
      <c r="U184">
        <v>-8.1176759999999903E-3</v>
      </c>
      <c r="V184">
        <v>6.4915760000000003E-2</v>
      </c>
      <c r="W184">
        <v>8.8896379999999997E-2</v>
      </c>
      <c r="X184">
        <v>0.99392320000000001</v>
      </c>
      <c r="Y184">
        <v>1.196674E-2</v>
      </c>
      <c r="Z184">
        <v>3.631768E-4</v>
      </c>
      <c r="AA184">
        <v>0.99992840000000005</v>
      </c>
      <c r="AB184">
        <v>39</v>
      </c>
      <c r="AC184">
        <v>255.34469999999999</v>
      </c>
      <c r="AD184">
        <v>6.0882989999999904</v>
      </c>
      <c r="AE184">
        <v>-0.69370000000003496</v>
      </c>
      <c r="AF184">
        <v>3.0598628367492799</v>
      </c>
      <c r="AG184">
        <v>6.0882989999999904</v>
      </c>
      <c r="AH184">
        <v>255.18221466038199</v>
      </c>
      <c r="AI184">
        <v>88.633358481490404</v>
      </c>
      <c r="AJ184">
        <v>89.313005316875802</v>
      </c>
      <c r="AK184">
        <v>255.27317294277199</v>
      </c>
      <c r="AL184">
        <v>84.899880042407403</v>
      </c>
      <c r="AM184">
        <v>86.263168119431697</v>
      </c>
      <c r="AN184">
        <v>0.99999997488586001</v>
      </c>
    </row>
    <row r="185" spans="1:40" x14ac:dyDescent="0.25">
      <c r="A185" t="str">
        <f>"20190312154505851"</f>
        <v>20190312154505851</v>
      </c>
      <c r="B185" t="str">
        <f>"1552376705846714"</f>
        <v>1552376705846714</v>
      </c>
      <c r="C185" t="s">
        <v>40</v>
      </c>
      <c r="D185">
        <v>4.3999899999999998</v>
      </c>
      <c r="E185">
        <v>0.4825546</v>
      </c>
      <c r="F185" t="s">
        <v>46</v>
      </c>
      <c r="G185">
        <v>-158.19499999999999</v>
      </c>
      <c r="H185">
        <v>3.2311239999999999</v>
      </c>
      <c r="I185">
        <v>366.9554</v>
      </c>
      <c r="J185">
        <v>-425.03280000000001</v>
      </c>
      <c r="K185">
        <v>1.0599809999999901</v>
      </c>
      <c r="L185">
        <v>367.69310000000002</v>
      </c>
      <c r="M185">
        <v>0.9998435</v>
      </c>
      <c r="N185">
        <v>0</v>
      </c>
      <c r="O185">
        <v>9.0847529999999992E-3</v>
      </c>
      <c r="P185">
        <v>0.99565899999999996</v>
      </c>
      <c r="Q185">
        <v>7.4697899999999998E-2</v>
      </c>
      <c r="R185">
        <v>-5.5527609999999998E-2</v>
      </c>
      <c r="S185">
        <v>3.0106199999999999</v>
      </c>
      <c r="T185">
        <v>2.445984E-2</v>
      </c>
      <c r="U185">
        <v>-8.2702639999999994E-3</v>
      </c>
      <c r="V185">
        <v>6.4619140000000005E-2</v>
      </c>
      <c r="W185">
        <v>8.9765490000000003E-2</v>
      </c>
      <c r="X185">
        <v>0.99386439999999998</v>
      </c>
      <c r="Y185">
        <v>1.1831980000000001E-2</v>
      </c>
      <c r="Z185">
        <v>1.218796E-4</v>
      </c>
      <c r="AA185">
        <v>0.99992999999999999</v>
      </c>
      <c r="AB185">
        <v>39</v>
      </c>
      <c r="AC185">
        <v>266.83780000000002</v>
      </c>
      <c r="AD185">
        <v>2.1711429999999998</v>
      </c>
      <c r="AE185">
        <v>-0.73770000000001701</v>
      </c>
      <c r="AF185">
        <v>3.16189508955501</v>
      </c>
      <c r="AG185">
        <v>2.1711429999999998</v>
      </c>
      <c r="AH185">
        <v>266.80242004497399</v>
      </c>
      <c r="AI185">
        <v>89.533790395844093</v>
      </c>
      <c r="AJ185">
        <v>89.321015291976096</v>
      </c>
      <c r="AK185">
        <v>266.82998854015398</v>
      </c>
      <c r="AL185">
        <v>84.849883748086597</v>
      </c>
      <c r="AM185">
        <v>86.279975343677904</v>
      </c>
      <c r="AN185">
        <v>0.99999996101831901</v>
      </c>
    </row>
    <row r="186" spans="1:40" x14ac:dyDescent="0.25">
      <c r="A186" t="str">
        <f>"20190312154505874"</f>
        <v>20190312154505874</v>
      </c>
      <c r="B186" t="str">
        <f>"1552376705866234"</f>
        <v>1552376705866234</v>
      </c>
      <c r="C186" t="s">
        <v>40</v>
      </c>
      <c r="D186">
        <v>4.3783180000000002</v>
      </c>
      <c r="E186">
        <v>0.48301519999999998</v>
      </c>
      <c r="F186" t="s">
        <v>46</v>
      </c>
      <c r="G186">
        <v>-158.19499999999999</v>
      </c>
      <c r="H186">
        <v>2.4788950000000001</v>
      </c>
      <c r="I186">
        <v>365.92419999999998</v>
      </c>
      <c r="J186">
        <v>-424.63150000000002</v>
      </c>
      <c r="K186">
        <v>1.059947</v>
      </c>
      <c r="L186">
        <v>367.69650000000001</v>
      </c>
      <c r="M186">
        <v>0.9998454</v>
      </c>
      <c r="N186">
        <v>0</v>
      </c>
      <c r="O186">
        <v>8.9081750000000008E-3</v>
      </c>
      <c r="P186">
        <v>0.99564660000000005</v>
      </c>
      <c r="Q186">
        <v>7.4959520000000002E-2</v>
      </c>
      <c r="R186">
        <v>-5.5400199999999997E-2</v>
      </c>
      <c r="S186">
        <v>3.010742</v>
      </c>
      <c r="T186">
        <v>1.601064E-2</v>
      </c>
      <c r="U186">
        <v>-1.9958500000000001E-2</v>
      </c>
      <c r="V186">
        <v>6.4314159999999995E-2</v>
      </c>
      <c r="W186">
        <v>9.0007240000000002E-2</v>
      </c>
      <c r="X186">
        <v>0.99386229999999998</v>
      </c>
      <c r="Y186">
        <v>1.553735E-2</v>
      </c>
      <c r="Z186" s="1">
        <v>8.8688519999999903E-5</v>
      </c>
      <c r="AA186">
        <v>0.99987930000000003</v>
      </c>
      <c r="AB186">
        <v>39</v>
      </c>
      <c r="AC186">
        <v>266.43650000000002</v>
      </c>
      <c r="AD186">
        <v>1.4189479999999901</v>
      </c>
      <c r="AE186">
        <v>-1.77230000000002</v>
      </c>
      <c r="AF186">
        <v>4.1458478304600499</v>
      </c>
      <c r="AG186">
        <v>1.4189479999999901</v>
      </c>
      <c r="AH186">
        <v>266.40258044875497</v>
      </c>
      <c r="AI186">
        <v>89.694863615713203</v>
      </c>
      <c r="AJ186">
        <v>89.108415506770001</v>
      </c>
      <c r="AK186">
        <v>266.43861645304997</v>
      </c>
      <c r="AL186">
        <v>84.835976101578595</v>
      </c>
      <c r="AM186">
        <v>86.297475819915803</v>
      </c>
      <c r="AN186">
        <v>0.99999994289510497</v>
      </c>
    </row>
    <row r="187" spans="1:40" x14ac:dyDescent="0.25">
      <c r="A187" t="str">
        <f>"20190312154505896"</f>
        <v>20190312154505896</v>
      </c>
      <c r="B187" t="str">
        <f>"1552376705885754"</f>
        <v>1552376705885754</v>
      </c>
      <c r="C187" t="s">
        <v>40</v>
      </c>
      <c r="D187">
        <v>4.4318470000000003</v>
      </c>
      <c r="E187">
        <v>0.48330190000000001</v>
      </c>
      <c r="F187" t="s">
        <v>42</v>
      </c>
      <c r="G187">
        <v>-213.7422</v>
      </c>
      <c r="H187" s="1">
        <v>-3.286322E-6</v>
      </c>
      <c r="I187">
        <v>366.12450000000001</v>
      </c>
      <c r="J187">
        <v>-424.25020000000001</v>
      </c>
      <c r="K187">
        <v>1.0599339999999999</v>
      </c>
      <c r="L187">
        <v>367.69979999999998</v>
      </c>
      <c r="M187">
        <v>0.99984700000000004</v>
      </c>
      <c r="N187">
        <v>0</v>
      </c>
      <c r="O187">
        <v>8.7568609999999995E-3</v>
      </c>
      <c r="P187">
        <v>0.99564560000000002</v>
      </c>
      <c r="Q187">
        <v>7.4758740000000004E-2</v>
      </c>
      <c r="R187">
        <v>-5.568704E-2</v>
      </c>
      <c r="S187">
        <v>3.0129999999999999</v>
      </c>
      <c r="T187">
        <v>-1.514363E-2</v>
      </c>
      <c r="U187">
        <v>-2.2460939999999999E-2</v>
      </c>
      <c r="V187">
        <v>6.4447599999999994E-2</v>
      </c>
      <c r="W187">
        <v>8.9789250000000001E-2</v>
      </c>
      <c r="X187">
        <v>0.99387340000000002</v>
      </c>
      <c r="Y187">
        <v>1.6211489999999999E-2</v>
      </c>
      <c r="Z187" s="1">
        <v>-8.4756369999999904E-5</v>
      </c>
      <c r="AA187">
        <v>0.9998686</v>
      </c>
      <c r="AB187">
        <v>39</v>
      </c>
      <c r="AC187">
        <v>210.50799999999899</v>
      </c>
      <c r="AD187">
        <v>-1.059937286322</v>
      </c>
      <c r="AE187">
        <v>-1.5752999999999699</v>
      </c>
      <c r="AF187">
        <v>3.4187535871341801</v>
      </c>
      <c r="AG187">
        <v>-1.059937286322</v>
      </c>
      <c r="AH187">
        <v>210.48079463299999</v>
      </c>
      <c r="AI187">
        <v>90.288489078838495</v>
      </c>
      <c r="AJ187">
        <v>89.069449880266504</v>
      </c>
      <c r="AK187">
        <v>210.511225953581</v>
      </c>
      <c r="AL187">
        <v>84.848516921391493</v>
      </c>
      <c r="AM187">
        <v>86.289856522283003</v>
      </c>
      <c r="AN187">
        <v>0.99999996889443998</v>
      </c>
    </row>
    <row r="188" spans="1:40" x14ac:dyDescent="0.25">
      <c r="A188" t="str">
        <f>"20190312154505918"</f>
        <v>20190312154505918</v>
      </c>
      <c r="B188" t="str">
        <f>"1552376705916010"</f>
        <v>1552376705916010</v>
      </c>
      <c r="C188" t="s">
        <v>40</v>
      </c>
      <c r="D188">
        <v>4.3961430000000004</v>
      </c>
      <c r="E188">
        <v>0.4838923</v>
      </c>
      <c r="F188" t="s">
        <v>42</v>
      </c>
      <c r="G188">
        <v>-327.75290000000001</v>
      </c>
      <c r="H188" s="1">
        <v>-1.472081E-6</v>
      </c>
      <c r="I188">
        <v>366.90550000000002</v>
      </c>
      <c r="J188">
        <v>-423.8569</v>
      </c>
      <c r="K188">
        <v>1.0599209999999999</v>
      </c>
      <c r="L188">
        <v>367.70310000000001</v>
      </c>
      <c r="M188">
        <v>0.99984850000000003</v>
      </c>
      <c r="N188">
        <v>0</v>
      </c>
      <c r="O188">
        <v>8.6235359999999994E-3</v>
      </c>
      <c r="P188">
        <v>0.99557249999999997</v>
      </c>
      <c r="Q188">
        <v>7.5377429999999995E-2</v>
      </c>
      <c r="R188">
        <v>-5.6162530000000002E-2</v>
      </c>
      <c r="S188">
        <v>3.014221</v>
      </c>
      <c r="T188">
        <v>-3.3108470000000001E-2</v>
      </c>
      <c r="U188">
        <v>-2.4810789999999999E-2</v>
      </c>
      <c r="V188">
        <v>6.4786189999999994E-2</v>
      </c>
      <c r="W188">
        <v>9.039142E-2</v>
      </c>
      <c r="X188">
        <v>0.99379680000000004</v>
      </c>
      <c r="Y188">
        <v>1.6853360000000001E-2</v>
      </c>
      <c r="Z188">
        <v>-1.87283E-4</v>
      </c>
      <c r="AA188">
        <v>0.99985800000000002</v>
      </c>
      <c r="AB188">
        <v>39</v>
      </c>
      <c r="AC188">
        <v>96.1039999999999</v>
      </c>
      <c r="AD188">
        <v>-1.0599224720810001</v>
      </c>
      <c r="AE188">
        <v>-0.79759999999998799</v>
      </c>
      <c r="AF188">
        <v>1.6262235922889801</v>
      </c>
      <c r="AG188">
        <v>-1.0599224720810001</v>
      </c>
      <c r="AH188">
        <v>96.081860500060799</v>
      </c>
      <c r="AI188">
        <v>90.631939526529493</v>
      </c>
      <c r="AJ188">
        <v>89.030338795437899</v>
      </c>
      <c r="AK188">
        <v>96.101466981373804</v>
      </c>
      <c r="AL188">
        <v>84.813874252115696</v>
      </c>
      <c r="AM188">
        <v>86.270132660115706</v>
      </c>
      <c r="AN188">
        <v>0.99999996945728498</v>
      </c>
    </row>
    <row r="189" spans="1:40" x14ac:dyDescent="0.25">
      <c r="A189" t="str">
        <f>"20190312154505939"</f>
        <v>20190312154505939</v>
      </c>
      <c r="B189" t="str">
        <f>"1552376705925770"</f>
        <v>1552376705925770</v>
      </c>
      <c r="C189" t="s">
        <v>40</v>
      </c>
      <c r="D189">
        <v>4.4066470000000004</v>
      </c>
      <c r="E189">
        <v>0.48397440000000003</v>
      </c>
      <c r="F189" t="s">
        <v>42</v>
      </c>
      <c r="G189">
        <v>-356.06650000000002</v>
      </c>
      <c r="H189" s="1">
        <v>-2.1303839999999999E-6</v>
      </c>
      <c r="I189">
        <v>367.0197</v>
      </c>
      <c r="J189">
        <v>-423.48919999999998</v>
      </c>
      <c r="K189">
        <v>1.059936</v>
      </c>
      <c r="L189">
        <v>367.70620000000002</v>
      </c>
      <c r="M189">
        <v>0.99984960000000001</v>
      </c>
      <c r="N189">
        <v>0</v>
      </c>
      <c r="O189">
        <v>8.5265719999999996E-3</v>
      </c>
      <c r="P189">
        <v>0.99547580000000002</v>
      </c>
      <c r="Q189">
        <v>7.6343659999999994E-2</v>
      </c>
      <c r="R189">
        <v>-5.6569830000000002E-2</v>
      </c>
      <c r="S189">
        <v>3.0151669999999999</v>
      </c>
      <c r="T189">
        <v>-4.7142980000000001E-2</v>
      </c>
      <c r="U189">
        <v>-3.0395510000000001E-2</v>
      </c>
      <c r="V189">
        <v>6.5091540000000003E-2</v>
      </c>
      <c r="W189">
        <v>9.1343519999999997E-2</v>
      </c>
      <c r="X189">
        <v>0.99368979999999996</v>
      </c>
      <c r="Y189">
        <v>1.8603789999999999E-2</v>
      </c>
      <c r="Z189">
        <v>-2.7874440000000001E-4</v>
      </c>
      <c r="AA189">
        <v>0.99982689999999996</v>
      </c>
      <c r="AB189">
        <v>39</v>
      </c>
      <c r="AC189">
        <v>67.422699999999907</v>
      </c>
      <c r="AD189">
        <v>-1.0599381303839901</v>
      </c>
      <c r="AE189">
        <v>-0.68650000000002298</v>
      </c>
      <c r="AF189">
        <v>1.2611134709513301</v>
      </c>
      <c r="AG189">
        <v>-1.0599381303839901</v>
      </c>
      <c r="AH189">
        <v>67.397739170430796</v>
      </c>
      <c r="AI189">
        <v>90.900836588995901</v>
      </c>
      <c r="AJ189">
        <v>88.928034542323303</v>
      </c>
      <c r="AK189">
        <v>67.417869451001394</v>
      </c>
      <c r="AL189">
        <v>84.759096390779504</v>
      </c>
      <c r="AM189">
        <v>86.252200671262003</v>
      </c>
      <c r="AN189">
        <v>0.99999998292479997</v>
      </c>
    </row>
    <row r="190" spans="1:40" x14ac:dyDescent="0.25">
      <c r="A190" t="str">
        <f>"20190312154505963"</f>
        <v>20190312154505963</v>
      </c>
      <c r="B190" t="str">
        <f>"1552376705956534"</f>
        <v>1552376705956534</v>
      </c>
      <c r="C190" t="s">
        <v>40</v>
      </c>
      <c r="D190">
        <v>4.418469</v>
      </c>
      <c r="E190">
        <v>0.48385889999999998</v>
      </c>
      <c r="F190" t="s">
        <v>42</v>
      </c>
      <c r="G190">
        <v>-357.1422</v>
      </c>
      <c r="H190" s="1">
        <v>-1.672427E-6</v>
      </c>
      <c r="I190">
        <v>366.99979999999999</v>
      </c>
      <c r="J190">
        <v>-423.0847</v>
      </c>
      <c r="K190">
        <v>1.0599529999999999</v>
      </c>
      <c r="L190">
        <v>367.70949999999999</v>
      </c>
      <c r="M190">
        <v>0.99985040000000003</v>
      </c>
      <c r="N190">
        <v>0</v>
      </c>
      <c r="O190">
        <v>8.4493190000000003E-3</v>
      </c>
      <c r="P190">
        <v>0.99543780000000004</v>
      </c>
      <c r="Q190">
        <v>7.6726409999999995E-2</v>
      </c>
      <c r="R190">
        <v>-5.671756E-2</v>
      </c>
      <c r="S190">
        <v>3.015533</v>
      </c>
      <c r="T190">
        <v>-4.8175099999999998E-2</v>
      </c>
      <c r="U190">
        <v>-3.2104489999999999E-2</v>
      </c>
      <c r="V190">
        <v>6.5156179999999994E-2</v>
      </c>
      <c r="W190">
        <v>9.1713900000000001E-2</v>
      </c>
      <c r="X190">
        <v>0.99365139999999996</v>
      </c>
      <c r="Y190">
        <v>1.909168E-2</v>
      </c>
      <c r="Z190">
        <v>-2.8747359999999999E-4</v>
      </c>
      <c r="AA190">
        <v>0.99981770000000003</v>
      </c>
      <c r="AB190">
        <v>39</v>
      </c>
      <c r="AC190">
        <v>65.942499999999995</v>
      </c>
      <c r="AD190">
        <v>-1.0599546724269999</v>
      </c>
      <c r="AE190">
        <v>-0.709699999999997</v>
      </c>
      <c r="AF190">
        <v>1.2665801378517501</v>
      </c>
      <c r="AG190">
        <v>-1.0599546724269999</v>
      </c>
      <c r="AH190">
        <v>65.917119306906898</v>
      </c>
      <c r="AI190">
        <v>90.921073177060293</v>
      </c>
      <c r="AJ190">
        <v>88.8992121015621</v>
      </c>
      <c r="AK190">
        <v>65.937806658048601</v>
      </c>
      <c r="AL190">
        <v>84.737785478924494</v>
      </c>
      <c r="AM190">
        <v>86.248344928907798</v>
      </c>
      <c r="AN190">
        <v>0.99999993598367898</v>
      </c>
    </row>
    <row r="191" spans="1:40" x14ac:dyDescent="0.25">
      <c r="A191" t="str">
        <f>"20190312154505984"</f>
        <v>20190312154505984</v>
      </c>
      <c r="B191" t="str">
        <f>"1552376705976054"</f>
        <v>1552376705976054</v>
      </c>
      <c r="C191" t="s">
        <v>40</v>
      </c>
      <c r="D191">
        <v>4.424639</v>
      </c>
      <c r="E191">
        <v>0.48382629999999999</v>
      </c>
      <c r="F191" t="s">
        <v>42</v>
      </c>
      <c r="G191">
        <v>-368.09059999999999</v>
      </c>
      <c r="H191" s="1">
        <v>-1.294957E-6</v>
      </c>
      <c r="I191">
        <v>367.13920000000002</v>
      </c>
      <c r="J191">
        <v>-422.7217</v>
      </c>
      <c r="K191">
        <v>1.0599749999999999</v>
      </c>
      <c r="L191">
        <v>367.71260000000001</v>
      </c>
      <c r="M191">
        <v>0.99985119999999905</v>
      </c>
      <c r="N191">
        <v>0</v>
      </c>
      <c r="O191">
        <v>8.4040309999999993E-3</v>
      </c>
      <c r="P191">
        <v>0.99546710000000005</v>
      </c>
      <c r="Q191">
        <v>7.6583960000000006E-2</v>
      </c>
      <c r="R191">
        <v>-5.6397750000000003E-2</v>
      </c>
      <c r="S191">
        <v>3.0164490000000002</v>
      </c>
      <c r="T191">
        <v>-5.813873E-2</v>
      </c>
      <c r="U191">
        <v>-3.1280519999999999E-2</v>
      </c>
      <c r="V191">
        <v>6.4786280000000002E-2</v>
      </c>
      <c r="W191">
        <v>9.1562909999999997E-2</v>
      </c>
      <c r="X191">
        <v>0.99368959999999995</v>
      </c>
      <c r="Y191">
        <v>1.8768549999999998E-2</v>
      </c>
      <c r="Z191">
        <v>-3.4282760000000002E-4</v>
      </c>
      <c r="AA191">
        <v>0.99982380000000004</v>
      </c>
      <c r="AB191">
        <v>39</v>
      </c>
      <c r="AC191">
        <v>54.631100000000004</v>
      </c>
      <c r="AD191">
        <v>-1.059976294957</v>
      </c>
      <c r="AE191">
        <v>-0.57339999999999203</v>
      </c>
      <c r="AF191">
        <v>1.03216479153173</v>
      </c>
      <c r="AG191">
        <v>-1.059976294957</v>
      </c>
      <c r="AH191">
        <v>54.603797296900403</v>
      </c>
      <c r="AI191">
        <v>91.111895159925197</v>
      </c>
      <c r="AJ191">
        <v>88.917078169981096</v>
      </c>
      <c r="AK191">
        <v>54.623837224637903</v>
      </c>
      <c r="AL191">
        <v>84.746473592022198</v>
      </c>
      <c r="AM191">
        <v>86.269726247779602</v>
      </c>
      <c r="AN191">
        <v>1.0000000248560299</v>
      </c>
    </row>
    <row r="192" spans="1:40" x14ac:dyDescent="0.25">
      <c r="A192" t="str">
        <f>"20190312154506007"</f>
        <v>20190312154506007</v>
      </c>
      <c r="B192" t="str">
        <f>"1552376705996550"</f>
        <v>1552376705996550</v>
      </c>
      <c r="C192" t="s">
        <v>40</v>
      </c>
      <c r="D192">
        <v>4.4510439999999996</v>
      </c>
      <c r="E192">
        <v>0.48374640000000002</v>
      </c>
      <c r="F192" t="s">
        <v>42</v>
      </c>
      <c r="G192">
        <v>-372.67349999999999</v>
      </c>
      <c r="H192" s="1">
        <v>-3.5514309999999998E-6</v>
      </c>
      <c r="I192">
        <v>367.21440000000001</v>
      </c>
      <c r="J192">
        <v>-422.3254</v>
      </c>
      <c r="K192">
        <v>1.0599860000000001</v>
      </c>
      <c r="L192">
        <v>367.71589999999998</v>
      </c>
      <c r="M192">
        <v>0.9998515</v>
      </c>
      <c r="N192">
        <v>0</v>
      </c>
      <c r="O192">
        <v>8.3750200000000004E-3</v>
      </c>
      <c r="P192">
        <v>0.99554100000000001</v>
      </c>
      <c r="Q192">
        <v>7.6170929999999998E-2</v>
      </c>
      <c r="R192">
        <v>-5.5644770000000003E-2</v>
      </c>
      <c r="S192">
        <v>3.0168759999999999</v>
      </c>
      <c r="T192">
        <v>-6.389475E-2</v>
      </c>
      <c r="U192">
        <v>-3.0029299999999998E-2</v>
      </c>
      <c r="V192">
        <v>6.400024E-2</v>
      </c>
      <c r="W192">
        <v>9.1140780000000005E-2</v>
      </c>
      <c r="X192">
        <v>0.99377930000000003</v>
      </c>
      <c r="Y192">
        <v>1.8322499999999999E-2</v>
      </c>
      <c r="Z192">
        <v>-3.7137219999999998E-4</v>
      </c>
      <c r="AA192">
        <v>0.99983200000000005</v>
      </c>
      <c r="AB192">
        <v>39</v>
      </c>
      <c r="AC192">
        <v>49.651899999999998</v>
      </c>
      <c r="AD192">
        <v>-1.059989551431</v>
      </c>
      <c r="AE192">
        <v>-0.50149999999996397</v>
      </c>
      <c r="AF192">
        <v>0.91694737416708905</v>
      </c>
      <c r="AG192">
        <v>-1.059989551431</v>
      </c>
      <c r="AH192">
        <v>49.623343930188902</v>
      </c>
      <c r="AI192">
        <v>91.223483289855807</v>
      </c>
      <c r="AJ192">
        <v>88.941400716449195</v>
      </c>
      <c r="AK192">
        <v>49.643132789439797</v>
      </c>
      <c r="AL192">
        <v>84.770761204174704</v>
      </c>
      <c r="AM192">
        <v>86.315191205569207</v>
      </c>
      <c r="AN192">
        <v>0.99999998480377705</v>
      </c>
    </row>
    <row r="193" spans="1:40" x14ac:dyDescent="0.25">
      <c r="A193" t="str">
        <f>"20190312154506027"</f>
        <v>20190312154506027</v>
      </c>
      <c r="B193" t="str">
        <f>"1552376706016070"</f>
        <v>1552376706016070</v>
      </c>
      <c r="C193" t="s">
        <v>40</v>
      </c>
      <c r="D193">
        <v>4.4767619999999999</v>
      </c>
      <c r="E193">
        <v>0.48364600000000002</v>
      </c>
      <c r="F193" t="s">
        <v>42</v>
      </c>
      <c r="G193">
        <v>-376.7115</v>
      </c>
      <c r="H193" s="1">
        <v>-1.8026779999999999E-6</v>
      </c>
      <c r="I193">
        <v>367.30709999999999</v>
      </c>
      <c r="J193">
        <v>-421.95659999999998</v>
      </c>
      <c r="K193">
        <v>1.059985</v>
      </c>
      <c r="L193">
        <v>367.71899999999999</v>
      </c>
      <c r="M193">
        <v>0.99985179999999996</v>
      </c>
      <c r="N193">
        <v>0</v>
      </c>
      <c r="O193">
        <v>8.3616160000000005E-3</v>
      </c>
      <c r="P193">
        <v>0.99563979999999996</v>
      </c>
      <c r="Q193">
        <v>7.5806109999999996E-2</v>
      </c>
      <c r="R193">
        <v>-5.4361060000000003E-2</v>
      </c>
      <c r="S193">
        <v>3.017334</v>
      </c>
      <c r="T193">
        <v>-7.0117589999999994E-2</v>
      </c>
      <c r="U193">
        <v>-2.7038570000000001E-2</v>
      </c>
      <c r="V193">
        <v>6.2700759999999994E-2</v>
      </c>
      <c r="W193">
        <v>9.0768470000000004E-2</v>
      </c>
      <c r="X193">
        <v>0.99389620000000001</v>
      </c>
      <c r="Y193">
        <v>1.73157E-2</v>
      </c>
      <c r="Z193">
        <v>-3.954637E-4</v>
      </c>
      <c r="AA193">
        <v>0.99985000000000002</v>
      </c>
      <c r="AB193">
        <v>39</v>
      </c>
      <c r="AC193">
        <v>45.245099999999901</v>
      </c>
      <c r="AD193">
        <v>-1.0599868026779999</v>
      </c>
      <c r="AE193">
        <v>-0.41190000000000199</v>
      </c>
      <c r="AF193">
        <v>0.78981713485653104</v>
      </c>
      <c r="AG193">
        <v>-1.0599868026779999</v>
      </c>
      <c r="AH193">
        <v>45.215258807165</v>
      </c>
      <c r="AI193">
        <v>91.342741170043993</v>
      </c>
      <c r="AJ193">
        <v>88.9992629088417</v>
      </c>
      <c r="AK193">
        <v>45.234577616324302</v>
      </c>
      <c r="AL193">
        <v>84.792181750417399</v>
      </c>
      <c r="AM193">
        <v>86.390232252404203</v>
      </c>
      <c r="AN193">
        <v>0.99999997841257904</v>
      </c>
    </row>
    <row r="194" spans="1:40" x14ac:dyDescent="0.25">
      <c r="A194" t="str">
        <f>"20190312154506051"</f>
        <v>20190312154506051</v>
      </c>
      <c r="B194" t="str">
        <f>"1552376706045856"</f>
        <v>1552376706045856</v>
      </c>
      <c r="C194" t="s">
        <v>40</v>
      </c>
      <c r="D194">
        <v>4.5153470000000002</v>
      </c>
      <c r="E194">
        <v>0.48350110000000002</v>
      </c>
      <c r="F194" t="s">
        <v>42</v>
      </c>
      <c r="G194">
        <v>-379.44139999999999</v>
      </c>
      <c r="H194" s="1">
        <v>-7.6462459999999898E-7</v>
      </c>
      <c r="I194">
        <v>367.40460000000002</v>
      </c>
      <c r="J194">
        <v>-421.5505</v>
      </c>
      <c r="K194">
        <v>1.059995</v>
      </c>
      <c r="L194">
        <v>367.72239999999999</v>
      </c>
      <c r="M194">
        <v>0.99985199999999996</v>
      </c>
      <c r="N194">
        <v>0</v>
      </c>
      <c r="O194">
        <v>8.3575760000000002E-3</v>
      </c>
      <c r="P194">
        <v>0.9956836</v>
      </c>
      <c r="Q194">
        <v>7.5567190000000006E-2</v>
      </c>
      <c r="R194">
        <v>-5.3891979999999999E-2</v>
      </c>
      <c r="S194">
        <v>3.017639</v>
      </c>
      <c r="T194">
        <v>-7.5235490000000002E-2</v>
      </c>
      <c r="U194">
        <v>-2.2308350000000001E-2</v>
      </c>
      <c r="V194">
        <v>6.2225309999999999E-2</v>
      </c>
      <c r="W194">
        <v>9.0520589999999998E-2</v>
      </c>
      <c r="X194">
        <v>0.99394870000000002</v>
      </c>
      <c r="Y194">
        <v>1.5742989999999998E-2</v>
      </c>
      <c r="Z194">
        <v>-4.0457669999999999E-4</v>
      </c>
      <c r="AA194">
        <v>0.99987599999999999</v>
      </c>
      <c r="AB194">
        <v>39</v>
      </c>
      <c r="AC194">
        <v>42.109099999999998</v>
      </c>
      <c r="AD194">
        <v>-1.0599957646245901</v>
      </c>
      <c r="AE194">
        <v>-0.31779999999997699</v>
      </c>
      <c r="AF194">
        <v>0.66933459291297503</v>
      </c>
      <c r="AG194">
        <v>-1.0599957646245901</v>
      </c>
      <c r="AH194">
        <v>42.078310835991999</v>
      </c>
      <c r="AI194">
        <v>91.442851747771499</v>
      </c>
      <c r="AJ194">
        <v>89.088679834581697</v>
      </c>
      <c r="AK194">
        <v>42.096981395685098</v>
      </c>
      <c r="AL194">
        <v>84.806443009915398</v>
      </c>
      <c r="AM194">
        <v>86.417721728787697</v>
      </c>
      <c r="AN194">
        <v>0.99999999232511705</v>
      </c>
    </row>
    <row r="195" spans="1:40" x14ac:dyDescent="0.25">
      <c r="A195" t="str">
        <f>"20190312154506075"</f>
        <v>20190312154506075</v>
      </c>
      <c r="B195" t="str">
        <f>"1552376706066353"</f>
        <v>1552376706066353</v>
      </c>
      <c r="C195" t="s">
        <v>40</v>
      </c>
      <c r="D195">
        <v>4.4959759999999998</v>
      </c>
      <c r="E195">
        <v>0.48354570000000002</v>
      </c>
      <c r="F195" t="s">
        <v>42</v>
      </c>
      <c r="G195">
        <v>-382.79849999999999</v>
      </c>
      <c r="H195" s="1">
        <v>-3.452431E-6</v>
      </c>
      <c r="I195">
        <v>367.47</v>
      </c>
      <c r="J195">
        <v>-421.15050000000002</v>
      </c>
      <c r="K195">
        <v>1.060003</v>
      </c>
      <c r="L195">
        <v>367.72570000000002</v>
      </c>
      <c r="M195">
        <v>0.99985210000000002</v>
      </c>
      <c r="N195">
        <v>0</v>
      </c>
      <c r="O195">
        <v>8.3601609999999996E-3</v>
      </c>
      <c r="P195">
        <v>0.99576810000000004</v>
      </c>
      <c r="Q195">
        <v>7.5223609999999996E-2</v>
      </c>
      <c r="R195">
        <v>-5.2798650000000003E-2</v>
      </c>
      <c r="S195">
        <v>3.0181879999999999</v>
      </c>
      <c r="T195">
        <v>-8.2557679999999994E-2</v>
      </c>
      <c r="U195">
        <v>-1.9653319999999998E-2</v>
      </c>
      <c r="V195">
        <v>6.1133149999999997E-2</v>
      </c>
      <c r="W195">
        <v>9.0169170000000007E-2</v>
      </c>
      <c r="X195">
        <v>0.99404840000000005</v>
      </c>
      <c r="Y195">
        <v>1.4863499999999899E-2</v>
      </c>
      <c r="Z195">
        <v>-4.3190239999999999E-4</v>
      </c>
      <c r="AA195">
        <v>0.99988940000000004</v>
      </c>
      <c r="AB195">
        <v>39</v>
      </c>
      <c r="AC195">
        <v>38.351999999999997</v>
      </c>
      <c r="AD195">
        <v>-1.060006452431</v>
      </c>
      <c r="AE195">
        <v>-0.25569999999998999</v>
      </c>
      <c r="AF195">
        <v>0.575916248266787</v>
      </c>
      <c r="AG195">
        <v>-1.060006452431</v>
      </c>
      <c r="AH195">
        <v>38.319250408692803</v>
      </c>
      <c r="AI195">
        <v>91.584361853981093</v>
      </c>
      <c r="AJ195">
        <v>89.138942285481207</v>
      </c>
      <c r="AK195">
        <v>38.338234767504801</v>
      </c>
      <c r="AL195">
        <v>84.826660515236796</v>
      </c>
      <c r="AM195">
        <v>86.480789462983196</v>
      </c>
      <c r="AN195">
        <v>0.99999998139498503</v>
      </c>
    </row>
    <row r="196" spans="1:40" x14ac:dyDescent="0.25">
      <c r="A196" t="str">
        <f>"20190312154506098"</f>
        <v>20190312154506098</v>
      </c>
      <c r="B196" t="str">
        <f>"1552376706086848"</f>
        <v>1552376706086848</v>
      </c>
      <c r="C196" t="s">
        <v>40</v>
      </c>
      <c r="D196">
        <v>4.4821410000000004</v>
      </c>
      <c r="E196">
        <v>0.48371389999999997</v>
      </c>
      <c r="F196" t="s">
        <v>42</v>
      </c>
      <c r="G196">
        <v>-384.25470000000001</v>
      </c>
      <c r="H196" s="1">
        <v>-2.8186629999999998E-6</v>
      </c>
      <c r="I196">
        <v>367.5213</v>
      </c>
      <c r="J196">
        <v>-420.75450000000001</v>
      </c>
      <c r="K196">
        <v>1.060012</v>
      </c>
      <c r="L196">
        <v>367.72910000000002</v>
      </c>
      <c r="M196">
        <v>0.99985219999999997</v>
      </c>
      <c r="N196">
        <v>0</v>
      </c>
      <c r="O196">
        <v>8.3682859999999904E-3</v>
      </c>
      <c r="P196">
        <v>0.99583109999999997</v>
      </c>
      <c r="Q196">
        <v>7.5060719999999997E-2</v>
      </c>
      <c r="R196">
        <v>-5.183335E-2</v>
      </c>
      <c r="S196">
        <v>3.018402</v>
      </c>
      <c r="T196">
        <v>-8.6717719999999998E-2</v>
      </c>
      <c r="U196">
        <v>-1.672363E-2</v>
      </c>
      <c r="V196">
        <v>6.0174430000000001E-2</v>
      </c>
      <c r="W196">
        <v>8.999915E-2</v>
      </c>
      <c r="X196">
        <v>0.99412230000000001</v>
      </c>
      <c r="Y196">
        <v>1.390019E-2</v>
      </c>
      <c r="Z196">
        <v>-4.4002450000000002E-4</v>
      </c>
      <c r="AA196">
        <v>0.99990330000000005</v>
      </c>
      <c r="AB196">
        <v>39</v>
      </c>
      <c r="AC196">
        <v>36.499799999999901</v>
      </c>
      <c r="AD196">
        <v>-1.0600148186630001</v>
      </c>
      <c r="AE196">
        <v>-0.20780000000002</v>
      </c>
      <c r="AF196">
        <v>0.51283541890225703</v>
      </c>
      <c r="AG196">
        <v>-1.0600148186630001</v>
      </c>
      <c r="AH196">
        <v>36.466027445677597</v>
      </c>
      <c r="AI196">
        <v>91.664872259702804</v>
      </c>
      <c r="AJ196">
        <v>89.1942810816806</v>
      </c>
      <c r="AK196">
        <v>36.485035141158598</v>
      </c>
      <c r="AL196">
        <v>84.836441696098206</v>
      </c>
      <c r="AM196">
        <v>86.536100866951998</v>
      </c>
      <c r="AN196">
        <v>0.99999997819191799</v>
      </c>
    </row>
    <row r="197" spans="1:40" x14ac:dyDescent="0.25">
      <c r="A197" t="str">
        <f>"20190312154506120"</f>
        <v>20190312154506120</v>
      </c>
      <c r="B197" t="str">
        <f>"1552376706106369"</f>
        <v>1552376706106369</v>
      </c>
      <c r="C197" t="s">
        <v>40</v>
      </c>
      <c r="D197">
        <v>4.4727489999999896</v>
      </c>
      <c r="E197">
        <v>0.48375119999999999</v>
      </c>
      <c r="F197" t="s">
        <v>42</v>
      </c>
      <c r="G197">
        <v>-384.92090000000002</v>
      </c>
      <c r="H197" s="1">
        <v>-2.5283119999999999E-6</v>
      </c>
      <c r="I197">
        <v>367.54680000000002</v>
      </c>
      <c r="J197">
        <v>-420.37869999999998</v>
      </c>
      <c r="K197">
        <v>1.0600179999999999</v>
      </c>
      <c r="L197">
        <v>367.73230000000001</v>
      </c>
      <c r="M197">
        <v>0.99985219999999997</v>
      </c>
      <c r="N197">
        <v>0</v>
      </c>
      <c r="O197">
        <v>8.3804580000000004E-3</v>
      </c>
      <c r="P197">
        <v>0.99584870000000003</v>
      </c>
      <c r="Q197">
        <v>7.4965790000000004E-2</v>
      </c>
      <c r="R197">
        <v>-5.1630309999999999E-2</v>
      </c>
      <c r="S197">
        <v>3.018494</v>
      </c>
      <c r="T197">
        <v>-8.9291809999999999E-2</v>
      </c>
      <c r="U197">
        <v>-1.5350340000000001E-2</v>
      </c>
      <c r="V197">
        <v>5.9981479999999997E-2</v>
      </c>
      <c r="W197">
        <v>8.9897060000000001E-2</v>
      </c>
      <c r="X197">
        <v>0.9941432</v>
      </c>
      <c r="Y197">
        <v>1.3456930000000001E-2</v>
      </c>
      <c r="Z197">
        <v>-4.4687219999999997E-4</v>
      </c>
      <c r="AA197">
        <v>0.9999093</v>
      </c>
      <c r="AB197">
        <v>39</v>
      </c>
      <c r="AC197">
        <v>35.457799999999899</v>
      </c>
      <c r="AD197">
        <v>-1.0600205283120001</v>
      </c>
      <c r="AE197">
        <v>-0.18549999999999001</v>
      </c>
      <c r="AF197">
        <v>0.48224858792297298</v>
      </c>
      <c r="AG197">
        <v>-1.0600205283120001</v>
      </c>
      <c r="AH197">
        <v>35.4233418718877</v>
      </c>
      <c r="AI197">
        <v>91.713868821282304</v>
      </c>
      <c r="AJ197">
        <v>89.220031186012505</v>
      </c>
      <c r="AK197">
        <v>35.442479549174102</v>
      </c>
      <c r="AL197">
        <v>84.8423148424679</v>
      </c>
      <c r="AM197">
        <v>86.547253398035295</v>
      </c>
      <c r="AN197">
        <v>0.99999998072293605</v>
      </c>
    </row>
    <row r="198" spans="1:40" x14ac:dyDescent="0.25">
      <c r="A198" t="str">
        <f>"20190312154506141"</f>
        <v>20190312154506141</v>
      </c>
      <c r="B198" t="str">
        <f>"1552376706136625"</f>
        <v>1552376706136625</v>
      </c>
      <c r="C198" t="s">
        <v>40</v>
      </c>
      <c r="D198">
        <v>4.4399329999999999</v>
      </c>
      <c r="E198">
        <v>0.4838228</v>
      </c>
      <c r="F198" t="s">
        <v>42</v>
      </c>
      <c r="G198">
        <v>-385.88580000000002</v>
      </c>
      <c r="H198" s="1">
        <v>-2.1124170000000001E-6</v>
      </c>
      <c r="I198">
        <v>367.55790000000002</v>
      </c>
      <c r="J198">
        <v>-420.01609999999999</v>
      </c>
      <c r="K198">
        <v>1.0600240000000001</v>
      </c>
      <c r="L198">
        <v>367.7353</v>
      </c>
      <c r="M198">
        <v>0.99985210000000002</v>
      </c>
      <c r="N198">
        <v>0</v>
      </c>
      <c r="O198">
        <v>8.3951129999999992E-3</v>
      </c>
      <c r="P198">
        <v>0.99590250000000002</v>
      </c>
      <c r="Q198">
        <v>7.4799389999999993E-2</v>
      </c>
      <c r="R198">
        <v>-5.082163E-2</v>
      </c>
      <c r="S198">
        <v>3.0187379999999999</v>
      </c>
      <c r="T198">
        <v>-9.2770340000000007E-2</v>
      </c>
      <c r="U198">
        <v>-1.525879E-2</v>
      </c>
      <c r="V198">
        <v>5.918586E-2</v>
      </c>
      <c r="W198">
        <v>8.9725139999999995E-2</v>
      </c>
      <c r="X198">
        <v>0.99420640000000005</v>
      </c>
      <c r="Y198">
        <v>1.34401E-2</v>
      </c>
      <c r="Z198">
        <v>-4.6442720000000002E-4</v>
      </c>
      <c r="AA198">
        <v>0.99990959999999995</v>
      </c>
      <c r="AB198">
        <v>39</v>
      </c>
      <c r="AC198">
        <v>34.130299999999899</v>
      </c>
      <c r="AD198">
        <v>-1.0600261124169901</v>
      </c>
      <c r="AE198">
        <v>-0.17739999999997699</v>
      </c>
      <c r="AF198">
        <v>0.46350666287216902</v>
      </c>
      <c r="AG198">
        <v>-1.0600261124169901</v>
      </c>
      <c r="AH198">
        <v>34.094720223474098</v>
      </c>
      <c r="AI198">
        <v>91.780623445783803</v>
      </c>
      <c r="AJ198">
        <v>89.221130441258794</v>
      </c>
      <c r="AK198">
        <v>34.114343624090203</v>
      </c>
      <c r="AL198">
        <v>84.852205026909701</v>
      </c>
      <c r="AM198">
        <v>86.593159566877205</v>
      </c>
      <c r="AN198">
        <v>0.99999996628645904</v>
      </c>
    </row>
    <row r="199" spans="1:40" x14ac:dyDescent="0.25">
      <c r="A199" t="str">
        <f>"20190312154506164"</f>
        <v>20190312154506164</v>
      </c>
      <c r="B199" t="str">
        <f>"1552376706156145"</f>
        <v>1552376706156145</v>
      </c>
      <c r="C199" t="s">
        <v>40</v>
      </c>
      <c r="D199">
        <v>4.3891460000000002</v>
      </c>
      <c r="E199">
        <v>0.48389209999999999</v>
      </c>
      <c r="F199" t="s">
        <v>42</v>
      </c>
      <c r="G199">
        <v>-387.09559999999999</v>
      </c>
      <c r="H199" s="1">
        <v>-1.5872879999999999E-6</v>
      </c>
      <c r="I199">
        <v>367.59249999999997</v>
      </c>
      <c r="J199">
        <v>-419.61869999999999</v>
      </c>
      <c r="K199">
        <v>1.060033</v>
      </c>
      <c r="L199">
        <v>367.73860000000002</v>
      </c>
      <c r="M199">
        <v>0.99985210000000002</v>
      </c>
      <c r="N199">
        <v>0</v>
      </c>
      <c r="O199">
        <v>8.4138080000000001E-3</v>
      </c>
      <c r="P199">
        <v>0.99592820000000004</v>
      </c>
      <c r="Q199">
        <v>7.468234E-2</v>
      </c>
      <c r="R199">
        <v>-5.0495770000000002E-2</v>
      </c>
      <c r="S199">
        <v>3.019012</v>
      </c>
      <c r="T199">
        <v>-9.7210649999999996E-2</v>
      </c>
      <c r="U199">
        <v>-1.3092039999999999E-2</v>
      </c>
      <c r="V199">
        <v>5.887676E-2</v>
      </c>
      <c r="W199">
        <v>8.960166E-2</v>
      </c>
      <c r="X199">
        <v>0.99423589999999995</v>
      </c>
      <c r="Y199">
        <v>1.2740049999999999E-2</v>
      </c>
      <c r="Z199">
        <v>-4.7593560000000002E-4</v>
      </c>
      <c r="AA199">
        <v>0.99991870000000005</v>
      </c>
      <c r="AB199">
        <v>38</v>
      </c>
      <c r="AC199">
        <v>32.523099999999999</v>
      </c>
      <c r="AD199">
        <v>-1.0600345872879999</v>
      </c>
      <c r="AE199">
        <v>-0.146100000000046</v>
      </c>
      <c r="AF199">
        <v>0.419323287075278</v>
      </c>
      <c r="AG199">
        <v>-1.0600345872879999</v>
      </c>
      <c r="AH199">
        <v>32.486209014281897</v>
      </c>
      <c r="AI199">
        <v>91.868759522348199</v>
      </c>
      <c r="AJ199">
        <v>89.260482488624504</v>
      </c>
      <c r="AK199">
        <v>32.506203738131902</v>
      </c>
      <c r="AL199">
        <v>84.859308580290502</v>
      </c>
      <c r="AM199">
        <v>86.611010639902105</v>
      </c>
      <c r="AN199">
        <v>0.99999997759583104</v>
      </c>
    </row>
    <row r="200" spans="1:40" x14ac:dyDescent="0.25">
      <c r="A200" t="str">
        <f>"20190312154506185"</f>
        <v>20190312154506185</v>
      </c>
      <c r="B200" t="str">
        <f>"1552376706176641"</f>
        <v>1552376706176641</v>
      </c>
      <c r="C200" t="s">
        <v>40</v>
      </c>
      <c r="D200">
        <v>4.3696270000000004</v>
      </c>
      <c r="E200">
        <v>0.48394920000000002</v>
      </c>
      <c r="F200" t="s">
        <v>42</v>
      </c>
      <c r="G200">
        <v>-387.1857</v>
      </c>
      <c r="H200" s="1">
        <v>-1.546833E-6</v>
      </c>
      <c r="I200">
        <v>367.60250000000002</v>
      </c>
      <c r="J200">
        <v>-419.25439999999998</v>
      </c>
      <c r="K200">
        <v>1.060044</v>
      </c>
      <c r="L200">
        <v>367.74169999999998</v>
      </c>
      <c r="M200">
        <v>0.99985219999999997</v>
      </c>
      <c r="N200">
        <v>0</v>
      </c>
      <c r="O200">
        <v>8.4336410000000004E-3</v>
      </c>
      <c r="P200">
        <v>0.99590559999999995</v>
      </c>
      <c r="Q200">
        <v>7.5094149999999998E-2</v>
      </c>
      <c r="R200">
        <v>-5.033091E-2</v>
      </c>
      <c r="S200">
        <v>3.0189819999999998</v>
      </c>
      <c r="T200">
        <v>-9.8671670000000003E-2</v>
      </c>
      <c r="U200">
        <v>-1.266479E-2</v>
      </c>
      <c r="V200">
        <v>5.8730240000000003E-2</v>
      </c>
      <c r="W200">
        <v>9.0006760000000005E-2</v>
      </c>
      <c r="X200">
        <v>0.99420799999999998</v>
      </c>
      <c r="Y200">
        <v>1.261814E-2</v>
      </c>
      <c r="Z200">
        <v>-4.8174630000000001E-4</v>
      </c>
      <c r="AA200">
        <v>0.99992020000000004</v>
      </c>
      <c r="AB200">
        <v>38</v>
      </c>
      <c r="AC200">
        <v>32.0686999999999</v>
      </c>
      <c r="AD200">
        <v>-1.0600455468329999</v>
      </c>
      <c r="AE200">
        <v>-0.139199999999959</v>
      </c>
      <c r="AF200">
        <v>0.40923416211118202</v>
      </c>
      <c r="AG200">
        <v>-1.0600455468329999</v>
      </c>
      <c r="AH200">
        <v>32.031386305394797</v>
      </c>
      <c r="AI200">
        <v>91.895298133261505</v>
      </c>
      <c r="AJ200">
        <v>89.268026851132404</v>
      </c>
      <c r="AK200">
        <v>32.051534718422303</v>
      </c>
      <c r="AL200">
        <v>84.836004024789901</v>
      </c>
      <c r="AM200">
        <v>86.619330206598704</v>
      </c>
      <c r="AN200">
        <v>1.0000000026000699</v>
      </c>
    </row>
    <row r="201" spans="1:40" x14ac:dyDescent="0.25">
      <c r="A201" t="str">
        <f>"20190312154506207"</f>
        <v>20190312154506207</v>
      </c>
      <c r="B201" t="str">
        <f>"1552376706196160"</f>
        <v>1552376706196160</v>
      </c>
      <c r="C201" t="s">
        <v>40</v>
      </c>
      <c r="D201">
        <v>4.2909509999999997</v>
      </c>
      <c r="E201">
        <v>0.48409659999999899</v>
      </c>
      <c r="F201" t="s">
        <v>42</v>
      </c>
      <c r="G201">
        <v>-386.67189999999999</v>
      </c>
      <c r="H201" s="1">
        <v>-1.766433E-6</v>
      </c>
      <c r="I201">
        <v>367.60730000000001</v>
      </c>
      <c r="J201">
        <v>-418.86250000000001</v>
      </c>
      <c r="K201">
        <v>1.0600499999999999</v>
      </c>
      <c r="L201">
        <v>367.745</v>
      </c>
      <c r="M201">
        <v>0.99985199999999996</v>
      </c>
      <c r="N201">
        <v>0</v>
      </c>
      <c r="O201">
        <v>8.4582670000000002E-3</v>
      </c>
      <c r="P201">
        <v>0.9958941</v>
      </c>
      <c r="Q201">
        <v>7.507308E-2</v>
      </c>
      <c r="R201">
        <v>-5.0590320000000001E-2</v>
      </c>
      <c r="S201">
        <v>3.019104</v>
      </c>
      <c r="T201">
        <v>-9.8223809999999995E-2</v>
      </c>
      <c r="U201">
        <v>-1.2451169999999999E-2</v>
      </c>
      <c r="V201">
        <v>5.9013110000000001E-2</v>
      </c>
      <c r="W201">
        <v>8.9978740000000001E-2</v>
      </c>
      <c r="X201">
        <v>0.99419380000000002</v>
      </c>
      <c r="Y201">
        <v>1.257196E-2</v>
      </c>
      <c r="Z201">
        <v>-4.795914E-4</v>
      </c>
      <c r="AA201">
        <v>0.99992080000000005</v>
      </c>
      <c r="AB201">
        <v>38</v>
      </c>
      <c r="AC201">
        <v>32.190600000000003</v>
      </c>
      <c r="AD201">
        <v>-1.060051766433</v>
      </c>
      <c r="AE201">
        <v>-0.13769999999999499</v>
      </c>
      <c r="AF201">
        <v>0.40955819884746397</v>
      </c>
      <c r="AG201">
        <v>-1.060051766433</v>
      </c>
      <c r="AH201">
        <v>32.153416344125297</v>
      </c>
      <c r="AI201">
        <v>91.888122226451401</v>
      </c>
      <c r="AJ201">
        <v>89.270227243142102</v>
      </c>
      <c r="AK201">
        <v>32.173492664994001</v>
      </c>
      <c r="AL201">
        <v>84.837616064554098</v>
      </c>
      <c r="AM201">
        <v>86.6030370860272</v>
      </c>
      <c r="AN201">
        <v>1.00000001638114</v>
      </c>
    </row>
    <row r="202" spans="1:40" x14ac:dyDescent="0.25">
      <c r="A202" t="str">
        <f>"20190312154506229"</f>
        <v>20190312154506229</v>
      </c>
      <c r="B202" t="str">
        <f>"1552376706216656"</f>
        <v>1552376706216656</v>
      </c>
      <c r="C202" t="s">
        <v>40</v>
      </c>
      <c r="D202">
        <v>4.2377690000000001</v>
      </c>
      <c r="E202">
        <v>0.50167929999999905</v>
      </c>
      <c r="F202" t="s">
        <v>42</v>
      </c>
      <c r="G202">
        <v>-386.09359999999998</v>
      </c>
      <c r="H202" s="1">
        <v>-2.0185400000000001E-6</v>
      </c>
      <c r="I202">
        <v>367.58460000000002</v>
      </c>
      <c r="J202">
        <v>-418.50389999999999</v>
      </c>
      <c r="K202">
        <v>1.0600609999999999</v>
      </c>
      <c r="L202">
        <v>367.74810000000002</v>
      </c>
      <c r="M202">
        <v>0.99985190000000002</v>
      </c>
      <c r="N202">
        <v>0</v>
      </c>
      <c r="O202">
        <v>8.4828530000000003E-3</v>
      </c>
      <c r="P202">
        <v>0.99588270000000001</v>
      </c>
      <c r="Q202">
        <v>7.5145199999999995E-2</v>
      </c>
      <c r="R202">
        <v>-5.0704770000000003E-2</v>
      </c>
      <c r="S202">
        <v>3.0189509999999999</v>
      </c>
      <c r="T202">
        <v>-9.7660899999999995E-2</v>
      </c>
      <c r="U202">
        <v>-1.4770510000000001E-2</v>
      </c>
      <c r="V202">
        <v>5.9151490000000001E-2</v>
      </c>
      <c r="W202">
        <v>9.0044750000000007E-2</v>
      </c>
      <c r="X202">
        <v>0.99417960000000005</v>
      </c>
      <c r="Y202">
        <v>1.3364630000000001E-2</v>
      </c>
      <c r="Z202">
        <v>-4.9048080000000001E-4</v>
      </c>
      <c r="AA202">
        <v>0.99991059999999998</v>
      </c>
      <c r="AB202">
        <v>38</v>
      </c>
      <c r="AC202">
        <v>32.410299999999999</v>
      </c>
      <c r="AD202">
        <v>-1.06006301854</v>
      </c>
      <c r="AE202">
        <v>-0.16349999999999901</v>
      </c>
      <c r="AF202">
        <v>0.43798821210120098</v>
      </c>
      <c r="AG202">
        <v>-1.06006301854</v>
      </c>
      <c r="AH202">
        <v>32.373115060139703</v>
      </c>
      <c r="AI202">
        <v>91.875318157301294</v>
      </c>
      <c r="AJ202">
        <v>89.2248708536506</v>
      </c>
      <c r="AK202">
        <v>32.3934275119855</v>
      </c>
      <c r="AL202">
        <v>84.833818555164598</v>
      </c>
      <c r="AM202">
        <v>86.595041738979404</v>
      </c>
      <c r="AN202">
        <v>1.00000001641397</v>
      </c>
    </row>
    <row r="203" spans="1:40" x14ac:dyDescent="0.25">
      <c r="A203" t="str">
        <f>"20190312154506252"</f>
        <v>20190312154506252</v>
      </c>
      <c r="B203" t="str">
        <f>"1552376706236177"</f>
        <v>1552376706236177</v>
      </c>
      <c r="C203" t="s">
        <v>40</v>
      </c>
      <c r="D203">
        <v>4.2315769999999997</v>
      </c>
      <c r="E203">
        <v>0.5051544</v>
      </c>
      <c r="F203" t="s">
        <v>46</v>
      </c>
      <c r="G203">
        <v>-169.2955</v>
      </c>
      <c r="H203">
        <v>1.1018220000000001</v>
      </c>
      <c r="I203">
        <v>354.60750000000002</v>
      </c>
      <c r="J203">
        <v>-418.1157</v>
      </c>
      <c r="K203">
        <v>1.060065</v>
      </c>
      <c r="L203">
        <v>367.75139999999999</v>
      </c>
      <c r="M203">
        <v>0.99985179999999996</v>
      </c>
      <c r="N203">
        <v>0</v>
      </c>
      <c r="O203">
        <v>8.5106509999999993E-3</v>
      </c>
      <c r="P203">
        <v>0.99584220000000001</v>
      </c>
      <c r="Q203">
        <v>7.5566430000000004E-2</v>
      </c>
      <c r="R203">
        <v>-5.0873370000000001E-2</v>
      </c>
      <c r="S203">
        <v>3.0043329999999999</v>
      </c>
      <c r="T203">
        <v>5.0449369999999998E-4</v>
      </c>
      <c r="U203">
        <v>-0.15841669999999999</v>
      </c>
      <c r="V203">
        <v>5.934702E-2</v>
      </c>
      <c r="W203">
        <v>9.0458849999999993E-2</v>
      </c>
      <c r="X203">
        <v>0.99413030000000002</v>
      </c>
      <c r="Y203">
        <v>6.1154159999999999E-2</v>
      </c>
      <c r="Z203" s="1">
        <v>6.5593619999999996E-6</v>
      </c>
      <c r="AA203">
        <v>0.99812840000000003</v>
      </c>
      <c r="AB203">
        <v>38</v>
      </c>
      <c r="AC203">
        <v>248.8202</v>
      </c>
      <c r="AD203">
        <v>4.1756999999999801E-2</v>
      </c>
      <c r="AE203">
        <v>-13.143899999999901</v>
      </c>
      <c r="AF203">
        <v>15.2612824832042</v>
      </c>
      <c r="AG203">
        <v>4.1756999999999801E-2</v>
      </c>
      <c r="AH203">
        <v>248.69930398962401</v>
      </c>
      <c r="AI203">
        <v>89.990398011169106</v>
      </c>
      <c r="AJ203">
        <v>86.488482344852301</v>
      </c>
      <c r="AK203">
        <v>249.167117195674</v>
      </c>
      <c r="AL203">
        <v>84.809994870515396</v>
      </c>
      <c r="AM203">
        <v>86.58364397727</v>
      </c>
      <c r="AN203">
        <v>0.99999996285214499</v>
      </c>
    </row>
    <row r="204" spans="1:40" x14ac:dyDescent="0.25">
      <c r="A204" t="str">
        <f>"20190312154506276"</f>
        <v>20190312154506276</v>
      </c>
      <c r="B204" t="str">
        <f>"1552376706266432"</f>
        <v>1552376706266432</v>
      </c>
      <c r="C204" t="s">
        <v>40</v>
      </c>
      <c r="D204">
        <v>4.1767339999999997</v>
      </c>
      <c r="E204">
        <v>0.50616220000000001</v>
      </c>
      <c r="F204" t="s">
        <v>46</v>
      </c>
      <c r="G204">
        <v>-158.78319999999999</v>
      </c>
      <c r="H204">
        <v>2.7851300000000001</v>
      </c>
      <c r="I204">
        <v>351.59039999999999</v>
      </c>
      <c r="J204">
        <v>-417.71010000000001</v>
      </c>
      <c r="K204">
        <v>1.060071</v>
      </c>
      <c r="L204">
        <v>367.75490000000002</v>
      </c>
      <c r="M204">
        <v>0.99985159999999995</v>
      </c>
      <c r="N204">
        <v>0</v>
      </c>
      <c r="O204">
        <v>8.5394029999999992E-3</v>
      </c>
      <c r="P204">
        <v>0.9958555</v>
      </c>
      <c r="Q204">
        <v>7.5394600000000006E-2</v>
      </c>
      <c r="R204">
        <v>-5.0870440000000003E-2</v>
      </c>
      <c r="S204">
        <v>3.0014340000000002</v>
      </c>
      <c r="T204">
        <v>1.9966359999999999E-2</v>
      </c>
      <c r="U204">
        <v>-0.18704219999999999</v>
      </c>
      <c r="V204">
        <v>5.9372420000000002E-2</v>
      </c>
      <c r="W204">
        <v>9.0281249999999993E-2</v>
      </c>
      <c r="X204">
        <v>0.99414499999999995</v>
      </c>
      <c r="Y204">
        <v>7.0716780000000007E-2</v>
      </c>
      <c r="Z204">
        <v>2.917436E-4</v>
      </c>
      <c r="AA204">
        <v>0.99749639999999995</v>
      </c>
      <c r="AB204">
        <v>38</v>
      </c>
      <c r="AC204">
        <v>258.92689999999999</v>
      </c>
      <c r="AD204">
        <v>1.7250589999999999</v>
      </c>
      <c r="AE204">
        <v>-16.1645</v>
      </c>
      <c r="AF204">
        <v>18.374426743776901</v>
      </c>
      <c r="AG204">
        <v>1.7250589999999999</v>
      </c>
      <c r="AH204">
        <v>258.76796514114898</v>
      </c>
      <c r="AI204">
        <v>89.619006506492994</v>
      </c>
      <c r="AJ204">
        <v>85.9383957987325</v>
      </c>
      <c r="AK204">
        <v>259.42524004037602</v>
      </c>
      <c r="AL204">
        <v>84.8202127820351</v>
      </c>
      <c r="AM204">
        <v>86.582235690491103</v>
      </c>
      <c r="AN204">
        <v>1.0000000346916</v>
      </c>
    </row>
    <row r="205" spans="1:40" x14ac:dyDescent="0.25">
      <c r="A205" t="str">
        <f>"20190312154506299"</f>
        <v>20190312154506299</v>
      </c>
      <c r="B205" t="str">
        <f>"1552376706285952"</f>
        <v>1552376706285952</v>
      </c>
      <c r="C205" t="s">
        <v>40</v>
      </c>
      <c r="D205">
        <v>4.1333919999999997</v>
      </c>
      <c r="E205">
        <v>0.50662359999999995</v>
      </c>
      <c r="F205" t="s">
        <v>44</v>
      </c>
      <c r="G205">
        <v>0</v>
      </c>
      <c r="H205">
        <v>0</v>
      </c>
      <c r="I205">
        <v>0</v>
      </c>
      <c r="J205">
        <v>-417.31779999999998</v>
      </c>
      <c r="K205">
        <v>1.060071</v>
      </c>
      <c r="L205">
        <v>367.75819999999999</v>
      </c>
      <c r="M205">
        <v>0.9998515</v>
      </c>
      <c r="N205">
        <v>0</v>
      </c>
      <c r="O205">
        <v>8.5661850000000005E-3</v>
      </c>
      <c r="P205">
        <v>0.99585440000000003</v>
      </c>
      <c r="Q205">
        <v>7.5721380000000005E-2</v>
      </c>
      <c r="R205">
        <v>-5.0405560000000002E-2</v>
      </c>
      <c r="S205">
        <v>3.0002140000000002</v>
      </c>
      <c r="T205">
        <v>3.0085089999999998E-2</v>
      </c>
      <c r="U205">
        <v>-0.19564819999999999</v>
      </c>
      <c r="V205">
        <v>5.8933550000000001E-2</v>
      </c>
      <c r="W205">
        <v>9.0602279999999993E-2</v>
      </c>
      <c r="X205">
        <v>0.99414190000000002</v>
      </c>
      <c r="Y205">
        <v>7.3615689999999998E-2</v>
      </c>
      <c r="Z205">
        <v>4.545156E-4</v>
      </c>
      <c r="AA205">
        <v>0.99728660000000002</v>
      </c>
      <c r="AB205">
        <v>38</v>
      </c>
      <c r="AC205">
        <v>3.0002140000000002</v>
      </c>
      <c r="AD205">
        <v>3.0085089999999998E-2</v>
      </c>
      <c r="AE205">
        <v>-0.19564819999999999</v>
      </c>
      <c r="AF205">
        <v>0.22132212137999799</v>
      </c>
      <c r="AG205">
        <v>3.0085089999999998E-2</v>
      </c>
      <c r="AH205">
        <v>2.9981275538427798</v>
      </c>
      <c r="AI205">
        <v>89.4266375691207</v>
      </c>
      <c r="AJ205">
        <v>85.778076839651803</v>
      </c>
      <c r="AK205">
        <v>3.0064360001775801</v>
      </c>
      <c r="AL205">
        <v>84.801743385750001</v>
      </c>
      <c r="AM205">
        <v>86.607429394568697</v>
      </c>
      <c r="AN205">
        <v>1.0000000268961999</v>
      </c>
    </row>
    <row r="206" spans="1:40" x14ac:dyDescent="0.25">
      <c r="A206" t="str">
        <f>"20190312154506319"</f>
        <v>20190312154506319</v>
      </c>
      <c r="B206" t="str">
        <f>"1552376706306448"</f>
        <v>1552376706306448</v>
      </c>
      <c r="C206" t="s">
        <v>40</v>
      </c>
      <c r="D206">
        <v>4.1066640000000003</v>
      </c>
      <c r="E206">
        <v>0.50688449999999996</v>
      </c>
      <c r="F206" t="s">
        <v>44</v>
      </c>
      <c r="G206">
        <v>0</v>
      </c>
      <c r="H206">
        <v>0</v>
      </c>
      <c r="I206">
        <v>0</v>
      </c>
      <c r="J206">
        <v>-416.96710000000002</v>
      </c>
      <c r="K206">
        <v>1.060068</v>
      </c>
      <c r="L206">
        <v>367.76130000000001</v>
      </c>
      <c r="M206">
        <v>0.99985139999999995</v>
      </c>
      <c r="N206">
        <v>0</v>
      </c>
      <c r="O206">
        <v>8.5897899999999999E-3</v>
      </c>
      <c r="P206">
        <v>0.99590500000000004</v>
      </c>
      <c r="Q206">
        <v>7.5257279999999996E-2</v>
      </c>
      <c r="R206">
        <v>-5.0097709999999997E-2</v>
      </c>
      <c r="S206">
        <v>2.9998779999999998</v>
      </c>
      <c r="T206">
        <v>3.4648539999999999E-2</v>
      </c>
      <c r="U206">
        <v>-0.19775390000000001</v>
      </c>
      <c r="V206">
        <v>5.8649600000000003E-2</v>
      </c>
      <c r="W206">
        <v>9.0134030000000004E-2</v>
      </c>
      <c r="X206">
        <v>0.99420120000000001</v>
      </c>
      <c r="Y206">
        <v>7.434209E-2</v>
      </c>
      <c r="Z206">
        <v>5.2796339999999905E-4</v>
      </c>
      <c r="AA206">
        <v>0.99723269999999997</v>
      </c>
      <c r="AB206">
        <v>38</v>
      </c>
      <c r="AC206">
        <v>2.9998779999999998</v>
      </c>
      <c r="AD206">
        <v>3.4648539999999999E-2</v>
      </c>
      <c r="AE206">
        <v>-0.19775390000000001</v>
      </c>
      <c r="AF206">
        <v>0.22348811862452</v>
      </c>
      <c r="AG206">
        <v>3.4648539999999999E-2</v>
      </c>
      <c r="AH206">
        <v>2.99767028145647</v>
      </c>
      <c r="AI206">
        <v>89.339609447459594</v>
      </c>
      <c r="AJ206">
        <v>85.736262136416599</v>
      </c>
      <c r="AK206">
        <v>3.0061893780694802</v>
      </c>
      <c r="AL206">
        <v>84.828682074777703</v>
      </c>
      <c r="AM206">
        <v>86.623938279271897</v>
      </c>
      <c r="AN206">
        <v>0.99999997251282002</v>
      </c>
    </row>
    <row r="207" spans="1:40" x14ac:dyDescent="0.25">
      <c r="A207" t="str">
        <f>"20190312154506341"</f>
        <v>20190312154506341</v>
      </c>
      <c r="B207" t="str">
        <f>"1552376706336704"</f>
        <v>1552376706336704</v>
      </c>
      <c r="C207" t="s">
        <v>40</v>
      </c>
      <c r="D207">
        <v>4.0868399999999996</v>
      </c>
      <c r="E207">
        <v>0.50709759999999904</v>
      </c>
      <c r="F207" t="s">
        <v>44</v>
      </c>
      <c r="G207">
        <v>0</v>
      </c>
      <c r="H207">
        <v>0</v>
      </c>
      <c r="I207">
        <v>0</v>
      </c>
      <c r="J207">
        <v>-416.5872</v>
      </c>
      <c r="K207">
        <v>1.0600670000000001</v>
      </c>
      <c r="L207">
        <v>367.76459999999997</v>
      </c>
      <c r="M207">
        <v>0.9998513</v>
      </c>
      <c r="N207">
        <v>0</v>
      </c>
      <c r="O207">
        <v>8.6151790000000006E-3</v>
      </c>
      <c r="P207">
        <v>0.99594649999999996</v>
      </c>
      <c r="Q207">
        <v>7.5102699999999994E-2</v>
      </c>
      <c r="R207">
        <v>-4.9501280000000002E-2</v>
      </c>
      <c r="S207">
        <v>2.9995729999999998</v>
      </c>
      <c r="T207">
        <v>3.618598E-2</v>
      </c>
      <c r="U207">
        <v>-0.1990662</v>
      </c>
      <c r="V207">
        <v>5.8078560000000001E-2</v>
      </c>
      <c r="W207">
        <v>8.9974460000000006E-2</v>
      </c>
      <c r="X207">
        <v>0.99424920000000006</v>
      </c>
      <c r="Y207">
        <v>7.480792E-2</v>
      </c>
      <c r="Z207">
        <v>5.5454959999999998E-4</v>
      </c>
      <c r="AA207">
        <v>0.99719780000000002</v>
      </c>
      <c r="AB207">
        <v>38</v>
      </c>
      <c r="AC207">
        <v>2.9995729999999998</v>
      </c>
      <c r="AD207">
        <v>3.618598E-2</v>
      </c>
      <c r="AE207">
        <v>-0.1990662</v>
      </c>
      <c r="AF207">
        <v>0.22487097026078701</v>
      </c>
      <c r="AG207">
        <v>3.618598E-2</v>
      </c>
      <c r="AH207">
        <v>2.9973121792408599</v>
      </c>
      <c r="AI207">
        <v>89.310250812678305</v>
      </c>
      <c r="AJ207">
        <v>85.709467455979805</v>
      </c>
      <c r="AK207">
        <v>3.0059535389357199</v>
      </c>
      <c r="AL207">
        <v>84.837862189619997</v>
      </c>
      <c r="AM207">
        <v>86.656895309846405</v>
      </c>
      <c r="AN207">
        <v>0.99999999714230203</v>
      </c>
    </row>
    <row r="208" spans="1:40" x14ac:dyDescent="0.25">
      <c r="A208" t="str">
        <f>"20190312154506365"</f>
        <v>20190312154506365</v>
      </c>
      <c r="B208" t="str">
        <f>"1552376706356225"</f>
        <v>1552376706356225</v>
      </c>
      <c r="C208" t="s">
        <v>40</v>
      </c>
      <c r="D208">
        <v>4.0324759999999999</v>
      </c>
      <c r="E208">
        <v>0.50725730000000002</v>
      </c>
      <c r="F208" t="s">
        <v>44</v>
      </c>
      <c r="G208">
        <v>0</v>
      </c>
      <c r="H208">
        <v>0</v>
      </c>
      <c r="I208">
        <v>0</v>
      </c>
      <c r="J208">
        <v>-416.19970000000001</v>
      </c>
      <c r="K208">
        <v>1.0600689999999999</v>
      </c>
      <c r="L208">
        <v>367.7679</v>
      </c>
      <c r="M208">
        <v>0.99985119999999905</v>
      </c>
      <c r="N208">
        <v>0</v>
      </c>
      <c r="O208">
        <v>8.6413949999999996E-3</v>
      </c>
      <c r="P208">
        <v>0.99596899999999999</v>
      </c>
      <c r="Q208">
        <v>7.5187069999999995E-2</v>
      </c>
      <c r="R208">
        <v>-4.8917000000000002E-2</v>
      </c>
      <c r="S208">
        <v>2.9994200000000002</v>
      </c>
      <c r="T208">
        <v>3.8843990000000002E-2</v>
      </c>
      <c r="U208">
        <v>-0.19918820000000001</v>
      </c>
      <c r="V208">
        <v>5.7520540000000002E-2</v>
      </c>
      <c r="W208">
        <v>9.0054239999999994E-2</v>
      </c>
      <c r="X208">
        <v>0.9942744</v>
      </c>
      <c r="Y208">
        <v>7.4876880000000007E-2</v>
      </c>
      <c r="Z208">
        <v>5.9609490000000001E-4</v>
      </c>
      <c r="AA208">
        <v>0.99719259999999998</v>
      </c>
      <c r="AB208">
        <v>38</v>
      </c>
      <c r="AC208">
        <v>2.9994200000000002</v>
      </c>
      <c r="AD208">
        <v>3.8843990000000002E-2</v>
      </c>
      <c r="AE208">
        <v>-0.19918820000000001</v>
      </c>
      <c r="AF208">
        <v>0.22506524217927101</v>
      </c>
      <c r="AG208">
        <v>3.8843990000000002E-2</v>
      </c>
      <c r="AH208">
        <v>2.9970860776323001</v>
      </c>
      <c r="AI208">
        <v>89.259539371658903</v>
      </c>
      <c r="AJ208">
        <v>85.7054518655858</v>
      </c>
      <c r="AK208">
        <v>3.0057758026063199</v>
      </c>
      <c r="AL208">
        <v>84.833272414520195</v>
      </c>
      <c r="AM208">
        <v>86.689027851022502</v>
      </c>
      <c r="AN208">
        <v>0.99999998057961403</v>
      </c>
    </row>
    <row r="209" spans="1:40" x14ac:dyDescent="0.25">
      <c r="A209" t="str">
        <f>"20190312154506387"</f>
        <v>20190312154506387</v>
      </c>
      <c r="B209" t="str">
        <f>"1552376706376721"</f>
        <v>1552376706376721</v>
      </c>
      <c r="C209" t="s">
        <v>40</v>
      </c>
      <c r="D209">
        <v>4.0399039999999999</v>
      </c>
      <c r="E209">
        <v>0.50750699999999904</v>
      </c>
      <c r="F209" t="s">
        <v>44</v>
      </c>
      <c r="G209">
        <v>0</v>
      </c>
      <c r="H209">
        <v>0</v>
      </c>
      <c r="I209">
        <v>0</v>
      </c>
      <c r="J209">
        <v>-415.81</v>
      </c>
      <c r="K209">
        <v>1.060071</v>
      </c>
      <c r="L209">
        <v>367.7713</v>
      </c>
      <c r="M209">
        <v>0.99985089999999999</v>
      </c>
      <c r="N209">
        <v>0</v>
      </c>
      <c r="O209">
        <v>8.6687919999999998E-3</v>
      </c>
      <c r="P209">
        <v>0.99598699999999996</v>
      </c>
      <c r="Q209">
        <v>7.5386099999999998E-2</v>
      </c>
      <c r="R209">
        <v>-4.8238349999999999E-2</v>
      </c>
      <c r="S209">
        <v>2.9993590000000001</v>
      </c>
      <c r="T209">
        <v>4.0200230000000003E-2</v>
      </c>
      <c r="U209">
        <v>-0.1985779</v>
      </c>
      <c r="V209">
        <v>5.6869429999999999E-2</v>
      </c>
      <c r="W209">
        <v>9.0248480000000006E-2</v>
      </c>
      <c r="X209">
        <v>0.99429429999999996</v>
      </c>
      <c r="Y209">
        <v>7.4703019999999995E-2</v>
      </c>
      <c r="Z209">
        <v>6.1612560000000002E-4</v>
      </c>
      <c r="AA209">
        <v>0.99720560000000003</v>
      </c>
      <c r="AB209">
        <v>38</v>
      </c>
      <c r="AC209">
        <v>2.9993590000000001</v>
      </c>
      <c r="AD209">
        <v>4.0200230000000003E-2</v>
      </c>
      <c r="AE209">
        <v>-0.1985779</v>
      </c>
      <c r="AF209">
        <v>0.22453399711202099</v>
      </c>
      <c r="AG209">
        <v>4.0200230000000003E-2</v>
      </c>
      <c r="AH209">
        <v>2.99698862649144</v>
      </c>
      <c r="AI209">
        <v>89.233654274015706</v>
      </c>
      <c r="AJ209">
        <v>85.715412151082901</v>
      </c>
      <c r="AK209">
        <v>3.0056567338387401</v>
      </c>
      <c r="AL209">
        <v>84.822098075919598</v>
      </c>
      <c r="AM209">
        <v>86.726490160274494</v>
      </c>
      <c r="AN209">
        <v>1.00000003761166</v>
      </c>
    </row>
    <row r="210" spans="1:40" x14ac:dyDescent="0.25">
      <c r="A210" t="str">
        <f>"20190312154506409"</f>
        <v>20190312154506409</v>
      </c>
      <c r="B210" t="str">
        <f>"1552376706396241"</f>
        <v>1552376706396241</v>
      </c>
      <c r="C210" t="s">
        <v>40</v>
      </c>
      <c r="D210">
        <v>4.0030409999999996</v>
      </c>
      <c r="E210">
        <v>0.50758579999999998</v>
      </c>
      <c r="F210" t="s">
        <v>44</v>
      </c>
      <c r="G210">
        <v>0</v>
      </c>
      <c r="H210">
        <v>0</v>
      </c>
      <c r="I210">
        <v>0</v>
      </c>
      <c r="J210">
        <v>-415.43619999999999</v>
      </c>
      <c r="K210">
        <v>1.060071</v>
      </c>
      <c r="L210">
        <v>367.77460000000002</v>
      </c>
      <c r="M210">
        <v>0.99985069999999998</v>
      </c>
      <c r="N210">
        <v>0</v>
      </c>
      <c r="O210">
        <v>8.6949950000000005E-3</v>
      </c>
      <c r="P210">
        <v>0.99596289999999998</v>
      </c>
      <c r="Q210">
        <v>7.5880320000000001E-2</v>
      </c>
      <c r="R210">
        <v>-4.7959630000000003E-2</v>
      </c>
      <c r="S210">
        <v>2.9992070000000002</v>
      </c>
      <c r="T210">
        <v>4.2630199999999903E-2</v>
      </c>
      <c r="U210">
        <v>-0.1984863</v>
      </c>
      <c r="V210">
        <v>5.6616409999999999E-2</v>
      </c>
      <c r="W210">
        <v>9.0737129999999999E-2</v>
      </c>
      <c r="X210">
        <v>0.99426420000000004</v>
      </c>
      <c r="Y210">
        <v>7.4701260000000005E-2</v>
      </c>
      <c r="Z210">
        <v>6.5375790000000002E-4</v>
      </c>
      <c r="AA210">
        <v>0.99720569999999997</v>
      </c>
      <c r="AB210">
        <v>38</v>
      </c>
      <c r="AC210">
        <v>2.9992070000000002</v>
      </c>
      <c r="AD210">
        <v>4.2630199999999903E-2</v>
      </c>
      <c r="AE210">
        <v>-0.1984863</v>
      </c>
      <c r="AF210">
        <v>0.224514631322971</v>
      </c>
      <c r="AG210">
        <v>4.2630199999999903E-2</v>
      </c>
      <c r="AH210">
        <v>2.9967647636977399</v>
      </c>
      <c r="AI210">
        <v>89.187276511572094</v>
      </c>
      <c r="AJ210">
        <v>85.715461469834594</v>
      </c>
      <c r="AK210">
        <v>3.0054655550464302</v>
      </c>
      <c r="AL210">
        <v>84.793984807365604</v>
      </c>
      <c r="AM210">
        <v>86.740924549156006</v>
      </c>
      <c r="AN210">
        <v>0.99999997202178204</v>
      </c>
    </row>
    <row r="211" spans="1:40" x14ac:dyDescent="0.25">
      <c r="A211" t="str">
        <f>"20190312154506431"</f>
        <v>20190312154506431</v>
      </c>
      <c r="B211" t="str">
        <f>"1552376706426496"</f>
        <v>1552376706426496</v>
      </c>
      <c r="C211" t="s">
        <v>40</v>
      </c>
      <c r="D211">
        <v>3.9897860000000001</v>
      </c>
      <c r="E211">
        <v>0.50788420000000001</v>
      </c>
      <c r="F211" t="s">
        <v>44</v>
      </c>
      <c r="G211">
        <v>0</v>
      </c>
      <c r="H211">
        <v>0</v>
      </c>
      <c r="I211">
        <v>0</v>
      </c>
      <c r="J211">
        <v>-415.06729999999999</v>
      </c>
      <c r="K211">
        <v>1.0600689999999999</v>
      </c>
      <c r="L211">
        <v>367.77780000000001</v>
      </c>
      <c r="M211">
        <v>0.99985069999999998</v>
      </c>
      <c r="N211">
        <v>0</v>
      </c>
      <c r="O211">
        <v>8.7202500000000006E-3</v>
      </c>
      <c r="P211">
        <v>0.99599780000000004</v>
      </c>
      <c r="Q211">
        <v>7.5411820000000004E-2</v>
      </c>
      <c r="R211">
        <v>-4.7974559999999999E-2</v>
      </c>
      <c r="S211">
        <v>2.9991460000000001</v>
      </c>
      <c r="T211">
        <v>4.6135900000000001E-2</v>
      </c>
      <c r="U211">
        <v>-0.1982727</v>
      </c>
      <c r="V211">
        <v>5.6656819999999997E-2</v>
      </c>
      <c r="W211">
        <v>9.0264150000000001E-2</v>
      </c>
      <c r="X211">
        <v>0.99430499999999999</v>
      </c>
      <c r="Y211">
        <v>7.4655630000000001E-2</v>
      </c>
      <c r="Z211">
        <v>7.0756740000000001E-4</v>
      </c>
      <c r="AA211">
        <v>0.99720909999999996</v>
      </c>
      <c r="AB211">
        <v>38</v>
      </c>
      <c r="AC211">
        <v>2.9991460000000001</v>
      </c>
      <c r="AD211">
        <v>4.6135900000000001E-2</v>
      </c>
      <c r="AE211">
        <v>-0.1982727</v>
      </c>
      <c r="AF211">
        <v>0.22436851011141801</v>
      </c>
      <c r="AG211">
        <v>4.6135900000000001E-2</v>
      </c>
      <c r="AH211">
        <v>2.9965967406421701</v>
      </c>
      <c r="AI211">
        <v>89.120399962645493</v>
      </c>
      <c r="AJ211">
        <v>85.718000418135901</v>
      </c>
      <c r="AK211">
        <v>3.0053388786667199</v>
      </c>
      <c r="AL211">
        <v>84.821196493324706</v>
      </c>
      <c r="AM211">
        <v>86.7387369398338</v>
      </c>
      <c r="AN211">
        <v>1.0000000225263601</v>
      </c>
    </row>
    <row r="212" spans="1:40" x14ac:dyDescent="0.25">
      <c r="A212" t="str">
        <f>"20190312154506454"</f>
        <v>20190312154506454</v>
      </c>
      <c r="B212" t="str">
        <f>"1552376706446018"</f>
        <v>1552376706446018</v>
      </c>
      <c r="C212" t="s">
        <v>40</v>
      </c>
      <c r="D212">
        <v>3.9888349999999999</v>
      </c>
      <c r="E212">
        <v>0.50803580000000004</v>
      </c>
      <c r="F212" t="s">
        <v>44</v>
      </c>
      <c r="G212">
        <v>0</v>
      </c>
      <c r="H212">
        <v>0</v>
      </c>
      <c r="I212">
        <v>0</v>
      </c>
      <c r="J212">
        <v>-414.685</v>
      </c>
      <c r="K212">
        <v>1.060066</v>
      </c>
      <c r="L212">
        <v>367.78120000000001</v>
      </c>
      <c r="M212">
        <v>0.99985049999999998</v>
      </c>
      <c r="N212">
        <v>0</v>
      </c>
      <c r="O212">
        <v>8.7462809999999998E-3</v>
      </c>
      <c r="P212">
        <v>0.9960116</v>
      </c>
      <c r="Q212">
        <v>7.5102840000000004E-2</v>
      </c>
      <c r="R212">
        <v>-4.8175669999999997E-2</v>
      </c>
      <c r="S212">
        <v>2.99884</v>
      </c>
      <c r="T212">
        <v>4.6433210000000003E-2</v>
      </c>
      <c r="U212">
        <v>-0.2010498</v>
      </c>
      <c r="V212">
        <v>5.6883820000000002E-2</v>
      </c>
      <c r="W212">
        <v>8.9950710000000003E-2</v>
      </c>
      <c r="X212">
        <v>0.99432039999999999</v>
      </c>
      <c r="Y212">
        <v>7.5607399999999894E-2</v>
      </c>
      <c r="Z212">
        <v>7.1993960000000005E-4</v>
      </c>
      <c r="AA212">
        <v>0.99713739999999995</v>
      </c>
      <c r="AB212">
        <v>38</v>
      </c>
      <c r="AC212">
        <v>2.99884</v>
      </c>
      <c r="AD212">
        <v>4.6433210000000003E-2</v>
      </c>
      <c r="AE212">
        <v>-0.2010498</v>
      </c>
      <c r="AF212">
        <v>0.227219492585581</v>
      </c>
      <c r="AG212">
        <v>4.6433210000000003E-2</v>
      </c>
      <c r="AH212">
        <v>2.9962515126677101</v>
      </c>
      <c r="AI212">
        <v>89.114694222701999</v>
      </c>
      <c r="AJ212">
        <v>85.663298867529406</v>
      </c>
      <c r="AK212">
        <v>3.0052134479875701</v>
      </c>
      <c r="AL212">
        <v>84.839228408289998</v>
      </c>
      <c r="AM212">
        <v>86.725749408572398</v>
      </c>
      <c r="AN212">
        <v>0.99999997853172795</v>
      </c>
    </row>
    <row r="213" spans="1:40" x14ac:dyDescent="0.25">
      <c r="A213" t="str">
        <f>"20190312154506478"</f>
        <v>20190312154506478</v>
      </c>
      <c r="B213" t="str">
        <f>"1552376706466513"</f>
        <v>1552376706466513</v>
      </c>
      <c r="C213" t="s">
        <v>40</v>
      </c>
      <c r="D213">
        <v>3.9578500000000001</v>
      </c>
      <c r="E213">
        <v>0.50817609999999902</v>
      </c>
      <c r="F213" t="s">
        <v>44</v>
      </c>
      <c r="G213">
        <v>0</v>
      </c>
      <c r="H213">
        <v>0</v>
      </c>
      <c r="I213">
        <v>0</v>
      </c>
      <c r="J213">
        <v>-414.28030000000001</v>
      </c>
      <c r="K213">
        <v>1.060063</v>
      </c>
      <c r="L213">
        <v>367.78480000000002</v>
      </c>
      <c r="M213">
        <v>0.99985029999999997</v>
      </c>
      <c r="N213">
        <v>0</v>
      </c>
      <c r="O213">
        <v>8.7740359999999903E-3</v>
      </c>
      <c r="P213">
        <v>0.99596410000000002</v>
      </c>
      <c r="Q213">
        <v>7.557999E-2</v>
      </c>
      <c r="R213">
        <v>-4.8410839999999997E-2</v>
      </c>
      <c r="S213">
        <v>2.9987180000000002</v>
      </c>
      <c r="T213">
        <v>4.6576140000000002E-2</v>
      </c>
      <c r="U213">
        <v>-0.20260619999999999</v>
      </c>
      <c r="V213">
        <v>5.7146009999999997E-2</v>
      </c>
      <c r="W213">
        <v>9.0422290000000002E-2</v>
      </c>
      <c r="X213">
        <v>0.9942626</v>
      </c>
      <c r="Y213">
        <v>7.6152830000000005E-2</v>
      </c>
      <c r="Z213">
        <v>7.2683369999999999E-4</v>
      </c>
      <c r="AA213">
        <v>0.99709590000000003</v>
      </c>
      <c r="AB213">
        <v>38</v>
      </c>
      <c r="AC213">
        <v>2.9987180000000002</v>
      </c>
      <c r="AD213">
        <v>4.6576140000000002E-2</v>
      </c>
      <c r="AE213">
        <v>-0.20260619999999999</v>
      </c>
      <c r="AF213">
        <v>0.22885722584138299</v>
      </c>
      <c r="AG213">
        <v>4.6576140000000002E-2</v>
      </c>
      <c r="AH213">
        <v>2.9961051675014501</v>
      </c>
      <c r="AI213">
        <v>89.111963130774697</v>
      </c>
      <c r="AJ213">
        <v>85.631949173270499</v>
      </c>
      <c r="AK213">
        <v>3.0051940272411701</v>
      </c>
      <c r="AL213">
        <v>84.812098351704606</v>
      </c>
      <c r="AM213">
        <v>86.710499932560197</v>
      </c>
      <c r="AN213">
        <v>0.99999998737326201</v>
      </c>
    </row>
    <row r="214" spans="1:40" x14ac:dyDescent="0.25">
      <c r="A214" t="str">
        <f>"20190312154506500"</f>
        <v>20190312154506500</v>
      </c>
      <c r="B214" t="str">
        <f>"1552376706486033"</f>
        <v>1552376706486033</v>
      </c>
      <c r="C214" t="s">
        <v>40</v>
      </c>
      <c r="D214">
        <v>3.9824160000000002</v>
      </c>
      <c r="E214">
        <v>0.50731949999999904</v>
      </c>
      <c r="F214" t="s">
        <v>44</v>
      </c>
      <c r="G214">
        <v>0</v>
      </c>
      <c r="H214">
        <v>0</v>
      </c>
      <c r="I214">
        <v>0</v>
      </c>
      <c r="J214">
        <v>-413.90359999999998</v>
      </c>
      <c r="K214">
        <v>1.0600670000000001</v>
      </c>
      <c r="L214">
        <v>367.78809999999999</v>
      </c>
      <c r="M214">
        <v>0.99985000000000002</v>
      </c>
      <c r="N214">
        <v>0</v>
      </c>
      <c r="O214">
        <v>8.8004099999999998E-3</v>
      </c>
      <c r="P214">
        <v>0.99599579999999999</v>
      </c>
      <c r="Q214">
        <v>7.5305860000000002E-2</v>
      </c>
      <c r="R214">
        <v>-4.817987E-2</v>
      </c>
      <c r="S214">
        <v>2.9984739999999999</v>
      </c>
      <c r="T214">
        <v>4.940891E-2</v>
      </c>
      <c r="U214">
        <v>-0.20443729999999999</v>
      </c>
      <c r="V214">
        <v>5.6941800000000001E-2</v>
      </c>
      <c r="W214">
        <v>9.0143989999999993E-2</v>
      </c>
      <c r="X214">
        <v>0.99429959999999995</v>
      </c>
      <c r="Y214">
        <v>7.678931E-2</v>
      </c>
      <c r="Z214">
        <v>7.7675259999999903E-4</v>
      </c>
      <c r="AA214">
        <v>0.99704709999999996</v>
      </c>
      <c r="AB214">
        <v>38</v>
      </c>
      <c r="AC214">
        <v>2.9984739999999999</v>
      </c>
      <c r="AD214">
        <v>4.940891E-2</v>
      </c>
      <c r="AE214">
        <v>-0.20443729999999999</v>
      </c>
      <c r="AF214">
        <v>0.230757752037137</v>
      </c>
      <c r="AG214">
        <v>4.940891E-2</v>
      </c>
      <c r="AH214">
        <v>2.99574887066106</v>
      </c>
      <c r="AI214">
        <v>89.057896210780498</v>
      </c>
      <c r="AJ214">
        <v>85.595295438044602</v>
      </c>
      <c r="AK214">
        <v>3.0050293969576498</v>
      </c>
      <c r="AL214">
        <v>84.828109224174696</v>
      </c>
      <c r="AM214">
        <v>86.722350918697202</v>
      </c>
      <c r="AN214">
        <v>1.0000000010402601</v>
      </c>
    </row>
    <row r="215" spans="1:40" x14ac:dyDescent="0.25">
      <c r="A215" t="str">
        <f>"20190312154506522"</f>
        <v>20190312154506522</v>
      </c>
      <c r="B215" t="str">
        <f>"1552376706516289"</f>
        <v>1552376706516289</v>
      </c>
      <c r="C215" t="s">
        <v>40</v>
      </c>
      <c r="D215">
        <v>3.953138</v>
      </c>
      <c r="E215">
        <v>0.48582239999999999</v>
      </c>
      <c r="F215" t="s">
        <v>46</v>
      </c>
      <c r="G215">
        <v>-158.78319999999999</v>
      </c>
      <c r="H215">
        <v>5.6681990000000004</v>
      </c>
      <c r="I215">
        <v>351.0009</v>
      </c>
      <c r="J215">
        <v>-413.55</v>
      </c>
      <c r="K215">
        <v>1.060066</v>
      </c>
      <c r="L215">
        <v>367.7912</v>
      </c>
      <c r="M215">
        <v>0.99984989999999996</v>
      </c>
      <c r="N215">
        <v>0</v>
      </c>
      <c r="O215">
        <v>8.8245779999999996E-3</v>
      </c>
      <c r="P215">
        <v>0.99604559999999998</v>
      </c>
      <c r="Q215">
        <v>7.4762490000000001E-2</v>
      </c>
      <c r="R215">
        <v>-4.7995610000000001E-2</v>
      </c>
      <c r="S215">
        <v>2.998383</v>
      </c>
      <c r="T215">
        <v>5.4159520000000003E-2</v>
      </c>
      <c r="U215">
        <v>-0.1972961</v>
      </c>
      <c r="V215">
        <v>5.6782190000000003E-2</v>
      </c>
      <c r="W215">
        <v>8.9596919999999997E-2</v>
      </c>
      <c r="X215">
        <v>0.99435819999999997</v>
      </c>
      <c r="Y215">
        <v>7.4449290000000001E-2</v>
      </c>
      <c r="Z215">
        <v>8.3084490000000005E-4</v>
      </c>
      <c r="AA215">
        <v>0.99722449999999996</v>
      </c>
      <c r="AB215">
        <v>38</v>
      </c>
      <c r="AC215">
        <v>254.76679999999999</v>
      </c>
      <c r="AD215">
        <v>4.6081329999999996</v>
      </c>
      <c r="AE215">
        <v>-16.790299999999998</v>
      </c>
      <c r="AF215">
        <v>19.0319059079829</v>
      </c>
      <c r="AG215">
        <v>4.6081329999999996</v>
      </c>
      <c r="AH215">
        <v>254.52578273531401</v>
      </c>
      <c r="AI215">
        <v>88.965672779782096</v>
      </c>
      <c r="AJ215">
        <v>85.723724416956301</v>
      </c>
      <c r="AK215">
        <v>255.27793169261599</v>
      </c>
      <c r="AL215">
        <v>84.859581516464104</v>
      </c>
      <c r="AM215">
        <v>86.731710547365296</v>
      </c>
      <c r="AN215">
        <v>1.00000002754096</v>
      </c>
    </row>
    <row r="216" spans="1:40" x14ac:dyDescent="0.25">
      <c r="A216" t="str">
        <f>"20190312154506542"</f>
        <v>20190312154506542</v>
      </c>
      <c r="B216" t="str">
        <f>"1552376706535809"</f>
        <v>1552376706535809</v>
      </c>
      <c r="C216" t="s">
        <v>40</v>
      </c>
      <c r="D216">
        <v>3.9545889999999999</v>
      </c>
      <c r="E216">
        <v>0.4862823</v>
      </c>
      <c r="F216" t="s">
        <v>46</v>
      </c>
      <c r="G216">
        <v>-170.08879999999999</v>
      </c>
      <c r="H216">
        <v>14.380940000000001</v>
      </c>
      <c r="I216">
        <v>365.44450000000001</v>
      </c>
      <c r="J216">
        <v>-413.19459999999998</v>
      </c>
      <c r="K216">
        <v>1.0600620000000001</v>
      </c>
      <c r="L216">
        <v>367.7944</v>
      </c>
      <c r="M216">
        <v>0.99984989999999996</v>
      </c>
      <c r="N216">
        <v>0</v>
      </c>
      <c r="O216">
        <v>8.8464649999999995E-3</v>
      </c>
      <c r="P216">
        <v>0.99608529999999995</v>
      </c>
      <c r="Q216">
        <v>7.4523790000000006E-2</v>
      </c>
      <c r="R216">
        <v>-4.7548100000000003E-2</v>
      </c>
      <c r="S216">
        <v>2.9981990000000001</v>
      </c>
      <c r="T216">
        <v>0.1640462</v>
      </c>
      <c r="U216">
        <v>-2.8900149999999999E-2</v>
      </c>
      <c r="V216">
        <v>5.6356740000000002E-2</v>
      </c>
      <c r="W216">
        <v>8.9354219999999998E-2</v>
      </c>
      <c r="X216">
        <v>0.99440419999999996</v>
      </c>
      <c r="Y216">
        <v>1.8444559999999999E-2</v>
      </c>
      <c r="Z216">
        <v>9.8792179999999995E-4</v>
      </c>
      <c r="AA216">
        <v>0.99982939999999998</v>
      </c>
      <c r="AB216">
        <v>38</v>
      </c>
      <c r="AC216">
        <v>243.10579999999999</v>
      </c>
      <c r="AD216">
        <v>13.320878</v>
      </c>
      <c r="AE216">
        <v>-2.3498999999999901</v>
      </c>
      <c r="AF216">
        <v>4.4872023283803397</v>
      </c>
      <c r="AG216">
        <v>13.320878</v>
      </c>
      <c r="AH216">
        <v>242.347926024841</v>
      </c>
      <c r="AI216">
        <v>86.854388420390706</v>
      </c>
      <c r="AJ216">
        <v>88.939258999917797</v>
      </c>
      <c r="AK216">
        <v>242.75522244427299</v>
      </c>
      <c r="AL216">
        <v>84.873542987717997</v>
      </c>
      <c r="AM216">
        <v>86.756295993815897</v>
      </c>
      <c r="AN216">
        <v>0.99999998587643701</v>
      </c>
    </row>
    <row r="217" spans="1:40" x14ac:dyDescent="0.25">
      <c r="A217" t="str">
        <f>"20190312154506565"</f>
        <v>20190312154506565</v>
      </c>
      <c r="B217" t="str">
        <f>"1552376706556305"</f>
        <v>1552376706556305</v>
      </c>
      <c r="C217" t="s">
        <v>40</v>
      </c>
      <c r="D217">
        <v>3.9500999999999999</v>
      </c>
      <c r="E217">
        <v>0.48638029999999999</v>
      </c>
      <c r="F217" t="s">
        <v>46</v>
      </c>
      <c r="G217">
        <v>-170.08879999999999</v>
      </c>
      <c r="H217">
        <v>14.19589</v>
      </c>
      <c r="I217">
        <v>365.2704</v>
      </c>
      <c r="J217">
        <v>-412.82810000000001</v>
      </c>
      <c r="K217">
        <v>1.060068</v>
      </c>
      <c r="L217">
        <v>367.79770000000002</v>
      </c>
      <c r="M217">
        <v>0.99984980000000001</v>
      </c>
      <c r="N217">
        <v>0</v>
      </c>
      <c r="O217">
        <v>8.8643929999999999E-3</v>
      </c>
      <c r="P217">
        <v>0.99614829999999999</v>
      </c>
      <c r="Q217">
        <v>7.3836260000000001E-2</v>
      </c>
      <c r="R217">
        <v>-4.7297020000000002E-2</v>
      </c>
      <c r="S217">
        <v>2.99823</v>
      </c>
      <c r="T217">
        <v>0.16200539999999999</v>
      </c>
      <c r="U217">
        <v>-3.1127930000000002E-2</v>
      </c>
      <c r="V217">
        <v>5.6124790000000001E-2</v>
      </c>
      <c r="W217">
        <v>8.8663179999999994E-2</v>
      </c>
      <c r="X217">
        <v>0.99447920000000001</v>
      </c>
      <c r="Y217">
        <v>1.9205090000000001E-2</v>
      </c>
      <c r="Z217">
        <v>9.9713660000000002E-4</v>
      </c>
      <c r="AA217">
        <v>0.99981500000000001</v>
      </c>
      <c r="AB217">
        <v>38</v>
      </c>
      <c r="AC217">
        <v>242.73929999999999</v>
      </c>
      <c r="AD217">
        <v>13.135821999999999</v>
      </c>
      <c r="AE217">
        <v>-2.5273000000000199</v>
      </c>
      <c r="AF217">
        <v>4.6655147647073498</v>
      </c>
      <c r="AG217">
        <v>13.135821999999999</v>
      </c>
      <c r="AH217">
        <v>241.99875656812901</v>
      </c>
      <c r="AI217">
        <v>86.893579613263498</v>
      </c>
      <c r="AJ217">
        <v>88.895526581593202</v>
      </c>
      <c r="AK217">
        <v>242.39990723627699</v>
      </c>
      <c r="AL217">
        <v>84.913294594623494</v>
      </c>
      <c r="AM217">
        <v>86.769861029719394</v>
      </c>
      <c r="AN217">
        <v>1.0000000153864399</v>
      </c>
    </row>
    <row r="218" spans="1:40" x14ac:dyDescent="0.25">
      <c r="A218" t="str">
        <f>"20190312154506587"</f>
        <v>20190312154506587</v>
      </c>
      <c r="B218" t="str">
        <f>"1552376706575825"</f>
        <v>1552376706575825</v>
      </c>
      <c r="C218" t="s">
        <v>40</v>
      </c>
      <c r="D218">
        <v>3.9369369999999999</v>
      </c>
      <c r="E218">
        <v>0.48658620000000002</v>
      </c>
      <c r="F218" t="s">
        <v>46</v>
      </c>
      <c r="G218">
        <v>-170.08879999999999</v>
      </c>
      <c r="H218">
        <v>14.13406</v>
      </c>
      <c r="I218">
        <v>365.24290000000002</v>
      </c>
      <c r="J218">
        <v>-412.44069999999999</v>
      </c>
      <c r="K218">
        <v>1.0600590000000001</v>
      </c>
      <c r="L218">
        <v>367.80110000000002</v>
      </c>
      <c r="M218">
        <v>0.99984969999999995</v>
      </c>
      <c r="N218">
        <v>0</v>
      </c>
      <c r="O218">
        <v>8.8785979999999997E-3</v>
      </c>
      <c r="P218">
        <v>0.99619669999999905</v>
      </c>
      <c r="Q218">
        <v>7.3718859999999997E-2</v>
      </c>
      <c r="R218">
        <v>-4.6451390000000002E-2</v>
      </c>
      <c r="S218">
        <v>2.998138</v>
      </c>
      <c r="T218">
        <v>0.1614814</v>
      </c>
      <c r="U218">
        <v>-3.1555180000000002E-2</v>
      </c>
      <c r="V218">
        <v>5.5294900000000001E-2</v>
      </c>
      <c r="W218">
        <v>8.8541110000000006E-2</v>
      </c>
      <c r="X218">
        <v>0.99453650000000005</v>
      </c>
      <c r="Y218">
        <v>1.9362089999999998E-2</v>
      </c>
      <c r="Z218">
        <v>9.9893469999999995E-4</v>
      </c>
      <c r="AA218">
        <v>0.99981209999999998</v>
      </c>
      <c r="AB218">
        <v>38</v>
      </c>
      <c r="AC218">
        <v>242.3519</v>
      </c>
      <c r="AD218">
        <v>13.074001000000001</v>
      </c>
      <c r="AE218">
        <v>-2.5581999999999998</v>
      </c>
      <c r="AF218">
        <v>4.6964168201543899</v>
      </c>
      <c r="AG218">
        <v>13.074001000000001</v>
      </c>
      <c r="AH218">
        <v>241.61655339129601</v>
      </c>
      <c r="AI218">
        <v>86.9032990485601</v>
      </c>
      <c r="AJ218">
        <v>88.886454680448296</v>
      </c>
      <c r="AK218">
        <v>242.01558773307499</v>
      </c>
      <c r="AL218">
        <v>84.920315983105397</v>
      </c>
      <c r="AM218">
        <v>86.817707594037898</v>
      </c>
      <c r="AN218">
        <v>0.99999995197914404</v>
      </c>
    </row>
    <row r="219" spans="1:40" x14ac:dyDescent="0.25">
      <c r="A219" t="str">
        <f>"20190312154506608"</f>
        <v>20190312154506608</v>
      </c>
      <c r="B219" t="str">
        <f>"1552376706596321"</f>
        <v>1552376706596321</v>
      </c>
      <c r="C219" t="s">
        <v>40</v>
      </c>
      <c r="D219">
        <v>3.9283739999999998</v>
      </c>
      <c r="E219">
        <v>0.4865987</v>
      </c>
      <c r="F219" t="s">
        <v>46</v>
      </c>
      <c r="G219">
        <v>-170.08879999999999</v>
      </c>
      <c r="H219">
        <v>13.826879999999999</v>
      </c>
      <c r="I219">
        <v>365.34190000000001</v>
      </c>
      <c r="J219">
        <v>-412.09339999999997</v>
      </c>
      <c r="K219">
        <v>1.0600540000000001</v>
      </c>
      <c r="L219">
        <v>367.80419999999998</v>
      </c>
      <c r="M219">
        <v>0.99984969999999995</v>
      </c>
      <c r="N219">
        <v>0</v>
      </c>
      <c r="O219">
        <v>8.8881519999999999E-3</v>
      </c>
      <c r="P219">
        <v>0.99618150000000005</v>
      </c>
      <c r="Q219">
        <v>7.4073609999999998E-2</v>
      </c>
      <c r="R219">
        <v>-4.6210559999999998E-2</v>
      </c>
      <c r="S219">
        <v>2.9983520000000001</v>
      </c>
      <c r="T219">
        <v>0.157950799999999</v>
      </c>
      <c r="U219">
        <v>-3.042603E-2</v>
      </c>
      <c r="V219">
        <v>5.5064290000000002E-2</v>
      </c>
      <c r="W219">
        <v>8.8891159999999997E-2</v>
      </c>
      <c r="X219">
        <v>0.99451809999999996</v>
      </c>
      <c r="Y219">
        <v>1.8996679999999998E-2</v>
      </c>
      <c r="Z219">
        <v>9.6794220000000002E-4</v>
      </c>
      <c r="AA219">
        <v>0.99981909999999896</v>
      </c>
      <c r="AB219">
        <v>37</v>
      </c>
      <c r="AC219">
        <v>242.00460000000001</v>
      </c>
      <c r="AD219">
        <v>12.766825999999901</v>
      </c>
      <c r="AE219">
        <v>-2.4622999999999702</v>
      </c>
      <c r="AF219">
        <v>4.6006123910617998</v>
      </c>
      <c r="AG219">
        <v>12.766825999999901</v>
      </c>
      <c r="AH219">
        <v>241.30166945092</v>
      </c>
      <c r="AI219">
        <v>86.971959170805206</v>
      </c>
      <c r="AJ219">
        <v>88.907741743847595</v>
      </c>
      <c r="AK219">
        <v>241.68296001226099</v>
      </c>
      <c r="AL219">
        <v>84.900180355564302</v>
      </c>
      <c r="AM219">
        <v>86.830893875116701</v>
      </c>
      <c r="AN219">
        <v>0.99999998279347901</v>
      </c>
    </row>
    <row r="220" spans="1:40" x14ac:dyDescent="0.25">
      <c r="A220" t="str">
        <f>"20190312154506631"</f>
        <v>20190312154506631</v>
      </c>
      <c r="B220" t="str">
        <f>"1552376706626577"</f>
        <v>1552376706626577</v>
      </c>
      <c r="C220" t="s">
        <v>40</v>
      </c>
      <c r="D220">
        <v>3.89316</v>
      </c>
      <c r="E220">
        <v>0.48668980000000001</v>
      </c>
      <c r="F220" t="s">
        <v>46</v>
      </c>
      <c r="G220">
        <v>-170.08879999999999</v>
      </c>
      <c r="H220">
        <v>13.857049999999999</v>
      </c>
      <c r="I220">
        <v>365.41500000000002</v>
      </c>
      <c r="J220">
        <v>-411.70800000000003</v>
      </c>
      <c r="K220">
        <v>1.060055</v>
      </c>
      <c r="L220">
        <v>367.80759999999998</v>
      </c>
      <c r="M220">
        <v>0.99984960000000001</v>
      </c>
      <c r="N220">
        <v>0</v>
      </c>
      <c r="O220">
        <v>8.8955040000000003E-3</v>
      </c>
      <c r="P220">
        <v>0.99616320000000003</v>
      </c>
      <c r="Q220">
        <v>7.4337860000000006E-2</v>
      </c>
      <c r="R220">
        <v>-4.6183219999999997E-2</v>
      </c>
      <c r="S220">
        <v>2.9983219999999999</v>
      </c>
      <c r="T220">
        <v>0.15854979999999999</v>
      </c>
      <c r="U220">
        <v>-2.9602050000000001E-2</v>
      </c>
      <c r="V220">
        <v>5.5044719999999998E-2</v>
      </c>
      <c r="W220">
        <v>8.9149999999999993E-2</v>
      </c>
      <c r="X220">
        <v>0.99449600000000005</v>
      </c>
      <c r="Y220">
        <v>1.872946E-2</v>
      </c>
      <c r="Z220">
        <v>9.6494739999999999E-4</v>
      </c>
      <c r="AA220">
        <v>0.99982409999999999</v>
      </c>
      <c r="AB220">
        <v>37</v>
      </c>
      <c r="AC220">
        <v>241.61920000000001</v>
      </c>
      <c r="AD220">
        <v>12.796995000000001</v>
      </c>
      <c r="AE220">
        <v>-2.3925999999999501</v>
      </c>
      <c r="AF220">
        <v>4.5293638972685697</v>
      </c>
      <c r="AG220">
        <v>12.796995000000001</v>
      </c>
      <c r="AH220">
        <v>240.91262711626501</v>
      </c>
      <c r="AI220">
        <v>86.959909586279394</v>
      </c>
      <c r="AJ220">
        <v>88.922917126218294</v>
      </c>
      <c r="AK220">
        <v>241.29478262574301</v>
      </c>
      <c r="AL220">
        <v>84.885290729523902</v>
      </c>
      <c r="AM220">
        <v>86.831947633105898</v>
      </c>
      <c r="AN220">
        <v>0.99999996885793796</v>
      </c>
    </row>
    <row r="221" spans="1:40" x14ac:dyDescent="0.25">
      <c r="A221" t="str">
        <f>"20190312154506653"</f>
        <v>20190312154506653</v>
      </c>
      <c r="B221" t="str">
        <f>"1552376706646097"</f>
        <v>1552376706646097</v>
      </c>
      <c r="C221" t="s">
        <v>40</v>
      </c>
      <c r="D221">
        <v>3.876188</v>
      </c>
      <c r="E221">
        <v>0.4868112</v>
      </c>
      <c r="F221" t="s">
        <v>46</v>
      </c>
      <c r="G221">
        <v>-170.08879999999999</v>
      </c>
      <c r="H221">
        <v>14.030139999999999</v>
      </c>
      <c r="I221">
        <v>365.35070000000002</v>
      </c>
      <c r="J221">
        <v>-411.3399</v>
      </c>
      <c r="K221">
        <v>1.0600430000000001</v>
      </c>
      <c r="L221">
        <v>367.8109</v>
      </c>
      <c r="M221">
        <v>0.99984980000000001</v>
      </c>
      <c r="N221">
        <v>0</v>
      </c>
      <c r="O221">
        <v>8.8988269999999998E-3</v>
      </c>
      <c r="P221">
        <v>0.99620589999999998</v>
      </c>
      <c r="Q221">
        <v>7.3772290000000004E-2</v>
      </c>
      <c r="R221">
        <v>-4.6174069999999998E-2</v>
      </c>
      <c r="S221">
        <v>2.9981689999999999</v>
      </c>
      <c r="T221">
        <v>0.16094229999999901</v>
      </c>
      <c r="U221">
        <v>-3.048706E-2</v>
      </c>
      <c r="V221">
        <v>5.5039909999999997E-2</v>
      </c>
      <c r="W221">
        <v>8.8580539999999999E-2</v>
      </c>
      <c r="X221">
        <v>0.99454719999999996</v>
      </c>
      <c r="Y221">
        <v>1.902678E-2</v>
      </c>
      <c r="Z221">
        <v>9.8768829999999991E-4</v>
      </c>
      <c r="AA221">
        <v>0.99981850000000005</v>
      </c>
      <c r="AB221">
        <v>37</v>
      </c>
      <c r="AC221">
        <v>241.25110000000001</v>
      </c>
      <c r="AD221">
        <v>12.970097000000001</v>
      </c>
      <c r="AE221">
        <v>-2.46019999999998</v>
      </c>
      <c r="AF221">
        <v>4.5939152740054201</v>
      </c>
      <c r="AG221">
        <v>12.970097000000001</v>
      </c>
      <c r="AH221">
        <v>240.52452652199801</v>
      </c>
      <c r="AI221">
        <v>86.913921130406095</v>
      </c>
      <c r="AJ221">
        <v>88.905808229053406</v>
      </c>
      <c r="AK221">
        <v>240.91777711984099</v>
      </c>
      <c r="AL221">
        <v>84.918048236988895</v>
      </c>
      <c r="AM221">
        <v>86.832386652036504</v>
      </c>
      <c r="AN221">
        <v>1.0000000183936599</v>
      </c>
    </row>
    <row r="222" spans="1:40" x14ac:dyDescent="0.25">
      <c r="A222" t="str">
        <f>"20190312154506678"</f>
        <v>20190312154506678</v>
      </c>
      <c r="B222" t="str">
        <f>"1552376706666592"</f>
        <v>1552376706666592</v>
      </c>
      <c r="C222" t="s">
        <v>40</v>
      </c>
      <c r="D222">
        <v>3.8898549999999998</v>
      </c>
      <c r="E222">
        <v>0.48679539999999999</v>
      </c>
      <c r="F222" t="s">
        <v>46</v>
      </c>
      <c r="G222">
        <v>-170.08879999999999</v>
      </c>
      <c r="H222">
        <v>14.021409999999999</v>
      </c>
      <c r="I222">
        <v>365.26429999999999</v>
      </c>
      <c r="J222">
        <v>-410.93290000000002</v>
      </c>
      <c r="K222">
        <v>1.06003799999999</v>
      </c>
      <c r="L222">
        <v>367.81459999999998</v>
      </c>
      <c r="M222">
        <v>0.99984969999999995</v>
      </c>
      <c r="N222">
        <v>0</v>
      </c>
      <c r="O222">
        <v>8.9001400000000008E-3</v>
      </c>
      <c r="P222">
        <v>0.99626320000000002</v>
      </c>
      <c r="Q222">
        <v>7.2957399999999895E-2</v>
      </c>
      <c r="R222">
        <v>-4.6226209999999997E-2</v>
      </c>
      <c r="S222">
        <v>2.997986</v>
      </c>
      <c r="T222">
        <v>0.16106960000000001</v>
      </c>
      <c r="U222">
        <v>-3.1646729999999998E-2</v>
      </c>
      <c r="V222">
        <v>5.5094339999999999E-2</v>
      </c>
      <c r="W222">
        <v>8.7761679999999995E-2</v>
      </c>
      <c r="X222">
        <v>0.99461670000000002</v>
      </c>
      <c r="Y222">
        <v>1.9414790000000001E-2</v>
      </c>
      <c r="Z222">
        <v>9.9901310000000002E-4</v>
      </c>
      <c r="AA222">
        <v>0.99981100000000001</v>
      </c>
      <c r="AB222">
        <v>37</v>
      </c>
      <c r="AC222">
        <v>240.8441</v>
      </c>
      <c r="AD222">
        <v>12.961372000000001</v>
      </c>
      <c r="AE222">
        <v>-2.5502999999999898</v>
      </c>
      <c r="AF222">
        <v>4.6804284881344804</v>
      </c>
      <c r="AG222">
        <v>12.961372000000001</v>
      </c>
      <c r="AH222">
        <v>240.11650855761101</v>
      </c>
      <c r="AI222">
        <v>86.910786131662206</v>
      </c>
      <c r="AJ222">
        <v>88.883313586400106</v>
      </c>
      <c r="AK222">
        <v>240.51162395371301</v>
      </c>
      <c r="AL222">
        <v>84.965148501375495</v>
      </c>
      <c r="AM222">
        <v>86.829481635312504</v>
      </c>
      <c r="AN222">
        <v>0.99999993934767195</v>
      </c>
    </row>
    <row r="223" spans="1:40" x14ac:dyDescent="0.25">
      <c r="A223" t="str">
        <f>"20190312154506700"</f>
        <v>20190312154506700</v>
      </c>
      <c r="B223" t="str">
        <f>"1552376706695872"</f>
        <v>1552376706695872</v>
      </c>
      <c r="C223" t="s">
        <v>40</v>
      </c>
      <c r="D223">
        <v>3.820776</v>
      </c>
      <c r="E223">
        <v>0.45056420000000003</v>
      </c>
      <c r="F223" t="s">
        <v>46</v>
      </c>
      <c r="G223">
        <v>-170.08879999999999</v>
      </c>
      <c r="H223">
        <v>13.93149</v>
      </c>
      <c r="I223">
        <v>365.28699999999998</v>
      </c>
      <c r="J223">
        <v>-410.56299999999999</v>
      </c>
      <c r="K223">
        <v>1.0600400000000001</v>
      </c>
      <c r="L223">
        <v>367.81779999999998</v>
      </c>
      <c r="M223">
        <v>0.99984989999999996</v>
      </c>
      <c r="N223">
        <v>0</v>
      </c>
      <c r="O223">
        <v>8.8996760000000005E-3</v>
      </c>
      <c r="P223">
        <v>0.996309</v>
      </c>
      <c r="Q223">
        <v>7.2346339999999995E-2</v>
      </c>
      <c r="R223">
        <v>-4.6199129999999998E-2</v>
      </c>
      <c r="S223">
        <v>2.9980769999999999</v>
      </c>
      <c r="T223">
        <v>0.16022749999999999</v>
      </c>
      <c r="U223">
        <v>-3.1463619999999998E-2</v>
      </c>
      <c r="V223">
        <v>5.5067430000000001E-2</v>
      </c>
      <c r="W223">
        <v>8.7147479999999999E-2</v>
      </c>
      <c r="X223">
        <v>0.99467220000000001</v>
      </c>
      <c r="Y223">
        <v>1.9353459999999999E-2</v>
      </c>
      <c r="Z223">
        <v>9.9210500000000007E-4</v>
      </c>
      <c r="AA223">
        <v>0.99981220000000004</v>
      </c>
      <c r="AB223">
        <v>37</v>
      </c>
      <c r="AC223">
        <v>240.4742</v>
      </c>
      <c r="AD223">
        <v>12.871449999999999</v>
      </c>
      <c r="AE223">
        <v>-2.5308000000000002</v>
      </c>
      <c r="AF223">
        <v>4.6577359822238797</v>
      </c>
      <c r="AG223">
        <v>12.871449999999999</v>
      </c>
      <c r="AH223">
        <v>239.75533618931701</v>
      </c>
      <c r="AI223">
        <v>86.927560584531705</v>
      </c>
      <c r="AJ223">
        <v>88.887052723138893</v>
      </c>
      <c r="AK223">
        <v>240.14576815100199</v>
      </c>
      <c r="AL223">
        <v>85.000474954539797</v>
      </c>
      <c r="AM223">
        <v>86.831203529905494</v>
      </c>
      <c r="AN223">
        <v>0.99999994528499603</v>
      </c>
    </row>
    <row r="224" spans="1:40" x14ac:dyDescent="0.25">
      <c r="A224" t="str">
        <f>"20190312154506722"</f>
        <v>20190312154506722</v>
      </c>
      <c r="B224" t="str">
        <f>"1552376706716369"</f>
        <v>1552376706716369</v>
      </c>
      <c r="C224" t="s">
        <v>40</v>
      </c>
      <c r="D224">
        <v>3.781174</v>
      </c>
      <c r="E224">
        <v>0.4384846</v>
      </c>
      <c r="F224" t="s">
        <v>44</v>
      </c>
      <c r="G224">
        <v>0</v>
      </c>
      <c r="H224">
        <v>0</v>
      </c>
      <c r="I224">
        <v>0</v>
      </c>
      <c r="J224">
        <v>-410.2022</v>
      </c>
      <c r="K224">
        <v>1.0600400000000001</v>
      </c>
      <c r="L224">
        <v>367.82100000000003</v>
      </c>
      <c r="M224">
        <v>0.99985000000000002</v>
      </c>
      <c r="N224">
        <v>0</v>
      </c>
      <c r="O224">
        <v>8.8990370000000003E-3</v>
      </c>
      <c r="P224">
        <v>0.99627379999999999</v>
      </c>
      <c r="Q224">
        <v>7.2949479999999997E-2</v>
      </c>
      <c r="R224">
        <v>-4.6011379999999998E-2</v>
      </c>
      <c r="S224">
        <v>3.0060120000000001</v>
      </c>
      <c r="T224">
        <v>0.23306660000000001</v>
      </c>
      <c r="U224">
        <v>0.25500489999999998</v>
      </c>
      <c r="V224">
        <v>5.4878870000000003E-2</v>
      </c>
      <c r="W224">
        <v>8.7745519999999994E-2</v>
      </c>
      <c r="X224">
        <v>0.99463009999999996</v>
      </c>
      <c r="Y224">
        <v>-7.5458220000000006E-2</v>
      </c>
      <c r="Z224">
        <v>-2.2279589999999998E-3</v>
      </c>
      <c r="AA224">
        <v>0.99714650000000005</v>
      </c>
      <c r="AB224">
        <v>37</v>
      </c>
      <c r="AC224">
        <v>3.0060120000000001</v>
      </c>
      <c r="AD224">
        <v>0.23306660000000001</v>
      </c>
      <c r="AE224">
        <v>0.25500489999999998</v>
      </c>
      <c r="AF224">
        <v>-0.22688706149345</v>
      </c>
      <c r="AG224">
        <v>0.23306660000000001</v>
      </c>
      <c r="AH224">
        <v>2.9903148274914302</v>
      </c>
      <c r="AI224">
        <v>85.556070453151406</v>
      </c>
      <c r="AJ224">
        <v>94.338944843928402</v>
      </c>
      <c r="AK224">
        <v>3.0079528829793598</v>
      </c>
      <c r="AL224">
        <v>84.966078299349505</v>
      </c>
      <c r="AM224">
        <v>86.841898616912601</v>
      </c>
      <c r="AN224">
        <v>1.00000000123927</v>
      </c>
    </row>
    <row r="225" spans="1:40" x14ac:dyDescent="0.25">
      <c r="A225" t="str">
        <f>"20190312154506742"</f>
        <v>20190312154506742</v>
      </c>
      <c r="B225" t="str">
        <f>"1552376706735889"</f>
        <v>1552376706735889</v>
      </c>
      <c r="C225" t="s">
        <v>40</v>
      </c>
      <c r="D225">
        <v>3.7723209999999998</v>
      </c>
      <c r="E225">
        <v>0.43274269999999998</v>
      </c>
      <c r="F225" t="s">
        <v>48</v>
      </c>
      <c r="G225">
        <v>-205.2492</v>
      </c>
      <c r="H225">
        <v>17.249300000000002</v>
      </c>
      <c r="I225">
        <v>391.7672</v>
      </c>
      <c r="J225">
        <v>-409.8571</v>
      </c>
      <c r="K225">
        <v>1.060041</v>
      </c>
      <c r="L225">
        <v>367.82420000000002</v>
      </c>
      <c r="M225">
        <v>0.99984989999999996</v>
      </c>
      <c r="N225">
        <v>0</v>
      </c>
      <c r="O225">
        <v>8.8986959999999993E-3</v>
      </c>
      <c r="P225">
        <v>0.99630879999999999</v>
      </c>
      <c r="Q225">
        <v>7.2817140000000002E-2</v>
      </c>
      <c r="R225">
        <v>-4.5460769999999998E-2</v>
      </c>
      <c r="S225">
        <v>3.01004</v>
      </c>
      <c r="T225">
        <v>0.23776330000000001</v>
      </c>
      <c r="U225">
        <v>0.35168460000000001</v>
      </c>
      <c r="V225">
        <v>5.432824E-2</v>
      </c>
      <c r="W225">
        <v>8.7609679999999995E-2</v>
      </c>
      <c r="X225">
        <v>0.99467229999999995</v>
      </c>
      <c r="Y225">
        <v>-0.1069025</v>
      </c>
      <c r="Z225">
        <v>-3.5019029999999998E-3</v>
      </c>
      <c r="AA225">
        <v>0.99426340000000002</v>
      </c>
      <c r="AB225">
        <v>37</v>
      </c>
      <c r="AC225">
        <v>204.6079</v>
      </c>
      <c r="AD225">
        <v>16.189259</v>
      </c>
      <c r="AE225">
        <v>23.942999999999898</v>
      </c>
      <c r="AF225">
        <v>-21.985327180637899</v>
      </c>
      <c r="AG225">
        <v>16.189259</v>
      </c>
      <c r="AH225">
        <v>203.55573554882</v>
      </c>
      <c r="AI225">
        <v>85.478889500887107</v>
      </c>
      <c r="AJ225">
        <v>96.164416294652398</v>
      </c>
      <c r="AK225">
        <v>205.378636165084</v>
      </c>
      <c r="AL225">
        <v>84.9738914361334</v>
      </c>
      <c r="AM225">
        <v>86.873654791795701</v>
      </c>
      <c r="AN225">
        <v>0.99999999903924497</v>
      </c>
    </row>
    <row r="226" spans="1:40" x14ac:dyDescent="0.25">
      <c r="A226" t="str">
        <f>"20190312154506766"</f>
        <v>20190312154506766</v>
      </c>
      <c r="B226" t="str">
        <f>"1552376706756385"</f>
        <v>1552376706756385</v>
      </c>
      <c r="C226" t="s">
        <v>40</v>
      </c>
      <c r="D226">
        <v>3.73909</v>
      </c>
      <c r="E226">
        <v>0.42965809999999999</v>
      </c>
      <c r="F226" t="s">
        <v>48</v>
      </c>
      <c r="G226">
        <v>-234.27180000000001</v>
      </c>
      <c r="H226">
        <v>15.030799999999999</v>
      </c>
      <c r="I226">
        <v>391.09710000000001</v>
      </c>
      <c r="J226">
        <v>-409.48129999999998</v>
      </c>
      <c r="K226">
        <v>1.060041</v>
      </c>
      <c r="L226">
        <v>367.82749999999999</v>
      </c>
      <c r="M226">
        <v>0.99985000000000002</v>
      </c>
      <c r="N226">
        <v>0</v>
      </c>
      <c r="O226">
        <v>8.8983580000000003E-3</v>
      </c>
      <c r="P226">
        <v>0.99633419999999895</v>
      </c>
      <c r="Q226">
        <v>7.2521219999999997E-2</v>
      </c>
      <c r="R226">
        <v>-4.537501E-2</v>
      </c>
      <c r="S226">
        <v>3.0118100000000001</v>
      </c>
      <c r="T226">
        <v>0.23963989999999999</v>
      </c>
      <c r="U226">
        <v>0.39920040000000001</v>
      </c>
      <c r="V226">
        <v>5.4242690000000003E-2</v>
      </c>
      <c r="W226">
        <v>8.7309460000000005E-2</v>
      </c>
      <c r="X226">
        <v>0.99470340000000002</v>
      </c>
      <c r="Y226">
        <v>-0.12221659999999999</v>
      </c>
      <c r="Z226">
        <v>-4.1296789999999998E-3</v>
      </c>
      <c r="AA226">
        <v>0.99249489999999996</v>
      </c>
      <c r="AB226">
        <v>37</v>
      </c>
      <c r="AC226">
        <v>175.209499999999</v>
      </c>
      <c r="AD226">
        <v>13.970758999999999</v>
      </c>
      <c r="AE226">
        <v>23.269600000000001</v>
      </c>
      <c r="AF226">
        <v>-21.574634268436</v>
      </c>
      <c r="AG226">
        <v>13.970758999999999</v>
      </c>
      <c r="AH226">
        <v>174.32051596636799</v>
      </c>
      <c r="AI226">
        <v>85.452424969004696</v>
      </c>
      <c r="AJ226">
        <v>97.055287381404099</v>
      </c>
      <c r="AK226">
        <v>176.205247474738</v>
      </c>
      <c r="AL226">
        <v>84.991159111539005</v>
      </c>
      <c r="AM226">
        <v>86.878665466108004</v>
      </c>
      <c r="AN226">
        <v>1.0000000325977401</v>
      </c>
    </row>
    <row r="227" spans="1:40" x14ac:dyDescent="0.25">
      <c r="A227" t="str">
        <f>"20190312154506788"</f>
        <v>20190312154506788</v>
      </c>
      <c r="B227" t="str">
        <f>"1552376706775909"</f>
        <v>1552376706775909</v>
      </c>
      <c r="C227" t="s">
        <v>40</v>
      </c>
      <c r="D227">
        <v>3.726648</v>
      </c>
      <c r="E227">
        <v>0.42788219999999999</v>
      </c>
      <c r="F227" t="s">
        <v>49</v>
      </c>
      <c r="G227">
        <v>-245.16759999999999</v>
      </c>
      <c r="H227">
        <v>14.22621</v>
      </c>
      <c r="I227">
        <v>390.92779999999999</v>
      </c>
      <c r="J227">
        <v>-409.10390000000001</v>
      </c>
      <c r="K227">
        <v>1.0600459999999901</v>
      </c>
      <c r="L227">
        <v>367.83089999999999</v>
      </c>
      <c r="M227">
        <v>0.99985000000000002</v>
      </c>
      <c r="N227">
        <v>0</v>
      </c>
      <c r="O227">
        <v>8.8983799999999991E-3</v>
      </c>
      <c r="P227">
        <v>0.99635269999999998</v>
      </c>
      <c r="Q227">
        <v>7.2415049999999995E-2</v>
      </c>
      <c r="R227">
        <v>-4.5136490000000001E-2</v>
      </c>
      <c r="S227">
        <v>3.012756</v>
      </c>
      <c r="T227">
        <v>0.24140739999999999</v>
      </c>
      <c r="U227">
        <v>0.42355350000000003</v>
      </c>
      <c r="V227">
        <v>5.4004610000000002E-2</v>
      </c>
      <c r="W227">
        <v>8.7199250000000006E-2</v>
      </c>
      <c r="X227">
        <v>0.994726</v>
      </c>
      <c r="Y227">
        <v>-0.13001879999999999</v>
      </c>
      <c r="Z227">
        <v>-4.4670739999999997E-3</v>
      </c>
      <c r="AA227">
        <v>0.99150150000000004</v>
      </c>
      <c r="AB227">
        <v>37</v>
      </c>
      <c r="AC227">
        <v>163.93629999999999</v>
      </c>
      <c r="AD227">
        <v>13.166164</v>
      </c>
      <c r="AE227">
        <v>23.096900000000002</v>
      </c>
      <c r="AF227">
        <v>-21.501071442757802</v>
      </c>
      <c r="AG227">
        <v>13.166164</v>
      </c>
      <c r="AH227">
        <v>163.10379200657999</v>
      </c>
      <c r="AI227">
        <v>85.424357371015404</v>
      </c>
      <c r="AJ227">
        <v>97.509685381269904</v>
      </c>
      <c r="AK227">
        <v>165.04087649605799</v>
      </c>
      <c r="AL227">
        <v>84.997497746872796</v>
      </c>
      <c r="AM227">
        <v>86.892409066543706</v>
      </c>
      <c r="AN227">
        <v>1.0000000110889</v>
      </c>
    </row>
    <row r="228" spans="1:40" x14ac:dyDescent="0.25">
      <c r="A228" t="str">
        <f>"20190312154506810"</f>
        <v>20190312154506810</v>
      </c>
      <c r="B228" t="str">
        <f>"1552376706806161"</f>
        <v>1552376706806161</v>
      </c>
      <c r="C228" t="s">
        <v>40</v>
      </c>
      <c r="D228">
        <v>3.6838150000000001</v>
      </c>
      <c r="E228">
        <v>0.42630030000000002</v>
      </c>
      <c r="F228" t="s">
        <v>49</v>
      </c>
      <c r="G228">
        <v>-245.16759999999999</v>
      </c>
      <c r="H228">
        <v>14.28936</v>
      </c>
      <c r="I228">
        <v>391.68680000000001</v>
      </c>
      <c r="J228">
        <v>-408.74509999999998</v>
      </c>
      <c r="K228">
        <v>1.0600480000000001</v>
      </c>
      <c r="L228">
        <v>367.83409999999998</v>
      </c>
      <c r="M228">
        <v>0.99985029999999997</v>
      </c>
      <c r="N228">
        <v>0</v>
      </c>
      <c r="O228">
        <v>8.8984040000000004E-3</v>
      </c>
      <c r="P228">
        <v>0.99635439999999997</v>
      </c>
      <c r="Q228">
        <v>7.2184780000000004E-2</v>
      </c>
      <c r="R228">
        <v>-4.5473529999999998E-2</v>
      </c>
      <c r="S228">
        <v>3.0131839999999999</v>
      </c>
      <c r="T228">
        <v>0.24315809999999999</v>
      </c>
      <c r="U228">
        <v>0.43847659999999999</v>
      </c>
      <c r="V228">
        <v>5.434141E-2</v>
      </c>
      <c r="W228">
        <v>8.6965070000000005E-2</v>
      </c>
      <c r="X228">
        <v>0.9947281</v>
      </c>
      <c r="Y228">
        <v>-0.13478970000000001</v>
      </c>
      <c r="Z228">
        <v>-4.6883640000000004E-3</v>
      </c>
      <c r="AA228">
        <v>0.9908631</v>
      </c>
      <c r="AB228">
        <v>37</v>
      </c>
      <c r="AC228">
        <v>163.57749999999999</v>
      </c>
      <c r="AD228">
        <v>13.229312</v>
      </c>
      <c r="AE228">
        <v>23.852699999999999</v>
      </c>
      <c r="AF228">
        <v>-22.253492497956199</v>
      </c>
      <c r="AG228">
        <v>13.229312</v>
      </c>
      <c r="AH228">
        <v>162.741011043887</v>
      </c>
      <c r="AI228">
        <v>85.395275535564807</v>
      </c>
      <c r="AJ228">
        <v>97.786434401548703</v>
      </c>
      <c r="AK228">
        <v>164.78734569115599</v>
      </c>
      <c r="AL228">
        <v>85.010966145550995</v>
      </c>
      <c r="AM228">
        <v>86.873073490571301</v>
      </c>
      <c r="AN228">
        <v>0.99999995258524998</v>
      </c>
    </row>
    <row r="229" spans="1:40" x14ac:dyDescent="0.25">
      <c r="A229" t="str">
        <f>"20190312154506831"</f>
        <v>20190312154506831</v>
      </c>
      <c r="B229" t="str">
        <f>"1552376706826656"</f>
        <v>1552376706826656</v>
      </c>
      <c r="C229" t="s">
        <v>40</v>
      </c>
      <c r="D229">
        <v>3.6972480000000001</v>
      </c>
      <c r="E229">
        <v>0.42560369999999997</v>
      </c>
      <c r="F229" t="s">
        <v>49</v>
      </c>
      <c r="G229">
        <v>-248.61089999999999</v>
      </c>
      <c r="H229">
        <v>14.10515</v>
      </c>
      <c r="I229">
        <v>391.75</v>
      </c>
      <c r="J229">
        <v>-408.3809</v>
      </c>
      <c r="K229">
        <v>1.0600529999999999</v>
      </c>
      <c r="L229">
        <v>367.83730000000003</v>
      </c>
      <c r="M229">
        <v>0.99985020000000002</v>
      </c>
      <c r="N229">
        <v>0</v>
      </c>
      <c r="O229">
        <v>8.898609E-3</v>
      </c>
      <c r="P229">
        <v>0.99633720000000003</v>
      </c>
      <c r="Q229">
        <v>7.1990979999999996E-2</v>
      </c>
      <c r="R229">
        <v>-4.6145749999999999E-2</v>
      </c>
      <c r="S229">
        <v>3.013763</v>
      </c>
      <c r="T229">
        <v>0.24551249999999999</v>
      </c>
      <c r="U229">
        <v>0.4501038</v>
      </c>
      <c r="V229">
        <v>5.5013979999999997E-2</v>
      </c>
      <c r="W229">
        <v>8.6766990000000002E-2</v>
      </c>
      <c r="X229">
        <v>0.9947085</v>
      </c>
      <c r="Y229">
        <v>-0.13848350000000001</v>
      </c>
      <c r="Z229">
        <v>-4.8807649999999996E-3</v>
      </c>
      <c r="AA229">
        <v>0.99035269999999997</v>
      </c>
      <c r="AB229">
        <v>37</v>
      </c>
      <c r="AC229">
        <v>159.77000000000001</v>
      </c>
      <c r="AD229">
        <v>13.045097</v>
      </c>
      <c r="AE229">
        <v>23.912699999999901</v>
      </c>
      <c r="AF229">
        <v>-22.344169719878199</v>
      </c>
      <c r="AG229">
        <v>13.045097</v>
      </c>
      <c r="AH229">
        <v>158.94011220229299</v>
      </c>
      <c r="AI229">
        <v>85.353422825221301</v>
      </c>
      <c r="AJ229">
        <v>98.002330881886294</v>
      </c>
      <c r="AK229">
        <v>161.03228168006399</v>
      </c>
      <c r="AL229">
        <v>85.022358714325804</v>
      </c>
      <c r="AM229">
        <v>86.834388286361303</v>
      </c>
      <c r="AN229">
        <v>1.0000000242606699</v>
      </c>
    </row>
    <row r="230" spans="1:40" x14ac:dyDescent="0.25">
      <c r="A230" t="str">
        <f>"20190312154506854"</f>
        <v>20190312154506854</v>
      </c>
      <c r="B230" t="str">
        <f>"1552376706846176"</f>
        <v>1552376706846176</v>
      </c>
      <c r="C230" t="s">
        <v>40</v>
      </c>
      <c r="D230">
        <v>3.6608510000000001</v>
      </c>
      <c r="E230">
        <v>0.42483609999999999</v>
      </c>
      <c r="F230" t="s">
        <v>49</v>
      </c>
      <c r="G230">
        <v>-249.45410000000001</v>
      </c>
      <c r="H230">
        <v>14.1085799999999</v>
      </c>
      <c r="I230">
        <v>391.75</v>
      </c>
      <c r="J230">
        <v>-407.99919999999997</v>
      </c>
      <c r="K230">
        <v>1.0600510000000001</v>
      </c>
      <c r="L230">
        <v>367.84070000000003</v>
      </c>
      <c r="M230">
        <v>0.99985040000000003</v>
      </c>
      <c r="N230">
        <v>0</v>
      </c>
      <c r="O230">
        <v>8.8984589999999992E-3</v>
      </c>
      <c r="P230">
        <v>0.9963803</v>
      </c>
      <c r="Q230">
        <v>7.1547219999999995E-2</v>
      </c>
      <c r="R230">
        <v>-4.5910180000000002E-2</v>
      </c>
      <c r="S230">
        <v>3.01416</v>
      </c>
      <c r="T230">
        <v>0.247475</v>
      </c>
      <c r="U230">
        <v>0.45352170000000003</v>
      </c>
      <c r="V230">
        <v>5.4778529999999999E-2</v>
      </c>
      <c r="W230">
        <v>8.6319499999999993E-2</v>
      </c>
      <c r="X230">
        <v>0.99476039999999999</v>
      </c>
      <c r="Y230">
        <v>-0.13955279999999901</v>
      </c>
      <c r="Z230">
        <v>-4.9621980000000001E-3</v>
      </c>
      <c r="AA230">
        <v>0.99020220000000003</v>
      </c>
      <c r="AB230">
        <v>37</v>
      </c>
      <c r="AC230">
        <v>158.545099999999</v>
      </c>
      <c r="AD230">
        <v>13.048528999999901</v>
      </c>
      <c r="AE230">
        <v>23.909299999999899</v>
      </c>
      <c r="AF230">
        <v>-22.349372147488101</v>
      </c>
      <c r="AG230">
        <v>13.048528999999901</v>
      </c>
      <c r="AH230">
        <v>157.707114710101</v>
      </c>
      <c r="AI230">
        <v>85.316759583614697</v>
      </c>
      <c r="AJ230">
        <v>98.065928330310399</v>
      </c>
      <c r="AK230">
        <v>159.81643399424101</v>
      </c>
      <c r="AL230">
        <v>85.048094432458598</v>
      </c>
      <c r="AM230">
        <v>86.848073283638996</v>
      </c>
      <c r="AN230">
        <v>0.99999999841868503</v>
      </c>
    </row>
    <row r="231" spans="1:40" x14ac:dyDescent="0.25">
      <c r="A231" t="str">
        <f>"20190312154506879"</f>
        <v>20190312154506879</v>
      </c>
      <c r="B231" t="str">
        <f>"1552376706866672"</f>
        <v>1552376706866672</v>
      </c>
      <c r="C231" t="s">
        <v>40</v>
      </c>
      <c r="D231">
        <v>3.6453190000000002</v>
      </c>
      <c r="E231">
        <v>0.42433759999999998</v>
      </c>
      <c r="F231" t="s">
        <v>49</v>
      </c>
      <c r="G231">
        <v>-251.49510000000001</v>
      </c>
      <c r="H231">
        <v>13.944599999999999</v>
      </c>
      <c r="I231">
        <v>391.75</v>
      </c>
      <c r="J231">
        <v>-407.61079999999998</v>
      </c>
      <c r="K231">
        <v>1.060052</v>
      </c>
      <c r="L231">
        <v>367.8442</v>
      </c>
      <c r="M231">
        <v>0.99985040000000003</v>
      </c>
      <c r="N231">
        <v>0</v>
      </c>
      <c r="O231">
        <v>8.8984890000000007E-3</v>
      </c>
      <c r="P231">
        <v>0.99637679999999995</v>
      </c>
      <c r="Q231">
        <v>7.1786669999999997E-2</v>
      </c>
      <c r="R231">
        <v>-4.5604890000000002E-2</v>
      </c>
      <c r="S231">
        <v>3.0143740000000001</v>
      </c>
      <c r="T231">
        <v>0.24816559999999999</v>
      </c>
      <c r="U231">
        <v>0.46051029999999998</v>
      </c>
      <c r="V231">
        <v>5.4473540000000001E-2</v>
      </c>
      <c r="W231">
        <v>8.6554629999999994E-2</v>
      </c>
      <c r="X231">
        <v>0.99475670000000005</v>
      </c>
      <c r="Y231">
        <v>-0.14177670000000001</v>
      </c>
      <c r="Z231">
        <v>-5.0656590000000001E-3</v>
      </c>
      <c r="AA231">
        <v>0.98988569999999998</v>
      </c>
      <c r="AB231">
        <v>37</v>
      </c>
      <c r="AC231">
        <v>156.11569999999901</v>
      </c>
      <c r="AD231">
        <v>12.884548000000001</v>
      </c>
      <c r="AE231">
        <v>23.905799999999999</v>
      </c>
      <c r="AF231">
        <v>-22.3666459114019</v>
      </c>
      <c r="AG231">
        <v>12.884548000000001</v>
      </c>
      <c r="AH231">
        <v>155.288745710369</v>
      </c>
      <c r="AI231">
        <v>85.305172736564003</v>
      </c>
      <c r="AJ231">
        <v>98.196094711654098</v>
      </c>
      <c r="AK231">
        <v>157.41941738803999</v>
      </c>
      <c r="AL231">
        <v>85.034571780138705</v>
      </c>
      <c r="AM231">
        <v>86.865575517034003</v>
      </c>
      <c r="AN231">
        <v>0.99999998136472901</v>
      </c>
    </row>
    <row r="232" spans="1:40" x14ac:dyDescent="0.25">
      <c r="A232" t="str">
        <f>"20190312154506901"</f>
        <v>20190312154506901</v>
      </c>
      <c r="B232" t="str">
        <f>"1552376706895954"</f>
        <v>1552376706895954</v>
      </c>
      <c r="C232" t="s">
        <v>40</v>
      </c>
      <c r="D232">
        <v>3.6398100000000002</v>
      </c>
      <c r="E232">
        <v>0.42378949999999999</v>
      </c>
      <c r="F232" t="s">
        <v>49</v>
      </c>
      <c r="G232">
        <v>-252.7431</v>
      </c>
      <c r="H232">
        <v>13.950889999999999</v>
      </c>
      <c r="I232">
        <v>391.75</v>
      </c>
      <c r="J232">
        <v>-407.24259999999998</v>
      </c>
      <c r="K232">
        <v>1.0600529999999999</v>
      </c>
      <c r="L232">
        <v>367.84750000000003</v>
      </c>
      <c r="M232">
        <v>0.99985049999999998</v>
      </c>
      <c r="N232">
        <v>0</v>
      </c>
      <c r="O232">
        <v>8.8985179999999994E-3</v>
      </c>
      <c r="P232">
        <v>0.99641040000000003</v>
      </c>
      <c r="Q232">
        <v>7.1833469999999996E-2</v>
      </c>
      <c r="R232">
        <v>-4.4794779999999999E-2</v>
      </c>
      <c r="S232">
        <v>3.0141300000000002</v>
      </c>
      <c r="T232">
        <v>0.2508899</v>
      </c>
      <c r="U232">
        <v>0.46527099999999999</v>
      </c>
      <c r="V232">
        <v>5.3663589999999997E-2</v>
      </c>
      <c r="W232">
        <v>8.6598339999999996E-2</v>
      </c>
      <c r="X232">
        <v>0.99479689999999998</v>
      </c>
      <c r="Y232">
        <v>-0.14330119999999999</v>
      </c>
      <c r="Z232">
        <v>-5.1838500000000003E-3</v>
      </c>
      <c r="AA232">
        <v>0.98966560000000003</v>
      </c>
      <c r="AB232">
        <v>37</v>
      </c>
      <c r="AC232">
        <v>154.49949999999899</v>
      </c>
      <c r="AD232">
        <v>12.890836999999999</v>
      </c>
      <c r="AE232">
        <v>23.9024999999999</v>
      </c>
      <c r="AF232">
        <v>-22.374465015558499</v>
      </c>
      <c r="AG232">
        <v>12.890836999999999</v>
      </c>
      <c r="AH232">
        <v>153.661380542518</v>
      </c>
      <c r="AI232">
        <v>85.254428692941303</v>
      </c>
      <c r="AJ232">
        <v>98.284553421606404</v>
      </c>
      <c r="AK232">
        <v>155.81594986882999</v>
      </c>
      <c r="AL232">
        <v>85.032057850248606</v>
      </c>
      <c r="AM232">
        <v>86.912213963332405</v>
      </c>
      <c r="AN232">
        <v>0.99999996281602599</v>
      </c>
    </row>
    <row r="233" spans="1:40" x14ac:dyDescent="0.25">
      <c r="A233" t="str">
        <f>"20190312154506923"</f>
        <v>20190312154506923</v>
      </c>
      <c r="B233" t="str">
        <f>"1552376706916450"</f>
        <v>1552376706916450</v>
      </c>
      <c r="C233" t="s">
        <v>40</v>
      </c>
      <c r="D233">
        <v>3.6665030000000001</v>
      </c>
      <c r="E233">
        <v>0.42335840000000002</v>
      </c>
      <c r="F233" t="s">
        <v>49</v>
      </c>
      <c r="G233">
        <v>-254.5872</v>
      </c>
      <c r="H233">
        <v>14.01375</v>
      </c>
      <c r="I233">
        <v>391.75</v>
      </c>
      <c r="J233">
        <v>-406.88040000000001</v>
      </c>
      <c r="K233">
        <v>1.0600540000000001</v>
      </c>
      <c r="L233">
        <v>367.85070000000002</v>
      </c>
      <c r="M233">
        <v>0.99985049999999998</v>
      </c>
      <c r="N233">
        <v>0</v>
      </c>
      <c r="O233">
        <v>8.8985469999999997E-3</v>
      </c>
      <c r="P233">
        <v>0.99647830000000004</v>
      </c>
      <c r="Q233">
        <v>7.1536849999999999E-2</v>
      </c>
      <c r="R233">
        <v>-4.3746019999999997E-2</v>
      </c>
      <c r="S233">
        <v>3.0135800000000001</v>
      </c>
      <c r="T233">
        <v>0.25572040000000001</v>
      </c>
      <c r="U233">
        <v>0.47186280000000003</v>
      </c>
      <c r="V233">
        <v>5.2615540000000002E-2</v>
      </c>
      <c r="W233">
        <v>8.6298120000000006E-2</v>
      </c>
      <c r="X233">
        <v>0.99487899999999996</v>
      </c>
      <c r="Y233">
        <v>-0.14541670000000001</v>
      </c>
      <c r="Z233">
        <v>-5.3724330000000002E-3</v>
      </c>
      <c r="AA233">
        <v>0.98935589999999995</v>
      </c>
      <c r="AB233">
        <v>37</v>
      </c>
      <c r="AC233">
        <v>152.29320000000001</v>
      </c>
      <c r="AD233">
        <v>12.953696000000001</v>
      </c>
      <c r="AE233">
        <v>23.899299999999901</v>
      </c>
      <c r="AF233">
        <v>-22.384958237161701</v>
      </c>
      <c r="AG233">
        <v>12.953696000000001</v>
      </c>
      <c r="AH233">
        <v>151.43062347284101</v>
      </c>
      <c r="AI233">
        <v>85.163009513766497</v>
      </c>
      <c r="AJ233">
        <v>98.408749451190801</v>
      </c>
      <c r="AK233">
        <v>153.62330005800999</v>
      </c>
      <c r="AL233">
        <v>85.049323975594206</v>
      </c>
      <c r="AM233">
        <v>86.972654502837898</v>
      </c>
      <c r="AN233">
        <v>0.99999999260301298</v>
      </c>
    </row>
    <row r="234" spans="1:40" x14ac:dyDescent="0.25">
      <c r="A234" t="str">
        <f>"20190312154506944"</f>
        <v>20190312154506944</v>
      </c>
      <c r="B234" t="str">
        <f>"1552376706935969"</f>
        <v>1552376706935969</v>
      </c>
      <c r="C234" t="s">
        <v>40</v>
      </c>
      <c r="D234">
        <v>3.6357330000000001</v>
      </c>
      <c r="E234">
        <v>0.423012</v>
      </c>
      <c r="F234" t="s">
        <v>49</v>
      </c>
      <c r="G234">
        <v>-256.42610000000002</v>
      </c>
      <c r="H234">
        <v>13.86829</v>
      </c>
      <c r="I234">
        <v>391.75</v>
      </c>
      <c r="J234">
        <v>-406.53100000000001</v>
      </c>
      <c r="K234">
        <v>1.0600560000000001</v>
      </c>
      <c r="L234">
        <v>367.85379999999998</v>
      </c>
      <c r="M234">
        <v>0.99985049999999998</v>
      </c>
      <c r="N234">
        <v>0</v>
      </c>
      <c r="O234">
        <v>8.8985750000000006E-3</v>
      </c>
      <c r="P234">
        <v>0.99652289999999999</v>
      </c>
      <c r="Q234">
        <v>7.1438130000000002E-2</v>
      </c>
      <c r="R234">
        <v>-4.2881990000000002E-2</v>
      </c>
      <c r="S234">
        <v>3.0131839999999999</v>
      </c>
      <c r="T234">
        <v>0.25651429999999997</v>
      </c>
      <c r="U234">
        <v>0.4786377</v>
      </c>
      <c r="V234">
        <v>5.175192E-2</v>
      </c>
      <c r="W234">
        <v>8.6196439999999999E-2</v>
      </c>
      <c r="X234">
        <v>0.99493310000000001</v>
      </c>
      <c r="Y234">
        <v>-0.14759620000000001</v>
      </c>
      <c r="Z234">
        <v>-5.480848E-3</v>
      </c>
      <c r="AA234">
        <v>0.98903249999999998</v>
      </c>
      <c r="AB234">
        <v>37</v>
      </c>
      <c r="AC234">
        <v>150.10489999999999</v>
      </c>
      <c r="AD234">
        <v>12.808233999999899</v>
      </c>
      <c r="AE234">
        <v>23.8962</v>
      </c>
      <c r="AF234">
        <v>-22.400322510556698</v>
      </c>
      <c r="AG234">
        <v>12.808233999999899</v>
      </c>
      <c r="AH234">
        <v>149.25178454652001</v>
      </c>
      <c r="AI234">
        <v>85.149171191794494</v>
      </c>
      <c r="AJ234">
        <v>98.535479128386797</v>
      </c>
      <c r="AK234">
        <v>151.46590539489901</v>
      </c>
      <c r="AL234">
        <v>85.055171540072493</v>
      </c>
      <c r="AM234">
        <v>87.022416144510998</v>
      </c>
      <c r="AN234">
        <v>0.99999998048398397</v>
      </c>
    </row>
    <row r="235" spans="1:40" x14ac:dyDescent="0.25">
      <c r="A235" t="str">
        <f>"20190312154506967"</f>
        <v>20190312154506967</v>
      </c>
      <c r="B235" t="str">
        <f>"1552376706956465"</f>
        <v>1552376706956465</v>
      </c>
      <c r="C235" t="s">
        <v>40</v>
      </c>
      <c r="D235">
        <v>3.5997979999999998</v>
      </c>
      <c r="E235">
        <v>0.42264859999999999</v>
      </c>
      <c r="F235" t="s">
        <v>49</v>
      </c>
      <c r="G235">
        <v>-257.70069999999998</v>
      </c>
      <c r="H235">
        <v>13.80227</v>
      </c>
      <c r="I235">
        <v>391.75</v>
      </c>
      <c r="J235">
        <v>-406.16050000000001</v>
      </c>
      <c r="K235">
        <v>1.0600579999999999</v>
      </c>
      <c r="L235">
        <v>367.85719999999998</v>
      </c>
      <c r="M235">
        <v>0.99985060000000003</v>
      </c>
      <c r="N235">
        <v>0</v>
      </c>
      <c r="O235">
        <v>8.8984849999999994E-3</v>
      </c>
      <c r="P235">
        <v>0.99650539999999999</v>
      </c>
      <c r="Q235">
        <v>7.1902209999999994E-2</v>
      </c>
      <c r="R235">
        <v>-4.2507730000000001E-2</v>
      </c>
      <c r="S235">
        <v>3.0127869999999999</v>
      </c>
      <c r="T235">
        <v>0.25794260000000002</v>
      </c>
      <c r="U235">
        <v>0.4837341</v>
      </c>
      <c r="V235">
        <v>5.13775E-2</v>
      </c>
      <c r="W235">
        <v>8.6656300000000006E-2</v>
      </c>
      <c r="X235">
        <v>0.99491260000000004</v>
      </c>
      <c r="Y235">
        <v>-0.14923639999999999</v>
      </c>
      <c r="Z235">
        <v>-5.5808949999999998E-3</v>
      </c>
      <c r="AA235">
        <v>0.98878580000000005</v>
      </c>
      <c r="AB235">
        <v>37</v>
      </c>
      <c r="AC235">
        <v>148.4598</v>
      </c>
      <c r="AD235">
        <v>12.742212</v>
      </c>
      <c r="AE235">
        <v>23.892800000000001</v>
      </c>
      <c r="AF235">
        <v>-22.409724057708001</v>
      </c>
      <c r="AG235">
        <v>12.742212</v>
      </c>
      <c r="AH235">
        <v>147.60663572812601</v>
      </c>
      <c r="AI235">
        <v>85.121772216206594</v>
      </c>
      <c r="AJ235">
        <v>98.632754073558004</v>
      </c>
      <c r="AK235">
        <v>149.84084426474399</v>
      </c>
      <c r="AL235">
        <v>85.028724749457794</v>
      </c>
      <c r="AM235">
        <v>87.0438595190071</v>
      </c>
      <c r="AN235">
        <v>1.0000000217373399</v>
      </c>
    </row>
    <row r="236" spans="1:40" x14ac:dyDescent="0.25">
      <c r="A236" t="str">
        <f>"20190312154506990"</f>
        <v>20190312154506990</v>
      </c>
      <c r="B236" t="str">
        <f>"1552376706986721"</f>
        <v>1552376706986721</v>
      </c>
      <c r="C236" t="s">
        <v>40</v>
      </c>
      <c r="D236">
        <v>3.5969380000000002</v>
      </c>
      <c r="E236">
        <v>0.42219909999999999</v>
      </c>
      <c r="F236" t="s">
        <v>49</v>
      </c>
      <c r="G236">
        <v>-258.649</v>
      </c>
      <c r="H236">
        <v>13.80444</v>
      </c>
      <c r="I236">
        <v>391.75</v>
      </c>
      <c r="J236">
        <v>-405.7722</v>
      </c>
      <c r="K236">
        <v>1.0600560000000001</v>
      </c>
      <c r="L236">
        <v>367.86070000000001</v>
      </c>
      <c r="M236">
        <v>0.99985069999999998</v>
      </c>
      <c r="N236">
        <v>0</v>
      </c>
      <c r="O236">
        <v>8.8985179999999994E-3</v>
      </c>
      <c r="P236">
        <v>0.99649480000000001</v>
      </c>
      <c r="Q236">
        <v>7.2381710000000002E-2</v>
      </c>
      <c r="R236">
        <v>-4.1941529999999998E-2</v>
      </c>
      <c r="S236">
        <v>3.0125120000000001</v>
      </c>
      <c r="T236">
        <v>0.26026899999999997</v>
      </c>
      <c r="U236">
        <v>0.48794559999999998</v>
      </c>
      <c r="V236">
        <v>5.0811330000000002E-2</v>
      </c>
      <c r="W236">
        <v>8.7131319999999998E-2</v>
      </c>
      <c r="X236">
        <v>0.99490020000000001</v>
      </c>
      <c r="Y236">
        <v>-0.15058369999999999</v>
      </c>
      <c r="Z236">
        <v>-5.6886509999999899E-3</v>
      </c>
      <c r="AA236">
        <v>0.98858089999999998</v>
      </c>
      <c r="AB236">
        <v>37</v>
      </c>
      <c r="AC236">
        <v>147.1232</v>
      </c>
      <c r="AD236">
        <v>12.744384</v>
      </c>
      <c r="AE236">
        <v>23.889299999999899</v>
      </c>
      <c r="AF236">
        <v>-22.415156053975799</v>
      </c>
      <c r="AG236">
        <v>12.744384</v>
      </c>
      <c r="AH236">
        <v>146.26067368589301</v>
      </c>
      <c r="AI236">
        <v>85.077312415027805</v>
      </c>
      <c r="AJ236">
        <v>98.713062850238003</v>
      </c>
      <c r="AK236">
        <v>148.516137882436</v>
      </c>
      <c r="AL236">
        <v>85.001404829762706</v>
      </c>
      <c r="AM236">
        <v>87.076342402431806</v>
      </c>
      <c r="AN236">
        <v>1.00000003307067</v>
      </c>
    </row>
    <row r="237" spans="1:40" x14ac:dyDescent="0.25">
      <c r="A237" t="str">
        <f>"20190312154507012"</f>
        <v>20190312154507012</v>
      </c>
      <c r="B237" t="str">
        <f>"1552376707006241"</f>
        <v>1552376707006241</v>
      </c>
      <c r="C237" t="s">
        <v>40</v>
      </c>
      <c r="D237">
        <v>3.703919</v>
      </c>
      <c r="E237">
        <v>0.42219400000000001</v>
      </c>
      <c r="F237" t="s">
        <v>49</v>
      </c>
      <c r="G237">
        <v>-259.80040000000002</v>
      </c>
      <c r="H237">
        <v>13.79731</v>
      </c>
      <c r="I237">
        <v>391.75</v>
      </c>
      <c r="J237">
        <v>-405.42189999999999</v>
      </c>
      <c r="K237">
        <v>1.0600560000000001</v>
      </c>
      <c r="L237">
        <v>367.86369999999999</v>
      </c>
      <c r="M237">
        <v>0.99985069999999998</v>
      </c>
      <c r="N237">
        <v>0</v>
      </c>
      <c r="O237">
        <v>8.8985469999999997E-3</v>
      </c>
      <c r="P237">
        <v>0.99650059999999996</v>
      </c>
      <c r="Q237">
        <v>7.2234999999999994E-2</v>
      </c>
      <c r="R237">
        <v>-4.205743E-2</v>
      </c>
      <c r="S237">
        <v>3.0122680000000002</v>
      </c>
      <c r="T237">
        <v>0.26284600000000002</v>
      </c>
      <c r="U237">
        <v>0.492981</v>
      </c>
      <c r="V237">
        <v>5.0927229999999997E-2</v>
      </c>
      <c r="W237">
        <v>8.6980749999999996E-2</v>
      </c>
      <c r="X237">
        <v>0.9949074</v>
      </c>
      <c r="Y237">
        <v>-0.15218989999999999</v>
      </c>
      <c r="Z237">
        <v>-5.8139450000000001E-3</v>
      </c>
      <c r="AA237">
        <v>0.98833419999999905</v>
      </c>
      <c r="AB237">
        <v>37</v>
      </c>
      <c r="AC237">
        <v>145.621499999999</v>
      </c>
      <c r="AD237">
        <v>12.737254</v>
      </c>
      <c r="AE237">
        <v>23.886299999999999</v>
      </c>
      <c r="AF237">
        <v>-22.422340421036399</v>
      </c>
      <c r="AG237">
        <v>12.737254</v>
      </c>
      <c r="AH237">
        <v>144.74988911447301</v>
      </c>
      <c r="AI237">
        <v>85.030185974162094</v>
      </c>
      <c r="AJ237">
        <v>98.805362950429398</v>
      </c>
      <c r="AK237">
        <v>147.029008661793</v>
      </c>
      <c r="AL237">
        <v>85.010064488073795</v>
      </c>
      <c r="AM237">
        <v>87.069706355497601</v>
      </c>
      <c r="AN237">
        <v>0.99999998410039703</v>
      </c>
    </row>
    <row r="238" spans="1:40" x14ac:dyDescent="0.25">
      <c r="A238" t="str">
        <f>"20190312154507033"</f>
        <v>20190312154507033</v>
      </c>
      <c r="B238" t="str">
        <f>"1552376707026737"</f>
        <v>1552376707026737</v>
      </c>
      <c r="C238" t="s">
        <v>40</v>
      </c>
      <c r="D238">
        <v>3.6606290000000001</v>
      </c>
      <c r="E238">
        <v>0.45655220000000002</v>
      </c>
      <c r="F238" t="s">
        <v>49</v>
      </c>
      <c r="G238">
        <v>-259.51859999999999</v>
      </c>
      <c r="H238">
        <v>13.761150000000001</v>
      </c>
      <c r="I238">
        <v>391.75</v>
      </c>
      <c r="J238">
        <v>-405.06650000000002</v>
      </c>
      <c r="K238">
        <v>1.060052</v>
      </c>
      <c r="L238">
        <v>367.86689999999999</v>
      </c>
      <c r="M238">
        <v>0.99985080000000004</v>
      </c>
      <c r="N238">
        <v>0</v>
      </c>
      <c r="O238">
        <v>8.8983969999999902E-3</v>
      </c>
      <c r="P238">
        <v>0.99650059999999996</v>
      </c>
      <c r="Q238">
        <v>7.2226579999999999E-2</v>
      </c>
      <c r="R238">
        <v>-4.207052E-2</v>
      </c>
      <c r="S238">
        <v>3.0123600000000001</v>
      </c>
      <c r="T238">
        <v>0.26223089999999999</v>
      </c>
      <c r="U238">
        <v>0.49316409999999999</v>
      </c>
      <c r="V238">
        <v>5.094038E-2</v>
      </c>
      <c r="W238">
        <v>8.6968379999999998E-2</v>
      </c>
      <c r="X238">
        <v>0.99490780000000001</v>
      </c>
      <c r="Y238">
        <v>-0.1522461</v>
      </c>
      <c r="Z238">
        <v>-5.8026279999999998E-3</v>
      </c>
      <c r="AA238">
        <v>0.98832560000000003</v>
      </c>
      <c r="AB238">
        <v>37</v>
      </c>
      <c r="AC238">
        <v>145.5479</v>
      </c>
      <c r="AD238">
        <v>12.701098</v>
      </c>
      <c r="AE238">
        <v>23.883099999999999</v>
      </c>
      <c r="AF238">
        <v>-22.420612606274901</v>
      </c>
      <c r="AG238">
        <v>12.701098</v>
      </c>
      <c r="AH238">
        <v>144.68181481726</v>
      </c>
      <c r="AI238">
        <v>85.041948309934597</v>
      </c>
      <c r="AJ238">
        <v>98.808772804904393</v>
      </c>
      <c r="AK238">
        <v>146.95859722677699</v>
      </c>
      <c r="AL238">
        <v>85.010775892195497</v>
      </c>
      <c r="AM238">
        <v>87.068952215349299</v>
      </c>
      <c r="AN238">
        <v>0.99999997596760404</v>
      </c>
    </row>
    <row r="239" spans="1:40" x14ac:dyDescent="0.25">
      <c r="A239" t="str">
        <f>"20190312154507056"</f>
        <v>20190312154507056</v>
      </c>
      <c r="B239" t="str">
        <f>"1552376707046257"</f>
        <v>1552376707046257</v>
      </c>
      <c r="C239" t="s">
        <v>40</v>
      </c>
      <c r="D239">
        <v>3.7149040000000002</v>
      </c>
      <c r="E239">
        <v>0.46961639999999999</v>
      </c>
      <c r="F239" t="s">
        <v>46</v>
      </c>
      <c r="G239">
        <v>-158.78319999999999</v>
      </c>
      <c r="H239">
        <v>19.345780000000001</v>
      </c>
      <c r="I239">
        <v>385.91079999999999</v>
      </c>
      <c r="J239">
        <v>-404.7097</v>
      </c>
      <c r="K239">
        <v>1.060047</v>
      </c>
      <c r="L239">
        <v>367.87009999999998</v>
      </c>
      <c r="M239">
        <v>0.99985100000000005</v>
      </c>
      <c r="N239">
        <v>0</v>
      </c>
      <c r="O239">
        <v>8.8978879999999996E-3</v>
      </c>
      <c r="P239">
        <v>0.99649390000000004</v>
      </c>
      <c r="Q239">
        <v>7.2308049999999999E-2</v>
      </c>
      <c r="R239">
        <v>-4.2094439999999997E-2</v>
      </c>
      <c r="S239">
        <v>3.0036619999999998</v>
      </c>
      <c r="T239">
        <v>0.22301289999999999</v>
      </c>
      <c r="U239">
        <v>0.22006229999999999</v>
      </c>
      <c r="V239">
        <v>5.096353E-2</v>
      </c>
      <c r="W239">
        <v>8.7045830000000005E-2</v>
      </c>
      <c r="X239">
        <v>0.99489989999999995</v>
      </c>
      <c r="Y239">
        <v>-6.4039910000000005E-2</v>
      </c>
      <c r="Z239">
        <v>-1.7120879999999901E-3</v>
      </c>
      <c r="AA239">
        <v>0.99794579999999999</v>
      </c>
      <c r="AB239">
        <v>37</v>
      </c>
      <c r="AC239">
        <v>245.9265</v>
      </c>
      <c r="AD239">
        <v>18.285733</v>
      </c>
      <c r="AE239">
        <v>18.040700000000001</v>
      </c>
      <c r="AF239">
        <v>-15.764829077083199</v>
      </c>
      <c r="AG239">
        <v>18.285733</v>
      </c>
      <c r="AH239">
        <v>244.73152689421599</v>
      </c>
      <c r="AI239">
        <v>85.735746791724594</v>
      </c>
      <c r="AJ239">
        <v>93.685720097765696</v>
      </c>
      <c r="AK239">
        <v>245.919535871291</v>
      </c>
      <c r="AL239">
        <v>85.006321734169802</v>
      </c>
      <c r="AM239">
        <v>87.067599272767396</v>
      </c>
      <c r="AN239">
        <v>1.00000003446522</v>
      </c>
    </row>
    <row r="240" spans="1:40" x14ac:dyDescent="0.25">
      <c r="A240" t="str">
        <f>"20190312154507079"</f>
        <v>20190312154507079</v>
      </c>
      <c r="B240" t="str">
        <f>"1552376707065779"</f>
        <v>1552376707065779</v>
      </c>
      <c r="C240" t="s">
        <v>40</v>
      </c>
      <c r="D240">
        <v>3.705603</v>
      </c>
      <c r="E240">
        <v>0.47545159999999997</v>
      </c>
      <c r="F240" t="s">
        <v>46</v>
      </c>
      <c r="G240">
        <v>-158.19499999999999</v>
      </c>
      <c r="H240">
        <v>17.027429999999999</v>
      </c>
      <c r="I240">
        <v>377.44</v>
      </c>
      <c r="J240">
        <v>-404.32940000000002</v>
      </c>
      <c r="K240">
        <v>1.0600480000000001</v>
      </c>
      <c r="L240">
        <v>367.8734</v>
      </c>
      <c r="M240">
        <v>0.99985100000000005</v>
      </c>
      <c r="N240">
        <v>0</v>
      </c>
      <c r="O240">
        <v>8.8955760000000005E-3</v>
      </c>
      <c r="P240">
        <v>0.99650589999999994</v>
      </c>
      <c r="Q240">
        <v>7.2230879999999997E-2</v>
      </c>
      <c r="R240">
        <v>-4.1941010000000001E-2</v>
      </c>
      <c r="S240">
        <v>3.0013730000000001</v>
      </c>
      <c r="T240">
        <v>0.19440760000000001</v>
      </c>
      <c r="U240">
        <v>0.1165161</v>
      </c>
      <c r="V240">
        <v>5.0808119999999998E-2</v>
      </c>
      <c r="W240">
        <v>8.6964120000000006E-2</v>
      </c>
      <c r="X240">
        <v>0.99491490000000005</v>
      </c>
      <c r="Y240">
        <v>-2.985647E-2</v>
      </c>
      <c r="Z240">
        <v>-3.9016469999999999E-4</v>
      </c>
      <c r="AA240">
        <v>0.9995541</v>
      </c>
      <c r="AB240">
        <v>37</v>
      </c>
      <c r="AC240">
        <v>246.1344</v>
      </c>
      <c r="AD240">
        <v>15.967382000000001</v>
      </c>
      <c r="AE240">
        <v>9.5665999999999904</v>
      </c>
      <c r="AF240">
        <v>-7.34560748075811</v>
      </c>
      <c r="AG240">
        <v>15.967382000000001</v>
      </c>
      <c r="AH240">
        <v>245.17949819324099</v>
      </c>
      <c r="AI240">
        <v>86.275525090124802</v>
      </c>
      <c r="AJ240">
        <v>91.716075166342705</v>
      </c>
      <c r="AK240">
        <v>245.80866862559</v>
      </c>
      <c r="AL240">
        <v>85.011020724268207</v>
      </c>
      <c r="AM240">
        <v>87.076569903523506</v>
      </c>
      <c r="AN240">
        <v>0.99999994073365694</v>
      </c>
    </row>
    <row r="241" spans="1:40" x14ac:dyDescent="0.25">
      <c r="A241" t="str">
        <f>"20190312154507101"</f>
        <v>20190312154507101</v>
      </c>
      <c r="B241" t="str">
        <f>"1552376707096033"</f>
        <v>1552376707096033</v>
      </c>
      <c r="C241" t="s">
        <v>40</v>
      </c>
      <c r="D241">
        <v>3.6661320000000002</v>
      </c>
      <c r="E241">
        <v>0.47933740000000002</v>
      </c>
      <c r="F241" t="s">
        <v>46</v>
      </c>
      <c r="G241">
        <v>-158.19499999999999</v>
      </c>
      <c r="H241">
        <v>15.81794</v>
      </c>
      <c r="I241">
        <v>373.67140000000001</v>
      </c>
      <c r="J241">
        <v>-403.95620000000002</v>
      </c>
      <c r="K241">
        <v>1.060055</v>
      </c>
      <c r="L241">
        <v>367.8768</v>
      </c>
      <c r="M241">
        <v>0.99985109999999999</v>
      </c>
      <c r="N241">
        <v>0</v>
      </c>
      <c r="O241">
        <v>8.8905029999999993E-3</v>
      </c>
      <c r="P241">
        <v>0.99648119999999996</v>
      </c>
      <c r="Q241">
        <v>7.2593619999999998E-2</v>
      </c>
      <c r="R241">
        <v>-4.1901609999999999E-2</v>
      </c>
      <c r="S241">
        <v>3.0004580000000001</v>
      </c>
      <c r="T241">
        <v>0.17990449999999999</v>
      </c>
      <c r="U241">
        <v>7.0678710000000006E-2</v>
      </c>
      <c r="V241">
        <v>5.0764070000000001E-2</v>
      </c>
      <c r="W241">
        <v>8.7322289999999997E-2</v>
      </c>
      <c r="X241">
        <v>0.99488589999999999</v>
      </c>
      <c r="Y241">
        <v>-1.464917E-2</v>
      </c>
      <c r="Z241" s="1">
        <v>9.3832790000000007E-5</v>
      </c>
      <c r="AA241">
        <v>0.99989269999999997</v>
      </c>
      <c r="AB241">
        <v>36</v>
      </c>
      <c r="AC241">
        <v>245.7612</v>
      </c>
      <c r="AD241">
        <v>14.757885</v>
      </c>
      <c r="AE241">
        <v>5.7946</v>
      </c>
      <c r="AF241">
        <v>-3.59623057192259</v>
      </c>
      <c r="AG241">
        <v>14.757885</v>
      </c>
      <c r="AH241">
        <v>244.92032400973801</v>
      </c>
      <c r="AI241">
        <v>86.552133451963996</v>
      </c>
      <c r="AJ241">
        <v>90.841228790410497</v>
      </c>
      <c r="AK241">
        <v>245.39089868419001</v>
      </c>
      <c r="AL241">
        <v>84.990421343929995</v>
      </c>
      <c r="AM241">
        <v>87.079015095505696</v>
      </c>
      <c r="AN241">
        <v>1.0000000635763</v>
      </c>
    </row>
    <row r="242" spans="1:40" x14ac:dyDescent="0.25">
      <c r="A242" t="str">
        <f>"20190312154507125"</f>
        <v>20190312154507125</v>
      </c>
      <c r="B242" t="str">
        <f>"1552376707116529"</f>
        <v>1552376707116529</v>
      </c>
      <c r="C242" t="s">
        <v>40</v>
      </c>
      <c r="D242">
        <v>3.7054580000000001</v>
      </c>
      <c r="E242">
        <v>0.48059780000000002</v>
      </c>
      <c r="F242" t="s">
        <v>46</v>
      </c>
      <c r="G242">
        <v>-158.19499999999999</v>
      </c>
      <c r="H242">
        <v>15.182600000000001</v>
      </c>
      <c r="I242">
        <v>371.14960000000002</v>
      </c>
      <c r="J242">
        <v>-403.5949</v>
      </c>
      <c r="K242">
        <v>1.060049</v>
      </c>
      <c r="L242">
        <v>367.87990000000002</v>
      </c>
      <c r="M242">
        <v>0.99985119999999905</v>
      </c>
      <c r="N242">
        <v>0</v>
      </c>
      <c r="O242">
        <v>8.8836360000000003E-3</v>
      </c>
      <c r="P242">
        <v>0.99646990000000002</v>
      </c>
      <c r="Q242">
        <v>7.2757039999999995E-2</v>
      </c>
      <c r="R242">
        <v>-4.188426E-2</v>
      </c>
      <c r="S242">
        <v>2.999695</v>
      </c>
      <c r="T242">
        <v>0.172377</v>
      </c>
      <c r="U242">
        <v>3.9947509999999999E-2</v>
      </c>
      <c r="V242">
        <v>5.0740149999999998E-2</v>
      </c>
      <c r="W242">
        <v>8.7481420000000004E-2</v>
      </c>
      <c r="X242">
        <v>0.99487309999999995</v>
      </c>
      <c r="Y242">
        <v>-4.4389989999999999E-3</v>
      </c>
      <c r="Z242">
        <v>3.8266420000000002E-4</v>
      </c>
      <c r="AA242">
        <v>0.99999000000000005</v>
      </c>
      <c r="AB242">
        <v>36</v>
      </c>
      <c r="AC242">
        <v>245.3999</v>
      </c>
      <c r="AD242">
        <v>14.122551</v>
      </c>
      <c r="AE242">
        <v>3.2696999999999998</v>
      </c>
      <c r="AF242">
        <v>-1.0856941057079601</v>
      </c>
      <c r="AG242">
        <v>14.122551</v>
      </c>
      <c r="AH242">
        <v>244.60928602819601</v>
      </c>
      <c r="AI242">
        <v>86.695720924731404</v>
      </c>
      <c r="AJ242">
        <v>90.254304661231203</v>
      </c>
      <c r="AK242">
        <v>245.01903597406999</v>
      </c>
      <c r="AL242">
        <v>84.981268639499106</v>
      </c>
      <c r="AM242">
        <v>87.080351581364098</v>
      </c>
      <c r="AN242">
        <v>1.00000002338542</v>
      </c>
    </row>
    <row r="243" spans="1:40" x14ac:dyDescent="0.25">
      <c r="A243" t="str">
        <f>"20190312154507144"</f>
        <v>20190312154507144</v>
      </c>
      <c r="B243" t="str">
        <f>"1552376707136049"</f>
        <v>1552376707136049</v>
      </c>
      <c r="C243" t="s">
        <v>40</v>
      </c>
      <c r="D243">
        <v>3.6115719999999998</v>
      </c>
      <c r="E243">
        <v>0.48146990000000001</v>
      </c>
      <c r="F243" t="s">
        <v>46</v>
      </c>
      <c r="G243">
        <v>-170.08879999999999</v>
      </c>
      <c r="H243">
        <v>14.19049</v>
      </c>
      <c r="I243">
        <v>370.2414</v>
      </c>
      <c r="J243">
        <v>-403.25920000000002</v>
      </c>
      <c r="K243">
        <v>1.0600480000000001</v>
      </c>
      <c r="L243">
        <v>367.88290000000001</v>
      </c>
      <c r="M243">
        <v>0.9998513</v>
      </c>
      <c r="N243">
        <v>0</v>
      </c>
      <c r="O243">
        <v>8.8760539999999995E-3</v>
      </c>
      <c r="P243">
        <v>0.99645229999999996</v>
      </c>
      <c r="Q243">
        <v>7.2596670000000002E-2</v>
      </c>
      <c r="R243">
        <v>-4.2575050000000003E-2</v>
      </c>
      <c r="S243">
        <v>2.999603</v>
      </c>
      <c r="T243">
        <v>0.16867389999999999</v>
      </c>
      <c r="U243">
        <v>3.0334469999999999E-2</v>
      </c>
      <c r="V243">
        <v>5.1423620000000003E-2</v>
      </c>
      <c r="W243">
        <v>8.7317060000000002E-2</v>
      </c>
      <c r="X243">
        <v>0.99485239999999997</v>
      </c>
      <c r="Y243">
        <v>-1.247394E-3</v>
      </c>
      <c r="Z243">
        <v>4.6371299999999998E-4</v>
      </c>
      <c r="AA243">
        <v>0.99999910000000003</v>
      </c>
      <c r="AB243">
        <v>36</v>
      </c>
      <c r="AC243">
        <v>233.1704</v>
      </c>
      <c r="AD243">
        <v>13.130442</v>
      </c>
      <c r="AE243">
        <v>2.35849999999999</v>
      </c>
      <c r="AF243">
        <v>-0.28763573611309701</v>
      </c>
      <c r="AG243">
        <v>13.130442</v>
      </c>
      <c r="AH243">
        <v>232.44511463359601</v>
      </c>
      <c r="AI243">
        <v>86.766894132086705</v>
      </c>
      <c r="AJ243">
        <v>90.070899770599993</v>
      </c>
      <c r="AK243">
        <v>232.815855470494</v>
      </c>
      <c r="AL243">
        <v>84.990721718652793</v>
      </c>
      <c r="AM243">
        <v>87.041031873224199</v>
      </c>
      <c r="AN243">
        <v>0.99999997772335303</v>
      </c>
    </row>
    <row r="244" spans="1:40" x14ac:dyDescent="0.25">
      <c r="A244" t="str">
        <f>"20190312154507167"</f>
        <v>20190312154507167</v>
      </c>
      <c r="B244" t="str">
        <f>"1552376707156544"</f>
        <v>1552376707156544</v>
      </c>
      <c r="C244" t="s">
        <v>40</v>
      </c>
      <c r="D244">
        <v>3.6346250000000002</v>
      </c>
      <c r="E244">
        <v>0.48227490000000001</v>
      </c>
      <c r="F244" t="s">
        <v>46</v>
      </c>
      <c r="G244">
        <v>-170.08879999999999</v>
      </c>
      <c r="H244">
        <v>13.59573</v>
      </c>
      <c r="I244">
        <v>369.56</v>
      </c>
      <c r="J244">
        <v>-402.89269999999999</v>
      </c>
      <c r="K244">
        <v>1.0600579999999999</v>
      </c>
      <c r="L244">
        <v>367.88619999999997</v>
      </c>
      <c r="M244">
        <v>0.99985139999999995</v>
      </c>
      <c r="N244">
        <v>0</v>
      </c>
      <c r="O244">
        <v>8.8655069999999999E-3</v>
      </c>
      <c r="P244">
        <v>0.99643950000000003</v>
      </c>
      <c r="Q244">
        <v>7.2413430000000001E-2</v>
      </c>
      <c r="R244">
        <v>-4.318309E-2</v>
      </c>
      <c r="S244">
        <v>2.9998469999999999</v>
      </c>
      <c r="T244">
        <v>0.16127859999999999</v>
      </c>
      <c r="U244">
        <v>2.157593E-2</v>
      </c>
      <c r="V244">
        <v>5.2021360000000003E-2</v>
      </c>
      <c r="W244">
        <v>8.7129429999999994E-2</v>
      </c>
      <c r="X244">
        <v>0.99483779999999999</v>
      </c>
      <c r="Y244">
        <v>1.6591749999999999E-3</v>
      </c>
      <c r="Z244">
        <v>5.2089110000000003E-4</v>
      </c>
      <c r="AA244">
        <v>0.99999850000000001</v>
      </c>
      <c r="AB244">
        <v>36</v>
      </c>
      <c r="AC244">
        <v>232.8039</v>
      </c>
      <c r="AD244">
        <v>12.535672</v>
      </c>
      <c r="AE244">
        <v>1.6738000000000199</v>
      </c>
      <c r="AF244">
        <v>0.38928734424831302</v>
      </c>
      <c r="AG244">
        <v>12.535672</v>
      </c>
      <c r="AH244">
        <v>232.136557481567</v>
      </c>
      <c r="AI244">
        <v>86.908961021718596</v>
      </c>
      <c r="AJ244">
        <v>89.903916465477494</v>
      </c>
      <c r="AK244">
        <v>232.47510820842999</v>
      </c>
      <c r="AL244">
        <v>85.001513385949295</v>
      </c>
      <c r="AM244">
        <v>87.006655638319202</v>
      </c>
      <c r="AN244">
        <v>1.0000000038886001</v>
      </c>
    </row>
    <row r="245" spans="1:40" x14ac:dyDescent="0.25">
      <c r="A245" t="str">
        <f>"20190312154507189"</f>
        <v>20190312154507189</v>
      </c>
      <c r="B245" t="str">
        <f>"1552376707185825"</f>
        <v>1552376707185825</v>
      </c>
      <c r="C245" t="s">
        <v>40</v>
      </c>
      <c r="D245">
        <v>3.6731989999999999</v>
      </c>
      <c r="E245">
        <v>0.48320279999999999</v>
      </c>
      <c r="F245" t="s">
        <v>46</v>
      </c>
      <c r="G245">
        <v>-170.08879999999999</v>
      </c>
      <c r="H245">
        <v>13.11139</v>
      </c>
      <c r="I245">
        <v>368.9282</v>
      </c>
      <c r="J245">
        <v>-402.53840000000002</v>
      </c>
      <c r="K245">
        <v>1.060063</v>
      </c>
      <c r="L245">
        <v>367.88929999999999</v>
      </c>
      <c r="M245">
        <v>0.99985159999999995</v>
      </c>
      <c r="N245">
        <v>0</v>
      </c>
      <c r="O245">
        <v>8.8542540000000006E-3</v>
      </c>
      <c r="P245">
        <v>0.99642839999999999</v>
      </c>
      <c r="Q245">
        <v>7.2501170000000004E-2</v>
      </c>
      <c r="R245">
        <v>-4.329069E-2</v>
      </c>
      <c r="S245">
        <v>3</v>
      </c>
      <c r="T245">
        <v>0.1552992</v>
      </c>
      <c r="U245">
        <v>1.3427730000000001E-2</v>
      </c>
      <c r="V245">
        <v>5.2117910000000003E-2</v>
      </c>
      <c r="W245">
        <v>8.7213040000000006E-2</v>
      </c>
      <c r="X245">
        <v>0.99482539999999997</v>
      </c>
      <c r="Y245">
        <v>4.3617450000000002E-3</v>
      </c>
      <c r="Z245">
        <v>5.7090699999999995E-4</v>
      </c>
      <c r="AA245">
        <v>0.9999903</v>
      </c>
      <c r="AB245">
        <v>36</v>
      </c>
      <c r="AC245">
        <v>232.4496</v>
      </c>
      <c r="AD245">
        <v>12.051327000000001</v>
      </c>
      <c r="AE245">
        <v>1.0389000000000099</v>
      </c>
      <c r="AF245">
        <v>1.0168003055302699</v>
      </c>
      <c r="AG245">
        <v>12.051327000000001</v>
      </c>
      <c r="AH245">
        <v>231.82657294612801</v>
      </c>
      <c r="AI245">
        <v>87.024229947750896</v>
      </c>
      <c r="AJ245">
        <v>89.748700108879305</v>
      </c>
      <c r="AK245">
        <v>232.14182796141799</v>
      </c>
      <c r="AL245">
        <v>84.996704479033696</v>
      </c>
      <c r="AM245">
        <v>87.001072905835201</v>
      </c>
      <c r="AN245">
        <v>0.99999998368698395</v>
      </c>
    </row>
    <row r="246" spans="1:40" x14ac:dyDescent="0.25">
      <c r="A246" t="str">
        <f>"20190312154507212"</f>
        <v>20190312154507212</v>
      </c>
      <c r="B246" t="str">
        <f>"1552376707206321"</f>
        <v>1552376707206321</v>
      </c>
      <c r="C246" t="s">
        <v>40</v>
      </c>
      <c r="D246">
        <v>3.669171</v>
      </c>
      <c r="E246">
        <v>0.48359980000000002</v>
      </c>
      <c r="F246" t="s">
        <v>46</v>
      </c>
      <c r="G246">
        <v>-170.08879999999999</v>
      </c>
      <c r="H246">
        <v>12.76582</v>
      </c>
      <c r="I246">
        <v>368.34100000000001</v>
      </c>
      <c r="J246">
        <v>-402.17989999999998</v>
      </c>
      <c r="K246">
        <v>1.060066</v>
      </c>
      <c r="L246">
        <v>367.89249999999998</v>
      </c>
      <c r="M246">
        <v>0.99985179999999996</v>
      </c>
      <c r="N246">
        <v>0</v>
      </c>
      <c r="O246">
        <v>8.8415209999999998E-3</v>
      </c>
      <c r="P246">
        <v>0.99639440000000001</v>
      </c>
      <c r="Q246">
        <v>7.281878E-2</v>
      </c>
      <c r="R246">
        <v>-4.3541400000000001E-2</v>
      </c>
      <c r="S246">
        <v>3.0000309999999999</v>
      </c>
      <c r="T246">
        <v>0.1510774</v>
      </c>
      <c r="U246">
        <v>5.8288569999999998E-3</v>
      </c>
      <c r="V246">
        <v>5.2355760000000001E-2</v>
      </c>
      <c r="W246">
        <v>8.7526069999999997E-2</v>
      </c>
      <c r="X246">
        <v>0.99478540000000004</v>
      </c>
      <c r="Y246">
        <v>6.8796930000000001E-3</v>
      </c>
      <c r="Z246">
        <v>6.1812369999999996E-4</v>
      </c>
      <c r="AA246">
        <v>0.99997619999999998</v>
      </c>
      <c r="AB246">
        <v>36</v>
      </c>
      <c r="AC246">
        <v>232.09110000000001</v>
      </c>
      <c r="AD246">
        <v>11.705754000000001</v>
      </c>
      <c r="AE246">
        <v>0.44850000000002399</v>
      </c>
      <c r="AF246">
        <v>1.5997104711105701</v>
      </c>
      <c r="AG246">
        <v>11.705754000000001</v>
      </c>
      <c r="AH246">
        <v>231.49711352947801</v>
      </c>
      <c r="AI246">
        <v>87.105348001732196</v>
      </c>
      <c r="AJ246">
        <v>89.604076274852105</v>
      </c>
      <c r="AK246">
        <v>231.79839801599101</v>
      </c>
      <c r="AL246">
        <v>84.978700239790399</v>
      </c>
      <c r="AM246">
        <v>86.987290972922693</v>
      </c>
      <c r="AN246">
        <v>0.99999996529399005</v>
      </c>
    </row>
    <row r="247" spans="1:40" x14ac:dyDescent="0.25">
      <c r="A247" t="str">
        <f>"20190312154507234"</f>
        <v>20190312154507234</v>
      </c>
      <c r="B247" t="str">
        <f>"1552376707225841"</f>
        <v>1552376707225841</v>
      </c>
      <c r="C247" t="s">
        <v>40</v>
      </c>
      <c r="D247">
        <v>3.6275170000000001</v>
      </c>
      <c r="E247">
        <v>0.4838616</v>
      </c>
      <c r="F247" t="s">
        <v>46</v>
      </c>
      <c r="G247">
        <v>-168.87039999999999</v>
      </c>
      <c r="H247">
        <v>12.64978</v>
      </c>
      <c r="I247">
        <v>368.04199999999997</v>
      </c>
      <c r="J247">
        <v>-401.81029999999998</v>
      </c>
      <c r="K247">
        <v>1.060066</v>
      </c>
      <c r="L247">
        <v>367.89569999999998</v>
      </c>
      <c r="M247">
        <v>0.99985199999999996</v>
      </c>
      <c r="N247">
        <v>0</v>
      </c>
      <c r="O247">
        <v>8.8283149999999998E-3</v>
      </c>
      <c r="P247">
        <v>0.99638959999999999</v>
      </c>
      <c r="Q247">
        <v>7.2973830000000003E-2</v>
      </c>
      <c r="R247">
        <v>-4.3394340000000003E-2</v>
      </c>
      <c r="S247">
        <v>3.000092</v>
      </c>
      <c r="T247">
        <v>0.14903150000000001</v>
      </c>
      <c r="U247">
        <v>1.922607E-3</v>
      </c>
      <c r="V247">
        <v>5.2195430000000001E-2</v>
      </c>
      <c r="W247">
        <v>8.767759E-2</v>
      </c>
      <c r="X247">
        <v>0.99478049999999996</v>
      </c>
      <c r="Y247">
        <v>8.1674920000000002E-3</v>
      </c>
      <c r="Z247">
        <v>6.4106299999999998E-4</v>
      </c>
      <c r="AA247">
        <v>0.99996640000000003</v>
      </c>
      <c r="AB247">
        <v>36</v>
      </c>
      <c r="AC247">
        <v>232.93989999999999</v>
      </c>
      <c r="AD247">
        <v>11.589714000000001</v>
      </c>
      <c r="AE247">
        <v>0.14629999999999599</v>
      </c>
      <c r="AF247">
        <v>1.9056792973921901</v>
      </c>
      <c r="AG247">
        <v>11.589714000000001</v>
      </c>
      <c r="AH247">
        <v>232.356919639876</v>
      </c>
      <c r="AI247">
        <v>87.144610320392104</v>
      </c>
      <c r="AJ247">
        <v>89.530098208587304</v>
      </c>
      <c r="AK247">
        <v>232.65358623652901</v>
      </c>
      <c r="AL247">
        <v>84.969985367899895</v>
      </c>
      <c r="AM247">
        <v>86.996485161393196</v>
      </c>
      <c r="AN247">
        <v>0.99999998294067105</v>
      </c>
    </row>
    <row r="248" spans="1:40" x14ac:dyDescent="0.25">
      <c r="A248" t="str">
        <f>"20190312154507258"</f>
        <v>20190312154507258</v>
      </c>
      <c r="B248" t="str">
        <f>"1552376707246337"</f>
        <v>1552376707246337</v>
      </c>
      <c r="C248" t="s">
        <v>40</v>
      </c>
      <c r="D248">
        <v>3.6994690000000001</v>
      </c>
      <c r="E248">
        <v>0.48414230000000003</v>
      </c>
      <c r="F248" t="s">
        <v>46</v>
      </c>
      <c r="G248">
        <v>-168.84350000000001</v>
      </c>
      <c r="H248">
        <v>12.52108</v>
      </c>
      <c r="I248">
        <v>367.91469999999998</v>
      </c>
      <c r="J248">
        <v>-401.43619999999999</v>
      </c>
      <c r="K248">
        <v>1.0600579999999999</v>
      </c>
      <c r="L248">
        <v>367.899</v>
      </c>
      <c r="M248">
        <v>0.99985219999999997</v>
      </c>
      <c r="N248">
        <v>0</v>
      </c>
      <c r="O248">
        <v>8.8149279999999997E-3</v>
      </c>
      <c r="P248">
        <v>0.99641250000000003</v>
      </c>
      <c r="Q248">
        <v>7.3009210000000005E-2</v>
      </c>
      <c r="R248">
        <v>-4.2801199999999998E-2</v>
      </c>
      <c r="S248">
        <v>3.000092</v>
      </c>
      <c r="T248">
        <v>0.14759330000000001</v>
      </c>
      <c r="U248">
        <v>2.4414059999999999E-4</v>
      </c>
      <c r="V248">
        <v>5.1589370000000002E-2</v>
      </c>
      <c r="W248">
        <v>8.7709419999999996E-2</v>
      </c>
      <c r="X248">
        <v>0.99480930000000001</v>
      </c>
      <c r="Y248">
        <v>8.7133139999999998E-3</v>
      </c>
      <c r="Z248">
        <v>6.4764390000000003E-4</v>
      </c>
      <c r="AA248">
        <v>0.99996189999999996</v>
      </c>
      <c r="AB248">
        <v>36</v>
      </c>
      <c r="AC248">
        <v>232.59270000000001</v>
      </c>
      <c r="AD248">
        <v>11.461022</v>
      </c>
      <c r="AE248">
        <v>1.5699999999981101E-2</v>
      </c>
      <c r="AF248">
        <v>2.0298832809167302</v>
      </c>
      <c r="AG248">
        <v>11.461022</v>
      </c>
      <c r="AH248">
        <v>232.02044646497501</v>
      </c>
      <c r="AI248">
        <v>87.172189708113805</v>
      </c>
      <c r="AJ248">
        <v>89.498747720277294</v>
      </c>
      <c r="AK248">
        <v>232.31221024566199</v>
      </c>
      <c r="AL248">
        <v>84.968154547107005</v>
      </c>
      <c r="AM248">
        <v>87.0313830987389</v>
      </c>
      <c r="AN248">
        <v>0.99999997441011101</v>
      </c>
    </row>
    <row r="249" spans="1:40" x14ac:dyDescent="0.25">
      <c r="A249" t="str">
        <f>"20190312154507280"</f>
        <v>20190312154507280</v>
      </c>
      <c r="B249" t="str">
        <f>"1552376707265857"</f>
        <v>1552376707265857</v>
      </c>
      <c r="C249" t="s">
        <v>40</v>
      </c>
      <c r="D249">
        <v>3.6676069999999998</v>
      </c>
      <c r="E249">
        <v>0.49297920000000001</v>
      </c>
      <c r="F249" t="s">
        <v>46</v>
      </c>
      <c r="G249">
        <v>-168.84350000000001</v>
      </c>
      <c r="H249">
        <v>12.362869999999999</v>
      </c>
      <c r="I249">
        <v>367.91079999999999</v>
      </c>
      <c r="J249">
        <v>-401.077</v>
      </c>
      <c r="K249">
        <v>1.060262</v>
      </c>
      <c r="L249">
        <v>367.90219999999999</v>
      </c>
      <c r="M249">
        <v>0.99984099999999998</v>
      </c>
      <c r="N249">
        <v>0</v>
      </c>
      <c r="O249">
        <v>8.8040240000000006E-3</v>
      </c>
      <c r="P249">
        <v>0.99645269999999997</v>
      </c>
      <c r="Q249">
        <v>7.2243760000000004E-2</v>
      </c>
      <c r="R249">
        <v>-4.3161709999999999E-2</v>
      </c>
      <c r="S249">
        <v>3.0001530000000001</v>
      </c>
      <c r="T249">
        <v>0.14579310000000001</v>
      </c>
      <c r="U249">
        <v>1.5258789999999999E-4</v>
      </c>
      <c r="V249">
        <v>5.1939430000000002E-2</v>
      </c>
      <c r="W249">
        <v>8.7678539999999999E-2</v>
      </c>
      <c r="X249">
        <v>0.99479379999999995</v>
      </c>
      <c r="Y249">
        <v>8.7335299999999998E-3</v>
      </c>
      <c r="Z249">
        <v>6.3970729999999999E-4</v>
      </c>
      <c r="AA249">
        <v>0.99996169999999995</v>
      </c>
      <c r="AB249">
        <v>36</v>
      </c>
      <c r="AC249">
        <v>232.23349999999999</v>
      </c>
      <c r="AD249">
        <v>11.302607999999999</v>
      </c>
      <c r="AE249">
        <v>8.6000000000012698E-3</v>
      </c>
      <c r="AF249">
        <v>2.0314237042474201</v>
      </c>
      <c r="AG249">
        <v>11.302607999999999</v>
      </c>
      <c r="AH249">
        <v>231.67580571095101</v>
      </c>
      <c r="AI249">
        <v>87.207071953943796</v>
      </c>
      <c r="AJ249">
        <v>89.497621162827301</v>
      </c>
      <c r="AK249">
        <v>231.960243536874</v>
      </c>
      <c r="AL249">
        <v>84.969930649324397</v>
      </c>
      <c r="AM249">
        <v>87.011229444196601</v>
      </c>
      <c r="AN249">
        <v>0.99999996764184695</v>
      </c>
    </row>
    <row r="250" spans="1:40" x14ac:dyDescent="0.25">
      <c r="A250" t="str">
        <f>"20190312154507303"</f>
        <v>20190312154507303</v>
      </c>
      <c r="B250" t="str">
        <f>"1552376707296113"</f>
        <v>1552376707296113</v>
      </c>
      <c r="C250" t="s">
        <v>40</v>
      </c>
      <c r="D250">
        <v>3.6876000000000002</v>
      </c>
      <c r="E250">
        <v>0.4935234</v>
      </c>
      <c r="F250" t="s">
        <v>46</v>
      </c>
      <c r="G250">
        <v>-158.19499999999999</v>
      </c>
      <c r="H250">
        <v>5.1161339999999997</v>
      </c>
      <c r="I250">
        <v>362.35059999999999</v>
      </c>
      <c r="J250">
        <v>-400.71120000000002</v>
      </c>
      <c r="K250">
        <v>1.0608949999999999</v>
      </c>
      <c r="L250">
        <v>367.90530000000001</v>
      </c>
      <c r="M250">
        <v>0.99982070000000001</v>
      </c>
      <c r="N250">
        <v>0</v>
      </c>
      <c r="O250">
        <v>8.7930189999999991E-3</v>
      </c>
      <c r="P250">
        <v>0.99655099999999996</v>
      </c>
      <c r="Q250">
        <v>7.0797089999999993E-2</v>
      </c>
      <c r="R250">
        <v>-4.3288559999999997E-2</v>
      </c>
      <c r="S250">
        <v>3.0040589999999998</v>
      </c>
      <c r="T250">
        <v>5.0165649999999999E-2</v>
      </c>
      <c r="U250">
        <v>-6.8664550000000005E-2</v>
      </c>
      <c r="V250">
        <v>5.2056379999999999E-2</v>
      </c>
      <c r="W250">
        <v>8.7494249999999996E-2</v>
      </c>
      <c r="X250">
        <v>0.99480400000000002</v>
      </c>
      <c r="Y250">
        <v>3.1636739999999997E-2</v>
      </c>
      <c r="Z250">
        <v>4.1093340000000002E-4</v>
      </c>
      <c r="AA250">
        <v>0.99949929999999998</v>
      </c>
      <c r="AB250">
        <v>36</v>
      </c>
      <c r="AC250">
        <v>242.5162</v>
      </c>
      <c r="AD250">
        <v>4.0552389999999896</v>
      </c>
      <c r="AE250">
        <v>-5.55470000000002</v>
      </c>
      <c r="AF250">
        <v>7.6850869986266002</v>
      </c>
      <c r="AG250">
        <v>4.0552389999999896</v>
      </c>
      <c r="AH250">
        <v>242.390233400147</v>
      </c>
      <c r="AI250">
        <v>89.042000412302897</v>
      </c>
      <c r="AJ250">
        <v>88.184020905724097</v>
      </c>
      <c r="AK250">
        <v>242.54593538812699</v>
      </c>
      <c r="AL250">
        <v>84.9805308614431</v>
      </c>
      <c r="AM250">
        <v>87.004542645590504</v>
      </c>
      <c r="AN250">
        <v>1.0000000544488801</v>
      </c>
    </row>
    <row r="251" spans="1:40" x14ac:dyDescent="0.25">
      <c r="A251" t="str">
        <f>"20190312154507325"</f>
        <v>20190312154507325</v>
      </c>
      <c r="B251" t="str">
        <f>"1552376707316609"</f>
        <v>1552376707316609</v>
      </c>
      <c r="C251" t="s">
        <v>40</v>
      </c>
      <c r="D251">
        <v>3.6580539999999999</v>
      </c>
      <c r="E251">
        <v>0.49362080000000003</v>
      </c>
      <c r="F251" t="s">
        <v>46</v>
      </c>
      <c r="G251">
        <v>-158.19499999999999</v>
      </c>
      <c r="H251">
        <v>3.74125</v>
      </c>
      <c r="I251">
        <v>362.0213</v>
      </c>
      <c r="J251">
        <v>-400.3723</v>
      </c>
      <c r="K251">
        <v>1.0616289999999999</v>
      </c>
      <c r="L251">
        <v>367.9083</v>
      </c>
      <c r="M251">
        <v>0.99982040000000005</v>
      </c>
      <c r="N251">
        <v>0</v>
      </c>
      <c r="O251">
        <v>8.7823499999999995E-3</v>
      </c>
      <c r="P251">
        <v>0.99651659999999997</v>
      </c>
      <c r="Q251">
        <v>7.0652889999999996E-2</v>
      </c>
      <c r="R251">
        <v>-4.4304499999999997E-2</v>
      </c>
      <c r="S251">
        <v>3.0049130000000002</v>
      </c>
      <c r="T251">
        <v>3.3212180000000001E-2</v>
      </c>
      <c r="U251">
        <v>-7.2906490000000004E-2</v>
      </c>
      <c r="V251">
        <v>5.3061629999999999E-2</v>
      </c>
      <c r="W251">
        <v>8.7374549999999995E-2</v>
      </c>
      <c r="X251">
        <v>0.99476129999999996</v>
      </c>
      <c r="Y251">
        <v>3.3032810000000003E-2</v>
      </c>
      <c r="Z251">
        <v>2.7958330000000002E-4</v>
      </c>
      <c r="AA251">
        <v>0.99945419999999996</v>
      </c>
      <c r="AB251">
        <v>36</v>
      </c>
      <c r="AC251">
        <v>242.1773</v>
      </c>
      <c r="AD251">
        <v>2.679621</v>
      </c>
      <c r="AE251">
        <v>-5.8869999999999996</v>
      </c>
      <c r="AF251">
        <v>8.0129782743031797</v>
      </c>
      <c r="AG251">
        <v>2.679621</v>
      </c>
      <c r="AH251">
        <v>242.086628051406</v>
      </c>
      <c r="AI251">
        <v>89.366174490180299</v>
      </c>
      <c r="AJ251">
        <v>88.104222915752004</v>
      </c>
      <c r="AK251">
        <v>242.234026657751</v>
      </c>
      <c r="AL251">
        <v>84.987414988609501</v>
      </c>
      <c r="AM251">
        <v>86.946675587059403</v>
      </c>
      <c r="AN251">
        <v>0.99999994627182298</v>
      </c>
    </row>
    <row r="252" spans="1:40" x14ac:dyDescent="0.25">
      <c r="A252" t="str">
        <f>"20190312154507346"</f>
        <v>20190312154507346</v>
      </c>
      <c r="B252" t="str">
        <f>"1552376707336133"</f>
        <v>1552376707336133</v>
      </c>
      <c r="C252" t="s">
        <v>40</v>
      </c>
      <c r="D252">
        <v>3.6950769999999999</v>
      </c>
      <c r="E252">
        <v>0.49357079999999998</v>
      </c>
      <c r="F252" t="s">
        <v>46</v>
      </c>
      <c r="G252">
        <v>-158.19499999999999</v>
      </c>
      <c r="H252">
        <v>3.7757369999999999</v>
      </c>
      <c r="I252">
        <v>361.71969999999999</v>
      </c>
      <c r="J252">
        <v>-400.03390000000002</v>
      </c>
      <c r="K252">
        <v>1.062308</v>
      </c>
      <c r="L252">
        <v>367.91120000000001</v>
      </c>
      <c r="M252">
        <v>0.99984759999999995</v>
      </c>
      <c r="N252">
        <v>0</v>
      </c>
      <c r="O252">
        <v>8.7723719999999901E-3</v>
      </c>
      <c r="P252">
        <v>0.99635700000000005</v>
      </c>
      <c r="Q252">
        <v>7.2436849999999997E-2</v>
      </c>
      <c r="R252">
        <v>-4.5013249999999998E-2</v>
      </c>
      <c r="S252">
        <v>3.0047000000000001</v>
      </c>
      <c r="T252">
        <v>3.3675070000000001E-2</v>
      </c>
      <c r="U252">
        <v>-7.6782230000000007E-2</v>
      </c>
      <c r="V252">
        <v>5.3758779999999999E-2</v>
      </c>
      <c r="W252">
        <v>8.7467160000000002E-2</v>
      </c>
      <c r="X252">
        <v>0.99471580000000004</v>
      </c>
      <c r="Y252">
        <v>3.4312530000000001E-2</v>
      </c>
      <c r="Z252">
        <v>2.9055079999999999E-4</v>
      </c>
      <c r="AA252">
        <v>0.9994111</v>
      </c>
      <c r="AB252">
        <v>35</v>
      </c>
      <c r="AC252">
        <v>241.8389</v>
      </c>
      <c r="AD252">
        <v>2.7134290000000001</v>
      </c>
      <c r="AE252">
        <v>-6.1915000000000102</v>
      </c>
      <c r="AF252">
        <v>8.3119585168356895</v>
      </c>
      <c r="AG252">
        <v>2.7134290000000001</v>
      </c>
      <c r="AH252">
        <v>241.74485921222399</v>
      </c>
      <c r="AI252">
        <v>89.357298859175899</v>
      </c>
      <c r="AJ252">
        <v>88.030764310189696</v>
      </c>
      <c r="AK252">
        <v>241.902931579718</v>
      </c>
      <c r="AL252">
        <v>84.982088787288006</v>
      </c>
      <c r="AM252">
        <v>86.906495682283193</v>
      </c>
      <c r="AN252">
        <v>1.00000001663759</v>
      </c>
    </row>
    <row r="253" spans="1:40" x14ac:dyDescent="0.25">
      <c r="A253" t="str">
        <f>"20190312154507368"</f>
        <v>20190312154507368</v>
      </c>
      <c r="B253" t="str">
        <f>"1552376707356625"</f>
        <v>1552376707356625</v>
      </c>
      <c r="C253" t="s">
        <v>40</v>
      </c>
      <c r="D253">
        <v>3.6592989999999999</v>
      </c>
      <c r="E253">
        <v>0.49358439999999998</v>
      </c>
      <c r="F253" t="s">
        <v>46</v>
      </c>
      <c r="G253">
        <v>-158.19499999999999</v>
      </c>
      <c r="H253">
        <v>4.1610230000000001</v>
      </c>
      <c r="I253">
        <v>361.59859999999998</v>
      </c>
      <c r="J253">
        <v>-399.67989999999998</v>
      </c>
      <c r="K253">
        <v>1.0633010000000001</v>
      </c>
      <c r="L253">
        <v>367.91430000000003</v>
      </c>
      <c r="M253">
        <v>0.99987879999999996</v>
      </c>
      <c r="N253">
        <v>0</v>
      </c>
      <c r="O253">
        <v>8.7631389999999997E-3</v>
      </c>
      <c r="P253">
        <v>0.99615949999999998</v>
      </c>
      <c r="Q253">
        <v>7.4828649999999997E-2</v>
      </c>
      <c r="R253">
        <v>-4.5465039999999998E-2</v>
      </c>
      <c r="S253">
        <v>3.0046689999999998</v>
      </c>
      <c r="T253">
        <v>3.8500310000000003E-2</v>
      </c>
      <c r="U253">
        <v>-7.8430180000000002E-2</v>
      </c>
      <c r="V253">
        <v>5.4199810000000001E-2</v>
      </c>
      <c r="W253">
        <v>8.7646719999999997E-2</v>
      </c>
      <c r="X253">
        <v>0.99467609999999995</v>
      </c>
      <c r="Y253">
        <v>3.4850180000000001E-2</v>
      </c>
      <c r="Z253">
        <v>3.3550319999999998E-4</v>
      </c>
      <c r="AA253">
        <v>0.99939250000000002</v>
      </c>
      <c r="AB253">
        <v>36</v>
      </c>
      <c r="AC253">
        <v>241.48490000000001</v>
      </c>
      <c r="AD253">
        <v>3.0977220000000001</v>
      </c>
      <c r="AE253">
        <v>-6.3157000000000396</v>
      </c>
      <c r="AF253">
        <v>8.4304121347785905</v>
      </c>
      <c r="AG253">
        <v>3.0977220000000001</v>
      </c>
      <c r="AH253">
        <v>241.380583550887</v>
      </c>
      <c r="AI253">
        <v>89.265191433142704</v>
      </c>
      <c r="AJ253">
        <v>87.999711614542804</v>
      </c>
      <c r="AK253">
        <v>241.54762231435501</v>
      </c>
      <c r="AL253">
        <v>84.971761289455102</v>
      </c>
      <c r="AM253">
        <v>86.881042642171806</v>
      </c>
      <c r="AN253">
        <v>1.000000055421</v>
      </c>
    </row>
    <row r="254" spans="1:40" x14ac:dyDescent="0.25">
      <c r="A254" t="str">
        <f>"20190312154507391"</f>
        <v>20190312154507391</v>
      </c>
      <c r="B254" t="str">
        <f>"1552376707385906"</f>
        <v>1552376707385906</v>
      </c>
      <c r="C254" t="s">
        <v>40</v>
      </c>
      <c r="D254">
        <v>3.6708219999999998</v>
      </c>
      <c r="E254">
        <v>0.49355660000000001</v>
      </c>
      <c r="F254" t="s">
        <v>46</v>
      </c>
      <c r="G254">
        <v>-158.19499999999999</v>
      </c>
      <c r="H254">
        <v>4.699865</v>
      </c>
      <c r="I254">
        <v>361.4905</v>
      </c>
      <c r="J254">
        <v>-399.3109</v>
      </c>
      <c r="K254">
        <v>1.0647120000000001</v>
      </c>
      <c r="L254">
        <v>367.91759999999999</v>
      </c>
      <c r="M254">
        <v>0.99990369999999995</v>
      </c>
      <c r="N254">
        <v>0</v>
      </c>
      <c r="O254">
        <v>8.7523280000000002E-3</v>
      </c>
      <c r="P254">
        <v>0.99596459999999998</v>
      </c>
      <c r="Q254">
        <v>7.7164780000000002E-2</v>
      </c>
      <c r="R254">
        <v>-4.5826760000000001E-2</v>
      </c>
      <c r="S254">
        <v>3.0045470000000001</v>
      </c>
      <c r="T254">
        <v>4.5247080000000002E-2</v>
      </c>
      <c r="U254">
        <v>-7.9925540000000003E-2</v>
      </c>
      <c r="V254">
        <v>5.4548680000000002E-2</v>
      </c>
      <c r="W254">
        <v>8.7880429999999995E-2</v>
      </c>
      <c r="X254">
        <v>0.99463639999999998</v>
      </c>
      <c r="Y254">
        <v>3.5335850000000002E-2</v>
      </c>
      <c r="Z254">
        <v>3.9779410000000001E-4</v>
      </c>
      <c r="AA254">
        <v>0.99937540000000002</v>
      </c>
      <c r="AB254">
        <v>36</v>
      </c>
      <c r="AC254">
        <v>241.11590000000001</v>
      </c>
      <c r="AD254">
        <v>3.6351529999999999</v>
      </c>
      <c r="AE254">
        <v>-6.4270999999999896</v>
      </c>
      <c r="AF254">
        <v>8.5353629526521395</v>
      </c>
      <c r="AG254">
        <v>3.6351529999999999</v>
      </c>
      <c r="AH254">
        <v>240.99566957402499</v>
      </c>
      <c r="AI254">
        <v>89.136363511310194</v>
      </c>
      <c r="AJ254">
        <v>87.971598621079295</v>
      </c>
      <c r="AK254">
        <v>241.17416841672701</v>
      </c>
      <c r="AL254">
        <v>84.958318787725602</v>
      </c>
      <c r="AM254">
        <v>86.860881709565902</v>
      </c>
      <c r="AN254">
        <v>1.00000004833584</v>
      </c>
    </row>
    <row r="255" spans="1:40" x14ac:dyDescent="0.25">
      <c r="A255" t="str">
        <f>"20190312154507414"</f>
        <v>20190312154507414</v>
      </c>
      <c r="B255" t="str">
        <f>"1552376707406401"</f>
        <v>1552376707406401</v>
      </c>
      <c r="C255" t="s">
        <v>40</v>
      </c>
      <c r="D255">
        <v>3.719398</v>
      </c>
      <c r="E255">
        <v>0.49356119999999998</v>
      </c>
      <c r="F255" t="s">
        <v>46</v>
      </c>
      <c r="G255">
        <v>-158.19499999999999</v>
      </c>
      <c r="H255">
        <v>5.1296819999999999</v>
      </c>
      <c r="I255">
        <v>361.46429999999998</v>
      </c>
      <c r="J255">
        <v>-398.95940000000002</v>
      </c>
      <c r="K255">
        <v>1.066252</v>
      </c>
      <c r="L255">
        <v>367.92059999999998</v>
      </c>
      <c r="M255">
        <v>0.99992190000000003</v>
      </c>
      <c r="N255">
        <v>0</v>
      </c>
      <c r="O255">
        <v>8.7396519999999901E-3</v>
      </c>
      <c r="P255">
        <v>0.99581030000000004</v>
      </c>
      <c r="Q255">
        <v>7.8792860000000006E-2</v>
      </c>
      <c r="R255">
        <v>-4.6408119999999997E-2</v>
      </c>
      <c r="S255">
        <v>3.0045169999999999</v>
      </c>
      <c r="T255">
        <v>5.0654169999999998E-2</v>
      </c>
      <c r="U255">
        <v>-8.0413819999999997E-2</v>
      </c>
      <c r="V255">
        <v>5.5115740000000003E-2</v>
      </c>
      <c r="W255">
        <v>8.7680439999999998E-2</v>
      </c>
      <c r="X255">
        <v>0.99462280000000003</v>
      </c>
      <c r="Y255">
        <v>3.5484300000000003E-2</v>
      </c>
      <c r="Z255">
        <v>4.4636289999999999E-4</v>
      </c>
      <c r="AA255">
        <v>0.99937019999999999</v>
      </c>
      <c r="AB255">
        <v>36</v>
      </c>
      <c r="AC255">
        <v>240.76439999999999</v>
      </c>
      <c r="AD255">
        <v>4.0634300000000003</v>
      </c>
      <c r="AE255">
        <v>-6.4562999999999899</v>
      </c>
      <c r="AF255">
        <v>8.5578985696561407</v>
      </c>
      <c r="AG255">
        <v>4.0634300000000003</v>
      </c>
      <c r="AH255">
        <v>240.63028416282299</v>
      </c>
      <c r="AI255">
        <v>89.033171540488894</v>
      </c>
      <c r="AJ255">
        <v>87.963162040857696</v>
      </c>
      <c r="AK255">
        <v>240.816699478202</v>
      </c>
      <c r="AL255">
        <v>84.969821828793997</v>
      </c>
      <c r="AM255">
        <v>86.828272054249993</v>
      </c>
      <c r="AN255">
        <v>1.0000000593170799</v>
      </c>
    </row>
    <row r="256" spans="1:40" x14ac:dyDescent="0.25">
      <c r="A256" t="str">
        <f>"20190312154507436"</f>
        <v>20190312154507436</v>
      </c>
      <c r="B256" t="str">
        <f>"1552376707425921"</f>
        <v>1552376707425921</v>
      </c>
      <c r="C256" t="s">
        <v>40</v>
      </c>
      <c r="D256">
        <v>3.6758199999999999</v>
      </c>
      <c r="E256">
        <v>0.49349969999999999</v>
      </c>
      <c r="F256" t="s">
        <v>46</v>
      </c>
      <c r="G256">
        <v>-158.19499999999999</v>
      </c>
      <c r="H256">
        <v>5.4294969999999996</v>
      </c>
      <c r="I256">
        <v>361.32499999999999</v>
      </c>
      <c r="J256">
        <v>-398.5992</v>
      </c>
      <c r="K256">
        <v>1.0680379999999901</v>
      </c>
      <c r="L256">
        <v>367.9237</v>
      </c>
      <c r="M256">
        <v>0.99993290000000001</v>
      </c>
      <c r="N256">
        <v>0</v>
      </c>
      <c r="O256">
        <v>8.7257830000000008E-3</v>
      </c>
      <c r="P256">
        <v>0.99570210000000003</v>
      </c>
      <c r="Q256">
        <v>8.0145250000000001E-2</v>
      </c>
      <c r="R256">
        <v>-4.6408619999999998E-2</v>
      </c>
      <c r="S256">
        <v>3.0044559999999998</v>
      </c>
      <c r="T256">
        <v>5.4449200000000003E-2</v>
      </c>
      <c r="U256">
        <v>-8.2305909999999996E-2</v>
      </c>
      <c r="V256">
        <v>5.510118E-2</v>
      </c>
      <c r="W256">
        <v>8.7720329999999999E-2</v>
      </c>
      <c r="X256">
        <v>0.99461999999999995</v>
      </c>
      <c r="Y256">
        <v>3.6098709999999999E-2</v>
      </c>
      <c r="Z256">
        <v>4.8511790000000001E-4</v>
      </c>
      <c r="AA256">
        <v>0.99934809999999996</v>
      </c>
      <c r="AB256">
        <v>36</v>
      </c>
      <c r="AC256">
        <v>240.4042</v>
      </c>
      <c r="AD256">
        <v>4.361459</v>
      </c>
      <c r="AE256">
        <v>-6.5987</v>
      </c>
      <c r="AF256">
        <v>8.6933653749121902</v>
      </c>
      <c r="AG256">
        <v>4.361459</v>
      </c>
      <c r="AH256">
        <v>240.25844777900201</v>
      </c>
      <c r="AI256">
        <v>88.960692618354201</v>
      </c>
      <c r="AJ256">
        <v>87.927748444126806</v>
      </c>
      <c r="AK256">
        <v>240.455232123001</v>
      </c>
      <c r="AL256">
        <v>84.967527011051402</v>
      </c>
      <c r="AM256">
        <v>86.829099315617498</v>
      </c>
      <c r="AN256">
        <v>0.99999997036635002</v>
      </c>
    </row>
    <row r="257" spans="1:40" x14ac:dyDescent="0.25">
      <c r="A257" t="str">
        <f>"20190312154507459"</f>
        <v>20190312154507459</v>
      </c>
      <c r="B257" t="str">
        <f>"1552376707446418"</f>
        <v>1552376707446418</v>
      </c>
      <c r="C257" t="s">
        <v>40</v>
      </c>
      <c r="D257">
        <v>3.7056100000000001</v>
      </c>
      <c r="E257">
        <v>0.49344860000000001</v>
      </c>
      <c r="F257" t="s">
        <v>46</v>
      </c>
      <c r="G257">
        <v>-158.19499999999999</v>
      </c>
      <c r="H257">
        <v>5.7168390000000002</v>
      </c>
      <c r="I257">
        <v>361.39400000000001</v>
      </c>
      <c r="J257">
        <v>-398.25229999999999</v>
      </c>
      <c r="K257">
        <v>1.0702389999999999</v>
      </c>
      <c r="L257">
        <v>367.92669999999998</v>
      </c>
      <c r="M257">
        <v>0.99993529999999997</v>
      </c>
      <c r="N257">
        <v>0</v>
      </c>
      <c r="O257">
        <v>8.7117480000000001E-3</v>
      </c>
      <c r="P257">
        <v>0.99568380000000001</v>
      </c>
      <c r="Q257">
        <v>8.0194479999999999E-2</v>
      </c>
      <c r="R257">
        <v>-4.672304E-2</v>
      </c>
      <c r="S257">
        <v>3.0044249999999999</v>
      </c>
      <c r="T257">
        <v>5.8098909999999997E-2</v>
      </c>
      <c r="U257">
        <v>-8.1603999999999996E-2</v>
      </c>
      <c r="V257">
        <v>5.5401029999999997E-2</v>
      </c>
      <c r="W257">
        <v>8.7482829999999998E-2</v>
      </c>
      <c r="X257">
        <v>0.99462430000000002</v>
      </c>
      <c r="Y257">
        <v>3.5850670000000001E-2</v>
      </c>
      <c r="Z257">
        <v>5.1496690000000004E-4</v>
      </c>
      <c r="AA257">
        <v>0.99935700000000005</v>
      </c>
      <c r="AB257">
        <v>36</v>
      </c>
      <c r="AC257">
        <v>240.0573</v>
      </c>
      <c r="AD257">
        <v>4.6466000000000003</v>
      </c>
      <c r="AE257">
        <v>-6.53269999999997</v>
      </c>
      <c r="AF257">
        <v>8.6205993043181195</v>
      </c>
      <c r="AG257">
        <v>4.6466000000000003</v>
      </c>
      <c r="AH257">
        <v>239.90146138562301</v>
      </c>
      <c r="AI257">
        <v>88.891104585523607</v>
      </c>
      <c r="AJ257">
        <v>87.942023670055704</v>
      </c>
      <c r="AK257">
        <v>240.10126363449899</v>
      </c>
      <c r="AL257">
        <v>84.981187468694699</v>
      </c>
      <c r="AM257">
        <v>86.811893138968003</v>
      </c>
      <c r="AN257">
        <v>1.0000000089101799</v>
      </c>
    </row>
    <row r="258" spans="1:40" x14ac:dyDescent="0.25">
      <c r="A258" t="str">
        <f>"20190312154507479"</f>
        <v>20190312154507479</v>
      </c>
      <c r="B258" t="str">
        <f>"1552376707465938"</f>
        <v>1552376707465938</v>
      </c>
      <c r="C258" t="s">
        <v>40</v>
      </c>
      <c r="D258">
        <v>3.6772990000000001</v>
      </c>
      <c r="E258">
        <v>0.49342639999999999</v>
      </c>
      <c r="F258" t="s">
        <v>46</v>
      </c>
      <c r="G258">
        <v>-158.19499999999999</v>
      </c>
      <c r="H258">
        <v>5.7763070000000001</v>
      </c>
      <c r="I258">
        <v>361.37479999999999</v>
      </c>
      <c r="J258">
        <v>-397.92989999999998</v>
      </c>
      <c r="K258">
        <v>1.0726610000000001</v>
      </c>
      <c r="L258">
        <v>367.92950000000002</v>
      </c>
      <c r="M258">
        <v>0.99993500000000002</v>
      </c>
      <c r="N258">
        <v>0</v>
      </c>
      <c r="O258">
        <v>8.6991269999999992E-3</v>
      </c>
      <c r="P258">
        <v>0.99571169999999998</v>
      </c>
      <c r="Q258">
        <v>8.0019370000000006E-2</v>
      </c>
      <c r="R258">
        <v>-4.6425760000000003E-2</v>
      </c>
      <c r="S258">
        <v>3.0044249999999999</v>
      </c>
      <c r="T258">
        <v>5.8899640000000003E-2</v>
      </c>
      <c r="U258">
        <v>-8.2000729999999994E-2</v>
      </c>
      <c r="V258">
        <v>5.5091569999999999E-2</v>
      </c>
      <c r="W258">
        <v>8.7365990000000004E-2</v>
      </c>
      <c r="X258">
        <v>0.99465170000000003</v>
      </c>
      <c r="Y258">
        <v>3.5969679999999997E-2</v>
      </c>
      <c r="Z258">
        <v>5.2298089999999904E-4</v>
      </c>
      <c r="AA258">
        <v>0.99935280000000004</v>
      </c>
      <c r="AB258">
        <v>35</v>
      </c>
      <c r="AC258">
        <v>239.73490000000001</v>
      </c>
      <c r="AD258">
        <v>4.703646</v>
      </c>
      <c r="AE258">
        <v>-6.55470000000002</v>
      </c>
      <c r="AF258">
        <v>8.6366707341908402</v>
      </c>
      <c r="AG258">
        <v>4.703646</v>
      </c>
      <c r="AH258">
        <v>239.57665002153499</v>
      </c>
      <c r="AI258">
        <v>88.875977417802901</v>
      </c>
      <c r="AJ258">
        <v>87.935397355115398</v>
      </c>
      <c r="AK258">
        <v>239.778413545934</v>
      </c>
      <c r="AL258">
        <v>84.987907346012904</v>
      </c>
      <c r="AM258">
        <v>86.829752047205901</v>
      </c>
      <c r="AN258">
        <v>0.99999995080331605</v>
      </c>
    </row>
    <row r="259" spans="1:40" x14ac:dyDescent="0.25">
      <c r="A259" t="str">
        <f>"20190312154507504"</f>
        <v>20190312154507504</v>
      </c>
      <c r="B259" t="str">
        <f>"1552376707496195"</f>
        <v>1552376707496195</v>
      </c>
      <c r="C259" t="s">
        <v>40</v>
      </c>
      <c r="D259">
        <v>3.6671960000000001</v>
      </c>
      <c r="E259">
        <v>0.49343090000000001</v>
      </c>
      <c r="F259" t="s">
        <v>46</v>
      </c>
      <c r="G259">
        <v>-158.19499999999999</v>
      </c>
      <c r="H259">
        <v>5.7853469999999998</v>
      </c>
      <c r="I259">
        <v>361.46190000000001</v>
      </c>
      <c r="J259">
        <v>-397.54219999999998</v>
      </c>
      <c r="K259">
        <v>1.0757950000000001</v>
      </c>
      <c r="L259">
        <v>367.93290000000002</v>
      </c>
      <c r="M259">
        <v>0.99993639999999995</v>
      </c>
      <c r="N259">
        <v>0</v>
      </c>
      <c r="O259">
        <v>8.6828949999999995E-3</v>
      </c>
      <c r="P259">
        <v>0.99569819999999998</v>
      </c>
      <c r="Q259">
        <v>8.0325690000000005E-2</v>
      </c>
      <c r="R259">
        <v>-4.6186489999999997E-2</v>
      </c>
      <c r="S259">
        <v>3.0044249999999999</v>
      </c>
      <c r="T259">
        <v>5.906177E-2</v>
      </c>
      <c r="U259">
        <v>-8.1054689999999999E-2</v>
      </c>
      <c r="V259">
        <v>5.4836349999999999E-2</v>
      </c>
      <c r="W259">
        <v>8.7482840000000006E-2</v>
      </c>
      <c r="X259">
        <v>0.99465559999999997</v>
      </c>
      <c r="Y259">
        <v>3.5639009999999999E-2</v>
      </c>
      <c r="Z259">
        <v>5.208538E-4</v>
      </c>
      <c r="AA259">
        <v>0.99936460000000005</v>
      </c>
      <c r="AB259">
        <v>35</v>
      </c>
      <c r="AC259">
        <v>239.34719999999999</v>
      </c>
      <c r="AD259">
        <v>4.7095520000000004</v>
      </c>
      <c r="AE259">
        <v>-6.4710000000000001</v>
      </c>
      <c r="AF259">
        <v>8.5457302477914308</v>
      </c>
      <c r="AG259">
        <v>4.7095520000000004</v>
      </c>
      <c r="AH259">
        <v>239.189448875571</v>
      </c>
      <c r="AI259">
        <v>88.872732044842095</v>
      </c>
      <c r="AJ259">
        <v>87.953814010169907</v>
      </c>
      <c r="AK259">
        <v>239.38839119495401</v>
      </c>
      <c r="AL259">
        <v>84.981186937223796</v>
      </c>
      <c r="AM259">
        <v>86.844421296274206</v>
      </c>
      <c r="AN259">
        <v>1.0000000175935699</v>
      </c>
    </row>
    <row r="260" spans="1:40" x14ac:dyDescent="0.25">
      <c r="A260" t="str">
        <f>"20190312154507526"</f>
        <v>20190312154507526</v>
      </c>
      <c r="B260" t="str">
        <f>"1552376707516689"</f>
        <v>1552376707516689</v>
      </c>
      <c r="C260" t="s">
        <v>40</v>
      </c>
      <c r="D260">
        <v>3.6027930000000001</v>
      </c>
      <c r="E260">
        <v>0.51665499999999998</v>
      </c>
      <c r="F260" t="s">
        <v>46</v>
      </c>
      <c r="G260">
        <v>-158.19499999999999</v>
      </c>
      <c r="H260">
        <v>5.8363120000000004</v>
      </c>
      <c r="I260">
        <v>361.51209999999998</v>
      </c>
      <c r="J260">
        <v>-397.20179999999999</v>
      </c>
      <c r="K260">
        <v>1.0787070000000001</v>
      </c>
      <c r="L260">
        <v>367.93579999999997</v>
      </c>
      <c r="M260">
        <v>0.99993840000000001</v>
      </c>
      <c r="N260">
        <v>0</v>
      </c>
      <c r="O260">
        <v>8.6696189999999999E-3</v>
      </c>
      <c r="P260">
        <v>0.9956798</v>
      </c>
      <c r="Q260">
        <v>8.0586249999999998E-2</v>
      </c>
      <c r="R260">
        <v>-4.6132600000000003E-2</v>
      </c>
      <c r="S260">
        <v>3.0043950000000001</v>
      </c>
      <c r="T260">
        <v>5.9757230000000001E-2</v>
      </c>
      <c r="U260">
        <v>-8.0596920000000002E-2</v>
      </c>
      <c r="V260">
        <v>5.4769119999999998E-2</v>
      </c>
      <c r="W260">
        <v>8.750658E-2</v>
      </c>
      <c r="X260">
        <v>0.99465720000000002</v>
      </c>
      <c r="Y260">
        <v>3.547368E-2</v>
      </c>
      <c r="Z260">
        <v>5.2508410000000002E-4</v>
      </c>
      <c r="AA260">
        <v>0.99937050000000005</v>
      </c>
      <c r="AB260">
        <v>35</v>
      </c>
      <c r="AC260">
        <v>239.0068</v>
      </c>
      <c r="AD260">
        <v>4.7576049999999999</v>
      </c>
      <c r="AE260">
        <v>-6.4236999999999904</v>
      </c>
      <c r="AF260">
        <v>8.4922437138263405</v>
      </c>
      <c r="AG260">
        <v>4.7576049999999999</v>
      </c>
      <c r="AH260">
        <v>238.84755269140001</v>
      </c>
      <c r="AI260">
        <v>88.8595965386139</v>
      </c>
      <c r="AJ260">
        <v>87.963701789252497</v>
      </c>
      <c r="AK260">
        <v>239.04582496940199</v>
      </c>
      <c r="AL260">
        <v>84.979821419375995</v>
      </c>
      <c r="AM260">
        <v>86.848287327605703</v>
      </c>
      <c r="AN260">
        <v>1.0000000017803501</v>
      </c>
    </row>
    <row r="261" spans="1:40" x14ac:dyDescent="0.25">
      <c r="A261" t="str">
        <f>"20190312154507549"</f>
        <v>20190312154507549</v>
      </c>
      <c r="B261" t="str">
        <f>"1552376707536209"</f>
        <v>1552376707536209</v>
      </c>
      <c r="C261" t="s">
        <v>40</v>
      </c>
      <c r="D261">
        <v>3.6858170000000001</v>
      </c>
      <c r="E261">
        <v>0.52275870000000002</v>
      </c>
      <c r="F261" t="s">
        <v>44</v>
      </c>
      <c r="G261">
        <v>0</v>
      </c>
      <c r="H261">
        <v>0</v>
      </c>
      <c r="I261">
        <v>0</v>
      </c>
      <c r="J261">
        <v>-396.83210000000003</v>
      </c>
      <c r="K261">
        <v>1.0819529999999999</v>
      </c>
      <c r="L261">
        <v>367.9391</v>
      </c>
      <c r="M261">
        <v>0.99993869999999896</v>
      </c>
      <c r="N261">
        <v>0</v>
      </c>
      <c r="O261">
        <v>8.6566850000000008E-3</v>
      </c>
      <c r="P261">
        <v>0.99565210000000004</v>
      </c>
      <c r="Q261">
        <v>8.099584E-2</v>
      </c>
      <c r="R261">
        <v>-4.6009109999999999E-2</v>
      </c>
      <c r="S261">
        <v>2.9875790000000002</v>
      </c>
      <c r="T261">
        <v>0.160762299999999</v>
      </c>
      <c r="U261">
        <v>-0.2684937</v>
      </c>
      <c r="V261">
        <v>5.4632649999999998E-2</v>
      </c>
      <c r="W261">
        <v>8.7865219999999994E-2</v>
      </c>
      <c r="X261">
        <v>0.99463310000000005</v>
      </c>
      <c r="Y261">
        <v>9.797496E-2</v>
      </c>
      <c r="Z261">
        <v>3.0934349999999998E-3</v>
      </c>
      <c r="AA261">
        <v>0.99518410000000002</v>
      </c>
      <c r="AB261">
        <v>35</v>
      </c>
      <c r="AC261">
        <v>2.9875790000000002</v>
      </c>
      <c r="AD261">
        <v>0.160762299999999</v>
      </c>
      <c r="AE261">
        <v>-0.2684937</v>
      </c>
      <c r="AF261">
        <v>0.29350374272737101</v>
      </c>
      <c r="AG261">
        <v>0.160762299999999</v>
      </c>
      <c r="AH261">
        <v>2.9765929382388499</v>
      </c>
      <c r="AI261">
        <v>86.9234169327475</v>
      </c>
      <c r="AJ261">
        <v>84.368615072020205</v>
      </c>
      <c r="AK261">
        <v>2.9953454699031998</v>
      </c>
      <c r="AL261">
        <v>84.959193464493495</v>
      </c>
      <c r="AM261">
        <v>86.8560487560664</v>
      </c>
      <c r="AN261">
        <v>1.00000001347364</v>
      </c>
    </row>
    <row r="262" spans="1:40" x14ac:dyDescent="0.25">
      <c r="A262" t="str">
        <f>"20190312154507570"</f>
        <v>20190312154507570</v>
      </c>
      <c r="B262" t="str">
        <f>"1552376707555730"</f>
        <v>1552376707555730</v>
      </c>
      <c r="C262" t="s">
        <v>40</v>
      </c>
      <c r="D262">
        <v>3.6515399999999998</v>
      </c>
      <c r="E262">
        <v>0.52522150000000001</v>
      </c>
      <c r="F262" t="s">
        <v>50</v>
      </c>
      <c r="G262">
        <v>-156.47239999999999</v>
      </c>
      <c r="H262">
        <v>16.343610000000002</v>
      </c>
      <c r="I262">
        <v>342.32859999999999</v>
      </c>
      <c r="J262">
        <v>-396.50909999999999</v>
      </c>
      <c r="K262">
        <v>1.0847850000000001</v>
      </c>
      <c r="L262">
        <v>367.9418</v>
      </c>
      <c r="M262">
        <v>0.99993770000000004</v>
      </c>
      <c r="N262">
        <v>0</v>
      </c>
      <c r="O262">
        <v>8.6460600000000006E-3</v>
      </c>
      <c r="P262">
        <v>0.99568159999999994</v>
      </c>
      <c r="Q262">
        <v>8.0589610000000006E-2</v>
      </c>
      <c r="R262">
        <v>-4.6082190000000002E-2</v>
      </c>
      <c r="S262">
        <v>2.9830019999999999</v>
      </c>
      <c r="T262">
        <v>0.18940589999999999</v>
      </c>
      <c r="U262">
        <v>-0.31784059999999997</v>
      </c>
      <c r="V262">
        <v>5.4695340000000002E-2</v>
      </c>
      <c r="W262">
        <v>8.7613460000000004E-2</v>
      </c>
      <c r="X262">
        <v>0.99465190000000003</v>
      </c>
      <c r="Y262">
        <v>0.1142996</v>
      </c>
      <c r="Z262">
        <v>4.1618389999999996E-3</v>
      </c>
      <c r="AA262">
        <v>0.99343760000000003</v>
      </c>
      <c r="AB262">
        <v>35</v>
      </c>
      <c r="AC262">
        <v>240.0367</v>
      </c>
      <c r="AD262">
        <v>15.258825</v>
      </c>
      <c r="AE262">
        <v>-25.613199999999999</v>
      </c>
      <c r="AF262">
        <v>27.577480498026802</v>
      </c>
      <c r="AG262">
        <v>15.258825</v>
      </c>
      <c r="AH262">
        <v>238.851938417871</v>
      </c>
      <c r="AI262">
        <v>86.368740043596404</v>
      </c>
      <c r="AJ262">
        <v>83.413879151381593</v>
      </c>
      <c r="AK262">
        <v>240.92238928122501</v>
      </c>
      <c r="AL262">
        <v>84.973674280797894</v>
      </c>
      <c r="AM262">
        <v>86.852507749831702</v>
      </c>
      <c r="AN262">
        <v>1.0000000503822399</v>
      </c>
    </row>
    <row r="263" spans="1:40" x14ac:dyDescent="0.25">
      <c r="A263" t="str">
        <f>"20190312154507592"</f>
        <v>20190312154507592</v>
      </c>
      <c r="B263" t="str">
        <f>"1552376707585986"</f>
        <v>1552376707585986</v>
      </c>
      <c r="C263" t="s">
        <v>40</v>
      </c>
      <c r="D263">
        <v>3.6047479999999998</v>
      </c>
      <c r="E263">
        <v>0.52667980000000003</v>
      </c>
      <c r="F263" t="s">
        <v>50</v>
      </c>
      <c r="G263">
        <v>-168.98740000000001</v>
      </c>
      <c r="H263">
        <v>16.387170000000001</v>
      </c>
      <c r="I263">
        <v>342.15159999999997</v>
      </c>
      <c r="J263">
        <v>-396.15179999999998</v>
      </c>
      <c r="K263">
        <v>1.087815</v>
      </c>
      <c r="L263">
        <v>367.94490000000002</v>
      </c>
      <c r="M263">
        <v>0.99993529999999997</v>
      </c>
      <c r="N263">
        <v>0</v>
      </c>
      <c r="O263">
        <v>8.6340610000000002E-3</v>
      </c>
      <c r="P263">
        <v>0.99568040000000002</v>
      </c>
      <c r="Q263">
        <v>8.0418970000000006E-2</v>
      </c>
      <c r="R263">
        <v>-4.6404859999999999E-2</v>
      </c>
      <c r="S263">
        <v>2.9811399999999999</v>
      </c>
      <c r="T263">
        <v>0.20050200000000001</v>
      </c>
      <c r="U263">
        <v>-0.33792109999999997</v>
      </c>
      <c r="V263">
        <v>5.5006109999999997E-2</v>
      </c>
      <c r="W263">
        <v>8.778685E-2</v>
      </c>
      <c r="X263">
        <v>0.99461940000000004</v>
      </c>
      <c r="Y263">
        <v>0.12091780000000001</v>
      </c>
      <c r="Z263">
        <v>4.6270460000000001E-3</v>
      </c>
      <c r="AA263">
        <v>0.99265179999999997</v>
      </c>
      <c r="AB263">
        <v>35</v>
      </c>
      <c r="AC263">
        <v>227.1644</v>
      </c>
      <c r="AD263">
        <v>15.299355</v>
      </c>
      <c r="AE263">
        <v>-25.793299999999999</v>
      </c>
      <c r="AF263">
        <v>27.630011195371701</v>
      </c>
      <c r="AG263">
        <v>15.299355</v>
      </c>
      <c r="AH263">
        <v>225.92150598695699</v>
      </c>
      <c r="AI263">
        <v>86.154422981094598</v>
      </c>
      <c r="AJ263">
        <v>83.027399774027302</v>
      </c>
      <c r="AK263">
        <v>228.11842242459801</v>
      </c>
      <c r="AL263">
        <v>84.963700969059502</v>
      </c>
      <c r="AM263">
        <v>86.834557255907995</v>
      </c>
      <c r="AN263">
        <v>0.99999997701330701</v>
      </c>
    </row>
    <row r="264" spans="1:40" x14ac:dyDescent="0.25">
      <c r="A264" t="str">
        <f>"20190312154507613"</f>
        <v>20190312154507613</v>
      </c>
      <c r="B264" t="str">
        <f>"1552376707606482"</f>
        <v>1552376707606482</v>
      </c>
      <c r="C264" t="s">
        <v>40</v>
      </c>
      <c r="D264">
        <v>3.6103260000000001</v>
      </c>
      <c r="E264">
        <v>0.52717219999999998</v>
      </c>
      <c r="F264" t="s">
        <v>50</v>
      </c>
      <c r="G264">
        <v>-168.98750000000001</v>
      </c>
      <c r="H264">
        <v>16.60642</v>
      </c>
      <c r="I264">
        <v>341.21690000000001</v>
      </c>
      <c r="J264">
        <v>-395.81310000000002</v>
      </c>
      <c r="K264">
        <v>1.090522</v>
      </c>
      <c r="L264">
        <v>367.94779999999997</v>
      </c>
      <c r="M264">
        <v>0.99993220000000005</v>
      </c>
      <c r="N264">
        <v>0</v>
      </c>
      <c r="O264">
        <v>8.6223319999999999E-3</v>
      </c>
      <c r="P264">
        <v>0.99569370000000001</v>
      </c>
      <c r="Q264">
        <v>8.007272E-2</v>
      </c>
      <c r="R264">
        <v>-4.6721159999999998E-2</v>
      </c>
      <c r="S264">
        <v>2.980194</v>
      </c>
      <c r="T264">
        <v>0.2035904</v>
      </c>
      <c r="U264">
        <v>-0.35064699999999999</v>
      </c>
      <c r="V264">
        <v>5.5310819999999997E-2</v>
      </c>
      <c r="W264">
        <v>8.7865699999999894E-2</v>
      </c>
      <c r="X264">
        <v>0.99459560000000002</v>
      </c>
      <c r="Y264">
        <v>0.12510470000000001</v>
      </c>
      <c r="Z264">
        <v>4.8400539999999999E-3</v>
      </c>
      <c r="AA264">
        <v>0.99213169999999995</v>
      </c>
      <c r="AB264">
        <v>35</v>
      </c>
      <c r="AC264">
        <v>226.82560000000001</v>
      </c>
      <c r="AD264">
        <v>15.515898</v>
      </c>
      <c r="AE264">
        <v>-26.730899999999899</v>
      </c>
      <c r="AF264">
        <v>28.553952891337602</v>
      </c>
      <c r="AG264">
        <v>15.515898</v>
      </c>
      <c r="AH264">
        <v>225.54576515524599</v>
      </c>
      <c r="AI264">
        <v>86.095735472401302</v>
      </c>
      <c r="AJ264">
        <v>82.784773855279198</v>
      </c>
      <c r="AK264">
        <v>227.87488561913199</v>
      </c>
      <c r="AL264">
        <v>84.959165978643199</v>
      </c>
      <c r="AM264">
        <v>86.8169820223454</v>
      </c>
      <c r="AN264">
        <v>1.0000000377924601</v>
      </c>
    </row>
    <row r="265" spans="1:40" x14ac:dyDescent="0.25">
      <c r="A265" t="str">
        <f>"20190312154507637"</f>
        <v>20190312154507637</v>
      </c>
      <c r="B265" t="str">
        <f>"1552376707626005"</f>
        <v>1552376707626005</v>
      </c>
      <c r="C265" t="s">
        <v>40</v>
      </c>
      <c r="D265">
        <v>3.6019040000000002</v>
      </c>
      <c r="E265">
        <v>0.52775469999999902</v>
      </c>
      <c r="F265" t="s">
        <v>50</v>
      </c>
      <c r="G265">
        <v>-168.98750000000001</v>
      </c>
      <c r="H265">
        <v>16.687339999999999</v>
      </c>
      <c r="I265">
        <v>340.86610000000002</v>
      </c>
      <c r="J265">
        <v>-395.44060000000002</v>
      </c>
      <c r="K265">
        <v>1.093262</v>
      </c>
      <c r="L265">
        <v>367.95100000000002</v>
      </c>
      <c r="M265">
        <v>0.99992809999999999</v>
      </c>
      <c r="N265">
        <v>0</v>
      </c>
      <c r="O265">
        <v>8.6094250000000004E-3</v>
      </c>
      <c r="P265">
        <v>0.99574850000000004</v>
      </c>
      <c r="Q265">
        <v>7.9508229999999999E-2</v>
      </c>
      <c r="R265">
        <v>-4.6519669999999999E-2</v>
      </c>
      <c r="S265">
        <v>2.9798279999999999</v>
      </c>
      <c r="T265">
        <v>0.20489679999999999</v>
      </c>
      <c r="U265">
        <v>-0.35577389999999998</v>
      </c>
      <c r="V265">
        <v>5.5096890000000003E-2</v>
      </c>
      <c r="W265">
        <v>8.7828160000000002E-2</v>
      </c>
      <c r="X265">
        <v>0.99461069999999996</v>
      </c>
      <c r="Y265">
        <v>0.12678149999999999</v>
      </c>
      <c r="Z265">
        <v>4.9276390000000002E-3</v>
      </c>
      <c r="AA265">
        <v>0.99191839999999998</v>
      </c>
      <c r="AB265">
        <v>35</v>
      </c>
      <c r="AC265">
        <v>226.45310000000001</v>
      </c>
      <c r="AD265">
        <v>15.594078</v>
      </c>
      <c r="AE265">
        <v>-27.084899999999902</v>
      </c>
      <c r="AF265">
        <v>28.898490672286201</v>
      </c>
      <c r="AG265">
        <v>15.594078</v>
      </c>
      <c r="AH265">
        <v>225.15886503111301</v>
      </c>
      <c r="AI265">
        <v>86.070261797415398</v>
      </c>
      <c r="AJ265">
        <v>82.686236936898197</v>
      </c>
      <c r="AK265">
        <v>227.54079312049799</v>
      </c>
      <c r="AL265">
        <v>84.961324760005695</v>
      </c>
      <c r="AM265">
        <v>86.829316101615007</v>
      </c>
      <c r="AN265">
        <v>0.99999994876557197</v>
      </c>
    </row>
    <row r="266" spans="1:40" x14ac:dyDescent="0.25">
      <c r="A266" t="str">
        <f>"20190312154507658"</f>
        <v>20190312154507658</v>
      </c>
      <c r="B266" t="str">
        <f>"1552376707646498"</f>
        <v>1552376707646498</v>
      </c>
      <c r="C266" t="s">
        <v>40</v>
      </c>
      <c r="D266">
        <v>3.6184020000000001</v>
      </c>
      <c r="E266">
        <v>0.52815000000000001</v>
      </c>
      <c r="F266" t="s">
        <v>50</v>
      </c>
      <c r="G266">
        <v>-168.98750000000001</v>
      </c>
      <c r="H266">
        <v>16.68647</v>
      </c>
      <c r="I266">
        <v>340.61529999999999</v>
      </c>
      <c r="J266">
        <v>-395.11309999999997</v>
      </c>
      <c r="K266">
        <v>1.0954539999999999</v>
      </c>
      <c r="L266">
        <v>367.9538</v>
      </c>
      <c r="M266">
        <v>0.99992400000000004</v>
      </c>
      <c r="N266">
        <v>0</v>
      </c>
      <c r="O266">
        <v>8.5980669999999992E-3</v>
      </c>
      <c r="P266">
        <v>0.99577979999999999</v>
      </c>
      <c r="Q266">
        <v>7.9044249999999996E-2</v>
      </c>
      <c r="R266">
        <v>-4.6638180000000001E-2</v>
      </c>
      <c r="S266">
        <v>2.9796450000000001</v>
      </c>
      <c r="T266">
        <v>0.20517389999999999</v>
      </c>
      <c r="U266">
        <v>-0.35968020000000001</v>
      </c>
      <c r="V266">
        <v>5.5204309999999999E-2</v>
      </c>
      <c r="W266">
        <v>8.7847170000000002E-2</v>
      </c>
      <c r="X266">
        <v>0.99460309999999996</v>
      </c>
      <c r="Y266">
        <v>0.12805540000000001</v>
      </c>
      <c r="Z266">
        <v>4.97708E-3</v>
      </c>
      <c r="AA266">
        <v>0.99175449999999998</v>
      </c>
      <c r="AB266">
        <v>35</v>
      </c>
      <c r="AC266">
        <v>226.12559999999999</v>
      </c>
      <c r="AD266">
        <v>15.591016</v>
      </c>
      <c r="AE266">
        <v>-27.3385</v>
      </c>
      <c r="AF266">
        <v>29.1452509604296</v>
      </c>
      <c r="AG266">
        <v>15.591016</v>
      </c>
      <c r="AH266">
        <v>224.828759073573</v>
      </c>
      <c r="AI266">
        <v>86.0659203315371</v>
      </c>
      <c r="AJ266">
        <v>82.613760807888298</v>
      </c>
      <c r="AK266">
        <v>227.24545394797499</v>
      </c>
      <c r="AL266">
        <v>84.960231518046498</v>
      </c>
      <c r="AM266">
        <v>86.823122782035099</v>
      </c>
      <c r="AN266">
        <v>0.99999998382459698</v>
      </c>
    </row>
    <row r="267" spans="1:40" x14ac:dyDescent="0.25">
      <c r="A267" t="str">
        <f>"20190312154507681"</f>
        <v>20190312154507681</v>
      </c>
      <c r="B267" t="str">
        <f>"1552376707666018"</f>
        <v>1552376707666018</v>
      </c>
      <c r="C267" t="s">
        <v>40</v>
      </c>
      <c r="D267">
        <v>3.5834959999999998</v>
      </c>
      <c r="E267">
        <v>0.52848640000000002</v>
      </c>
      <c r="F267" t="s">
        <v>50</v>
      </c>
      <c r="G267">
        <v>-168.98750000000001</v>
      </c>
      <c r="H267">
        <v>16.66958</v>
      </c>
      <c r="I267">
        <v>340.37970000000001</v>
      </c>
      <c r="J267">
        <v>-394.74329999999998</v>
      </c>
      <c r="K267">
        <v>1.0976600000000001</v>
      </c>
      <c r="L267">
        <v>367.95699999999999</v>
      </c>
      <c r="M267">
        <v>0.99991909999999895</v>
      </c>
      <c r="N267">
        <v>0</v>
      </c>
      <c r="O267">
        <v>8.5852849999999998E-3</v>
      </c>
      <c r="P267">
        <v>0.9958669</v>
      </c>
      <c r="Q267">
        <v>7.7894110000000003E-2</v>
      </c>
      <c r="R267">
        <v>-4.6708949999999999E-2</v>
      </c>
      <c r="S267">
        <v>2.9794010000000002</v>
      </c>
      <c r="T267">
        <v>0.20520269999999999</v>
      </c>
      <c r="U267">
        <v>-0.36331180000000002</v>
      </c>
      <c r="V267">
        <v>5.526325E-2</v>
      </c>
      <c r="W267">
        <v>8.7241059999999995E-2</v>
      </c>
      <c r="X267">
        <v>0.99465320000000002</v>
      </c>
      <c r="Y267">
        <v>0.12924089999999999</v>
      </c>
      <c r="Z267">
        <v>5.0175719999999997E-3</v>
      </c>
      <c r="AA267">
        <v>0.9916005</v>
      </c>
      <c r="AB267">
        <v>35</v>
      </c>
      <c r="AC267">
        <v>225.75579999999999</v>
      </c>
      <c r="AD267">
        <v>15.57192</v>
      </c>
      <c r="AE267">
        <v>-27.577299999999902</v>
      </c>
      <c r="AF267">
        <v>29.376832593219198</v>
      </c>
      <c r="AG267">
        <v>15.57192</v>
      </c>
      <c r="AH267">
        <v>224.45848176517799</v>
      </c>
      <c r="AI267">
        <v>86.064888031292</v>
      </c>
      <c r="AJ267">
        <v>82.543584774663003</v>
      </c>
      <c r="AK267">
        <v>226.907675106033</v>
      </c>
      <c r="AL267">
        <v>84.995093034756493</v>
      </c>
      <c r="AM267">
        <v>86.819897742248401</v>
      </c>
      <c r="AN267">
        <v>1.00000000881036</v>
      </c>
    </row>
    <row r="268" spans="1:40" x14ac:dyDescent="0.25">
      <c r="A268" t="str">
        <f>"20190312154507705"</f>
        <v>20190312154507705</v>
      </c>
      <c r="B268" t="str">
        <f>"1552376707696273"</f>
        <v>1552376707696273</v>
      </c>
      <c r="C268" t="s">
        <v>40</v>
      </c>
      <c r="D268">
        <v>3.6079859999999999</v>
      </c>
      <c r="E268">
        <v>0.52910829999999998</v>
      </c>
      <c r="F268" t="s">
        <v>50</v>
      </c>
      <c r="G268">
        <v>-168.98750000000001</v>
      </c>
      <c r="H268">
        <v>16.495940000000001</v>
      </c>
      <c r="I268">
        <v>340.21269999999998</v>
      </c>
      <c r="J268">
        <v>-394.38470000000001</v>
      </c>
      <c r="K268">
        <v>1.09954</v>
      </c>
      <c r="L268">
        <v>367.96010000000001</v>
      </c>
      <c r="M268">
        <v>0.99991419999999998</v>
      </c>
      <c r="N268">
        <v>0</v>
      </c>
      <c r="O268">
        <v>8.5735440000000007E-3</v>
      </c>
      <c r="P268">
        <v>0.99595199999999995</v>
      </c>
      <c r="Q268">
        <v>7.6679839999999999E-2</v>
      </c>
      <c r="R268">
        <v>-4.690925E-2</v>
      </c>
      <c r="S268">
        <v>2.9793699999999999</v>
      </c>
      <c r="T268">
        <v>0.20321610000000001</v>
      </c>
      <c r="U268">
        <v>-0.36614989999999997</v>
      </c>
      <c r="V268">
        <v>5.5452319999999999E-2</v>
      </c>
      <c r="W268">
        <v>8.653516E-2</v>
      </c>
      <c r="X268">
        <v>0.99470429999999999</v>
      </c>
      <c r="Y268">
        <v>0.13016520000000001</v>
      </c>
      <c r="Z268">
        <v>4.9994480000000001E-3</v>
      </c>
      <c r="AA268">
        <v>0.99147969999999996</v>
      </c>
      <c r="AB268">
        <v>35</v>
      </c>
      <c r="AC268">
        <v>225.3972</v>
      </c>
      <c r="AD268">
        <v>15.3964</v>
      </c>
      <c r="AE268">
        <v>-27.747399999999999</v>
      </c>
      <c r="AF268">
        <v>29.543138321382099</v>
      </c>
      <c r="AG268">
        <v>15.3964</v>
      </c>
      <c r="AH268">
        <v>224.120881271602</v>
      </c>
      <c r="AI268">
        <v>86.103734041314894</v>
      </c>
      <c r="AJ268">
        <v>82.490686203057606</v>
      </c>
      <c r="AK268">
        <v>226.58335238228699</v>
      </c>
      <c r="AL268">
        <v>85.035691469175802</v>
      </c>
      <c r="AM268">
        <v>86.809203815251394</v>
      </c>
      <c r="AN268">
        <v>0.99999996907404798</v>
      </c>
    </row>
    <row r="269" spans="1:40" x14ac:dyDescent="0.25">
      <c r="A269" t="str">
        <f>"20190312154507727"</f>
        <v>20190312154507727</v>
      </c>
      <c r="B269" t="str">
        <f>"1552376707715794"</f>
        <v>1552376707715794</v>
      </c>
      <c r="C269" t="s">
        <v>40</v>
      </c>
      <c r="D269">
        <v>3.637753</v>
      </c>
      <c r="E269">
        <v>0.52948079999999997</v>
      </c>
      <c r="F269" t="s">
        <v>50</v>
      </c>
      <c r="G269">
        <v>-168.40549999999999</v>
      </c>
      <c r="H269">
        <v>16.291</v>
      </c>
      <c r="I269">
        <v>339.74040000000002</v>
      </c>
      <c r="J269">
        <v>-394.03500000000003</v>
      </c>
      <c r="K269">
        <v>1.1011340000000001</v>
      </c>
      <c r="L269">
        <v>367.9631</v>
      </c>
      <c r="M269">
        <v>0.99990959999999995</v>
      </c>
      <c r="N269">
        <v>0</v>
      </c>
      <c r="O269">
        <v>8.5617790000000003E-3</v>
      </c>
      <c r="P269">
        <v>0.99599749999999998</v>
      </c>
      <c r="Q269">
        <v>7.6384720000000003E-2</v>
      </c>
      <c r="R269">
        <v>-4.6420080000000002E-2</v>
      </c>
      <c r="S269">
        <v>2.9792480000000001</v>
      </c>
      <c r="T269">
        <v>0.20028019999999999</v>
      </c>
      <c r="U269">
        <v>-0.37203979999999998</v>
      </c>
      <c r="V269">
        <v>5.4951989999999999E-2</v>
      </c>
      <c r="W269">
        <v>8.6705710000000005E-2</v>
      </c>
      <c r="X269">
        <v>0.99471719999999997</v>
      </c>
      <c r="Y269">
        <v>0.13209370000000001</v>
      </c>
      <c r="Z269">
        <v>4.990703E-3</v>
      </c>
      <c r="AA269">
        <v>0.99122460000000001</v>
      </c>
      <c r="AB269">
        <v>35</v>
      </c>
      <c r="AC269">
        <v>225.62950000000001</v>
      </c>
      <c r="AD269">
        <v>15.189866</v>
      </c>
      <c r="AE269">
        <v>-28.2226999999999</v>
      </c>
      <c r="AF269">
        <v>30.0195981270004</v>
      </c>
      <c r="AG269">
        <v>15.189866</v>
      </c>
      <c r="AH269">
        <v>224.37830187413999</v>
      </c>
      <c r="AI269">
        <v>86.161224730143701</v>
      </c>
      <c r="AJ269">
        <v>82.379643828730906</v>
      </c>
      <c r="AK269">
        <v>226.886603070185</v>
      </c>
      <c r="AL269">
        <v>85.025882734832905</v>
      </c>
      <c r="AM269">
        <v>86.837975669226097</v>
      </c>
      <c r="AN269">
        <v>0.99999995466370095</v>
      </c>
    </row>
    <row r="270" spans="1:40" x14ac:dyDescent="0.25">
      <c r="A270" t="str">
        <f>"20190312154507749"</f>
        <v>20190312154507749</v>
      </c>
      <c r="B270" t="str">
        <f>"1552376707736289"</f>
        <v>1552376707736289</v>
      </c>
      <c r="C270" t="s">
        <v>40</v>
      </c>
      <c r="D270">
        <v>3.6044260000000001</v>
      </c>
      <c r="E270">
        <v>0.52972169999999996</v>
      </c>
      <c r="F270" t="s">
        <v>50</v>
      </c>
      <c r="G270">
        <v>-168.40549999999999</v>
      </c>
      <c r="H270">
        <v>16.28144</v>
      </c>
      <c r="I270">
        <v>339.68799999999999</v>
      </c>
      <c r="J270">
        <v>-393.68759999999997</v>
      </c>
      <c r="K270">
        <v>1.102506</v>
      </c>
      <c r="L270">
        <v>367.96600000000001</v>
      </c>
      <c r="M270">
        <v>0.99990500000000004</v>
      </c>
      <c r="N270">
        <v>0</v>
      </c>
      <c r="O270">
        <v>8.5498589999999999E-3</v>
      </c>
      <c r="P270">
        <v>0.99607520000000005</v>
      </c>
      <c r="Q270">
        <v>7.5361150000000002E-2</v>
      </c>
      <c r="R270">
        <v>-4.6421480000000001E-2</v>
      </c>
      <c r="S270">
        <v>2.979279</v>
      </c>
      <c r="T270">
        <v>0.20044529999999999</v>
      </c>
      <c r="U270">
        <v>-0.37335210000000002</v>
      </c>
      <c r="V270">
        <v>5.4942280000000003E-2</v>
      </c>
      <c r="W270">
        <v>8.6113789999999996E-2</v>
      </c>
      <c r="X270">
        <v>0.99476920000000002</v>
      </c>
      <c r="Y270">
        <v>0.13250909999999999</v>
      </c>
      <c r="Z270">
        <v>5.0077309999999996E-3</v>
      </c>
      <c r="AA270">
        <v>0.99116919999999997</v>
      </c>
      <c r="AB270">
        <v>35</v>
      </c>
      <c r="AC270">
        <v>225.28210000000001</v>
      </c>
      <c r="AD270">
        <v>15.178934</v>
      </c>
      <c r="AE270">
        <v>-28.277999999999899</v>
      </c>
      <c r="AF270">
        <v>30.0688223909481</v>
      </c>
      <c r="AG270">
        <v>15.178934</v>
      </c>
      <c r="AH270">
        <v>224.03081615284501</v>
      </c>
      <c r="AI270">
        <v>86.158262531095701</v>
      </c>
      <c r="AJ270">
        <v>82.3555967241074</v>
      </c>
      <c r="AK270">
        <v>226.54876010136201</v>
      </c>
      <c r="AL270">
        <v>85.059924807102902</v>
      </c>
      <c r="AM270">
        <v>86.838698189993806</v>
      </c>
      <c r="AN270">
        <v>1.0000000001142</v>
      </c>
    </row>
    <row r="271" spans="1:40" x14ac:dyDescent="0.25">
      <c r="A271" t="str">
        <f>"20190312154507770"</f>
        <v>20190312154507770</v>
      </c>
      <c r="B271" t="str">
        <f>"1552376707756317"</f>
        <v>1552376707756317</v>
      </c>
      <c r="C271" t="s">
        <v>40</v>
      </c>
      <c r="D271">
        <v>3.5641850000000002</v>
      </c>
      <c r="E271">
        <v>0.52984819999999999</v>
      </c>
      <c r="F271" t="s">
        <v>50</v>
      </c>
      <c r="G271">
        <v>-168.40539999999999</v>
      </c>
      <c r="H271">
        <v>16.040240000000001</v>
      </c>
      <c r="I271">
        <v>339.57150000000001</v>
      </c>
      <c r="J271">
        <v>-393.35730000000001</v>
      </c>
      <c r="K271">
        <v>1.103642</v>
      </c>
      <c r="L271">
        <v>367.96890000000002</v>
      </c>
      <c r="M271">
        <v>0.99990089999999998</v>
      </c>
      <c r="N271">
        <v>0</v>
      </c>
      <c r="O271">
        <v>8.5388570000000004E-3</v>
      </c>
      <c r="P271">
        <v>0.99614849999999999</v>
      </c>
      <c r="Q271">
        <v>7.4604359999999995E-2</v>
      </c>
      <c r="R271">
        <v>-4.6068089999999999E-2</v>
      </c>
      <c r="S271">
        <v>2.9793699999999999</v>
      </c>
      <c r="T271">
        <v>0.19755239999999999</v>
      </c>
      <c r="U271">
        <v>-0.37551879999999999</v>
      </c>
      <c r="V271">
        <v>5.457857E-2</v>
      </c>
      <c r="W271">
        <v>8.5737060000000004E-2</v>
      </c>
      <c r="X271">
        <v>0.99482179999999998</v>
      </c>
      <c r="Y271">
        <v>0.13321160000000001</v>
      </c>
      <c r="Z271">
        <v>4.9576949999999998E-3</v>
      </c>
      <c r="AA271">
        <v>0.99107520000000005</v>
      </c>
      <c r="AB271">
        <v>35</v>
      </c>
      <c r="AC271">
        <v>224.95189999999999</v>
      </c>
      <c r="AD271">
        <v>14.936598</v>
      </c>
      <c r="AE271">
        <v>-28.397400000000001</v>
      </c>
      <c r="AF271">
        <v>30.1863180640024</v>
      </c>
      <c r="AG271">
        <v>14.936598</v>
      </c>
      <c r="AH271">
        <v>223.730283556107</v>
      </c>
      <c r="AI271">
        <v>86.214705978016795</v>
      </c>
      <c r="AJ271">
        <v>82.315895895048797</v>
      </c>
      <c r="AK271">
        <v>226.251089584494</v>
      </c>
      <c r="AL271">
        <v>85.081590163850507</v>
      </c>
      <c r="AM271">
        <v>86.859749239876606</v>
      </c>
      <c r="AN271">
        <v>1.00000003875796</v>
      </c>
    </row>
    <row r="272" spans="1:40" x14ac:dyDescent="0.25">
      <c r="A272" t="str">
        <f>"20190312154507792"</f>
        <v>20190312154507792</v>
      </c>
      <c r="B272" t="str">
        <f>"1552376707786573"</f>
        <v>1552376707786573</v>
      </c>
      <c r="C272" t="s">
        <v>40</v>
      </c>
      <c r="D272">
        <v>3.6233460000000002</v>
      </c>
      <c r="E272">
        <v>0.52997669999999997</v>
      </c>
      <c r="F272" t="s">
        <v>50</v>
      </c>
      <c r="G272">
        <v>-168.40530000000001</v>
      </c>
      <c r="H272">
        <v>15.865130000000001</v>
      </c>
      <c r="I272">
        <v>339.62490000000003</v>
      </c>
      <c r="J272">
        <v>-393.01209999999998</v>
      </c>
      <c r="K272">
        <v>1.104665</v>
      </c>
      <c r="L272">
        <v>367.97179999999997</v>
      </c>
      <c r="M272">
        <v>0.99989689999999998</v>
      </c>
      <c r="N272">
        <v>0</v>
      </c>
      <c r="O272">
        <v>8.5271569999999901E-3</v>
      </c>
      <c r="P272">
        <v>0.9961624</v>
      </c>
      <c r="Q272">
        <v>7.4360270000000006E-2</v>
      </c>
      <c r="R272">
        <v>-4.6166619999999998E-2</v>
      </c>
      <c r="S272">
        <v>2.979584</v>
      </c>
      <c r="T272">
        <v>0.19552220000000001</v>
      </c>
      <c r="U272">
        <v>-0.37542720000000002</v>
      </c>
      <c r="V272">
        <v>5.466551E-2</v>
      </c>
      <c r="W272">
        <v>8.5856769999999999E-2</v>
      </c>
      <c r="X272">
        <v>0.99480659999999999</v>
      </c>
      <c r="Y272">
        <v>0.1331677</v>
      </c>
      <c r="Z272">
        <v>4.9043189999999999E-3</v>
      </c>
      <c r="AA272">
        <v>0.9910814</v>
      </c>
      <c r="AB272">
        <v>35</v>
      </c>
      <c r="AC272">
        <v>224.60679999999999</v>
      </c>
      <c r="AD272">
        <v>14.7604649999999</v>
      </c>
      <c r="AE272">
        <v>-28.346899999999899</v>
      </c>
      <c r="AF272">
        <v>30.1331584299366</v>
      </c>
      <c r="AG272">
        <v>14.7604649999999</v>
      </c>
      <c r="AH272">
        <v>223.407193938923</v>
      </c>
      <c r="AI272">
        <v>86.253799141979002</v>
      </c>
      <c r="AJ272">
        <v>82.318305747445706</v>
      </c>
      <c r="AK272">
        <v>225.912932050477</v>
      </c>
      <c r="AL272">
        <v>85.074705400057596</v>
      </c>
      <c r="AM272">
        <v>86.854709105565505</v>
      </c>
      <c r="AN272">
        <v>0.99999993717097402</v>
      </c>
    </row>
    <row r="273" spans="1:40" x14ac:dyDescent="0.25">
      <c r="A273" t="str">
        <f>"20190312154507814"</f>
        <v>20190312154507814</v>
      </c>
      <c r="B273" t="str">
        <f>"1552376707806093"</f>
        <v>1552376707806093</v>
      </c>
      <c r="C273" t="s">
        <v>40</v>
      </c>
      <c r="D273">
        <v>3.6435070000000001</v>
      </c>
      <c r="E273">
        <v>0.52997269999999996</v>
      </c>
      <c r="F273" t="s">
        <v>50</v>
      </c>
      <c r="G273">
        <v>-168.40530000000001</v>
      </c>
      <c r="H273">
        <v>15.717790000000001</v>
      </c>
      <c r="I273">
        <v>339.59120000000001</v>
      </c>
      <c r="J273">
        <v>-392.6703</v>
      </c>
      <c r="K273">
        <v>1.1055330000000001</v>
      </c>
      <c r="L273">
        <v>367.97469999999998</v>
      </c>
      <c r="M273">
        <v>0.99989320000000004</v>
      </c>
      <c r="N273">
        <v>0</v>
      </c>
      <c r="O273">
        <v>8.5156609999999903E-3</v>
      </c>
      <c r="P273">
        <v>0.99617389999999995</v>
      </c>
      <c r="Q273">
        <v>7.4263190000000007E-2</v>
      </c>
      <c r="R273">
        <v>-4.6077220000000002E-2</v>
      </c>
      <c r="S273">
        <v>2.9796140000000002</v>
      </c>
      <c r="T273">
        <v>0.19385649999999999</v>
      </c>
      <c r="U273">
        <v>-0.37649539999999998</v>
      </c>
      <c r="V273">
        <v>5.4564550000000003E-2</v>
      </c>
      <c r="W273">
        <v>8.6087650000000002E-2</v>
      </c>
      <c r="X273">
        <v>0.99479229999999996</v>
      </c>
      <c r="Y273">
        <v>0.13350919999999999</v>
      </c>
      <c r="Z273">
        <v>4.8727789999999998E-3</v>
      </c>
      <c r="AA273">
        <v>0.99103560000000002</v>
      </c>
      <c r="AB273">
        <v>35</v>
      </c>
      <c r="AC273">
        <v>224.26499999999999</v>
      </c>
      <c r="AD273">
        <v>14.612257</v>
      </c>
      <c r="AE273">
        <v>-28.383499999999898</v>
      </c>
      <c r="AF273">
        <v>30.166323119732802</v>
      </c>
      <c r="AG273">
        <v>14.612257</v>
      </c>
      <c r="AH273">
        <v>223.08301548133801</v>
      </c>
      <c r="AI273">
        <v>86.286103779042705</v>
      </c>
      <c r="AJ273">
        <v>82.298911385676703</v>
      </c>
      <c r="AK273">
        <v>225.58713815606799</v>
      </c>
      <c r="AL273">
        <v>85.061428332832804</v>
      </c>
      <c r="AM273">
        <v>86.860461373204501</v>
      </c>
      <c r="AN273">
        <v>1.00000004686925</v>
      </c>
    </row>
    <row r="274" spans="1:40" x14ac:dyDescent="0.25">
      <c r="A274" t="str">
        <f>"20190312154507837"</f>
        <v>20190312154507837</v>
      </c>
      <c r="B274" t="str">
        <f>"1552376707826590"</f>
        <v>1552376707826590</v>
      </c>
      <c r="C274" t="s">
        <v>40</v>
      </c>
      <c r="D274">
        <v>3.6830940000000001</v>
      </c>
      <c r="E274">
        <v>0.52116549999999995</v>
      </c>
      <c r="F274" t="s">
        <v>50</v>
      </c>
      <c r="G274">
        <v>-168.40530000000001</v>
      </c>
      <c r="H274">
        <v>15.712879999999901</v>
      </c>
      <c r="I274">
        <v>339.66739999999999</v>
      </c>
      <c r="J274">
        <v>-392.3134</v>
      </c>
      <c r="K274">
        <v>1.1063069999999999</v>
      </c>
      <c r="L274">
        <v>367.97770000000003</v>
      </c>
      <c r="M274">
        <v>0.99988940000000004</v>
      </c>
      <c r="N274">
        <v>0</v>
      </c>
      <c r="O274">
        <v>8.5035059999999992E-3</v>
      </c>
      <c r="P274">
        <v>0.99614760000000002</v>
      </c>
      <c r="Q274">
        <v>7.4443889999999999E-2</v>
      </c>
      <c r="R274">
        <v>-4.6346529999999997E-2</v>
      </c>
      <c r="S274">
        <v>2.9796450000000001</v>
      </c>
      <c r="T274">
        <v>0.1940771</v>
      </c>
      <c r="U274">
        <v>-0.37609860000000001</v>
      </c>
      <c r="V274">
        <v>5.4821769999999999E-2</v>
      </c>
      <c r="W274">
        <v>8.6578859999999994E-2</v>
      </c>
      <c r="X274">
        <v>0.99473549999999999</v>
      </c>
      <c r="Y274">
        <v>0.1333657</v>
      </c>
      <c r="Z274">
        <v>4.8728670000000003E-3</v>
      </c>
      <c r="AA274">
        <v>0.99105489999999996</v>
      </c>
      <c r="AB274">
        <v>35</v>
      </c>
      <c r="AC274">
        <v>223.90809999999999</v>
      </c>
      <c r="AD274">
        <v>14.606572999999999</v>
      </c>
      <c r="AE274">
        <v>-28.310300000000002</v>
      </c>
      <c r="AF274">
        <v>30.087397735551999</v>
      </c>
      <c r="AG274">
        <v>14.606572999999999</v>
      </c>
      <c r="AH274">
        <v>222.72633639770001</v>
      </c>
      <c r="AI274">
        <v>86.2815480305769</v>
      </c>
      <c r="AJ274">
        <v>82.306665583775995</v>
      </c>
      <c r="AK274">
        <v>225.223498779419</v>
      </c>
      <c r="AL274">
        <v>85.033178465655396</v>
      </c>
      <c r="AM274">
        <v>86.845511499082406</v>
      </c>
      <c r="AN274">
        <v>1.0000000202125401</v>
      </c>
    </row>
    <row r="275" spans="1:40" x14ac:dyDescent="0.25">
      <c r="A275" t="str">
        <f>"20190312154507859"</f>
        <v>20190312154507859</v>
      </c>
      <c r="B275" t="str">
        <f>"1552376707846614"</f>
        <v>1552376707846614</v>
      </c>
      <c r="C275" t="s">
        <v>40</v>
      </c>
      <c r="D275">
        <v>3.678569</v>
      </c>
      <c r="E275">
        <v>0.52012769999999997</v>
      </c>
      <c r="F275" t="s">
        <v>50</v>
      </c>
      <c r="G275">
        <v>-149.44540000000001</v>
      </c>
      <c r="H275">
        <v>26.233229999999999</v>
      </c>
      <c r="I275">
        <v>342.64400000000001</v>
      </c>
      <c r="J275">
        <v>-391.96769999999998</v>
      </c>
      <c r="K275">
        <v>1.106935</v>
      </c>
      <c r="L275">
        <v>367.98070000000001</v>
      </c>
      <c r="M275">
        <v>0.99988619999999995</v>
      </c>
      <c r="N275">
        <v>0</v>
      </c>
      <c r="O275">
        <v>8.4915519999999994E-3</v>
      </c>
      <c r="P275">
        <v>0.99614349999999996</v>
      </c>
      <c r="Q275">
        <v>7.421353E-2</v>
      </c>
      <c r="R275">
        <v>-4.6803200000000003E-2</v>
      </c>
      <c r="S275">
        <v>2.9742130000000002</v>
      </c>
      <c r="T275">
        <v>0.30770969999999997</v>
      </c>
      <c r="U275">
        <v>-0.31024170000000001</v>
      </c>
      <c r="V275">
        <v>5.5266559999999999E-2</v>
      </c>
      <c r="W275">
        <v>8.661924E-2</v>
      </c>
      <c r="X275">
        <v>0.99470729999999996</v>
      </c>
      <c r="Y275">
        <v>0.11155619999999999</v>
      </c>
      <c r="Z275">
        <v>6.6139479999999997E-3</v>
      </c>
      <c r="AA275">
        <v>0.99373610000000001</v>
      </c>
      <c r="AB275">
        <v>35</v>
      </c>
      <c r="AC275">
        <v>242.5223</v>
      </c>
      <c r="AD275">
        <v>25.126294999999999</v>
      </c>
      <c r="AE275">
        <v>-25.3367</v>
      </c>
      <c r="AF275">
        <v>27.107511978927199</v>
      </c>
      <c r="AG275">
        <v>25.126294999999999</v>
      </c>
      <c r="AH275">
        <v>239.75271641607901</v>
      </c>
      <c r="AI275">
        <v>84.054797666378505</v>
      </c>
      <c r="AJ275">
        <v>83.549278169227094</v>
      </c>
      <c r="AK275">
        <v>242.58506329740001</v>
      </c>
      <c r="AL275">
        <v>85.030855783118398</v>
      </c>
      <c r="AM275">
        <v>86.819880274820903</v>
      </c>
      <c r="AN275">
        <v>0.99999994903284894</v>
      </c>
    </row>
    <row r="276" spans="1:40" x14ac:dyDescent="0.25">
      <c r="A276" t="str">
        <f>"20190312154507881"</f>
        <v>20190312154507881</v>
      </c>
      <c r="B276" t="str">
        <f>"1552376707866134"</f>
        <v>1552376707866134</v>
      </c>
      <c r="C276" t="s">
        <v>40</v>
      </c>
      <c r="D276">
        <v>3.740062</v>
      </c>
      <c r="E276">
        <v>0.5197678</v>
      </c>
      <c r="F276" t="s">
        <v>50</v>
      </c>
      <c r="G276">
        <v>-143.63910000000001</v>
      </c>
      <c r="H276">
        <v>27.652229999999999</v>
      </c>
      <c r="I276">
        <v>342.5924</v>
      </c>
      <c r="J276">
        <v>-391.62490000000003</v>
      </c>
      <c r="K276">
        <v>1.107464</v>
      </c>
      <c r="L276">
        <v>367.98349999999999</v>
      </c>
      <c r="M276">
        <v>0.99988339999999998</v>
      </c>
      <c r="N276">
        <v>0</v>
      </c>
      <c r="O276">
        <v>8.4796309999999996E-3</v>
      </c>
      <c r="P276">
        <v>0.99612900000000004</v>
      </c>
      <c r="Q276">
        <v>7.4338210000000002E-2</v>
      </c>
      <c r="R276">
        <v>-4.69165E-2</v>
      </c>
      <c r="S276">
        <v>2.9736630000000002</v>
      </c>
      <c r="T276">
        <v>0.3178724</v>
      </c>
      <c r="U276">
        <v>-0.30401610000000001</v>
      </c>
      <c r="V276">
        <v>5.5367779999999998E-2</v>
      </c>
      <c r="W276">
        <v>8.6985980000000004E-2</v>
      </c>
      <c r="X276">
        <v>0.99466969999999999</v>
      </c>
      <c r="Y276">
        <v>0.1094735</v>
      </c>
      <c r="Z276">
        <v>6.7211719999999897E-3</v>
      </c>
      <c r="AA276">
        <v>0.99396700000000004</v>
      </c>
      <c r="AB276">
        <v>35</v>
      </c>
      <c r="AC276">
        <v>247.98580000000001</v>
      </c>
      <c r="AD276">
        <v>26.544765999999999</v>
      </c>
      <c r="AE276">
        <v>-25.391099999999899</v>
      </c>
      <c r="AF276">
        <v>27.1849345578857</v>
      </c>
      <c r="AG276">
        <v>26.544765999999999</v>
      </c>
      <c r="AH276">
        <v>244.98368720892901</v>
      </c>
      <c r="AI276">
        <v>83.853380909209903</v>
      </c>
      <c r="AJ276">
        <v>83.668003982373094</v>
      </c>
      <c r="AK276">
        <v>247.91258997355001</v>
      </c>
      <c r="AL276">
        <v>85.009763680234201</v>
      </c>
      <c r="AM276">
        <v>86.8139477284534</v>
      </c>
      <c r="AN276">
        <v>0.99999998193838902</v>
      </c>
    </row>
    <row r="277" spans="1:40" x14ac:dyDescent="0.25">
      <c r="A277" t="str">
        <f>"20190312154507906"</f>
        <v>20190312154507906</v>
      </c>
      <c r="B277" t="str">
        <f>"1552376707896391"</f>
        <v>1552376707896391</v>
      </c>
      <c r="C277" t="s">
        <v>40</v>
      </c>
      <c r="D277">
        <v>3.7821340000000001</v>
      </c>
      <c r="E277">
        <v>0.51959650000000002</v>
      </c>
      <c r="F277" t="s">
        <v>50</v>
      </c>
      <c r="G277">
        <v>-141.81229999999999</v>
      </c>
      <c r="H277">
        <v>28.160049999999998</v>
      </c>
      <c r="I277">
        <v>342.64400000000001</v>
      </c>
      <c r="J277">
        <v>-391.25700000000001</v>
      </c>
      <c r="K277">
        <v>1.1079369999999999</v>
      </c>
      <c r="L277">
        <v>367.98669999999998</v>
      </c>
      <c r="M277">
        <v>0.9998804</v>
      </c>
      <c r="N277">
        <v>0</v>
      </c>
      <c r="O277">
        <v>8.466856E-3</v>
      </c>
      <c r="P277">
        <v>0.996147</v>
      </c>
      <c r="Q277">
        <v>7.4158550000000004E-2</v>
      </c>
      <c r="R277">
        <v>-4.6817480000000002E-2</v>
      </c>
      <c r="S277">
        <v>2.9734189999999998</v>
      </c>
      <c r="T277">
        <v>0.321996</v>
      </c>
      <c r="U277">
        <v>-0.30160520000000002</v>
      </c>
      <c r="V277">
        <v>5.5256279999999998E-2</v>
      </c>
      <c r="W277">
        <v>8.7037290000000003E-2</v>
      </c>
      <c r="X277">
        <v>0.99467139999999998</v>
      </c>
      <c r="Y277">
        <v>0.1086587</v>
      </c>
      <c r="Z277">
        <v>6.7634399999999999E-3</v>
      </c>
      <c r="AA277">
        <v>0.9940561</v>
      </c>
      <c r="AB277">
        <v>35</v>
      </c>
      <c r="AC277">
        <v>249.44469999999899</v>
      </c>
      <c r="AD277">
        <v>27.052112999999999</v>
      </c>
      <c r="AE277">
        <v>-25.342699999999901</v>
      </c>
      <c r="AF277">
        <v>27.1380637492028</v>
      </c>
      <c r="AG277">
        <v>27.052112999999999</v>
      </c>
      <c r="AH277">
        <v>246.35334202561799</v>
      </c>
      <c r="AI277">
        <v>83.770828433599902</v>
      </c>
      <c r="AJ277">
        <v>83.713694588747401</v>
      </c>
      <c r="AK277">
        <v>249.315584047632</v>
      </c>
      <c r="AL277">
        <v>85.006812582323406</v>
      </c>
      <c r="AM277">
        <v>86.820356066344004</v>
      </c>
      <c r="AN277">
        <v>0.99999997015397002</v>
      </c>
    </row>
    <row r="278" spans="1:40" x14ac:dyDescent="0.25">
      <c r="A278" t="str">
        <f>"20190312154507928"</f>
        <v>20190312154507928</v>
      </c>
      <c r="B278" t="str">
        <f>"1552376707915911"</f>
        <v>1552376707915911</v>
      </c>
      <c r="C278" t="s">
        <v>40</v>
      </c>
      <c r="D278">
        <v>3.8197990000000002</v>
      </c>
      <c r="E278">
        <v>0.51958549999999903</v>
      </c>
      <c r="F278" t="s">
        <v>44</v>
      </c>
      <c r="G278">
        <v>0</v>
      </c>
      <c r="H278">
        <v>0</v>
      </c>
      <c r="I278">
        <v>0</v>
      </c>
      <c r="J278">
        <v>-390.9067</v>
      </c>
      <c r="K278">
        <v>1.1083099999999999</v>
      </c>
      <c r="L278">
        <v>367.9896</v>
      </c>
      <c r="M278">
        <v>0.99987800000000004</v>
      </c>
      <c r="N278">
        <v>0</v>
      </c>
      <c r="O278">
        <v>8.4551269999999998E-3</v>
      </c>
      <c r="P278">
        <v>0.99610779999999999</v>
      </c>
      <c r="Q278">
        <v>7.4612100000000001E-2</v>
      </c>
      <c r="R278">
        <v>-4.6931239999999999E-2</v>
      </c>
      <c r="S278">
        <v>2.9734799999999999</v>
      </c>
      <c r="T278">
        <v>0.32262380000000002</v>
      </c>
      <c r="U278">
        <v>-0.29983520000000002</v>
      </c>
      <c r="V278">
        <v>5.5358060000000001E-2</v>
      </c>
      <c r="W278">
        <v>8.7685669999999993E-2</v>
      </c>
      <c r="X278">
        <v>0.99460879999999996</v>
      </c>
      <c r="Y278">
        <v>0.108060199999999</v>
      </c>
      <c r="Z278">
        <v>6.7430569999999898E-3</v>
      </c>
      <c r="AA278">
        <v>0.99412149999999999</v>
      </c>
      <c r="AB278">
        <v>35</v>
      </c>
      <c r="AC278">
        <v>2.9734799999999999</v>
      </c>
      <c r="AD278">
        <v>0.32262380000000002</v>
      </c>
      <c r="AE278">
        <v>-0.29983520000000002</v>
      </c>
      <c r="AF278">
        <v>0.32122430261620999</v>
      </c>
      <c r="AG278">
        <v>0.32262380000000002</v>
      </c>
      <c r="AH278">
        <v>2.9366154753022902</v>
      </c>
      <c r="AI278">
        <v>83.767369385103606</v>
      </c>
      <c r="AJ278">
        <v>83.757468976829699</v>
      </c>
      <c r="AK278">
        <v>2.9716967575280302</v>
      </c>
      <c r="AL278">
        <v>84.969520604584602</v>
      </c>
      <c r="AM278">
        <v>86.814311252247506</v>
      </c>
      <c r="AN278">
        <v>0.99999997828387599</v>
      </c>
    </row>
    <row r="279" spans="1:40" x14ac:dyDescent="0.25">
      <c r="A279" t="str">
        <f>"20190312154507950"</f>
        <v>20190312154507950</v>
      </c>
      <c r="B279" t="str">
        <f>"1552376707946167"</f>
        <v>1552376707946167</v>
      </c>
      <c r="C279" t="s">
        <v>40</v>
      </c>
      <c r="D279">
        <v>3.8451080000000002</v>
      </c>
      <c r="E279">
        <v>0.51934040000000004</v>
      </c>
      <c r="F279" t="s">
        <v>44</v>
      </c>
      <c r="G279">
        <v>0</v>
      </c>
      <c r="H279">
        <v>0</v>
      </c>
      <c r="I279">
        <v>0</v>
      </c>
      <c r="J279">
        <v>-390.56720000000001</v>
      </c>
      <c r="K279">
        <v>1.108611</v>
      </c>
      <c r="L279">
        <v>367.99250000000001</v>
      </c>
      <c r="M279">
        <v>0.99987579999999998</v>
      </c>
      <c r="N279">
        <v>0</v>
      </c>
      <c r="O279">
        <v>8.4437350000000008E-3</v>
      </c>
      <c r="P279">
        <v>0.99608660000000004</v>
      </c>
      <c r="Q279">
        <v>7.4810680000000004E-2</v>
      </c>
      <c r="R279">
        <v>-4.7063239999999999E-2</v>
      </c>
      <c r="S279">
        <v>2.9733580000000002</v>
      </c>
      <c r="T279">
        <v>0.32333899999999999</v>
      </c>
      <c r="U279">
        <v>-0.29983520000000002</v>
      </c>
      <c r="V279">
        <v>5.547858E-2</v>
      </c>
      <c r="W279">
        <v>8.8053320000000004E-2</v>
      </c>
      <c r="X279">
        <v>0.99456960000000005</v>
      </c>
      <c r="Y279">
        <v>0.10804999999999999</v>
      </c>
      <c r="Z279">
        <v>6.75641E-3</v>
      </c>
      <c r="AA279">
        <v>0.99412250000000002</v>
      </c>
      <c r="AB279">
        <v>35</v>
      </c>
      <c r="AC279">
        <v>2.9733580000000002</v>
      </c>
      <c r="AD279">
        <v>0.32333899999999999</v>
      </c>
      <c r="AE279">
        <v>-0.29983520000000002</v>
      </c>
      <c r="AF279">
        <v>0.32117315956350101</v>
      </c>
      <c r="AG279">
        <v>0.32333899999999999</v>
      </c>
      <c r="AH279">
        <v>2.9363456416929998</v>
      </c>
      <c r="AI279">
        <v>83.753087440563405</v>
      </c>
      <c r="AJ279">
        <v>83.757885988042503</v>
      </c>
      <c r="AK279">
        <v>2.97150231950683</v>
      </c>
      <c r="AL279">
        <v>84.948373997013803</v>
      </c>
      <c r="AM279">
        <v>86.807264449489594</v>
      </c>
      <c r="AN279">
        <v>0.99999997462299905</v>
      </c>
    </row>
    <row r="280" spans="1:40" x14ac:dyDescent="0.25">
      <c r="A280" t="str">
        <f>"20190312154507971"</f>
        <v>20190312154507971</v>
      </c>
      <c r="B280" t="str">
        <f>"1552376707966663"</f>
        <v>1552376707966663</v>
      </c>
      <c r="C280" t="s">
        <v>40</v>
      </c>
      <c r="D280">
        <v>3.8298770000000002</v>
      </c>
      <c r="E280">
        <v>0.51929700000000001</v>
      </c>
      <c r="F280" t="s">
        <v>44</v>
      </c>
      <c r="G280">
        <v>0</v>
      </c>
      <c r="H280">
        <v>0</v>
      </c>
      <c r="I280">
        <v>0</v>
      </c>
      <c r="J280">
        <v>-390.2473</v>
      </c>
      <c r="K280">
        <v>1.1088530000000001</v>
      </c>
      <c r="L280">
        <v>367.99520000000001</v>
      </c>
      <c r="M280">
        <v>0.99987400000000004</v>
      </c>
      <c r="N280">
        <v>0</v>
      </c>
      <c r="O280">
        <v>8.4330489999999998E-3</v>
      </c>
      <c r="P280">
        <v>0.99611850000000002</v>
      </c>
      <c r="Q280">
        <v>7.4473629999999999E-2</v>
      </c>
      <c r="R280">
        <v>-4.6924199999999999E-2</v>
      </c>
      <c r="S280">
        <v>2.9734189999999998</v>
      </c>
      <c r="T280">
        <v>0.32259009999999999</v>
      </c>
      <c r="U280">
        <v>-0.29858400000000002</v>
      </c>
      <c r="V280">
        <v>5.5329150000000001E-2</v>
      </c>
      <c r="W280">
        <v>8.7859530000000005E-2</v>
      </c>
      <c r="X280">
        <v>0.99459509999999995</v>
      </c>
      <c r="Y280">
        <v>0.1076289</v>
      </c>
      <c r="Z280">
        <v>6.7169810000000003E-3</v>
      </c>
      <c r="AA280">
        <v>0.99416850000000001</v>
      </c>
      <c r="AB280">
        <v>35</v>
      </c>
      <c r="AC280">
        <v>2.9734189999999998</v>
      </c>
      <c r="AD280">
        <v>0.32259009999999999</v>
      </c>
      <c r="AE280">
        <v>-0.29858400000000002</v>
      </c>
      <c r="AF280">
        <v>0.319922623780869</v>
      </c>
      <c r="AG280">
        <v>0.32259009999999999</v>
      </c>
      <c r="AH280">
        <v>2.9365755490259899</v>
      </c>
      <c r="AI280">
        <v>83.767636551755004</v>
      </c>
      <c r="AJ280">
        <v>83.782482842431904</v>
      </c>
      <c r="AK280">
        <v>2.9715132193820302</v>
      </c>
      <c r="AL280">
        <v>84.959520737747596</v>
      </c>
      <c r="AM280">
        <v>86.815927743228201</v>
      </c>
      <c r="AN280">
        <v>1.0000000123977699</v>
      </c>
    </row>
    <row r="281" spans="1:40" x14ac:dyDescent="0.25">
      <c r="A281" t="str">
        <f>"20190312154507995"</f>
        <v>20190312154507995</v>
      </c>
      <c r="B281" t="str">
        <f>"1552376707986184"</f>
        <v>1552376707986184</v>
      </c>
      <c r="C281" t="s">
        <v>40</v>
      </c>
      <c r="D281">
        <v>3.8549169999999999</v>
      </c>
      <c r="E281">
        <v>0.51924029999999999</v>
      </c>
      <c r="F281" t="s">
        <v>44</v>
      </c>
      <c r="G281">
        <v>0</v>
      </c>
      <c r="H281">
        <v>0</v>
      </c>
      <c r="I281">
        <v>0</v>
      </c>
      <c r="J281">
        <v>-389.8725</v>
      </c>
      <c r="K281">
        <v>1.109086</v>
      </c>
      <c r="L281">
        <v>367.99829999999997</v>
      </c>
      <c r="M281">
        <v>0.99987210000000004</v>
      </c>
      <c r="N281">
        <v>0</v>
      </c>
      <c r="O281">
        <v>8.4204659999999997E-3</v>
      </c>
      <c r="P281">
        <v>0.99612330000000004</v>
      </c>
      <c r="Q281">
        <v>7.4248519999999998E-2</v>
      </c>
      <c r="R281">
        <v>-4.7178459999999998E-2</v>
      </c>
      <c r="S281">
        <v>2.9737239999999998</v>
      </c>
      <c r="T281">
        <v>0.32018720000000001</v>
      </c>
      <c r="U281">
        <v>-0.29772949999999998</v>
      </c>
      <c r="V281">
        <v>5.5570899999999999E-2</v>
      </c>
      <c r="W281">
        <v>8.7782559999999996E-2</v>
      </c>
      <c r="X281">
        <v>0.99458840000000004</v>
      </c>
      <c r="Y281">
        <v>0.10733520000000001</v>
      </c>
      <c r="Z281">
        <v>6.6495829999999997E-3</v>
      </c>
      <c r="AA281">
        <v>0.99420059999999999</v>
      </c>
      <c r="AB281">
        <v>35</v>
      </c>
      <c r="AC281">
        <v>2.9737239999999998</v>
      </c>
      <c r="AD281">
        <v>0.32018720000000001</v>
      </c>
      <c r="AE281">
        <v>-0.29772949999999998</v>
      </c>
      <c r="AF281">
        <v>0.31909871128734402</v>
      </c>
      <c r="AG281">
        <v>0.32018720000000001</v>
      </c>
      <c r="AH281">
        <v>2.9373952041575002</v>
      </c>
      <c r="AI281">
        <v>83.815206442723905</v>
      </c>
      <c r="AJ281">
        <v>83.8000872246607</v>
      </c>
      <c r="AK281">
        <v>2.9719748343477899</v>
      </c>
      <c r="AL281">
        <v>84.963947806775806</v>
      </c>
      <c r="AM281">
        <v>86.802022871438396</v>
      </c>
      <c r="AN281">
        <v>0.99999999409076101</v>
      </c>
    </row>
    <row r="282" spans="1:40" x14ac:dyDescent="0.25">
      <c r="A282" t="str">
        <f>"20190312154508016"</f>
        <v>20190312154508016</v>
      </c>
      <c r="B282" t="str">
        <f>"1552376708006679"</f>
        <v>1552376708006679</v>
      </c>
      <c r="C282" t="s">
        <v>40</v>
      </c>
      <c r="D282">
        <v>3.8662510000000001</v>
      </c>
      <c r="E282">
        <v>0.51928459999999999</v>
      </c>
      <c r="F282" t="s">
        <v>44</v>
      </c>
      <c r="G282">
        <v>0</v>
      </c>
      <c r="H282">
        <v>0</v>
      </c>
      <c r="I282">
        <v>0</v>
      </c>
      <c r="J282">
        <v>-389.54930000000002</v>
      </c>
      <c r="K282">
        <v>1.1092489999999999</v>
      </c>
      <c r="L282">
        <v>368.00099999999998</v>
      </c>
      <c r="M282">
        <v>0.99987060000000005</v>
      </c>
      <c r="N282">
        <v>0</v>
      </c>
      <c r="O282">
        <v>8.4094289999999995E-3</v>
      </c>
      <c r="P282">
        <v>0.99618459999999998</v>
      </c>
      <c r="Q282">
        <v>7.3481340000000006E-2</v>
      </c>
      <c r="R282">
        <v>-4.7082499999999999E-2</v>
      </c>
      <c r="S282">
        <v>2.9738769999999999</v>
      </c>
      <c r="T282">
        <v>0.317772</v>
      </c>
      <c r="U282">
        <v>-0.29785159999999899</v>
      </c>
      <c r="V282">
        <v>5.5464600000000003E-2</v>
      </c>
      <c r="W282">
        <v>8.7129440000000002E-2</v>
      </c>
      <c r="X282">
        <v>0.99465179999999997</v>
      </c>
      <c r="Y282">
        <v>0.10736950000000001</v>
      </c>
      <c r="Z282">
        <v>6.6000080000000001E-3</v>
      </c>
      <c r="AA282">
        <v>0.9941972</v>
      </c>
      <c r="AB282">
        <v>34</v>
      </c>
      <c r="AC282">
        <v>2.9738769999999999</v>
      </c>
      <c r="AD282">
        <v>0.317772</v>
      </c>
      <c r="AE282">
        <v>-0.29785159999999899</v>
      </c>
      <c r="AF282">
        <v>0.31924314882014698</v>
      </c>
      <c r="AG282">
        <v>0.317772</v>
      </c>
      <c r="AH282">
        <v>2.9380536685121901</v>
      </c>
      <c r="AI282">
        <v>83.862882829916202</v>
      </c>
      <c r="AJ282">
        <v>83.798682043284202</v>
      </c>
      <c r="AK282">
        <v>2.9723819726122902</v>
      </c>
      <c r="AL282">
        <v>85.001512952706307</v>
      </c>
      <c r="AM282">
        <v>86.808330562668104</v>
      </c>
      <c r="AN282">
        <v>1.00000003220555</v>
      </c>
    </row>
    <row r="283" spans="1:40" x14ac:dyDescent="0.25">
      <c r="A283" t="str">
        <f>"20190312154508037"</f>
        <v>20190312154508037</v>
      </c>
      <c r="B283" t="str">
        <f>"1552376708026199"</f>
        <v>1552376708026199</v>
      </c>
      <c r="C283" t="s">
        <v>40</v>
      </c>
      <c r="D283">
        <v>3.898857</v>
      </c>
      <c r="E283">
        <v>0.51911439999999998</v>
      </c>
      <c r="F283" t="s">
        <v>44</v>
      </c>
      <c r="G283">
        <v>0</v>
      </c>
      <c r="H283">
        <v>0</v>
      </c>
      <c r="I283">
        <v>0</v>
      </c>
      <c r="J283">
        <v>-389.21280000000002</v>
      </c>
      <c r="K283">
        <v>1.1093930000000001</v>
      </c>
      <c r="L283">
        <v>368.00380000000001</v>
      </c>
      <c r="M283">
        <v>0.99986929999999996</v>
      </c>
      <c r="N283">
        <v>0</v>
      </c>
      <c r="O283">
        <v>8.3976139999999994E-3</v>
      </c>
      <c r="P283">
        <v>0.99621950000000004</v>
      </c>
      <c r="Q283">
        <v>7.3089920000000003E-2</v>
      </c>
      <c r="R283">
        <v>-4.6957110000000003E-2</v>
      </c>
      <c r="S283">
        <v>2.974396</v>
      </c>
      <c r="T283">
        <v>0.31206390000000001</v>
      </c>
      <c r="U283">
        <v>-0.29785159999999899</v>
      </c>
      <c r="V283">
        <v>5.532757E-2</v>
      </c>
      <c r="W283">
        <v>8.6843450000000003E-2</v>
      </c>
      <c r="X283">
        <v>0.99468440000000002</v>
      </c>
      <c r="Y283">
        <v>0.1073641</v>
      </c>
      <c r="Z283">
        <v>6.4794669999999896E-3</v>
      </c>
      <c r="AA283">
        <v>0.99419869999999999</v>
      </c>
      <c r="AB283">
        <v>34</v>
      </c>
      <c r="AC283">
        <v>2.974396</v>
      </c>
      <c r="AD283">
        <v>0.31206390000000001</v>
      </c>
      <c r="AE283">
        <v>-0.29785159999999899</v>
      </c>
      <c r="AF283">
        <v>0.31934105502097199</v>
      </c>
      <c r="AG283">
        <v>0.31206390000000001</v>
      </c>
      <c r="AH283">
        <v>2.93975151490362</v>
      </c>
      <c r="AI283">
        <v>83.975740946644905</v>
      </c>
      <c r="AJ283">
        <v>83.800349773256798</v>
      </c>
      <c r="AK283">
        <v>2.9734662527903701</v>
      </c>
      <c r="AL283">
        <v>85.017961110060199</v>
      </c>
      <c r="AM283">
        <v>86.816303742669604</v>
      </c>
      <c r="AN283">
        <v>0.99999999020668295</v>
      </c>
    </row>
    <row r="284" spans="1:40" x14ac:dyDescent="0.25">
      <c r="A284" t="str">
        <f>"20190312154508060"</f>
        <v>20190312154508060</v>
      </c>
      <c r="B284" t="str">
        <f>"1552376708046695"</f>
        <v>1552376708046695</v>
      </c>
      <c r="C284" t="s">
        <v>40</v>
      </c>
      <c r="D284">
        <v>3.8374730000000001</v>
      </c>
      <c r="E284">
        <v>0.51281369999999904</v>
      </c>
      <c r="F284" t="s">
        <v>44</v>
      </c>
      <c r="G284">
        <v>0</v>
      </c>
      <c r="H284">
        <v>0</v>
      </c>
      <c r="I284">
        <v>0</v>
      </c>
      <c r="J284">
        <v>-388.86959999999999</v>
      </c>
      <c r="K284">
        <v>1.109523</v>
      </c>
      <c r="L284">
        <v>368.00670000000002</v>
      </c>
      <c r="M284">
        <v>0.99986799999999998</v>
      </c>
      <c r="N284">
        <v>0</v>
      </c>
      <c r="O284">
        <v>8.3858579999999995E-3</v>
      </c>
      <c r="P284">
        <v>0.99618019999999996</v>
      </c>
      <c r="Q284">
        <v>7.3572860000000004E-2</v>
      </c>
      <c r="R284">
        <v>-4.7032629999999999E-2</v>
      </c>
      <c r="S284">
        <v>2.974701</v>
      </c>
      <c r="T284">
        <v>0.30972080000000002</v>
      </c>
      <c r="U284">
        <v>-0.29611209999999999</v>
      </c>
      <c r="V284">
        <v>5.539119E-2</v>
      </c>
      <c r="W284">
        <v>8.7419659999999996E-2</v>
      </c>
      <c r="X284">
        <v>0.99463040000000003</v>
      </c>
      <c r="Y284">
        <v>0.10677929999999999</v>
      </c>
      <c r="Z284">
        <v>6.3991029999999997E-3</v>
      </c>
      <c r="AA284">
        <v>0.99426219999999998</v>
      </c>
      <c r="AB284">
        <v>34</v>
      </c>
      <c r="AC284">
        <v>2.974701</v>
      </c>
      <c r="AD284">
        <v>0.30972080000000002</v>
      </c>
      <c r="AE284">
        <v>-0.29611209999999999</v>
      </c>
      <c r="AF284">
        <v>0.31763989451064401</v>
      </c>
      <c r="AG284">
        <v>0.30972080000000002</v>
      </c>
      <c r="AH284">
        <v>2.9405483930195899</v>
      </c>
      <c r="AI284">
        <v>84.021866902727396</v>
      </c>
      <c r="AJ284">
        <v>83.834779088187304</v>
      </c>
      <c r="AK284">
        <v>2.9738269835731002</v>
      </c>
      <c r="AL284">
        <v>84.984820752037606</v>
      </c>
      <c r="AM284">
        <v>86.812477732363902</v>
      </c>
      <c r="AN284">
        <v>1.0000000067441399</v>
      </c>
    </row>
    <row r="285" spans="1:40" x14ac:dyDescent="0.25">
      <c r="A285" t="str">
        <f>"20190312154508081"</f>
        <v>20190312154508081</v>
      </c>
      <c r="B285" t="str">
        <f>"1552376708075975"</f>
        <v>1552376708075975</v>
      </c>
      <c r="C285" t="s">
        <v>40</v>
      </c>
      <c r="D285">
        <v>3.861863</v>
      </c>
      <c r="E285">
        <v>0.51001890000000005</v>
      </c>
      <c r="F285" t="s">
        <v>44</v>
      </c>
      <c r="G285">
        <v>0</v>
      </c>
      <c r="H285">
        <v>0</v>
      </c>
      <c r="I285">
        <v>0</v>
      </c>
      <c r="J285">
        <v>-388.54169999999999</v>
      </c>
      <c r="K285">
        <v>1.109623</v>
      </c>
      <c r="L285">
        <v>368.00940000000003</v>
      </c>
      <c r="M285">
        <v>0.99986710000000001</v>
      </c>
      <c r="N285">
        <v>0</v>
      </c>
      <c r="O285">
        <v>8.3745639999999993E-3</v>
      </c>
      <c r="P285">
        <v>0.99615489999999995</v>
      </c>
      <c r="Q285">
        <v>7.4128840000000001E-2</v>
      </c>
      <c r="R285">
        <v>-4.6700270000000002E-2</v>
      </c>
      <c r="S285">
        <v>2.989471</v>
      </c>
      <c r="T285">
        <v>0.1442802</v>
      </c>
      <c r="U285">
        <v>-0.24081420000000001</v>
      </c>
      <c r="V285">
        <v>5.5047190000000003E-2</v>
      </c>
      <c r="W285">
        <v>8.8054740000000006E-2</v>
      </c>
      <c r="X285">
        <v>0.99459339999999996</v>
      </c>
      <c r="Y285">
        <v>8.8527460000000002E-2</v>
      </c>
      <c r="Z285">
        <v>2.5349639999999998E-3</v>
      </c>
      <c r="AA285">
        <v>0.99607049999999997</v>
      </c>
      <c r="AB285">
        <v>34</v>
      </c>
      <c r="AC285">
        <v>2.989471</v>
      </c>
      <c r="AD285">
        <v>0.1442802</v>
      </c>
      <c r="AE285">
        <v>-0.24081420000000001</v>
      </c>
      <c r="AF285">
        <v>0.26522990324698498</v>
      </c>
      <c r="AG285">
        <v>0.1442802</v>
      </c>
      <c r="AH285">
        <v>2.98045163822181</v>
      </c>
      <c r="AI285">
        <v>87.239433638844005</v>
      </c>
      <c r="AJ285">
        <v>84.914653674510205</v>
      </c>
      <c r="AK285">
        <v>2.99570620146027</v>
      </c>
      <c r="AL285">
        <v>84.948292098009404</v>
      </c>
      <c r="AM285">
        <v>86.8321153915509</v>
      </c>
      <c r="AN285">
        <v>0.99999993084345895</v>
      </c>
    </row>
    <row r="286" spans="1:40" x14ac:dyDescent="0.25">
      <c r="A286" t="str">
        <f>"20190312154508106"</f>
        <v>20190312154508106</v>
      </c>
      <c r="B286" t="str">
        <f>"1552376708096471"</f>
        <v>1552376708096471</v>
      </c>
      <c r="C286" t="s">
        <v>40</v>
      </c>
      <c r="D286">
        <v>3.866196</v>
      </c>
      <c r="E286">
        <v>0.50952980000000003</v>
      </c>
      <c r="F286" t="s">
        <v>47</v>
      </c>
      <c r="G286">
        <v>-249.7054</v>
      </c>
      <c r="H286">
        <v>4.3250449999999896</v>
      </c>
      <c r="I286">
        <v>358.04180000000002</v>
      </c>
      <c r="J286">
        <v>-388.17450000000002</v>
      </c>
      <c r="K286">
        <v>1.1097129999999999</v>
      </c>
      <c r="L286">
        <v>368.01249999999999</v>
      </c>
      <c r="M286">
        <v>0.99986589999999997</v>
      </c>
      <c r="N286">
        <v>0</v>
      </c>
      <c r="O286">
        <v>8.3622639999999995E-3</v>
      </c>
      <c r="P286">
        <v>0.99613799999999997</v>
      </c>
      <c r="Q286">
        <v>7.4027699999999905E-2</v>
      </c>
      <c r="R286">
        <v>-4.7211639999999999E-2</v>
      </c>
      <c r="S286">
        <v>2.9963380000000002</v>
      </c>
      <c r="T286">
        <v>6.93965E-2</v>
      </c>
      <c r="U286">
        <v>-0.21511839999999999</v>
      </c>
      <c r="V286">
        <v>5.5546480000000002E-2</v>
      </c>
      <c r="W286">
        <v>8.8031479999999995E-2</v>
      </c>
      <c r="X286">
        <v>0.9945678</v>
      </c>
      <c r="Y286">
        <v>7.9925019999999999E-2</v>
      </c>
      <c r="Z286">
        <v>1.1176669999999999E-3</v>
      </c>
      <c r="AA286">
        <v>0.99680020000000003</v>
      </c>
      <c r="AB286">
        <v>34</v>
      </c>
      <c r="AC286">
        <v>138.4691</v>
      </c>
      <c r="AD286">
        <v>3.2153319999999899</v>
      </c>
      <c r="AE286">
        <v>-9.9706999999999599</v>
      </c>
      <c r="AF286">
        <v>11.1224150633288</v>
      </c>
      <c r="AG286">
        <v>3.2153319999999899</v>
      </c>
      <c r="AH286">
        <v>138.30668205745999</v>
      </c>
      <c r="AI286">
        <v>88.672520648819301</v>
      </c>
      <c r="AJ286">
        <v>85.402254084366504</v>
      </c>
      <c r="AK286">
        <v>138.79043475129899</v>
      </c>
      <c r="AL286">
        <v>84.949630499832594</v>
      </c>
      <c r="AM286">
        <v>86.803359199371002</v>
      </c>
      <c r="AN286">
        <v>1.0000000308541099</v>
      </c>
    </row>
    <row r="287" spans="1:40" x14ac:dyDescent="0.25">
      <c r="A287" t="str">
        <f>"20190312154508128"</f>
        <v>20190312154508128</v>
      </c>
      <c r="B287" t="str">
        <f>"1552376708115991"</f>
        <v>1552376708115991</v>
      </c>
      <c r="C287" t="s">
        <v>40</v>
      </c>
      <c r="D287">
        <v>3.8803730000000001</v>
      </c>
      <c r="E287">
        <v>0.50931510000000002</v>
      </c>
      <c r="F287" t="s">
        <v>46</v>
      </c>
      <c r="G287">
        <v>-158.78319999999999</v>
      </c>
      <c r="H287">
        <v>5.0626610000000003</v>
      </c>
      <c r="I287">
        <v>351.78250000000003</v>
      </c>
      <c r="J287">
        <v>-387.82819999999998</v>
      </c>
      <c r="K287">
        <v>1.109782</v>
      </c>
      <c r="L287">
        <v>368.0154</v>
      </c>
      <c r="M287">
        <v>0.99986520000000001</v>
      </c>
      <c r="N287">
        <v>0</v>
      </c>
      <c r="O287">
        <v>8.3503629999999995E-3</v>
      </c>
      <c r="P287">
        <v>0.99614749999999996</v>
      </c>
      <c r="Q287">
        <v>7.3789939999999998E-2</v>
      </c>
      <c r="R287">
        <v>-4.7383080000000001E-2</v>
      </c>
      <c r="S287">
        <v>2.9977420000000001</v>
      </c>
      <c r="T287">
        <v>5.165923E-2</v>
      </c>
      <c r="U287">
        <v>-0.21209720000000001</v>
      </c>
      <c r="V287">
        <v>5.5706020000000002E-2</v>
      </c>
      <c r="W287">
        <v>8.7857610000000003E-2</v>
      </c>
      <c r="X287">
        <v>0.99457419999999996</v>
      </c>
      <c r="Y287">
        <v>7.8890920000000003E-2</v>
      </c>
      <c r="Z287">
        <v>8.225865E-4</v>
      </c>
      <c r="AA287">
        <v>0.99688290000000002</v>
      </c>
      <c r="AB287">
        <v>34</v>
      </c>
      <c r="AC287">
        <v>229.04499999999999</v>
      </c>
      <c r="AD287">
        <v>3.9528789999999998</v>
      </c>
      <c r="AE287">
        <v>-16.232899999999901</v>
      </c>
      <c r="AF287">
        <v>18.139758197623799</v>
      </c>
      <c r="AG287">
        <v>3.9528789999999998</v>
      </c>
      <c r="AH287">
        <v>228.833633064401</v>
      </c>
      <c r="AI287">
        <v>89.013463558113102</v>
      </c>
      <c r="AJ287">
        <v>85.467612191121603</v>
      </c>
      <c r="AK287">
        <v>229.58551282977299</v>
      </c>
      <c r="AL287">
        <v>84.9596310079815</v>
      </c>
      <c r="AM287">
        <v>86.794217551041399</v>
      </c>
      <c r="AN287">
        <v>0.99999997980239597</v>
      </c>
    </row>
    <row r="288" spans="1:40" x14ac:dyDescent="0.25">
      <c r="A288" t="str">
        <f>"20190312154508151"</f>
        <v>20190312154508151</v>
      </c>
      <c r="B288" t="str">
        <f>"1552376708136486"</f>
        <v>1552376708136486</v>
      </c>
      <c r="C288" t="s">
        <v>40</v>
      </c>
      <c r="D288">
        <v>3.8851529999999999</v>
      </c>
      <c r="E288">
        <v>0.50936170000000003</v>
      </c>
      <c r="F288" t="s">
        <v>46</v>
      </c>
      <c r="G288">
        <v>-158.78319999999999</v>
      </c>
      <c r="H288">
        <v>4.3439909999999999</v>
      </c>
      <c r="I288">
        <v>351.94420000000002</v>
      </c>
      <c r="J288">
        <v>-387.4819</v>
      </c>
      <c r="K288">
        <v>1.1098349999999999</v>
      </c>
      <c r="L288">
        <v>368.01819999999998</v>
      </c>
      <c r="M288">
        <v>0.99986450000000004</v>
      </c>
      <c r="N288">
        <v>0</v>
      </c>
      <c r="O288">
        <v>8.3378659999999993E-3</v>
      </c>
      <c r="P288">
        <v>0.99612469999999997</v>
      </c>
      <c r="Q288">
        <v>7.3871419999999993E-2</v>
      </c>
      <c r="R288">
        <v>-4.7734440000000003E-2</v>
      </c>
      <c r="S288">
        <v>2.9984440000000001</v>
      </c>
      <c r="T288">
        <v>4.23404E-2</v>
      </c>
      <c r="U288">
        <v>-0.2103882</v>
      </c>
      <c r="V288">
        <v>5.604481E-2</v>
      </c>
      <c r="W288">
        <v>8.7994409999999995E-2</v>
      </c>
      <c r="X288">
        <v>0.99454310000000001</v>
      </c>
      <c r="Y288">
        <v>7.8300949999999994E-2</v>
      </c>
      <c r="Z288">
        <v>6.6973569999999999E-4</v>
      </c>
      <c r="AA288">
        <v>0.99692950000000002</v>
      </c>
      <c r="AB288">
        <v>34</v>
      </c>
      <c r="AC288">
        <v>228.6987</v>
      </c>
      <c r="AD288">
        <v>3.234156</v>
      </c>
      <c r="AE288">
        <v>-16.073999999999899</v>
      </c>
      <c r="AF288">
        <v>17.976914951588402</v>
      </c>
      <c r="AG288">
        <v>3.234156</v>
      </c>
      <c r="AH288">
        <v>228.51123845292901</v>
      </c>
      <c r="AI288">
        <v>89.191635097516098</v>
      </c>
      <c r="AJ288">
        <v>85.501821481188401</v>
      </c>
      <c r="AK288">
        <v>229.240082305648</v>
      </c>
      <c r="AL288">
        <v>84.951762609767101</v>
      </c>
      <c r="AM288">
        <v>86.774661182222999</v>
      </c>
      <c r="AN288">
        <v>1.0000000073383899</v>
      </c>
    </row>
    <row r="289" spans="1:40" x14ac:dyDescent="0.25">
      <c r="A289" t="str">
        <f>"20190312154508170"</f>
        <v>20190312154508170</v>
      </c>
      <c r="B289" t="str">
        <f>"1552376708166743"</f>
        <v>1552376708166743</v>
      </c>
      <c r="C289" t="s">
        <v>40</v>
      </c>
      <c r="D289">
        <v>3.8687339999999999</v>
      </c>
      <c r="E289">
        <v>0.50933689999999998</v>
      </c>
      <c r="F289" t="s">
        <v>46</v>
      </c>
      <c r="G289">
        <v>-158.78319999999999</v>
      </c>
      <c r="H289">
        <v>3.9277730000000002</v>
      </c>
      <c r="I289">
        <v>351.85930000000002</v>
      </c>
      <c r="J289">
        <v>-387.1823</v>
      </c>
      <c r="K289">
        <v>1.10988</v>
      </c>
      <c r="L289">
        <v>368.02080000000001</v>
      </c>
      <c r="M289">
        <v>0.99986399999999998</v>
      </c>
      <c r="N289">
        <v>0</v>
      </c>
      <c r="O289">
        <v>8.3276619999999996E-3</v>
      </c>
      <c r="P289">
        <v>0.99608090000000005</v>
      </c>
      <c r="Q289">
        <v>7.4398370000000005E-2</v>
      </c>
      <c r="R289">
        <v>-4.7830940000000002E-2</v>
      </c>
      <c r="S289">
        <v>2.9988100000000002</v>
      </c>
      <c r="T289">
        <v>3.6951299999999999E-2</v>
      </c>
      <c r="U289">
        <v>-0.2118835</v>
      </c>
      <c r="V289">
        <v>5.6130729999999997E-2</v>
      </c>
      <c r="W289">
        <v>8.8563429999999999E-2</v>
      </c>
      <c r="X289">
        <v>0.99448780000000003</v>
      </c>
      <c r="Y289">
        <v>7.8778940000000006E-2</v>
      </c>
      <c r="Z289">
        <v>5.8723279999999998E-4</v>
      </c>
      <c r="AA289">
        <v>0.99689190000000005</v>
      </c>
      <c r="AB289">
        <v>34</v>
      </c>
      <c r="AC289">
        <v>228.3991</v>
      </c>
      <c r="AD289">
        <v>2.8178930000000002</v>
      </c>
      <c r="AE289">
        <v>-16.161499999999901</v>
      </c>
      <c r="AF289">
        <v>18.060427328480699</v>
      </c>
      <c r="AG289">
        <v>2.8178930000000002</v>
      </c>
      <c r="AH289">
        <v>228.222011412314</v>
      </c>
      <c r="AI289">
        <v>89.294800415274594</v>
      </c>
      <c r="AJ289">
        <v>85.475308217416597</v>
      </c>
      <c r="AK289">
        <v>228.95284678144799</v>
      </c>
      <c r="AL289">
        <v>84.919032658869895</v>
      </c>
      <c r="AM289">
        <v>86.769547767043505</v>
      </c>
      <c r="AN289">
        <v>1.0000000621662599</v>
      </c>
    </row>
    <row r="290" spans="1:40" x14ac:dyDescent="0.25">
      <c r="A290" t="str">
        <f>"20190312154508195"</f>
        <v>20190312154508195</v>
      </c>
      <c r="B290" t="str">
        <f>"1552376708186263"</f>
        <v>1552376708186263</v>
      </c>
      <c r="C290" t="s">
        <v>40</v>
      </c>
      <c r="D290">
        <v>3.8820169999999998</v>
      </c>
      <c r="E290">
        <v>0.50919740000000002</v>
      </c>
      <c r="F290" t="s">
        <v>46</v>
      </c>
      <c r="G290">
        <v>-158.78319999999999</v>
      </c>
      <c r="H290">
        <v>3.7903859999999998</v>
      </c>
      <c r="I290">
        <v>351.86540000000002</v>
      </c>
      <c r="J290">
        <v>-386.81619999999998</v>
      </c>
      <c r="K290">
        <v>1.109926</v>
      </c>
      <c r="L290">
        <v>368.02379999999999</v>
      </c>
      <c r="M290">
        <v>0.99986339999999996</v>
      </c>
      <c r="N290">
        <v>0</v>
      </c>
      <c r="O290">
        <v>8.3154079999999998E-3</v>
      </c>
      <c r="P290">
        <v>0.99607069999999998</v>
      </c>
      <c r="Q290">
        <v>7.4771050000000006E-2</v>
      </c>
      <c r="R290">
        <v>-4.7460200000000001E-2</v>
      </c>
      <c r="S290">
        <v>2.998993</v>
      </c>
      <c r="T290">
        <v>3.51975E-2</v>
      </c>
      <c r="U290">
        <v>-0.2121277</v>
      </c>
      <c r="V290">
        <v>5.5747940000000003E-2</v>
      </c>
      <c r="W290">
        <v>8.8981389999999994E-2</v>
      </c>
      <c r="X290">
        <v>0.99447200000000002</v>
      </c>
      <c r="Y290">
        <v>7.884381E-2</v>
      </c>
      <c r="Z290">
        <v>5.5956409999999995E-4</v>
      </c>
      <c r="AA290">
        <v>0.99688679999999996</v>
      </c>
      <c r="AB290">
        <v>34</v>
      </c>
      <c r="AC290">
        <v>228.03299999999999</v>
      </c>
      <c r="AD290">
        <v>2.6804600000000001</v>
      </c>
      <c r="AE290">
        <v>-16.158399999999901</v>
      </c>
      <c r="AF290">
        <v>18.0517403364838</v>
      </c>
      <c r="AG290">
        <v>2.6804600000000001</v>
      </c>
      <c r="AH290">
        <v>227.85941034243501</v>
      </c>
      <c r="AI290">
        <v>89.328128122458395</v>
      </c>
      <c r="AJ290">
        <v>85.470308612051497</v>
      </c>
      <c r="AK290">
        <v>228.58906596027199</v>
      </c>
      <c r="AL290">
        <v>84.894990280706494</v>
      </c>
      <c r="AM290">
        <v>86.791481156112496</v>
      </c>
      <c r="AN290">
        <v>1.0000000396822799</v>
      </c>
    </row>
    <row r="291" spans="1:40" x14ac:dyDescent="0.25">
      <c r="A291" t="str">
        <f>"20190312154508217"</f>
        <v>20190312154508217</v>
      </c>
      <c r="B291" t="str">
        <f>"1552376708206759"</f>
        <v>1552376708206759</v>
      </c>
      <c r="C291" t="s">
        <v>40</v>
      </c>
      <c r="D291">
        <v>3.863073</v>
      </c>
      <c r="E291">
        <v>0.5091717</v>
      </c>
      <c r="F291" t="s">
        <v>46</v>
      </c>
      <c r="G291">
        <v>-158.78319999999999</v>
      </c>
      <c r="H291">
        <v>3.6650510000000001</v>
      </c>
      <c r="I291">
        <v>352.08420000000001</v>
      </c>
      <c r="J291">
        <v>-386.47449999999998</v>
      </c>
      <c r="K291">
        <v>1.10995</v>
      </c>
      <c r="L291">
        <v>368.02659999999997</v>
      </c>
      <c r="M291">
        <v>0.99986299999999995</v>
      </c>
      <c r="N291">
        <v>0</v>
      </c>
      <c r="O291">
        <v>8.3037559999999903E-3</v>
      </c>
      <c r="P291">
        <v>0.99605920000000003</v>
      </c>
      <c r="Q291">
        <v>7.5018779999999993E-2</v>
      </c>
      <c r="R291">
        <v>-4.7311649999999997E-2</v>
      </c>
      <c r="S291">
        <v>2.9993590000000001</v>
      </c>
      <c r="T291">
        <v>3.3609149999999997E-2</v>
      </c>
      <c r="U291">
        <v>-0.2096558</v>
      </c>
      <c r="V291">
        <v>5.5587560000000001E-2</v>
      </c>
      <c r="W291">
        <v>8.9265410000000003E-2</v>
      </c>
      <c r="X291">
        <v>0.99445550000000005</v>
      </c>
      <c r="Y291">
        <v>7.8006649999999997E-2</v>
      </c>
      <c r="Z291">
        <v>5.2944999999999999E-4</v>
      </c>
      <c r="AA291">
        <v>0.99695270000000002</v>
      </c>
      <c r="AB291">
        <v>34</v>
      </c>
      <c r="AC291">
        <v>227.69130000000001</v>
      </c>
      <c r="AD291">
        <v>2.5551009999999899</v>
      </c>
      <c r="AE291">
        <v>-15.9423999999999</v>
      </c>
      <c r="AF291">
        <v>17.830502685970501</v>
      </c>
      <c r="AG291">
        <v>2.5551009999999899</v>
      </c>
      <c r="AH291">
        <v>227.522541211012</v>
      </c>
      <c r="AI291">
        <v>89.3585562366262</v>
      </c>
      <c r="AJ291">
        <v>85.5189987397968</v>
      </c>
      <c r="AK291">
        <v>228.23444552974701</v>
      </c>
      <c r="AL291">
        <v>84.878651995482599</v>
      </c>
      <c r="AM291">
        <v>86.800639497135293</v>
      </c>
      <c r="AN291">
        <v>1.00000001586473</v>
      </c>
    </row>
    <row r="292" spans="1:40" x14ac:dyDescent="0.25">
      <c r="A292" t="str">
        <f>"20190312154508250"</f>
        <v>20190312154508250</v>
      </c>
      <c r="B292" t="str">
        <f>"1552376708236039"</f>
        <v>1552376708236039</v>
      </c>
      <c r="C292" t="s">
        <v>40</v>
      </c>
      <c r="D292">
        <v>3.8643049999999999</v>
      </c>
      <c r="E292">
        <v>0.50927489999999997</v>
      </c>
      <c r="F292" t="s">
        <v>46</v>
      </c>
      <c r="G292">
        <v>-158.78319999999999</v>
      </c>
      <c r="H292">
        <v>3.5452710000000001</v>
      </c>
      <c r="I292">
        <v>352.15589999999997</v>
      </c>
      <c r="J292">
        <v>-385.97340000000003</v>
      </c>
      <c r="K292">
        <v>1.109982</v>
      </c>
      <c r="L292">
        <v>368.0308</v>
      </c>
      <c r="M292">
        <v>0.99986260000000005</v>
      </c>
      <c r="N292">
        <v>0</v>
      </c>
      <c r="O292">
        <v>8.2861469999999902E-3</v>
      </c>
      <c r="P292">
        <v>0.99611190000000005</v>
      </c>
      <c r="Q292">
        <v>7.4505520000000006E-2</v>
      </c>
      <c r="R292">
        <v>-4.7010389999999999E-2</v>
      </c>
      <c r="S292">
        <v>2.9995419999999999</v>
      </c>
      <c r="T292">
        <v>3.2083390000000003E-2</v>
      </c>
      <c r="U292">
        <v>-0.20907590000000001</v>
      </c>
      <c r="V292">
        <v>5.5269359999999997E-2</v>
      </c>
      <c r="W292">
        <v>8.8798550000000004E-2</v>
      </c>
      <c r="X292">
        <v>0.99451500000000004</v>
      </c>
      <c r="Y292">
        <v>7.7793570000000006E-2</v>
      </c>
      <c r="Z292">
        <v>5.0406219999999996E-4</v>
      </c>
      <c r="AA292">
        <v>0.99696929999999995</v>
      </c>
      <c r="AB292">
        <v>34</v>
      </c>
      <c r="AC292">
        <v>227.1902</v>
      </c>
      <c r="AD292">
        <v>2.435289</v>
      </c>
      <c r="AE292">
        <v>-15.8749</v>
      </c>
      <c r="AF292">
        <v>17.755050178322101</v>
      </c>
      <c r="AG292">
        <v>2.435289</v>
      </c>
      <c r="AH292">
        <v>227.024884953704</v>
      </c>
      <c r="AI292">
        <v>89.387284308840805</v>
      </c>
      <c r="AJ292">
        <v>85.5281423692755</v>
      </c>
      <c r="AK292">
        <v>227.73113714991001</v>
      </c>
      <c r="AL292">
        <v>84.905507595367595</v>
      </c>
      <c r="AM292">
        <v>86.819105811154103</v>
      </c>
      <c r="AN292">
        <v>0.99999998493095599</v>
      </c>
    </row>
    <row r="293" spans="1:40" x14ac:dyDescent="0.25">
      <c r="A293" t="str">
        <f>"20190312154508273"</f>
        <v>20190312154508273</v>
      </c>
      <c r="B293" t="str">
        <f>"1552376708266296"</f>
        <v>1552376708266296</v>
      </c>
      <c r="C293" t="s">
        <v>40</v>
      </c>
      <c r="D293">
        <v>3.8941189999999999</v>
      </c>
      <c r="E293">
        <v>0.50939029999999996</v>
      </c>
      <c r="F293" t="s">
        <v>46</v>
      </c>
      <c r="G293">
        <v>-158.78319999999999</v>
      </c>
      <c r="H293">
        <v>3.2300659999999999</v>
      </c>
      <c r="I293">
        <v>352.2285</v>
      </c>
      <c r="J293">
        <v>-385.62779999999998</v>
      </c>
      <c r="K293">
        <v>1.109999</v>
      </c>
      <c r="L293">
        <v>368.03359999999998</v>
      </c>
      <c r="M293">
        <v>0.99986229999999998</v>
      </c>
      <c r="N293">
        <v>0</v>
      </c>
      <c r="O293">
        <v>8.2740390000000004E-3</v>
      </c>
      <c r="P293">
        <v>0.99615200000000004</v>
      </c>
      <c r="Q293">
        <v>7.3761450000000006E-2</v>
      </c>
      <c r="R293">
        <v>-4.7331129999999999E-2</v>
      </c>
      <c r="S293">
        <v>2.9997560000000001</v>
      </c>
      <c r="T293">
        <v>2.7994160000000001E-2</v>
      </c>
      <c r="U293">
        <v>-0.20864869999999999</v>
      </c>
      <c r="V293">
        <v>5.5578210000000003E-2</v>
      </c>
      <c r="W293">
        <v>8.808038E-2</v>
      </c>
      <c r="X293">
        <v>0.99456169999999999</v>
      </c>
      <c r="Y293">
        <v>7.7636430000000006E-2</v>
      </c>
      <c r="Z293">
        <v>4.3894479999999998E-4</v>
      </c>
      <c r="AA293">
        <v>0.99698160000000002</v>
      </c>
      <c r="AB293">
        <v>34</v>
      </c>
      <c r="AC293">
        <v>226.84460000000001</v>
      </c>
      <c r="AD293">
        <v>2.1200670000000001</v>
      </c>
      <c r="AE293">
        <v>-15.8050999999999</v>
      </c>
      <c r="AF293">
        <v>17.6801373311276</v>
      </c>
      <c r="AG293">
        <v>2.1200670000000001</v>
      </c>
      <c r="AH293">
        <v>226.68634339744401</v>
      </c>
      <c r="AI293">
        <v>89.465783420198406</v>
      </c>
      <c r="AJ293">
        <v>85.540310607744999</v>
      </c>
      <c r="AK293">
        <v>227.38465256704501</v>
      </c>
      <c r="AL293">
        <v>84.946817821053898</v>
      </c>
      <c r="AM293">
        <v>86.801517385240302</v>
      </c>
      <c r="AN293">
        <v>1.00000003293731</v>
      </c>
    </row>
    <row r="294" spans="1:40" x14ac:dyDescent="0.25">
      <c r="A294" t="str">
        <f>"20190312154508294"</f>
        <v>20190312154508294</v>
      </c>
      <c r="B294" t="str">
        <f>"1552376708286790"</f>
        <v>1552376708286790</v>
      </c>
      <c r="C294" t="s">
        <v>40</v>
      </c>
      <c r="D294">
        <v>3.9066429999999999</v>
      </c>
      <c r="E294">
        <v>0.50949390000000006</v>
      </c>
      <c r="F294" t="s">
        <v>46</v>
      </c>
      <c r="G294">
        <v>-158.78319999999999</v>
      </c>
      <c r="H294">
        <v>3.00793</v>
      </c>
      <c r="I294">
        <v>352.10750000000002</v>
      </c>
      <c r="J294">
        <v>-385.29989999999998</v>
      </c>
      <c r="K294">
        <v>1.1100190000000001</v>
      </c>
      <c r="L294">
        <v>368.03629999999998</v>
      </c>
      <c r="M294">
        <v>0.99986209999999998</v>
      </c>
      <c r="N294">
        <v>0</v>
      </c>
      <c r="O294">
        <v>8.2627969999999901E-3</v>
      </c>
      <c r="P294">
        <v>0.99614320000000001</v>
      </c>
      <c r="Q294">
        <v>7.3789380000000002E-2</v>
      </c>
      <c r="R294">
        <v>-4.7479399999999998E-2</v>
      </c>
      <c r="S294">
        <v>2.9997250000000002</v>
      </c>
      <c r="T294">
        <v>2.5098800000000001E-2</v>
      </c>
      <c r="U294">
        <v>-0.21060180000000001</v>
      </c>
      <c r="V294">
        <v>5.571516E-2</v>
      </c>
      <c r="W294">
        <v>8.8128830000000005E-2</v>
      </c>
      <c r="X294">
        <v>0.99454969999999998</v>
      </c>
      <c r="Y294">
        <v>7.8272599999999998E-2</v>
      </c>
      <c r="Z294">
        <v>3.961069E-4</v>
      </c>
      <c r="AA294">
        <v>0.99693189999999998</v>
      </c>
      <c r="AB294">
        <v>34</v>
      </c>
      <c r="AC294">
        <v>226.51669999999999</v>
      </c>
      <c r="AD294">
        <v>1.8979109999999999</v>
      </c>
      <c r="AE294">
        <v>-15.928799999999899</v>
      </c>
      <c r="AF294">
        <v>17.798868476191799</v>
      </c>
      <c r="AG294">
        <v>1.8979109999999999</v>
      </c>
      <c r="AH294">
        <v>226.36152268392601</v>
      </c>
      <c r="AI294">
        <v>89.521097253792902</v>
      </c>
      <c r="AJ294">
        <v>85.504067646506996</v>
      </c>
      <c r="AK294">
        <v>227.06814117568899</v>
      </c>
      <c r="AL294">
        <v>84.944030774271795</v>
      </c>
      <c r="AM294">
        <v>86.793613837413304</v>
      </c>
      <c r="AN294">
        <v>0.999999987750542</v>
      </c>
    </row>
    <row r="295" spans="1:40" x14ac:dyDescent="0.25">
      <c r="A295" t="str">
        <f>"20190312154508318"</f>
        <v>20190312154508318</v>
      </c>
      <c r="B295" t="str">
        <f>"1552376708306310"</f>
        <v>1552376708306310</v>
      </c>
      <c r="C295" t="s">
        <v>40</v>
      </c>
      <c r="D295">
        <v>3.9190779999999998</v>
      </c>
      <c r="E295">
        <v>0.50952969999999997</v>
      </c>
      <c r="F295" t="s">
        <v>46</v>
      </c>
      <c r="G295">
        <v>-158.78319999999999</v>
      </c>
      <c r="H295">
        <v>2.9191199999999999</v>
      </c>
      <c r="I295">
        <v>352.04820000000001</v>
      </c>
      <c r="J295">
        <v>-384.94290000000001</v>
      </c>
      <c r="K295">
        <v>1.1100399999999999</v>
      </c>
      <c r="L295">
        <v>368.03919999999999</v>
      </c>
      <c r="M295">
        <v>0.99986180000000002</v>
      </c>
      <c r="N295">
        <v>0</v>
      </c>
      <c r="O295">
        <v>8.2510280000000005E-3</v>
      </c>
      <c r="P295">
        <v>0.99616059999999995</v>
      </c>
      <c r="Q295">
        <v>7.3493009999999998E-2</v>
      </c>
      <c r="R295">
        <v>-4.757248E-2</v>
      </c>
      <c r="S295">
        <v>2.9997560000000001</v>
      </c>
      <c r="T295">
        <v>2.3959040000000001E-2</v>
      </c>
      <c r="U295">
        <v>-0.211731</v>
      </c>
      <c r="V295">
        <v>5.5796659999999998E-2</v>
      </c>
      <c r="W295">
        <v>8.78523999999999E-2</v>
      </c>
      <c r="X295">
        <v>0.99456960000000005</v>
      </c>
      <c r="Y295">
        <v>7.8633809999999998E-2</v>
      </c>
      <c r="Z295">
        <v>3.79458E-4</v>
      </c>
      <c r="AA295">
        <v>0.99690350000000005</v>
      </c>
      <c r="AB295">
        <v>34</v>
      </c>
      <c r="AC295">
        <v>226.15969999999999</v>
      </c>
      <c r="AD295">
        <v>1.80908</v>
      </c>
      <c r="AE295">
        <v>-15.9909999999999</v>
      </c>
      <c r="AF295">
        <v>17.8555631229958</v>
      </c>
      <c r="AG295">
        <v>1.80908</v>
      </c>
      <c r="AH295">
        <v>226.005654652299</v>
      </c>
      <c r="AI295">
        <v>89.542805803661906</v>
      </c>
      <c r="AJ295">
        <v>85.482733395903693</v>
      </c>
      <c r="AK295">
        <v>226.71711413058301</v>
      </c>
      <c r="AL295">
        <v>84.959930781561894</v>
      </c>
      <c r="AM295">
        <v>86.788997466078499</v>
      </c>
      <c r="AN295">
        <v>1.0000000003485301</v>
      </c>
    </row>
    <row r="296" spans="1:40" x14ac:dyDescent="0.25">
      <c r="A296" t="str">
        <f>"20190312154508341"</f>
        <v>20190312154508341</v>
      </c>
      <c r="B296" t="str">
        <f>"1552376708325831"</f>
        <v>1552376708325831</v>
      </c>
      <c r="C296" t="s">
        <v>40</v>
      </c>
      <c r="D296">
        <v>3.8964159999999999</v>
      </c>
      <c r="E296">
        <v>0.5095442</v>
      </c>
      <c r="F296" t="s">
        <v>46</v>
      </c>
      <c r="G296">
        <v>-158.78319999999999</v>
      </c>
      <c r="H296">
        <v>2.7845339999999998</v>
      </c>
      <c r="I296">
        <v>352.0258</v>
      </c>
      <c r="J296">
        <v>-384.60599999999999</v>
      </c>
      <c r="K296">
        <v>1.110052</v>
      </c>
      <c r="L296">
        <v>368.04199999999997</v>
      </c>
      <c r="M296">
        <v>0.99986180000000002</v>
      </c>
      <c r="N296">
        <v>0</v>
      </c>
      <c r="O296">
        <v>8.2389980000000008E-3</v>
      </c>
      <c r="P296">
        <v>0.99617140000000004</v>
      </c>
      <c r="Q296">
        <v>7.3302419999999993E-2</v>
      </c>
      <c r="R296">
        <v>-4.7639630000000002E-2</v>
      </c>
      <c r="S296">
        <v>2.9997859999999998</v>
      </c>
      <c r="T296">
        <v>2.2211669999999999E-2</v>
      </c>
      <c r="U296">
        <v>-0.21240229999999999</v>
      </c>
      <c r="V296">
        <v>5.5851999999999999E-2</v>
      </c>
      <c r="W296">
        <v>8.7677599999999994E-2</v>
      </c>
      <c r="X296">
        <v>0.99458190000000002</v>
      </c>
      <c r="Y296">
        <v>7.8843529999999995E-2</v>
      </c>
      <c r="Z296">
        <v>3.5246440000000001E-4</v>
      </c>
      <c r="AA296">
        <v>0.99688699999999997</v>
      </c>
      <c r="AB296">
        <v>34</v>
      </c>
      <c r="AC296">
        <v>225.8228</v>
      </c>
      <c r="AD296">
        <v>1.67448199999999</v>
      </c>
      <c r="AE296">
        <v>-16.016199999999898</v>
      </c>
      <c r="AF296">
        <v>17.875425950737199</v>
      </c>
      <c r="AG296">
        <v>1.67448199999999</v>
      </c>
      <c r="AH296">
        <v>225.67081665463601</v>
      </c>
      <c r="AI296">
        <v>89.576199353765006</v>
      </c>
      <c r="AJ296">
        <v>85.471047141498204</v>
      </c>
      <c r="AK296">
        <v>226.383860362126</v>
      </c>
      <c r="AL296">
        <v>84.969984786100696</v>
      </c>
      <c r="AM296">
        <v>86.785859084021098</v>
      </c>
      <c r="AN296">
        <v>0.99999998162668402</v>
      </c>
    </row>
    <row r="297" spans="1:40" x14ac:dyDescent="0.25">
      <c r="A297" t="str">
        <f>"20190312154508362"</f>
        <v>20190312154508362</v>
      </c>
      <c r="B297" t="str">
        <f>"1552376708356087"</f>
        <v>1552376708356087</v>
      </c>
      <c r="C297" t="s">
        <v>40</v>
      </c>
      <c r="D297">
        <v>3.881942</v>
      </c>
      <c r="E297">
        <v>0.50955720000000004</v>
      </c>
      <c r="F297" t="s">
        <v>46</v>
      </c>
      <c r="G297">
        <v>-158.78319999999999</v>
      </c>
      <c r="H297">
        <v>2.6375890000000002</v>
      </c>
      <c r="I297">
        <v>352.02780000000001</v>
      </c>
      <c r="J297">
        <v>-384.27960000000002</v>
      </c>
      <c r="K297">
        <v>1.110055</v>
      </c>
      <c r="L297">
        <v>368.04469999999998</v>
      </c>
      <c r="M297">
        <v>0.99986169999999996</v>
      </c>
      <c r="N297">
        <v>0</v>
      </c>
      <c r="O297">
        <v>8.2276999999999993E-3</v>
      </c>
      <c r="P297">
        <v>0.99616099999999996</v>
      </c>
      <c r="Q297">
        <v>7.344639E-2</v>
      </c>
      <c r="R297">
        <v>-4.7635749999999998E-2</v>
      </c>
      <c r="S297">
        <v>2.999908</v>
      </c>
      <c r="T297">
        <v>2.0293470000000001E-2</v>
      </c>
      <c r="U297">
        <v>-0.21273800000000001</v>
      </c>
      <c r="V297">
        <v>5.58366E-2</v>
      </c>
      <c r="W297">
        <v>8.7834339999999997E-2</v>
      </c>
      <c r="X297">
        <v>0.99456889999999998</v>
      </c>
      <c r="Y297">
        <v>7.8940769999999993E-2</v>
      </c>
      <c r="Z297">
        <v>3.2226420000000002E-4</v>
      </c>
      <c r="AA297">
        <v>0.99687930000000002</v>
      </c>
      <c r="AB297">
        <v>34</v>
      </c>
      <c r="AC297">
        <v>225.49639999999999</v>
      </c>
      <c r="AD297">
        <v>1.52753399999999</v>
      </c>
      <c r="AE297">
        <v>-16.0168999999999</v>
      </c>
      <c r="AF297">
        <v>17.8710523238374</v>
      </c>
      <c r="AG297">
        <v>1.52753399999999</v>
      </c>
      <c r="AH297">
        <v>225.34668088693101</v>
      </c>
      <c r="AI297">
        <v>89.612836570311103</v>
      </c>
      <c r="AJ297">
        <v>85.465664983240103</v>
      </c>
      <c r="AK297">
        <v>226.05936047427701</v>
      </c>
      <c r="AL297">
        <v>84.960969289497498</v>
      </c>
      <c r="AM297">
        <v>86.786701545199406</v>
      </c>
      <c r="AN297">
        <v>0.99999994701500095</v>
      </c>
    </row>
    <row r="298" spans="1:40" x14ac:dyDescent="0.25">
      <c r="A298" t="str">
        <f>"20190312154508384"</f>
        <v>20190312154508384</v>
      </c>
      <c r="B298" t="str">
        <f>"1552376708376583"</f>
        <v>1552376708376583</v>
      </c>
      <c r="C298" t="s">
        <v>40</v>
      </c>
      <c r="D298">
        <v>3.865723</v>
      </c>
      <c r="E298">
        <v>0.51406169999999995</v>
      </c>
      <c r="F298" t="s">
        <v>46</v>
      </c>
      <c r="G298">
        <v>-158.78319999999999</v>
      </c>
      <c r="H298">
        <v>2.583844</v>
      </c>
      <c r="I298">
        <v>352.04239999999999</v>
      </c>
      <c r="J298">
        <v>-383.9556</v>
      </c>
      <c r="K298">
        <v>1.1100589999999999</v>
      </c>
      <c r="L298">
        <v>368.04739999999998</v>
      </c>
      <c r="M298">
        <v>0.99986149999999996</v>
      </c>
      <c r="N298">
        <v>0</v>
      </c>
      <c r="O298">
        <v>8.2163589999999995E-3</v>
      </c>
      <c r="P298">
        <v>0.9961816</v>
      </c>
      <c r="Q298">
        <v>7.3239180000000001E-2</v>
      </c>
      <c r="R298">
        <v>-4.7523250000000003E-2</v>
      </c>
      <c r="S298">
        <v>2.9999389999999999</v>
      </c>
      <c r="T298">
        <v>1.960802E-2</v>
      </c>
      <c r="U298">
        <v>-0.21289060000000001</v>
      </c>
      <c r="V298">
        <v>5.571301E-2</v>
      </c>
      <c r="W298">
        <v>8.7638160000000007E-2</v>
      </c>
      <c r="X298">
        <v>0.99459319999999896</v>
      </c>
      <c r="Y298">
        <v>7.8979339999999995E-2</v>
      </c>
      <c r="Z298">
        <v>3.1142749999999998E-4</v>
      </c>
      <c r="AA298">
        <v>0.99687619999999999</v>
      </c>
      <c r="AB298">
        <v>34</v>
      </c>
      <c r="AC298">
        <v>225.17240000000001</v>
      </c>
      <c r="AD298">
        <v>1.4737849999999999</v>
      </c>
      <c r="AE298">
        <v>-16.0049999999999</v>
      </c>
      <c r="AF298">
        <v>17.853989718329501</v>
      </c>
      <c r="AG298">
        <v>1.4737849999999999</v>
      </c>
      <c r="AH298">
        <v>225.02368984435799</v>
      </c>
      <c r="AI298">
        <v>89.625924179614799</v>
      </c>
      <c r="AJ298">
        <v>85.463501053041796</v>
      </c>
      <c r="AK298">
        <v>225.73568167717301</v>
      </c>
      <c r="AL298">
        <v>84.972253407042501</v>
      </c>
      <c r="AM298">
        <v>86.793877249010706</v>
      </c>
      <c r="AN298">
        <v>1.00000001002884</v>
      </c>
    </row>
    <row r="299" spans="1:40" x14ac:dyDescent="0.25">
      <c r="A299" t="str">
        <f>"20190312154508408"</f>
        <v>20190312154508408</v>
      </c>
      <c r="B299" t="str">
        <f>"1552376708396103"</f>
        <v>1552376708396103</v>
      </c>
      <c r="C299" t="s">
        <v>40</v>
      </c>
      <c r="D299">
        <v>3.8447900000000002</v>
      </c>
      <c r="E299">
        <v>0.52208789999999905</v>
      </c>
      <c r="F299" t="s">
        <v>42</v>
      </c>
      <c r="G299">
        <v>-355.48809999999997</v>
      </c>
      <c r="H299" s="1">
        <v>-2.6063860000000002E-6</v>
      </c>
      <c r="I299">
        <v>365.73509999999999</v>
      </c>
      <c r="J299">
        <v>-383.58589999999998</v>
      </c>
      <c r="K299">
        <v>1.110069</v>
      </c>
      <c r="L299">
        <v>368.05040000000002</v>
      </c>
      <c r="M299">
        <v>0.99986149999999996</v>
      </c>
      <c r="N299">
        <v>0</v>
      </c>
      <c r="O299">
        <v>8.2035300000000005E-3</v>
      </c>
      <c r="P299">
        <v>0.99618790000000002</v>
      </c>
      <c r="Q299">
        <v>7.307408E-2</v>
      </c>
      <c r="R299">
        <v>-4.7646130000000002E-2</v>
      </c>
      <c r="S299">
        <v>3.0084529999999998</v>
      </c>
      <c r="T299">
        <v>-0.117310999999999</v>
      </c>
      <c r="U299">
        <v>-0.24435419999999999</v>
      </c>
      <c r="V299">
        <v>5.5823110000000002E-2</v>
      </c>
      <c r="W299">
        <v>8.7482850000000001E-2</v>
      </c>
      <c r="X299">
        <v>0.9946007</v>
      </c>
      <c r="Y299">
        <v>8.9057239999999996E-2</v>
      </c>
      <c r="Z299">
        <v>-2.0521279999999999E-3</v>
      </c>
      <c r="AA299">
        <v>0.99602440000000003</v>
      </c>
      <c r="AB299">
        <v>34</v>
      </c>
      <c r="AC299">
        <v>28.097799999999999</v>
      </c>
      <c r="AD299">
        <v>-1.1100716063860001</v>
      </c>
      <c r="AE299">
        <v>-2.3153000000000299</v>
      </c>
      <c r="AF299">
        <v>2.54180680233247</v>
      </c>
      <c r="AG299">
        <v>-1.1100716063860001</v>
      </c>
      <c r="AH299">
        <v>28.034396702840599</v>
      </c>
      <c r="AI299">
        <v>92.258289718093295</v>
      </c>
      <c r="AJ299">
        <v>84.819303842234106</v>
      </c>
      <c r="AK299">
        <v>28.171269749230799</v>
      </c>
      <c r="AL299">
        <v>84.981186326606405</v>
      </c>
      <c r="AM299">
        <v>86.787578742542095</v>
      </c>
      <c r="AN299">
        <v>1.0000000105473399</v>
      </c>
    </row>
    <row r="300" spans="1:40" x14ac:dyDescent="0.25">
      <c r="A300" t="str">
        <f>"20190312154508430"</f>
        <v>20190312154508430</v>
      </c>
      <c r="B300" t="str">
        <f>"1552376708416598"</f>
        <v>1552376708416598</v>
      </c>
      <c r="C300" t="s">
        <v>40</v>
      </c>
      <c r="D300">
        <v>3.8361109999999998</v>
      </c>
      <c r="E300">
        <v>0.52713869999999996</v>
      </c>
      <c r="F300" t="s">
        <v>41</v>
      </c>
      <c r="G300">
        <v>-382.63339999999999</v>
      </c>
      <c r="H300">
        <v>1.02583</v>
      </c>
      <c r="I300">
        <v>367.9545</v>
      </c>
      <c r="J300">
        <v>-383.2681</v>
      </c>
      <c r="K300">
        <v>1.1100730000000001</v>
      </c>
      <c r="L300">
        <v>368.05290000000002</v>
      </c>
      <c r="M300">
        <v>0.99986160000000002</v>
      </c>
      <c r="N300">
        <v>0</v>
      </c>
      <c r="O300">
        <v>8.1929259999999997E-3</v>
      </c>
      <c r="P300">
        <v>0.99616479999999996</v>
      </c>
      <c r="Q300">
        <v>7.3442740000000006E-2</v>
      </c>
      <c r="R300">
        <v>-4.75608E-2</v>
      </c>
      <c r="S300">
        <v>3.0165099999999998</v>
      </c>
      <c r="T300">
        <v>-0.26669549999999997</v>
      </c>
      <c r="U300">
        <v>-0.30386350000000001</v>
      </c>
      <c r="V300">
        <v>5.57271999999999E-2</v>
      </c>
      <c r="W300">
        <v>8.7858099999999995E-2</v>
      </c>
      <c r="X300">
        <v>0.99457300000000004</v>
      </c>
      <c r="Y300">
        <v>0.10792690000000001</v>
      </c>
      <c r="Z300">
        <v>-5.4710499999999999E-3</v>
      </c>
      <c r="AA300">
        <v>0.99414380000000002</v>
      </c>
      <c r="AB300">
        <v>34</v>
      </c>
      <c r="AC300">
        <v>0.63470000000000903</v>
      </c>
      <c r="AD300">
        <v>-8.4242999999999804E-2</v>
      </c>
      <c r="AE300">
        <v>-9.8400000000026397E-2</v>
      </c>
      <c r="AF300">
        <v>0.101845202866599</v>
      </c>
      <c r="AG300">
        <v>-8.4242999999999804E-2</v>
      </c>
      <c r="AH300">
        <v>0.62315205746333702</v>
      </c>
      <c r="AI300">
        <v>97.599430707149693</v>
      </c>
      <c r="AJ300">
        <v>80.717897154628005</v>
      </c>
      <c r="AK300">
        <v>0.63701476836626703</v>
      </c>
      <c r="AL300">
        <v>84.959602973845506</v>
      </c>
      <c r="AM300">
        <v>86.792997362054095</v>
      </c>
      <c r="AN300">
        <v>1.0000000094422199</v>
      </c>
    </row>
    <row r="301" spans="1:40" x14ac:dyDescent="0.25">
      <c r="A301" t="str">
        <f>"20190312154508452"</f>
        <v>20190312154508452</v>
      </c>
      <c r="B301" t="str">
        <f>"1552376708445879"</f>
        <v>1552376708445879</v>
      </c>
      <c r="C301" t="s">
        <v>40</v>
      </c>
      <c r="D301">
        <v>3.8163480000000001</v>
      </c>
      <c r="E301">
        <v>0.52955079999999999</v>
      </c>
      <c r="F301" t="s">
        <v>41</v>
      </c>
      <c r="G301">
        <v>-382.35039999999998</v>
      </c>
      <c r="H301">
        <v>0.9903322</v>
      </c>
      <c r="I301">
        <v>367.9495</v>
      </c>
      <c r="J301">
        <v>-382.92189999999999</v>
      </c>
      <c r="K301">
        <v>1.110079</v>
      </c>
      <c r="L301">
        <v>368.05579999999998</v>
      </c>
      <c r="M301">
        <v>0.99986169999999996</v>
      </c>
      <c r="N301">
        <v>0</v>
      </c>
      <c r="O301">
        <v>8.1807849999999994E-3</v>
      </c>
      <c r="P301">
        <v>0.9961624</v>
      </c>
      <c r="Q301">
        <v>7.350305E-2</v>
      </c>
      <c r="R301">
        <v>-4.7522189999999999E-2</v>
      </c>
      <c r="S301">
        <v>3.0244450000000001</v>
      </c>
      <c r="T301">
        <v>-0.39473469999999999</v>
      </c>
      <c r="U301">
        <v>-0.34011839999999999</v>
      </c>
      <c r="V301">
        <v>5.5676370000000003E-2</v>
      </c>
      <c r="W301">
        <v>8.7924600000000006E-2</v>
      </c>
      <c r="X301">
        <v>0.99456999999999995</v>
      </c>
      <c r="Y301">
        <v>0.1188148</v>
      </c>
      <c r="Z301">
        <v>-8.7569799999999993E-3</v>
      </c>
      <c r="AA301">
        <v>0.99287780000000003</v>
      </c>
      <c r="AB301">
        <v>34</v>
      </c>
      <c r="AC301">
        <v>0.571500000000014</v>
      </c>
      <c r="AD301">
        <v>-0.1197468</v>
      </c>
      <c r="AE301">
        <v>-0.106299999999976</v>
      </c>
      <c r="AF301">
        <v>0.106454838911584</v>
      </c>
      <c r="AG301">
        <v>-0.1197468</v>
      </c>
      <c r="AH301">
        <v>0.54738296239561801</v>
      </c>
      <c r="AI301">
        <v>102.119591595093</v>
      </c>
      <c r="AJ301">
        <v>78.994516327828904</v>
      </c>
      <c r="AK301">
        <v>0.57035080113815395</v>
      </c>
      <c r="AL301">
        <v>84.955778152556306</v>
      </c>
      <c r="AM301">
        <v>86.795906797362207</v>
      </c>
      <c r="AN301">
        <v>1.00000003918076</v>
      </c>
    </row>
    <row r="302" spans="1:40" x14ac:dyDescent="0.25">
      <c r="A302" t="str">
        <f>"20190312154508474"</f>
        <v>20190312154508474</v>
      </c>
      <c r="B302" t="str">
        <f>"1552376708466375"</f>
        <v>1552376708466375</v>
      </c>
      <c r="C302" t="s">
        <v>40</v>
      </c>
      <c r="D302">
        <v>3.7857970000000001</v>
      </c>
      <c r="E302">
        <v>0.52988480000000004</v>
      </c>
      <c r="F302" t="s">
        <v>41</v>
      </c>
      <c r="G302">
        <v>-382.05939999999998</v>
      </c>
      <c r="H302">
        <v>0.97201510000000002</v>
      </c>
      <c r="I302">
        <v>367.95429999999999</v>
      </c>
      <c r="J302">
        <v>-382.60120000000001</v>
      </c>
      <c r="K302">
        <v>1.1100829999999999</v>
      </c>
      <c r="L302">
        <v>368.05840000000001</v>
      </c>
      <c r="M302">
        <v>0.99986149999999996</v>
      </c>
      <c r="N302">
        <v>0</v>
      </c>
      <c r="O302">
        <v>8.1698450000000002E-3</v>
      </c>
      <c r="P302">
        <v>0.99615600000000004</v>
      </c>
      <c r="Q302">
        <v>7.3771509999999998E-2</v>
      </c>
      <c r="R302">
        <v>-4.7232509999999998E-2</v>
      </c>
      <c r="S302">
        <v>3.0303339999999999</v>
      </c>
      <c r="T302">
        <v>-0.48510619999999999</v>
      </c>
      <c r="U302">
        <v>-0.35632320000000001</v>
      </c>
      <c r="V302">
        <v>5.5375819999999999E-2</v>
      </c>
      <c r="W302">
        <v>8.8197719999999993E-2</v>
      </c>
      <c r="X302">
        <v>0.99456259999999996</v>
      </c>
      <c r="Y302">
        <v>0.1232409</v>
      </c>
      <c r="Z302">
        <v>-1.106448E-2</v>
      </c>
      <c r="AA302">
        <v>0.99231510000000001</v>
      </c>
      <c r="AB302">
        <v>34</v>
      </c>
      <c r="AC302">
        <v>0.54180000000002304</v>
      </c>
      <c r="AD302">
        <v>-0.13806789999999899</v>
      </c>
      <c r="AE302">
        <v>-0.104100000000016</v>
      </c>
      <c r="AF302">
        <v>0.102127448195871</v>
      </c>
      <c r="AG302">
        <v>-0.13806789999999899</v>
      </c>
      <c r="AH302">
        <v>0.50905087268330895</v>
      </c>
      <c r="AI302">
        <v>104.89185355552399</v>
      </c>
      <c r="AJ302">
        <v>78.655734662907506</v>
      </c>
      <c r="AK302">
        <v>0.53723882181488802</v>
      </c>
      <c r="AL302">
        <v>84.940068514668894</v>
      </c>
      <c r="AM302">
        <v>86.813143598372093</v>
      </c>
      <c r="AN302">
        <v>1.00000004228631</v>
      </c>
    </row>
    <row r="303" spans="1:40" x14ac:dyDescent="0.25">
      <c r="A303" t="str">
        <f>"20190312154508495"</f>
        <v>20190312154508495</v>
      </c>
      <c r="B303" t="str">
        <f>"1552376708485899"</f>
        <v>1552376708485899</v>
      </c>
      <c r="C303" t="s">
        <v>40</v>
      </c>
      <c r="D303">
        <v>3.813205</v>
      </c>
      <c r="E303">
        <v>0.53049880000000005</v>
      </c>
      <c r="F303" t="s">
        <v>41</v>
      </c>
      <c r="G303">
        <v>-381.76159999999999</v>
      </c>
      <c r="H303">
        <v>0.96842720000000004</v>
      </c>
      <c r="I303">
        <v>367.95909999999998</v>
      </c>
      <c r="J303">
        <v>-382.27269999999999</v>
      </c>
      <c r="K303">
        <v>1.1100859999999999</v>
      </c>
      <c r="L303">
        <v>368.06110000000001</v>
      </c>
      <c r="M303">
        <v>0.99986169999999996</v>
      </c>
      <c r="N303">
        <v>0</v>
      </c>
      <c r="O303">
        <v>8.1583760000000002E-3</v>
      </c>
      <c r="P303">
        <v>0.99616300000000002</v>
      </c>
      <c r="Q303">
        <v>7.3733339999999994E-2</v>
      </c>
      <c r="R303">
        <v>-4.714902E-2</v>
      </c>
      <c r="S303">
        <v>3.0325319999999998</v>
      </c>
      <c r="T303">
        <v>-0.51175769999999998</v>
      </c>
      <c r="U303">
        <v>-0.35766599999999998</v>
      </c>
      <c r="V303">
        <v>5.5280919999999997E-2</v>
      </c>
      <c r="W303">
        <v>8.8163519999999995E-2</v>
      </c>
      <c r="X303">
        <v>0.99457090000000004</v>
      </c>
      <c r="Y303">
        <v>0.1233952</v>
      </c>
      <c r="Z303">
        <v>-1.1666559999999999E-2</v>
      </c>
      <c r="AA303">
        <v>0.99228899999999998</v>
      </c>
      <c r="AB303">
        <v>34</v>
      </c>
      <c r="AC303">
        <v>0.511099999999999</v>
      </c>
      <c r="AD303">
        <v>-0.1416588</v>
      </c>
      <c r="AE303">
        <v>-0.102000000000032</v>
      </c>
      <c r="AF303">
        <v>9.8863008878428194E-2</v>
      </c>
      <c r="AG303">
        <v>-0.1416588</v>
      </c>
      <c r="AH303">
        <v>0.47514787445732598</v>
      </c>
      <c r="AI303">
        <v>106.27173292513299</v>
      </c>
      <c r="AJ303">
        <v>78.246288763784506</v>
      </c>
      <c r="AK303">
        <v>0.50557552625028301</v>
      </c>
      <c r="AL303">
        <v>84.9420356348881</v>
      </c>
      <c r="AM303">
        <v>86.818620322582603</v>
      </c>
      <c r="AN303">
        <v>1.0000000307508199</v>
      </c>
    </row>
    <row r="304" spans="1:40" x14ac:dyDescent="0.25">
      <c r="A304" t="str">
        <f>"20190312154508520"</f>
        <v>20190312154508520</v>
      </c>
      <c r="B304" t="str">
        <f>"1552376708506391"</f>
        <v>1552376708506391</v>
      </c>
      <c r="C304" t="s">
        <v>40</v>
      </c>
      <c r="D304">
        <v>3.7932839999999999</v>
      </c>
      <c r="E304">
        <v>0.53095899999999996</v>
      </c>
      <c r="F304" t="s">
        <v>41</v>
      </c>
      <c r="G304">
        <v>-381.46289999999999</v>
      </c>
      <c r="H304">
        <v>0.96750530000000001</v>
      </c>
      <c r="I304">
        <v>367.96460000000002</v>
      </c>
      <c r="J304">
        <v>-381.9119</v>
      </c>
      <c r="K304">
        <v>1.1100890000000001</v>
      </c>
      <c r="L304">
        <v>368.06400000000002</v>
      </c>
      <c r="M304">
        <v>0.99986169999999996</v>
      </c>
      <c r="N304">
        <v>0</v>
      </c>
      <c r="O304">
        <v>8.1462519999999997E-3</v>
      </c>
      <c r="P304">
        <v>0.99620010000000003</v>
      </c>
      <c r="Q304">
        <v>7.3804359999999999E-2</v>
      </c>
      <c r="R304">
        <v>-4.6242030000000003E-2</v>
      </c>
      <c r="S304">
        <v>3.0339969999999998</v>
      </c>
      <c r="T304">
        <v>-0.53415380000000001</v>
      </c>
      <c r="U304">
        <v>-0.3612976</v>
      </c>
      <c r="V304">
        <v>5.436233E-2</v>
      </c>
      <c r="W304">
        <v>8.8237609999999994E-2</v>
      </c>
      <c r="X304">
        <v>0.99461500000000003</v>
      </c>
      <c r="Y304">
        <v>0.12432410000000001</v>
      </c>
      <c r="Z304">
        <v>-1.2241790000000001E-2</v>
      </c>
      <c r="AA304">
        <v>0.9921662</v>
      </c>
      <c r="AB304">
        <v>34</v>
      </c>
      <c r="AC304">
        <v>0.449000000000012</v>
      </c>
      <c r="AD304">
        <v>-0.14258369999999901</v>
      </c>
      <c r="AE304">
        <v>-9.9400000000002806E-2</v>
      </c>
      <c r="AF304">
        <v>9.4016741817601696E-2</v>
      </c>
      <c r="AG304">
        <v>-0.14258369999999901</v>
      </c>
      <c r="AH304">
        <v>0.40886982965799701</v>
      </c>
      <c r="AI304">
        <v>108.77070640222099</v>
      </c>
      <c r="AJ304">
        <v>77.050339087342707</v>
      </c>
      <c r="AK304">
        <v>0.44310698127229597</v>
      </c>
      <c r="AL304">
        <v>84.937774173435898</v>
      </c>
      <c r="AM304">
        <v>86.871517096912498</v>
      </c>
      <c r="AN304">
        <v>1.00000006848326</v>
      </c>
    </row>
    <row r="305" spans="1:40" x14ac:dyDescent="0.25">
      <c r="A305" t="str">
        <f>"20190312154508542"</f>
        <v>20190312154508542</v>
      </c>
      <c r="B305" t="str">
        <f>"1552376708536647"</f>
        <v>1552376708536647</v>
      </c>
      <c r="C305" t="s">
        <v>40</v>
      </c>
      <c r="D305">
        <v>3.7920509999999998</v>
      </c>
      <c r="E305">
        <v>0.5314584</v>
      </c>
      <c r="F305" t="s">
        <v>41</v>
      </c>
      <c r="G305">
        <v>-381.16090000000003</v>
      </c>
      <c r="H305">
        <v>0.9740993</v>
      </c>
      <c r="I305">
        <v>367.97430000000003</v>
      </c>
      <c r="J305">
        <v>-381.58640000000003</v>
      </c>
      <c r="K305">
        <v>1.1100890000000001</v>
      </c>
      <c r="L305">
        <v>368.06670000000003</v>
      </c>
      <c r="M305">
        <v>0.99986169999999996</v>
      </c>
      <c r="N305">
        <v>0</v>
      </c>
      <c r="O305">
        <v>8.1350380000000007E-3</v>
      </c>
      <c r="P305">
        <v>0.99621179999999998</v>
      </c>
      <c r="Q305">
        <v>7.3582359999999999E-2</v>
      </c>
      <c r="R305">
        <v>-4.6341939999999998E-2</v>
      </c>
      <c r="S305">
        <v>3.0353699999999999</v>
      </c>
      <c r="T305">
        <v>-0.54965540000000002</v>
      </c>
      <c r="U305">
        <v>-0.36157230000000001</v>
      </c>
      <c r="V305">
        <v>5.4451090000000001E-2</v>
      </c>
      <c r="W305">
        <v>8.8017689999999996E-2</v>
      </c>
      <c r="X305">
        <v>0.9946296</v>
      </c>
      <c r="Y305">
        <v>0.1242349</v>
      </c>
      <c r="Z305">
        <v>-1.2575879999999999E-2</v>
      </c>
      <c r="AA305">
        <v>0.99217310000000003</v>
      </c>
      <c r="AB305">
        <v>33</v>
      </c>
      <c r="AC305">
        <v>0.42549999999999899</v>
      </c>
      <c r="AD305">
        <v>-0.13598969999999899</v>
      </c>
      <c r="AE305">
        <v>-9.2399999999997803E-2</v>
      </c>
      <c r="AF305">
        <v>8.7339325711244198E-2</v>
      </c>
      <c r="AG305">
        <v>-0.13598969999999899</v>
      </c>
      <c r="AH305">
        <v>0.38698595070434799</v>
      </c>
      <c r="AI305">
        <v>108.920976631489</v>
      </c>
      <c r="AJ305">
        <v>77.281927238893999</v>
      </c>
      <c r="AK305">
        <v>0.41937987834937002</v>
      </c>
      <c r="AL305">
        <v>84.950423724082597</v>
      </c>
      <c r="AM305">
        <v>86.866465149027903</v>
      </c>
      <c r="AN305">
        <v>1.00000003807564</v>
      </c>
    </row>
    <row r="306" spans="1:40" x14ac:dyDescent="0.25">
      <c r="A306" t="str">
        <f>"20190312154508563"</f>
        <v>20190312154508563</v>
      </c>
      <c r="B306" t="str">
        <f>"1552376708556167"</f>
        <v>1552376708556167</v>
      </c>
      <c r="C306" t="s">
        <v>40</v>
      </c>
      <c r="D306">
        <v>3.8168850000000001</v>
      </c>
      <c r="E306">
        <v>0.53155180000000002</v>
      </c>
      <c r="F306" t="s">
        <v>41</v>
      </c>
      <c r="G306">
        <v>-380.86200000000002</v>
      </c>
      <c r="H306">
        <v>0.97494879999999995</v>
      </c>
      <c r="I306">
        <v>367.97919999999999</v>
      </c>
      <c r="J306">
        <v>-381.26369999999997</v>
      </c>
      <c r="K306">
        <v>1.1101019999999999</v>
      </c>
      <c r="L306">
        <v>368.06920000000002</v>
      </c>
      <c r="M306">
        <v>0.99986169999999996</v>
      </c>
      <c r="N306">
        <v>0</v>
      </c>
      <c r="O306">
        <v>8.123768E-3</v>
      </c>
      <c r="P306">
        <v>0.9962394</v>
      </c>
      <c r="Q306">
        <v>7.316831E-2</v>
      </c>
      <c r="R306">
        <v>-4.6405839999999997E-2</v>
      </c>
      <c r="S306">
        <v>3.0362849999999999</v>
      </c>
      <c r="T306">
        <v>-0.56652060000000004</v>
      </c>
      <c r="U306">
        <v>-0.36547849999999998</v>
      </c>
      <c r="V306">
        <v>5.4503889999999999E-2</v>
      </c>
      <c r="W306">
        <v>8.7604440000000006E-2</v>
      </c>
      <c r="X306">
        <v>0.99466319999999997</v>
      </c>
      <c r="Y306">
        <v>0.12529949999999901</v>
      </c>
      <c r="Z306">
        <v>-1.304663E-2</v>
      </c>
      <c r="AA306">
        <v>0.99203319999999995</v>
      </c>
      <c r="AB306">
        <v>33</v>
      </c>
      <c r="AC306">
        <v>0.401700000000005</v>
      </c>
      <c r="AD306">
        <v>-0.135153199999999</v>
      </c>
      <c r="AE306">
        <v>-9.0000000000031805E-2</v>
      </c>
      <c r="AF306">
        <v>8.4186262244365803E-2</v>
      </c>
      <c r="AG306">
        <v>-0.135153199999999</v>
      </c>
      <c r="AH306">
        <v>0.36194185081174801</v>
      </c>
      <c r="AI306">
        <v>109.986459270472</v>
      </c>
      <c r="AJ306">
        <v>76.906043675178395</v>
      </c>
      <c r="AK306">
        <v>0.395418281810478</v>
      </c>
      <c r="AL306">
        <v>84.974193064891793</v>
      </c>
      <c r="AM306">
        <v>86.863538437248906</v>
      </c>
      <c r="AN306">
        <v>1.0000000466835399</v>
      </c>
    </row>
    <row r="307" spans="1:40" x14ac:dyDescent="0.25">
      <c r="A307" t="str">
        <f>"20190312154508585"</f>
        <v>20190312154508585</v>
      </c>
      <c r="B307" t="str">
        <f>"1552376708576663"</f>
        <v>1552376708576663</v>
      </c>
      <c r="C307" t="s">
        <v>40</v>
      </c>
      <c r="D307">
        <v>3.804055</v>
      </c>
      <c r="E307">
        <v>0.53226329999999999</v>
      </c>
      <c r="F307" t="s">
        <v>41</v>
      </c>
      <c r="G307">
        <v>-380.56270000000001</v>
      </c>
      <c r="H307">
        <v>0.97734520000000003</v>
      </c>
      <c r="I307">
        <v>367.98430000000002</v>
      </c>
      <c r="J307">
        <v>-380.93889999999999</v>
      </c>
      <c r="K307">
        <v>1.110106</v>
      </c>
      <c r="L307">
        <v>368.07190000000003</v>
      </c>
      <c r="M307">
        <v>0.99986189999999997</v>
      </c>
      <c r="N307">
        <v>0</v>
      </c>
      <c r="O307">
        <v>8.1124999999999999E-3</v>
      </c>
      <c r="P307">
        <v>0.9962126</v>
      </c>
      <c r="Q307">
        <v>7.3187520000000006E-2</v>
      </c>
      <c r="R307">
        <v>-4.694893E-2</v>
      </c>
      <c r="S307">
        <v>3.0364689999999999</v>
      </c>
      <c r="T307">
        <v>-0.57512799999999997</v>
      </c>
      <c r="U307">
        <v>-0.36614989999999997</v>
      </c>
      <c r="V307">
        <v>5.5035599999999997E-2</v>
      </c>
      <c r="W307">
        <v>8.7624389999999996E-2</v>
      </c>
      <c r="X307">
        <v>0.99463210000000002</v>
      </c>
      <c r="Y307">
        <v>0.12542690000000001</v>
      </c>
      <c r="Z307">
        <v>-1.3250299999999901E-2</v>
      </c>
      <c r="AA307">
        <v>0.99201439999999996</v>
      </c>
      <c r="AB307">
        <v>33</v>
      </c>
      <c r="AC307">
        <v>0.37619999999998199</v>
      </c>
      <c r="AD307">
        <v>-0.13276080000000001</v>
      </c>
      <c r="AE307">
        <v>-8.7600000000008907E-2</v>
      </c>
      <c r="AF307">
        <v>8.1072091187040896E-2</v>
      </c>
      <c r="AG307">
        <v>-0.13276080000000001</v>
      </c>
      <c r="AH307">
        <v>0.33580707466675902</v>
      </c>
      <c r="AI307">
        <v>111.02212747127901</v>
      </c>
      <c r="AJ307">
        <v>76.427113195266998</v>
      </c>
      <c r="AK307">
        <v>0.370087159169737</v>
      </c>
      <c r="AL307">
        <v>84.973045278911698</v>
      </c>
      <c r="AM307">
        <v>86.832904002906602</v>
      </c>
      <c r="AN307">
        <v>0.99999998267032097</v>
      </c>
    </row>
    <row r="308" spans="1:40" x14ac:dyDescent="0.25">
      <c r="A308" t="str">
        <f>"20190312154508607"</f>
        <v>20190312154508607</v>
      </c>
      <c r="B308" t="str">
        <f>"1552376708596184"</f>
        <v>1552376708596184</v>
      </c>
      <c r="C308" t="s">
        <v>40</v>
      </c>
      <c r="D308">
        <v>3.8177409999999998</v>
      </c>
      <c r="E308">
        <v>0.53309359999999995</v>
      </c>
      <c r="F308" t="s">
        <v>41</v>
      </c>
      <c r="G308">
        <v>-379.99029999999999</v>
      </c>
      <c r="H308">
        <v>0.92721469999999995</v>
      </c>
      <c r="I308">
        <v>367.95549999999997</v>
      </c>
      <c r="J308">
        <v>-380.6046</v>
      </c>
      <c r="K308">
        <v>1.1101080000000001</v>
      </c>
      <c r="L308">
        <v>368.07459999999998</v>
      </c>
      <c r="M308">
        <v>0.99986209999999998</v>
      </c>
      <c r="N308">
        <v>0</v>
      </c>
      <c r="O308">
        <v>8.1009389999999997E-3</v>
      </c>
      <c r="P308">
        <v>0.99621420000000005</v>
      </c>
      <c r="Q308">
        <v>7.2698319999999997E-2</v>
      </c>
      <c r="R308">
        <v>-4.7672440000000003E-2</v>
      </c>
      <c r="S308">
        <v>3.0368650000000001</v>
      </c>
      <c r="T308">
        <v>-0.58551730000000002</v>
      </c>
      <c r="U308">
        <v>-0.3724365</v>
      </c>
      <c r="V308">
        <v>5.5747369999999997E-2</v>
      </c>
      <c r="W308">
        <v>8.7134639999999999E-2</v>
      </c>
      <c r="X308">
        <v>0.99463550000000001</v>
      </c>
      <c r="Y308">
        <v>0.12730630000000001</v>
      </c>
      <c r="Z308">
        <v>-1.3658729999999999E-2</v>
      </c>
      <c r="AA308">
        <v>0.99176940000000002</v>
      </c>
      <c r="AB308">
        <v>33</v>
      </c>
      <c r="AC308">
        <v>0.61430000000001395</v>
      </c>
      <c r="AD308">
        <v>-0.18289330000000001</v>
      </c>
      <c r="AE308">
        <v>-0.119100000000003</v>
      </c>
      <c r="AF308">
        <v>0.114307739256706</v>
      </c>
      <c r="AG308">
        <v>-0.18289330000000001</v>
      </c>
      <c r="AH308">
        <v>0.56504339859602304</v>
      </c>
      <c r="AI308">
        <v>107.601807357819</v>
      </c>
      <c r="AJ308">
        <v>78.563464563802199</v>
      </c>
      <c r="AK308">
        <v>0.60480596949419496</v>
      </c>
      <c r="AL308">
        <v>85.001213697294403</v>
      </c>
      <c r="AM308">
        <v>86.792040208540698</v>
      </c>
      <c r="AN308">
        <v>0.99999999630504799</v>
      </c>
    </row>
    <row r="309" spans="1:40" x14ac:dyDescent="0.25">
      <c r="A309" t="str">
        <f>"20190312154508629"</f>
        <v>20190312154508629</v>
      </c>
      <c r="B309" t="str">
        <f>"1552376708616680"</f>
        <v>1552376708616680</v>
      </c>
      <c r="C309" t="s">
        <v>40</v>
      </c>
      <c r="D309">
        <v>3.841923</v>
      </c>
      <c r="E309">
        <v>0.53368669999999996</v>
      </c>
      <c r="F309" t="s">
        <v>41</v>
      </c>
      <c r="G309">
        <v>-379.69170000000003</v>
      </c>
      <c r="H309">
        <v>0.93037700000000001</v>
      </c>
      <c r="I309">
        <v>367.9599</v>
      </c>
      <c r="J309">
        <v>-380.28039999999999</v>
      </c>
      <c r="K309">
        <v>1.110107</v>
      </c>
      <c r="L309">
        <v>368.0772</v>
      </c>
      <c r="M309">
        <v>0.99986209999999998</v>
      </c>
      <c r="N309">
        <v>0</v>
      </c>
      <c r="O309">
        <v>8.0898580000000001E-3</v>
      </c>
      <c r="P309">
        <v>0.99621930000000003</v>
      </c>
      <c r="Q309">
        <v>7.2417529999999994E-2</v>
      </c>
      <c r="R309">
        <v>-4.7988790000000003E-2</v>
      </c>
      <c r="S309">
        <v>3.036835</v>
      </c>
      <c r="T309">
        <v>-0.59788839999999999</v>
      </c>
      <c r="U309">
        <v>-0.38125609999999999</v>
      </c>
      <c r="V309">
        <v>5.6052860000000003E-2</v>
      </c>
      <c r="W309">
        <v>8.6853440000000004E-2</v>
      </c>
      <c r="X309">
        <v>0.9946429</v>
      </c>
      <c r="Y309">
        <v>0.12997939999999999</v>
      </c>
      <c r="Z309">
        <v>-1.419722E-2</v>
      </c>
      <c r="AA309">
        <v>0.99141500000000005</v>
      </c>
      <c r="AB309">
        <v>33</v>
      </c>
      <c r="AC309">
        <v>0.58869999999996003</v>
      </c>
      <c r="AD309">
        <v>-0.179729999999999</v>
      </c>
      <c r="AE309">
        <v>-0.1173</v>
      </c>
      <c r="AF309">
        <v>0.11201697621196301</v>
      </c>
      <c r="AG309">
        <v>-0.179729999999999</v>
      </c>
      <c r="AH309">
        <v>0.53937718664380097</v>
      </c>
      <c r="AI309">
        <v>108.06923431445399</v>
      </c>
      <c r="AJ309">
        <v>78.267681264101896</v>
      </c>
      <c r="AK309">
        <v>0.57946391201821501</v>
      </c>
      <c r="AL309">
        <v>85.017386457523898</v>
      </c>
      <c r="AM309">
        <v>86.774521874198697</v>
      </c>
      <c r="AN309">
        <v>0.99999997083721104</v>
      </c>
    </row>
    <row r="310" spans="1:40" x14ac:dyDescent="0.25">
      <c r="A310" t="str">
        <f>"20190312154508651"</f>
        <v>20190312154508651</v>
      </c>
      <c r="B310" t="str">
        <f>"1552376708646935"</f>
        <v>1552376708646935</v>
      </c>
      <c r="C310" t="s">
        <v>40</v>
      </c>
      <c r="D310">
        <v>3.830254</v>
      </c>
      <c r="E310">
        <v>0.53443090000000004</v>
      </c>
      <c r="F310" t="s">
        <v>41</v>
      </c>
      <c r="G310">
        <v>-379.39370000000002</v>
      </c>
      <c r="H310">
        <v>0.93281979999999998</v>
      </c>
      <c r="I310">
        <v>367.96370000000002</v>
      </c>
      <c r="J310">
        <v>-379.95670000000001</v>
      </c>
      <c r="K310">
        <v>1.110106</v>
      </c>
      <c r="L310">
        <v>368.07979999999998</v>
      </c>
      <c r="M310">
        <v>0.99986229999999998</v>
      </c>
      <c r="N310">
        <v>0</v>
      </c>
      <c r="O310">
        <v>8.0786019999999903E-3</v>
      </c>
      <c r="P310">
        <v>0.99621059999999995</v>
      </c>
      <c r="Q310">
        <v>7.2456350000000003E-2</v>
      </c>
      <c r="R310">
        <v>-4.8110020000000003E-2</v>
      </c>
      <c r="S310">
        <v>3.036896</v>
      </c>
      <c r="T310">
        <v>-0.60733459999999995</v>
      </c>
      <c r="U310">
        <v>-0.38708500000000001</v>
      </c>
      <c r="V310">
        <v>5.6162820000000002E-2</v>
      </c>
      <c r="W310">
        <v>8.6890499999999996E-2</v>
      </c>
      <c r="X310">
        <v>0.99463349999999995</v>
      </c>
      <c r="Y310">
        <v>0.13172320000000001</v>
      </c>
      <c r="Z310">
        <v>-1.458505E-2</v>
      </c>
      <c r="AA310">
        <v>0.99117920000000004</v>
      </c>
      <c r="AB310">
        <v>33</v>
      </c>
      <c r="AC310">
        <v>0.56299999999998795</v>
      </c>
      <c r="AD310">
        <v>-0.1772862</v>
      </c>
      <c r="AE310">
        <v>-0.11609999999996</v>
      </c>
      <c r="AF310">
        <v>0.11016651494712699</v>
      </c>
      <c r="AG310">
        <v>-0.1772862</v>
      </c>
      <c r="AH310">
        <v>0.51322818774669099</v>
      </c>
      <c r="AI310">
        <v>108.66189214048001</v>
      </c>
      <c r="AJ310">
        <v>77.885066258393806</v>
      </c>
      <c r="AK310">
        <v>0.55404894226393797</v>
      </c>
      <c r="AL310">
        <v>85.015255215298495</v>
      </c>
      <c r="AM310">
        <v>86.768177311457606</v>
      </c>
      <c r="AN310">
        <v>1.0000000103314199</v>
      </c>
    </row>
    <row r="311" spans="1:40" x14ac:dyDescent="0.25">
      <c r="A311" t="str">
        <f>"20190312154508675"</f>
        <v>20190312154508675</v>
      </c>
      <c r="B311" t="str">
        <f>"1552376708666455"</f>
        <v>1552376708666455</v>
      </c>
      <c r="C311" t="s">
        <v>40</v>
      </c>
      <c r="D311">
        <v>3.799334</v>
      </c>
      <c r="E311">
        <v>0.53473519999999997</v>
      </c>
      <c r="F311" t="s">
        <v>41</v>
      </c>
      <c r="G311">
        <v>-379.09629999999999</v>
      </c>
      <c r="H311">
        <v>0.93497180000000002</v>
      </c>
      <c r="I311">
        <v>367.96850000000001</v>
      </c>
      <c r="J311">
        <v>-379.613</v>
      </c>
      <c r="K311">
        <v>1.110104</v>
      </c>
      <c r="L311">
        <v>368.08260000000001</v>
      </c>
      <c r="M311">
        <v>0.99986229999999998</v>
      </c>
      <c r="N311">
        <v>0</v>
      </c>
      <c r="O311">
        <v>8.0668719999999992E-3</v>
      </c>
      <c r="P311">
        <v>0.99623260000000002</v>
      </c>
      <c r="Q311">
        <v>7.2224860000000002E-2</v>
      </c>
      <c r="R311">
        <v>-4.8003520000000001E-2</v>
      </c>
      <c r="S311">
        <v>3.0373540000000001</v>
      </c>
      <c r="T311">
        <v>-0.61821319999999902</v>
      </c>
      <c r="U311">
        <v>-0.3930054</v>
      </c>
      <c r="V311">
        <v>5.6044719999999999E-2</v>
      </c>
      <c r="W311">
        <v>8.6658200000000005E-2</v>
      </c>
      <c r="X311">
        <v>0.9946604</v>
      </c>
      <c r="Y311">
        <v>0.13346259999999999</v>
      </c>
      <c r="Z311">
        <v>-1.5009359999999999E-2</v>
      </c>
      <c r="AA311">
        <v>0.99094020000000005</v>
      </c>
      <c r="AB311">
        <v>33</v>
      </c>
      <c r="AC311">
        <v>0.51670000000007099</v>
      </c>
      <c r="AD311">
        <v>-0.17513219999999899</v>
      </c>
      <c r="AE311">
        <v>-0.114100000000007</v>
      </c>
      <c r="AF311">
        <v>0.10658899055469299</v>
      </c>
      <c r="AG311">
        <v>-0.17513219999999899</v>
      </c>
      <c r="AH311">
        <v>0.46484317268747299</v>
      </c>
      <c r="AI311">
        <v>110.16449600467099</v>
      </c>
      <c r="AJ311">
        <v>77.085280467105306</v>
      </c>
      <c r="AK311">
        <v>0.50804692261489404</v>
      </c>
      <c r="AL311">
        <v>85.0286152823425</v>
      </c>
      <c r="AM311">
        <v>86.775045910450103</v>
      </c>
      <c r="AN311">
        <v>0.99999998279763902</v>
      </c>
    </row>
    <row r="312" spans="1:40" x14ac:dyDescent="0.25">
      <c r="A312" t="str">
        <f>"20190312154508696"</f>
        <v>20190312154508696</v>
      </c>
      <c r="B312" t="str">
        <f>"1552376708685975"</f>
        <v>1552376708685975</v>
      </c>
      <c r="C312" t="s">
        <v>40</v>
      </c>
      <c r="D312">
        <v>3.8294389999999998</v>
      </c>
      <c r="E312">
        <v>0.53513049999999995</v>
      </c>
      <c r="F312" t="s">
        <v>41</v>
      </c>
      <c r="G312">
        <v>-378.79689999999999</v>
      </c>
      <c r="H312">
        <v>0.94220630000000005</v>
      </c>
      <c r="I312">
        <v>367.97640000000001</v>
      </c>
      <c r="J312">
        <v>-379.291</v>
      </c>
      <c r="K312">
        <v>1.1101030000000001</v>
      </c>
      <c r="L312">
        <v>368.08510000000001</v>
      </c>
      <c r="M312">
        <v>0.99986249999999999</v>
      </c>
      <c r="N312">
        <v>0</v>
      </c>
      <c r="O312">
        <v>8.0556209999999902E-3</v>
      </c>
      <c r="P312">
        <v>0.99623980000000001</v>
      </c>
      <c r="Q312">
        <v>7.2152359999999999E-2</v>
      </c>
      <c r="R312">
        <v>-4.7964430000000002E-2</v>
      </c>
      <c r="S312">
        <v>3.0376590000000001</v>
      </c>
      <c r="T312">
        <v>-0.62501739999999995</v>
      </c>
      <c r="U312">
        <v>-0.39459230000000001</v>
      </c>
      <c r="V312">
        <v>5.5994399999999903E-2</v>
      </c>
      <c r="W312">
        <v>8.6583610000000005E-2</v>
      </c>
      <c r="X312">
        <v>0.99466969999999999</v>
      </c>
      <c r="Y312">
        <v>0.13387779999999999</v>
      </c>
      <c r="Z312">
        <v>-1.520907E-2</v>
      </c>
      <c r="AA312">
        <v>0.99088109999999996</v>
      </c>
      <c r="AB312">
        <v>33</v>
      </c>
      <c r="AC312">
        <v>0.49410000000000298</v>
      </c>
      <c r="AD312">
        <v>-0.16789670000000001</v>
      </c>
      <c r="AE312">
        <v>-0.10869999999999801</v>
      </c>
      <c r="AF312">
        <v>0.101498552894667</v>
      </c>
      <c r="AG312">
        <v>-0.16789670000000001</v>
      </c>
      <c r="AH312">
        <v>0.44427739921772502</v>
      </c>
      <c r="AI312">
        <v>110.224680586033</v>
      </c>
      <c r="AJ312">
        <v>77.131196116502906</v>
      </c>
      <c r="AK312">
        <v>0.48566826699535098</v>
      </c>
      <c r="AL312">
        <v>85.032904951288799</v>
      </c>
      <c r="AM312">
        <v>86.777965408534598</v>
      </c>
      <c r="AN312">
        <v>0.99999995322503998</v>
      </c>
    </row>
    <row r="313" spans="1:40" x14ac:dyDescent="0.25">
      <c r="A313" t="str">
        <f>"20190312154508720"</f>
        <v>20190312154508720</v>
      </c>
      <c r="B313" t="str">
        <f>"1552376708716231"</f>
        <v>1552376708716231</v>
      </c>
      <c r="C313" t="s">
        <v>40</v>
      </c>
      <c r="D313">
        <v>3.8295919999999999</v>
      </c>
      <c r="E313">
        <v>0.53569990000000001</v>
      </c>
      <c r="F313" t="s">
        <v>41</v>
      </c>
      <c r="G313">
        <v>-378.49950000000001</v>
      </c>
      <c r="H313">
        <v>0.94568569999999996</v>
      </c>
      <c r="I313">
        <v>367.98160000000001</v>
      </c>
      <c r="J313">
        <v>-378.947</v>
      </c>
      <c r="K313">
        <v>1.110112</v>
      </c>
      <c r="L313">
        <v>368.08789999999999</v>
      </c>
      <c r="M313">
        <v>0.99986249999999999</v>
      </c>
      <c r="N313">
        <v>0</v>
      </c>
      <c r="O313">
        <v>8.043896E-3</v>
      </c>
      <c r="P313">
        <v>0.99624120000000005</v>
      </c>
      <c r="Q313">
        <v>7.201805E-2</v>
      </c>
      <c r="R313">
        <v>-4.8135949999999997E-2</v>
      </c>
      <c r="S313">
        <v>3.037903</v>
      </c>
      <c r="T313">
        <v>-0.63111870000000003</v>
      </c>
      <c r="U313">
        <v>-0.39721679999999998</v>
      </c>
      <c r="V313">
        <v>5.6154280000000001E-2</v>
      </c>
      <c r="W313">
        <v>8.6447280000000001E-2</v>
      </c>
      <c r="X313">
        <v>0.99467260000000002</v>
      </c>
      <c r="Y313">
        <v>0.1346263</v>
      </c>
      <c r="Z313">
        <v>-1.542668E-2</v>
      </c>
      <c r="AA313">
        <v>0.9907764</v>
      </c>
      <c r="AB313">
        <v>33</v>
      </c>
      <c r="AC313">
        <v>0.44749999999993401</v>
      </c>
      <c r="AD313">
        <v>-0.1644263</v>
      </c>
      <c r="AE313">
        <v>-0.106299999999976</v>
      </c>
      <c r="AF313">
        <v>9.7443668681219994E-2</v>
      </c>
      <c r="AG313">
        <v>-0.1644263</v>
      </c>
      <c r="AH313">
        <v>0.39602051550510098</v>
      </c>
      <c r="AI313">
        <v>111.957860474779</v>
      </c>
      <c r="AJ313">
        <v>76.176574370025605</v>
      </c>
      <c r="AK313">
        <v>0.439731196753961</v>
      </c>
      <c r="AL313">
        <v>85.040745757030393</v>
      </c>
      <c r="AM313">
        <v>86.768794446782195</v>
      </c>
      <c r="AN313">
        <v>1.0000000082862299</v>
      </c>
    </row>
    <row r="314" spans="1:40" x14ac:dyDescent="0.25">
      <c r="A314" t="str">
        <f>"20190312154508742"</f>
        <v>20190312154508742</v>
      </c>
      <c r="B314" t="str">
        <f>"1552376708736727"</f>
        <v>1552376708736727</v>
      </c>
      <c r="C314" t="s">
        <v>40</v>
      </c>
      <c r="D314">
        <v>3.834638</v>
      </c>
      <c r="E314">
        <v>0.53616750000000002</v>
      </c>
      <c r="F314" t="s">
        <v>41</v>
      </c>
      <c r="G314">
        <v>-378.20080000000002</v>
      </c>
      <c r="H314">
        <v>0.95297290000000001</v>
      </c>
      <c r="I314">
        <v>367.98899999999998</v>
      </c>
      <c r="J314">
        <v>-378.61270000000002</v>
      </c>
      <c r="K314">
        <v>1.110115</v>
      </c>
      <c r="L314">
        <v>368.09059999999999</v>
      </c>
      <c r="M314">
        <v>0.99986269999999999</v>
      </c>
      <c r="N314">
        <v>0</v>
      </c>
      <c r="O314">
        <v>8.0321719999999902E-3</v>
      </c>
      <c r="P314">
        <v>0.99620489999999995</v>
      </c>
      <c r="Q314">
        <v>7.2378070000000003E-2</v>
      </c>
      <c r="R314">
        <v>-4.8348759999999998E-2</v>
      </c>
      <c r="S314">
        <v>3.0381770000000001</v>
      </c>
      <c r="T314">
        <v>-0.63985239999999999</v>
      </c>
      <c r="U314">
        <v>-0.40216059999999998</v>
      </c>
      <c r="V314">
        <v>5.6355139999999998E-2</v>
      </c>
      <c r="W314">
        <v>8.6804510000000001E-2</v>
      </c>
      <c r="X314">
        <v>0.99463009999999996</v>
      </c>
      <c r="Y314">
        <v>0.13607549999999999</v>
      </c>
      <c r="Z314">
        <v>-1.5780579999999999E-2</v>
      </c>
      <c r="AA314">
        <v>0.99057280000000003</v>
      </c>
      <c r="AB314">
        <v>33</v>
      </c>
      <c r="AC314">
        <v>0.41190000000000199</v>
      </c>
      <c r="AD314">
        <v>-0.15714210000000001</v>
      </c>
      <c r="AE314">
        <v>-0.101599999999962</v>
      </c>
      <c r="AF314">
        <v>9.22490482619822E-2</v>
      </c>
      <c r="AG314">
        <v>-0.15714210000000001</v>
      </c>
      <c r="AH314">
        <v>0.36147637549047801</v>
      </c>
      <c r="AI314">
        <v>112.841934347443</v>
      </c>
      <c r="AJ314">
        <v>75.683647894007393</v>
      </c>
      <c r="AK314">
        <v>0.40480698676700799</v>
      </c>
      <c r="AL314">
        <v>85.020200615549001</v>
      </c>
      <c r="AM314">
        <v>86.757123003245795</v>
      </c>
      <c r="AN314">
        <v>0.99999998029338399</v>
      </c>
    </row>
    <row r="315" spans="1:40" x14ac:dyDescent="0.25">
      <c r="A315" t="str">
        <f>"20190312154508763"</f>
        <v>20190312154508763</v>
      </c>
      <c r="B315" t="str">
        <f>"1552376708756247"</f>
        <v>1552376708756247</v>
      </c>
      <c r="C315" t="s">
        <v>40</v>
      </c>
      <c r="D315">
        <v>3.8147440000000001</v>
      </c>
      <c r="E315">
        <v>0.53646190000000005</v>
      </c>
      <c r="F315" t="s">
        <v>41</v>
      </c>
      <c r="G315">
        <v>-377.90249999999997</v>
      </c>
      <c r="H315">
        <v>0.95963379999999998</v>
      </c>
      <c r="I315">
        <v>367.99549999999999</v>
      </c>
      <c r="J315">
        <v>-378.3066</v>
      </c>
      <c r="K315">
        <v>1.110117</v>
      </c>
      <c r="L315">
        <v>368.09300000000002</v>
      </c>
      <c r="M315">
        <v>0.99986280000000005</v>
      </c>
      <c r="N315">
        <v>0</v>
      </c>
      <c r="O315">
        <v>8.0215800000000004E-3</v>
      </c>
      <c r="P315">
        <v>0.99622040000000001</v>
      </c>
      <c r="Q315">
        <v>7.2223949999999995E-2</v>
      </c>
      <c r="R315">
        <v>-4.8257469999999997E-2</v>
      </c>
      <c r="S315">
        <v>3.0384220000000002</v>
      </c>
      <c r="T315">
        <v>-0.64383089999999998</v>
      </c>
      <c r="U315">
        <v>-0.40682980000000002</v>
      </c>
      <c r="V315">
        <v>5.6253490000000003E-2</v>
      </c>
      <c r="W315">
        <v>8.664869E-2</v>
      </c>
      <c r="X315">
        <v>0.99464949999999996</v>
      </c>
      <c r="Y315">
        <v>0.13748270000000001</v>
      </c>
      <c r="Z315">
        <v>-1.6018419999999998E-2</v>
      </c>
      <c r="AA315">
        <v>0.99037459999999999</v>
      </c>
      <c r="AB315">
        <v>33</v>
      </c>
      <c r="AC315">
        <v>0.40410000000002799</v>
      </c>
      <c r="AD315">
        <v>-0.15048320000000001</v>
      </c>
      <c r="AE315">
        <v>-9.7500000000024997E-2</v>
      </c>
      <c r="AF315">
        <v>8.9066846856517196E-2</v>
      </c>
      <c r="AG315">
        <v>-0.15048320000000001</v>
      </c>
      <c r="AH315">
        <v>0.35657676139411199</v>
      </c>
      <c r="AI315">
        <v>112.266266570379</v>
      </c>
      <c r="AJ315">
        <v>75.975453858061698</v>
      </c>
      <c r="AK315">
        <v>0.39714617391776003</v>
      </c>
      <c r="AL315">
        <v>85.029162503759295</v>
      </c>
      <c r="AM315">
        <v>86.763022860928999</v>
      </c>
      <c r="AN315">
        <v>1.0000000392330699</v>
      </c>
    </row>
    <row r="316" spans="1:40" x14ac:dyDescent="0.25">
      <c r="A316" t="str">
        <f>"20190312154508786"</f>
        <v>20190312154508786</v>
      </c>
      <c r="B316" t="str">
        <f>"1552376708776743"</f>
        <v>1552376708776743</v>
      </c>
      <c r="C316" t="s">
        <v>40</v>
      </c>
      <c r="D316">
        <v>3.8685559999999999</v>
      </c>
      <c r="E316">
        <v>0.53679699999999997</v>
      </c>
      <c r="F316" t="s">
        <v>41</v>
      </c>
      <c r="G316">
        <v>-377.6071</v>
      </c>
      <c r="H316">
        <v>0.96093269999999997</v>
      </c>
      <c r="I316">
        <v>367.99869999999999</v>
      </c>
      <c r="J316">
        <v>-377.96260000000001</v>
      </c>
      <c r="K316">
        <v>1.110112</v>
      </c>
      <c r="L316">
        <v>368.0958</v>
      </c>
      <c r="M316">
        <v>0.9998629</v>
      </c>
      <c r="N316">
        <v>0</v>
      </c>
      <c r="O316">
        <v>8.0096779999999992E-3</v>
      </c>
      <c r="P316">
        <v>0.9962107</v>
      </c>
      <c r="Q316">
        <v>7.2268360000000004E-2</v>
      </c>
      <c r="R316">
        <v>-4.8388399999999998E-2</v>
      </c>
      <c r="S316">
        <v>3.0385740000000001</v>
      </c>
      <c r="T316">
        <v>-0.64811770000000002</v>
      </c>
      <c r="U316">
        <v>-0.40844730000000001</v>
      </c>
      <c r="V316">
        <v>5.6372579999999999E-2</v>
      </c>
      <c r="W316">
        <v>8.6690489999999995E-2</v>
      </c>
      <c r="X316">
        <v>0.9946391</v>
      </c>
      <c r="Y316">
        <v>0.1379312</v>
      </c>
      <c r="Z316">
        <v>-1.616602E-2</v>
      </c>
      <c r="AA316">
        <v>0.99030989999999997</v>
      </c>
      <c r="AB316">
        <v>33</v>
      </c>
      <c r="AC316">
        <v>0.35550000000000598</v>
      </c>
      <c r="AD316">
        <v>-0.14917929999999999</v>
      </c>
      <c r="AE316">
        <v>-9.7100000000011705E-2</v>
      </c>
      <c r="AF316">
        <v>8.5872942263498994E-2</v>
      </c>
      <c r="AG316">
        <v>-0.14917929999999999</v>
      </c>
      <c r="AH316">
        <v>0.304769345398401</v>
      </c>
      <c r="AI316">
        <v>115.226896035523</v>
      </c>
      <c r="AJ316">
        <v>74.264089831127507</v>
      </c>
      <c r="AK316">
        <v>0.35001854187464099</v>
      </c>
      <c r="AL316">
        <v>85.026758418503803</v>
      </c>
      <c r="AM316">
        <v>86.756150875480699</v>
      </c>
      <c r="AN316">
        <v>1.00000002404055</v>
      </c>
    </row>
    <row r="317" spans="1:40" x14ac:dyDescent="0.25">
      <c r="A317" t="str">
        <f>"20190312154508807"</f>
        <v>20190312154508807</v>
      </c>
      <c r="B317" t="str">
        <f>"1552376708796263"</f>
        <v>1552376708796263</v>
      </c>
      <c r="C317" t="s">
        <v>40</v>
      </c>
      <c r="D317">
        <v>3.8998390000000001</v>
      </c>
      <c r="E317">
        <v>0.5372884</v>
      </c>
      <c r="F317" t="s">
        <v>41</v>
      </c>
      <c r="G317">
        <v>-377.04</v>
      </c>
      <c r="H317">
        <v>0.91211339999999996</v>
      </c>
      <c r="I317">
        <v>367.97070000000002</v>
      </c>
      <c r="J317">
        <v>-377.6395</v>
      </c>
      <c r="K317">
        <v>1.110114</v>
      </c>
      <c r="L317">
        <v>368.09840000000003</v>
      </c>
      <c r="M317">
        <v>0.99986299999999995</v>
      </c>
      <c r="N317">
        <v>0</v>
      </c>
      <c r="O317">
        <v>7.9986109999999992E-3</v>
      </c>
      <c r="P317">
        <v>0.99621110000000002</v>
      </c>
      <c r="Q317">
        <v>7.2186559999999997E-2</v>
      </c>
      <c r="R317">
        <v>-4.8503669999999999E-2</v>
      </c>
      <c r="S317">
        <v>3.0387270000000002</v>
      </c>
      <c r="T317">
        <v>-0.6521882</v>
      </c>
      <c r="U317">
        <v>-0.411499</v>
      </c>
      <c r="V317">
        <v>5.6476730000000003E-2</v>
      </c>
      <c r="W317">
        <v>8.6605940000000006E-2</v>
      </c>
      <c r="X317">
        <v>0.99464050000000004</v>
      </c>
      <c r="Y317">
        <v>0.13883119999999999</v>
      </c>
      <c r="Z317">
        <v>-1.6356220000000001E-2</v>
      </c>
      <c r="AA317">
        <v>0.99018099999999998</v>
      </c>
      <c r="AB317">
        <v>33</v>
      </c>
      <c r="AC317">
        <v>0.59949999999997705</v>
      </c>
      <c r="AD317">
        <v>-0.1980006</v>
      </c>
      <c r="AE317">
        <v>-0.127700000000004</v>
      </c>
      <c r="AF317">
        <v>0.119972702986939</v>
      </c>
      <c r="AG317">
        <v>-0.1980006</v>
      </c>
      <c r="AH317">
        <v>0.54191198993629996</v>
      </c>
      <c r="AI317">
        <v>109.633166597656</v>
      </c>
      <c r="AJ317">
        <v>77.5167594014831</v>
      </c>
      <c r="AK317">
        <v>0.58929304416315098</v>
      </c>
      <c r="AL317">
        <v>85.0316207812768</v>
      </c>
      <c r="AM317">
        <v>86.750175167141407</v>
      </c>
      <c r="AN317">
        <v>0.99999996705751204</v>
      </c>
    </row>
    <row r="318" spans="1:40" x14ac:dyDescent="0.25">
      <c r="A318" t="str">
        <f>"20190312154508831"</f>
        <v>20190312154508831</v>
      </c>
      <c r="B318" t="str">
        <f>"1552376708826521"</f>
        <v>1552376708826521</v>
      </c>
      <c r="C318" t="s">
        <v>40</v>
      </c>
      <c r="D318">
        <v>3.911867</v>
      </c>
      <c r="E318">
        <v>0.53769869999999897</v>
      </c>
      <c r="F318" t="s">
        <v>41</v>
      </c>
      <c r="G318">
        <v>-376.74450000000002</v>
      </c>
      <c r="H318">
        <v>0.91664000000000001</v>
      </c>
      <c r="I318">
        <v>367.97579999999999</v>
      </c>
      <c r="J318">
        <v>-377.30459999999999</v>
      </c>
      <c r="K318">
        <v>1.11012</v>
      </c>
      <c r="L318">
        <v>368.101</v>
      </c>
      <c r="M318">
        <v>0.99986319999999995</v>
      </c>
      <c r="N318">
        <v>0</v>
      </c>
      <c r="O318">
        <v>7.9870679999999999E-3</v>
      </c>
      <c r="P318">
        <v>0.99623030000000001</v>
      </c>
      <c r="Q318">
        <v>7.1815980000000001E-2</v>
      </c>
      <c r="R318">
        <v>-4.8662259999999999E-2</v>
      </c>
      <c r="S318">
        <v>3.0387569999999999</v>
      </c>
      <c r="T318">
        <v>-0.65693269999999904</v>
      </c>
      <c r="U318">
        <v>-0.41561890000000001</v>
      </c>
      <c r="V318">
        <v>5.662379E-2</v>
      </c>
      <c r="W318">
        <v>8.6233030000000002E-2</v>
      </c>
      <c r="X318">
        <v>0.99466449999999995</v>
      </c>
      <c r="Y318">
        <v>0.14006199999999999</v>
      </c>
      <c r="Z318">
        <v>-1.659944E-2</v>
      </c>
      <c r="AA318">
        <v>0.99000359999999998</v>
      </c>
      <c r="AB318">
        <v>33</v>
      </c>
      <c r="AC318">
        <v>0.56009999999997695</v>
      </c>
      <c r="AD318">
        <v>-0.19348000000000001</v>
      </c>
      <c r="AE318">
        <v>-0.125200000000006</v>
      </c>
      <c r="AF318">
        <v>0.116437074159816</v>
      </c>
      <c r="AG318">
        <v>-0.19348000000000001</v>
      </c>
      <c r="AH318">
        <v>0.502027157994693</v>
      </c>
      <c r="AI318">
        <v>110.577736448026</v>
      </c>
      <c r="AJ318">
        <v>76.942047389214494</v>
      </c>
      <c r="AK318">
        <v>0.55047558529250595</v>
      </c>
      <c r="AL318">
        <v>85.053066993555603</v>
      </c>
      <c r="AM318">
        <v>86.741809591531194</v>
      </c>
      <c r="AN318">
        <v>0.99999992830859397</v>
      </c>
    </row>
    <row r="319" spans="1:40" x14ac:dyDescent="0.25">
      <c r="A319" t="str">
        <f>"20190312154508852"</f>
        <v>20190312154508852</v>
      </c>
      <c r="B319" t="str">
        <f>"1552376708846040"</f>
        <v>1552376708846040</v>
      </c>
      <c r="C319" t="s">
        <v>40</v>
      </c>
      <c r="D319">
        <v>3.867067</v>
      </c>
      <c r="E319">
        <v>0.53781409999999996</v>
      </c>
      <c r="F319" t="s">
        <v>41</v>
      </c>
      <c r="G319">
        <v>-376.44839999999999</v>
      </c>
      <c r="H319">
        <v>0.92337190000000002</v>
      </c>
      <c r="I319">
        <v>367.9828</v>
      </c>
      <c r="J319">
        <v>-376.98320000000001</v>
      </c>
      <c r="K319">
        <v>1.110125</v>
      </c>
      <c r="L319">
        <v>368.10359999999997</v>
      </c>
      <c r="M319">
        <v>0.99986330000000001</v>
      </c>
      <c r="N319">
        <v>0</v>
      </c>
      <c r="O319">
        <v>7.9756459999999994E-3</v>
      </c>
      <c r="P319">
        <v>0.9962105</v>
      </c>
      <c r="Q319">
        <v>7.1846370000000007E-2</v>
      </c>
      <c r="R319">
        <v>-4.901896E-2</v>
      </c>
      <c r="S319">
        <v>3.0387270000000002</v>
      </c>
      <c r="T319">
        <v>-0.66288809999999998</v>
      </c>
      <c r="U319">
        <v>-0.4190063</v>
      </c>
      <c r="V319">
        <v>5.6969209999999999E-2</v>
      </c>
      <c r="W319">
        <v>8.6260580000000003E-2</v>
      </c>
      <c r="X319">
        <v>0.99464240000000004</v>
      </c>
      <c r="Y319">
        <v>0.1410526</v>
      </c>
      <c r="Z319">
        <v>-1.6849320000000001E-2</v>
      </c>
      <c r="AA319">
        <v>0.98985869999999998</v>
      </c>
      <c r="AB319">
        <v>33</v>
      </c>
      <c r="AC319">
        <v>0.53480000000001804</v>
      </c>
      <c r="AD319">
        <v>-0.18675309999999901</v>
      </c>
      <c r="AE319">
        <v>-0.120799999999974</v>
      </c>
      <c r="AF319">
        <v>0.112060470189377</v>
      </c>
      <c r="AG319">
        <v>-0.18675309999999901</v>
      </c>
      <c r="AH319">
        <v>0.47832327667385399</v>
      </c>
      <c r="AI319">
        <v>110.81379831205599</v>
      </c>
      <c r="AJ319">
        <v>76.814674776752497</v>
      </c>
      <c r="AK319">
        <v>0.52557342621815195</v>
      </c>
      <c r="AL319">
        <v>85.051482654939207</v>
      </c>
      <c r="AM319">
        <v>86.721904311053095</v>
      </c>
      <c r="AN319">
        <v>0.99999994121385805</v>
      </c>
    </row>
    <row r="320" spans="1:40" x14ac:dyDescent="0.25">
      <c r="A320" t="str">
        <f>"20190312154509010"</f>
        <v>20190312154509010</v>
      </c>
      <c r="B320" t="str">
        <f>"1552376709006103"</f>
        <v>1552376709006103</v>
      </c>
      <c r="C320" t="s">
        <v>40</v>
      </c>
      <c r="D320">
        <v>4.0951930000000001</v>
      </c>
      <c r="E320">
        <v>0.5186714</v>
      </c>
      <c r="F320" t="s">
        <v>41</v>
      </c>
      <c r="G320">
        <v>-374.1515</v>
      </c>
      <c r="H320">
        <v>0.83597659999999996</v>
      </c>
      <c r="I320">
        <v>368.02050000000003</v>
      </c>
      <c r="J320">
        <v>-374.69760000000002</v>
      </c>
      <c r="K320">
        <v>1.1101240000000001</v>
      </c>
      <c r="L320">
        <v>368.1216</v>
      </c>
      <c r="M320">
        <v>0.99986430000000004</v>
      </c>
      <c r="N320">
        <v>0</v>
      </c>
      <c r="O320">
        <v>7.8955780000000003E-3</v>
      </c>
      <c r="P320">
        <v>0.99631119999999995</v>
      </c>
      <c r="Q320">
        <v>7.0071480000000005E-2</v>
      </c>
      <c r="R320">
        <v>-4.954211E-2</v>
      </c>
      <c r="S320">
        <v>3.0630190000000002</v>
      </c>
      <c r="T320">
        <v>-0.98676629999999999</v>
      </c>
      <c r="U320">
        <v>-0.35513309999999998</v>
      </c>
      <c r="V320">
        <v>5.7412970000000001E-2</v>
      </c>
      <c r="W320">
        <v>8.4467089999999995E-2</v>
      </c>
      <c r="X320">
        <v>0.99477090000000001</v>
      </c>
      <c r="Y320">
        <v>0.1167811</v>
      </c>
      <c r="Z320">
        <v>-2.076329E-2</v>
      </c>
      <c r="AA320">
        <v>0.99294059999999995</v>
      </c>
      <c r="AB320">
        <v>33</v>
      </c>
      <c r="AC320">
        <v>0.54610000000002401</v>
      </c>
      <c r="AD320">
        <v>-0.27414739999999899</v>
      </c>
      <c r="AE320">
        <v>-0.101099999999974</v>
      </c>
      <c r="AF320">
        <v>8.4756983362602095E-2</v>
      </c>
      <c r="AG320">
        <v>-0.27414739999999899</v>
      </c>
      <c r="AH320">
        <v>0.438450696130885</v>
      </c>
      <c r="AI320">
        <v>121.545713160877</v>
      </c>
      <c r="AJ320">
        <v>79.059093339550003</v>
      </c>
      <c r="AK320">
        <v>0.52400339320766398</v>
      </c>
      <c r="AL320">
        <v>85.154619029105106</v>
      </c>
      <c r="AM320">
        <v>86.696851813403995</v>
      </c>
      <c r="AN320">
        <v>1.00000004095204</v>
      </c>
    </row>
    <row r="321" spans="1:40" x14ac:dyDescent="0.25">
      <c r="A321" t="str">
        <f>"20190312154509031"</f>
        <v>20190312154509031</v>
      </c>
      <c r="B321" t="str">
        <f>"1552376709026599"</f>
        <v>1552376709026599</v>
      </c>
      <c r="C321" t="s">
        <v>40</v>
      </c>
      <c r="D321">
        <v>4.2172929999999997</v>
      </c>
      <c r="E321">
        <v>0.51542879999999902</v>
      </c>
      <c r="F321" t="s">
        <v>41</v>
      </c>
      <c r="G321">
        <v>-373.84280000000001</v>
      </c>
      <c r="H321">
        <v>0.88238619999999901</v>
      </c>
      <c r="I321">
        <v>368.04730000000001</v>
      </c>
      <c r="J321">
        <v>-374.37639999999999</v>
      </c>
      <c r="K321">
        <v>1.1101219999999901</v>
      </c>
      <c r="L321">
        <v>368.12419999999997</v>
      </c>
      <c r="M321">
        <v>0.99986439999999999</v>
      </c>
      <c r="N321">
        <v>0</v>
      </c>
      <c r="O321">
        <v>7.8846909999999992E-3</v>
      </c>
      <c r="P321">
        <v>0.99632209999999999</v>
      </c>
      <c r="Q321">
        <v>6.9737060000000003E-2</v>
      </c>
      <c r="R321">
        <v>-4.9790580000000001E-2</v>
      </c>
      <c r="S321">
        <v>3.055145</v>
      </c>
      <c r="T321">
        <v>-0.81392549999999997</v>
      </c>
      <c r="U321">
        <v>-0.26528930000000001</v>
      </c>
      <c r="V321">
        <v>5.7650800000000002E-2</v>
      </c>
      <c r="W321">
        <v>8.4129739999999995E-2</v>
      </c>
      <c r="X321">
        <v>0.99478569999999999</v>
      </c>
      <c r="Y321">
        <v>9.0939210000000006E-2</v>
      </c>
      <c r="Z321">
        <v>-1.3946E-2</v>
      </c>
      <c r="AA321">
        <v>0.99575880000000005</v>
      </c>
      <c r="AB321">
        <v>33</v>
      </c>
      <c r="AC321">
        <v>0.53359999999997798</v>
      </c>
      <c r="AD321">
        <v>-0.22773579999999899</v>
      </c>
      <c r="AE321">
        <v>-7.6899999999966398E-2</v>
      </c>
      <c r="AF321">
        <v>6.8824041933619295E-2</v>
      </c>
      <c r="AG321">
        <v>-0.22773579999999899</v>
      </c>
      <c r="AH321">
        <v>0.45227159393392402</v>
      </c>
      <c r="AI321">
        <v>116.464436080491</v>
      </c>
      <c r="AJ321">
        <v>81.347445365784594</v>
      </c>
      <c r="AK321">
        <v>0.51102831431267304</v>
      </c>
      <c r="AL321">
        <v>85.174016647535197</v>
      </c>
      <c r="AM321">
        <v>86.683248429691105</v>
      </c>
      <c r="AN321">
        <v>1.0000000084087901</v>
      </c>
    </row>
    <row r="322" spans="1:40" x14ac:dyDescent="0.25">
      <c r="A322" t="str">
        <f>"20190312154509053"</f>
        <v>20190312154509053</v>
      </c>
      <c r="B322" t="str">
        <f>"1552376709046120"</f>
        <v>1552376709046120</v>
      </c>
      <c r="C322" t="s">
        <v>40</v>
      </c>
      <c r="D322">
        <v>4.1748719999999997</v>
      </c>
      <c r="E322">
        <v>0.50137749999999903</v>
      </c>
      <c r="F322" t="s">
        <v>41</v>
      </c>
      <c r="G322">
        <v>-373.5419</v>
      </c>
      <c r="H322">
        <v>0.90865419999999997</v>
      </c>
      <c r="I322">
        <v>368.05739999999997</v>
      </c>
      <c r="J322">
        <v>-374.0598</v>
      </c>
      <c r="K322">
        <v>1.110114</v>
      </c>
      <c r="L322">
        <v>368.12670000000003</v>
      </c>
      <c r="M322">
        <v>0.99986439999999999</v>
      </c>
      <c r="N322">
        <v>0</v>
      </c>
      <c r="O322">
        <v>7.8738060000000006E-3</v>
      </c>
      <c r="P322">
        <v>0.99633709999999998</v>
      </c>
      <c r="Q322">
        <v>6.9254339999999998E-2</v>
      </c>
      <c r="R322">
        <v>-5.0161980000000002E-2</v>
      </c>
      <c r="S322">
        <v>3.0505369999999998</v>
      </c>
      <c r="T322">
        <v>-0.73655199999999998</v>
      </c>
      <c r="U322">
        <v>-0.2427368</v>
      </c>
      <c r="V322">
        <v>5.8011359999999998E-2</v>
      </c>
      <c r="W322">
        <v>8.3644140000000006E-2</v>
      </c>
      <c r="X322">
        <v>0.99480570000000001</v>
      </c>
      <c r="Y322">
        <v>8.4529209999999994E-2</v>
      </c>
      <c r="Z322">
        <v>-1.191672E-2</v>
      </c>
      <c r="AA322">
        <v>0.99634979999999995</v>
      </c>
      <c r="AB322">
        <v>32</v>
      </c>
      <c r="AC322">
        <v>0.51789999999999703</v>
      </c>
      <c r="AD322">
        <v>-0.20145979999999999</v>
      </c>
      <c r="AE322">
        <v>-6.9300000000055206E-2</v>
      </c>
      <c r="AF322">
        <v>6.3880069632475001E-2</v>
      </c>
      <c r="AG322">
        <v>-0.20145979999999999</v>
      </c>
      <c r="AH322">
        <v>0.45038632828780401</v>
      </c>
      <c r="AI322">
        <v>113.887212170333</v>
      </c>
      <c r="AJ322">
        <v>81.927358288437802</v>
      </c>
      <c r="AK322">
        <v>0.49750835070464899</v>
      </c>
      <c r="AL322">
        <v>85.201937950380795</v>
      </c>
      <c r="AM322">
        <v>86.662618471861606</v>
      </c>
      <c r="AN322">
        <v>1.0000000203989301</v>
      </c>
    </row>
    <row r="323" spans="1:40" x14ac:dyDescent="0.25">
      <c r="A323" t="str">
        <f>"20190312154509076"</f>
        <v>20190312154509076</v>
      </c>
      <c r="B323" t="str">
        <f>"1552376709066624"</f>
        <v>1552376709066624</v>
      </c>
      <c r="C323" t="s">
        <v>40</v>
      </c>
      <c r="D323">
        <v>4.163748</v>
      </c>
      <c r="E323">
        <v>0.50079879999999999</v>
      </c>
      <c r="F323" t="s">
        <v>42</v>
      </c>
      <c r="G323">
        <v>-352.48039999999997</v>
      </c>
      <c r="H323" s="1">
        <v>-3.6628520000000001E-6</v>
      </c>
      <c r="I323">
        <v>367.05329999999998</v>
      </c>
      <c r="J323">
        <v>-373.7362</v>
      </c>
      <c r="K323">
        <v>1.1101129999999999</v>
      </c>
      <c r="L323">
        <v>368.12920000000003</v>
      </c>
      <c r="M323">
        <v>0.9998648</v>
      </c>
      <c r="N323">
        <v>0</v>
      </c>
      <c r="O323">
        <v>7.8622099999999997E-3</v>
      </c>
      <c r="P323">
        <v>0.99633850000000002</v>
      </c>
      <c r="Q323">
        <v>6.8843420000000002E-2</v>
      </c>
      <c r="R323">
        <v>-5.0701209999999997E-2</v>
      </c>
      <c r="S323">
        <v>3.0142820000000001</v>
      </c>
      <c r="T323">
        <v>-0.15506400000000001</v>
      </c>
      <c r="U323">
        <v>-0.14993290000000001</v>
      </c>
      <c r="V323">
        <v>5.8539019999999997E-2</v>
      </c>
      <c r="W323">
        <v>8.3229769999999995E-2</v>
      </c>
      <c r="X323">
        <v>0.99480950000000001</v>
      </c>
      <c r="Y323">
        <v>5.7445040000000003E-2</v>
      </c>
      <c r="Z323">
        <v>-1.879688E-3</v>
      </c>
      <c r="AA323">
        <v>0.99834690000000004</v>
      </c>
      <c r="AB323">
        <v>32</v>
      </c>
      <c r="AC323">
        <v>21.255800000000001</v>
      </c>
      <c r="AD323">
        <v>-1.1101166628519901</v>
      </c>
      <c r="AE323">
        <v>-1.07590000000004</v>
      </c>
      <c r="AF323">
        <v>1.23962914863805</v>
      </c>
      <c r="AG323">
        <v>-1.1101166628519901</v>
      </c>
      <c r="AH323">
        <v>21.189035326449002</v>
      </c>
      <c r="AI323">
        <v>92.993936539989505</v>
      </c>
      <c r="AJ323">
        <v>86.651822430923204</v>
      </c>
      <c r="AK323">
        <v>21.254276216724001</v>
      </c>
      <c r="AL323">
        <v>85.225762467041804</v>
      </c>
      <c r="AM323">
        <v>86.632344688390802</v>
      </c>
      <c r="AN323">
        <v>0.999999976383531</v>
      </c>
    </row>
    <row r="324" spans="1:40" x14ac:dyDescent="0.25">
      <c r="A324" t="str">
        <f>"20190312154509098"</f>
        <v>20190312154509098</v>
      </c>
      <c r="B324" t="str">
        <f>"1552376709086136"</f>
        <v>1552376709086136</v>
      </c>
      <c r="C324" t="s">
        <v>40</v>
      </c>
      <c r="D324">
        <v>4.1937030000000002</v>
      </c>
      <c r="E324">
        <v>0.5008861</v>
      </c>
      <c r="F324" t="s">
        <v>42</v>
      </c>
      <c r="G324">
        <v>-342.45429999999999</v>
      </c>
      <c r="H324" s="1">
        <v>-4.0845989999999996E-6</v>
      </c>
      <c r="I324">
        <v>366.58789999999999</v>
      </c>
      <c r="J324">
        <v>-373.40969999999999</v>
      </c>
      <c r="K324">
        <v>1.1101160000000001</v>
      </c>
      <c r="L324">
        <v>368.13170000000002</v>
      </c>
      <c r="M324">
        <v>0.9998648</v>
      </c>
      <c r="N324">
        <v>0</v>
      </c>
      <c r="O324">
        <v>7.8506749999999997E-3</v>
      </c>
      <c r="P324">
        <v>0.99635609999999997</v>
      </c>
      <c r="Q324">
        <v>6.8374399999999905E-2</v>
      </c>
      <c r="R324">
        <v>-5.0987409999999997E-2</v>
      </c>
      <c r="S324">
        <v>3.0108640000000002</v>
      </c>
      <c r="T324">
        <v>-0.1068479</v>
      </c>
      <c r="U324">
        <v>-0.148345899999999</v>
      </c>
      <c r="V324">
        <v>5.8813810000000001E-2</v>
      </c>
      <c r="W324">
        <v>8.2757910000000004E-2</v>
      </c>
      <c r="X324">
        <v>0.99483270000000001</v>
      </c>
      <c r="Y324">
        <v>5.701026E-2</v>
      </c>
      <c r="Z324">
        <v>-1.289028E-3</v>
      </c>
      <c r="AA324">
        <v>0.9983727</v>
      </c>
      <c r="AB324">
        <v>32</v>
      </c>
      <c r="AC324">
        <v>30.955400000000001</v>
      </c>
      <c r="AD324">
        <v>-1.11012008459899</v>
      </c>
      <c r="AE324">
        <v>-1.54380000000003</v>
      </c>
      <c r="AF324">
        <v>1.7845092458542999</v>
      </c>
      <c r="AG324">
        <v>-1.11012008459899</v>
      </c>
      <c r="AH324">
        <v>30.9026800780555</v>
      </c>
      <c r="AI324">
        <v>92.053938613041197</v>
      </c>
      <c r="AJ324">
        <v>86.695062502368899</v>
      </c>
      <c r="AK324">
        <v>30.974061339408099</v>
      </c>
      <c r="AL324">
        <v>85.252891848666707</v>
      </c>
      <c r="AM324">
        <v>86.616651822395795</v>
      </c>
      <c r="AN324">
        <v>1.0000000184517801</v>
      </c>
    </row>
    <row r="325" spans="1:40" x14ac:dyDescent="0.25">
      <c r="A325" t="str">
        <f>"20190312154509121"</f>
        <v>20190312154509121</v>
      </c>
      <c r="B325" t="str">
        <f>"1552376709116392"</f>
        <v>1552376709116392</v>
      </c>
      <c r="C325" t="s">
        <v>40</v>
      </c>
      <c r="D325">
        <v>4.2113329999999998</v>
      </c>
      <c r="E325">
        <v>0.50068579999999996</v>
      </c>
      <c r="F325" t="s">
        <v>42</v>
      </c>
      <c r="G325">
        <v>-331.63659999999999</v>
      </c>
      <c r="H325" s="1">
        <v>-4.2054389999999996E-6</v>
      </c>
      <c r="I325">
        <v>366.03519999999997</v>
      </c>
      <c r="J325">
        <v>-373.08699999999999</v>
      </c>
      <c r="K325">
        <v>1.110117</v>
      </c>
      <c r="L325">
        <v>368.1343</v>
      </c>
      <c r="M325">
        <v>0.99986489999999995</v>
      </c>
      <c r="N325">
        <v>0</v>
      </c>
      <c r="O325">
        <v>7.8396100000000003E-3</v>
      </c>
      <c r="P325">
        <v>0.99636630000000004</v>
      </c>
      <c r="Q325">
        <v>6.7896079999999998E-2</v>
      </c>
      <c r="R325">
        <v>-5.1429139999999998E-2</v>
      </c>
      <c r="S325">
        <v>3.0087890000000002</v>
      </c>
      <c r="T325">
        <v>-7.9958440000000006E-2</v>
      </c>
      <c r="U325">
        <v>-0.151001</v>
      </c>
      <c r="V325">
        <v>5.9244369999999998E-2</v>
      </c>
      <c r="W325">
        <v>8.2276520000000006E-2</v>
      </c>
      <c r="X325">
        <v>0.99484709999999998</v>
      </c>
      <c r="Y325">
        <v>5.7929420000000002E-2</v>
      </c>
      <c r="Z325">
        <v>-9.7731630000000009E-4</v>
      </c>
      <c r="AA325">
        <v>0.99832019999999999</v>
      </c>
      <c r="AB325">
        <v>32</v>
      </c>
      <c r="AC325">
        <v>41.450400000000002</v>
      </c>
      <c r="AD325">
        <v>-1.1101212054389999</v>
      </c>
      <c r="AE325">
        <v>-2.0991000000000199</v>
      </c>
      <c r="AF325">
        <v>2.4222913737419298</v>
      </c>
      <c r="AG325">
        <v>-1.1101212054389999</v>
      </c>
      <c r="AH325">
        <v>41.403046866302397</v>
      </c>
      <c r="AI325">
        <v>91.533257327680502</v>
      </c>
      <c r="AJ325">
        <v>86.651718698207304</v>
      </c>
      <c r="AK325">
        <v>41.488699116787203</v>
      </c>
      <c r="AL325">
        <v>85.280567935419498</v>
      </c>
      <c r="AM325">
        <v>86.591990628819403</v>
      </c>
      <c r="AN325">
        <v>1.0000000367491999</v>
      </c>
    </row>
    <row r="326" spans="1:40" x14ac:dyDescent="0.25">
      <c r="A326" t="str">
        <f>"20190312154509145"</f>
        <v>20190312154509145</v>
      </c>
      <c r="B326" t="str">
        <f>"1552376709135912"</f>
        <v>1552376709135912</v>
      </c>
      <c r="C326" t="s">
        <v>40</v>
      </c>
      <c r="D326">
        <v>4.2450020000000004</v>
      </c>
      <c r="E326">
        <v>0.5007857</v>
      </c>
      <c r="F326" t="s">
        <v>42</v>
      </c>
      <c r="G326">
        <v>-324.88720000000001</v>
      </c>
      <c r="H326" s="1">
        <v>-2.86825E-6</v>
      </c>
      <c r="I326">
        <v>365.71210000000002</v>
      </c>
      <c r="J326">
        <v>-372.74619999999999</v>
      </c>
      <c r="K326">
        <v>1.1101209999999999</v>
      </c>
      <c r="L326">
        <v>368.13690000000003</v>
      </c>
      <c r="M326">
        <v>0.99986509999999995</v>
      </c>
      <c r="N326">
        <v>0</v>
      </c>
      <c r="O326">
        <v>7.8280709999999903E-3</v>
      </c>
      <c r="P326">
        <v>0.99630549999999996</v>
      </c>
      <c r="Q326">
        <v>6.8566749999999996E-2</v>
      </c>
      <c r="R326">
        <v>-5.1711859999999998E-2</v>
      </c>
      <c r="S326">
        <v>3.0079039999999999</v>
      </c>
      <c r="T326">
        <v>-6.9276809999999994E-2</v>
      </c>
      <c r="U326">
        <v>-0.1511536</v>
      </c>
      <c r="V326">
        <v>5.9515249999999999E-2</v>
      </c>
      <c r="W326">
        <v>8.2942760000000004E-2</v>
      </c>
      <c r="X326">
        <v>0.99477559999999998</v>
      </c>
      <c r="Y326">
        <v>5.7988860000000003E-2</v>
      </c>
      <c r="Z326">
        <v>-8.4745999999999997E-4</v>
      </c>
      <c r="AA326">
        <v>0.99831689999999995</v>
      </c>
      <c r="AB326">
        <v>32</v>
      </c>
      <c r="AC326">
        <v>47.858999999999902</v>
      </c>
      <c r="AD326">
        <v>-1.1101238682500001</v>
      </c>
      <c r="AE326">
        <v>-2.4247999999999998</v>
      </c>
      <c r="AF326">
        <v>2.7979068672432699</v>
      </c>
      <c r="AG326">
        <v>-1.1101238682500001</v>
      </c>
      <c r="AH326">
        <v>47.812890373732898</v>
      </c>
      <c r="AI326">
        <v>91.327788808853995</v>
      </c>
      <c r="AJ326">
        <v>86.650994207126701</v>
      </c>
      <c r="AK326">
        <v>47.907547878504701</v>
      </c>
      <c r="AL326">
        <v>85.242264243028799</v>
      </c>
      <c r="AM326">
        <v>86.576199856462296</v>
      </c>
      <c r="AN326">
        <v>1.0000000303871599</v>
      </c>
    </row>
    <row r="327" spans="1:40" x14ac:dyDescent="0.25">
      <c r="A327" t="str">
        <f>"20190312154509168"</f>
        <v>20190312154509168</v>
      </c>
      <c r="B327" t="str">
        <f>"1552376709156408"</f>
        <v>1552376709156408</v>
      </c>
      <c r="C327" t="s">
        <v>40</v>
      </c>
      <c r="D327">
        <v>4.2814300000000003</v>
      </c>
      <c r="E327">
        <v>0.50072709999999998</v>
      </c>
      <c r="F327" t="s">
        <v>43</v>
      </c>
      <c r="G327">
        <v>-315.56819999999999</v>
      </c>
      <c r="H327">
        <v>-0.05</v>
      </c>
      <c r="I327">
        <v>365.22890000000001</v>
      </c>
      <c r="J327">
        <v>-372.41210000000001</v>
      </c>
      <c r="K327">
        <v>1.1101190000000001</v>
      </c>
      <c r="L327">
        <v>368.1395</v>
      </c>
      <c r="M327">
        <v>0.99986509999999995</v>
      </c>
      <c r="N327">
        <v>0</v>
      </c>
      <c r="O327">
        <v>7.8164759999999993E-3</v>
      </c>
      <c r="P327">
        <v>0.99625090000000005</v>
      </c>
      <c r="Q327">
        <v>6.922913E-2</v>
      </c>
      <c r="R327">
        <v>-5.1880679999999998E-2</v>
      </c>
      <c r="S327">
        <v>3.0074160000000001</v>
      </c>
      <c r="T327">
        <v>-6.1019299999999999E-2</v>
      </c>
      <c r="U327">
        <v>-0.15295410000000001</v>
      </c>
      <c r="V327">
        <v>5.9672200000000002E-2</v>
      </c>
      <c r="W327">
        <v>8.3600889999999997E-2</v>
      </c>
      <c r="X327">
        <v>0.99471109999999896</v>
      </c>
      <c r="Y327">
        <v>5.8585350000000001E-2</v>
      </c>
      <c r="Z327">
        <v>-7.5239000000000002E-4</v>
      </c>
      <c r="AA327">
        <v>0.99828209999999995</v>
      </c>
      <c r="AB327">
        <v>32</v>
      </c>
      <c r="AC327">
        <v>56.843899999999998</v>
      </c>
      <c r="AD327">
        <v>-1.1601189999999999</v>
      </c>
      <c r="AE327">
        <v>-2.9105999999999801</v>
      </c>
      <c r="AF327">
        <v>3.3534832686817602</v>
      </c>
      <c r="AG327">
        <v>-1.1601189999999999</v>
      </c>
      <c r="AH327">
        <v>56.795815284056999</v>
      </c>
      <c r="AI327">
        <v>91.168134739880202</v>
      </c>
      <c r="AJ327">
        <v>86.620919707899304</v>
      </c>
      <c r="AK327">
        <v>56.906558144982</v>
      </c>
      <c r="AL327">
        <v>85.204424731299795</v>
      </c>
      <c r="AM327">
        <v>86.566970321487204</v>
      </c>
      <c r="AN327">
        <v>1.00000002636242</v>
      </c>
    </row>
    <row r="328" spans="1:40" x14ac:dyDescent="0.25">
      <c r="A328" t="str">
        <f>"20190312154509188"</f>
        <v>20190312154509188</v>
      </c>
      <c r="B328" t="str">
        <f>"1552376709186664"</f>
        <v>1552376709186664</v>
      </c>
      <c r="C328" t="s">
        <v>40</v>
      </c>
      <c r="D328">
        <v>4.2840769999999999</v>
      </c>
      <c r="E328">
        <v>0.5006292</v>
      </c>
      <c r="F328" t="s">
        <v>43</v>
      </c>
      <c r="G328">
        <v>-306.68060000000003</v>
      </c>
      <c r="H328">
        <v>-0.05</v>
      </c>
      <c r="I328">
        <v>364.78739999999999</v>
      </c>
      <c r="J328">
        <v>-372.11250000000001</v>
      </c>
      <c r="K328">
        <v>1.110125</v>
      </c>
      <c r="L328">
        <v>368.14179999999999</v>
      </c>
      <c r="M328">
        <v>0.99986540000000002</v>
      </c>
      <c r="N328">
        <v>0</v>
      </c>
      <c r="O328">
        <v>7.8054179999999997E-3</v>
      </c>
      <c r="P328">
        <v>0.99623450000000002</v>
      </c>
      <c r="Q328">
        <v>6.9604009999999994E-2</v>
      </c>
      <c r="R328">
        <v>-5.1696029999999997E-2</v>
      </c>
      <c r="S328">
        <v>3.0069889999999999</v>
      </c>
      <c r="T328">
        <v>-5.3071380000000001E-2</v>
      </c>
      <c r="U328">
        <v>-0.15335079999999901</v>
      </c>
      <c r="V328">
        <v>5.9476269999999998E-2</v>
      </c>
      <c r="W328">
        <v>8.3972480000000002E-2</v>
      </c>
      <c r="X328">
        <v>0.99469149999999995</v>
      </c>
      <c r="Y328">
        <v>5.8716169999999998E-2</v>
      </c>
      <c r="Z328">
        <v>-6.5545479999999895E-4</v>
      </c>
      <c r="AA328">
        <v>0.99827449999999995</v>
      </c>
      <c r="AB328">
        <v>32</v>
      </c>
      <c r="AC328">
        <v>65.431899999999899</v>
      </c>
      <c r="AD328">
        <v>-1.1601250000000001</v>
      </c>
      <c r="AE328">
        <v>-3.3543999999999898</v>
      </c>
      <c r="AF328">
        <v>3.8638628447568899</v>
      </c>
      <c r="AG328">
        <v>-1.1601250000000001</v>
      </c>
      <c r="AH328">
        <v>65.383220984369203</v>
      </c>
      <c r="AI328">
        <v>91.014749098372207</v>
      </c>
      <c r="AJ328">
        <v>86.618002946084204</v>
      </c>
      <c r="AK328">
        <v>65.507563779990903</v>
      </c>
      <c r="AL328">
        <v>85.1830588999496</v>
      </c>
      <c r="AM328">
        <v>86.5781483713548</v>
      </c>
      <c r="AN328">
        <v>0.99999999213135604</v>
      </c>
    </row>
    <row r="329" spans="1:40" x14ac:dyDescent="0.25">
      <c r="A329" t="str">
        <f>"20190312154509211"</f>
        <v>20190312154509211</v>
      </c>
      <c r="B329" t="str">
        <f>"1552376709196424"</f>
        <v>1552376709196424</v>
      </c>
      <c r="C329" t="s">
        <v>40</v>
      </c>
      <c r="D329">
        <v>4.3107280000000001</v>
      </c>
      <c r="E329">
        <v>0.50032959999999904</v>
      </c>
      <c r="F329" t="s">
        <v>43</v>
      </c>
      <c r="G329">
        <v>-297.92290000000003</v>
      </c>
      <c r="H329">
        <v>-0.05</v>
      </c>
      <c r="I329">
        <v>364.39109999999999</v>
      </c>
      <c r="J329">
        <v>-371.79930000000002</v>
      </c>
      <c r="K329">
        <v>1.110128</v>
      </c>
      <c r="L329">
        <v>368.14429999999999</v>
      </c>
      <c r="M329">
        <v>0.99986540000000002</v>
      </c>
      <c r="N329">
        <v>0</v>
      </c>
      <c r="O329">
        <v>7.7945359999999899E-3</v>
      </c>
      <c r="P329">
        <v>0.99622129999999998</v>
      </c>
      <c r="Q329">
        <v>6.9802900000000001E-2</v>
      </c>
      <c r="R329">
        <v>-5.1679120000000002E-2</v>
      </c>
      <c r="S329">
        <v>3.0067140000000001</v>
      </c>
      <c r="T329">
        <v>-4.7016860000000001E-2</v>
      </c>
      <c r="U329">
        <v>-0.15200810000000001</v>
      </c>
      <c r="V329">
        <v>5.9448559999999998E-2</v>
      </c>
      <c r="W329">
        <v>8.416775E-2</v>
      </c>
      <c r="X329">
        <v>0.99467660000000002</v>
      </c>
      <c r="Y329">
        <v>5.826754E-2</v>
      </c>
      <c r="Z329">
        <v>-5.770727E-4</v>
      </c>
      <c r="AA329">
        <v>0.99830090000000005</v>
      </c>
      <c r="AB329">
        <v>32</v>
      </c>
      <c r="AC329">
        <v>73.876399999999904</v>
      </c>
      <c r="AD329">
        <v>-1.160128</v>
      </c>
      <c r="AE329">
        <v>-3.7531999999999899</v>
      </c>
      <c r="AF329">
        <v>4.3279137064465001</v>
      </c>
      <c r="AG329">
        <v>-1.160128</v>
      </c>
      <c r="AH329">
        <v>73.826738713146099</v>
      </c>
      <c r="AI329">
        <v>90.898740402159405</v>
      </c>
      <c r="AJ329">
        <v>86.645013469736895</v>
      </c>
      <c r="AK329">
        <v>73.962585697404904</v>
      </c>
      <c r="AL329">
        <v>85.171830752184306</v>
      </c>
      <c r="AM329">
        <v>86.579687713824995</v>
      </c>
      <c r="AN329">
        <v>0.999999940006846</v>
      </c>
    </row>
    <row r="330" spans="1:40" x14ac:dyDescent="0.25">
      <c r="A330" t="str">
        <f>"20190312154509232"</f>
        <v>20190312154509232</v>
      </c>
      <c r="B330" t="str">
        <f>"1552376709226680"</f>
        <v>1552376709226680</v>
      </c>
      <c r="C330" t="s">
        <v>40</v>
      </c>
      <c r="D330">
        <v>4.3110629999999999</v>
      </c>
      <c r="E330">
        <v>0.4995889</v>
      </c>
      <c r="F330" t="s">
        <v>43</v>
      </c>
      <c r="G330">
        <v>-294.25940000000003</v>
      </c>
      <c r="H330">
        <v>-0.05</v>
      </c>
      <c r="I330">
        <v>364.29039999999998</v>
      </c>
      <c r="J330">
        <v>-371.48360000000002</v>
      </c>
      <c r="K330">
        <v>1.1101299999999901</v>
      </c>
      <c r="L330">
        <v>368.14670000000001</v>
      </c>
      <c r="M330">
        <v>0.99986569999999997</v>
      </c>
      <c r="N330">
        <v>0</v>
      </c>
      <c r="O330">
        <v>7.783473E-3</v>
      </c>
      <c r="P330">
        <v>0.99623439999999996</v>
      </c>
      <c r="Q330">
        <v>6.9683090000000003E-2</v>
      </c>
      <c r="R330">
        <v>-5.1591970000000001E-2</v>
      </c>
      <c r="S330">
        <v>3.0068049999999999</v>
      </c>
      <c r="T330">
        <v>-4.498684E-2</v>
      </c>
      <c r="U330">
        <v>-0.14944460000000001</v>
      </c>
      <c r="V330">
        <v>5.93505E-2</v>
      </c>
      <c r="W330">
        <v>8.4044209999999994E-2</v>
      </c>
      <c r="X330">
        <v>0.99469300000000005</v>
      </c>
      <c r="Y330">
        <v>5.7406749999999999E-2</v>
      </c>
      <c r="Z330">
        <v>-5.4555399999999996E-4</v>
      </c>
      <c r="AA330">
        <v>0.99835070000000004</v>
      </c>
      <c r="AB330">
        <v>32</v>
      </c>
      <c r="AC330">
        <v>77.224199999999996</v>
      </c>
      <c r="AD330">
        <v>-1.1601300000000001</v>
      </c>
      <c r="AE330">
        <v>-3.8563000000000298</v>
      </c>
      <c r="AF330">
        <v>4.4563149281682897</v>
      </c>
      <c r="AG330">
        <v>-1.1601300000000001</v>
      </c>
      <c r="AH330">
        <v>77.174467786147105</v>
      </c>
      <c r="AI330">
        <v>90.859805493533898</v>
      </c>
      <c r="AJ330">
        <v>86.695217585533399</v>
      </c>
      <c r="AK330">
        <v>77.311726939908496</v>
      </c>
      <c r="AL330">
        <v>85.178934714136801</v>
      </c>
      <c r="AM330">
        <v>86.585372301616502</v>
      </c>
      <c r="AN330">
        <v>1.0000000376668801</v>
      </c>
    </row>
    <row r="331" spans="1:40" x14ac:dyDescent="0.25">
      <c r="A331" t="str">
        <f>"20190312154509255"</f>
        <v>20190312154509255</v>
      </c>
      <c r="B331" t="str">
        <f>"1552376709246203"</f>
        <v>1552376709246203</v>
      </c>
      <c r="C331" t="s">
        <v>40</v>
      </c>
      <c r="D331">
        <v>4.3366850000000001</v>
      </c>
      <c r="E331">
        <v>0.49916319999999997</v>
      </c>
      <c r="F331" t="s">
        <v>43</v>
      </c>
      <c r="G331">
        <v>-289.63299999999998</v>
      </c>
      <c r="H331">
        <v>-0.05</v>
      </c>
      <c r="I331">
        <v>364.23989999999998</v>
      </c>
      <c r="J331">
        <v>-371.14909999999998</v>
      </c>
      <c r="K331">
        <v>1.110134</v>
      </c>
      <c r="L331">
        <v>368.14940000000001</v>
      </c>
      <c r="M331">
        <v>0.99986569999999997</v>
      </c>
      <c r="N331">
        <v>0</v>
      </c>
      <c r="O331">
        <v>7.7722299999999998E-3</v>
      </c>
      <c r="P331">
        <v>0.99618010000000001</v>
      </c>
      <c r="Q331">
        <v>7.0365469999999999E-2</v>
      </c>
      <c r="R331">
        <v>-5.1712040000000001E-2</v>
      </c>
      <c r="S331">
        <v>3.0069270000000001</v>
      </c>
      <c r="T331">
        <v>-4.261947E-2</v>
      </c>
      <c r="U331">
        <v>-0.14352419999999999</v>
      </c>
      <c r="V331">
        <v>5.945893E-2</v>
      </c>
      <c r="W331">
        <v>8.4722710000000007E-2</v>
      </c>
      <c r="X331">
        <v>0.99462890000000004</v>
      </c>
      <c r="Y331">
        <v>5.5433320000000001E-2</v>
      </c>
      <c r="Z331">
        <v>-5.0271539999999996E-4</v>
      </c>
      <c r="AA331">
        <v>0.99846230000000002</v>
      </c>
      <c r="AB331">
        <v>32</v>
      </c>
      <c r="AC331">
        <v>81.516099999999994</v>
      </c>
      <c r="AD331">
        <v>-1.160134</v>
      </c>
      <c r="AE331">
        <v>-3.9095000000000302</v>
      </c>
      <c r="AF331">
        <v>4.5420918421740799</v>
      </c>
      <c r="AG331">
        <v>-1.160134</v>
      </c>
      <c r="AH331">
        <v>81.466785533138193</v>
      </c>
      <c r="AI331">
        <v>90.814604843305702</v>
      </c>
      <c r="AJ331">
        <v>86.808840091559702</v>
      </c>
      <c r="AK331">
        <v>81.601554239506001</v>
      </c>
      <c r="AL331">
        <v>85.139920074485801</v>
      </c>
      <c r="AM331">
        <v>86.578928834407094</v>
      </c>
      <c r="AN331">
        <v>0.99999997533084894</v>
      </c>
    </row>
    <row r="332" spans="1:40" x14ac:dyDescent="0.25">
      <c r="A332" t="str">
        <f>"20190312154509277"</f>
        <v>20190312154509277</v>
      </c>
      <c r="B332" t="str">
        <f>"1552376709266696"</f>
        <v>1552376709266696</v>
      </c>
      <c r="C332" t="s">
        <v>40</v>
      </c>
      <c r="D332">
        <v>4.3267889999999998</v>
      </c>
      <c r="E332">
        <v>0.49899710000000003</v>
      </c>
      <c r="F332" t="s">
        <v>43</v>
      </c>
      <c r="G332">
        <v>-285.53480000000002</v>
      </c>
      <c r="H332">
        <v>-0.05</v>
      </c>
      <c r="I332">
        <v>364.1499</v>
      </c>
      <c r="J332">
        <v>-370.83780000000002</v>
      </c>
      <c r="K332">
        <v>1.1101399999999999</v>
      </c>
      <c r="L332">
        <v>368.15179999999998</v>
      </c>
      <c r="M332">
        <v>0.99986580000000003</v>
      </c>
      <c r="N332">
        <v>0</v>
      </c>
      <c r="O332">
        <v>7.7618819999999899E-3</v>
      </c>
      <c r="P332">
        <v>0.99616890000000002</v>
      </c>
      <c r="Q332">
        <v>7.0375729999999997E-2</v>
      </c>
      <c r="R332">
        <v>-5.1913550000000003E-2</v>
      </c>
      <c r="S332">
        <v>3.00705</v>
      </c>
      <c r="T332">
        <v>-4.0747640000000002E-2</v>
      </c>
      <c r="U332">
        <v>-0.1404724</v>
      </c>
      <c r="V332">
        <v>5.965003E-2</v>
      </c>
      <c r="W332">
        <v>8.4729830000000006E-2</v>
      </c>
      <c r="X332">
        <v>0.99461690000000003</v>
      </c>
      <c r="Y332">
        <v>5.4410609999999998E-2</v>
      </c>
      <c r="Z332">
        <v>-4.7356509999999999E-4</v>
      </c>
      <c r="AA332">
        <v>0.99851849999999998</v>
      </c>
      <c r="AB332">
        <v>32</v>
      </c>
      <c r="AC332">
        <v>85.302999999999997</v>
      </c>
      <c r="AD332">
        <v>-1.1601399999999999</v>
      </c>
      <c r="AE332">
        <v>-4.0018999999999698</v>
      </c>
      <c r="AF332">
        <v>4.6630995363313499</v>
      </c>
      <c r="AG332">
        <v>-1.1601399999999999</v>
      </c>
      <c r="AH332">
        <v>85.253629897577099</v>
      </c>
      <c r="AI332">
        <v>90.778475144261506</v>
      </c>
      <c r="AJ332">
        <v>86.869224685219606</v>
      </c>
      <c r="AK332">
        <v>85.388944441411098</v>
      </c>
      <c r="AL332">
        <v>85.139510893336606</v>
      </c>
      <c r="AM332">
        <v>86.567918501165494</v>
      </c>
      <c r="AN332">
        <v>1.0000000239682101</v>
      </c>
    </row>
    <row r="333" spans="1:40" x14ac:dyDescent="0.25">
      <c r="A333" t="str">
        <f>"20190312154509300"</f>
        <v>20190312154509300</v>
      </c>
      <c r="B333" t="str">
        <f>"1552376709295976"</f>
        <v>1552376709295976</v>
      </c>
      <c r="C333" t="s">
        <v>40</v>
      </c>
      <c r="D333">
        <v>4.3508040000000001</v>
      </c>
      <c r="E333">
        <v>0.4989365</v>
      </c>
      <c r="F333" t="s">
        <v>43</v>
      </c>
      <c r="G333">
        <v>-289.70080000000002</v>
      </c>
      <c r="H333">
        <v>-0.05</v>
      </c>
      <c r="I333">
        <v>364.38490000000002</v>
      </c>
      <c r="J333">
        <v>-370.51080000000002</v>
      </c>
      <c r="K333">
        <v>1.1101449999999999</v>
      </c>
      <c r="L333">
        <v>368.15429999999998</v>
      </c>
      <c r="M333">
        <v>0.99986609999999998</v>
      </c>
      <c r="N333">
        <v>0</v>
      </c>
      <c r="O333">
        <v>7.7499930000000002E-3</v>
      </c>
      <c r="P333">
        <v>0.99614639999999999</v>
      </c>
      <c r="Q333">
        <v>7.0793140000000004E-2</v>
      </c>
      <c r="R333">
        <v>-5.177723E-2</v>
      </c>
      <c r="S333">
        <v>3.0072939999999999</v>
      </c>
      <c r="T333">
        <v>-4.2999860000000001E-2</v>
      </c>
      <c r="U333">
        <v>-0.13961789999999999</v>
      </c>
      <c r="V333">
        <v>5.9501720000000001E-2</v>
      </c>
      <c r="W333">
        <v>8.5143189999999994E-2</v>
      </c>
      <c r="X333">
        <v>0.99459050000000004</v>
      </c>
      <c r="Y333">
        <v>5.4111230000000003E-2</v>
      </c>
      <c r="Z333">
        <v>-4.9739119999999998E-4</v>
      </c>
      <c r="AA333">
        <v>0.99853479999999994</v>
      </c>
      <c r="AB333">
        <v>32</v>
      </c>
      <c r="AC333">
        <v>80.81</v>
      </c>
      <c r="AD333">
        <v>-1.160145</v>
      </c>
      <c r="AE333">
        <v>-3.7693999999999601</v>
      </c>
      <c r="AF333">
        <v>4.3947249442996599</v>
      </c>
      <c r="AG333">
        <v>-1.160145</v>
      </c>
      <c r="AH333">
        <v>80.761747296422698</v>
      </c>
      <c r="AI333">
        <v>90.821783417806898</v>
      </c>
      <c r="AJ333">
        <v>86.885269240634102</v>
      </c>
      <c r="AK333">
        <v>80.889550438411504</v>
      </c>
      <c r="AL333">
        <v>85.115741294311903</v>
      </c>
      <c r="AM333">
        <v>86.576340828284501</v>
      </c>
      <c r="AN333">
        <v>1.00000004008829</v>
      </c>
    </row>
    <row r="334" spans="1:40" x14ac:dyDescent="0.25">
      <c r="A334" t="str">
        <f>"20190312154509334"</f>
        <v>20190312154509334</v>
      </c>
      <c r="B334" t="str">
        <f>"1552376709326232"</f>
        <v>1552376709326232</v>
      </c>
      <c r="C334" t="s">
        <v>40</v>
      </c>
      <c r="D334">
        <v>4.3791260000000003</v>
      </c>
      <c r="E334">
        <v>0.49887550000000003</v>
      </c>
      <c r="F334" t="s">
        <v>43</v>
      </c>
      <c r="G334">
        <v>-296.29410000000001</v>
      </c>
      <c r="H334">
        <v>-0.05</v>
      </c>
      <c r="I334">
        <v>364.7287</v>
      </c>
      <c r="J334">
        <v>-370.041</v>
      </c>
      <c r="K334">
        <v>1.1101460000000001</v>
      </c>
      <c r="L334">
        <v>368.15789999999998</v>
      </c>
      <c r="M334">
        <v>0.99986620000000004</v>
      </c>
      <c r="N334">
        <v>0</v>
      </c>
      <c r="O334">
        <v>7.7330480000000002E-3</v>
      </c>
      <c r="P334">
        <v>0.99614979999999997</v>
      </c>
      <c r="Q334">
        <v>7.0722300000000002E-2</v>
      </c>
      <c r="R334">
        <v>-5.1805940000000002E-2</v>
      </c>
      <c r="S334">
        <v>3.0077210000000001</v>
      </c>
      <c r="T334">
        <v>-4.7016259999999997E-2</v>
      </c>
      <c r="U334">
        <v>-0.13882449999999999</v>
      </c>
      <c r="V334">
        <v>5.9513650000000001E-2</v>
      </c>
      <c r="W334">
        <v>8.5067180000000006E-2</v>
      </c>
      <c r="X334">
        <v>0.99459620000000004</v>
      </c>
      <c r="Y334">
        <v>5.382369E-2</v>
      </c>
      <c r="Z334">
        <v>-5.4125989999999997E-4</v>
      </c>
      <c r="AA334">
        <v>0.9985503</v>
      </c>
      <c r="AB334">
        <v>32</v>
      </c>
      <c r="AC334">
        <v>73.746899999999897</v>
      </c>
      <c r="AD334">
        <v>-1.1601459999999999</v>
      </c>
      <c r="AE334">
        <v>-3.4291999999999798</v>
      </c>
      <c r="AF334">
        <v>3.9984576206811702</v>
      </c>
      <c r="AG334">
        <v>-1.1601459999999999</v>
      </c>
      <c r="AH334">
        <v>73.699973732777806</v>
      </c>
      <c r="AI334">
        <v>90.900521258601501</v>
      </c>
      <c r="AJ334">
        <v>86.894566473640396</v>
      </c>
      <c r="AK334">
        <v>73.817475778421397</v>
      </c>
      <c r="AL334">
        <v>85.120111765153894</v>
      </c>
      <c r="AM334">
        <v>86.575675601489095</v>
      </c>
      <c r="AN334">
        <v>0.99999995035195599</v>
      </c>
    </row>
    <row r="335" spans="1:40" x14ac:dyDescent="0.25">
      <c r="A335" t="str">
        <f>"20190312154509357"</f>
        <v>20190312154509357</v>
      </c>
      <c r="B335" t="str">
        <f>"1552376709346728"</f>
        <v>1552376709346728</v>
      </c>
      <c r="C335" t="s">
        <v>40</v>
      </c>
      <c r="D335">
        <v>4.3738519999999896</v>
      </c>
      <c r="E335">
        <v>0.49880160000000001</v>
      </c>
      <c r="F335" t="s">
        <v>43</v>
      </c>
      <c r="G335">
        <v>-300.57369999999997</v>
      </c>
      <c r="H335">
        <v>-0.05</v>
      </c>
      <c r="I335">
        <v>364.96949999999998</v>
      </c>
      <c r="J335">
        <v>-369.70190000000002</v>
      </c>
      <c r="K335">
        <v>1.1101379999999901</v>
      </c>
      <c r="L335">
        <v>368.16050000000001</v>
      </c>
      <c r="M335">
        <v>0.99986640000000004</v>
      </c>
      <c r="N335">
        <v>0</v>
      </c>
      <c r="O335">
        <v>7.7215089999999997E-3</v>
      </c>
      <c r="P335">
        <v>0.99612210000000001</v>
      </c>
      <c r="Q335">
        <v>7.0865940000000002E-2</v>
      </c>
      <c r="R335">
        <v>-5.2140819999999997E-2</v>
      </c>
      <c r="S335">
        <v>3.0079959999999999</v>
      </c>
      <c r="T335">
        <v>-5.0235389999999998E-2</v>
      </c>
      <c r="U335">
        <v>-0.1380615</v>
      </c>
      <c r="V335">
        <v>5.983695E-2</v>
      </c>
      <c r="W335">
        <v>8.5206370000000003E-2</v>
      </c>
      <c r="X335">
        <v>0.99456500000000003</v>
      </c>
      <c r="Y335">
        <v>5.3554199999999899E-2</v>
      </c>
      <c r="Z335">
        <v>-5.7582309999999997E-4</v>
      </c>
      <c r="AA335">
        <v>0.99856480000000003</v>
      </c>
      <c r="AB335">
        <v>32</v>
      </c>
      <c r="AC335">
        <v>69.128200000000007</v>
      </c>
      <c r="AD335">
        <v>-1.1601379999999999</v>
      </c>
      <c r="AE335">
        <v>-3.19100000000003</v>
      </c>
      <c r="AF335">
        <v>3.7236877302948601</v>
      </c>
      <c r="AG335">
        <v>-1.1601379999999999</v>
      </c>
      <c r="AH335">
        <v>69.082081323298098</v>
      </c>
      <c r="AI335">
        <v>90.960718531275504</v>
      </c>
      <c r="AJ335">
        <v>86.914607695500706</v>
      </c>
      <c r="AK335">
        <v>69.192092976369494</v>
      </c>
      <c r="AL335">
        <v>85.112108254878294</v>
      </c>
      <c r="AM335">
        <v>86.557010294826597</v>
      </c>
      <c r="AN335">
        <v>1.0000000626494301</v>
      </c>
    </row>
    <row r="336" spans="1:40" x14ac:dyDescent="0.25">
      <c r="A336" t="str">
        <f>"20190312154509380"</f>
        <v>20190312154509380</v>
      </c>
      <c r="B336" t="str">
        <f>"1552376709376513"</f>
        <v>1552376709376513</v>
      </c>
      <c r="C336" t="s">
        <v>40</v>
      </c>
      <c r="D336">
        <v>4.3945119999999998</v>
      </c>
      <c r="E336">
        <v>0.49880039999999998</v>
      </c>
      <c r="F336" t="s">
        <v>43</v>
      </c>
      <c r="G336">
        <v>-301.44920000000002</v>
      </c>
      <c r="H336">
        <v>-0.05</v>
      </c>
      <c r="I336">
        <v>365.01190000000003</v>
      </c>
      <c r="J336">
        <v>-369.39150000000001</v>
      </c>
      <c r="K336">
        <v>1.1101379999999901</v>
      </c>
      <c r="L336">
        <v>368.16289999999998</v>
      </c>
      <c r="M336">
        <v>0.99986640000000004</v>
      </c>
      <c r="N336">
        <v>0</v>
      </c>
      <c r="O336">
        <v>7.7109229999999997E-3</v>
      </c>
      <c r="P336">
        <v>0.99610069999999995</v>
      </c>
      <c r="Q336">
        <v>7.0910899999999999E-2</v>
      </c>
      <c r="R336">
        <v>-5.2487279999999997E-2</v>
      </c>
      <c r="S336">
        <v>3.0080260000000001</v>
      </c>
      <c r="T336">
        <v>-5.1129460000000002E-2</v>
      </c>
      <c r="U336">
        <v>-0.13876340000000001</v>
      </c>
      <c r="V336">
        <v>6.0172839999999998E-2</v>
      </c>
      <c r="W336">
        <v>8.5247699999999996E-2</v>
      </c>
      <c r="X336">
        <v>0.99454109999999996</v>
      </c>
      <c r="Y336">
        <v>5.377535E-2</v>
      </c>
      <c r="Z336">
        <v>-5.8775940000000001E-4</v>
      </c>
      <c r="AA336">
        <v>0.99855289999999997</v>
      </c>
      <c r="AB336">
        <v>32</v>
      </c>
      <c r="AC336">
        <v>67.942299999999904</v>
      </c>
      <c r="AD336">
        <v>-1.1601379999999999</v>
      </c>
      <c r="AE336">
        <v>-3.1509999999999501</v>
      </c>
      <c r="AF336">
        <v>3.6737897098305199</v>
      </c>
      <c r="AG336">
        <v>-1.1601379999999999</v>
      </c>
      <c r="AH336">
        <v>67.896226208799604</v>
      </c>
      <c r="AI336">
        <v>90.977484056362599</v>
      </c>
      <c r="AJ336">
        <v>86.902809004417605</v>
      </c>
      <c r="AK336">
        <v>68.005442314623494</v>
      </c>
      <c r="AL336">
        <v>85.109731120370299</v>
      </c>
      <c r="AM336">
        <v>86.537647227347506</v>
      </c>
      <c r="AN336">
        <v>0.99999997030908205</v>
      </c>
    </row>
    <row r="337" spans="1:40" x14ac:dyDescent="0.25">
      <c r="A337" t="str">
        <f>"20190312154509400"</f>
        <v>20190312154509400</v>
      </c>
      <c r="B337" t="str">
        <f>"1552376709396034"</f>
        <v>1552376709396034</v>
      </c>
      <c r="C337" t="s">
        <v>40</v>
      </c>
      <c r="D337">
        <v>4.3691040000000001</v>
      </c>
      <c r="E337">
        <v>0.49875890000000001</v>
      </c>
      <c r="F337" t="s">
        <v>43</v>
      </c>
      <c r="G337">
        <v>-304.95139999999998</v>
      </c>
      <c r="H337">
        <v>-0.05</v>
      </c>
      <c r="I337">
        <v>365.17009999999999</v>
      </c>
      <c r="J337">
        <v>-369.0822</v>
      </c>
      <c r="K337">
        <v>1.1101350000000001</v>
      </c>
      <c r="L337">
        <v>368.1653</v>
      </c>
      <c r="M337">
        <v>0.99986660000000005</v>
      </c>
      <c r="N337">
        <v>0</v>
      </c>
      <c r="O337">
        <v>7.6998669999999896E-3</v>
      </c>
      <c r="P337">
        <v>0.99610330000000002</v>
      </c>
      <c r="Q337">
        <v>7.0787580000000003E-2</v>
      </c>
      <c r="R337">
        <v>-5.2607300000000003E-2</v>
      </c>
      <c r="S337">
        <v>3.0082089999999999</v>
      </c>
      <c r="T337">
        <v>-5.415785E-2</v>
      </c>
      <c r="U337">
        <v>-0.13970949999999999</v>
      </c>
      <c r="V337">
        <v>6.0281429999999997E-2</v>
      </c>
      <c r="W337">
        <v>8.5120860000000007E-2</v>
      </c>
      <c r="X337">
        <v>0.99454540000000002</v>
      </c>
      <c r="Y337">
        <v>5.4073740000000002E-2</v>
      </c>
      <c r="Z337">
        <v>-6.2500979999999999E-4</v>
      </c>
      <c r="AA337">
        <v>0.9985368</v>
      </c>
      <c r="AB337">
        <v>32</v>
      </c>
      <c r="AC337">
        <v>64.130799999999994</v>
      </c>
      <c r="AD337">
        <v>-1.1601349999999999</v>
      </c>
      <c r="AE337">
        <v>-2.9952000000000099</v>
      </c>
      <c r="AF337">
        <v>3.48782214318036</v>
      </c>
      <c r="AG337">
        <v>-1.1601349999999999</v>
      </c>
      <c r="AH337">
        <v>64.084907114342997</v>
      </c>
      <c r="AI337">
        <v>91.0355852338608</v>
      </c>
      <c r="AJ337">
        <v>86.884749690493294</v>
      </c>
      <c r="AK337">
        <v>64.1902339641683</v>
      </c>
      <c r="AL337">
        <v>85.117025086956502</v>
      </c>
      <c r="AM337">
        <v>86.531429146471893</v>
      </c>
      <c r="AN337">
        <v>0.99999998213557195</v>
      </c>
    </row>
    <row r="338" spans="1:40" x14ac:dyDescent="0.25">
      <c r="A338" t="str">
        <f>"20190312154509423"</f>
        <v>20190312154509423</v>
      </c>
      <c r="B338" t="str">
        <f>"1552376709416530"</f>
        <v>1552376709416530</v>
      </c>
      <c r="C338" t="s">
        <v>40</v>
      </c>
      <c r="D338">
        <v>4.3567729999999996</v>
      </c>
      <c r="E338">
        <v>0.49871989999999999</v>
      </c>
      <c r="F338" t="s">
        <v>43</v>
      </c>
      <c r="G338">
        <v>-306.89640000000003</v>
      </c>
      <c r="H338">
        <v>-0.05</v>
      </c>
      <c r="I338">
        <v>365.27670000000001</v>
      </c>
      <c r="J338">
        <v>-368.76330000000002</v>
      </c>
      <c r="K338">
        <v>1.1101430000000001</v>
      </c>
      <c r="L338">
        <v>368.16770000000002</v>
      </c>
      <c r="M338">
        <v>0.9998667</v>
      </c>
      <c r="N338">
        <v>0</v>
      </c>
      <c r="O338">
        <v>7.6881569999999897E-3</v>
      </c>
      <c r="P338">
        <v>0.99604669999999895</v>
      </c>
      <c r="Q338">
        <v>7.1465340000000002E-2</v>
      </c>
      <c r="R338">
        <v>-5.2761540000000003E-2</v>
      </c>
      <c r="S338">
        <v>3.008362</v>
      </c>
      <c r="T338">
        <v>-5.6123850000000003E-2</v>
      </c>
      <c r="U338">
        <v>-0.13974</v>
      </c>
      <c r="V338">
        <v>6.0423669999999999E-2</v>
      </c>
      <c r="W338">
        <v>8.5794060000000005E-2</v>
      </c>
      <c r="X338">
        <v>0.99447890000000005</v>
      </c>
      <c r="Y338">
        <v>5.4069069999999997E-2</v>
      </c>
      <c r="Z338">
        <v>-6.4739970000000002E-4</v>
      </c>
      <c r="AA338">
        <v>0.99853700000000001</v>
      </c>
      <c r="AB338">
        <v>32</v>
      </c>
      <c r="AC338">
        <v>61.866900000000001</v>
      </c>
      <c r="AD338">
        <v>-1.1601429999999999</v>
      </c>
      <c r="AE338">
        <v>-2.89100000000002</v>
      </c>
      <c r="AF338">
        <v>3.3654254689324201</v>
      </c>
      <c r="AG338">
        <v>-1.1601429999999999</v>
      </c>
      <c r="AH338">
        <v>61.821150592516602</v>
      </c>
      <c r="AI338">
        <v>91.073504042296605</v>
      </c>
      <c r="AJ338">
        <v>86.884002760408293</v>
      </c>
      <c r="AK338">
        <v>61.923555138170201</v>
      </c>
      <c r="AL338">
        <v>85.078311845729004</v>
      </c>
      <c r="AM338">
        <v>86.523032846516202</v>
      </c>
      <c r="AN338">
        <v>0.99999996158638005</v>
      </c>
    </row>
    <row r="339" spans="1:40" x14ac:dyDescent="0.25">
      <c r="A339" t="str">
        <f>"20190312154509446"</f>
        <v>20190312154509446</v>
      </c>
      <c r="B339" t="str">
        <f>"1552376709436050"</f>
        <v>1552376709436050</v>
      </c>
      <c r="C339" t="s">
        <v>40</v>
      </c>
      <c r="D339">
        <v>4.3040830000000003</v>
      </c>
      <c r="E339">
        <v>0.49867470000000003</v>
      </c>
      <c r="F339" t="s">
        <v>43</v>
      </c>
      <c r="G339">
        <v>-305.49549999999999</v>
      </c>
      <c r="H339">
        <v>-0.05</v>
      </c>
      <c r="I339">
        <v>365.23160000000001</v>
      </c>
      <c r="J339">
        <v>-368.44420000000002</v>
      </c>
      <c r="K339">
        <v>1.110144</v>
      </c>
      <c r="L339">
        <v>368.17009999999999</v>
      </c>
      <c r="M339">
        <v>0.99986679999999994</v>
      </c>
      <c r="N339">
        <v>0</v>
      </c>
      <c r="O339">
        <v>7.6766200000000003E-3</v>
      </c>
      <c r="P339">
        <v>0.99602880000000005</v>
      </c>
      <c r="Q339">
        <v>7.1932860000000001E-2</v>
      </c>
      <c r="R339">
        <v>-5.2463839999999998E-2</v>
      </c>
      <c r="S339">
        <v>3.0084840000000002</v>
      </c>
      <c r="T339">
        <v>-5.5166600000000003E-2</v>
      </c>
      <c r="U339">
        <v>-0.13961789999999999</v>
      </c>
      <c r="V339">
        <v>6.0114319999999999E-2</v>
      </c>
      <c r="W339">
        <v>8.6258199999999993E-2</v>
      </c>
      <c r="X339">
        <v>0.99445749999999999</v>
      </c>
      <c r="Y339">
        <v>5.4015630000000002E-2</v>
      </c>
      <c r="Z339">
        <v>-6.3563319999999999E-4</v>
      </c>
      <c r="AA339">
        <v>0.99853990000000004</v>
      </c>
      <c r="AB339">
        <v>32</v>
      </c>
      <c r="AC339">
        <v>62.948700000000002</v>
      </c>
      <c r="AD339">
        <v>-1.1601440000000001</v>
      </c>
      <c r="AE339">
        <v>-2.9384999999999701</v>
      </c>
      <c r="AF339">
        <v>3.42053746893871</v>
      </c>
      <c r="AG339">
        <v>-1.1601440000000001</v>
      </c>
      <c r="AH339">
        <v>62.902965248549599</v>
      </c>
      <c r="AI339">
        <v>91.055050315649694</v>
      </c>
      <c r="AJ339">
        <v>86.887435580476193</v>
      </c>
      <c r="AK339">
        <v>63.006579400387899</v>
      </c>
      <c r="AL339">
        <v>85.051619641716997</v>
      </c>
      <c r="AM339">
        <v>86.540716218464695</v>
      </c>
      <c r="AN339">
        <v>0.99999996392127499</v>
      </c>
    </row>
    <row r="340" spans="1:40" x14ac:dyDescent="0.25">
      <c r="A340" t="str">
        <f>"20190312154509468"</f>
        <v>20190312154509468</v>
      </c>
      <c r="B340" t="str">
        <f>"1552376709456077"</f>
        <v>1552376709456077</v>
      </c>
      <c r="C340" t="s">
        <v>40</v>
      </c>
      <c r="D340">
        <v>4.240456</v>
      </c>
      <c r="E340">
        <v>0.4986408</v>
      </c>
      <c r="F340" t="s">
        <v>43</v>
      </c>
      <c r="G340">
        <v>-304.60840000000002</v>
      </c>
      <c r="H340">
        <v>-0.05</v>
      </c>
      <c r="I340">
        <v>365.22969999999998</v>
      </c>
      <c r="J340">
        <v>-368.11900000000003</v>
      </c>
      <c r="K340">
        <v>1.1101399999999999</v>
      </c>
      <c r="L340">
        <v>368.17270000000002</v>
      </c>
      <c r="M340">
        <v>0.99986710000000001</v>
      </c>
      <c r="N340">
        <v>0</v>
      </c>
      <c r="O340">
        <v>7.6651990000000001E-3</v>
      </c>
      <c r="P340">
        <v>0.99604309999999996</v>
      </c>
      <c r="Q340">
        <v>7.2056510000000004E-2</v>
      </c>
      <c r="R340">
        <v>-5.2023380000000001E-2</v>
      </c>
      <c r="S340">
        <v>3.008575</v>
      </c>
      <c r="T340">
        <v>-5.4677490000000002E-2</v>
      </c>
      <c r="U340">
        <v>-0.13858029999999999</v>
      </c>
      <c r="V340">
        <v>5.9662680000000003E-2</v>
      </c>
      <c r="W340">
        <v>8.6378389999999999E-2</v>
      </c>
      <c r="X340">
        <v>0.99447430000000003</v>
      </c>
      <c r="Y340">
        <v>5.3659400000000003E-2</v>
      </c>
      <c r="Z340">
        <v>-6.2654180000000005E-4</v>
      </c>
      <c r="AA340">
        <v>0.99855910000000003</v>
      </c>
      <c r="AB340">
        <v>32</v>
      </c>
      <c r="AC340">
        <v>63.510599999999997</v>
      </c>
      <c r="AD340">
        <v>-1.1601399999999999</v>
      </c>
      <c r="AE340">
        <v>-2.94300000000004</v>
      </c>
      <c r="AF340">
        <v>3.4286436967649401</v>
      </c>
      <c r="AG340">
        <v>-1.1601399999999999</v>
      </c>
      <c r="AH340">
        <v>63.465041227095497</v>
      </c>
      <c r="AI340">
        <v>91.045724771633502</v>
      </c>
      <c r="AJ340">
        <v>86.907651417715897</v>
      </c>
      <c r="AK340">
        <v>63.568175845904904</v>
      </c>
      <c r="AL340">
        <v>85.044707629598506</v>
      </c>
      <c r="AM340">
        <v>86.566701338032402</v>
      </c>
      <c r="AN340">
        <v>0.99999999750213198</v>
      </c>
    </row>
    <row r="341" spans="1:40" x14ac:dyDescent="0.25">
      <c r="A341" t="str">
        <f>"20190312154509491"</f>
        <v>20190312154509491</v>
      </c>
      <c r="B341" t="str">
        <f>"1552376709486333"</f>
        <v>1552376709486333</v>
      </c>
      <c r="C341" t="s">
        <v>40</v>
      </c>
      <c r="D341">
        <v>4.1270810000000004</v>
      </c>
      <c r="E341">
        <v>0.48193580000000003</v>
      </c>
      <c r="F341" t="s">
        <v>43</v>
      </c>
      <c r="G341">
        <v>-302.6429</v>
      </c>
      <c r="H341">
        <v>-0.05</v>
      </c>
      <c r="I341">
        <v>365.1866</v>
      </c>
      <c r="J341">
        <v>-367.81009999999998</v>
      </c>
      <c r="K341">
        <v>1.1101460000000001</v>
      </c>
      <c r="L341">
        <v>368.17500000000001</v>
      </c>
      <c r="M341">
        <v>0.99986719999999896</v>
      </c>
      <c r="N341">
        <v>0</v>
      </c>
      <c r="O341">
        <v>7.6546690000000002E-3</v>
      </c>
      <c r="P341">
        <v>0.99605509999999997</v>
      </c>
      <c r="Q341">
        <v>7.1868940000000006E-2</v>
      </c>
      <c r="R341">
        <v>-5.2053700000000001E-2</v>
      </c>
      <c r="S341">
        <v>3.008575</v>
      </c>
      <c r="T341">
        <v>-5.3307529999999999E-2</v>
      </c>
      <c r="U341">
        <v>-0.137207</v>
      </c>
      <c r="V341">
        <v>5.9682569999999997E-2</v>
      </c>
      <c r="W341">
        <v>8.6187899999999901E-2</v>
      </c>
      <c r="X341">
        <v>0.99448959999999997</v>
      </c>
      <c r="Y341">
        <v>5.3194610000000003E-2</v>
      </c>
      <c r="Z341">
        <v>-6.0655080000000003E-4</v>
      </c>
      <c r="AA341">
        <v>0.99858400000000003</v>
      </c>
      <c r="AB341">
        <v>32</v>
      </c>
      <c r="AC341">
        <v>65.167199999999895</v>
      </c>
      <c r="AD341">
        <v>-1.1601459999999999</v>
      </c>
      <c r="AE341">
        <v>-2.9884000000000102</v>
      </c>
      <c r="AF341">
        <v>3.4860948702986798</v>
      </c>
      <c r="AG341">
        <v>-1.1601459999999999</v>
      </c>
      <c r="AH341">
        <v>65.121816866279303</v>
      </c>
      <c r="AI341">
        <v>91.019158151275093</v>
      </c>
      <c r="AJ341">
        <v>86.935772595354806</v>
      </c>
      <c r="AK341">
        <v>65.225377179064793</v>
      </c>
      <c r="AL341">
        <v>85.055662591518896</v>
      </c>
      <c r="AM341">
        <v>86.565612215629997</v>
      </c>
      <c r="AN341">
        <v>0.99999996388818602</v>
      </c>
    </row>
    <row r="342" spans="1:40" x14ac:dyDescent="0.25">
      <c r="A342" t="str">
        <f>"20190312154509511"</f>
        <v>20190312154509511</v>
      </c>
      <c r="B342" t="str">
        <f>"1552376709506828"</f>
        <v>1552376709506828</v>
      </c>
      <c r="C342" t="s">
        <v>40</v>
      </c>
      <c r="D342">
        <v>4.1160129999999997</v>
      </c>
      <c r="E342">
        <v>0.48008020000000001</v>
      </c>
      <c r="F342" t="s">
        <v>46</v>
      </c>
      <c r="G342">
        <v>-170.08879999999999</v>
      </c>
      <c r="H342">
        <v>8.1756910000000005</v>
      </c>
      <c r="I342">
        <v>367.57839999999999</v>
      </c>
      <c r="J342">
        <v>-367.51909999999998</v>
      </c>
      <c r="K342">
        <v>1.110147</v>
      </c>
      <c r="L342">
        <v>368.17720000000003</v>
      </c>
      <c r="M342">
        <v>0.99986739999999996</v>
      </c>
      <c r="N342">
        <v>0</v>
      </c>
      <c r="O342">
        <v>7.6446209999999999E-3</v>
      </c>
      <c r="P342">
        <v>0.99606830000000002</v>
      </c>
      <c r="Q342">
        <v>7.2104009999999996E-2</v>
      </c>
      <c r="R342">
        <v>-5.1471749999999997E-2</v>
      </c>
      <c r="S342">
        <v>3.0036619999999998</v>
      </c>
      <c r="T342">
        <v>0.1073368</v>
      </c>
      <c r="U342">
        <v>-9.0637210000000003E-3</v>
      </c>
      <c r="V342">
        <v>5.9090799999999999E-2</v>
      </c>
      <c r="W342">
        <v>8.6419720000000005E-2</v>
      </c>
      <c r="X342">
        <v>0.99450490000000002</v>
      </c>
      <c r="Y342">
        <v>1.065115E-2</v>
      </c>
      <c r="Z342">
        <v>4.633719E-4</v>
      </c>
      <c r="AA342">
        <v>0.99994320000000003</v>
      </c>
      <c r="AB342">
        <v>32</v>
      </c>
      <c r="AC342">
        <v>197.43029999999999</v>
      </c>
      <c r="AD342">
        <v>7.065544</v>
      </c>
      <c r="AE342">
        <v>-0.59880000000003897</v>
      </c>
      <c r="AF342">
        <v>2.1055217392259999</v>
      </c>
      <c r="AG342">
        <v>7.065544</v>
      </c>
      <c r="AH342">
        <v>197.16743229308099</v>
      </c>
      <c r="AI342">
        <v>87.947786604760694</v>
      </c>
      <c r="AJ342">
        <v>89.388170132900498</v>
      </c>
      <c r="AK342">
        <v>197.305224185415</v>
      </c>
      <c r="AL342">
        <v>85.042330934834197</v>
      </c>
      <c r="AM342">
        <v>86.599637054156801</v>
      </c>
      <c r="AN342">
        <v>1.00000004338676</v>
      </c>
    </row>
    <row r="343" spans="1:40" x14ac:dyDescent="0.25">
      <c r="A343" t="str">
        <f>"20190312154509534"</f>
        <v>20190312154509534</v>
      </c>
      <c r="B343" t="str">
        <f>"1552376709526348"</f>
        <v>1552376709526348</v>
      </c>
      <c r="C343" t="s">
        <v>40</v>
      </c>
      <c r="D343">
        <v>4.0312739999999998</v>
      </c>
      <c r="E343">
        <v>0.4793866</v>
      </c>
      <c r="F343" t="s">
        <v>46</v>
      </c>
      <c r="G343">
        <v>-168.84350000000001</v>
      </c>
      <c r="H343">
        <v>8.9960429999999896</v>
      </c>
      <c r="I343">
        <v>368.66980000000001</v>
      </c>
      <c r="J343">
        <v>-367.20600000000002</v>
      </c>
      <c r="K343">
        <v>1.110152</v>
      </c>
      <c r="L343">
        <v>368.17959999999999</v>
      </c>
      <c r="M343">
        <v>0.99986739999999996</v>
      </c>
      <c r="N343">
        <v>0</v>
      </c>
      <c r="O343">
        <v>7.6336819999999897E-3</v>
      </c>
      <c r="P343">
        <v>0.9960523</v>
      </c>
      <c r="Q343">
        <v>7.2249640000000004E-2</v>
      </c>
      <c r="R343">
        <v>-5.1574759999999997E-2</v>
      </c>
      <c r="S343">
        <v>3.0036010000000002</v>
      </c>
      <c r="T343">
        <v>0.1192212</v>
      </c>
      <c r="U343">
        <v>7.446289E-3</v>
      </c>
      <c r="V343">
        <v>5.9182850000000002E-2</v>
      </c>
      <c r="W343">
        <v>8.6562249999999993E-2</v>
      </c>
      <c r="X343">
        <v>0.99448700000000001</v>
      </c>
      <c r="Y343">
        <v>5.1453439999999996E-3</v>
      </c>
      <c r="Z343">
        <v>4.0498660000000002E-4</v>
      </c>
      <c r="AA343">
        <v>0.99998670000000001</v>
      </c>
      <c r="AB343">
        <v>32</v>
      </c>
      <c r="AC343">
        <v>198.36249999999899</v>
      </c>
      <c r="AD343">
        <v>7.8858909999999902</v>
      </c>
      <c r="AE343">
        <v>0.49020000000001501</v>
      </c>
      <c r="AF343">
        <v>1.0225910604859401</v>
      </c>
      <c r="AG343">
        <v>7.8858909999999902</v>
      </c>
      <c r="AH343">
        <v>198.04745816832599</v>
      </c>
      <c r="AI343">
        <v>87.719820792778606</v>
      </c>
      <c r="AJ343">
        <v>89.704163679724203</v>
      </c>
      <c r="AK343">
        <v>198.20703483044201</v>
      </c>
      <c r="AL343">
        <v>85.034133699043494</v>
      </c>
      <c r="AM343">
        <v>86.594291366867907</v>
      </c>
      <c r="AN343">
        <v>1.00000001301409</v>
      </c>
    </row>
    <row r="344" spans="1:40" x14ac:dyDescent="0.25">
      <c r="A344" t="str">
        <f>"20190312154509557"</f>
        <v>20190312154509557</v>
      </c>
      <c r="B344" t="str">
        <f>"1552376709546844"</f>
        <v>1552376709546844</v>
      </c>
      <c r="C344" t="s">
        <v>40</v>
      </c>
      <c r="D344">
        <v>4.0046589999999904</v>
      </c>
      <c r="E344">
        <v>0.47920970000000002</v>
      </c>
      <c r="F344" t="s">
        <v>46</v>
      </c>
      <c r="G344">
        <v>-168.84350000000001</v>
      </c>
      <c r="H344">
        <v>9.4568189999999994</v>
      </c>
      <c r="I344">
        <v>369</v>
      </c>
      <c r="J344">
        <v>-366.86619999999999</v>
      </c>
      <c r="K344">
        <v>1.1101570000000001</v>
      </c>
      <c r="L344">
        <v>368.18220000000002</v>
      </c>
      <c r="M344">
        <v>0.99986759999999997</v>
      </c>
      <c r="N344">
        <v>0</v>
      </c>
      <c r="O344">
        <v>7.6214919999999997E-3</v>
      </c>
      <c r="P344">
        <v>0.99610370000000004</v>
      </c>
      <c r="Q344">
        <v>7.1548990000000007E-2</v>
      </c>
      <c r="R344">
        <v>-5.1559269999999997E-2</v>
      </c>
      <c r="S344">
        <v>3.003387</v>
      </c>
      <c r="T344">
        <v>0.1263773</v>
      </c>
      <c r="U344">
        <v>1.242065E-2</v>
      </c>
      <c r="V344">
        <v>5.915554E-2</v>
      </c>
      <c r="W344">
        <v>8.5858199999999996E-2</v>
      </c>
      <c r="X344">
        <v>0.99454960000000003</v>
      </c>
      <c r="Y344">
        <v>3.4770000000000001E-3</v>
      </c>
      <c r="Z344">
        <v>3.9370589999999998E-4</v>
      </c>
      <c r="AA344">
        <v>0.99999389999999999</v>
      </c>
      <c r="AB344">
        <v>32</v>
      </c>
      <c r="AC344">
        <v>198.02269999999999</v>
      </c>
      <c r="AD344">
        <v>8.3466619999999896</v>
      </c>
      <c r="AE344">
        <v>0.81779999999997699</v>
      </c>
      <c r="AF344">
        <v>0.69038165218811998</v>
      </c>
      <c r="AG344">
        <v>8.3466619999999896</v>
      </c>
      <c r="AH344">
        <v>197.67199797487601</v>
      </c>
      <c r="AI344">
        <v>87.582147770015197</v>
      </c>
      <c r="AJ344">
        <v>89.799891767697304</v>
      </c>
      <c r="AK344">
        <v>197.849342118561</v>
      </c>
      <c r="AL344">
        <v>85.0746232644901</v>
      </c>
      <c r="AM344">
        <v>86.596073001965294</v>
      </c>
      <c r="AN344">
        <v>0.99999995764004401</v>
      </c>
    </row>
    <row r="345" spans="1:40" x14ac:dyDescent="0.25">
      <c r="A345" t="str">
        <f>"20190312154509581"</f>
        <v>20190312154509581</v>
      </c>
      <c r="B345" t="str">
        <f>"1552376709566365"</f>
        <v>1552376709566365</v>
      </c>
      <c r="C345" t="s">
        <v>40</v>
      </c>
      <c r="D345">
        <v>4.0006700000000004</v>
      </c>
      <c r="E345">
        <v>0.47910809999999998</v>
      </c>
      <c r="F345" t="s">
        <v>46</v>
      </c>
      <c r="G345">
        <v>-168.84350000000001</v>
      </c>
      <c r="H345">
        <v>9.6874380000000002</v>
      </c>
      <c r="I345">
        <v>369.05549999999999</v>
      </c>
      <c r="J345">
        <v>-366.54899999999998</v>
      </c>
      <c r="K345">
        <v>1.110158</v>
      </c>
      <c r="L345">
        <v>368.18459999999999</v>
      </c>
      <c r="M345">
        <v>0.99986770000000003</v>
      </c>
      <c r="N345">
        <v>0</v>
      </c>
      <c r="O345">
        <v>7.610431E-3</v>
      </c>
      <c r="P345">
        <v>0.99609959999999997</v>
      </c>
      <c r="Q345">
        <v>7.1171010000000007E-2</v>
      </c>
      <c r="R345">
        <v>-5.215761E-2</v>
      </c>
      <c r="S345">
        <v>3.0030519999999998</v>
      </c>
      <c r="T345">
        <v>0.13007739999999901</v>
      </c>
      <c r="U345">
        <v>1.324463E-2</v>
      </c>
      <c r="V345">
        <v>5.9742709999999997E-2</v>
      </c>
      <c r="W345">
        <v>8.5476689999999994E-2</v>
      </c>
      <c r="X345">
        <v>0.99454739999999997</v>
      </c>
      <c r="Y345">
        <v>3.1907960000000001E-3</v>
      </c>
      <c r="Z345">
        <v>3.9859249999999998E-4</v>
      </c>
      <c r="AA345">
        <v>0.99999479999999996</v>
      </c>
      <c r="AB345">
        <v>32</v>
      </c>
      <c r="AC345">
        <v>197.7055</v>
      </c>
      <c r="AD345">
        <v>8.57728</v>
      </c>
      <c r="AE345">
        <v>0.870900000000006</v>
      </c>
      <c r="AF345">
        <v>0.63271393230032802</v>
      </c>
      <c r="AG345">
        <v>8.57728</v>
      </c>
      <c r="AH345">
        <v>197.33498871864001</v>
      </c>
      <c r="AI345">
        <v>87.511184968972799</v>
      </c>
      <c r="AJ345">
        <v>89.816293532285997</v>
      </c>
      <c r="AK345">
        <v>197.52232236308001</v>
      </c>
      <c r="AL345">
        <v>85.096563008647095</v>
      </c>
      <c r="AM345">
        <v>86.562359118825498</v>
      </c>
      <c r="AN345">
        <v>0.99999999338912904</v>
      </c>
    </row>
    <row r="346" spans="1:40" x14ac:dyDescent="0.25">
      <c r="A346" t="str">
        <f>"20190312154509601"</f>
        <v>20190312154509601</v>
      </c>
      <c r="B346" t="str">
        <f>"1552376709596621"</f>
        <v>1552376709596621</v>
      </c>
      <c r="C346" t="s">
        <v>40</v>
      </c>
      <c r="D346">
        <v>3.9503539999999999</v>
      </c>
      <c r="E346">
        <v>0.47900120000000002</v>
      </c>
      <c r="F346" t="s">
        <v>46</v>
      </c>
      <c r="G346">
        <v>-168.84350000000001</v>
      </c>
      <c r="H346">
        <v>9.8694059999999997</v>
      </c>
      <c r="I346">
        <v>369.01639999999998</v>
      </c>
      <c r="J346">
        <v>-366.25360000000001</v>
      </c>
      <c r="K346">
        <v>1.11016</v>
      </c>
      <c r="L346">
        <v>368.18680000000001</v>
      </c>
      <c r="M346">
        <v>0.99986790000000003</v>
      </c>
      <c r="N346">
        <v>0</v>
      </c>
      <c r="O346">
        <v>7.6000240000000004E-3</v>
      </c>
      <c r="P346">
        <v>0.9960656</v>
      </c>
      <c r="Q346">
        <v>7.1062620000000007E-2</v>
      </c>
      <c r="R346">
        <v>-5.2948620000000002E-2</v>
      </c>
      <c r="S346">
        <v>3.0028990000000002</v>
      </c>
      <c r="T346">
        <v>0.1330433</v>
      </c>
      <c r="U346">
        <v>1.2634279999999999E-2</v>
      </c>
      <c r="V346">
        <v>6.0523170000000001E-2</v>
      </c>
      <c r="W346">
        <v>8.5365060000000006E-2</v>
      </c>
      <c r="X346">
        <v>0.9945098</v>
      </c>
      <c r="Y346">
        <v>3.3827670000000001E-3</v>
      </c>
      <c r="Z346">
        <v>4.1148269999999998E-4</v>
      </c>
      <c r="AA346">
        <v>0.99999420000000006</v>
      </c>
      <c r="AB346">
        <v>31</v>
      </c>
      <c r="AC346">
        <v>197.4101</v>
      </c>
      <c r="AD346">
        <v>8.7592459999999992</v>
      </c>
      <c r="AE346">
        <v>0.82959999999997003</v>
      </c>
      <c r="AF346">
        <v>0.66958210687719599</v>
      </c>
      <c r="AG346">
        <v>8.7592459999999992</v>
      </c>
      <c r="AH346">
        <v>197.02281761297101</v>
      </c>
      <c r="AI346">
        <v>87.454433538770402</v>
      </c>
      <c r="AJ346">
        <v>89.805281025174693</v>
      </c>
      <c r="AK346">
        <v>197.21856756106999</v>
      </c>
      <c r="AL346">
        <v>85.1029824073008</v>
      </c>
      <c r="AM346">
        <v>86.517429328414593</v>
      </c>
      <c r="AN346">
        <v>0.99999999493584601</v>
      </c>
    </row>
    <row r="347" spans="1:40" x14ac:dyDescent="0.25">
      <c r="A347" t="str">
        <f>"20190312154509623"</f>
        <v>20190312154509623</v>
      </c>
      <c r="B347" t="str">
        <f>"1552376709616141"</f>
        <v>1552376709616141</v>
      </c>
      <c r="C347" t="s">
        <v>40</v>
      </c>
      <c r="D347">
        <v>3.9238170000000001</v>
      </c>
      <c r="E347">
        <v>0.47904380000000002</v>
      </c>
      <c r="F347" t="s">
        <v>46</v>
      </c>
      <c r="G347">
        <v>-168.84350000000001</v>
      </c>
      <c r="H347">
        <v>10.25803</v>
      </c>
      <c r="I347">
        <v>368.88310000000001</v>
      </c>
      <c r="J347">
        <v>-365.94400000000002</v>
      </c>
      <c r="K347">
        <v>1.1101589999999999</v>
      </c>
      <c r="L347">
        <v>368.18920000000003</v>
      </c>
      <c r="M347">
        <v>0.99986799999999998</v>
      </c>
      <c r="N347">
        <v>0</v>
      </c>
      <c r="O347">
        <v>7.5897909999999898E-3</v>
      </c>
      <c r="P347">
        <v>0.99605310000000002</v>
      </c>
      <c r="Q347">
        <v>7.1223120000000001E-2</v>
      </c>
      <c r="R347">
        <v>-5.2970009999999998E-2</v>
      </c>
      <c r="S347">
        <v>3.002472</v>
      </c>
      <c r="T347">
        <v>0.13913420000000001</v>
      </c>
      <c r="U347">
        <v>1.0589599999999999E-2</v>
      </c>
      <c r="V347">
        <v>6.053422E-2</v>
      </c>
      <c r="W347">
        <v>8.5521849999999996E-2</v>
      </c>
      <c r="X347">
        <v>0.99449569999999998</v>
      </c>
      <c r="Y347">
        <v>4.0511979999999998E-3</v>
      </c>
      <c r="Z347">
        <v>4.4536819999999998E-4</v>
      </c>
      <c r="AA347">
        <v>0.99999170000000004</v>
      </c>
      <c r="AB347">
        <v>31</v>
      </c>
      <c r="AC347">
        <v>197.10050000000001</v>
      </c>
      <c r="AD347">
        <v>9.1478710000000003</v>
      </c>
      <c r="AE347">
        <v>0.69389999999998497</v>
      </c>
      <c r="AF347">
        <v>0.80050164655787803</v>
      </c>
      <c r="AG347">
        <v>9.1478710000000003</v>
      </c>
      <c r="AH347">
        <v>196.676434627585</v>
      </c>
      <c r="AI347">
        <v>87.336983512402</v>
      </c>
      <c r="AJ347">
        <v>89.766799145710493</v>
      </c>
      <c r="AK347">
        <v>196.89069120843999</v>
      </c>
      <c r="AL347">
        <v>85.093966240909793</v>
      </c>
      <c r="AM347">
        <v>86.516745800983202</v>
      </c>
      <c r="AN347">
        <v>1.0000000379684499</v>
      </c>
    </row>
    <row r="348" spans="1:40" x14ac:dyDescent="0.25">
      <c r="A348" t="str">
        <f>"20190312154509646"</f>
        <v>20190312154509646</v>
      </c>
      <c r="B348" t="str">
        <f>"1552376709636645"</f>
        <v>1552376709636645</v>
      </c>
      <c r="C348" t="s">
        <v>40</v>
      </c>
      <c r="D348">
        <v>3.9318659999999999</v>
      </c>
      <c r="E348">
        <v>0.47906189999999998</v>
      </c>
      <c r="F348" t="s">
        <v>46</v>
      </c>
      <c r="G348">
        <v>-168.84350000000001</v>
      </c>
      <c r="H348">
        <v>10.461779999999999</v>
      </c>
      <c r="I348">
        <v>368.84629999999999</v>
      </c>
      <c r="J348">
        <v>-365.62619999999998</v>
      </c>
      <c r="K348">
        <v>1.110158</v>
      </c>
      <c r="L348">
        <v>368.19159999999999</v>
      </c>
      <c r="M348">
        <v>0.99986819999999998</v>
      </c>
      <c r="N348">
        <v>0</v>
      </c>
      <c r="O348">
        <v>7.5789079999999997E-3</v>
      </c>
      <c r="P348">
        <v>0.99603989999999998</v>
      </c>
      <c r="Q348">
        <v>7.1373019999999995E-2</v>
      </c>
      <c r="R348">
        <v>-5.3014190000000003E-2</v>
      </c>
      <c r="S348">
        <v>3.0022280000000001</v>
      </c>
      <c r="T348">
        <v>0.14244479999999901</v>
      </c>
      <c r="U348">
        <v>1.0009769999999999E-2</v>
      </c>
      <c r="V348">
        <v>6.0567650000000001E-2</v>
      </c>
      <c r="W348">
        <v>8.5668640000000004E-2</v>
      </c>
      <c r="X348">
        <v>0.99448099999999995</v>
      </c>
      <c r="Y348">
        <v>4.2323609999999996E-3</v>
      </c>
      <c r="Z348">
        <v>4.5977030000000002E-4</v>
      </c>
      <c r="AA348">
        <v>0.99999090000000002</v>
      </c>
      <c r="AB348">
        <v>31</v>
      </c>
      <c r="AC348">
        <v>196.78270000000001</v>
      </c>
      <c r="AD348">
        <v>9.3516220000000008</v>
      </c>
      <c r="AE348">
        <v>0.65469999999999096</v>
      </c>
      <c r="AF348">
        <v>0.83498482525657403</v>
      </c>
      <c r="AG348">
        <v>9.3516220000000008</v>
      </c>
      <c r="AH348">
        <v>196.33860422072499</v>
      </c>
      <c r="AI348">
        <v>87.273083365256298</v>
      </c>
      <c r="AJ348">
        <v>89.756335142457303</v>
      </c>
      <c r="AK348">
        <v>196.56296075566101</v>
      </c>
      <c r="AL348">
        <v>85.085524664693494</v>
      </c>
      <c r="AM348">
        <v>86.514775525943705</v>
      </c>
      <c r="AN348">
        <v>1.0000000077334801</v>
      </c>
    </row>
    <row r="349" spans="1:40" x14ac:dyDescent="0.25">
      <c r="A349" t="str">
        <f>"20190312154509667"</f>
        <v>20190312154509667</v>
      </c>
      <c r="B349" t="str">
        <f>"1552376709656664"</f>
        <v>1552376709656664</v>
      </c>
      <c r="C349" t="s">
        <v>40</v>
      </c>
      <c r="D349">
        <v>3.889478</v>
      </c>
      <c r="E349">
        <v>0.47892230000000002</v>
      </c>
      <c r="F349" t="s">
        <v>46</v>
      </c>
      <c r="G349">
        <v>-168.84350000000001</v>
      </c>
      <c r="H349">
        <v>10.611079999999999</v>
      </c>
      <c r="I349">
        <v>368.84370000000001</v>
      </c>
      <c r="J349">
        <v>-365.32560000000001</v>
      </c>
      <c r="K349">
        <v>1.110155</v>
      </c>
      <c r="L349">
        <v>368.19380000000001</v>
      </c>
      <c r="M349">
        <v>0.99986830000000004</v>
      </c>
      <c r="N349">
        <v>0</v>
      </c>
      <c r="O349">
        <v>7.5683819999999898E-3</v>
      </c>
      <c r="P349">
        <v>0.99609890000000001</v>
      </c>
      <c r="Q349">
        <v>7.075716E-2</v>
      </c>
      <c r="R349">
        <v>-5.2733179999999998E-2</v>
      </c>
      <c r="S349">
        <v>3.0021059999999999</v>
      </c>
      <c r="T349">
        <v>0.14494679999999999</v>
      </c>
      <c r="U349">
        <v>9.9487299999999994E-3</v>
      </c>
      <c r="V349">
        <v>6.0276429999999999E-2</v>
      </c>
      <c r="W349">
        <v>8.5050070000000005E-2</v>
      </c>
      <c r="X349">
        <v>0.99455179999999999</v>
      </c>
      <c r="Y349">
        <v>4.2415600000000001E-3</v>
      </c>
      <c r="Z349">
        <v>4.675697E-4</v>
      </c>
      <c r="AA349">
        <v>0.99999090000000002</v>
      </c>
      <c r="AB349">
        <v>31</v>
      </c>
      <c r="AC349">
        <v>196.4821</v>
      </c>
      <c r="AD349">
        <v>9.5009250000000005</v>
      </c>
      <c r="AE349">
        <v>0.64990000000000203</v>
      </c>
      <c r="AF349">
        <v>0.83537021247902499</v>
      </c>
      <c r="AG349">
        <v>9.5009250000000005</v>
      </c>
      <c r="AH349">
        <v>196.02305021881301</v>
      </c>
      <c r="AI349">
        <v>87.225161521990103</v>
      </c>
      <c r="AJ349">
        <v>89.755830257179795</v>
      </c>
      <c r="AK349">
        <v>196.254940412553</v>
      </c>
      <c r="AL349">
        <v>85.121096015281793</v>
      </c>
      <c r="AM349">
        <v>86.531738406417006</v>
      </c>
      <c r="AN349">
        <v>1.0000000226518899</v>
      </c>
    </row>
    <row r="350" spans="1:40" x14ac:dyDescent="0.25">
      <c r="A350" t="str">
        <f>"20190312154509690"</f>
        <v>20190312154509690</v>
      </c>
      <c r="B350" t="str">
        <f>"1552376709676184"</f>
        <v>1552376709676184</v>
      </c>
      <c r="C350" t="s">
        <v>40</v>
      </c>
      <c r="D350">
        <v>3.9271880000000001</v>
      </c>
      <c r="E350">
        <v>0.47870180000000001</v>
      </c>
      <c r="F350" t="s">
        <v>46</v>
      </c>
      <c r="G350">
        <v>-170.08879999999999</v>
      </c>
      <c r="H350">
        <v>13.573379999999901</v>
      </c>
      <c r="I350">
        <v>368.86739999999998</v>
      </c>
      <c r="J350">
        <v>-365.00510000000003</v>
      </c>
      <c r="K350">
        <v>1.1101490000000001</v>
      </c>
      <c r="L350">
        <v>368.19619999999998</v>
      </c>
      <c r="M350">
        <v>0.99986830000000004</v>
      </c>
      <c r="N350">
        <v>0</v>
      </c>
      <c r="O350">
        <v>7.5573230000000003E-3</v>
      </c>
      <c r="P350">
        <v>0.99610969999999999</v>
      </c>
      <c r="Q350">
        <v>7.0505780000000004E-2</v>
      </c>
      <c r="R350">
        <v>-5.2862590000000001E-2</v>
      </c>
      <c r="S350">
        <v>2.998688</v>
      </c>
      <c r="T350">
        <v>0.19142690000000001</v>
      </c>
      <c r="U350">
        <v>1.0345460000000001E-2</v>
      </c>
      <c r="V350">
        <v>6.0394980000000001E-2</v>
      </c>
      <c r="W350">
        <v>8.4795399999999896E-2</v>
      </c>
      <c r="X350">
        <v>0.99456630000000001</v>
      </c>
      <c r="Y350">
        <v>4.0844840000000002E-3</v>
      </c>
      <c r="Z350">
        <v>6.1222619999999996E-4</v>
      </c>
      <c r="AA350">
        <v>0.99999150000000003</v>
      </c>
      <c r="AB350">
        <v>31</v>
      </c>
      <c r="AC350">
        <v>194.91630000000001</v>
      </c>
      <c r="AD350">
        <v>12.463231</v>
      </c>
      <c r="AE350">
        <v>0.67119999999999802</v>
      </c>
      <c r="AF350">
        <v>0.79875089256741205</v>
      </c>
      <c r="AG350">
        <v>12.463231</v>
      </c>
      <c r="AH350">
        <v>194.12214488069699</v>
      </c>
      <c r="AI350">
        <v>86.326509951945695</v>
      </c>
      <c r="AJ350">
        <v>89.764247418652602</v>
      </c>
      <c r="AK350">
        <v>194.523461986028</v>
      </c>
      <c r="AL350">
        <v>85.135740173313494</v>
      </c>
      <c r="AM350">
        <v>86.524984365721593</v>
      </c>
      <c r="AN350">
        <v>0.99999996928302404</v>
      </c>
    </row>
    <row r="351" spans="1:40" x14ac:dyDescent="0.25">
      <c r="A351" t="str">
        <f>"20190312154509712"</f>
        <v>20190312154509712</v>
      </c>
      <c r="B351" t="str">
        <f>"1552376709706440"</f>
        <v>1552376709706440</v>
      </c>
      <c r="C351" t="s">
        <v>40</v>
      </c>
      <c r="D351">
        <v>3.90144</v>
      </c>
      <c r="E351">
        <v>0.47839500000000001</v>
      </c>
      <c r="F351" t="s">
        <v>46</v>
      </c>
      <c r="G351">
        <v>-170.08879999999999</v>
      </c>
      <c r="H351">
        <v>12.842140000000001</v>
      </c>
      <c r="I351">
        <v>368.9796</v>
      </c>
      <c r="J351">
        <v>-364.69920000000002</v>
      </c>
      <c r="K351">
        <v>1.11015</v>
      </c>
      <c r="L351">
        <v>368.19850000000002</v>
      </c>
      <c r="M351">
        <v>0.99986850000000005</v>
      </c>
      <c r="N351">
        <v>0</v>
      </c>
      <c r="O351">
        <v>7.5463809999999996E-3</v>
      </c>
      <c r="P351">
        <v>0.99612529999999999</v>
      </c>
      <c r="Q351">
        <v>7.0296570000000003E-2</v>
      </c>
      <c r="R351">
        <v>-5.2850559999999998E-2</v>
      </c>
      <c r="S351">
        <v>2.9995729999999998</v>
      </c>
      <c r="T351">
        <v>0.18054529999999999</v>
      </c>
      <c r="U351">
        <v>1.205444E-2</v>
      </c>
      <c r="V351">
        <v>6.0372059999999998E-2</v>
      </c>
      <c r="W351">
        <v>8.4583489999999997E-2</v>
      </c>
      <c r="X351">
        <v>0.99458579999999996</v>
      </c>
      <c r="Y351">
        <v>3.5085170000000001E-3</v>
      </c>
      <c r="Z351">
        <v>5.5934219999999996E-4</v>
      </c>
      <c r="AA351">
        <v>0.99999369999999999</v>
      </c>
      <c r="AB351">
        <v>31</v>
      </c>
      <c r="AC351">
        <v>194.6104</v>
      </c>
      <c r="AD351">
        <v>11.73199</v>
      </c>
      <c r="AE351">
        <v>0.78109999999998003</v>
      </c>
      <c r="AF351">
        <v>0.68518770294917497</v>
      </c>
      <c r="AG351">
        <v>11.73199</v>
      </c>
      <c r="AH351">
        <v>193.90606648514799</v>
      </c>
      <c r="AI351">
        <v>86.537648801683702</v>
      </c>
      <c r="AJ351">
        <v>89.7975401137886</v>
      </c>
      <c r="AK351">
        <v>194.26186370796199</v>
      </c>
      <c r="AL351">
        <v>85.147925809235701</v>
      </c>
      <c r="AM351">
        <v>86.526367849485197</v>
      </c>
      <c r="AN351">
        <v>1.0000000329854299</v>
      </c>
    </row>
    <row r="352" spans="1:40" x14ac:dyDescent="0.25">
      <c r="A352" t="str">
        <f>"20190312154509734"</f>
        <v>20190312154509734</v>
      </c>
      <c r="B352" t="str">
        <f>"1552376709725963"</f>
        <v>1552376709725963</v>
      </c>
      <c r="C352" t="s">
        <v>40</v>
      </c>
      <c r="D352">
        <v>3.9192830000000001</v>
      </c>
      <c r="E352">
        <v>0.47847580000000001</v>
      </c>
      <c r="F352" t="s">
        <v>46</v>
      </c>
      <c r="G352">
        <v>-170.08879999999999</v>
      </c>
      <c r="H352">
        <v>12.673349999999999</v>
      </c>
      <c r="I352">
        <v>369.15879999999999</v>
      </c>
      <c r="J352">
        <v>-364.38459999999998</v>
      </c>
      <c r="K352">
        <v>1.11015</v>
      </c>
      <c r="L352">
        <v>368.20089999999999</v>
      </c>
      <c r="M352">
        <v>0.99986870000000005</v>
      </c>
      <c r="N352">
        <v>0</v>
      </c>
      <c r="O352">
        <v>7.535496E-3</v>
      </c>
      <c r="P352">
        <v>0.99610810000000005</v>
      </c>
      <c r="Q352">
        <v>7.0327490000000006E-2</v>
      </c>
      <c r="R352">
        <v>-5.3134189999999998E-2</v>
      </c>
      <c r="S352">
        <v>2.9998779999999998</v>
      </c>
      <c r="T352">
        <v>0.1782455</v>
      </c>
      <c r="U352">
        <v>1.480103E-2</v>
      </c>
      <c r="V352">
        <v>6.0644620000000003E-2</v>
      </c>
      <c r="W352">
        <v>8.4610569999999996E-2</v>
      </c>
      <c r="X352">
        <v>0.99456690000000003</v>
      </c>
      <c r="Y352">
        <v>2.5846559999999998E-3</v>
      </c>
      <c r="Z352">
        <v>5.2410360000000003E-4</v>
      </c>
      <c r="AA352">
        <v>0.99999649999999995</v>
      </c>
      <c r="AB352">
        <v>31</v>
      </c>
      <c r="AC352">
        <v>194.29580000000001</v>
      </c>
      <c r="AD352">
        <v>11.563199999999901</v>
      </c>
      <c r="AE352">
        <v>0.95789999999999498</v>
      </c>
      <c r="AF352">
        <v>0.50460591502687002</v>
      </c>
      <c r="AG352">
        <v>11.563199999999901</v>
      </c>
      <c r="AH352">
        <v>193.61177560852599</v>
      </c>
      <c r="AI352">
        <v>86.5821589371361</v>
      </c>
      <c r="AJ352">
        <v>89.850671666560899</v>
      </c>
      <c r="AK352">
        <v>193.957422842374</v>
      </c>
      <c r="AL352">
        <v>85.146368587257996</v>
      </c>
      <c r="AM352">
        <v>86.510658057576293</v>
      </c>
      <c r="AN352">
        <v>1.0000000185331299</v>
      </c>
    </row>
    <row r="353" spans="1:40" x14ac:dyDescent="0.25">
      <c r="A353" t="str">
        <f>"20190312154509759"</f>
        <v>20190312154509759</v>
      </c>
      <c r="B353" t="str">
        <f>"1552376709746457"</f>
        <v>1552376709746457</v>
      </c>
      <c r="C353" t="s">
        <v>40</v>
      </c>
      <c r="D353">
        <v>3.8793570000000002</v>
      </c>
      <c r="E353">
        <v>0.47859469999999998</v>
      </c>
      <c r="F353" t="s">
        <v>46</v>
      </c>
      <c r="G353">
        <v>-168.84350000000001</v>
      </c>
      <c r="H353">
        <v>12.540940000000001</v>
      </c>
      <c r="I353">
        <v>369.05220000000003</v>
      </c>
      <c r="J353">
        <v>-364.05810000000002</v>
      </c>
      <c r="K353">
        <v>1.1101510000000001</v>
      </c>
      <c r="L353">
        <v>368.20330000000001</v>
      </c>
      <c r="M353">
        <v>0.9998688</v>
      </c>
      <c r="N353">
        <v>0</v>
      </c>
      <c r="O353">
        <v>7.5242549999999997E-3</v>
      </c>
      <c r="P353">
        <v>0.99609360000000002</v>
      </c>
      <c r="Q353">
        <v>7.051673E-2</v>
      </c>
      <c r="R353">
        <v>-5.3151879999999999E-2</v>
      </c>
      <c r="S353">
        <v>3</v>
      </c>
      <c r="T353">
        <v>0.175373</v>
      </c>
      <c r="U353">
        <v>1.306152E-2</v>
      </c>
      <c r="V353">
        <v>6.0651179999999999E-2</v>
      </c>
      <c r="W353">
        <v>8.4796350000000006E-2</v>
      </c>
      <c r="X353">
        <v>0.99455059999999995</v>
      </c>
      <c r="Y353">
        <v>3.1530529999999998E-3</v>
      </c>
      <c r="Z353">
        <v>5.3159439999999995E-4</v>
      </c>
      <c r="AA353">
        <v>0.99999490000000002</v>
      </c>
      <c r="AB353">
        <v>31</v>
      </c>
      <c r="AC353">
        <v>195.21459999999999</v>
      </c>
      <c r="AD353">
        <v>11.430789000000001</v>
      </c>
      <c r="AE353">
        <v>0.84890000000001398</v>
      </c>
      <c r="AF353">
        <v>0.61800071869682605</v>
      </c>
      <c r="AG353">
        <v>11.430789000000001</v>
      </c>
      <c r="AH353">
        <v>194.548427772769</v>
      </c>
      <c r="AI353">
        <v>86.637440972842796</v>
      </c>
      <c r="AJ353">
        <v>89.817995374091794</v>
      </c>
      <c r="AK353">
        <v>194.88492915283899</v>
      </c>
      <c r="AL353">
        <v>85.135685409049302</v>
      </c>
      <c r="AM353">
        <v>86.5102244913341</v>
      </c>
      <c r="AN353">
        <v>0.99999994128453495</v>
      </c>
    </row>
    <row r="354" spans="1:40" x14ac:dyDescent="0.25">
      <c r="A354" t="str">
        <f>"20190312154509784"</f>
        <v>20190312154509784</v>
      </c>
      <c r="B354" t="str">
        <f>"1552376709776712"</f>
        <v>1552376709776712</v>
      </c>
      <c r="C354" t="s">
        <v>40</v>
      </c>
      <c r="D354">
        <v>3.869723</v>
      </c>
      <c r="E354">
        <v>0.47854910000000001</v>
      </c>
      <c r="F354" t="s">
        <v>46</v>
      </c>
      <c r="G354">
        <v>-168.84350000000001</v>
      </c>
      <c r="H354">
        <v>12.51337</v>
      </c>
      <c r="I354">
        <v>368.99169999999998</v>
      </c>
      <c r="J354">
        <v>-363.72269999999997</v>
      </c>
      <c r="K354">
        <v>1.110155</v>
      </c>
      <c r="L354">
        <v>368.20589999999999</v>
      </c>
      <c r="M354">
        <v>0.99986889999999995</v>
      </c>
      <c r="N354">
        <v>0</v>
      </c>
      <c r="O354">
        <v>7.5128979999999996E-3</v>
      </c>
      <c r="P354">
        <v>0.9960968</v>
      </c>
      <c r="Q354">
        <v>7.0567519999999995E-2</v>
      </c>
      <c r="R354">
        <v>-5.3024880000000003E-2</v>
      </c>
      <c r="S354">
        <v>3</v>
      </c>
      <c r="T354">
        <v>0.1752425</v>
      </c>
      <c r="U354">
        <v>1.211548E-2</v>
      </c>
      <c r="V354">
        <v>6.0512870000000003E-2</v>
      </c>
      <c r="W354">
        <v>8.4843859999999993E-2</v>
      </c>
      <c r="X354">
        <v>0.99455510000000003</v>
      </c>
      <c r="Y354">
        <v>3.456565E-3</v>
      </c>
      <c r="Z354">
        <v>5.3939459999999999E-4</v>
      </c>
      <c r="AA354">
        <v>0.99999389999999999</v>
      </c>
      <c r="AB354">
        <v>31</v>
      </c>
      <c r="AC354">
        <v>194.8792</v>
      </c>
      <c r="AD354">
        <v>11.403214999999999</v>
      </c>
      <c r="AE354">
        <v>0.78579999999999395</v>
      </c>
      <c r="AF354">
        <v>0.67616527052082798</v>
      </c>
      <c r="AG354">
        <v>11.403214999999999</v>
      </c>
      <c r="AH354">
        <v>194.21463855246401</v>
      </c>
      <c r="AI354">
        <v>86.639785194578295</v>
      </c>
      <c r="AJ354">
        <v>89.800523482603495</v>
      </c>
      <c r="AK354">
        <v>194.550292572058</v>
      </c>
      <c r="AL354">
        <v>85.132954056819798</v>
      </c>
      <c r="AM354">
        <v>86.518178750633993</v>
      </c>
      <c r="AN354">
        <v>1.0000000674756699</v>
      </c>
    </row>
    <row r="355" spans="1:40" x14ac:dyDescent="0.25">
      <c r="A355" t="str">
        <f>"20190312154509802"</f>
        <v>20190312154509802</v>
      </c>
      <c r="B355" t="str">
        <f>"1552376709796233"</f>
        <v>1552376709796233</v>
      </c>
      <c r="C355" t="s">
        <v>40</v>
      </c>
      <c r="D355">
        <v>3.8991899999999999</v>
      </c>
      <c r="E355">
        <v>0.47854560000000002</v>
      </c>
      <c r="F355" t="s">
        <v>46</v>
      </c>
      <c r="G355">
        <v>-168.84350000000001</v>
      </c>
      <c r="H355">
        <v>12.37937</v>
      </c>
      <c r="I355">
        <v>369.05630000000002</v>
      </c>
      <c r="J355">
        <v>-363.45600000000002</v>
      </c>
      <c r="K355">
        <v>1.1101570000000001</v>
      </c>
      <c r="L355">
        <v>368.2079</v>
      </c>
      <c r="M355">
        <v>0.99986889999999995</v>
      </c>
      <c r="N355">
        <v>0</v>
      </c>
      <c r="O355">
        <v>7.5035029999999999E-3</v>
      </c>
      <c r="P355">
        <v>0.99607820000000002</v>
      </c>
      <c r="Q355">
        <v>7.0855420000000002E-2</v>
      </c>
      <c r="R355">
        <v>-5.2990410000000002E-2</v>
      </c>
      <c r="S355">
        <v>3.0001829999999998</v>
      </c>
      <c r="T355">
        <v>0.1734918</v>
      </c>
      <c r="U355">
        <v>1.3092039999999999E-2</v>
      </c>
      <c r="V355">
        <v>6.0468859999999999E-2</v>
      </c>
      <c r="W355">
        <v>8.5127990000000001E-2</v>
      </c>
      <c r="X355">
        <v>0.99453340000000001</v>
      </c>
      <c r="Y355">
        <v>3.122868E-3</v>
      </c>
      <c r="Z355">
        <v>5.2379870000000004E-4</v>
      </c>
      <c r="AA355">
        <v>0.99999499999999997</v>
      </c>
      <c r="AB355">
        <v>31</v>
      </c>
      <c r="AC355">
        <v>194.61249999999899</v>
      </c>
      <c r="AD355">
        <v>11.269213000000001</v>
      </c>
      <c r="AE355">
        <v>0.84840000000002602</v>
      </c>
      <c r="AF355">
        <v>0.61000434757802102</v>
      </c>
      <c r="AG355">
        <v>11.269213000000001</v>
      </c>
      <c r="AH355">
        <v>193.96302296766399</v>
      </c>
      <c r="AI355">
        <v>86.6748810954481</v>
      </c>
      <c r="AJ355">
        <v>89.819808132304502</v>
      </c>
      <c r="AK355">
        <v>194.29107428211401</v>
      </c>
      <c r="AL355">
        <v>85.116615023935694</v>
      </c>
      <c r="AM355">
        <v>86.520629068979105</v>
      </c>
      <c r="AN355">
        <v>0.99999997071334901</v>
      </c>
    </row>
    <row r="356" spans="1:40" x14ac:dyDescent="0.25">
      <c r="A356" t="str">
        <f>"20190312154509825"</f>
        <v>20190312154509825</v>
      </c>
      <c r="B356" t="str">
        <f>"1552376709816728"</f>
        <v>1552376709816728</v>
      </c>
      <c r="C356" t="s">
        <v>40</v>
      </c>
      <c r="D356">
        <v>3.8926989999999999</v>
      </c>
      <c r="E356">
        <v>0.47849170000000002</v>
      </c>
      <c r="F356" t="s">
        <v>46</v>
      </c>
      <c r="G356">
        <v>-168.84350000000001</v>
      </c>
      <c r="H356">
        <v>12.40387</v>
      </c>
      <c r="I356">
        <v>369.04719999999998</v>
      </c>
      <c r="J356">
        <v>-363.14269999999999</v>
      </c>
      <c r="K356">
        <v>1.1101490000000001</v>
      </c>
      <c r="L356">
        <v>368.21019999999999</v>
      </c>
      <c r="M356">
        <v>0.99986909999999896</v>
      </c>
      <c r="N356">
        <v>0</v>
      </c>
      <c r="O356">
        <v>7.4922649999999997E-3</v>
      </c>
      <c r="P356">
        <v>0.99609289999999995</v>
      </c>
      <c r="Q356">
        <v>7.0675669999999996E-2</v>
      </c>
      <c r="R356">
        <v>-5.2954609999999999E-2</v>
      </c>
      <c r="S356">
        <v>3.0001220000000002</v>
      </c>
      <c r="T356">
        <v>0.1741037</v>
      </c>
      <c r="U356">
        <v>1.293945E-2</v>
      </c>
      <c r="V356">
        <v>6.0421950000000002E-2</v>
      </c>
      <c r="W356">
        <v>8.494554E-2</v>
      </c>
      <c r="X356">
        <v>0.99455190000000004</v>
      </c>
      <c r="Y356">
        <v>3.1622249999999998E-3</v>
      </c>
      <c r="Z356">
        <v>5.2614299999999997E-4</v>
      </c>
      <c r="AA356">
        <v>0.99999490000000002</v>
      </c>
      <c r="AB356">
        <v>31</v>
      </c>
      <c r="AC356">
        <v>194.29920000000001</v>
      </c>
      <c r="AD356">
        <v>11.293721</v>
      </c>
      <c r="AE356">
        <v>0.83699999999998898</v>
      </c>
      <c r="AF356">
        <v>0.616830339967672</v>
      </c>
      <c r="AG356">
        <v>11.293721</v>
      </c>
      <c r="AH356">
        <v>193.64578463616499</v>
      </c>
      <c r="AI356">
        <v>86.662219584019297</v>
      </c>
      <c r="AJ356">
        <v>89.817493287078904</v>
      </c>
      <c r="AK356">
        <v>193.97581942358201</v>
      </c>
      <c r="AL356">
        <v>85.127106879153899</v>
      </c>
      <c r="AM356">
        <v>86.523386153687397</v>
      </c>
      <c r="AN356">
        <v>1.00000001930065</v>
      </c>
    </row>
    <row r="357" spans="1:40" x14ac:dyDescent="0.25">
      <c r="A357" t="str">
        <f>"20190312154509846"</f>
        <v>20190312154509846</v>
      </c>
      <c r="B357" t="str">
        <f>"1552376709836248"</f>
        <v>1552376709836248</v>
      </c>
      <c r="C357" t="s">
        <v>40</v>
      </c>
      <c r="D357">
        <v>3.9631560000000001</v>
      </c>
      <c r="E357">
        <v>0.47836010000000001</v>
      </c>
      <c r="F357" t="s">
        <v>46</v>
      </c>
      <c r="G357">
        <v>-168.84350000000001</v>
      </c>
      <c r="H357">
        <v>12.26749</v>
      </c>
      <c r="I357">
        <v>369.09559999999999</v>
      </c>
      <c r="J357">
        <v>-362.83949999999999</v>
      </c>
      <c r="K357">
        <v>1.110141</v>
      </c>
      <c r="L357">
        <v>368.21249999999998</v>
      </c>
      <c r="M357">
        <v>0.99986929999999996</v>
      </c>
      <c r="N357">
        <v>0</v>
      </c>
      <c r="O357">
        <v>7.4817399999999997E-3</v>
      </c>
      <c r="P357">
        <v>0.99608779999999997</v>
      </c>
      <c r="Q357">
        <v>7.067068E-2</v>
      </c>
      <c r="R357">
        <v>-5.3057149999999997E-2</v>
      </c>
      <c r="S357">
        <v>3.0002439999999999</v>
      </c>
      <c r="T357">
        <v>0.17228589999999999</v>
      </c>
      <c r="U357">
        <v>1.3671880000000001E-2</v>
      </c>
      <c r="V357">
        <v>6.0513900000000002E-2</v>
      </c>
      <c r="W357">
        <v>8.4936990000000004E-2</v>
      </c>
      <c r="X357">
        <v>0.99454699999999996</v>
      </c>
      <c r="Y357">
        <v>2.9085679999999998E-3</v>
      </c>
      <c r="Z357">
        <v>5.1275620000000002E-4</v>
      </c>
      <c r="AA357">
        <v>0.99999559999999998</v>
      </c>
      <c r="AB357">
        <v>31</v>
      </c>
      <c r="AC357">
        <v>193.99600000000001</v>
      </c>
      <c r="AD357">
        <v>11.1573489999999</v>
      </c>
      <c r="AE357">
        <v>0.88310000000001299</v>
      </c>
      <c r="AF357">
        <v>0.56662720541901601</v>
      </c>
      <c r="AG357">
        <v>11.1573489999999</v>
      </c>
      <c r="AH357">
        <v>193.35760603479301</v>
      </c>
      <c r="AI357">
        <v>86.697527528679103</v>
      </c>
      <c r="AJ357">
        <v>89.832097349771701</v>
      </c>
      <c r="AK357">
        <v>193.68007464528699</v>
      </c>
      <c r="AL357">
        <v>85.127598341927197</v>
      </c>
      <c r="AM357">
        <v>86.518091343655996</v>
      </c>
      <c r="AN357">
        <v>0.99999997978623401</v>
      </c>
    </row>
    <row r="358" spans="1:40" x14ac:dyDescent="0.25">
      <c r="A358" t="str">
        <f>"20190312154509868"</f>
        <v>20190312154509868</v>
      </c>
      <c r="B358" t="str">
        <f>"1552376709856744"</f>
        <v>1552376709856744</v>
      </c>
      <c r="C358" t="s">
        <v>40</v>
      </c>
      <c r="D358">
        <v>3.8263799999999999</v>
      </c>
      <c r="E358">
        <v>0.4390831</v>
      </c>
      <c r="F358" t="s">
        <v>46</v>
      </c>
      <c r="G358">
        <v>-168.84350000000001</v>
      </c>
      <c r="H358">
        <v>12.20801</v>
      </c>
      <c r="I358">
        <v>369.15570000000002</v>
      </c>
      <c r="J358">
        <v>-362.53769999999997</v>
      </c>
      <c r="K358">
        <v>1.110139</v>
      </c>
      <c r="L358">
        <v>368.21480000000003</v>
      </c>
      <c r="M358">
        <v>0.99986949999999997</v>
      </c>
      <c r="N358">
        <v>0</v>
      </c>
      <c r="O358">
        <v>7.471508E-3</v>
      </c>
      <c r="P358">
        <v>0.99603450000000004</v>
      </c>
      <c r="Q358">
        <v>7.0922239999999998E-2</v>
      </c>
      <c r="R358">
        <v>-5.3720469999999999E-2</v>
      </c>
      <c r="S358">
        <v>3.0003660000000001</v>
      </c>
      <c r="T358">
        <v>0.171642299999999</v>
      </c>
      <c r="U358">
        <v>1.45874E-2</v>
      </c>
      <c r="V358">
        <v>6.1166739999999997E-2</v>
      </c>
      <c r="W358">
        <v>8.518452E-2</v>
      </c>
      <c r="X358">
        <v>0.99448590000000003</v>
      </c>
      <c r="Y358">
        <v>2.5940490000000002E-3</v>
      </c>
      <c r="Z358">
        <v>5.0124860000000002E-4</v>
      </c>
      <c r="AA358">
        <v>0.99999649999999995</v>
      </c>
      <c r="AB358">
        <v>31</v>
      </c>
      <c r="AC358">
        <v>193.6942</v>
      </c>
      <c r="AD358">
        <v>11.097871</v>
      </c>
      <c r="AE358">
        <v>0.94089999999999896</v>
      </c>
      <c r="AF358">
        <v>0.50480536538734699</v>
      </c>
      <c r="AG358">
        <v>11.097871</v>
      </c>
      <c r="AH358">
        <v>193.06205153078201</v>
      </c>
      <c r="AI358">
        <v>86.710073185082607</v>
      </c>
      <c r="AJ358">
        <v>89.850187280364395</v>
      </c>
      <c r="AK358">
        <v>193.38141924824001</v>
      </c>
      <c r="AL358">
        <v>85.113364374628503</v>
      </c>
      <c r="AM358">
        <v>86.480405819176596</v>
      </c>
      <c r="AN358">
        <v>0.99999998891433395</v>
      </c>
    </row>
    <row r="359" spans="1:40" x14ac:dyDescent="0.25">
      <c r="A359" t="str">
        <f>"20190312154509891"</f>
        <v>20190312154509891</v>
      </c>
      <c r="B359" t="str">
        <f>"1552376709886025"</f>
        <v>1552376709886025</v>
      </c>
      <c r="C359" t="s">
        <v>40</v>
      </c>
      <c r="D359">
        <v>3.8121559999999999</v>
      </c>
      <c r="E359">
        <v>0.42231059999999998</v>
      </c>
      <c r="F359" t="s">
        <v>44</v>
      </c>
      <c r="G359">
        <v>0</v>
      </c>
      <c r="H359">
        <v>0</v>
      </c>
      <c r="I359">
        <v>0</v>
      </c>
      <c r="J359">
        <v>-362.2201</v>
      </c>
      <c r="K359">
        <v>1.1101449999999999</v>
      </c>
      <c r="L359">
        <v>368.21710000000002</v>
      </c>
      <c r="M359">
        <v>0.99986940000000002</v>
      </c>
      <c r="N359">
        <v>0</v>
      </c>
      <c r="O359">
        <v>7.4606280000000004E-3</v>
      </c>
      <c r="P359">
        <v>0.99598560000000003</v>
      </c>
      <c r="Q359">
        <v>7.1219379999999999E-2</v>
      </c>
      <c r="R359">
        <v>-5.4229039999999999E-2</v>
      </c>
      <c r="S359">
        <v>3.0166930000000001</v>
      </c>
      <c r="T359">
        <v>0.1798437</v>
      </c>
      <c r="U359">
        <v>0.32507320000000001</v>
      </c>
      <c r="V359">
        <v>6.1663999999999997E-2</v>
      </c>
      <c r="W359">
        <v>8.5477170000000005E-2</v>
      </c>
      <c r="X359">
        <v>0.99443009999999998</v>
      </c>
      <c r="Y359">
        <v>-9.9554870000000004E-2</v>
      </c>
      <c r="Z359">
        <v>-2.5132739999999998E-3</v>
      </c>
      <c r="AA359">
        <v>0.99502889999999999</v>
      </c>
      <c r="AB359">
        <v>31</v>
      </c>
      <c r="AC359">
        <v>3.0166930000000001</v>
      </c>
      <c r="AD359">
        <v>0.1798437</v>
      </c>
      <c r="AE359">
        <v>0.32507320000000001</v>
      </c>
      <c r="AF359">
        <v>-0.30149616937524298</v>
      </c>
      <c r="AG359">
        <v>0.1798437</v>
      </c>
      <c r="AH359">
        <v>3.0084649072124399</v>
      </c>
      <c r="AI359">
        <v>86.595984482139698</v>
      </c>
      <c r="AJ359">
        <v>95.722843406183202</v>
      </c>
      <c r="AK359">
        <v>3.0288784713993402</v>
      </c>
      <c r="AL359">
        <v>85.096535485513996</v>
      </c>
      <c r="AM359">
        <v>86.451667207220595</v>
      </c>
      <c r="AN359">
        <v>1.0000000096366</v>
      </c>
    </row>
    <row r="360" spans="1:40" x14ac:dyDescent="0.25">
      <c r="A360" t="str">
        <f>"20190312154509913"</f>
        <v>20190312154509913</v>
      </c>
      <c r="B360" t="str">
        <f>"1552376709906520"</f>
        <v>1552376709906520</v>
      </c>
      <c r="C360" t="s">
        <v>40</v>
      </c>
      <c r="D360">
        <v>3.7869489999999999</v>
      </c>
      <c r="E360">
        <v>0.41740169999999999</v>
      </c>
      <c r="F360" t="s">
        <v>48</v>
      </c>
      <c r="G360">
        <v>-205.7045</v>
      </c>
      <c r="H360">
        <v>11.19556</v>
      </c>
      <c r="I360">
        <v>391.87</v>
      </c>
      <c r="J360">
        <v>-361.91660000000002</v>
      </c>
      <c r="K360">
        <v>1.110144</v>
      </c>
      <c r="L360">
        <v>368.21929999999998</v>
      </c>
      <c r="M360">
        <v>0.99986949999999997</v>
      </c>
      <c r="N360">
        <v>0</v>
      </c>
      <c r="O360">
        <v>7.4502219999999899E-3</v>
      </c>
      <c r="P360">
        <v>0.99595619999999996</v>
      </c>
      <c r="Q360">
        <v>7.1212750000000005E-2</v>
      </c>
      <c r="R360">
        <v>-5.4772050000000003E-2</v>
      </c>
      <c r="S360">
        <v>3.0230410000000001</v>
      </c>
      <c r="T360">
        <v>0.194796</v>
      </c>
      <c r="U360">
        <v>0.45684809999999998</v>
      </c>
      <c r="V360">
        <v>6.219645E-2</v>
      </c>
      <c r="W360">
        <v>8.5467210000000002E-2</v>
      </c>
      <c r="X360">
        <v>0.9943978</v>
      </c>
      <c r="Y360">
        <v>-0.14178170000000001</v>
      </c>
      <c r="Z360">
        <v>-4.0607330000000004E-3</v>
      </c>
      <c r="AA360">
        <v>0.98988960000000004</v>
      </c>
      <c r="AB360">
        <v>31</v>
      </c>
      <c r="AC360">
        <v>156.21209999999999</v>
      </c>
      <c r="AD360">
        <v>10.085416</v>
      </c>
      <c r="AE360">
        <v>23.650700000000001</v>
      </c>
      <c r="AF360">
        <v>-22.394852561996</v>
      </c>
      <c r="AG360">
        <v>10.085416</v>
      </c>
      <c r="AH360">
        <v>155.74932379101901</v>
      </c>
      <c r="AI360">
        <v>86.332645492589506</v>
      </c>
      <c r="AJ360">
        <v>98.182351783226295</v>
      </c>
      <c r="AK360">
        <v>157.674021000691</v>
      </c>
      <c r="AL360">
        <v>85.097108266506098</v>
      </c>
      <c r="AM360">
        <v>86.420991772428195</v>
      </c>
      <c r="AN360">
        <v>1.0000000135113101</v>
      </c>
    </row>
    <row r="361" spans="1:40" x14ac:dyDescent="0.25">
      <c r="A361" t="str">
        <f>"20190312154509938"</f>
        <v>20190312154509938</v>
      </c>
      <c r="B361" t="str">
        <f>"1552376709926044"</f>
        <v>1552376709926044</v>
      </c>
      <c r="C361" t="s">
        <v>40</v>
      </c>
      <c r="D361">
        <v>3.8255400000000002</v>
      </c>
      <c r="E361">
        <v>0.41450409999999999</v>
      </c>
      <c r="F361" t="s">
        <v>47</v>
      </c>
      <c r="G361">
        <v>-285.21019999999999</v>
      </c>
      <c r="H361">
        <v>6.0061530000000003</v>
      </c>
      <c r="I361">
        <v>380.75409999999999</v>
      </c>
      <c r="J361">
        <v>-361.5797</v>
      </c>
      <c r="K361">
        <v>1.110144</v>
      </c>
      <c r="L361">
        <v>368.22190000000001</v>
      </c>
      <c r="M361">
        <v>0.99986980000000003</v>
      </c>
      <c r="N361">
        <v>0</v>
      </c>
      <c r="O361">
        <v>7.438152E-3</v>
      </c>
      <c r="P361">
        <v>0.99594269999999996</v>
      </c>
      <c r="Q361">
        <v>7.1182419999999996E-2</v>
      </c>
      <c r="R361">
        <v>-5.5058459999999997E-2</v>
      </c>
      <c r="S361">
        <v>3.0255740000000002</v>
      </c>
      <c r="T361">
        <v>0.19311890000000001</v>
      </c>
      <c r="U361">
        <v>0.4944153</v>
      </c>
      <c r="V361">
        <v>6.2470909999999998E-2</v>
      </c>
      <c r="W361">
        <v>8.543299E-2</v>
      </c>
      <c r="X361">
        <v>0.99438349999999998</v>
      </c>
      <c r="Y361">
        <v>-0.15363729999999901</v>
      </c>
      <c r="Z361">
        <v>-4.3949449999999999E-3</v>
      </c>
      <c r="AA361">
        <v>0.98811749999999998</v>
      </c>
      <c r="AB361">
        <v>31</v>
      </c>
      <c r="AC361">
        <v>76.369500000000002</v>
      </c>
      <c r="AD361">
        <v>4.8960089999999896</v>
      </c>
      <c r="AE361">
        <v>12.5321999999999</v>
      </c>
      <c r="AF361">
        <v>-11.9160560072302</v>
      </c>
      <c r="AG361">
        <v>4.8960089999999896</v>
      </c>
      <c r="AH361">
        <v>76.155818244725396</v>
      </c>
      <c r="AI361">
        <v>86.365652685398203</v>
      </c>
      <c r="AJ361">
        <v>98.892930448328499</v>
      </c>
      <c r="AK361">
        <v>77.237762444410393</v>
      </c>
      <c r="AL361">
        <v>85.099075949776804</v>
      </c>
      <c r="AM361">
        <v>86.405188116011701</v>
      </c>
      <c r="AN361">
        <v>0.99999997772440796</v>
      </c>
    </row>
    <row r="362" spans="1:40" x14ac:dyDescent="0.25">
      <c r="A362" t="str">
        <f>"20190312154509959"</f>
        <v>20190312154509959</v>
      </c>
      <c r="B362" t="str">
        <f>"1552376709946537"</f>
        <v>1552376709946537</v>
      </c>
      <c r="C362" t="s">
        <v>40</v>
      </c>
      <c r="D362">
        <v>3.8556460000000001</v>
      </c>
      <c r="E362">
        <v>0.41261009999999998</v>
      </c>
      <c r="F362" t="s">
        <v>48</v>
      </c>
      <c r="G362">
        <v>-223.06020000000001</v>
      </c>
      <c r="H362">
        <v>9.8059360000000009</v>
      </c>
      <c r="I362">
        <v>391.87</v>
      </c>
      <c r="J362">
        <v>-361.28460000000001</v>
      </c>
      <c r="K362">
        <v>1.1101490000000001</v>
      </c>
      <c r="L362">
        <v>368.22399999999999</v>
      </c>
      <c r="M362">
        <v>0.99986989999999998</v>
      </c>
      <c r="N362">
        <v>0</v>
      </c>
      <c r="O362">
        <v>7.4277459999999998E-3</v>
      </c>
      <c r="P362">
        <v>0.9959403</v>
      </c>
      <c r="Q362">
        <v>7.0996890000000007E-2</v>
      </c>
      <c r="R362">
        <v>-5.5340750000000001E-2</v>
      </c>
      <c r="S362">
        <v>3.0272519999999998</v>
      </c>
      <c r="T362">
        <v>0.1900406</v>
      </c>
      <c r="U362">
        <v>0.51681520000000003</v>
      </c>
      <c r="V362">
        <v>6.2742779999999998E-2</v>
      </c>
      <c r="W362">
        <v>8.5244379999999995E-2</v>
      </c>
      <c r="X362">
        <v>0.99438260000000001</v>
      </c>
      <c r="Y362">
        <v>-0.1606659</v>
      </c>
      <c r="Z362">
        <v>-4.539525E-3</v>
      </c>
      <c r="AA362">
        <v>0.98699840000000005</v>
      </c>
      <c r="AB362">
        <v>31</v>
      </c>
      <c r="AC362">
        <v>138.2244</v>
      </c>
      <c r="AD362">
        <v>8.6957869999999993</v>
      </c>
      <c r="AE362">
        <v>23.646000000000001</v>
      </c>
      <c r="AF362">
        <v>-22.531906428583198</v>
      </c>
      <c r="AG362">
        <v>8.6957869999999993</v>
      </c>
      <c r="AH362">
        <v>137.86611504974101</v>
      </c>
      <c r="AI362">
        <v>86.438032111470704</v>
      </c>
      <c r="AJ362">
        <v>99.281973837689307</v>
      </c>
      <c r="AK362">
        <v>139.96560005145699</v>
      </c>
      <c r="AL362">
        <v>85.109922221943904</v>
      </c>
      <c r="AM362">
        <v>86.389581722186605</v>
      </c>
      <c r="AN362">
        <v>1.0000000079732301</v>
      </c>
    </row>
    <row r="363" spans="1:40" x14ac:dyDescent="0.25">
      <c r="A363" t="str">
        <f>"20190312154509982"</f>
        <v>20190312154509982</v>
      </c>
      <c r="B363" t="str">
        <f>"1552376709976792"</f>
        <v>1552376709976792</v>
      </c>
      <c r="C363" t="s">
        <v>40</v>
      </c>
      <c r="D363">
        <v>3.9205019999999999</v>
      </c>
      <c r="E363">
        <v>0.4116998</v>
      </c>
      <c r="F363" t="s">
        <v>48</v>
      </c>
      <c r="G363">
        <v>-231.31880000000001</v>
      </c>
      <c r="H363">
        <v>9.2473729999999996</v>
      </c>
      <c r="I363">
        <v>391.00349999999997</v>
      </c>
      <c r="J363">
        <v>-360.97620000000001</v>
      </c>
      <c r="K363">
        <v>1.110152</v>
      </c>
      <c r="L363">
        <v>368.22629999999998</v>
      </c>
      <c r="M363">
        <v>0.99987009999999998</v>
      </c>
      <c r="N363">
        <v>0</v>
      </c>
      <c r="O363">
        <v>7.4172159999999999E-3</v>
      </c>
      <c r="P363">
        <v>0.99596399999999996</v>
      </c>
      <c r="Q363">
        <v>7.0659920000000001E-2</v>
      </c>
      <c r="R363">
        <v>-5.5346310000000003E-2</v>
      </c>
      <c r="S363">
        <v>3.0281980000000002</v>
      </c>
      <c r="T363">
        <v>0.18959680000000001</v>
      </c>
      <c r="U363">
        <v>0.530761699999999</v>
      </c>
      <c r="V363">
        <v>6.2737860000000006E-2</v>
      </c>
      <c r="W363">
        <v>8.4904670000000002E-2</v>
      </c>
      <c r="X363">
        <v>0.99441190000000002</v>
      </c>
      <c r="Y363">
        <v>-0.1650307</v>
      </c>
      <c r="Z363">
        <v>-4.6619269999999997E-3</v>
      </c>
      <c r="AA363">
        <v>0.98627739999999997</v>
      </c>
      <c r="AB363">
        <v>31</v>
      </c>
      <c r="AC363">
        <v>129.6574</v>
      </c>
      <c r="AD363">
        <v>8.1372210000000003</v>
      </c>
      <c r="AE363">
        <v>22.777200000000001</v>
      </c>
      <c r="AF363">
        <v>-21.7317446164095</v>
      </c>
      <c r="AG363">
        <v>8.1372210000000003</v>
      </c>
      <c r="AH363">
        <v>129.32865070218099</v>
      </c>
      <c r="AI363">
        <v>86.449404375748401</v>
      </c>
      <c r="AJ363">
        <v>99.538588120385796</v>
      </c>
      <c r="AK363">
        <v>131.39399903390799</v>
      </c>
      <c r="AL363">
        <v>85.129456633782098</v>
      </c>
      <c r="AM363">
        <v>86.3899701759061</v>
      </c>
      <c r="AN363">
        <v>0.99999993446339697</v>
      </c>
    </row>
    <row r="364" spans="1:40" x14ac:dyDescent="0.25">
      <c r="A364" t="str">
        <f>"20190312154510003"</f>
        <v>20190312154510003</v>
      </c>
      <c r="B364" t="str">
        <f>"1552376709996313"</f>
        <v>1552376709996313</v>
      </c>
      <c r="C364" t="s">
        <v>40</v>
      </c>
      <c r="D364">
        <v>3.9189919999999998</v>
      </c>
      <c r="E364">
        <v>0.41164509999999999</v>
      </c>
      <c r="F364" t="s">
        <v>48</v>
      </c>
      <c r="G364">
        <v>-232.86160000000001</v>
      </c>
      <c r="H364">
        <v>8.6253809999999902</v>
      </c>
      <c r="I364">
        <v>391.00349999999997</v>
      </c>
      <c r="J364">
        <v>-360.68029999999999</v>
      </c>
      <c r="K364">
        <v>1.11015</v>
      </c>
      <c r="L364">
        <v>368.2285</v>
      </c>
      <c r="M364">
        <v>0.99987020000000004</v>
      </c>
      <c r="N364">
        <v>0</v>
      </c>
      <c r="O364">
        <v>7.4069869999999899E-3</v>
      </c>
      <c r="P364">
        <v>0.99597250000000004</v>
      </c>
      <c r="Q364">
        <v>7.0492769999999996E-2</v>
      </c>
      <c r="R364">
        <v>-5.5406570000000002E-2</v>
      </c>
      <c r="S364">
        <v>3.02948</v>
      </c>
      <c r="T364">
        <v>0.1777098</v>
      </c>
      <c r="U364">
        <v>0.53860469999999905</v>
      </c>
      <c r="V364">
        <v>6.2788029999999995E-2</v>
      </c>
      <c r="W364">
        <v>8.4734580000000004E-2</v>
      </c>
      <c r="X364">
        <v>0.99442330000000001</v>
      </c>
      <c r="Y364">
        <v>-0.16747809999999999</v>
      </c>
      <c r="Z364">
        <v>-4.4391200000000004E-3</v>
      </c>
      <c r="AA364">
        <v>0.98586580000000001</v>
      </c>
      <c r="AB364">
        <v>31</v>
      </c>
      <c r="AC364">
        <v>127.818699999999</v>
      </c>
      <c r="AD364">
        <v>7.5152309999999902</v>
      </c>
      <c r="AE364">
        <v>22.774999999999899</v>
      </c>
      <c r="AF364">
        <v>-21.754635767435001</v>
      </c>
      <c r="AG364">
        <v>7.5152309999999902</v>
      </c>
      <c r="AH364">
        <v>127.556514178425</v>
      </c>
      <c r="AI364">
        <v>86.676094297002393</v>
      </c>
      <c r="AJ364">
        <v>99.678614322781797</v>
      </c>
      <c r="AK364">
        <v>129.616384703894</v>
      </c>
      <c r="AL364">
        <v>85.139237603629098</v>
      </c>
      <c r="AM364">
        <v>86.387132271249797</v>
      </c>
      <c r="AN364">
        <v>0.99999999267097295</v>
      </c>
    </row>
    <row r="365" spans="1:40" x14ac:dyDescent="0.25">
      <c r="A365" t="str">
        <f>"20190312154510025"</f>
        <v>20190312154510025</v>
      </c>
      <c r="B365" t="str">
        <f>"1552376710015833"</f>
        <v>1552376710015833</v>
      </c>
      <c r="C365" t="s">
        <v>40</v>
      </c>
      <c r="D365">
        <v>3.916804</v>
      </c>
      <c r="E365">
        <v>0.41151280000000001</v>
      </c>
      <c r="F365" t="s">
        <v>48</v>
      </c>
      <c r="G365">
        <v>-232.58709999999999</v>
      </c>
      <c r="H365">
        <v>8.3017939999999992</v>
      </c>
      <c r="I365">
        <v>391.00349999999997</v>
      </c>
      <c r="J365">
        <v>-360.37279999999998</v>
      </c>
      <c r="K365">
        <v>1.1101510000000001</v>
      </c>
      <c r="L365">
        <v>368.23079999999999</v>
      </c>
      <c r="M365">
        <v>0.99987020000000004</v>
      </c>
      <c r="N365">
        <v>0</v>
      </c>
      <c r="O365">
        <v>7.3964649999999996E-3</v>
      </c>
      <c r="P365">
        <v>0.99596510000000005</v>
      </c>
      <c r="Q365">
        <v>7.0585869999999995E-2</v>
      </c>
      <c r="R365">
        <v>-5.5421650000000003E-2</v>
      </c>
      <c r="S365">
        <v>3.0301209999999998</v>
      </c>
      <c r="T365">
        <v>0.17012240000000001</v>
      </c>
      <c r="U365">
        <v>0.53875729999999999</v>
      </c>
      <c r="V365">
        <v>6.279245E-2</v>
      </c>
      <c r="W365">
        <v>8.4823910000000002E-2</v>
      </c>
      <c r="X365">
        <v>0.99441539999999995</v>
      </c>
      <c r="Y365">
        <v>-0.16752300000000001</v>
      </c>
      <c r="Z365">
        <v>-4.250818E-3</v>
      </c>
      <c r="AA365">
        <v>0.98585900000000004</v>
      </c>
      <c r="AB365">
        <v>31</v>
      </c>
      <c r="AC365">
        <v>127.78570000000001</v>
      </c>
      <c r="AD365">
        <v>7.191643</v>
      </c>
      <c r="AE365">
        <v>22.772699999999901</v>
      </c>
      <c r="AF365">
        <v>-21.7600182154506</v>
      </c>
      <c r="AG365">
        <v>7.191643</v>
      </c>
      <c r="AH365">
        <v>127.55907458227</v>
      </c>
      <c r="AI365">
        <v>86.818997383016395</v>
      </c>
      <c r="AJ365">
        <v>99.680773014609102</v>
      </c>
      <c r="AK365">
        <v>129.60144918194899</v>
      </c>
      <c r="AL365">
        <v>85.134100853523407</v>
      </c>
      <c r="AM365">
        <v>86.386849987095502</v>
      </c>
      <c r="AN365">
        <v>0.99999998762092501</v>
      </c>
    </row>
    <row r="366" spans="1:40" x14ac:dyDescent="0.25">
      <c r="A366" t="str">
        <f>"20190312154510048"</f>
        <v>20190312154510048</v>
      </c>
      <c r="B366" t="str">
        <f>"1552376710036332"</f>
        <v>1552376710036332</v>
      </c>
      <c r="C366" t="s">
        <v>40</v>
      </c>
      <c r="D366">
        <v>3.9631829999999999</v>
      </c>
      <c r="E366">
        <v>0.41134470000000001</v>
      </c>
      <c r="F366" t="s">
        <v>48</v>
      </c>
      <c r="G366">
        <v>-232.6062</v>
      </c>
      <c r="H366">
        <v>8.0519239999999996</v>
      </c>
      <c r="I366">
        <v>391.00349999999997</v>
      </c>
      <c r="J366">
        <v>-360.07330000000002</v>
      </c>
      <c r="K366">
        <v>1.110144</v>
      </c>
      <c r="L366">
        <v>368.23289999999997</v>
      </c>
      <c r="M366">
        <v>0.9998705</v>
      </c>
      <c r="N366">
        <v>0</v>
      </c>
      <c r="O366">
        <v>7.3857039999999999E-3</v>
      </c>
      <c r="P366">
        <v>0.9959884</v>
      </c>
      <c r="Q366">
        <v>7.0192459999999998E-2</v>
      </c>
      <c r="R366">
        <v>-5.5501799999999997E-2</v>
      </c>
      <c r="S366">
        <v>3.0305789999999999</v>
      </c>
      <c r="T366">
        <v>0.16465639999999901</v>
      </c>
      <c r="U366">
        <v>0.54016109999999995</v>
      </c>
      <c r="V366">
        <v>6.2862169999999995E-2</v>
      </c>
      <c r="W366">
        <v>8.4427639999999998E-2</v>
      </c>
      <c r="X366">
        <v>0.99444469999999996</v>
      </c>
      <c r="Y366">
        <v>-0.16796539999999999</v>
      </c>
      <c r="Z366">
        <v>-4.1261600000000002E-3</v>
      </c>
      <c r="AA366">
        <v>0.9857842</v>
      </c>
      <c r="AB366">
        <v>31</v>
      </c>
      <c r="AC366">
        <v>127.4671</v>
      </c>
      <c r="AD366">
        <v>6.9417799999999996</v>
      </c>
      <c r="AE366">
        <v>22.770600000000002</v>
      </c>
      <c r="AF366">
        <v>-21.7658908077223</v>
      </c>
      <c r="AG366">
        <v>6.9417799999999996</v>
      </c>
      <c r="AH366">
        <v>127.266040613537</v>
      </c>
      <c r="AI366">
        <v>86.922468277138293</v>
      </c>
      <c r="AJ366">
        <v>99.705208807998801</v>
      </c>
      <c r="AK366">
        <v>129.30037666483599</v>
      </c>
      <c r="AL366">
        <v>85.156887106413606</v>
      </c>
      <c r="AM366">
        <v>86.382955154536205</v>
      </c>
      <c r="AN366">
        <v>0.99999997008558295</v>
      </c>
    </row>
    <row r="367" spans="1:40" x14ac:dyDescent="0.25">
      <c r="A367" t="str">
        <f>"20190312154510070"</f>
        <v>20190312154510070</v>
      </c>
      <c r="B367" t="str">
        <f>"1552376710056824"</f>
        <v>1552376710056824</v>
      </c>
      <c r="C367" t="s">
        <v>40</v>
      </c>
      <c r="D367">
        <v>4.0111179999999997</v>
      </c>
      <c r="E367">
        <v>0.41118149999999998</v>
      </c>
      <c r="F367" t="s">
        <v>48</v>
      </c>
      <c r="G367">
        <v>-235.2123</v>
      </c>
      <c r="H367">
        <v>7.5945080000000003</v>
      </c>
      <c r="I367">
        <v>390.52749999999997</v>
      </c>
      <c r="J367">
        <v>-359.76670000000001</v>
      </c>
      <c r="K367">
        <v>1.110142</v>
      </c>
      <c r="L367">
        <v>368.23520000000002</v>
      </c>
      <c r="M367">
        <v>0.9998705</v>
      </c>
      <c r="N367">
        <v>0</v>
      </c>
      <c r="O367">
        <v>7.3748240000000003E-3</v>
      </c>
      <c r="P367">
        <v>0.99600420000000001</v>
      </c>
      <c r="Q367">
        <v>6.9903199999999999E-2</v>
      </c>
      <c r="R367">
        <v>-5.558486E-2</v>
      </c>
      <c r="S367">
        <v>3.031158</v>
      </c>
      <c r="T367">
        <v>0.157416</v>
      </c>
      <c r="U367">
        <v>0.54122919999999997</v>
      </c>
      <c r="V367">
        <v>6.2934229999999994E-2</v>
      </c>
      <c r="W367">
        <v>8.4134970000000003E-2</v>
      </c>
      <c r="X367">
        <v>0.99446500000000004</v>
      </c>
      <c r="Y367">
        <v>-0.16829959999999999</v>
      </c>
      <c r="Z367">
        <v>-3.9532660000000004E-3</v>
      </c>
      <c r="AA367">
        <v>0.98572800000000005</v>
      </c>
      <c r="AB367">
        <v>31</v>
      </c>
      <c r="AC367">
        <v>124.5544</v>
      </c>
      <c r="AD367">
        <v>6.4843659999999996</v>
      </c>
      <c r="AE367">
        <v>22.292299999999901</v>
      </c>
      <c r="AF367">
        <v>-21.317050606936299</v>
      </c>
      <c r="AG367">
        <v>6.4843659999999996</v>
      </c>
      <c r="AH367">
        <v>124.388764200376</v>
      </c>
      <c r="AI367">
        <v>87.058684059369298</v>
      </c>
      <c r="AJ367">
        <v>99.724563686438998</v>
      </c>
      <c r="AK367">
        <v>126.368620742245</v>
      </c>
      <c r="AL367">
        <v>85.173715996723502</v>
      </c>
      <c r="AM367">
        <v>86.378893621721403</v>
      </c>
      <c r="AN367">
        <v>1.00000002335379</v>
      </c>
    </row>
    <row r="368" spans="1:40" x14ac:dyDescent="0.25">
      <c r="A368" t="str">
        <f>"20190312154510092"</f>
        <v>20190312154510092</v>
      </c>
      <c r="B368" t="str">
        <f>"1552376710086104"</f>
        <v>1552376710086104</v>
      </c>
      <c r="C368" t="s">
        <v>40</v>
      </c>
      <c r="D368">
        <v>4.03512</v>
      </c>
      <c r="E368">
        <v>0.41102050000000001</v>
      </c>
      <c r="F368" t="s">
        <v>48</v>
      </c>
      <c r="G368">
        <v>-235.2124</v>
      </c>
      <c r="H368">
        <v>7.3785509999999999</v>
      </c>
      <c r="I368">
        <v>390.52809999999999</v>
      </c>
      <c r="J368">
        <v>-359.464</v>
      </c>
      <c r="K368">
        <v>1.1101490000000001</v>
      </c>
      <c r="L368">
        <v>368.23739999999998</v>
      </c>
      <c r="M368">
        <v>0.9998707</v>
      </c>
      <c r="N368">
        <v>0</v>
      </c>
      <c r="O368">
        <v>7.3641219999999999E-3</v>
      </c>
      <c r="P368">
        <v>0.99601419999999996</v>
      </c>
      <c r="Q368">
        <v>6.9675860000000006E-2</v>
      </c>
      <c r="R368">
        <v>-5.5689280000000001E-2</v>
      </c>
      <c r="S368">
        <v>3.0316160000000001</v>
      </c>
      <c r="T368">
        <v>0.15257119999999999</v>
      </c>
      <c r="U368">
        <v>0.54260249999999999</v>
      </c>
      <c r="V368">
        <v>6.3028310000000004E-2</v>
      </c>
      <c r="W368">
        <v>8.3904510000000002E-2</v>
      </c>
      <c r="X368">
        <v>0.99447850000000004</v>
      </c>
      <c r="Y368">
        <v>-0.1687293</v>
      </c>
      <c r="Z368">
        <v>-3.842285E-3</v>
      </c>
      <c r="AA368">
        <v>0.98565499999999995</v>
      </c>
      <c r="AB368">
        <v>31</v>
      </c>
      <c r="AC368">
        <v>124.2516</v>
      </c>
      <c r="AD368">
        <v>6.268402</v>
      </c>
      <c r="AE368">
        <v>22.290700000000001</v>
      </c>
      <c r="AF368">
        <v>-21.3224218284582</v>
      </c>
      <c r="AG368">
        <v>6.268402</v>
      </c>
      <c r="AH368">
        <v>124.106380649483</v>
      </c>
      <c r="AI368">
        <v>87.150228192040998</v>
      </c>
      <c r="AJ368">
        <v>99.748675057341003</v>
      </c>
      <c r="AK368">
        <v>126.08065773217901</v>
      </c>
      <c r="AL368">
        <v>85.186967176467107</v>
      </c>
      <c r="AM368">
        <v>86.373543985088105</v>
      </c>
      <c r="AN368">
        <v>1.0000000108110201</v>
      </c>
    </row>
    <row r="369" spans="1:40" x14ac:dyDescent="0.25">
      <c r="A369" t="str">
        <f>"20190312154510114"</f>
        <v>20190312154510114</v>
      </c>
      <c r="B369" t="str">
        <f>"1552376710106599"</f>
        <v>1552376710106599</v>
      </c>
      <c r="C369" t="s">
        <v>40</v>
      </c>
      <c r="D369">
        <v>4.0781320000000001</v>
      </c>
      <c r="E369">
        <v>0.41100039999999999</v>
      </c>
      <c r="F369" t="s">
        <v>48</v>
      </c>
      <c r="G369">
        <v>-235.21250000000001</v>
      </c>
      <c r="H369">
        <v>7.1078190000000001</v>
      </c>
      <c r="I369">
        <v>390.51960000000003</v>
      </c>
      <c r="J369">
        <v>-359.16090000000003</v>
      </c>
      <c r="K369">
        <v>1.110147</v>
      </c>
      <c r="L369">
        <v>368.2396</v>
      </c>
      <c r="M369">
        <v>0.9998707</v>
      </c>
      <c r="N369">
        <v>0</v>
      </c>
      <c r="O369">
        <v>7.3533599999999998E-3</v>
      </c>
      <c r="P369">
        <v>0.99601390000000001</v>
      </c>
      <c r="Q369">
        <v>6.9653409999999999E-2</v>
      </c>
      <c r="R369">
        <v>-5.5721060000000003E-2</v>
      </c>
      <c r="S369">
        <v>3.0321660000000001</v>
      </c>
      <c r="T369">
        <v>0.14636370000000001</v>
      </c>
      <c r="U369">
        <v>0.54376219999999997</v>
      </c>
      <c r="V369">
        <v>6.3049289999999994E-2</v>
      </c>
      <c r="W369">
        <v>8.387886E-2</v>
      </c>
      <c r="X369">
        <v>0.99447929999999995</v>
      </c>
      <c r="Y369">
        <v>-0.16908960000000001</v>
      </c>
      <c r="Z369">
        <v>-3.6944980000000001E-3</v>
      </c>
      <c r="AA369">
        <v>0.98559370000000002</v>
      </c>
      <c r="AB369">
        <v>31</v>
      </c>
      <c r="AC369">
        <v>123.94840000000001</v>
      </c>
      <c r="AD369">
        <v>5.9976719999999997</v>
      </c>
      <c r="AE369">
        <v>22.28</v>
      </c>
      <c r="AF369">
        <v>-21.3195110927937</v>
      </c>
      <c r="AG369">
        <v>5.9976719999999997</v>
      </c>
      <c r="AH369">
        <v>123.828036418343</v>
      </c>
      <c r="AI369">
        <v>87.2671638877747</v>
      </c>
      <c r="AJ369">
        <v>99.768858509514899</v>
      </c>
      <c r="AK369">
        <v>125.79298957365501</v>
      </c>
      <c r="AL369">
        <v>85.188441849712106</v>
      </c>
      <c r="AM369">
        <v>86.372342993471904</v>
      </c>
      <c r="AN369">
        <v>0.99999997712644595</v>
      </c>
    </row>
    <row r="370" spans="1:40" x14ac:dyDescent="0.25">
      <c r="A370" t="str">
        <f>"20190312154510136"</f>
        <v>20190312154510136</v>
      </c>
      <c r="B370" t="str">
        <f>"1552376710126124"</f>
        <v>1552376710126124</v>
      </c>
      <c r="C370" t="s">
        <v>40</v>
      </c>
      <c r="D370">
        <v>4.3184370000000003</v>
      </c>
      <c r="E370">
        <v>0.44825769999999998</v>
      </c>
      <c r="F370" t="s">
        <v>48</v>
      </c>
      <c r="G370">
        <v>-235.21250000000001</v>
      </c>
      <c r="H370">
        <v>7.0198759999999902</v>
      </c>
      <c r="I370">
        <v>390.46370000000002</v>
      </c>
      <c r="J370">
        <v>-358.85270000000003</v>
      </c>
      <c r="K370">
        <v>1.11015</v>
      </c>
      <c r="L370">
        <v>368.24189999999999</v>
      </c>
      <c r="M370">
        <v>0.99987099999999995</v>
      </c>
      <c r="N370">
        <v>0</v>
      </c>
      <c r="O370">
        <v>7.3424780000000004E-3</v>
      </c>
      <c r="P370">
        <v>0.99601510000000004</v>
      </c>
      <c r="Q370">
        <v>6.9649630000000004E-2</v>
      </c>
      <c r="R370">
        <v>-5.570721E-2</v>
      </c>
      <c r="S370">
        <v>3.032349</v>
      </c>
      <c r="T370">
        <v>0.14457909999999999</v>
      </c>
      <c r="U370">
        <v>0.5437012</v>
      </c>
      <c r="V370">
        <v>6.30246E-2</v>
      </c>
      <c r="W370">
        <v>8.3871269999999998E-2</v>
      </c>
      <c r="X370">
        <v>0.99448150000000002</v>
      </c>
      <c r="Y370">
        <v>-0.16907520000000001</v>
      </c>
      <c r="Z370">
        <v>-3.6494629999999999E-3</v>
      </c>
      <c r="AA370">
        <v>0.98559640000000004</v>
      </c>
      <c r="AB370">
        <v>30</v>
      </c>
      <c r="AC370">
        <v>123.64019999999999</v>
      </c>
      <c r="AD370">
        <v>5.9097259999999903</v>
      </c>
      <c r="AE370">
        <v>22.221800000000002</v>
      </c>
      <c r="AF370">
        <v>-21.266217720815501</v>
      </c>
      <c r="AG370">
        <v>5.9097259999999903</v>
      </c>
      <c r="AH370">
        <v>123.52666477506899</v>
      </c>
      <c r="AI370">
        <v>87.300611830585694</v>
      </c>
      <c r="AJ370">
        <v>99.768225077941395</v>
      </c>
      <c r="AK370">
        <v>125.483121526349</v>
      </c>
      <c r="AL370">
        <v>85.188878237712601</v>
      </c>
      <c r="AM370">
        <v>86.373767787448898</v>
      </c>
      <c r="AN370">
        <v>0.99999997198941104</v>
      </c>
    </row>
    <row r="371" spans="1:40" x14ac:dyDescent="0.25">
      <c r="A371" t="str">
        <f>"20190312154510161"</f>
        <v>20190312154510161</v>
      </c>
      <c r="B371" t="str">
        <f>"1552376710156376"</f>
        <v>1552376710156376</v>
      </c>
      <c r="C371" t="s">
        <v>40</v>
      </c>
      <c r="D371">
        <v>4.2308529999999998</v>
      </c>
      <c r="E371">
        <v>0.47811239999999999</v>
      </c>
      <c r="F371" t="s">
        <v>46</v>
      </c>
      <c r="G371">
        <v>-168.84350000000001</v>
      </c>
      <c r="H371">
        <v>10.37232</v>
      </c>
      <c r="I371">
        <v>383.79649999999998</v>
      </c>
      <c r="J371">
        <v>-358.52879999999999</v>
      </c>
      <c r="K371">
        <v>1.110152</v>
      </c>
      <c r="L371">
        <v>368.24430000000001</v>
      </c>
      <c r="M371">
        <v>0.99987099999999995</v>
      </c>
      <c r="N371">
        <v>0</v>
      </c>
      <c r="O371">
        <v>7.3312389999999998E-3</v>
      </c>
      <c r="P371">
        <v>0.99598600000000004</v>
      </c>
      <c r="Q371">
        <v>7.0047810000000002E-2</v>
      </c>
      <c r="R371">
        <v>-5.5727440000000003E-2</v>
      </c>
      <c r="S371">
        <v>3.0155029999999998</v>
      </c>
      <c r="T371">
        <v>0.14699470000000001</v>
      </c>
      <c r="U371">
        <v>0.24685670000000001</v>
      </c>
      <c r="V371">
        <v>6.3033359999999997E-2</v>
      </c>
      <c r="W371">
        <v>8.4265629999999994E-2</v>
      </c>
      <c r="X371">
        <v>0.99444759999999999</v>
      </c>
      <c r="Y371">
        <v>-7.4201030000000001E-2</v>
      </c>
      <c r="Z371">
        <v>-1.4478570000000001E-3</v>
      </c>
      <c r="AA371">
        <v>0.99724230000000003</v>
      </c>
      <c r="AB371">
        <v>30</v>
      </c>
      <c r="AC371">
        <v>189.68530000000001</v>
      </c>
      <c r="AD371">
        <v>9.2621679999999902</v>
      </c>
      <c r="AE371">
        <v>15.5521999999999</v>
      </c>
      <c r="AF371">
        <v>-14.127552493794401</v>
      </c>
      <c r="AG371">
        <v>9.2621679999999902</v>
      </c>
      <c r="AH371">
        <v>189.34579034111101</v>
      </c>
      <c r="AI371">
        <v>87.2072632783091</v>
      </c>
      <c r="AJ371">
        <v>94.267071669706894</v>
      </c>
      <c r="AK371">
        <v>190.09787956583099</v>
      </c>
      <c r="AL371">
        <v>85.166202768042297</v>
      </c>
      <c r="AM371">
        <v>86.373141807659906</v>
      </c>
      <c r="AN371">
        <v>0.99999996500897204</v>
      </c>
    </row>
    <row r="372" spans="1:40" x14ac:dyDescent="0.25">
      <c r="A372" t="str">
        <f>"20190312154510181"</f>
        <v>20190312154510181</v>
      </c>
      <c r="B372" t="str">
        <f>"1552376710175896"</f>
        <v>1552376710175896</v>
      </c>
      <c r="C372" t="s">
        <v>40</v>
      </c>
      <c r="D372">
        <v>4.2194799999999999</v>
      </c>
      <c r="E372">
        <v>0.48498930000000001</v>
      </c>
      <c r="F372" t="s">
        <v>46</v>
      </c>
      <c r="G372">
        <v>-170.08879999999999</v>
      </c>
      <c r="H372">
        <v>6.9542950000000001</v>
      </c>
      <c r="I372">
        <v>368.8947</v>
      </c>
      <c r="J372">
        <v>-358.2484</v>
      </c>
      <c r="K372">
        <v>1.11016</v>
      </c>
      <c r="L372">
        <v>368.24630000000002</v>
      </c>
      <c r="M372">
        <v>0.99987130000000002</v>
      </c>
      <c r="N372">
        <v>0</v>
      </c>
      <c r="O372">
        <v>7.3213669999999996E-3</v>
      </c>
      <c r="P372">
        <v>0.99599320000000002</v>
      </c>
      <c r="Q372">
        <v>6.9924349999999996E-2</v>
      </c>
      <c r="R372">
        <v>-5.5753530000000003E-2</v>
      </c>
      <c r="S372">
        <v>3.0061040000000001</v>
      </c>
      <c r="T372">
        <v>9.3230489999999999E-2</v>
      </c>
      <c r="U372">
        <v>1.037598E-2</v>
      </c>
      <c r="V372">
        <v>6.304978E-2</v>
      </c>
      <c r="W372">
        <v>8.4139240000000004E-2</v>
      </c>
      <c r="X372">
        <v>0.99445729999999999</v>
      </c>
      <c r="Y372">
        <v>3.8651670000000001E-3</v>
      </c>
      <c r="Z372">
        <v>2.869506E-4</v>
      </c>
      <c r="AA372">
        <v>0.99999249999999995</v>
      </c>
      <c r="AB372">
        <v>30</v>
      </c>
      <c r="AC372">
        <v>188.15960000000001</v>
      </c>
      <c r="AD372">
        <v>5.8441349999999996</v>
      </c>
      <c r="AE372">
        <v>0.64839999999997999</v>
      </c>
      <c r="AF372">
        <v>0.72864034858174498</v>
      </c>
      <c r="AG372">
        <v>5.8441349999999996</v>
      </c>
      <c r="AH372">
        <v>187.97796537311001</v>
      </c>
      <c r="AI372">
        <v>88.219291620661394</v>
      </c>
      <c r="AJ372">
        <v>89.777911163211897</v>
      </c>
      <c r="AK372">
        <v>188.070200447785</v>
      </c>
      <c r="AL372">
        <v>85.173470379510704</v>
      </c>
      <c r="AM372">
        <v>86.372234836125799</v>
      </c>
      <c r="AN372">
        <v>1.00000000399455</v>
      </c>
    </row>
    <row r="373" spans="1:40" x14ac:dyDescent="0.25">
      <c r="A373" t="str">
        <f>"20190312154510203"</f>
        <v>20190312154510203</v>
      </c>
      <c r="B373" t="str">
        <f>"1552376710196392"</f>
        <v>1552376710196392</v>
      </c>
      <c r="C373" t="s">
        <v>40</v>
      </c>
      <c r="D373">
        <v>4.253482</v>
      </c>
      <c r="E373">
        <v>0.48848219999999998</v>
      </c>
      <c r="F373" t="s">
        <v>46</v>
      </c>
      <c r="G373">
        <v>-158.19499999999999</v>
      </c>
      <c r="H373">
        <v>6.0869929999999997</v>
      </c>
      <c r="I373">
        <v>365.34050000000002</v>
      </c>
      <c r="J373">
        <v>-357.9529</v>
      </c>
      <c r="K373">
        <v>1.110161</v>
      </c>
      <c r="L373">
        <v>368.24849999999998</v>
      </c>
      <c r="M373">
        <v>0.99987119999999996</v>
      </c>
      <c r="N373">
        <v>0</v>
      </c>
      <c r="O373">
        <v>7.3111390000000004E-3</v>
      </c>
      <c r="P373">
        <v>0.99599340000000003</v>
      </c>
      <c r="Q373">
        <v>6.9875859999999998E-2</v>
      </c>
      <c r="R373">
        <v>-5.58057E-2</v>
      </c>
      <c r="S373">
        <v>3.0043639999999998</v>
      </c>
      <c r="T373">
        <v>7.4742439999999993E-2</v>
      </c>
      <c r="U373">
        <v>-4.3640140000000001E-2</v>
      </c>
      <c r="V373">
        <v>6.3092019999999999E-2</v>
      </c>
      <c r="W373">
        <v>8.4087449999999994E-2</v>
      </c>
      <c r="X373">
        <v>0.99445899999999998</v>
      </c>
      <c r="Y373">
        <v>2.1825770000000001E-2</v>
      </c>
      <c r="Z373">
        <v>4.533022E-4</v>
      </c>
      <c r="AA373">
        <v>0.99976169999999998</v>
      </c>
      <c r="AB373">
        <v>30</v>
      </c>
      <c r="AC373">
        <v>199.75790000000001</v>
      </c>
      <c r="AD373">
        <v>4.9768319999999999</v>
      </c>
      <c r="AE373">
        <v>-2.9079999999999502</v>
      </c>
      <c r="AF373">
        <v>4.3658197292066498</v>
      </c>
      <c r="AG373">
        <v>4.9768319999999999</v>
      </c>
      <c r="AH373">
        <v>199.60742234923799</v>
      </c>
      <c r="AI373">
        <v>88.572075831687201</v>
      </c>
      <c r="AJ373">
        <v>88.747024710746004</v>
      </c>
      <c r="AK373">
        <v>199.71718077213899</v>
      </c>
      <c r="AL373">
        <v>85.176448273598595</v>
      </c>
      <c r="AM373">
        <v>86.369817112408199</v>
      </c>
      <c r="AN373">
        <v>1.00000000245809</v>
      </c>
    </row>
    <row r="374" spans="1:40" x14ac:dyDescent="0.25">
      <c r="A374" t="str">
        <f>"20190312154510226"</f>
        <v>20190312154510226</v>
      </c>
      <c r="B374" t="str">
        <f>"1552376710215913"</f>
        <v>1552376710215913</v>
      </c>
      <c r="C374" t="s">
        <v>40</v>
      </c>
      <c r="D374">
        <v>4.2410560000000004</v>
      </c>
      <c r="E374">
        <v>0.49006040000000001</v>
      </c>
      <c r="F374" t="s">
        <v>46</v>
      </c>
      <c r="G374">
        <v>-158.19499999999999</v>
      </c>
      <c r="H374">
        <v>5.2659729999999998</v>
      </c>
      <c r="I374">
        <v>363.50959999999998</v>
      </c>
      <c r="J374">
        <v>-357.64949999999999</v>
      </c>
      <c r="K374">
        <v>1.1101620000000001</v>
      </c>
      <c r="L374">
        <v>368.25069999999999</v>
      </c>
      <c r="M374">
        <v>0.99987130000000002</v>
      </c>
      <c r="N374">
        <v>0</v>
      </c>
      <c r="O374">
        <v>7.3002569999999897E-3</v>
      </c>
      <c r="P374">
        <v>0.99603569999999997</v>
      </c>
      <c r="Q374">
        <v>6.9411780000000006E-2</v>
      </c>
      <c r="R374">
        <v>-5.563299E-2</v>
      </c>
      <c r="S374">
        <v>3.0036930000000002</v>
      </c>
      <c r="T374">
        <v>6.2490820000000002E-2</v>
      </c>
      <c r="U374">
        <v>-7.1258539999999995E-2</v>
      </c>
      <c r="V374">
        <v>6.2908430000000001E-2</v>
      </c>
      <c r="W374">
        <v>8.3620829999999993E-2</v>
      </c>
      <c r="X374">
        <v>0.99451000000000001</v>
      </c>
      <c r="Y374">
        <v>3.1007E-2</v>
      </c>
      <c r="Z374">
        <v>4.7432429999999997E-4</v>
      </c>
      <c r="AA374">
        <v>0.99951909999999999</v>
      </c>
      <c r="AB374">
        <v>30</v>
      </c>
      <c r="AC374">
        <v>199.4545</v>
      </c>
      <c r="AD374">
        <v>4.1558109999999999</v>
      </c>
      <c r="AE374">
        <v>-4.7411000000000101</v>
      </c>
      <c r="AF374">
        <v>6.1945036273131597</v>
      </c>
      <c r="AG374">
        <v>4.1558109999999999</v>
      </c>
      <c r="AH374">
        <v>199.32808297357099</v>
      </c>
      <c r="AI374">
        <v>88.806183816470707</v>
      </c>
      <c r="AJ374">
        <v>88.219996311610998</v>
      </c>
      <c r="AK374">
        <v>199.467609656744</v>
      </c>
      <c r="AL374">
        <v>85.2032782417878</v>
      </c>
      <c r="AM374">
        <v>86.380537500322205</v>
      </c>
      <c r="AN374">
        <v>1.00000002693747</v>
      </c>
    </row>
    <row r="375" spans="1:40" x14ac:dyDescent="0.25">
      <c r="A375" t="str">
        <f>"20190312154510249"</f>
        <v>20190312154510249</v>
      </c>
      <c r="B375" t="str">
        <f>"1552376710236410"</f>
        <v>1552376710236410</v>
      </c>
      <c r="C375" t="s">
        <v>40</v>
      </c>
      <c r="D375">
        <v>4.2387449999999998</v>
      </c>
      <c r="E375">
        <v>0.49120279999999999</v>
      </c>
      <c r="F375" t="s">
        <v>46</v>
      </c>
      <c r="G375">
        <v>-158.19499999999999</v>
      </c>
      <c r="H375">
        <v>4.3764690000000002</v>
      </c>
      <c r="I375">
        <v>362.74110000000002</v>
      </c>
      <c r="J375">
        <v>-357.33690000000001</v>
      </c>
      <c r="K375">
        <v>1.11016</v>
      </c>
      <c r="L375">
        <v>368.25299999999999</v>
      </c>
      <c r="M375">
        <v>0.99987159999999997</v>
      </c>
      <c r="N375">
        <v>0</v>
      </c>
      <c r="O375">
        <v>7.2890169999999897E-3</v>
      </c>
      <c r="P375">
        <v>0.9960251</v>
      </c>
      <c r="Q375">
        <v>6.9505799999999895E-2</v>
      </c>
      <c r="R375">
        <v>-5.5708559999999997E-2</v>
      </c>
      <c r="S375">
        <v>3.0039060000000002</v>
      </c>
      <c r="T375">
        <v>4.9193859999999999E-2</v>
      </c>
      <c r="U375">
        <v>-8.2977289999999995E-2</v>
      </c>
      <c r="V375">
        <v>6.2972669999999994E-2</v>
      </c>
      <c r="W375">
        <v>8.371112E-2</v>
      </c>
      <c r="X375">
        <v>0.99449829999999995</v>
      </c>
      <c r="Y375">
        <v>3.4893189999999998E-2</v>
      </c>
      <c r="Z375">
        <v>4.0499600000000002E-4</v>
      </c>
      <c r="AA375">
        <v>0.99939100000000003</v>
      </c>
      <c r="AB375">
        <v>30</v>
      </c>
      <c r="AC375">
        <v>199.14189999999999</v>
      </c>
      <c r="AD375">
        <v>3.2663090000000001</v>
      </c>
      <c r="AE375">
        <v>-5.5119000000000202</v>
      </c>
      <c r="AF375">
        <v>6.9615786785916702</v>
      </c>
      <c r="AG375">
        <v>3.2663090000000001</v>
      </c>
      <c r="AH375">
        <v>199.042922133178</v>
      </c>
      <c r="AI375">
        <v>89.060430820489202</v>
      </c>
      <c r="AJ375">
        <v>87.996881523715501</v>
      </c>
      <c r="AK375">
        <v>199.19140845803599</v>
      </c>
      <c r="AL375">
        <v>85.198086620216699</v>
      </c>
      <c r="AM375">
        <v>86.376808753890501</v>
      </c>
      <c r="AN375">
        <v>0.99999998874073603</v>
      </c>
    </row>
    <row r="376" spans="1:40" x14ac:dyDescent="0.25">
      <c r="A376" t="str">
        <f>"20190312154510270"</f>
        <v>20190312154510270</v>
      </c>
      <c r="B376" t="str">
        <f>"1552376710255928"</f>
        <v>1552376710255928</v>
      </c>
      <c r="C376" t="s">
        <v>40</v>
      </c>
      <c r="D376">
        <v>4.1764489999999999</v>
      </c>
      <c r="E376">
        <v>0.49255640000000001</v>
      </c>
      <c r="F376" t="s">
        <v>46</v>
      </c>
      <c r="G376">
        <v>-158.19499999999999</v>
      </c>
      <c r="H376">
        <v>3.853758</v>
      </c>
      <c r="I376">
        <v>362.15530000000001</v>
      </c>
      <c r="J376">
        <v>-357.04680000000002</v>
      </c>
      <c r="K376">
        <v>1.110161</v>
      </c>
      <c r="L376">
        <v>368.25510000000003</v>
      </c>
      <c r="M376">
        <v>0.99987159999999997</v>
      </c>
      <c r="N376">
        <v>0</v>
      </c>
      <c r="O376">
        <v>7.2787879999999996E-3</v>
      </c>
      <c r="P376">
        <v>0.99603799999999998</v>
      </c>
      <c r="Q376">
        <v>6.9174680000000002E-2</v>
      </c>
      <c r="R376">
        <v>-5.5887939999999997E-2</v>
      </c>
      <c r="S376">
        <v>3.0039370000000001</v>
      </c>
      <c r="T376">
        <v>4.1386840000000001E-2</v>
      </c>
      <c r="U376">
        <v>-9.1979980000000003E-2</v>
      </c>
      <c r="V376">
        <v>6.3142160000000003E-2</v>
      </c>
      <c r="W376">
        <v>8.3377080000000006E-2</v>
      </c>
      <c r="X376">
        <v>0.99451560000000006</v>
      </c>
      <c r="Y376">
        <v>3.7876489999999999E-2</v>
      </c>
      <c r="Z376">
        <v>3.611167E-4</v>
      </c>
      <c r="AA376">
        <v>0.99928240000000002</v>
      </c>
      <c r="AB376">
        <v>30</v>
      </c>
      <c r="AC376">
        <v>198.8518</v>
      </c>
      <c r="AD376">
        <v>2.7435969999999998</v>
      </c>
      <c r="AE376">
        <v>-6.0998000000000099</v>
      </c>
      <c r="AF376">
        <v>7.5457509108813996</v>
      </c>
      <c r="AG376">
        <v>2.7435969999999998</v>
      </c>
      <c r="AH376">
        <v>198.76432580095101</v>
      </c>
      <c r="AI376">
        <v>89.209750478319293</v>
      </c>
      <c r="AJ376">
        <v>87.825906835502593</v>
      </c>
      <c r="AK376">
        <v>198.92642582727501</v>
      </c>
      <c r="AL376">
        <v>85.217292776615594</v>
      </c>
      <c r="AM376">
        <v>86.367146096830396</v>
      </c>
      <c r="AN376">
        <v>0.99999997424107501</v>
      </c>
    </row>
    <row r="377" spans="1:40" x14ac:dyDescent="0.25">
      <c r="A377" t="str">
        <f>"20190312154510293"</f>
        <v>20190312154510293</v>
      </c>
      <c r="B377" t="str">
        <f>"1552376710286184"</f>
        <v>1552376710286184</v>
      </c>
      <c r="C377" t="s">
        <v>40</v>
      </c>
      <c r="D377">
        <v>4.1731030000000002</v>
      </c>
      <c r="E377">
        <v>0.49408980000000002</v>
      </c>
      <c r="F377" t="s">
        <v>46</v>
      </c>
      <c r="G377">
        <v>-158.19499999999999</v>
      </c>
      <c r="H377">
        <v>3.712526</v>
      </c>
      <c r="I377">
        <v>361.41370000000001</v>
      </c>
      <c r="J377">
        <v>-356.74430000000001</v>
      </c>
      <c r="K377">
        <v>1.1101540000000001</v>
      </c>
      <c r="L377">
        <v>368.25720000000001</v>
      </c>
      <c r="M377">
        <v>0.99987190000000004</v>
      </c>
      <c r="N377">
        <v>0</v>
      </c>
      <c r="O377">
        <v>7.2679049999999999E-3</v>
      </c>
      <c r="P377">
        <v>0.99604749999999997</v>
      </c>
      <c r="Q377">
        <v>6.9051849999999998E-2</v>
      </c>
      <c r="R377">
        <v>-5.5873829999999999E-2</v>
      </c>
      <c r="S377">
        <v>3.003479</v>
      </c>
      <c r="T377">
        <v>3.9307710000000003E-2</v>
      </c>
      <c r="U377">
        <v>-0.10333249999999999</v>
      </c>
      <c r="V377">
        <v>6.3117010000000001E-2</v>
      </c>
      <c r="W377">
        <v>8.3251640000000002E-2</v>
      </c>
      <c r="X377">
        <v>0.99452779999999996</v>
      </c>
      <c r="Y377">
        <v>4.1643180000000002E-2</v>
      </c>
      <c r="Z377">
        <v>3.6750589999999999E-4</v>
      </c>
      <c r="AA377">
        <v>0.99913249999999998</v>
      </c>
      <c r="AB377">
        <v>30</v>
      </c>
      <c r="AC377">
        <v>198.54929999999999</v>
      </c>
      <c r="AD377">
        <v>2.6023719999999999</v>
      </c>
      <c r="AE377">
        <v>-6.8434999999999997</v>
      </c>
      <c r="AF377">
        <v>8.2850817982063703</v>
      </c>
      <c r="AG377">
        <v>2.6023719999999999</v>
      </c>
      <c r="AH377">
        <v>198.46025861023</v>
      </c>
      <c r="AI377">
        <v>89.249388011443003</v>
      </c>
      <c r="AJ377">
        <v>87.609472330752396</v>
      </c>
      <c r="AK377">
        <v>198.65016780277</v>
      </c>
      <c r="AL377">
        <v>85.2245054864797</v>
      </c>
      <c r="AM377">
        <v>86.368633645067902</v>
      </c>
      <c r="AN377">
        <v>1.0000000687434301</v>
      </c>
    </row>
    <row r="378" spans="1:40" x14ac:dyDescent="0.25">
      <c r="A378" t="str">
        <f>"20190312154510315"</f>
        <v>20190312154510315</v>
      </c>
      <c r="B378" t="str">
        <f>"1552376710306680"</f>
        <v>1552376710306680</v>
      </c>
      <c r="C378" t="s">
        <v>40</v>
      </c>
      <c r="D378">
        <v>4.1602750000000004</v>
      </c>
      <c r="E378">
        <v>0.49483179999999999</v>
      </c>
      <c r="F378" t="s">
        <v>46</v>
      </c>
      <c r="G378">
        <v>-158.19499999999999</v>
      </c>
      <c r="H378">
        <v>3.6030709999999999</v>
      </c>
      <c r="I378">
        <v>360.62560000000002</v>
      </c>
      <c r="J378">
        <v>-356.43849999999998</v>
      </c>
      <c r="K378">
        <v>1.110152</v>
      </c>
      <c r="L378">
        <v>368.2595</v>
      </c>
      <c r="M378">
        <v>0.99987190000000004</v>
      </c>
      <c r="N378">
        <v>0</v>
      </c>
      <c r="O378">
        <v>7.2573789999999996E-3</v>
      </c>
      <c r="P378">
        <v>0.99603379999999997</v>
      </c>
      <c r="Q378">
        <v>6.8967879999999995E-2</v>
      </c>
      <c r="R378">
        <v>-5.6217650000000001E-2</v>
      </c>
      <c r="S378">
        <v>3.002777</v>
      </c>
      <c r="T378">
        <v>3.7703159999999999E-2</v>
      </c>
      <c r="U378">
        <v>-0.11541750000000001</v>
      </c>
      <c r="V378">
        <v>6.3450430000000002E-2</v>
      </c>
      <c r="W378">
        <v>8.3163719999999997E-2</v>
      </c>
      <c r="X378">
        <v>0.99451389999999995</v>
      </c>
      <c r="Y378">
        <v>4.5656130000000003E-2</v>
      </c>
      <c r="Z378">
        <v>3.776133E-4</v>
      </c>
      <c r="AA378">
        <v>0.99895719999999999</v>
      </c>
      <c r="AB378">
        <v>30</v>
      </c>
      <c r="AC378">
        <v>198.24350000000001</v>
      </c>
      <c r="AD378">
        <v>2.4929190000000001</v>
      </c>
      <c r="AE378">
        <v>-7.6338999999999801</v>
      </c>
      <c r="AF378">
        <v>9.0711412468361399</v>
      </c>
      <c r="AG378">
        <v>2.4929190000000001</v>
      </c>
      <c r="AH378">
        <v>198.151582811916</v>
      </c>
      <c r="AI378">
        <v>89.279961378658697</v>
      </c>
      <c r="AJ378">
        <v>87.378898084677203</v>
      </c>
      <c r="AK378">
        <v>198.374771630689</v>
      </c>
      <c r="AL378">
        <v>85.229560272167504</v>
      </c>
      <c r="AM378">
        <v>86.349451551573196</v>
      </c>
      <c r="AN378">
        <v>1.0000000293423099</v>
      </c>
    </row>
    <row r="379" spans="1:40" x14ac:dyDescent="0.25">
      <c r="A379" t="str">
        <f>"20190312154510337"</f>
        <v>20190312154510337</v>
      </c>
      <c r="B379" t="str">
        <f>"1552376710326201"</f>
        <v>1552376710326201</v>
      </c>
      <c r="C379" t="s">
        <v>40</v>
      </c>
      <c r="D379">
        <v>4.1986759999999999</v>
      </c>
      <c r="E379">
        <v>0.49518889999999999</v>
      </c>
      <c r="F379" t="s">
        <v>46</v>
      </c>
      <c r="G379">
        <v>-158.19499999999999</v>
      </c>
      <c r="H379">
        <v>3.5373339999999902</v>
      </c>
      <c r="I379">
        <v>360.16739999999999</v>
      </c>
      <c r="J379">
        <v>-356.13679999999999</v>
      </c>
      <c r="K379">
        <v>1.1101510000000001</v>
      </c>
      <c r="L379">
        <v>368.26170000000002</v>
      </c>
      <c r="M379">
        <v>0.99987210000000004</v>
      </c>
      <c r="N379">
        <v>0</v>
      </c>
      <c r="O379">
        <v>7.2466149999999997E-3</v>
      </c>
      <c r="P379">
        <v>0.99600330000000004</v>
      </c>
      <c r="Q379">
        <v>6.9247260000000005E-2</v>
      </c>
      <c r="R379">
        <v>-5.6412700000000003E-2</v>
      </c>
      <c r="S379">
        <v>3.002472</v>
      </c>
      <c r="T379">
        <v>3.6761879999999997E-2</v>
      </c>
      <c r="U379">
        <v>-0.1225586</v>
      </c>
      <c r="V379">
        <v>6.3634769999999993E-2</v>
      </c>
      <c r="W379">
        <v>8.3439810000000003E-2</v>
      </c>
      <c r="X379">
        <v>0.99447890000000005</v>
      </c>
      <c r="Y379">
        <v>4.8021389999999997E-2</v>
      </c>
      <c r="Z379">
        <v>3.8254860000000001E-4</v>
      </c>
      <c r="AA379">
        <v>0.99884620000000002</v>
      </c>
      <c r="AB379">
        <v>30</v>
      </c>
      <c r="AC379">
        <v>197.9418</v>
      </c>
      <c r="AD379">
        <v>2.4271829999999901</v>
      </c>
      <c r="AE379">
        <v>-8.0943000000000307</v>
      </c>
      <c r="AF379">
        <v>9.5272111372646702</v>
      </c>
      <c r="AG379">
        <v>2.4271829999999901</v>
      </c>
      <c r="AH379">
        <v>197.84824069340101</v>
      </c>
      <c r="AI379">
        <v>89.297949612935398</v>
      </c>
      <c r="AJ379">
        <v>87.243100829683499</v>
      </c>
      <c r="AK379">
        <v>198.09236561473901</v>
      </c>
      <c r="AL379">
        <v>85.213685852296805</v>
      </c>
      <c r="AM379">
        <v>86.338746062758204</v>
      </c>
      <c r="AN379">
        <v>0.99999993419549704</v>
      </c>
    </row>
    <row r="380" spans="1:40" x14ac:dyDescent="0.25">
      <c r="A380" t="str">
        <f>"20190312154510362"</f>
        <v>20190312154510362</v>
      </c>
      <c r="B380" t="str">
        <f>"1552376710356456"</f>
        <v>1552376710356456</v>
      </c>
      <c r="C380" t="s">
        <v>40</v>
      </c>
      <c r="D380">
        <v>4.2065979999999996</v>
      </c>
      <c r="E380">
        <v>0.49567290000000003</v>
      </c>
      <c r="F380" t="s">
        <v>46</v>
      </c>
      <c r="G380">
        <v>-158.19499999999999</v>
      </c>
      <c r="H380">
        <v>3.3854570000000002</v>
      </c>
      <c r="I380">
        <v>359.97669999999999</v>
      </c>
      <c r="J380">
        <v>-355.82190000000003</v>
      </c>
      <c r="K380">
        <v>1.1101479999999999</v>
      </c>
      <c r="L380">
        <v>368.26389999999998</v>
      </c>
      <c r="M380">
        <v>0.99987210000000004</v>
      </c>
      <c r="N380">
        <v>0</v>
      </c>
      <c r="O380">
        <v>7.2355539999999999E-3</v>
      </c>
      <c r="P380">
        <v>0.99600010000000005</v>
      </c>
      <c r="Q380">
        <v>6.9386210000000004E-2</v>
      </c>
      <c r="R380">
        <v>-5.6297420000000001E-2</v>
      </c>
      <c r="S380">
        <v>3.0025019999999998</v>
      </c>
      <c r="T380">
        <v>3.4514549999999998E-2</v>
      </c>
      <c r="U380">
        <v>-0.12567139999999999</v>
      </c>
      <c r="V380">
        <v>6.3508209999999995E-2</v>
      </c>
      <c r="W380">
        <v>8.3575239999999995E-2</v>
      </c>
      <c r="X380">
        <v>0.99447569999999996</v>
      </c>
      <c r="Y380">
        <v>4.9044089999999999E-2</v>
      </c>
      <c r="Z380">
        <v>3.6490109999999997E-4</v>
      </c>
      <c r="AA380">
        <v>0.99879649999999998</v>
      </c>
      <c r="AB380">
        <v>30</v>
      </c>
      <c r="AC380">
        <v>197.62690000000001</v>
      </c>
      <c r="AD380">
        <v>2.275309</v>
      </c>
      <c r="AE380">
        <v>-8.2871999999999808</v>
      </c>
      <c r="AF380">
        <v>9.7157830048959593</v>
      </c>
      <c r="AG380">
        <v>2.275309</v>
      </c>
      <c r="AH380">
        <v>197.535619169488</v>
      </c>
      <c r="AI380">
        <v>89.340865930632305</v>
      </c>
      <c r="AJ380">
        <v>87.184178127153004</v>
      </c>
      <c r="AK380">
        <v>197.787497863532</v>
      </c>
      <c r="AL380">
        <v>85.205899477905902</v>
      </c>
      <c r="AM380">
        <v>86.345996273763205</v>
      </c>
      <c r="AN380">
        <v>1.0000000156844699</v>
      </c>
    </row>
    <row r="381" spans="1:40" x14ac:dyDescent="0.25">
      <c r="A381" t="str">
        <f>"20190312154510383"</f>
        <v>20190312154510383</v>
      </c>
      <c r="B381" t="str">
        <f>"1552376710375978"</f>
        <v>1552376710375978</v>
      </c>
      <c r="C381" t="s">
        <v>40</v>
      </c>
      <c r="D381">
        <v>4.1953290000000001</v>
      </c>
      <c r="E381">
        <v>0.49595810000000001</v>
      </c>
      <c r="F381" t="s">
        <v>46</v>
      </c>
      <c r="G381">
        <v>-158.19499999999999</v>
      </c>
      <c r="H381">
        <v>3.1209760000000002</v>
      </c>
      <c r="I381">
        <v>359.76150000000001</v>
      </c>
      <c r="J381">
        <v>-355.52820000000003</v>
      </c>
      <c r="K381">
        <v>1.1101559999999999</v>
      </c>
      <c r="L381">
        <v>368.26600000000002</v>
      </c>
      <c r="M381">
        <v>0.99987230000000005</v>
      </c>
      <c r="N381">
        <v>0</v>
      </c>
      <c r="O381">
        <v>7.2253250000000003E-3</v>
      </c>
      <c r="P381">
        <v>0.99601419999999996</v>
      </c>
      <c r="Q381">
        <v>6.9195010000000001E-2</v>
      </c>
      <c r="R381">
        <v>-5.6285200000000001E-2</v>
      </c>
      <c r="S381">
        <v>3.0026250000000001</v>
      </c>
      <c r="T381">
        <v>3.0552630000000001E-2</v>
      </c>
      <c r="U381">
        <v>-0.12918089999999999</v>
      </c>
      <c r="V381">
        <v>6.3485929999999996E-2</v>
      </c>
      <c r="W381">
        <v>8.3381360000000002E-2</v>
      </c>
      <c r="X381">
        <v>0.99449339999999997</v>
      </c>
      <c r="Y381">
        <v>5.0198199999999998E-2</v>
      </c>
      <c r="Z381">
        <v>3.2876019999999897E-4</v>
      </c>
      <c r="AA381">
        <v>0.99873920000000005</v>
      </c>
      <c r="AB381">
        <v>30</v>
      </c>
      <c r="AC381">
        <v>197.33320000000001</v>
      </c>
      <c r="AD381">
        <v>2.0108199999999998</v>
      </c>
      <c r="AE381">
        <v>-8.5044999999999504</v>
      </c>
      <c r="AF381">
        <v>9.9291902412334299</v>
      </c>
      <c r="AG381">
        <v>2.0108199999999998</v>
      </c>
      <c r="AH381">
        <v>197.246150752137</v>
      </c>
      <c r="AI381">
        <v>89.416658699685499</v>
      </c>
      <c r="AJ381">
        <v>87.118215559216296</v>
      </c>
      <c r="AK381">
        <v>197.50614218918301</v>
      </c>
      <c r="AL381">
        <v>85.217046906319297</v>
      </c>
      <c r="AM381">
        <v>86.347339538278902</v>
      </c>
      <c r="AN381">
        <v>1.0000000185734801</v>
      </c>
    </row>
    <row r="382" spans="1:40" x14ac:dyDescent="0.25">
      <c r="A382" t="str">
        <f>"20190312154510407"</f>
        <v>20190312154510407</v>
      </c>
      <c r="B382" t="str">
        <f>"1552376710396473"</f>
        <v>1552376710396473</v>
      </c>
      <c r="C382" t="s">
        <v>40</v>
      </c>
      <c r="D382">
        <v>4.1783340000000004</v>
      </c>
      <c r="E382">
        <v>0.4962028</v>
      </c>
      <c r="F382" t="s">
        <v>46</v>
      </c>
      <c r="G382">
        <v>-158.19499999999999</v>
      </c>
      <c r="H382">
        <v>2.889408</v>
      </c>
      <c r="I382">
        <v>359.64620000000002</v>
      </c>
      <c r="J382">
        <v>-355.21820000000002</v>
      </c>
      <c r="K382">
        <v>1.1101570000000001</v>
      </c>
      <c r="L382">
        <v>368.26819999999998</v>
      </c>
      <c r="M382">
        <v>0.99987239999999999</v>
      </c>
      <c r="N382">
        <v>0</v>
      </c>
      <c r="O382">
        <v>7.2144419999999997E-3</v>
      </c>
      <c r="P382">
        <v>0.99600379999999999</v>
      </c>
      <c r="Q382">
        <v>6.9127889999999997E-2</v>
      </c>
      <c r="R382">
        <v>-5.6549339999999997E-2</v>
      </c>
      <c r="S382">
        <v>3.0027469999999998</v>
      </c>
      <c r="T382">
        <v>2.707553E-2</v>
      </c>
      <c r="U382">
        <v>-0.13116459999999999</v>
      </c>
      <c r="V382">
        <v>6.3739019999999993E-2</v>
      </c>
      <c r="W382">
        <v>8.3311040000000003E-2</v>
      </c>
      <c r="X382">
        <v>0.99448309999999995</v>
      </c>
      <c r="Y382">
        <v>5.0844720000000003E-2</v>
      </c>
      <c r="Z382">
        <v>2.9414600000000001E-4</v>
      </c>
      <c r="AA382">
        <v>0.99870650000000005</v>
      </c>
      <c r="AB382">
        <v>30</v>
      </c>
      <c r="AC382">
        <v>197.0232</v>
      </c>
      <c r="AD382">
        <v>1.7792509999999999</v>
      </c>
      <c r="AE382">
        <v>-8.6219999999999501</v>
      </c>
      <c r="AF382">
        <v>10.042514981221199</v>
      </c>
      <c r="AG382">
        <v>1.7792509999999999</v>
      </c>
      <c r="AH382">
        <v>196.93983197873001</v>
      </c>
      <c r="AI382">
        <v>89.483047553297098</v>
      </c>
      <c r="AJ382">
        <v>87.080855765280504</v>
      </c>
      <c r="AK382">
        <v>197.20374048450401</v>
      </c>
      <c r="AL382">
        <v>85.221089991505096</v>
      </c>
      <c r="AM382">
        <v>86.332779794330094</v>
      </c>
      <c r="AN382">
        <v>1.0000000141210199</v>
      </c>
    </row>
    <row r="383" spans="1:40" x14ac:dyDescent="0.25">
      <c r="A383" t="str">
        <f>"20190312154510428"</f>
        <v>20190312154510428</v>
      </c>
      <c r="B383" t="str">
        <f>"1552376710415993"</f>
        <v>1552376710415993</v>
      </c>
      <c r="C383" t="s">
        <v>40</v>
      </c>
      <c r="D383">
        <v>4.1561379999999897</v>
      </c>
      <c r="E383">
        <v>0.49635990000000002</v>
      </c>
      <c r="F383" t="s">
        <v>46</v>
      </c>
      <c r="G383">
        <v>-158.19499999999999</v>
      </c>
      <c r="H383">
        <v>2.7940619999999998</v>
      </c>
      <c r="I383">
        <v>359.46749999999997</v>
      </c>
      <c r="J383">
        <v>-354.92930000000001</v>
      </c>
      <c r="K383">
        <v>1.110163</v>
      </c>
      <c r="L383">
        <v>368.27030000000002</v>
      </c>
      <c r="M383">
        <v>0.9998726</v>
      </c>
      <c r="N383">
        <v>0</v>
      </c>
      <c r="O383">
        <v>7.2042130000000001E-3</v>
      </c>
      <c r="P383">
        <v>0.99601070000000003</v>
      </c>
      <c r="Q383">
        <v>6.8960820000000006E-2</v>
      </c>
      <c r="R383">
        <v>-5.6632599999999998E-2</v>
      </c>
      <c r="S383">
        <v>3.0026549999999999</v>
      </c>
      <c r="T383">
        <v>2.566421E-2</v>
      </c>
      <c r="U383">
        <v>-0.13412479999999999</v>
      </c>
      <c r="V383">
        <v>6.3812220000000003E-2</v>
      </c>
      <c r="W383">
        <v>8.3140450000000005E-2</v>
      </c>
      <c r="X383">
        <v>0.99449270000000001</v>
      </c>
      <c r="Y383">
        <v>5.1818679999999999E-2</v>
      </c>
      <c r="Z383">
        <v>2.8288940000000001E-4</v>
      </c>
      <c r="AA383">
        <v>0.99865649999999995</v>
      </c>
      <c r="AB383">
        <v>30</v>
      </c>
      <c r="AC383">
        <v>196.73429999999999</v>
      </c>
      <c r="AD383">
        <v>1.68389899999999</v>
      </c>
      <c r="AE383">
        <v>-8.8028000000000404</v>
      </c>
      <c r="AF383">
        <v>10.219283935749599</v>
      </c>
      <c r="AG383">
        <v>1.68389899999999</v>
      </c>
      <c r="AH383">
        <v>196.65139183432399</v>
      </c>
      <c r="AI383">
        <v>89.510057130001897</v>
      </c>
      <c r="AJ383">
        <v>87.025214947318304</v>
      </c>
      <c r="AK383">
        <v>196.923942653956</v>
      </c>
      <c r="AL383">
        <v>85.230898191445903</v>
      </c>
      <c r="AM383">
        <v>86.328615093663998</v>
      </c>
      <c r="AN383">
        <v>1.0000000321003999</v>
      </c>
    </row>
    <row r="384" spans="1:40" x14ac:dyDescent="0.25">
      <c r="A384" t="str">
        <f>"20190312154510462"</f>
        <v>20190312154510462</v>
      </c>
      <c r="B384" t="str">
        <f>"1552376710456008"</f>
        <v>1552376710456008</v>
      </c>
      <c r="C384" t="s">
        <v>40</v>
      </c>
      <c r="D384">
        <v>4.1203379999999896</v>
      </c>
      <c r="E384">
        <v>0.49686370000000002</v>
      </c>
      <c r="F384" t="s">
        <v>46</v>
      </c>
      <c r="G384">
        <v>-158.19499999999999</v>
      </c>
      <c r="H384">
        <v>2.6892640000000001</v>
      </c>
      <c r="I384">
        <v>359.4024</v>
      </c>
      <c r="J384">
        <v>-354.47609999999997</v>
      </c>
      <c r="K384">
        <v>1.1101589999999999</v>
      </c>
      <c r="L384">
        <v>368.27359999999999</v>
      </c>
      <c r="M384">
        <v>0.99987269999999995</v>
      </c>
      <c r="N384">
        <v>0</v>
      </c>
      <c r="O384">
        <v>7.188336E-3</v>
      </c>
      <c r="P384">
        <v>0.99598520000000001</v>
      </c>
      <c r="Q384">
        <v>6.9201579999999999E-2</v>
      </c>
      <c r="R384">
        <v>-5.6789680000000002E-2</v>
      </c>
      <c r="S384">
        <v>3.0026250000000001</v>
      </c>
      <c r="T384">
        <v>2.410209E-2</v>
      </c>
      <c r="U384">
        <v>-0.13534549999999901</v>
      </c>
      <c r="V384">
        <v>6.3953179999999998E-2</v>
      </c>
      <c r="W384">
        <v>8.3376119999999998E-2</v>
      </c>
      <c r="X384">
        <v>0.99446389999999996</v>
      </c>
      <c r="Y384">
        <v>5.2208699999999997E-2</v>
      </c>
      <c r="Z384">
        <v>2.6710859999999999E-4</v>
      </c>
      <c r="AA384">
        <v>0.99863619999999997</v>
      </c>
      <c r="AB384">
        <v>30</v>
      </c>
      <c r="AC384">
        <v>196.28110000000001</v>
      </c>
      <c r="AD384">
        <v>1.579105</v>
      </c>
      <c r="AE384">
        <v>-8.8711999999999804</v>
      </c>
      <c r="AF384">
        <v>10.2813843246606</v>
      </c>
      <c r="AG384">
        <v>1.579105</v>
      </c>
      <c r="AH384">
        <v>196.19957920691201</v>
      </c>
      <c r="AI384">
        <v>89.539498827995303</v>
      </c>
      <c r="AJ384">
        <v>87.000291204315204</v>
      </c>
      <c r="AK384">
        <v>196.47512645930999</v>
      </c>
      <c r="AL384">
        <v>85.217348180178206</v>
      </c>
      <c r="AM384">
        <v>86.320421061801696</v>
      </c>
      <c r="AN384">
        <v>1.0000000175107799</v>
      </c>
    </row>
    <row r="385" spans="1:40" x14ac:dyDescent="0.25">
      <c r="A385" t="str">
        <f>"20190312154510483"</f>
        <v>20190312154510483</v>
      </c>
      <c r="B385" t="str">
        <f>"1552376710476505"</f>
        <v>1552376710476505</v>
      </c>
      <c r="C385" t="s">
        <v>40</v>
      </c>
      <c r="D385">
        <v>4.1399939999999997</v>
      </c>
      <c r="E385">
        <v>0.52232489999999998</v>
      </c>
      <c r="F385" t="s">
        <v>46</v>
      </c>
      <c r="G385">
        <v>-158.19499999999999</v>
      </c>
      <c r="H385">
        <v>2.656533</v>
      </c>
      <c r="I385">
        <v>359.12830000000002</v>
      </c>
      <c r="J385">
        <v>-354.19740000000002</v>
      </c>
      <c r="K385">
        <v>1.110161</v>
      </c>
      <c r="L385">
        <v>368.2756</v>
      </c>
      <c r="M385">
        <v>0.99987280000000001</v>
      </c>
      <c r="N385">
        <v>0</v>
      </c>
      <c r="O385">
        <v>7.1785850000000003E-3</v>
      </c>
      <c r="P385">
        <v>0.99595109999999998</v>
      </c>
      <c r="Q385">
        <v>6.9558679999999998E-2</v>
      </c>
      <c r="R385">
        <v>-5.6949230000000003E-2</v>
      </c>
      <c r="S385">
        <v>3.0024410000000001</v>
      </c>
      <c r="T385">
        <v>2.365565E-2</v>
      </c>
      <c r="U385">
        <v>-0.13989260000000001</v>
      </c>
      <c r="V385">
        <v>6.4102919999999994E-2</v>
      </c>
      <c r="W385">
        <v>8.3729659999999997E-2</v>
      </c>
      <c r="X385">
        <v>0.99442450000000004</v>
      </c>
      <c r="Y385">
        <v>5.3710899999999999E-2</v>
      </c>
      <c r="Z385">
        <v>2.6800579999999998E-4</v>
      </c>
      <c r="AA385">
        <v>0.99855649999999996</v>
      </c>
      <c r="AB385">
        <v>30</v>
      </c>
      <c r="AC385">
        <v>196.00239999999999</v>
      </c>
      <c r="AD385">
        <v>1.5463719999999901</v>
      </c>
      <c r="AE385">
        <v>-9.1472999999999693</v>
      </c>
      <c r="AF385">
        <v>10.553571397501999</v>
      </c>
      <c r="AG385">
        <v>1.5463719999999901</v>
      </c>
      <c r="AH385">
        <v>195.919508846387</v>
      </c>
      <c r="AI385">
        <v>89.548434490224196</v>
      </c>
      <c r="AJ385">
        <v>86.916635460646404</v>
      </c>
      <c r="AK385">
        <v>196.20964064544299</v>
      </c>
      <c r="AL385">
        <v>85.197020491329695</v>
      </c>
      <c r="AM385">
        <v>86.311683720634093</v>
      </c>
      <c r="AN385">
        <v>0.99999996325824503</v>
      </c>
    </row>
    <row r="386" spans="1:40" x14ac:dyDescent="0.25">
      <c r="A386" t="str">
        <f>"20190312154510505"</f>
        <v>20190312154510505</v>
      </c>
      <c r="B386" t="str">
        <f>"1552376710496024"</f>
        <v>1552376710496024</v>
      </c>
      <c r="C386" t="s">
        <v>40</v>
      </c>
      <c r="D386">
        <v>3.9992760000000001</v>
      </c>
      <c r="E386">
        <v>0.53022559999999996</v>
      </c>
      <c r="F386" t="s">
        <v>45</v>
      </c>
      <c r="G386">
        <v>0.56118769999999996</v>
      </c>
      <c r="H386">
        <v>-0.1</v>
      </c>
      <c r="I386">
        <v>327.68729999999999</v>
      </c>
      <c r="J386">
        <v>-353.90100000000001</v>
      </c>
      <c r="K386">
        <v>1.110161</v>
      </c>
      <c r="L386">
        <v>368.27769999999998</v>
      </c>
      <c r="M386">
        <v>0.99987289999999995</v>
      </c>
      <c r="N386">
        <v>0</v>
      </c>
      <c r="O386">
        <v>7.1681770000000004E-3</v>
      </c>
      <c r="P386">
        <v>0.99596759999999995</v>
      </c>
      <c r="Q386">
        <v>6.960885E-2</v>
      </c>
      <c r="R386">
        <v>-5.6595430000000002E-2</v>
      </c>
      <c r="S386">
        <v>2.9933169999999998</v>
      </c>
      <c r="T386">
        <v>-1.021087E-2</v>
      </c>
      <c r="U386">
        <v>-0.3424683</v>
      </c>
      <c r="V386">
        <v>6.3738909999999996E-2</v>
      </c>
      <c r="W386">
        <v>8.3777660000000004E-2</v>
      </c>
      <c r="X386">
        <v>0.99444390000000005</v>
      </c>
      <c r="Y386">
        <v>0.1207882</v>
      </c>
      <c r="Z386">
        <v>-2.2972490000000001E-4</v>
      </c>
      <c r="AA386">
        <v>0.99267830000000001</v>
      </c>
      <c r="AB386">
        <v>30</v>
      </c>
      <c r="AC386">
        <v>354.46218769999899</v>
      </c>
      <c r="AD386">
        <v>-1.210161</v>
      </c>
      <c r="AE386">
        <v>-40.590399999999903</v>
      </c>
      <c r="AF386">
        <v>43.129966122980498</v>
      </c>
      <c r="AG386">
        <v>-1.210161</v>
      </c>
      <c r="AH386">
        <v>354.15801582727801</v>
      </c>
      <c r="AI386">
        <v>90.194343592991103</v>
      </c>
      <c r="AJ386">
        <v>83.056613005650803</v>
      </c>
      <c r="AK386">
        <v>356.77662289187299</v>
      </c>
      <c r="AL386">
        <v>85.194260810514706</v>
      </c>
      <c r="AM386">
        <v>86.332641942439594</v>
      </c>
      <c r="AN386">
        <v>1.0000000076051301</v>
      </c>
    </row>
    <row r="387" spans="1:40" x14ac:dyDescent="0.25">
      <c r="A387" t="str">
        <f>"20190312154510528"</f>
        <v>20190312154510528</v>
      </c>
      <c r="B387" t="str">
        <f>"1552376710516520"</f>
        <v>1552376710516520</v>
      </c>
      <c r="C387" t="s">
        <v>40</v>
      </c>
      <c r="D387">
        <v>4.0111530000000002</v>
      </c>
      <c r="E387">
        <v>0.53241059999999996</v>
      </c>
      <c r="F387" t="s">
        <v>50</v>
      </c>
      <c r="G387">
        <v>-162.62780000000001</v>
      </c>
      <c r="H387">
        <v>1.6728019999999999</v>
      </c>
      <c r="I387">
        <v>342.3843</v>
      </c>
      <c r="J387">
        <v>-353.60079999999999</v>
      </c>
      <c r="K387">
        <v>1.110158</v>
      </c>
      <c r="L387">
        <v>368.27980000000002</v>
      </c>
      <c r="M387">
        <v>0.99987309999999996</v>
      </c>
      <c r="N387">
        <v>0</v>
      </c>
      <c r="O387">
        <v>7.1574719999999998E-3</v>
      </c>
      <c r="P387">
        <v>0.99597469999999999</v>
      </c>
      <c r="Q387">
        <v>6.9517060000000006E-2</v>
      </c>
      <c r="R387">
        <v>-5.6587430000000001E-2</v>
      </c>
      <c r="S387">
        <v>2.988556</v>
      </c>
      <c r="T387">
        <v>8.7910890000000002E-3</v>
      </c>
      <c r="U387">
        <v>-0.40457149999999997</v>
      </c>
      <c r="V387">
        <v>6.372005E-2</v>
      </c>
      <c r="W387">
        <v>8.3682610000000004E-2</v>
      </c>
      <c r="X387">
        <v>0.99445309999999998</v>
      </c>
      <c r="Y387">
        <v>0.14123939999999999</v>
      </c>
      <c r="Z387">
        <v>2.277534E-4</v>
      </c>
      <c r="AA387">
        <v>0.98997550000000001</v>
      </c>
      <c r="AB387">
        <v>30</v>
      </c>
      <c r="AC387">
        <v>190.97300000000001</v>
      </c>
      <c r="AD387">
        <v>0.56264400000000003</v>
      </c>
      <c r="AE387">
        <v>-25.895499999999998</v>
      </c>
      <c r="AF387">
        <v>27.261626546519398</v>
      </c>
      <c r="AG387">
        <v>0.56264400000000003</v>
      </c>
      <c r="AH387">
        <v>190.78111604359901</v>
      </c>
      <c r="AI387">
        <v>89.832725225032107</v>
      </c>
      <c r="AJ387">
        <v>81.867784059489793</v>
      </c>
      <c r="AK387">
        <v>192.71986687696099</v>
      </c>
      <c r="AL387">
        <v>85.199725909763799</v>
      </c>
      <c r="AM387">
        <v>86.3337579591539</v>
      </c>
      <c r="AN387">
        <v>0.99999999604401202</v>
      </c>
    </row>
    <row r="388" spans="1:40" x14ac:dyDescent="0.25">
      <c r="A388" t="str">
        <f>"20190312154510549"</f>
        <v>20190312154510549</v>
      </c>
      <c r="B388" t="str">
        <f>"1552376710536041"</f>
        <v>1552376710536041</v>
      </c>
      <c r="C388" t="s">
        <v>40</v>
      </c>
      <c r="D388">
        <v>3.9672160000000001</v>
      </c>
      <c r="E388">
        <v>0.53339449999999999</v>
      </c>
      <c r="F388" t="s">
        <v>50</v>
      </c>
      <c r="G388">
        <v>-168.9828</v>
      </c>
      <c r="H388">
        <v>2.366743</v>
      </c>
      <c r="I388">
        <v>342.16829999999999</v>
      </c>
      <c r="J388">
        <v>-353.31119999999999</v>
      </c>
      <c r="K388">
        <v>1.1101589999999999</v>
      </c>
      <c r="L388">
        <v>368.28190000000001</v>
      </c>
      <c r="M388">
        <v>0.99987320000000002</v>
      </c>
      <c r="N388">
        <v>0</v>
      </c>
      <c r="O388">
        <v>7.1474219999999996E-3</v>
      </c>
      <c r="P388">
        <v>0.99597349999999996</v>
      </c>
      <c r="Q388">
        <v>6.9591790000000001E-2</v>
      </c>
      <c r="R388">
        <v>-5.651482E-2</v>
      </c>
      <c r="S388">
        <v>2.986694</v>
      </c>
      <c r="T388">
        <v>2.0328760000000001E-2</v>
      </c>
      <c r="U388">
        <v>-0.42242429999999997</v>
      </c>
      <c r="V388">
        <v>6.3637509999999994E-2</v>
      </c>
      <c r="W388">
        <v>8.3753880000000003E-2</v>
      </c>
      <c r="X388">
        <v>0.99445240000000001</v>
      </c>
      <c r="Y388">
        <v>0.147112299999999</v>
      </c>
      <c r="Z388">
        <v>5.4658849999999896E-4</v>
      </c>
      <c r="AA388">
        <v>0.98911959999999999</v>
      </c>
      <c r="AB388">
        <v>30</v>
      </c>
      <c r="AC388">
        <v>184.32839999999999</v>
      </c>
      <c r="AD388">
        <v>1.2565839999999999</v>
      </c>
      <c r="AE388">
        <v>-26.113600000000002</v>
      </c>
      <c r="AF388">
        <v>27.429289481266999</v>
      </c>
      <c r="AG388">
        <v>1.2565839999999999</v>
      </c>
      <c r="AH388">
        <v>184.12863829174401</v>
      </c>
      <c r="AI388">
        <v>89.613259111461701</v>
      </c>
      <c r="AJ388">
        <v>81.527066826799896</v>
      </c>
      <c r="AK388">
        <v>186.16471299354299</v>
      </c>
      <c r="AL388">
        <v>85.195628123395906</v>
      </c>
      <c r="AM388">
        <v>86.338491541256104</v>
      </c>
      <c r="AN388">
        <v>1.0000000104799001</v>
      </c>
    </row>
    <row r="389" spans="1:40" x14ac:dyDescent="0.25">
      <c r="A389" t="str">
        <f>"20190312154510573"</f>
        <v>20190312154510573</v>
      </c>
      <c r="B389" t="str">
        <f>"1552376710566297"</f>
        <v>1552376710566297</v>
      </c>
      <c r="C389" t="s">
        <v>40</v>
      </c>
      <c r="D389">
        <v>3.9286970000000001</v>
      </c>
      <c r="E389">
        <v>0.53406169999999997</v>
      </c>
      <c r="F389" t="s">
        <v>50</v>
      </c>
      <c r="G389">
        <v>-168.983</v>
      </c>
      <c r="H389">
        <v>2.8983620000000001</v>
      </c>
      <c r="I389">
        <v>341.70670000000001</v>
      </c>
      <c r="J389">
        <v>-353.00529999999998</v>
      </c>
      <c r="K389">
        <v>1.11016</v>
      </c>
      <c r="L389">
        <v>368.28410000000002</v>
      </c>
      <c r="M389">
        <v>0.99987329999999996</v>
      </c>
      <c r="N389">
        <v>0</v>
      </c>
      <c r="O389">
        <v>7.1363599999999996E-3</v>
      </c>
      <c r="P389">
        <v>0.99597170000000002</v>
      </c>
      <c r="Q389">
        <v>6.9615029999999994E-2</v>
      </c>
      <c r="R389">
        <v>-5.652103E-2</v>
      </c>
      <c r="S389">
        <v>2.9856569999999998</v>
      </c>
      <c r="T389">
        <v>2.8964520000000001E-2</v>
      </c>
      <c r="U389">
        <v>-0.43045040000000001</v>
      </c>
      <c r="V389">
        <v>6.3632640000000004E-2</v>
      </c>
      <c r="W389">
        <v>8.3774310000000005E-2</v>
      </c>
      <c r="X389">
        <v>0.99445099999999997</v>
      </c>
      <c r="Y389">
        <v>0.14975050000000001</v>
      </c>
      <c r="Z389">
        <v>7.9151820000000002E-4</v>
      </c>
      <c r="AA389">
        <v>0.98872349999999998</v>
      </c>
      <c r="AB389">
        <v>30</v>
      </c>
      <c r="AC389">
        <v>184.0223</v>
      </c>
      <c r="AD389">
        <v>1.7882020000000001</v>
      </c>
      <c r="AE389">
        <v>-26.577400000000001</v>
      </c>
      <c r="AF389">
        <v>27.887525924412898</v>
      </c>
      <c r="AG389">
        <v>1.7882020000000001</v>
      </c>
      <c r="AH389">
        <v>183.810926063419</v>
      </c>
      <c r="AI389">
        <v>89.448922415432605</v>
      </c>
      <c r="AJ389">
        <v>81.372960198148704</v>
      </c>
      <c r="AK389">
        <v>185.923017157288</v>
      </c>
      <c r="AL389">
        <v>85.1944534864964</v>
      </c>
      <c r="AM389">
        <v>86.338765843742195</v>
      </c>
      <c r="AN389">
        <v>1.0000000196451699</v>
      </c>
    </row>
    <row r="390" spans="1:40" x14ac:dyDescent="0.25">
      <c r="A390" t="str">
        <f>"20190312154510596"</f>
        <v>20190312154510596</v>
      </c>
      <c r="B390" t="str">
        <f>"1552376710586792"</f>
        <v>1552376710586792</v>
      </c>
      <c r="C390" t="s">
        <v>40</v>
      </c>
      <c r="D390">
        <v>3.963346</v>
      </c>
      <c r="E390">
        <v>0.53447739999999999</v>
      </c>
      <c r="F390" t="s">
        <v>50</v>
      </c>
      <c r="G390">
        <v>-168.98320000000001</v>
      </c>
      <c r="H390">
        <v>3.5326900000000001</v>
      </c>
      <c r="I390">
        <v>341.4092</v>
      </c>
      <c r="J390">
        <v>-352.70100000000002</v>
      </c>
      <c r="K390">
        <v>1.110166</v>
      </c>
      <c r="L390">
        <v>368.28629999999998</v>
      </c>
      <c r="M390">
        <v>0.99987349999999997</v>
      </c>
      <c r="N390">
        <v>0</v>
      </c>
      <c r="O390">
        <v>7.1256560000000002E-3</v>
      </c>
      <c r="P390">
        <v>0.99598249999999999</v>
      </c>
      <c r="Q390">
        <v>6.9253629999999997E-2</v>
      </c>
      <c r="R390">
        <v>-5.6774329999999998E-2</v>
      </c>
      <c r="S390">
        <v>2.9846499999999998</v>
      </c>
      <c r="T390">
        <v>3.9291020000000003E-2</v>
      </c>
      <c r="U390">
        <v>-0.43588260000000001</v>
      </c>
      <c r="V390">
        <v>6.3875409999999994E-2</v>
      </c>
      <c r="W390">
        <v>8.3409880000000006E-2</v>
      </c>
      <c r="X390">
        <v>0.99446610000000002</v>
      </c>
      <c r="Y390">
        <v>0.15154300000000001</v>
      </c>
      <c r="Z390">
        <v>1.085506E-3</v>
      </c>
      <c r="AA390">
        <v>0.9884501</v>
      </c>
      <c r="AB390">
        <v>30</v>
      </c>
      <c r="AC390">
        <v>183.71779999999899</v>
      </c>
      <c r="AD390">
        <v>2.4225240000000001</v>
      </c>
      <c r="AE390">
        <v>-26.877099999999899</v>
      </c>
      <c r="AF390">
        <v>28.180862495846601</v>
      </c>
      <c r="AG390">
        <v>2.4225240000000001</v>
      </c>
      <c r="AH390">
        <v>183.49036291192701</v>
      </c>
      <c r="AI390">
        <v>89.252363797591201</v>
      </c>
      <c r="AJ390">
        <v>81.268609380389407</v>
      </c>
      <c r="AK390">
        <v>185.657595899255</v>
      </c>
      <c r="AL390">
        <v>85.215407269580496</v>
      </c>
      <c r="AM390">
        <v>86.324891436091406</v>
      </c>
      <c r="AN390">
        <v>1.0000000500667401</v>
      </c>
    </row>
    <row r="391" spans="1:40" x14ac:dyDescent="0.25">
      <c r="A391" t="str">
        <f>"20190312154510617"</f>
        <v>20190312154510617</v>
      </c>
      <c r="B391" t="str">
        <f>"1552376710606313"</f>
        <v>1552376710606313</v>
      </c>
      <c r="C391" t="s">
        <v>40</v>
      </c>
      <c r="D391">
        <v>3.8943439999999998</v>
      </c>
      <c r="E391">
        <v>0.53474999999999995</v>
      </c>
      <c r="F391" t="s">
        <v>50</v>
      </c>
      <c r="G391">
        <v>-168.98320000000001</v>
      </c>
      <c r="H391">
        <v>3.7202510000000002</v>
      </c>
      <c r="I391">
        <v>341.20440000000002</v>
      </c>
      <c r="J391">
        <v>-352.42129999999997</v>
      </c>
      <c r="K391">
        <v>1.110169</v>
      </c>
      <c r="L391">
        <v>368.28820000000002</v>
      </c>
      <c r="M391">
        <v>0.99987349999999997</v>
      </c>
      <c r="N391">
        <v>0</v>
      </c>
      <c r="O391">
        <v>7.1159029999999998E-3</v>
      </c>
      <c r="P391">
        <v>0.99597539999999996</v>
      </c>
      <c r="Q391">
        <v>6.9033789999999998E-2</v>
      </c>
      <c r="R391">
        <v>-5.7162850000000001E-2</v>
      </c>
      <c r="S391">
        <v>2.98407</v>
      </c>
      <c r="T391">
        <v>4.2394880000000003E-2</v>
      </c>
      <c r="U391">
        <v>-0.4398804</v>
      </c>
      <c r="V391">
        <v>6.4254099999999995E-2</v>
      </c>
      <c r="W391">
        <v>8.3186540000000003E-2</v>
      </c>
      <c r="X391">
        <v>0.99446029999999996</v>
      </c>
      <c r="Y391">
        <v>0.15285470000000001</v>
      </c>
      <c r="Z391">
        <v>1.1804889999999901E-3</v>
      </c>
      <c r="AA391">
        <v>0.98824800000000002</v>
      </c>
      <c r="AB391">
        <v>30</v>
      </c>
      <c r="AC391">
        <v>183.43809999999999</v>
      </c>
      <c r="AD391">
        <v>2.6100819999999998</v>
      </c>
      <c r="AE391">
        <v>-27.0838</v>
      </c>
      <c r="AF391">
        <v>28.382950267378199</v>
      </c>
      <c r="AG391">
        <v>2.6100819999999998</v>
      </c>
      <c r="AH391">
        <v>183.204410100931</v>
      </c>
      <c r="AI391">
        <v>89.193393318689999</v>
      </c>
      <c r="AJ391">
        <v>81.193461279615207</v>
      </c>
      <c r="AK391">
        <v>185.408360853434</v>
      </c>
      <c r="AL391">
        <v>85.228247804342601</v>
      </c>
      <c r="AM391">
        <v>86.303142030180396</v>
      </c>
      <c r="AN391">
        <v>0.99999993904003304</v>
      </c>
    </row>
    <row r="392" spans="1:40" x14ac:dyDescent="0.25">
      <c r="A392" t="str">
        <f>"20190312154510639"</f>
        <v>20190312154510639</v>
      </c>
      <c r="B392" t="str">
        <f>"1552376710636569"</f>
        <v>1552376710636569</v>
      </c>
      <c r="C392" t="s">
        <v>40</v>
      </c>
      <c r="D392">
        <v>3.923867</v>
      </c>
      <c r="E392">
        <v>0.53513269999999902</v>
      </c>
      <c r="F392" t="s">
        <v>50</v>
      </c>
      <c r="G392">
        <v>-168.98320000000001</v>
      </c>
      <c r="H392">
        <v>3.676288</v>
      </c>
      <c r="I392">
        <v>341.01839999999999</v>
      </c>
      <c r="J392">
        <v>-352.12450000000001</v>
      </c>
      <c r="K392">
        <v>1.110169</v>
      </c>
      <c r="L392">
        <v>368.2903</v>
      </c>
      <c r="M392">
        <v>0.99987369999999998</v>
      </c>
      <c r="N392">
        <v>0</v>
      </c>
      <c r="O392">
        <v>7.1053169999999999E-3</v>
      </c>
      <c r="P392">
        <v>0.9959462</v>
      </c>
      <c r="Q392">
        <v>6.8986430000000001E-2</v>
      </c>
      <c r="R392">
        <v>-5.7726760000000002E-2</v>
      </c>
      <c r="S392">
        <v>2.9838260000000001</v>
      </c>
      <c r="T392">
        <v>4.1740890000000003E-2</v>
      </c>
      <c r="U392">
        <v>-0.443573</v>
      </c>
      <c r="V392">
        <v>6.4807310000000007E-2</v>
      </c>
      <c r="W392">
        <v>8.3135689999999998E-2</v>
      </c>
      <c r="X392">
        <v>0.99442870000000005</v>
      </c>
      <c r="Y392">
        <v>0.15405289999999999</v>
      </c>
      <c r="Z392">
        <v>1.1704580000000001E-3</v>
      </c>
      <c r="AA392">
        <v>0.98806190000000005</v>
      </c>
      <c r="AB392">
        <v>30</v>
      </c>
      <c r="AC392">
        <v>183.1413</v>
      </c>
      <c r="AD392">
        <v>2.566119</v>
      </c>
      <c r="AE392">
        <v>-27.271899999999999</v>
      </c>
      <c r="AF392">
        <v>28.567133096463699</v>
      </c>
      <c r="AG392">
        <v>2.566119</v>
      </c>
      <c r="AH392">
        <v>182.90775014149801</v>
      </c>
      <c r="AI392">
        <v>89.205843387247896</v>
      </c>
      <c r="AJ392">
        <v>81.123072329774899</v>
      </c>
      <c r="AK392">
        <v>185.14294780492699</v>
      </c>
      <c r="AL392">
        <v>85.231171641105504</v>
      </c>
      <c r="AM392">
        <v>86.271284362183806</v>
      </c>
      <c r="AN392">
        <v>0.99999998488245101</v>
      </c>
    </row>
    <row r="393" spans="1:40" x14ac:dyDescent="0.25">
      <c r="A393" t="str">
        <f>"20190312154510661"</f>
        <v>20190312154510661</v>
      </c>
      <c r="B393" t="str">
        <f>"1552376710656089"</f>
        <v>1552376710656089</v>
      </c>
      <c r="C393" t="s">
        <v>40</v>
      </c>
      <c r="D393">
        <v>3.9020990000000002</v>
      </c>
      <c r="E393">
        <v>0.53528719999999996</v>
      </c>
      <c r="F393" t="s">
        <v>50</v>
      </c>
      <c r="G393">
        <v>-168.98320000000001</v>
      </c>
      <c r="H393">
        <v>3.5618449999999999</v>
      </c>
      <c r="I393">
        <v>340.7878</v>
      </c>
      <c r="J393">
        <v>-351.82729999999998</v>
      </c>
      <c r="K393">
        <v>1.1101669999999999</v>
      </c>
      <c r="L393">
        <v>368.29239999999999</v>
      </c>
      <c r="M393">
        <v>0.99987369999999998</v>
      </c>
      <c r="N393">
        <v>0</v>
      </c>
      <c r="O393">
        <v>7.0949699999999999E-3</v>
      </c>
      <c r="P393">
        <v>0.99592849999999999</v>
      </c>
      <c r="Q393">
        <v>6.9090849999999995E-2</v>
      </c>
      <c r="R393">
        <v>-5.7905459999999999E-2</v>
      </c>
      <c r="S393">
        <v>2.9834589999999999</v>
      </c>
      <c r="T393">
        <v>3.9939049999999997E-2</v>
      </c>
      <c r="U393">
        <v>-0.4480286</v>
      </c>
      <c r="V393">
        <v>6.4975489999999997E-2</v>
      </c>
      <c r="W393">
        <v>8.323643E-2</v>
      </c>
      <c r="X393">
        <v>0.99440930000000005</v>
      </c>
      <c r="Y393">
        <v>0.1555047</v>
      </c>
      <c r="Z393">
        <v>1.129475E-3</v>
      </c>
      <c r="AA393">
        <v>0.98783449999999995</v>
      </c>
      <c r="AB393">
        <v>30</v>
      </c>
      <c r="AC393">
        <v>182.8441</v>
      </c>
      <c r="AD393">
        <v>2.4516779999999998</v>
      </c>
      <c r="AE393">
        <v>-27.5045999999999</v>
      </c>
      <c r="AF393">
        <v>28.796249476497898</v>
      </c>
      <c r="AG393">
        <v>2.4516779999999998</v>
      </c>
      <c r="AH393">
        <v>182.61222757949699</v>
      </c>
      <c r="AI393">
        <v>89.240203774763401</v>
      </c>
      <c r="AJ393">
        <v>81.038779990021595</v>
      </c>
      <c r="AK393">
        <v>184.884992280267</v>
      </c>
      <c r="AL393">
        <v>85.225379598080096</v>
      </c>
      <c r="AM393">
        <v>86.261562734018</v>
      </c>
      <c r="AN393">
        <v>0.99999998675318702</v>
      </c>
    </row>
    <row r="394" spans="1:40" x14ac:dyDescent="0.25">
      <c r="A394" t="str">
        <f>"20190312154510684"</f>
        <v>20190312154510684</v>
      </c>
      <c r="B394" t="str">
        <f>"1552376710676585"</f>
        <v>1552376710676585</v>
      </c>
      <c r="C394" t="s">
        <v>40</v>
      </c>
      <c r="D394">
        <v>3.862708</v>
      </c>
      <c r="E394">
        <v>0.53535480000000002</v>
      </c>
      <c r="F394" t="s">
        <v>50</v>
      </c>
      <c r="G394">
        <v>-168.98310000000001</v>
      </c>
      <c r="H394">
        <v>3.3633850000000001</v>
      </c>
      <c r="I394">
        <v>340.72340000000003</v>
      </c>
      <c r="J394">
        <v>-351.5376</v>
      </c>
      <c r="K394">
        <v>1.110168</v>
      </c>
      <c r="L394">
        <v>368.29450000000003</v>
      </c>
      <c r="M394">
        <v>0.99987380000000003</v>
      </c>
      <c r="N394">
        <v>0</v>
      </c>
      <c r="O394">
        <v>7.0847410000000003E-3</v>
      </c>
      <c r="P394">
        <v>0.99592519999999995</v>
      </c>
      <c r="Q394">
        <v>6.890143E-2</v>
      </c>
      <c r="R394">
        <v>-5.8186849999999998E-2</v>
      </c>
      <c r="S394">
        <v>2.9835820000000002</v>
      </c>
      <c r="T394">
        <v>3.676724E-2</v>
      </c>
      <c r="U394">
        <v>-0.44985960000000003</v>
      </c>
      <c r="V394">
        <v>6.524684E-2</v>
      </c>
      <c r="W394">
        <v>8.3043980000000003E-2</v>
      </c>
      <c r="X394">
        <v>0.99440770000000001</v>
      </c>
      <c r="Y394">
        <v>0.15608359999999999</v>
      </c>
      <c r="Z394">
        <v>1.043116E-3</v>
      </c>
      <c r="AA394">
        <v>0.98774329999999999</v>
      </c>
      <c r="AB394">
        <v>30</v>
      </c>
      <c r="AC394">
        <v>182.55449999999999</v>
      </c>
      <c r="AD394">
        <v>2.2532169999999998</v>
      </c>
      <c r="AE394">
        <v>-27.571100000000001</v>
      </c>
      <c r="AF394">
        <v>28.859591535100801</v>
      </c>
      <c r="AG394">
        <v>2.2532169999999998</v>
      </c>
      <c r="AH394">
        <v>182.327406871031</v>
      </c>
      <c r="AI394">
        <v>89.300675466078104</v>
      </c>
      <c r="AJ394">
        <v>81.005589456847702</v>
      </c>
      <c r="AK394">
        <v>184.611040587329</v>
      </c>
      <c r="AL394">
        <v>85.2364448445703</v>
      </c>
      <c r="AM394">
        <v>86.245988836608404</v>
      </c>
      <c r="AN394">
        <v>1.0000000632817501</v>
      </c>
    </row>
    <row r="395" spans="1:40" x14ac:dyDescent="0.25">
      <c r="A395" t="str">
        <f>"20190312154510707"</f>
        <v>20190312154510707</v>
      </c>
      <c r="B395" t="str">
        <f>"1552376710697081"</f>
        <v>1552376710697081</v>
      </c>
      <c r="C395" t="s">
        <v>40</v>
      </c>
      <c r="D395">
        <v>3.8761009999999998</v>
      </c>
      <c r="E395">
        <v>0.53555509999999995</v>
      </c>
      <c r="F395" t="s">
        <v>50</v>
      </c>
      <c r="G395">
        <v>-168.983</v>
      </c>
      <c r="H395">
        <v>3.1642429999999999</v>
      </c>
      <c r="I395">
        <v>340.69260000000003</v>
      </c>
      <c r="J395">
        <v>-351.2319</v>
      </c>
      <c r="K395">
        <v>1.110168</v>
      </c>
      <c r="L395">
        <v>368.29660000000001</v>
      </c>
      <c r="M395">
        <v>0.99987409999999999</v>
      </c>
      <c r="N395">
        <v>0</v>
      </c>
      <c r="O395">
        <v>7.0739770000000004E-3</v>
      </c>
      <c r="P395">
        <v>0.99593500000000001</v>
      </c>
      <c r="Q395">
        <v>6.8674289999999999E-2</v>
      </c>
      <c r="R395">
        <v>-5.8290880000000003E-2</v>
      </c>
      <c r="S395">
        <v>2.9835820000000002</v>
      </c>
      <c r="T395">
        <v>3.3570889999999999E-2</v>
      </c>
      <c r="U395">
        <v>-0.45111079999999998</v>
      </c>
      <c r="V395">
        <v>6.5340029999999993E-2</v>
      </c>
      <c r="W395">
        <v>8.2813990000000004E-2</v>
      </c>
      <c r="X395">
        <v>0.99442070000000005</v>
      </c>
      <c r="Y395">
        <v>0.15647990000000001</v>
      </c>
      <c r="Z395">
        <v>9.5450560000000001E-4</v>
      </c>
      <c r="AA395">
        <v>0.98768069999999997</v>
      </c>
      <c r="AB395">
        <v>29</v>
      </c>
      <c r="AC395">
        <v>182.24889999999999</v>
      </c>
      <c r="AD395">
        <v>2.0540750000000001</v>
      </c>
      <c r="AE395">
        <v>-27.6039999999999</v>
      </c>
      <c r="AF395">
        <v>28.889076327138699</v>
      </c>
      <c r="AG395">
        <v>2.0540750000000001</v>
      </c>
      <c r="AH395">
        <v>182.026445220288</v>
      </c>
      <c r="AI395">
        <v>89.361465088835999</v>
      </c>
      <c r="AJ395">
        <v>80.981908831464807</v>
      </c>
      <c r="AK395">
        <v>184.316099987699</v>
      </c>
      <c r="AL395">
        <v>85.249667557980601</v>
      </c>
      <c r="AM395">
        <v>86.240691470333203</v>
      </c>
      <c r="AN395">
        <v>1.0000000025243001</v>
      </c>
    </row>
    <row r="396" spans="1:40" x14ac:dyDescent="0.25">
      <c r="A396" t="str">
        <f>"20190312154510729"</f>
        <v>20190312154510729</v>
      </c>
      <c r="B396" t="str">
        <f>"1552376710716600"</f>
        <v>1552376710716600</v>
      </c>
      <c r="C396" t="s">
        <v>40</v>
      </c>
      <c r="D396">
        <v>3.850349</v>
      </c>
      <c r="E396">
        <v>0.53558430000000001</v>
      </c>
      <c r="F396" t="s">
        <v>50</v>
      </c>
      <c r="G396">
        <v>-168.98310000000001</v>
      </c>
      <c r="H396">
        <v>3.2287330000000001</v>
      </c>
      <c r="I396">
        <v>340.6157</v>
      </c>
      <c r="J396">
        <v>-350.94589999999999</v>
      </c>
      <c r="K396">
        <v>1.110168</v>
      </c>
      <c r="L396">
        <v>368.29860000000002</v>
      </c>
      <c r="M396">
        <v>0.99987409999999999</v>
      </c>
      <c r="N396">
        <v>0</v>
      </c>
      <c r="O396">
        <v>7.0638069999999897E-3</v>
      </c>
      <c r="P396">
        <v>0.99593379999999998</v>
      </c>
      <c r="Q396">
        <v>6.8702970000000002E-2</v>
      </c>
      <c r="R396">
        <v>-5.8272789999999998E-2</v>
      </c>
      <c r="S396">
        <v>2.9833370000000001</v>
      </c>
      <c r="T396">
        <v>3.4680130000000003E-2</v>
      </c>
      <c r="U396">
        <v>-0.453125</v>
      </c>
      <c r="V396">
        <v>6.5312060000000005E-2</v>
      </c>
      <c r="W396">
        <v>8.2839650000000001E-2</v>
      </c>
      <c r="X396">
        <v>0.99442039999999998</v>
      </c>
      <c r="Y396">
        <v>0.15713289999999999</v>
      </c>
      <c r="Z396">
        <v>9.8972870000000007E-4</v>
      </c>
      <c r="AA396">
        <v>0.98757700000000004</v>
      </c>
      <c r="AB396">
        <v>29</v>
      </c>
      <c r="AC396">
        <v>181.96279999999999</v>
      </c>
      <c r="AD396">
        <v>2.1185649999999998</v>
      </c>
      <c r="AE396">
        <v>-27.6829</v>
      </c>
      <c r="AF396">
        <v>28.963851664029299</v>
      </c>
      <c r="AG396">
        <v>2.1185649999999998</v>
      </c>
      <c r="AH396">
        <v>181.738614447684</v>
      </c>
      <c r="AI396">
        <v>89.340444168289494</v>
      </c>
      <c r="AJ396">
        <v>80.944870013130597</v>
      </c>
      <c r="AK396">
        <v>184.04433433887399</v>
      </c>
      <c r="AL396">
        <v>85.248192278399301</v>
      </c>
      <c r="AM396">
        <v>86.242294969443293</v>
      </c>
      <c r="AN396">
        <v>1.0000000023648601</v>
      </c>
    </row>
    <row r="397" spans="1:40" x14ac:dyDescent="0.25">
      <c r="A397" t="str">
        <f>"20190312154510751"</f>
        <v>20190312154510751</v>
      </c>
      <c r="B397" t="str">
        <f>"1552376710746857"</f>
        <v>1552376710746857</v>
      </c>
      <c r="C397" t="s">
        <v>40</v>
      </c>
      <c r="D397">
        <v>3.8720599999999998</v>
      </c>
      <c r="E397">
        <v>0.52625290000000002</v>
      </c>
      <c r="F397" t="s">
        <v>50</v>
      </c>
      <c r="G397">
        <v>-168.983</v>
      </c>
      <c r="H397">
        <v>3.0446680000000002</v>
      </c>
      <c r="I397">
        <v>340.66120000000001</v>
      </c>
      <c r="J397">
        <v>-350.65820000000002</v>
      </c>
      <c r="K397">
        <v>1.110152</v>
      </c>
      <c r="L397">
        <v>368.30059999999997</v>
      </c>
      <c r="M397">
        <v>0.99987420000000005</v>
      </c>
      <c r="N397">
        <v>0</v>
      </c>
      <c r="O397">
        <v>7.0532240000000003E-3</v>
      </c>
      <c r="P397">
        <v>0.99591680000000005</v>
      </c>
      <c r="Q397">
        <v>6.870656E-2</v>
      </c>
      <c r="R397">
        <v>-5.8561090000000003E-2</v>
      </c>
      <c r="S397">
        <v>2.9835509999999998</v>
      </c>
      <c r="T397">
        <v>3.1719089999999998E-2</v>
      </c>
      <c r="U397">
        <v>-0.45315549999999999</v>
      </c>
      <c r="V397">
        <v>6.5589380000000003E-2</v>
      </c>
      <c r="W397">
        <v>8.2840140000000007E-2</v>
      </c>
      <c r="X397">
        <v>0.99440209999999996</v>
      </c>
      <c r="Y397">
        <v>0.1571236</v>
      </c>
      <c r="Z397">
        <v>9.0500300000000004E-4</v>
      </c>
      <c r="AA397">
        <v>0.98757850000000003</v>
      </c>
      <c r="AB397">
        <v>29</v>
      </c>
      <c r="AC397">
        <v>181.67519999999999</v>
      </c>
      <c r="AD397">
        <v>1.9345159999999999</v>
      </c>
      <c r="AE397">
        <v>-27.639399999999899</v>
      </c>
      <c r="AF397">
        <v>28.917032997543298</v>
      </c>
      <c r="AG397">
        <v>1.9345159999999999</v>
      </c>
      <c r="AH397">
        <v>181.45560467977501</v>
      </c>
      <c r="AI397">
        <v>89.3967981018031</v>
      </c>
      <c r="AJ397">
        <v>80.945398164969305</v>
      </c>
      <c r="AK397">
        <v>183.75547235181301</v>
      </c>
      <c r="AL397">
        <v>85.2481640764383</v>
      </c>
      <c r="AM397">
        <v>86.226316225552495</v>
      </c>
      <c r="AN397">
        <v>0.99999999602420697</v>
      </c>
    </row>
    <row r="398" spans="1:40" x14ac:dyDescent="0.25">
      <c r="A398" t="str">
        <f>"20190312154510774"</f>
        <v>20190312154510774</v>
      </c>
      <c r="B398" t="str">
        <f>"1552376710766377"</f>
        <v>1552376710766377</v>
      </c>
      <c r="C398" t="s">
        <v>40</v>
      </c>
      <c r="D398">
        <v>3.8499759999999998</v>
      </c>
      <c r="E398">
        <v>0.52589109999999994</v>
      </c>
      <c r="F398" t="s">
        <v>41</v>
      </c>
      <c r="G398">
        <v>-349.79430000000002</v>
      </c>
      <c r="H398">
        <v>0.98071900000000001</v>
      </c>
      <c r="I398">
        <v>368.1961</v>
      </c>
      <c r="J398">
        <v>-350.35610000000003</v>
      </c>
      <c r="K398">
        <v>1.110155</v>
      </c>
      <c r="L398">
        <v>368.30270000000002</v>
      </c>
      <c r="M398">
        <v>0.99987440000000005</v>
      </c>
      <c r="N398">
        <v>0</v>
      </c>
      <c r="O398">
        <v>7.04252E-3</v>
      </c>
      <c r="P398">
        <v>0.99597190000000002</v>
      </c>
      <c r="Q398">
        <v>6.802076E-2</v>
      </c>
      <c r="R398">
        <v>-5.8426779999999998E-2</v>
      </c>
      <c r="S398">
        <v>3.0220639999999999</v>
      </c>
      <c r="T398">
        <v>-0.45283370000000001</v>
      </c>
      <c r="U398">
        <v>-0.36532589999999998</v>
      </c>
      <c r="V398">
        <v>6.5444680000000005E-2</v>
      </c>
      <c r="W398">
        <v>8.2151539999999995E-2</v>
      </c>
      <c r="X398">
        <v>0.99446869999999998</v>
      </c>
      <c r="Y398">
        <v>0.1255426</v>
      </c>
      <c r="Z398">
        <v>-1.03661E-2</v>
      </c>
      <c r="AA398">
        <v>0.99203410000000003</v>
      </c>
      <c r="AB398">
        <v>29</v>
      </c>
      <c r="AC398">
        <v>0.56180000000000496</v>
      </c>
      <c r="AD398">
        <v>-0.129436</v>
      </c>
      <c r="AE398">
        <v>-0.106600000000014</v>
      </c>
      <c r="AF398">
        <v>0.10516584088742501</v>
      </c>
      <c r="AG398">
        <v>-0.129436</v>
      </c>
      <c r="AH398">
        <v>0.53369046023480105</v>
      </c>
      <c r="AI398">
        <v>103.38484922288499</v>
      </c>
      <c r="AJ398">
        <v>78.852460310319202</v>
      </c>
      <c r="AK398">
        <v>0.55914134128249904</v>
      </c>
      <c r="AL398">
        <v>85.287752621444298</v>
      </c>
      <c r="AM398">
        <v>86.234869004889902</v>
      </c>
      <c r="AN398">
        <v>0.99999993847218005</v>
      </c>
    </row>
    <row r="399" spans="1:40" x14ac:dyDescent="0.25">
      <c r="A399" t="str">
        <f>"20190312154510796"</f>
        <v>20190312154510796</v>
      </c>
      <c r="B399" t="str">
        <f>"1552376710786872"</f>
        <v>1552376710786872</v>
      </c>
      <c r="C399" t="s">
        <v>40</v>
      </c>
      <c r="D399">
        <v>3.871156</v>
      </c>
      <c r="E399">
        <v>0.52534709999999996</v>
      </c>
      <c r="F399" t="s">
        <v>41</v>
      </c>
      <c r="G399">
        <v>-349.53489999999999</v>
      </c>
      <c r="H399">
        <v>0.97603519999999999</v>
      </c>
      <c r="I399">
        <v>368.20479999999998</v>
      </c>
      <c r="J399">
        <v>-350.06380000000001</v>
      </c>
      <c r="K399">
        <v>1.1101559999999999</v>
      </c>
      <c r="L399">
        <v>368.3048</v>
      </c>
      <c r="M399">
        <v>0.9998745</v>
      </c>
      <c r="N399">
        <v>0</v>
      </c>
      <c r="O399">
        <v>7.0321130000000004E-3</v>
      </c>
      <c r="P399">
        <v>0.99597369999999996</v>
      </c>
      <c r="Q399">
        <v>6.8271929999999995E-2</v>
      </c>
      <c r="R399">
        <v>-5.8099070000000003E-2</v>
      </c>
      <c r="S399">
        <v>3.0247190000000002</v>
      </c>
      <c r="T399">
        <v>-0.49406270000000002</v>
      </c>
      <c r="U399">
        <v>-0.36114499999999999</v>
      </c>
      <c r="V399">
        <v>6.5106869999999997E-2</v>
      </c>
      <c r="W399">
        <v>8.2399600000000003E-2</v>
      </c>
      <c r="X399">
        <v>0.99447039999999998</v>
      </c>
      <c r="Y399">
        <v>0.1238257</v>
      </c>
      <c r="Z399">
        <v>-1.114886E-2</v>
      </c>
      <c r="AA399">
        <v>0.99224129999999999</v>
      </c>
      <c r="AB399">
        <v>29</v>
      </c>
      <c r="AC399">
        <v>0.52890000000002102</v>
      </c>
      <c r="AD399">
        <v>-0.13412080000000001</v>
      </c>
      <c r="AE399">
        <v>-0.100000000000022</v>
      </c>
      <c r="AF399">
        <v>9.7654261370049802E-2</v>
      </c>
      <c r="AG399">
        <v>-0.13412080000000001</v>
      </c>
      <c r="AH399">
        <v>0.49730796637728603</v>
      </c>
      <c r="AI399">
        <v>104.822937186921</v>
      </c>
      <c r="AJ399">
        <v>78.890424125630403</v>
      </c>
      <c r="AK399">
        <v>0.524251807034255</v>
      </c>
      <c r="AL399">
        <v>85.273491711179204</v>
      </c>
      <c r="AM399">
        <v>86.254254636537098</v>
      </c>
      <c r="AN399">
        <v>0.99999998753875796</v>
      </c>
    </row>
    <row r="400" spans="1:40" x14ac:dyDescent="0.25">
      <c r="A400" t="str">
        <f>"20190312154510818"</f>
        <v>20190312154510818</v>
      </c>
      <c r="B400" t="str">
        <f>"1552376710806392"</f>
        <v>1552376710806392</v>
      </c>
      <c r="C400" t="s">
        <v>40</v>
      </c>
      <c r="D400">
        <v>3.9365190000000001</v>
      </c>
      <c r="E400">
        <v>0.5252578</v>
      </c>
      <c r="F400" t="s">
        <v>41</v>
      </c>
      <c r="G400">
        <v>-349.27289999999999</v>
      </c>
      <c r="H400">
        <v>0.97742499999999999</v>
      </c>
      <c r="I400">
        <v>368.21159999999998</v>
      </c>
      <c r="J400">
        <v>-349.78440000000001</v>
      </c>
      <c r="K400">
        <v>1.1101669999999999</v>
      </c>
      <c r="L400">
        <v>368.30680000000001</v>
      </c>
      <c r="M400">
        <v>0.99987459999999995</v>
      </c>
      <c r="N400">
        <v>0</v>
      </c>
      <c r="O400">
        <v>7.0223600000000001E-3</v>
      </c>
      <c r="P400">
        <v>0.99594850000000001</v>
      </c>
      <c r="Q400">
        <v>6.9044720000000004E-2</v>
      </c>
      <c r="R400">
        <v>-5.7614459999999999E-2</v>
      </c>
      <c r="S400">
        <v>3.0261840000000002</v>
      </c>
      <c r="T400">
        <v>-0.50799110000000003</v>
      </c>
      <c r="U400">
        <v>-0.35531620000000003</v>
      </c>
      <c r="V400">
        <v>6.4612429999999998E-2</v>
      </c>
      <c r="W400">
        <v>8.316846E-2</v>
      </c>
      <c r="X400">
        <v>0.99443859999999995</v>
      </c>
      <c r="Y400">
        <v>0.1218066</v>
      </c>
      <c r="Z400">
        <v>-1.1285409999999999E-2</v>
      </c>
      <c r="AA400">
        <v>0.99248970000000003</v>
      </c>
      <c r="AB400">
        <v>29</v>
      </c>
      <c r="AC400">
        <v>0.51150000000001195</v>
      </c>
      <c r="AD400">
        <v>-0.132741999999999</v>
      </c>
      <c r="AE400">
        <v>-9.5200000000033896E-2</v>
      </c>
      <c r="AF400">
        <v>9.2752395518869796E-2</v>
      </c>
      <c r="AG400">
        <v>-0.132741999999999</v>
      </c>
      <c r="AH400">
        <v>0.479600058609851</v>
      </c>
      <c r="AI400">
        <v>105.20252428067</v>
      </c>
      <c r="AJ400">
        <v>79.054392322911198</v>
      </c>
      <c r="AK400">
        <v>0.50620120669261703</v>
      </c>
      <c r="AL400">
        <v>85.229287338027206</v>
      </c>
      <c r="AM400">
        <v>86.282502280762898</v>
      </c>
      <c r="AN400">
        <v>0.999999944009616</v>
      </c>
    </row>
    <row r="401" spans="1:40" x14ac:dyDescent="0.25">
      <c r="A401" t="str">
        <f>"20190312154510840"</f>
        <v>20190312154510840</v>
      </c>
      <c r="B401" t="str">
        <f>"1552376710826889"</f>
        <v>1552376710826889</v>
      </c>
      <c r="C401" t="s">
        <v>40</v>
      </c>
      <c r="D401">
        <v>3.880064</v>
      </c>
      <c r="E401">
        <v>0.52511379999999996</v>
      </c>
      <c r="F401" t="s">
        <v>41</v>
      </c>
      <c r="G401">
        <v>-349.01139999999998</v>
      </c>
      <c r="H401">
        <v>0.9781841</v>
      </c>
      <c r="I401">
        <v>368.2167</v>
      </c>
      <c r="J401">
        <v>-349.4948</v>
      </c>
      <c r="K401">
        <v>1.110169</v>
      </c>
      <c r="L401">
        <v>368.30880000000002</v>
      </c>
      <c r="M401">
        <v>0.99987470000000001</v>
      </c>
      <c r="N401">
        <v>0</v>
      </c>
      <c r="O401">
        <v>7.0121319999999999E-3</v>
      </c>
      <c r="P401">
        <v>0.99593810000000005</v>
      </c>
      <c r="Q401">
        <v>6.9408709999999998E-2</v>
      </c>
      <c r="R401">
        <v>-5.7357070000000003E-2</v>
      </c>
      <c r="S401">
        <v>3.0275880000000002</v>
      </c>
      <c r="T401">
        <v>-0.51698880000000003</v>
      </c>
      <c r="U401">
        <v>-0.3529968</v>
      </c>
      <c r="V401">
        <v>6.4344750000000006E-2</v>
      </c>
      <c r="W401">
        <v>8.3529599999999996E-2</v>
      </c>
      <c r="X401">
        <v>0.99442569999999997</v>
      </c>
      <c r="Y401">
        <v>0.12094389999999899</v>
      </c>
      <c r="Z401">
        <v>-1.1403160000000001E-2</v>
      </c>
      <c r="AA401">
        <v>0.99259379999999997</v>
      </c>
      <c r="AB401">
        <v>29</v>
      </c>
      <c r="AC401">
        <v>0.48340000000001698</v>
      </c>
      <c r="AD401">
        <v>-0.13198489999999899</v>
      </c>
      <c r="AE401">
        <v>-9.2100000000016197E-2</v>
      </c>
      <c r="AF401">
        <v>8.9079656305183205E-2</v>
      </c>
      <c r="AG401">
        <v>-0.13198489999999899</v>
      </c>
      <c r="AH401">
        <v>0.45034589177217998</v>
      </c>
      <c r="AI401">
        <v>106.04015710513799</v>
      </c>
      <c r="AJ401">
        <v>78.811169567923997</v>
      </c>
      <c r="AK401">
        <v>0.47766789847292401</v>
      </c>
      <c r="AL401">
        <v>85.208523350460894</v>
      </c>
      <c r="AM401">
        <v>86.297812527564702</v>
      </c>
      <c r="AN401">
        <v>0.99999995687460497</v>
      </c>
    </row>
    <row r="402" spans="1:40" x14ac:dyDescent="0.25">
      <c r="A402" t="str">
        <f>"20190312154510863"</f>
        <v>20190312154510863</v>
      </c>
      <c r="B402" t="str">
        <f>"1552376710856169"</f>
        <v>1552376710856169</v>
      </c>
      <c r="C402" t="s">
        <v>40</v>
      </c>
      <c r="D402">
        <v>3.8957470000000001</v>
      </c>
      <c r="E402">
        <v>0.52515330000000005</v>
      </c>
      <c r="F402" t="s">
        <v>41</v>
      </c>
      <c r="G402">
        <v>-348.74880000000002</v>
      </c>
      <c r="H402">
        <v>0.98191890000000004</v>
      </c>
      <c r="I402">
        <v>368.22230000000002</v>
      </c>
      <c r="J402">
        <v>-349.2022</v>
      </c>
      <c r="K402">
        <v>1.110171</v>
      </c>
      <c r="L402">
        <v>368.31079999999997</v>
      </c>
      <c r="M402">
        <v>0.99987479999999995</v>
      </c>
      <c r="N402">
        <v>0</v>
      </c>
      <c r="O402">
        <v>7.0019629999999999E-3</v>
      </c>
      <c r="P402">
        <v>0.99597809999999998</v>
      </c>
      <c r="Q402">
        <v>6.9105029999999998E-2</v>
      </c>
      <c r="R402">
        <v>-5.702952E-2</v>
      </c>
      <c r="S402">
        <v>3.0283199999999999</v>
      </c>
      <c r="T402">
        <v>-0.52068970000000003</v>
      </c>
      <c r="U402">
        <v>-0.350769</v>
      </c>
      <c r="V402">
        <v>6.4007339999999996E-2</v>
      </c>
      <c r="W402">
        <v>8.3223130000000006E-2</v>
      </c>
      <c r="X402">
        <v>0.99447319999999995</v>
      </c>
      <c r="Y402">
        <v>0.1201716</v>
      </c>
      <c r="Z402">
        <v>-1.1413960000000001E-2</v>
      </c>
      <c r="AA402">
        <v>0.99268749999999994</v>
      </c>
      <c r="AB402">
        <v>29</v>
      </c>
      <c r="AC402">
        <v>0.45339999999998698</v>
      </c>
      <c r="AD402">
        <v>-0.12825209999999901</v>
      </c>
      <c r="AE402">
        <v>-8.8499999999953602E-2</v>
      </c>
      <c r="AF402">
        <v>8.5112586729923695E-2</v>
      </c>
      <c r="AG402">
        <v>-0.12825209999999901</v>
      </c>
      <c r="AH402">
        <v>0.42036827253147102</v>
      </c>
      <c r="AI402">
        <v>106.648080947943</v>
      </c>
      <c r="AJ402">
        <v>78.553973394502407</v>
      </c>
      <c r="AK402">
        <v>0.44766308550668099</v>
      </c>
      <c r="AL402">
        <v>85.226144287408601</v>
      </c>
      <c r="AM402">
        <v>86.3173478547142</v>
      </c>
      <c r="AN402">
        <v>0.99999998722955596</v>
      </c>
    </row>
    <row r="403" spans="1:40" x14ac:dyDescent="0.25">
      <c r="A403" t="str">
        <f>"20190312154510885"</f>
        <v>20190312154510885</v>
      </c>
      <c r="B403" t="str">
        <f>"1552376710876665"</f>
        <v>1552376710876665</v>
      </c>
      <c r="C403" t="s">
        <v>40</v>
      </c>
      <c r="D403">
        <v>3.88836</v>
      </c>
      <c r="E403">
        <v>0.52510129999999999</v>
      </c>
      <c r="F403" t="s">
        <v>41</v>
      </c>
      <c r="G403">
        <v>-348.48649999999998</v>
      </c>
      <c r="H403">
        <v>0.98569180000000001</v>
      </c>
      <c r="I403">
        <v>368.22809999999998</v>
      </c>
      <c r="J403">
        <v>-348.90170000000001</v>
      </c>
      <c r="K403">
        <v>1.110168</v>
      </c>
      <c r="L403">
        <v>368.31290000000001</v>
      </c>
      <c r="M403">
        <v>0.99987490000000001</v>
      </c>
      <c r="N403">
        <v>0</v>
      </c>
      <c r="O403">
        <v>6.9913789999999998E-3</v>
      </c>
      <c r="P403">
        <v>0.99599020000000005</v>
      </c>
      <c r="Q403">
        <v>6.8643659999999995E-2</v>
      </c>
      <c r="R403">
        <v>-5.7370589999999999E-2</v>
      </c>
      <c r="S403">
        <v>3.0286249999999999</v>
      </c>
      <c r="T403">
        <v>-0.52685109999999902</v>
      </c>
      <c r="U403">
        <v>-0.35009770000000001</v>
      </c>
      <c r="V403">
        <v>6.4337989999999998E-2</v>
      </c>
      <c r="W403">
        <v>8.2758860000000004E-2</v>
      </c>
      <c r="X403">
        <v>0.9944906</v>
      </c>
      <c r="Y403">
        <v>0.1198936</v>
      </c>
      <c r="Z403">
        <v>-1.1520320000000001E-2</v>
      </c>
      <c r="AA403">
        <v>0.99271989999999999</v>
      </c>
      <c r="AB403">
        <v>29</v>
      </c>
      <c r="AC403">
        <v>0.41520000000002699</v>
      </c>
      <c r="AD403">
        <v>-0.1244762</v>
      </c>
      <c r="AE403">
        <v>-8.4800000000029699E-2</v>
      </c>
      <c r="AF403">
        <v>8.0735213497820799E-2</v>
      </c>
      <c r="AG403">
        <v>-0.1244762</v>
      </c>
      <c r="AH403">
        <v>0.381666751699206</v>
      </c>
      <c r="AI403">
        <v>107.696727865055</v>
      </c>
      <c r="AJ403">
        <v>78.056107889506507</v>
      </c>
      <c r="AK403">
        <v>0.409489936894183</v>
      </c>
      <c r="AL403">
        <v>85.252837045824293</v>
      </c>
      <c r="AM403">
        <v>86.2984413005194</v>
      </c>
      <c r="AN403">
        <v>0.99999997967704901</v>
      </c>
    </row>
    <row r="404" spans="1:40" x14ac:dyDescent="0.25">
      <c r="A404" t="str">
        <f>"20190312154510906"</f>
        <v>20190312154510906</v>
      </c>
      <c r="B404" t="str">
        <f>"1552376710896185"</f>
        <v>1552376710896185</v>
      </c>
      <c r="C404" t="s">
        <v>40</v>
      </c>
      <c r="D404">
        <v>3.9654759999999998</v>
      </c>
      <c r="E404">
        <v>0.53605429999999998</v>
      </c>
      <c r="F404" t="s">
        <v>41</v>
      </c>
      <c r="G404">
        <v>-347.9837</v>
      </c>
      <c r="H404">
        <v>0.94888450000000002</v>
      </c>
      <c r="I404">
        <v>368.20650000000001</v>
      </c>
      <c r="J404">
        <v>-348.62220000000002</v>
      </c>
      <c r="K404">
        <v>1.1101650000000001</v>
      </c>
      <c r="L404">
        <v>368.31479999999999</v>
      </c>
      <c r="M404">
        <v>0.99987519999999996</v>
      </c>
      <c r="N404">
        <v>0</v>
      </c>
      <c r="O404">
        <v>6.9813280000000002E-3</v>
      </c>
      <c r="P404">
        <v>0.99602049999999998</v>
      </c>
      <c r="Q404">
        <v>6.7723980000000003E-2</v>
      </c>
      <c r="R404">
        <v>-5.7940800000000001E-2</v>
      </c>
      <c r="S404">
        <v>3.0285639999999998</v>
      </c>
      <c r="T404">
        <v>-0.53216770000000002</v>
      </c>
      <c r="U404">
        <v>-0.35073850000000001</v>
      </c>
      <c r="V404">
        <v>6.4898220000000006E-2</v>
      </c>
      <c r="W404">
        <v>8.183646E-2</v>
      </c>
      <c r="X404">
        <v>0.99453060000000004</v>
      </c>
      <c r="Y404">
        <v>0.12005300000000001</v>
      </c>
      <c r="Z404">
        <v>-1.1647040000000001E-2</v>
      </c>
      <c r="AA404">
        <v>0.99269909999999995</v>
      </c>
      <c r="AB404">
        <v>29</v>
      </c>
      <c r="AC404">
        <v>0.63850000000002105</v>
      </c>
      <c r="AD404">
        <v>-0.16128049999999999</v>
      </c>
      <c r="AE404">
        <v>-0.10829999999998501</v>
      </c>
      <c r="AF404">
        <v>0.10617079449845</v>
      </c>
      <c r="AG404">
        <v>-0.16128049999999999</v>
      </c>
      <c r="AH404">
        <v>0.60048677909791903</v>
      </c>
      <c r="AI404">
        <v>104.814426144493</v>
      </c>
      <c r="AJ404">
        <v>79.973279528366504</v>
      </c>
      <c r="AK404">
        <v>0.63076779337254896</v>
      </c>
      <c r="AL404">
        <v>85.305866892521493</v>
      </c>
      <c r="AM404">
        <v>86.266450102032593</v>
      </c>
      <c r="AN404">
        <v>1.00000004974042</v>
      </c>
    </row>
    <row r="405" spans="1:40" x14ac:dyDescent="0.25">
      <c r="A405" t="str">
        <f>"20190312154510929"</f>
        <v>20190312154510929</v>
      </c>
      <c r="B405" t="str">
        <f>"1552376710916681"</f>
        <v>1552376710916681</v>
      </c>
      <c r="C405" t="s">
        <v>40</v>
      </c>
      <c r="D405">
        <v>3.9345889999999999</v>
      </c>
      <c r="E405">
        <v>0.53795990000000005</v>
      </c>
      <c r="F405" t="s">
        <v>41</v>
      </c>
      <c r="G405">
        <v>-347.74059999999997</v>
      </c>
      <c r="H405">
        <v>0.91106240000000005</v>
      </c>
      <c r="I405">
        <v>368.18799999999999</v>
      </c>
      <c r="J405">
        <v>-348.33300000000003</v>
      </c>
      <c r="K405">
        <v>1.1101620000000001</v>
      </c>
      <c r="L405">
        <v>368.3168</v>
      </c>
      <c r="M405">
        <v>0.99987510000000002</v>
      </c>
      <c r="N405">
        <v>0</v>
      </c>
      <c r="O405">
        <v>6.9714549999999997E-3</v>
      </c>
      <c r="P405">
        <v>0.99601220000000001</v>
      </c>
      <c r="Q405">
        <v>6.7307199999999998E-2</v>
      </c>
      <c r="R405">
        <v>-5.8560729999999998E-2</v>
      </c>
      <c r="S405">
        <v>3.0332340000000002</v>
      </c>
      <c r="T405">
        <v>-0.68516180000000004</v>
      </c>
      <c r="U405">
        <v>-0.43518069999999998</v>
      </c>
      <c r="V405">
        <v>6.5508300000000005E-2</v>
      </c>
      <c r="W405">
        <v>8.1416820000000001E-2</v>
      </c>
      <c r="X405">
        <v>0.99452499999999999</v>
      </c>
      <c r="Y405">
        <v>0.14515729999999999</v>
      </c>
      <c r="Z405">
        <v>-1.765885E-2</v>
      </c>
      <c r="AA405">
        <v>0.98925099999999999</v>
      </c>
      <c r="AB405">
        <v>29</v>
      </c>
      <c r="AC405">
        <v>0.59240000000005399</v>
      </c>
      <c r="AD405">
        <v>-0.19909959999999999</v>
      </c>
      <c r="AE405">
        <v>-0.12879999999995501</v>
      </c>
      <c r="AF405">
        <v>0.119985780535314</v>
      </c>
      <c r="AG405">
        <v>-0.19909959999999999</v>
      </c>
      <c r="AH405">
        <v>0.53390211552824396</v>
      </c>
      <c r="AI405">
        <v>109.993376606241</v>
      </c>
      <c r="AJ405">
        <v>77.334141762608695</v>
      </c>
      <c r="AK405">
        <v>0.58231323805694402</v>
      </c>
      <c r="AL405">
        <v>85.329990789354</v>
      </c>
      <c r="AM405">
        <v>86.231432129461894</v>
      </c>
      <c r="AN405">
        <v>1.0000000057864</v>
      </c>
    </row>
    <row r="406" spans="1:40" x14ac:dyDescent="0.25">
      <c r="A406" t="str">
        <f>"20190312154510950"</f>
        <v>20190312154510950</v>
      </c>
      <c r="B406" t="str">
        <f>"1552376710945961"</f>
        <v>1552376710945961</v>
      </c>
      <c r="C406" t="s">
        <v>40</v>
      </c>
      <c r="D406">
        <v>3.9957569999999998</v>
      </c>
      <c r="E406">
        <v>0.53753390000000001</v>
      </c>
      <c r="F406" t="s">
        <v>41</v>
      </c>
      <c r="G406">
        <v>-347.48009999999999</v>
      </c>
      <c r="H406">
        <v>0.91400269999999995</v>
      </c>
      <c r="I406">
        <v>368.18950000000001</v>
      </c>
      <c r="J406">
        <v>-348.05200000000002</v>
      </c>
      <c r="K406">
        <v>1.110163</v>
      </c>
      <c r="L406">
        <v>368.31880000000001</v>
      </c>
      <c r="M406">
        <v>0.99987530000000002</v>
      </c>
      <c r="N406">
        <v>0</v>
      </c>
      <c r="O406">
        <v>6.9615220000000004E-3</v>
      </c>
      <c r="P406">
        <v>0.99597720000000001</v>
      </c>
      <c r="Q406">
        <v>6.8032869999999995E-2</v>
      </c>
      <c r="R406">
        <v>-5.8320940000000002E-2</v>
      </c>
      <c r="S406">
        <v>3.032562</v>
      </c>
      <c r="T406">
        <v>-0.69746350000000001</v>
      </c>
      <c r="U406">
        <v>-0.45239259999999898</v>
      </c>
      <c r="V406">
        <v>6.5258350000000007E-2</v>
      </c>
      <c r="W406">
        <v>8.2138699999999995E-2</v>
      </c>
      <c r="X406">
        <v>0.99448199999999998</v>
      </c>
      <c r="Y406">
        <v>0.15040680000000001</v>
      </c>
      <c r="Z406">
        <v>-1.85553E-2</v>
      </c>
      <c r="AA406">
        <v>0.9884501</v>
      </c>
      <c r="AB406">
        <v>29</v>
      </c>
      <c r="AC406">
        <v>0.57189999999997099</v>
      </c>
      <c r="AD406">
        <v>-0.19616029999999901</v>
      </c>
      <c r="AE406">
        <v>-0.1293</v>
      </c>
      <c r="AF406">
        <v>0.11986278580855</v>
      </c>
      <c r="AG406">
        <v>-0.19616029999999901</v>
      </c>
      <c r="AH406">
        <v>0.51351067380738702</v>
      </c>
      <c r="AI406">
        <v>110.405144307291</v>
      </c>
      <c r="AJ406">
        <v>76.861361197915699</v>
      </c>
      <c r="AK406">
        <v>0.562618132334884</v>
      </c>
      <c r="AL406">
        <v>85.288490769633896</v>
      </c>
      <c r="AM406">
        <v>86.245608214519905</v>
      </c>
      <c r="AN406">
        <v>0.99999993330320402</v>
      </c>
    </row>
    <row r="407" spans="1:40" x14ac:dyDescent="0.25">
      <c r="A407" t="str">
        <f>"20190312154510976"</f>
        <v>20190312154510976</v>
      </c>
      <c r="B407" t="str">
        <f>"1552376710966465"</f>
        <v>1552376710966465</v>
      </c>
      <c r="C407" t="s">
        <v>40</v>
      </c>
      <c r="D407">
        <v>3.9609909999999999</v>
      </c>
      <c r="E407">
        <v>0.53738649999999999</v>
      </c>
      <c r="F407" t="s">
        <v>41</v>
      </c>
      <c r="G407">
        <v>-347.21890000000002</v>
      </c>
      <c r="H407">
        <v>0.91958209999999996</v>
      </c>
      <c r="I407">
        <v>368.19540000000001</v>
      </c>
      <c r="J407">
        <v>-347.73570000000001</v>
      </c>
      <c r="K407">
        <v>1.1101639999999999</v>
      </c>
      <c r="L407">
        <v>368.32100000000003</v>
      </c>
      <c r="M407">
        <v>0.99987539999999997</v>
      </c>
      <c r="N407">
        <v>0</v>
      </c>
      <c r="O407">
        <v>6.9502799999999997E-3</v>
      </c>
      <c r="P407">
        <v>0.99595540000000005</v>
      </c>
      <c r="Q407">
        <v>6.8259490000000006E-2</v>
      </c>
      <c r="R407">
        <v>-5.8425900000000003E-2</v>
      </c>
      <c r="S407">
        <v>3.033264</v>
      </c>
      <c r="T407">
        <v>-0.6939613</v>
      </c>
      <c r="U407">
        <v>-0.44851679999999999</v>
      </c>
      <c r="V407">
        <v>6.5352010000000002E-2</v>
      </c>
      <c r="W407">
        <v>8.2362530000000003E-2</v>
      </c>
      <c r="X407">
        <v>0.99445740000000005</v>
      </c>
      <c r="Y407">
        <v>0.1491981</v>
      </c>
      <c r="Z407">
        <v>-1.832365E-2</v>
      </c>
      <c r="AA407">
        <v>0.98863760000000001</v>
      </c>
      <c r="AB407">
        <v>29</v>
      </c>
      <c r="AC407">
        <v>0.51679999999998905</v>
      </c>
      <c r="AD407">
        <v>-0.1905819</v>
      </c>
      <c r="AE407">
        <v>-0.12559999999996299</v>
      </c>
      <c r="AF407">
        <v>0.11448794862770199</v>
      </c>
      <c r="AG407">
        <v>-0.1905819</v>
      </c>
      <c r="AH407">
        <v>0.45720520985420099</v>
      </c>
      <c r="AI407">
        <v>112.01625849074701</v>
      </c>
      <c r="AJ407">
        <v>75.941744514204004</v>
      </c>
      <c r="AK407">
        <v>0.50839507757885904</v>
      </c>
      <c r="AL407">
        <v>85.275622949906307</v>
      </c>
      <c r="AM407">
        <v>86.240142546486894</v>
      </c>
      <c r="AN407">
        <v>0.99999999598690004</v>
      </c>
    </row>
    <row r="408" spans="1:40" x14ac:dyDescent="0.25">
      <c r="A408" t="str">
        <f>"20190312154510998"</f>
        <v>20190312154510998</v>
      </c>
      <c r="B408" t="str">
        <f>"1552376710985977"</f>
        <v>1552376710985977</v>
      </c>
      <c r="C408" t="s">
        <v>40</v>
      </c>
      <c r="D408">
        <v>3.9925730000000001</v>
      </c>
      <c r="E408">
        <v>0.53684869999999996</v>
      </c>
      <c r="F408" t="s">
        <v>41</v>
      </c>
      <c r="G408">
        <v>-346.95499999999998</v>
      </c>
      <c r="H408">
        <v>0.93185450000000003</v>
      </c>
      <c r="I408">
        <v>368.2056</v>
      </c>
      <c r="J408">
        <v>-347.44240000000002</v>
      </c>
      <c r="K408">
        <v>1.1101639999999999</v>
      </c>
      <c r="L408">
        <v>368.32310000000001</v>
      </c>
      <c r="M408">
        <v>0.99987539999999997</v>
      </c>
      <c r="N408">
        <v>0</v>
      </c>
      <c r="O408">
        <v>6.9401100000000002E-3</v>
      </c>
      <c r="P408">
        <v>0.99601070000000003</v>
      </c>
      <c r="Q408">
        <v>6.7853899999999995E-2</v>
      </c>
      <c r="R408">
        <v>-5.7951679999999998E-2</v>
      </c>
      <c r="S408">
        <v>3.0334780000000001</v>
      </c>
      <c r="T408">
        <v>-0.69289780000000001</v>
      </c>
      <c r="U408">
        <v>-0.44778440000000003</v>
      </c>
      <c r="V408">
        <v>6.4867999999999995E-2</v>
      </c>
      <c r="W408">
        <v>8.195479E-2</v>
      </c>
      <c r="X408">
        <v>0.99452280000000004</v>
      </c>
      <c r="Y408">
        <v>0.14896280000000001</v>
      </c>
      <c r="Z408">
        <v>-1.8266660000000001E-2</v>
      </c>
      <c r="AA408">
        <v>0.98867400000000005</v>
      </c>
      <c r="AB408">
        <v>29</v>
      </c>
      <c r="AC408">
        <v>0.48740000000003603</v>
      </c>
      <c r="AD408">
        <v>-0.17830949999999901</v>
      </c>
      <c r="AE408">
        <v>-0.117500000000006</v>
      </c>
      <c r="AF408">
        <v>0.107307207350816</v>
      </c>
      <c r="AG408">
        <v>-0.17830949999999901</v>
      </c>
      <c r="AH408">
        <v>0.43193834913676299</v>
      </c>
      <c r="AI408">
        <v>111.832729345914</v>
      </c>
      <c r="AJ408">
        <v>76.048355336107207</v>
      </c>
      <c r="AK408">
        <v>0.47945787301354598</v>
      </c>
      <c r="AL408">
        <v>85.299064103592897</v>
      </c>
      <c r="AM408">
        <v>86.268154538222404</v>
      </c>
      <c r="AN408">
        <v>1.0000000223738901</v>
      </c>
    </row>
    <row r="409" spans="1:40" x14ac:dyDescent="0.25">
      <c r="A409" t="str">
        <f>"20190312154511020"</f>
        <v>20190312154511020</v>
      </c>
      <c r="B409" t="str">
        <f>"1552376711016234"</f>
        <v>1552376711016234</v>
      </c>
      <c r="C409" t="s">
        <v>40</v>
      </c>
      <c r="D409">
        <v>4.0140929999999999</v>
      </c>
      <c r="E409">
        <v>0.53645919999999903</v>
      </c>
      <c r="F409" t="s">
        <v>41</v>
      </c>
      <c r="G409">
        <v>-346.6936</v>
      </c>
      <c r="H409">
        <v>0.93885459999999998</v>
      </c>
      <c r="I409">
        <v>368.21370000000002</v>
      </c>
      <c r="J409">
        <v>-347.1653</v>
      </c>
      <c r="K409">
        <v>1.1101669999999999</v>
      </c>
      <c r="L409">
        <v>368.32499999999999</v>
      </c>
      <c r="M409">
        <v>0.99987570000000003</v>
      </c>
      <c r="N409">
        <v>0</v>
      </c>
      <c r="O409">
        <v>6.9299979999999997E-3</v>
      </c>
      <c r="P409">
        <v>0.99604769999999998</v>
      </c>
      <c r="Q409">
        <v>6.7266779999999998E-2</v>
      </c>
      <c r="R409">
        <v>-5.8004989999999999E-2</v>
      </c>
      <c r="S409">
        <v>3.0335390000000002</v>
      </c>
      <c r="T409">
        <v>-0.69406880000000004</v>
      </c>
      <c r="U409">
        <v>-0.44198609999999999</v>
      </c>
      <c r="V409">
        <v>6.4911419999999997E-2</v>
      </c>
      <c r="W409">
        <v>8.1365489999999999E-2</v>
      </c>
      <c r="X409">
        <v>0.99456829999999996</v>
      </c>
      <c r="Y409">
        <v>0.14713200000000001</v>
      </c>
      <c r="Z409">
        <v>-1.809084E-2</v>
      </c>
      <c r="AA409">
        <v>0.98895140000000004</v>
      </c>
      <c r="AB409">
        <v>29</v>
      </c>
      <c r="AC409">
        <v>0.47169999999999801</v>
      </c>
      <c r="AD409">
        <v>-0.171312399999999</v>
      </c>
      <c r="AE409">
        <v>-0.11129999999997101</v>
      </c>
      <c r="AF409">
        <v>0.101841981676143</v>
      </c>
      <c r="AG409">
        <v>-0.171312399999999</v>
      </c>
      <c r="AH409">
        <v>0.41861394857212902</v>
      </c>
      <c r="AI409">
        <v>111.684689408612</v>
      </c>
      <c r="AJ409">
        <v>76.326500318038399</v>
      </c>
      <c r="AK409">
        <v>0.46363494860141102</v>
      </c>
      <c r="AL409">
        <v>85.332941401444302</v>
      </c>
      <c r="AM409">
        <v>86.265834015360397</v>
      </c>
      <c r="AN409">
        <v>0.99999996938712199</v>
      </c>
    </row>
    <row r="410" spans="1:40" x14ac:dyDescent="0.25">
      <c r="A410" t="str">
        <f>"20190312154511041"</f>
        <v>20190312154511041</v>
      </c>
      <c r="B410" t="str">
        <f>"1552376711036729"</f>
        <v>1552376711036729</v>
      </c>
      <c r="C410" t="s">
        <v>40</v>
      </c>
      <c r="D410">
        <v>4.0075779999999996</v>
      </c>
      <c r="E410">
        <v>0.53650109999999995</v>
      </c>
      <c r="F410" t="s">
        <v>41</v>
      </c>
      <c r="G410">
        <v>-346.4341</v>
      </c>
      <c r="H410">
        <v>0.94224989999999997</v>
      </c>
      <c r="I410">
        <v>368.21890000000002</v>
      </c>
      <c r="J410">
        <v>-346.88459999999998</v>
      </c>
      <c r="K410">
        <v>1.110166</v>
      </c>
      <c r="L410">
        <v>368.32690000000002</v>
      </c>
      <c r="M410">
        <v>0.99987579999999998</v>
      </c>
      <c r="N410">
        <v>0</v>
      </c>
      <c r="O410">
        <v>6.9201239999999997E-3</v>
      </c>
      <c r="P410">
        <v>0.99605580000000005</v>
      </c>
      <c r="Q410">
        <v>6.7027110000000001E-2</v>
      </c>
      <c r="R410">
        <v>-5.814271E-2</v>
      </c>
      <c r="S410">
        <v>3.0333559999999999</v>
      </c>
      <c r="T410">
        <v>-0.69660519999999904</v>
      </c>
      <c r="U410">
        <v>-0.43939210000000001</v>
      </c>
      <c r="V410">
        <v>6.5039399999999997E-2</v>
      </c>
      <c r="W410">
        <v>8.1122639999999996E-2</v>
      </c>
      <c r="X410">
        <v>0.99457980000000001</v>
      </c>
      <c r="Y410">
        <v>0.14629489999999901</v>
      </c>
      <c r="Z410">
        <v>-1.8060779999999999E-2</v>
      </c>
      <c r="AA410">
        <v>0.98907610000000001</v>
      </c>
      <c r="AB410">
        <v>29</v>
      </c>
      <c r="AC410">
        <v>0.45049999999997598</v>
      </c>
      <c r="AD410">
        <v>-0.16791610000000001</v>
      </c>
      <c r="AE410">
        <v>-0.108000000000004</v>
      </c>
      <c r="AF410">
        <v>9.8212214344000501E-2</v>
      </c>
      <c r="AG410">
        <v>-0.16791610000000001</v>
      </c>
      <c r="AH410">
        <v>0.397516430873189</v>
      </c>
      <c r="AI410">
        <v>112.297673759384</v>
      </c>
      <c r="AJ410">
        <v>76.1221614810391</v>
      </c>
      <c r="AK410">
        <v>0.44256159853710803</v>
      </c>
      <c r="AL410">
        <v>85.346901939251097</v>
      </c>
      <c r="AM410">
        <v>86.258535727356701</v>
      </c>
      <c r="AN410">
        <v>0.99999999242048399</v>
      </c>
    </row>
    <row r="411" spans="1:40" x14ac:dyDescent="0.25">
      <c r="A411" t="str">
        <f>"20190312154511064"</f>
        <v>20190312154511064</v>
      </c>
      <c r="B411" t="str">
        <f>"1552376711056255"</f>
        <v>1552376711056255</v>
      </c>
      <c r="C411" t="s">
        <v>40</v>
      </c>
      <c r="D411">
        <v>4.0366730000000004</v>
      </c>
      <c r="E411">
        <v>0.53648119999999999</v>
      </c>
      <c r="F411" t="s">
        <v>41</v>
      </c>
      <c r="G411">
        <v>-346.17450000000002</v>
      </c>
      <c r="H411">
        <v>0.94631849999999995</v>
      </c>
      <c r="I411">
        <v>368.22379999999998</v>
      </c>
      <c r="J411">
        <v>-346.59879999999998</v>
      </c>
      <c r="K411">
        <v>1.110166</v>
      </c>
      <c r="L411">
        <v>368.32889999999998</v>
      </c>
      <c r="M411">
        <v>0.99987579999999998</v>
      </c>
      <c r="N411">
        <v>0</v>
      </c>
      <c r="O411">
        <v>6.9104300000000004E-3</v>
      </c>
      <c r="P411">
        <v>0.99602959999999996</v>
      </c>
      <c r="Q411">
        <v>6.7288730000000005E-2</v>
      </c>
      <c r="R411">
        <v>-5.8288939999999997E-2</v>
      </c>
      <c r="S411">
        <v>3.0332949999999999</v>
      </c>
      <c r="T411">
        <v>-0.69991539999999997</v>
      </c>
      <c r="U411">
        <v>-0.44012449999999997</v>
      </c>
      <c r="V411">
        <v>6.5175659999999996E-2</v>
      </c>
      <c r="W411">
        <v>8.1381170000000003E-2</v>
      </c>
      <c r="X411">
        <v>0.99454980000000004</v>
      </c>
      <c r="Y411">
        <v>0.14648069999999999</v>
      </c>
      <c r="Z411">
        <v>-1.816336E-2</v>
      </c>
      <c r="AA411">
        <v>0.9890468</v>
      </c>
      <c r="AB411">
        <v>29</v>
      </c>
      <c r="AC411">
        <v>0.42429999999995899</v>
      </c>
      <c r="AD411">
        <v>-0.16384750000000001</v>
      </c>
      <c r="AE411">
        <v>-0.105099999999993</v>
      </c>
      <c r="AF411">
        <v>9.4721614264354506E-2</v>
      </c>
      <c r="AG411">
        <v>-0.16384750000000001</v>
      </c>
      <c r="AH411">
        <v>0.37138446641346501</v>
      </c>
      <c r="AI411">
        <v>113.146462875612</v>
      </c>
      <c r="AJ411">
        <v>75.691757421607207</v>
      </c>
      <c r="AK411">
        <v>0.41682683377909902</v>
      </c>
      <c r="AL411">
        <v>85.332040312307996</v>
      </c>
      <c r="AM411">
        <v>86.2506067802627</v>
      </c>
      <c r="AN411">
        <v>1.0000000330835199</v>
      </c>
    </row>
    <row r="412" spans="1:40" x14ac:dyDescent="0.25">
      <c r="A412" t="str">
        <f>"20190312154511085"</f>
        <v>20190312154511085</v>
      </c>
      <c r="B412" t="str">
        <f>"1552376711076745"</f>
        <v>1552376711076745</v>
      </c>
      <c r="C412" t="s">
        <v>40</v>
      </c>
      <c r="D412">
        <v>4.0618349999999896</v>
      </c>
      <c r="E412">
        <v>0.53652449999999996</v>
      </c>
      <c r="F412" t="s">
        <v>41</v>
      </c>
      <c r="G412">
        <v>-345.67989999999998</v>
      </c>
      <c r="H412">
        <v>0.89873599999999998</v>
      </c>
      <c r="I412">
        <v>368.1952</v>
      </c>
      <c r="J412">
        <v>-346.31420000000003</v>
      </c>
      <c r="K412">
        <v>1.110161</v>
      </c>
      <c r="L412">
        <v>368.33080000000001</v>
      </c>
      <c r="M412">
        <v>0.99987610000000005</v>
      </c>
      <c r="N412">
        <v>0</v>
      </c>
      <c r="O412">
        <v>6.9003780000000004E-3</v>
      </c>
      <c r="P412">
        <v>0.9960021</v>
      </c>
      <c r="Q412">
        <v>6.7368670000000005E-2</v>
      </c>
      <c r="R412">
        <v>-5.866383E-2</v>
      </c>
      <c r="S412">
        <v>3.0333559999999999</v>
      </c>
      <c r="T412">
        <v>-0.69802059999999999</v>
      </c>
      <c r="U412">
        <v>-0.4400635</v>
      </c>
      <c r="V412">
        <v>6.554053E-2</v>
      </c>
      <c r="W412">
        <v>8.1457669999999996E-2</v>
      </c>
      <c r="X412">
        <v>0.9945195</v>
      </c>
      <c r="Y412">
        <v>0.14647019999999999</v>
      </c>
      <c r="Z412">
        <v>-1.8111639999999998E-2</v>
      </c>
      <c r="AA412">
        <v>0.98904930000000002</v>
      </c>
      <c r="AB412">
        <v>29</v>
      </c>
      <c r="AC412">
        <v>0.63430000000005204</v>
      </c>
      <c r="AD412">
        <v>-0.211424999999999</v>
      </c>
      <c r="AE412">
        <v>-0.13560000000000999</v>
      </c>
      <c r="AF412">
        <v>0.126530651710616</v>
      </c>
      <c r="AG412">
        <v>-0.211424999999999</v>
      </c>
      <c r="AH412">
        <v>0.57252066575209204</v>
      </c>
      <c r="AI412">
        <v>109.828632302462</v>
      </c>
      <c r="AJ412">
        <v>77.537600242303597</v>
      </c>
      <c r="AK412">
        <v>0.62329002010342804</v>
      </c>
      <c r="AL412">
        <v>85.327642310108004</v>
      </c>
      <c r="AM412">
        <v>86.229562554331494</v>
      </c>
      <c r="AN412">
        <v>0.99999997447737898</v>
      </c>
    </row>
    <row r="413" spans="1:40" x14ac:dyDescent="0.25">
      <c r="A413" t="str">
        <f>"20190312154511107"</f>
        <v>20190312154511107</v>
      </c>
      <c r="B413" t="str">
        <f>"1552376711096266"</f>
        <v>1552376711096266</v>
      </c>
      <c r="C413" t="s">
        <v>40</v>
      </c>
      <c r="D413">
        <v>4.1138279999999998</v>
      </c>
      <c r="E413">
        <v>0.53703080000000003</v>
      </c>
      <c r="F413" t="s">
        <v>41</v>
      </c>
      <c r="G413">
        <v>-345.42110000000002</v>
      </c>
      <c r="H413">
        <v>0.90392570000000005</v>
      </c>
      <c r="I413">
        <v>368.20049999999998</v>
      </c>
      <c r="J413">
        <v>-346.03199999999998</v>
      </c>
      <c r="K413">
        <v>1.11016</v>
      </c>
      <c r="L413">
        <v>368.33269999999999</v>
      </c>
      <c r="M413">
        <v>0.99987610000000005</v>
      </c>
      <c r="N413">
        <v>0</v>
      </c>
      <c r="O413">
        <v>6.8902669999999899E-3</v>
      </c>
      <c r="P413">
        <v>0.99601740000000005</v>
      </c>
      <c r="Q413">
        <v>6.681877E-2</v>
      </c>
      <c r="R413">
        <v>-5.903191E-2</v>
      </c>
      <c r="S413">
        <v>3.033417</v>
      </c>
      <c r="T413">
        <v>-0.70055269999999903</v>
      </c>
      <c r="U413">
        <v>-0.44174190000000002</v>
      </c>
      <c r="V413">
        <v>6.5898650000000003E-2</v>
      </c>
      <c r="W413">
        <v>8.0904950000000003E-2</v>
      </c>
      <c r="X413">
        <v>0.99454100000000001</v>
      </c>
      <c r="Y413">
        <v>0.14695339999999901</v>
      </c>
      <c r="Z413">
        <v>-1.8227139999999999E-2</v>
      </c>
      <c r="AA413">
        <v>0.98897550000000001</v>
      </c>
      <c r="AB413">
        <v>29</v>
      </c>
      <c r="AC413">
        <v>0.61089999999995803</v>
      </c>
      <c r="AD413">
        <v>-0.20623430000000001</v>
      </c>
      <c r="AE413">
        <v>-0.132200000000011</v>
      </c>
      <c r="AF413">
        <v>0.123014088603473</v>
      </c>
      <c r="AG413">
        <v>-0.20623430000000001</v>
      </c>
      <c r="AH413">
        <v>0.55008692922895697</v>
      </c>
      <c r="AI413">
        <v>110.096324580859</v>
      </c>
      <c r="AJ413">
        <v>77.394534922334401</v>
      </c>
      <c r="AK413">
        <v>0.60021719585494804</v>
      </c>
      <c r="AL413">
        <v>85.359415927731206</v>
      </c>
      <c r="AM413">
        <v>86.209102135027905</v>
      </c>
      <c r="AN413">
        <v>1.00000002184366</v>
      </c>
    </row>
    <row r="414" spans="1:40" x14ac:dyDescent="0.25">
      <c r="A414" t="str">
        <f>"20190312154511130"</f>
        <v>20190312154511130</v>
      </c>
      <c r="B414" t="str">
        <f>"1552376711126521"</f>
        <v>1552376711126521</v>
      </c>
      <c r="C414" t="s">
        <v>40</v>
      </c>
      <c r="D414">
        <v>4.1220420000000004</v>
      </c>
      <c r="E414">
        <v>0.53760160000000001</v>
      </c>
      <c r="F414" t="s">
        <v>41</v>
      </c>
      <c r="G414">
        <v>-345.16320000000002</v>
      </c>
      <c r="H414">
        <v>0.90721359999999995</v>
      </c>
      <c r="I414">
        <v>368.20440000000002</v>
      </c>
      <c r="J414">
        <v>-345.75139999999999</v>
      </c>
      <c r="K414">
        <v>1.1101639999999999</v>
      </c>
      <c r="L414">
        <v>368.3347</v>
      </c>
      <c r="M414">
        <v>0.99987619999999999</v>
      </c>
      <c r="N414">
        <v>0</v>
      </c>
      <c r="O414">
        <v>6.8803939999999997E-3</v>
      </c>
      <c r="P414">
        <v>0.99602029999999997</v>
      </c>
      <c r="Q414">
        <v>6.6413659999999999E-2</v>
      </c>
      <c r="R414">
        <v>-5.94393E-2</v>
      </c>
      <c r="S414">
        <v>3.0330509999999999</v>
      </c>
      <c r="T414">
        <v>-0.7085844</v>
      </c>
      <c r="U414">
        <v>-0.44668580000000002</v>
      </c>
      <c r="V414">
        <v>6.6296259999999996E-2</v>
      </c>
      <c r="W414">
        <v>8.0497639999999995E-2</v>
      </c>
      <c r="X414">
        <v>0.99454759999999998</v>
      </c>
      <c r="Y414">
        <v>0.1484105</v>
      </c>
      <c r="Z414">
        <v>-1.8595609999999999E-2</v>
      </c>
      <c r="AA414">
        <v>0.98875100000000005</v>
      </c>
      <c r="AB414">
        <v>29</v>
      </c>
      <c r="AC414">
        <v>0.58819999999997197</v>
      </c>
      <c r="AD414">
        <v>-0.202950399999999</v>
      </c>
      <c r="AE414">
        <v>-0.13029999999997699</v>
      </c>
      <c r="AF414">
        <v>0.120652560363122</v>
      </c>
      <c r="AG414">
        <v>-0.202950399999999</v>
      </c>
      <c r="AH414">
        <v>0.52743541921789505</v>
      </c>
      <c r="AI414">
        <v>110.560980803717</v>
      </c>
      <c r="AJ414">
        <v>77.115099088183797</v>
      </c>
      <c r="AK414">
        <v>0.57787025068599396</v>
      </c>
      <c r="AL414">
        <v>85.382829320723701</v>
      </c>
      <c r="AM414">
        <v>86.186321679992204</v>
      </c>
      <c r="AN414">
        <v>0.99999999640065795</v>
      </c>
    </row>
    <row r="415" spans="1:40" x14ac:dyDescent="0.25">
      <c r="A415" t="str">
        <f>"20190312154511152"</f>
        <v>20190312154511152</v>
      </c>
      <c r="B415" t="str">
        <f>"1552376711146041"</f>
        <v>1552376711146041</v>
      </c>
      <c r="C415" t="s">
        <v>40</v>
      </c>
      <c r="D415">
        <v>4.1808759999999996</v>
      </c>
      <c r="E415">
        <v>0.53817729999999997</v>
      </c>
      <c r="F415" t="s">
        <v>41</v>
      </c>
      <c r="G415">
        <v>-344.90589999999997</v>
      </c>
      <c r="H415">
        <v>0.91016280000000005</v>
      </c>
      <c r="I415">
        <v>368.20839999999998</v>
      </c>
      <c r="J415">
        <v>-345.45690000000002</v>
      </c>
      <c r="K415">
        <v>1.110161</v>
      </c>
      <c r="L415">
        <v>368.33659999999998</v>
      </c>
      <c r="M415">
        <v>0.99987630000000005</v>
      </c>
      <c r="N415">
        <v>0</v>
      </c>
      <c r="O415">
        <v>6.8701639999999998E-3</v>
      </c>
      <c r="P415">
        <v>0.99603330000000001</v>
      </c>
      <c r="Q415">
        <v>6.6183259999999994E-2</v>
      </c>
      <c r="R415">
        <v>-5.9478969999999999E-2</v>
      </c>
      <c r="S415">
        <v>3.0328369999999998</v>
      </c>
      <c r="T415">
        <v>-0.71744819999999998</v>
      </c>
      <c r="U415">
        <v>-0.45211790000000002</v>
      </c>
      <c r="V415">
        <v>6.6325659999999995E-2</v>
      </c>
      <c r="W415">
        <v>8.0264269999999999E-2</v>
      </c>
      <c r="X415">
        <v>0.99456449999999996</v>
      </c>
      <c r="Y415">
        <v>0.1499994</v>
      </c>
      <c r="Z415">
        <v>-1.9003059999999999E-2</v>
      </c>
      <c r="AA415">
        <v>0.98850349999999998</v>
      </c>
      <c r="AB415">
        <v>29</v>
      </c>
      <c r="AC415">
        <v>0.55100000000004401</v>
      </c>
      <c r="AD415">
        <v>-0.19999819999999899</v>
      </c>
      <c r="AE415">
        <v>-0.12819999999999199</v>
      </c>
      <c r="AF415">
        <v>0.117319766905932</v>
      </c>
      <c r="AG415">
        <v>-0.19999819999999899</v>
      </c>
      <c r="AH415">
        <v>0.48899037534745399</v>
      </c>
      <c r="AI415">
        <v>111.688490720641</v>
      </c>
      <c r="AJ415">
        <v>76.508468305036502</v>
      </c>
      <c r="AK415">
        <v>0.54117907839507795</v>
      </c>
      <c r="AL415">
        <v>85.396243838919901</v>
      </c>
      <c r="AM415">
        <v>86.184700085886504</v>
      </c>
      <c r="AN415">
        <v>0.99999999543665896</v>
      </c>
    </row>
    <row r="416" spans="1:40" x14ac:dyDescent="0.25">
      <c r="A416" t="str">
        <f>"20190312154511176"</f>
        <v>20190312154511176</v>
      </c>
      <c r="B416" t="str">
        <f>"1552376711166537"</f>
        <v>1552376711166537</v>
      </c>
      <c r="C416" t="s">
        <v>40</v>
      </c>
      <c r="D416">
        <v>4.1826650000000001</v>
      </c>
      <c r="E416">
        <v>0.54400530000000002</v>
      </c>
      <c r="F416" t="s">
        <v>41</v>
      </c>
      <c r="G416">
        <v>-344.64729999999997</v>
      </c>
      <c r="H416">
        <v>0.91713060000000002</v>
      </c>
      <c r="I416">
        <v>368.21469999999999</v>
      </c>
      <c r="J416">
        <v>-345.15940000000001</v>
      </c>
      <c r="K416">
        <v>1.1101639999999999</v>
      </c>
      <c r="L416">
        <v>368.33870000000002</v>
      </c>
      <c r="M416">
        <v>0.99987630000000005</v>
      </c>
      <c r="N416">
        <v>0</v>
      </c>
      <c r="O416">
        <v>6.8597569999999898E-3</v>
      </c>
      <c r="P416">
        <v>0.99601810000000002</v>
      </c>
      <c r="Q416">
        <v>6.6267679999999995E-2</v>
      </c>
      <c r="R416">
        <v>-5.9639829999999998E-2</v>
      </c>
      <c r="S416">
        <v>3.032715</v>
      </c>
      <c r="T416">
        <v>-0.72302080000000002</v>
      </c>
      <c r="U416">
        <v>-0.45666499999999999</v>
      </c>
      <c r="V416">
        <v>6.6475880000000001E-2</v>
      </c>
      <c r="W416">
        <v>8.0345550000000002E-2</v>
      </c>
      <c r="X416">
        <v>0.99454790000000004</v>
      </c>
      <c r="Y416">
        <v>0.15134339999999999</v>
      </c>
      <c r="Z416">
        <v>-1.930014E-2</v>
      </c>
      <c r="AA416">
        <v>0.98829279999999997</v>
      </c>
      <c r="AB416">
        <v>29</v>
      </c>
      <c r="AC416">
        <v>0.51210000000003197</v>
      </c>
      <c r="AD416">
        <v>-0.19303339999999899</v>
      </c>
      <c r="AE416">
        <v>-0.12400000000002299</v>
      </c>
      <c r="AF416">
        <v>0.112421358123339</v>
      </c>
      <c r="AG416">
        <v>-0.19303339999999899</v>
      </c>
      <c r="AH416">
        <v>0.45073989666418701</v>
      </c>
      <c r="AI416">
        <v>112.564318090431</v>
      </c>
      <c r="AJ416">
        <v>75.995299260269405</v>
      </c>
      <c r="AK416">
        <v>0.50305756104316501</v>
      </c>
      <c r="AL416">
        <v>85.391571713018195</v>
      </c>
      <c r="AM416">
        <v>86.176020842509502</v>
      </c>
      <c r="AN416">
        <v>0.99999998771049303</v>
      </c>
    </row>
    <row r="417" spans="1:40" x14ac:dyDescent="0.25">
      <c r="A417" t="str">
        <f>"20190312154511198"</f>
        <v>20190312154511198</v>
      </c>
      <c r="B417" t="str">
        <f>"1552376711186058"</f>
        <v>1552376711186058</v>
      </c>
      <c r="C417" t="s">
        <v>40</v>
      </c>
      <c r="D417">
        <v>4.1674009999999999</v>
      </c>
      <c r="E417">
        <v>0.54479719999999998</v>
      </c>
      <c r="F417" t="s">
        <v>41</v>
      </c>
      <c r="G417">
        <v>-344.39609999999999</v>
      </c>
      <c r="H417">
        <v>0.90633739999999996</v>
      </c>
      <c r="I417">
        <v>368.21260000000001</v>
      </c>
      <c r="J417">
        <v>-344.87509999999997</v>
      </c>
      <c r="K417">
        <v>1.110166</v>
      </c>
      <c r="L417">
        <v>368.34070000000003</v>
      </c>
      <c r="M417">
        <v>0.9998766</v>
      </c>
      <c r="N417">
        <v>0</v>
      </c>
      <c r="O417">
        <v>6.8495860000000004E-3</v>
      </c>
      <c r="P417">
        <v>0.99601839999999997</v>
      </c>
      <c r="Q417">
        <v>6.611475E-2</v>
      </c>
      <c r="R417">
        <v>-5.9800689999999997E-2</v>
      </c>
      <c r="S417">
        <v>3.0359189999999998</v>
      </c>
      <c r="T417">
        <v>-0.81079999999999997</v>
      </c>
      <c r="U417">
        <v>-0.50152589999999997</v>
      </c>
      <c r="V417">
        <v>6.6626899999999906E-2</v>
      </c>
      <c r="W417">
        <v>8.0189650000000001E-2</v>
      </c>
      <c r="X417">
        <v>0.99455039999999995</v>
      </c>
      <c r="Y417">
        <v>0.1639129</v>
      </c>
      <c r="Z417">
        <v>-2.3160199999999999E-2</v>
      </c>
      <c r="AA417">
        <v>0.98620289999999999</v>
      </c>
      <c r="AB417">
        <v>29</v>
      </c>
      <c r="AC417">
        <v>0.47899999999998399</v>
      </c>
      <c r="AD417">
        <v>-0.2038286</v>
      </c>
      <c r="AE417">
        <v>-0.12810000000001701</v>
      </c>
      <c r="AF417">
        <v>0.11238621694482499</v>
      </c>
      <c r="AG417">
        <v>-0.2038286</v>
      </c>
      <c r="AH417">
        <v>0.40899543034247798</v>
      </c>
      <c r="AI417">
        <v>115.666683865883</v>
      </c>
      <c r="AJ417">
        <v>74.635148784174007</v>
      </c>
      <c r="AK417">
        <v>0.47058901599820402</v>
      </c>
      <c r="AL417">
        <v>85.400533147370098</v>
      </c>
      <c r="AM417">
        <v>86.167368988815298</v>
      </c>
      <c r="AN417">
        <v>1.0000000109554401</v>
      </c>
    </row>
    <row r="418" spans="1:40" x14ac:dyDescent="0.25">
      <c r="A418" t="str">
        <f>"20190312154511219"</f>
        <v>20190312154511219</v>
      </c>
      <c r="B418" t="str">
        <f>"1552376711216313"</f>
        <v>1552376711216313</v>
      </c>
      <c r="C418" t="s">
        <v>40</v>
      </c>
      <c r="D418">
        <v>4.187119</v>
      </c>
      <c r="E418">
        <v>0.53792569999999995</v>
      </c>
      <c r="F418" t="s">
        <v>41</v>
      </c>
      <c r="G418">
        <v>-344.13749999999999</v>
      </c>
      <c r="H418">
        <v>0.91439800000000004</v>
      </c>
      <c r="I418">
        <v>368.21690000000001</v>
      </c>
      <c r="J418">
        <v>-344.60770000000002</v>
      </c>
      <c r="K418">
        <v>1.110168</v>
      </c>
      <c r="L418">
        <v>368.34249999999997</v>
      </c>
      <c r="M418">
        <v>0.9998766</v>
      </c>
      <c r="N418">
        <v>0</v>
      </c>
      <c r="O418">
        <v>6.8403070000000003E-3</v>
      </c>
      <c r="P418">
        <v>0.99601110000000004</v>
      </c>
      <c r="Q418">
        <v>6.6432110000000003E-2</v>
      </c>
      <c r="R418">
        <v>-5.9570789999999998E-2</v>
      </c>
      <c r="S418">
        <v>3.0349119999999998</v>
      </c>
      <c r="T418">
        <v>-0.80562539999999905</v>
      </c>
      <c r="U418">
        <v>-0.50836179999999997</v>
      </c>
      <c r="V418">
        <v>6.638761E-2</v>
      </c>
      <c r="W418">
        <v>8.0504290000000006E-2</v>
      </c>
      <c r="X418">
        <v>0.99454100000000001</v>
      </c>
      <c r="Y418">
        <v>0.16611529999999899</v>
      </c>
      <c r="Z418">
        <v>-2.3303569999999999E-2</v>
      </c>
      <c r="AA418">
        <v>0.98583100000000001</v>
      </c>
      <c r="AB418">
        <v>29</v>
      </c>
      <c r="AC418">
        <v>0.47020000000003298</v>
      </c>
      <c r="AD418">
        <v>-0.19577</v>
      </c>
      <c r="AE418">
        <v>-0.12559999999996299</v>
      </c>
      <c r="AF418">
        <v>0.110873680596383</v>
      </c>
      <c r="AG418">
        <v>-0.19577</v>
      </c>
      <c r="AH418">
        <v>0.40396573432232802</v>
      </c>
      <c r="AI418">
        <v>115.048452952315</v>
      </c>
      <c r="AJ418">
        <v>74.652352899974204</v>
      </c>
      <c r="AK418">
        <v>0.46239288538597301</v>
      </c>
      <c r="AL418">
        <v>85.382447209760997</v>
      </c>
      <c r="AM418">
        <v>86.181057061414805</v>
      </c>
      <c r="AN418">
        <v>1.00000002807545</v>
      </c>
    </row>
    <row r="419" spans="1:40" x14ac:dyDescent="0.25">
      <c r="A419" t="str">
        <f>"20190312154511241"</f>
        <v>20190312154511241</v>
      </c>
      <c r="B419" t="str">
        <f>"1552376711236809"</f>
        <v>1552376711236809</v>
      </c>
      <c r="C419" t="s">
        <v>40</v>
      </c>
      <c r="D419">
        <v>4.2824949999999999</v>
      </c>
      <c r="E419">
        <v>0.54337809999999998</v>
      </c>
      <c r="F419" t="s">
        <v>41</v>
      </c>
      <c r="G419">
        <v>-343.87670000000003</v>
      </c>
      <c r="H419">
        <v>0.92873070000000002</v>
      </c>
      <c r="I419">
        <v>368.23309999999998</v>
      </c>
      <c r="J419">
        <v>-344.32029999999997</v>
      </c>
      <c r="K419">
        <v>1.110169</v>
      </c>
      <c r="L419">
        <v>368.34440000000001</v>
      </c>
      <c r="M419">
        <v>0.99987669999999995</v>
      </c>
      <c r="N419">
        <v>0</v>
      </c>
      <c r="O419">
        <v>6.8302559999999998E-3</v>
      </c>
      <c r="P419">
        <v>0.99604539999999997</v>
      </c>
      <c r="Q419">
        <v>6.6166669999999997E-2</v>
      </c>
      <c r="R419">
        <v>-5.9293609999999997E-2</v>
      </c>
      <c r="S419">
        <v>3.035034</v>
      </c>
      <c r="T419">
        <v>-0.75330399999999997</v>
      </c>
      <c r="U419">
        <v>-0.45394899999999999</v>
      </c>
      <c r="V419">
        <v>6.6100779999999998E-2</v>
      </c>
      <c r="W419">
        <v>8.0236230000000006E-2</v>
      </c>
      <c r="X419">
        <v>0.99458179999999996</v>
      </c>
      <c r="Y419">
        <v>0.15001889999999901</v>
      </c>
      <c r="Z419">
        <v>-1.9903770000000001E-2</v>
      </c>
      <c r="AA419">
        <v>0.98848279999999999</v>
      </c>
      <c r="AB419">
        <v>29</v>
      </c>
      <c r="AC419">
        <v>0.44359999999994598</v>
      </c>
      <c r="AD419">
        <v>-0.1814383</v>
      </c>
      <c r="AE419">
        <v>-0.111300000000028</v>
      </c>
      <c r="AF419">
        <v>9.8781027211431296E-2</v>
      </c>
      <c r="AG419">
        <v>-0.1814383</v>
      </c>
      <c r="AH419">
        <v>0.38261221937295897</v>
      </c>
      <c r="AI419">
        <v>114.662404453676</v>
      </c>
      <c r="AJ419">
        <v>75.523754561883806</v>
      </c>
      <c r="AK419">
        <v>0.43482140984240503</v>
      </c>
      <c r="AL419">
        <v>85.397855914751403</v>
      </c>
      <c r="AM419">
        <v>86.197663957293003</v>
      </c>
      <c r="AN419">
        <v>1.0000000613062201</v>
      </c>
    </row>
    <row r="420" spans="1:40" x14ac:dyDescent="0.25">
      <c r="A420" t="str">
        <f>"20190312154511265"</f>
        <v>20190312154511265</v>
      </c>
      <c r="B420" t="str">
        <f>"1552376711256333"</f>
        <v>1552376711256333</v>
      </c>
      <c r="C420" t="s">
        <v>40</v>
      </c>
      <c r="D420">
        <v>4.3011999999999997</v>
      </c>
      <c r="E420">
        <v>0.54423779999999999</v>
      </c>
      <c r="F420" t="s">
        <v>41</v>
      </c>
      <c r="G420">
        <v>-343.62209999999999</v>
      </c>
      <c r="H420">
        <v>0.92821600000000004</v>
      </c>
      <c r="I420">
        <v>368.23020000000002</v>
      </c>
      <c r="J420">
        <v>-344.0326</v>
      </c>
      <c r="K420">
        <v>1.1101639999999999</v>
      </c>
      <c r="L420">
        <v>368.34640000000002</v>
      </c>
      <c r="M420">
        <v>0.99987689999999996</v>
      </c>
      <c r="N420">
        <v>0</v>
      </c>
      <c r="O420">
        <v>6.8200259999999999E-3</v>
      </c>
      <c r="P420">
        <v>0.99606989999999995</v>
      </c>
      <c r="Q420">
        <v>6.6022310000000001E-2</v>
      </c>
      <c r="R420">
        <v>-5.9043279999999997E-2</v>
      </c>
      <c r="S420">
        <v>3.0349430000000002</v>
      </c>
      <c r="T420">
        <v>-0.79089309999999902</v>
      </c>
      <c r="U420">
        <v>-0.49557499999999999</v>
      </c>
      <c r="V420">
        <v>6.5840280000000001E-2</v>
      </c>
      <c r="W420">
        <v>8.0089839999999995E-2</v>
      </c>
      <c r="X420">
        <v>0.99461080000000002</v>
      </c>
      <c r="Y420">
        <v>0.1623754</v>
      </c>
      <c r="Z420">
        <v>-2.2416800000000001E-2</v>
      </c>
      <c r="AA420">
        <v>0.98647439999999997</v>
      </c>
      <c r="AB420">
        <v>29</v>
      </c>
      <c r="AC420">
        <v>0.41050000000001302</v>
      </c>
      <c r="AD420">
        <v>-0.181948</v>
      </c>
      <c r="AE420">
        <v>-0.116199999999992</v>
      </c>
      <c r="AF420">
        <v>0.10068438561910099</v>
      </c>
      <c r="AG420">
        <v>-0.181948</v>
      </c>
      <c r="AH420">
        <v>0.34664833122788102</v>
      </c>
      <c r="AI420">
        <v>116.750252923072</v>
      </c>
      <c r="AJ420">
        <v>73.804003305101205</v>
      </c>
      <c r="AK420">
        <v>0.40423691785210702</v>
      </c>
      <c r="AL420">
        <v>85.406270168665998</v>
      </c>
      <c r="AM420">
        <v>86.212715190294105</v>
      </c>
      <c r="AN420">
        <v>0.99999998420917102</v>
      </c>
    </row>
    <row r="421" spans="1:40" x14ac:dyDescent="0.25">
      <c r="A421" t="str">
        <f>"20190312154511286"</f>
        <v>20190312154511286</v>
      </c>
      <c r="B421" t="str">
        <f>"1552376711276825"</f>
        <v>1552376711276825</v>
      </c>
      <c r="C421" t="s">
        <v>40</v>
      </c>
      <c r="D421">
        <v>4.3379849999999998</v>
      </c>
      <c r="E421">
        <v>0.54398380000000002</v>
      </c>
      <c r="F421" t="s">
        <v>41</v>
      </c>
      <c r="G421">
        <v>-343.13479999999998</v>
      </c>
      <c r="H421">
        <v>0.87539679999999997</v>
      </c>
      <c r="I421">
        <v>368.19760000000002</v>
      </c>
      <c r="J421">
        <v>-343.74770000000001</v>
      </c>
      <c r="K421">
        <v>1.1101719999999999</v>
      </c>
      <c r="L421">
        <v>368.34829999999999</v>
      </c>
      <c r="M421">
        <v>0.99987700000000002</v>
      </c>
      <c r="N421">
        <v>0</v>
      </c>
      <c r="O421">
        <v>6.8099739999999999E-3</v>
      </c>
      <c r="P421">
        <v>0.99607429999999997</v>
      </c>
      <c r="Q421">
        <v>6.6020770000000006E-2</v>
      </c>
      <c r="R421">
        <v>-5.8970519999999998E-2</v>
      </c>
      <c r="S421">
        <v>3.0346980000000001</v>
      </c>
      <c r="T421">
        <v>-0.79359579999999996</v>
      </c>
      <c r="U421">
        <v>-0.50161739999999999</v>
      </c>
      <c r="V421">
        <v>6.5757640000000006E-2</v>
      </c>
      <c r="W421">
        <v>8.0085080000000003E-2</v>
      </c>
      <c r="X421">
        <v>0.99461670000000002</v>
      </c>
      <c r="Y421">
        <v>0.16419520000000001</v>
      </c>
      <c r="Z421">
        <v>-2.271921E-2</v>
      </c>
      <c r="AA421">
        <v>0.98616619999999999</v>
      </c>
      <c r="AB421">
        <v>28</v>
      </c>
      <c r="AC421">
        <v>0.61290000000002398</v>
      </c>
      <c r="AD421">
        <v>-0.23477519999999899</v>
      </c>
      <c r="AE421">
        <v>-0.150699999999972</v>
      </c>
      <c r="AF421">
        <v>0.13604643599732399</v>
      </c>
      <c r="AG421">
        <v>-0.23477519999999899</v>
      </c>
      <c r="AH421">
        <v>0.53748878293310498</v>
      </c>
      <c r="AI421">
        <v>112.95004636079599</v>
      </c>
      <c r="AJ421">
        <v>75.795906031964194</v>
      </c>
      <c r="AK421">
        <v>0.60209818058313702</v>
      </c>
      <c r="AL421">
        <v>85.406544002755894</v>
      </c>
      <c r="AM421">
        <v>86.217477397774303</v>
      </c>
      <c r="AN421">
        <v>1.00000003358793</v>
      </c>
    </row>
    <row r="422" spans="1:40" x14ac:dyDescent="0.25">
      <c r="A422" t="str">
        <f>"20190312154511309"</f>
        <v>20190312154511309</v>
      </c>
      <c r="B422" t="str">
        <f>"1552376711296345"</f>
        <v>1552376711296345</v>
      </c>
      <c r="C422" t="s">
        <v>40</v>
      </c>
      <c r="D422">
        <v>4.3018109999999998</v>
      </c>
      <c r="E422">
        <v>0.543915699999999</v>
      </c>
      <c r="F422" t="s">
        <v>41</v>
      </c>
      <c r="G422">
        <v>-342.87849999999997</v>
      </c>
      <c r="H422">
        <v>0.88212919999999995</v>
      </c>
      <c r="I422">
        <v>368.20530000000002</v>
      </c>
      <c r="J422">
        <v>-343.47019999999998</v>
      </c>
      <c r="K422">
        <v>1.1101700000000001</v>
      </c>
      <c r="L422">
        <v>368.35019999999997</v>
      </c>
      <c r="M422">
        <v>0.99987720000000002</v>
      </c>
      <c r="N422">
        <v>0</v>
      </c>
      <c r="O422">
        <v>6.7999200000000001E-3</v>
      </c>
      <c r="P422">
        <v>0.99607219999999996</v>
      </c>
      <c r="Q422">
        <v>6.611098E-2</v>
      </c>
      <c r="R422">
        <v>-5.8907609999999999E-2</v>
      </c>
      <c r="S422">
        <v>3.0350649999999999</v>
      </c>
      <c r="T422">
        <v>-0.79622649999999995</v>
      </c>
      <c r="U422">
        <v>-0.499054</v>
      </c>
      <c r="V422">
        <v>6.5684580000000006E-2</v>
      </c>
      <c r="W422">
        <v>8.0172549999999995E-2</v>
      </c>
      <c r="X422">
        <v>0.99461440000000001</v>
      </c>
      <c r="Y422">
        <v>0.1633473</v>
      </c>
      <c r="Z422">
        <v>-2.2679700000000001E-2</v>
      </c>
      <c r="AA422">
        <v>0.98630790000000002</v>
      </c>
      <c r="AB422">
        <v>28</v>
      </c>
      <c r="AC422">
        <v>0.591700000000002</v>
      </c>
      <c r="AD422">
        <v>-0.22804079999999999</v>
      </c>
      <c r="AE422">
        <v>-0.14489999999995001</v>
      </c>
      <c r="AF422">
        <v>0.130617277670247</v>
      </c>
      <c r="AG422">
        <v>-0.22804079999999999</v>
      </c>
      <c r="AH422">
        <v>0.51810000779044796</v>
      </c>
      <c r="AI422">
        <v>113.112496159172</v>
      </c>
      <c r="AJ422">
        <v>75.850125637445103</v>
      </c>
      <c r="AK422">
        <v>0.58093984005496602</v>
      </c>
      <c r="AL422">
        <v>85.401515803988104</v>
      </c>
      <c r="AM422">
        <v>86.221659076275699</v>
      </c>
      <c r="AN422">
        <v>0.99999995325531799</v>
      </c>
    </row>
    <row r="423" spans="1:40" x14ac:dyDescent="0.25">
      <c r="A423" t="str">
        <f>"20190312154511332"</f>
        <v>20190312154511332</v>
      </c>
      <c r="B423" t="str">
        <f>"1552376711326601"</f>
        <v>1552376711326601</v>
      </c>
      <c r="C423" t="s">
        <v>40</v>
      </c>
      <c r="D423">
        <v>4.3125439999999999</v>
      </c>
      <c r="E423">
        <v>0.54385229999999996</v>
      </c>
      <c r="F423" t="s">
        <v>41</v>
      </c>
      <c r="G423">
        <v>-342.62279999999998</v>
      </c>
      <c r="H423">
        <v>0.88775130000000002</v>
      </c>
      <c r="I423">
        <v>368.21089999999998</v>
      </c>
      <c r="J423">
        <v>-343.17579999999998</v>
      </c>
      <c r="K423">
        <v>1.1101620000000001</v>
      </c>
      <c r="L423">
        <v>368.35219999999998</v>
      </c>
      <c r="M423">
        <v>0.99987729999999997</v>
      </c>
      <c r="N423">
        <v>0</v>
      </c>
      <c r="O423">
        <v>6.7896900000000001E-3</v>
      </c>
      <c r="P423">
        <v>0.9960791</v>
      </c>
      <c r="Q423">
        <v>6.5808770000000003E-2</v>
      </c>
      <c r="R423">
        <v>-5.9125070000000002E-2</v>
      </c>
      <c r="S423">
        <v>3.0352480000000002</v>
      </c>
      <c r="T423">
        <v>-0.79676969999999903</v>
      </c>
      <c r="U423">
        <v>-0.49838260000000001</v>
      </c>
      <c r="V423">
        <v>6.5892149999999997E-2</v>
      </c>
      <c r="W423">
        <v>7.9867389999999996E-2</v>
      </c>
      <c r="X423">
        <v>0.99462530000000005</v>
      </c>
      <c r="Y423">
        <v>0.16311610000000001</v>
      </c>
      <c r="Z423">
        <v>-2.2661480000000001E-2</v>
      </c>
      <c r="AA423">
        <v>0.98634659999999996</v>
      </c>
      <c r="AB423">
        <v>28</v>
      </c>
      <c r="AC423">
        <v>0.55299999999999705</v>
      </c>
      <c r="AD423">
        <v>-0.22241069999999999</v>
      </c>
      <c r="AE423">
        <v>-0.14130000000000101</v>
      </c>
      <c r="AF423">
        <v>0.12593022543403801</v>
      </c>
      <c r="AG423">
        <v>-0.22241069999999999</v>
      </c>
      <c r="AH423">
        <v>0.479256200323527</v>
      </c>
      <c r="AI423">
        <v>114.17238353517099</v>
      </c>
      <c r="AJ423">
        <v>75.277663533947305</v>
      </c>
      <c r="AK423">
        <v>0.543149562000102</v>
      </c>
      <c r="AL423">
        <v>85.419056791963399</v>
      </c>
      <c r="AM423">
        <v>86.209795296592006</v>
      </c>
      <c r="AN423">
        <v>1.00000003140856</v>
      </c>
    </row>
    <row r="424" spans="1:40" x14ac:dyDescent="0.25">
      <c r="A424" t="str">
        <f>"20190312154511353"</f>
        <v>20190312154511353</v>
      </c>
      <c r="B424" t="str">
        <f>"1552376711346121"</f>
        <v>1552376711346121</v>
      </c>
      <c r="C424" t="s">
        <v>40</v>
      </c>
      <c r="D424">
        <v>4.3459709999999996</v>
      </c>
      <c r="E424">
        <v>0.54373959999999999</v>
      </c>
      <c r="F424" t="s">
        <v>41</v>
      </c>
      <c r="G424">
        <v>-342.36630000000002</v>
      </c>
      <c r="H424">
        <v>0.89630829999999995</v>
      </c>
      <c r="I424">
        <v>368.21910000000003</v>
      </c>
      <c r="J424">
        <v>-342.8954</v>
      </c>
      <c r="K424">
        <v>1.1101669999999999</v>
      </c>
      <c r="L424">
        <v>368.35410000000002</v>
      </c>
      <c r="M424">
        <v>0.99987720000000002</v>
      </c>
      <c r="N424">
        <v>0</v>
      </c>
      <c r="O424">
        <v>6.7799949999999996E-3</v>
      </c>
      <c r="P424">
        <v>0.99611439999999996</v>
      </c>
      <c r="Q424">
        <v>6.5363710000000005E-2</v>
      </c>
      <c r="R424">
        <v>-5.9023560000000003E-2</v>
      </c>
      <c r="S424">
        <v>3.0351870000000001</v>
      </c>
      <c r="T424">
        <v>-0.80182140000000002</v>
      </c>
      <c r="U424">
        <v>-0.49865720000000002</v>
      </c>
      <c r="V424">
        <v>6.5780989999999998E-2</v>
      </c>
      <c r="W424">
        <v>7.941964E-2</v>
      </c>
      <c r="X424">
        <v>0.99466849999999996</v>
      </c>
      <c r="Y424">
        <v>0.1631263</v>
      </c>
      <c r="Z424">
        <v>-2.2799590000000002E-2</v>
      </c>
      <c r="AA424">
        <v>0.98634169999999999</v>
      </c>
      <c r="AB424">
        <v>28</v>
      </c>
      <c r="AC424">
        <v>0.52909999999997104</v>
      </c>
      <c r="AD424">
        <v>-0.21385869999999901</v>
      </c>
      <c r="AE424">
        <v>-0.13499999999998999</v>
      </c>
      <c r="AF424">
        <v>0.12015447085653599</v>
      </c>
      <c r="AG424">
        <v>-0.21385869999999901</v>
      </c>
      <c r="AH424">
        <v>0.45793186021890597</v>
      </c>
      <c r="AI424">
        <v>114.30960580699301</v>
      </c>
      <c r="AJ424">
        <v>75.297858225485697</v>
      </c>
      <c r="AK424">
        <v>0.51949420500718901</v>
      </c>
      <c r="AL424">
        <v>85.444792683383398</v>
      </c>
      <c r="AM424">
        <v>86.216334638394301</v>
      </c>
      <c r="AN424">
        <v>1.0000000213776701</v>
      </c>
    </row>
    <row r="425" spans="1:40" x14ac:dyDescent="0.25">
      <c r="A425" t="str">
        <f>"20190312154511520"</f>
        <v>20190312154511520</v>
      </c>
      <c r="B425" t="str">
        <f>"1552376711515947"</f>
        <v>1552376711515947</v>
      </c>
      <c r="C425" t="s">
        <v>40</v>
      </c>
      <c r="D425">
        <v>4.113321</v>
      </c>
      <c r="E425">
        <v>0.52571269999999903</v>
      </c>
      <c r="F425" t="s">
        <v>41</v>
      </c>
      <c r="G425">
        <v>-340.3852</v>
      </c>
      <c r="H425">
        <v>0.821785399999999</v>
      </c>
      <c r="I425">
        <v>368.27809999999999</v>
      </c>
      <c r="J425">
        <v>-340.79969999999997</v>
      </c>
      <c r="K425">
        <v>1.1101730000000001</v>
      </c>
      <c r="L425">
        <v>368.3682</v>
      </c>
      <c r="M425">
        <v>0.99987800000000004</v>
      </c>
      <c r="N425">
        <v>0</v>
      </c>
      <c r="O425">
        <v>6.70588E-3</v>
      </c>
      <c r="P425">
        <v>0.99604499999999996</v>
      </c>
      <c r="Q425">
        <v>6.5318810000000005E-2</v>
      </c>
      <c r="R425">
        <v>-6.0230159999999998E-2</v>
      </c>
      <c r="S425">
        <v>3.0733030000000001</v>
      </c>
      <c r="T425">
        <v>-1.29756</v>
      </c>
      <c r="U425">
        <v>-0.3968506</v>
      </c>
      <c r="V425">
        <v>6.6913500000000001E-2</v>
      </c>
      <c r="W425">
        <v>7.9351669999999999E-2</v>
      </c>
      <c r="X425">
        <v>0.99459839999999999</v>
      </c>
      <c r="Y425">
        <v>0.12373720000000001</v>
      </c>
      <c r="Z425">
        <v>-2.7664749999999998E-2</v>
      </c>
      <c r="AA425">
        <v>0.99192930000000001</v>
      </c>
      <c r="AB425">
        <v>28</v>
      </c>
      <c r="AC425">
        <v>0.414499999999975</v>
      </c>
      <c r="AD425">
        <v>-0.28838760000000002</v>
      </c>
      <c r="AE425">
        <v>-9.0100000000006703E-2</v>
      </c>
      <c r="AF425">
        <v>6.3518140961188796E-2</v>
      </c>
      <c r="AG425">
        <v>-0.28838760000000002</v>
      </c>
      <c r="AH425">
        <v>0.28305241093884298</v>
      </c>
      <c r="AI425">
        <v>134.83121240510101</v>
      </c>
      <c r="AJ425">
        <v>77.352114283026594</v>
      </c>
      <c r="AK425">
        <v>0.40904844383424499</v>
      </c>
      <c r="AL425">
        <v>85.448699495028805</v>
      </c>
      <c r="AM425">
        <v>86.151117325835102</v>
      </c>
      <c r="AN425">
        <v>1.0000000406482901</v>
      </c>
    </row>
    <row r="426" spans="1:40" x14ac:dyDescent="0.25">
      <c r="A426" t="str">
        <f>"20190312154511543"</f>
        <v>20190312154511543</v>
      </c>
      <c r="B426" t="str">
        <f>"1552376711536442"</f>
        <v>1552376711536442</v>
      </c>
      <c r="C426" t="s">
        <v>40</v>
      </c>
      <c r="D426">
        <v>4.5770030000000004</v>
      </c>
      <c r="E426">
        <v>0.52168570000000003</v>
      </c>
      <c r="F426" t="s">
        <v>41</v>
      </c>
      <c r="G426">
        <v>-340.1148</v>
      </c>
      <c r="H426">
        <v>0.8717338</v>
      </c>
      <c r="I426">
        <v>368.29</v>
      </c>
      <c r="J426">
        <v>-340.517</v>
      </c>
      <c r="K426">
        <v>1.110171</v>
      </c>
      <c r="L426">
        <v>368.37</v>
      </c>
      <c r="M426">
        <v>0.99987820000000005</v>
      </c>
      <c r="N426">
        <v>0</v>
      </c>
      <c r="O426">
        <v>6.6956519999999999E-3</v>
      </c>
      <c r="P426">
        <v>0.99600979999999995</v>
      </c>
      <c r="Q426">
        <v>6.5239740000000004E-2</v>
      </c>
      <c r="R426">
        <v>-6.0897699999999999E-2</v>
      </c>
      <c r="S426">
        <v>3.06073</v>
      </c>
      <c r="T426">
        <v>-1.065618</v>
      </c>
      <c r="U426">
        <v>-0.34817500000000001</v>
      </c>
      <c r="V426">
        <v>6.7570399999999906E-2</v>
      </c>
      <c r="W426">
        <v>7.9268959999999999E-2</v>
      </c>
      <c r="X426">
        <v>0.99456049999999996</v>
      </c>
      <c r="Y426">
        <v>0.11273229999999999</v>
      </c>
      <c r="Z426">
        <v>-2.1265139999999998E-2</v>
      </c>
      <c r="AA426">
        <v>0.9933978</v>
      </c>
      <c r="AB426">
        <v>28</v>
      </c>
      <c r="AC426">
        <v>0.40219999999999301</v>
      </c>
      <c r="AD426">
        <v>-0.23843719999999999</v>
      </c>
      <c r="AE426">
        <v>-7.9999999999984001E-2</v>
      </c>
      <c r="AF426">
        <v>6.17988350805318E-2</v>
      </c>
      <c r="AG426">
        <v>-0.23843719999999999</v>
      </c>
      <c r="AH426">
        <v>0.30017400406005001</v>
      </c>
      <c r="AI426">
        <v>127.883377433159</v>
      </c>
      <c r="AJ426">
        <v>78.366676409375103</v>
      </c>
      <c r="AK426">
        <v>0.38829863130661901</v>
      </c>
      <c r="AL426">
        <v>85.453453025164393</v>
      </c>
      <c r="AM426">
        <v>86.113299848622006</v>
      </c>
      <c r="AN426">
        <v>0.99999995756794402</v>
      </c>
    </row>
    <row r="427" spans="1:40" x14ac:dyDescent="0.25">
      <c r="A427" t="str">
        <f>"20190312154511565"</f>
        <v>20190312154511565</v>
      </c>
      <c r="B427" t="str">
        <f>"1552376711556937"</f>
        <v>1552376711556937</v>
      </c>
      <c r="C427" t="s">
        <v>40</v>
      </c>
      <c r="D427">
        <v>4.6565649999999996</v>
      </c>
      <c r="E427">
        <v>0.50601509999999905</v>
      </c>
      <c r="F427" t="s">
        <v>41</v>
      </c>
      <c r="G427">
        <v>-339.85320000000002</v>
      </c>
      <c r="H427">
        <v>0.90042630000000001</v>
      </c>
      <c r="I427">
        <v>368.30009999999999</v>
      </c>
      <c r="J427">
        <v>-340.24200000000002</v>
      </c>
      <c r="K427">
        <v>1.110166</v>
      </c>
      <c r="L427">
        <v>368.37189999999998</v>
      </c>
      <c r="M427">
        <v>0.99987839999999995</v>
      </c>
      <c r="N427">
        <v>0</v>
      </c>
      <c r="O427">
        <v>6.6858940000000004E-3</v>
      </c>
      <c r="P427">
        <v>0.99598750000000003</v>
      </c>
      <c r="Q427">
        <v>6.48865E-2</v>
      </c>
      <c r="R427">
        <v>-6.1637810000000001E-2</v>
      </c>
      <c r="S427">
        <v>3.0556030000000001</v>
      </c>
      <c r="T427">
        <v>-0.9655108</v>
      </c>
      <c r="U427">
        <v>-0.32119750000000002</v>
      </c>
      <c r="V427">
        <v>6.8300659999999999E-2</v>
      </c>
      <c r="W427">
        <v>7.8911980000000007E-2</v>
      </c>
      <c r="X427">
        <v>0.99453899999999995</v>
      </c>
      <c r="Y427">
        <v>0.1057664</v>
      </c>
      <c r="Z427">
        <v>-1.8328279999999999E-2</v>
      </c>
      <c r="AA427">
        <v>0.9942221</v>
      </c>
      <c r="AB427">
        <v>28</v>
      </c>
      <c r="AC427">
        <v>0.38879999999994602</v>
      </c>
      <c r="AD427">
        <v>-0.209739699999999</v>
      </c>
      <c r="AE427">
        <v>-7.1799999999996006E-2</v>
      </c>
      <c r="AF427">
        <v>5.80594253435298E-2</v>
      </c>
      <c r="AG427">
        <v>-0.209739699999999</v>
      </c>
      <c r="AH427">
        <v>0.303033508539159</v>
      </c>
      <c r="AI427">
        <v>124.206672051187</v>
      </c>
      <c r="AJ427">
        <v>79.153907135633403</v>
      </c>
      <c r="AK427">
        <v>0.37308302819193401</v>
      </c>
      <c r="AL427">
        <v>85.473970719544994</v>
      </c>
      <c r="AM427">
        <v>86.071340913852595</v>
      </c>
      <c r="AN427">
        <v>0.99999995163247601</v>
      </c>
    </row>
    <row r="428" spans="1:40" x14ac:dyDescent="0.25">
      <c r="A428" t="str">
        <f>"20190312154511589"</f>
        <v>20190312154511589</v>
      </c>
      <c r="B428" t="str">
        <f>"1552376711586217"</f>
        <v>1552376711586217</v>
      </c>
      <c r="C428" t="s">
        <v>40</v>
      </c>
      <c r="D428">
        <v>4.8352769999999996</v>
      </c>
      <c r="E428">
        <v>0.50626280000000001</v>
      </c>
      <c r="F428" t="s">
        <v>41</v>
      </c>
      <c r="G428">
        <v>-339.3005</v>
      </c>
      <c r="H428">
        <v>1.0099670000000001</v>
      </c>
      <c r="I428">
        <v>368.30399999999997</v>
      </c>
      <c r="J428">
        <v>-339.94880000000001</v>
      </c>
      <c r="K428">
        <v>1.1101669999999999</v>
      </c>
      <c r="L428">
        <v>368.37380000000002</v>
      </c>
      <c r="M428">
        <v>0.99987859999999995</v>
      </c>
      <c r="N428">
        <v>0</v>
      </c>
      <c r="O428">
        <v>6.6753699999999999E-3</v>
      </c>
      <c r="P428">
        <v>0.99600359999999999</v>
      </c>
      <c r="Q428">
        <v>6.4199019999999996E-2</v>
      </c>
      <c r="R428">
        <v>-6.2095579999999997E-2</v>
      </c>
      <c r="S428">
        <v>3.0195620000000001</v>
      </c>
      <c r="T428">
        <v>-0.32145319999999999</v>
      </c>
      <c r="U428">
        <v>-0.21765139999999999</v>
      </c>
      <c r="V428">
        <v>6.8748000000000004E-2</v>
      </c>
      <c r="W428">
        <v>7.8221739999999998E-2</v>
      </c>
      <c r="X428">
        <v>0.99456270000000002</v>
      </c>
      <c r="Y428">
        <v>7.8074599999999994E-2</v>
      </c>
      <c r="Z428">
        <v>-4.8465940000000001E-3</v>
      </c>
      <c r="AA428">
        <v>0.99693569999999998</v>
      </c>
      <c r="AB428">
        <v>28</v>
      </c>
      <c r="AC428">
        <v>0.64830000000000598</v>
      </c>
      <c r="AD428">
        <v>-0.100199999999999</v>
      </c>
      <c r="AE428">
        <v>-6.9799999999986498E-2</v>
      </c>
      <c r="AF428">
        <v>7.2416440764093995E-2</v>
      </c>
      <c r="AG428">
        <v>-0.100199999999999</v>
      </c>
      <c r="AH428">
        <v>0.63287457467288999</v>
      </c>
      <c r="AI428">
        <v>98.939309580706905</v>
      </c>
      <c r="AJ428">
        <v>83.472341551292999</v>
      </c>
      <c r="AK428">
        <v>0.64483672984743301</v>
      </c>
      <c r="AL428">
        <v>85.513641164081307</v>
      </c>
      <c r="AM428">
        <v>86.045785179479694</v>
      </c>
      <c r="AN428">
        <v>0.99999994617195698</v>
      </c>
    </row>
    <row r="429" spans="1:40" x14ac:dyDescent="0.25">
      <c r="A429" t="str">
        <f>"20190312154511611"</f>
        <v>20190312154511611</v>
      </c>
      <c r="B429" t="str">
        <f>"1552376711606715"</f>
        <v>1552376711606715</v>
      </c>
      <c r="C429" t="s">
        <v>40</v>
      </c>
      <c r="D429">
        <v>4.5246199999999996</v>
      </c>
      <c r="E429">
        <v>0.50629029999999997</v>
      </c>
      <c r="F429" t="s">
        <v>41</v>
      </c>
      <c r="G429">
        <v>-339.02960000000002</v>
      </c>
      <c r="H429">
        <v>1.0493920000000001</v>
      </c>
      <c r="I429">
        <v>368.30520000000001</v>
      </c>
      <c r="J429">
        <v>-339.66770000000002</v>
      </c>
      <c r="K429">
        <v>1.1101650000000001</v>
      </c>
      <c r="L429">
        <v>368.37560000000002</v>
      </c>
      <c r="M429">
        <v>0.9998785</v>
      </c>
      <c r="N429">
        <v>0</v>
      </c>
      <c r="O429">
        <v>6.6654409999999898E-3</v>
      </c>
      <c r="P429">
        <v>0.99602939999999995</v>
      </c>
      <c r="Q429">
        <v>6.3820979999999999E-2</v>
      </c>
      <c r="R429">
        <v>-6.2065719999999998E-2</v>
      </c>
      <c r="S429">
        <v>3.0108640000000002</v>
      </c>
      <c r="T429">
        <v>-0.1990575</v>
      </c>
      <c r="U429">
        <v>-0.2245789</v>
      </c>
      <c r="V429">
        <v>6.8708610000000003E-2</v>
      </c>
      <c r="W429">
        <v>7.7840969999999995E-2</v>
      </c>
      <c r="X429">
        <v>0.99459529999999996</v>
      </c>
      <c r="Y429">
        <v>8.0838869999999993E-2</v>
      </c>
      <c r="Z429">
        <v>-3.105301E-3</v>
      </c>
      <c r="AA429">
        <v>0.99672229999999995</v>
      </c>
      <c r="AB429">
        <v>28</v>
      </c>
      <c r="AC429">
        <v>0.63810000000000799</v>
      </c>
      <c r="AD429">
        <v>-6.0772999999999897E-2</v>
      </c>
      <c r="AE429">
        <v>-7.0400000000006402E-2</v>
      </c>
      <c r="AF429">
        <v>7.3989010128710203E-2</v>
      </c>
      <c r="AG429">
        <v>-6.0772999999999897E-2</v>
      </c>
      <c r="AH429">
        <v>0.63195316603849805</v>
      </c>
      <c r="AI429">
        <v>95.456027365199603</v>
      </c>
      <c r="AJ429">
        <v>83.322217776781798</v>
      </c>
      <c r="AK429">
        <v>0.63916549908056497</v>
      </c>
      <c r="AL429">
        <v>85.535524421631706</v>
      </c>
      <c r="AM429">
        <v>86.048172737244997</v>
      </c>
      <c r="AN429">
        <v>0.99999995024038002</v>
      </c>
    </row>
    <row r="430" spans="1:40" x14ac:dyDescent="0.25">
      <c r="A430" t="str">
        <f>"20190312154511633"</f>
        <v>20190312154511633</v>
      </c>
      <c r="B430" t="str">
        <f>"1552376711626235"</f>
        <v>1552376711626235</v>
      </c>
      <c r="C430" t="s">
        <v>40</v>
      </c>
      <c r="D430">
        <v>4.5090389999999996</v>
      </c>
      <c r="E430">
        <v>0.50574180000000002</v>
      </c>
      <c r="F430" t="s">
        <v>43</v>
      </c>
      <c r="G430">
        <v>-318.51319999999998</v>
      </c>
      <c r="H430">
        <v>-0.05</v>
      </c>
      <c r="I430">
        <v>366.78829999999999</v>
      </c>
      <c r="J430">
        <v>-339.39980000000003</v>
      </c>
      <c r="K430">
        <v>1.1101730000000001</v>
      </c>
      <c r="L430">
        <v>368.37740000000002</v>
      </c>
      <c r="M430">
        <v>0.9998785</v>
      </c>
      <c r="N430">
        <v>0</v>
      </c>
      <c r="O430">
        <v>6.655925E-3</v>
      </c>
      <c r="P430">
        <v>0.99601390000000001</v>
      </c>
      <c r="Q430">
        <v>6.4050650000000001E-2</v>
      </c>
      <c r="R430">
        <v>-6.2080539999999997E-2</v>
      </c>
      <c r="S430">
        <v>3.0084529999999998</v>
      </c>
      <c r="T430">
        <v>-0.1649909</v>
      </c>
      <c r="U430">
        <v>-0.22573850000000001</v>
      </c>
      <c r="V430">
        <v>6.8713620000000003E-2</v>
      </c>
      <c r="W430">
        <v>7.8067239999999996E-2</v>
      </c>
      <c r="X430">
        <v>0.9945773</v>
      </c>
      <c r="Y430">
        <v>8.1329180000000001E-2</v>
      </c>
      <c r="Z430">
        <v>-2.5896489999999999E-3</v>
      </c>
      <c r="AA430">
        <v>0.99668400000000001</v>
      </c>
      <c r="AB430">
        <v>28</v>
      </c>
      <c r="AC430">
        <v>20.886600000000001</v>
      </c>
      <c r="AD430">
        <v>-1.1601729999999999</v>
      </c>
      <c r="AE430">
        <v>-1.5891000000000299</v>
      </c>
      <c r="AF430">
        <v>1.72281329049559</v>
      </c>
      <c r="AG430">
        <v>-1.1601729999999999</v>
      </c>
      <c r="AH430">
        <v>20.811716570176799</v>
      </c>
      <c r="AI430">
        <v>93.1798622027286</v>
      </c>
      <c r="AJ430">
        <v>85.267791740563993</v>
      </c>
      <c r="AK430">
        <v>20.9151053934999</v>
      </c>
      <c r="AL430">
        <v>85.522520893989906</v>
      </c>
      <c r="AM430">
        <v>86.0478141971751</v>
      </c>
      <c r="AN430">
        <v>1.0000000306050001</v>
      </c>
    </row>
    <row r="431" spans="1:40" x14ac:dyDescent="0.25">
      <c r="A431" t="str">
        <f>"20190312154511655"</f>
        <v>20190312154511655</v>
      </c>
      <c r="B431" t="str">
        <f>"1552376711646729"</f>
        <v>1552376711646729</v>
      </c>
      <c r="C431" t="s">
        <v>40</v>
      </c>
      <c r="D431">
        <v>4.5014409999999998</v>
      </c>
      <c r="E431">
        <v>0.50604850000000001</v>
      </c>
      <c r="F431" t="s">
        <v>43</v>
      </c>
      <c r="G431">
        <v>-297.5985</v>
      </c>
      <c r="H431">
        <v>-0.05</v>
      </c>
      <c r="I431">
        <v>365.26749999999998</v>
      </c>
      <c r="J431">
        <v>-339.1225</v>
      </c>
      <c r="K431">
        <v>1.1101780000000001</v>
      </c>
      <c r="L431">
        <v>368.37920000000003</v>
      </c>
      <c r="M431">
        <v>0.99987870000000001</v>
      </c>
      <c r="N431">
        <v>0</v>
      </c>
      <c r="O431">
        <v>6.6458740000000004E-3</v>
      </c>
      <c r="P431">
        <v>0.99605909999999998</v>
      </c>
      <c r="Q431">
        <v>6.3348000000000002E-2</v>
      </c>
      <c r="R431">
        <v>-6.20765E-2</v>
      </c>
      <c r="S431">
        <v>3.0034179999999999</v>
      </c>
      <c r="T431">
        <v>-8.3358169999999995E-2</v>
      </c>
      <c r="U431">
        <v>-0.2234497</v>
      </c>
      <c r="V431">
        <v>6.8699999999999997E-2</v>
      </c>
      <c r="W431">
        <v>7.7362249999999994E-2</v>
      </c>
      <c r="X431">
        <v>0.99463330000000005</v>
      </c>
      <c r="Y431">
        <v>8.0786499999999997E-2</v>
      </c>
      <c r="Z431">
        <v>-1.3035220000000001E-3</v>
      </c>
      <c r="AA431">
        <v>0.99673060000000002</v>
      </c>
      <c r="AB431">
        <v>28</v>
      </c>
      <c r="AC431">
        <v>41.523999999999901</v>
      </c>
      <c r="AD431">
        <v>-1.1601779999999999</v>
      </c>
      <c r="AE431">
        <v>-3.1117000000000399</v>
      </c>
      <c r="AF431">
        <v>3.3849942151902801</v>
      </c>
      <c r="AG431">
        <v>-1.1601779999999999</v>
      </c>
      <c r="AH431">
        <v>41.470208252199399</v>
      </c>
      <c r="AI431">
        <v>91.597189922383095</v>
      </c>
      <c r="AJ431">
        <v>85.333593043471694</v>
      </c>
      <c r="AK431">
        <v>41.624300250086399</v>
      </c>
      <c r="AL431">
        <v>85.563036263155297</v>
      </c>
      <c r="AM431">
        <v>86.0488168617768</v>
      </c>
      <c r="AN431">
        <v>1.0000000045969699</v>
      </c>
    </row>
    <row r="432" spans="1:40" x14ac:dyDescent="0.25">
      <c r="A432" t="str">
        <f>"20190312154511677"</f>
        <v>20190312154511677</v>
      </c>
      <c r="B432" t="str">
        <f>"1552376711666253"</f>
        <v>1552376711666253</v>
      </c>
      <c r="C432" t="s">
        <v>40</v>
      </c>
      <c r="D432">
        <v>4.5095000000000001</v>
      </c>
      <c r="E432">
        <v>0.50544330000000004</v>
      </c>
      <c r="F432" t="s">
        <v>43</v>
      </c>
      <c r="G432">
        <v>-298.6737</v>
      </c>
      <c r="H432">
        <v>-0.05</v>
      </c>
      <c r="I432">
        <v>365.34429999999998</v>
      </c>
      <c r="J432">
        <v>-338.84100000000001</v>
      </c>
      <c r="K432">
        <v>1.110177</v>
      </c>
      <c r="L432">
        <v>368.3811</v>
      </c>
      <c r="M432">
        <v>0.99987879999999996</v>
      </c>
      <c r="N432">
        <v>0</v>
      </c>
      <c r="O432">
        <v>6.6356439999999996E-3</v>
      </c>
      <c r="P432">
        <v>0.99606039999999996</v>
      </c>
      <c r="Q432">
        <v>6.3057290000000002E-2</v>
      </c>
      <c r="R432">
        <v>-6.2350389999999999E-2</v>
      </c>
      <c r="S432">
        <v>3.0032960000000002</v>
      </c>
      <c r="T432">
        <v>-8.6142419999999997E-2</v>
      </c>
      <c r="U432">
        <v>-0.22534179999999901</v>
      </c>
      <c r="V432">
        <v>6.8963659999999996E-2</v>
      </c>
      <c r="W432">
        <v>7.7068429999999993E-2</v>
      </c>
      <c r="X432">
        <v>0.99463780000000002</v>
      </c>
      <c r="Y432">
        <v>8.1401230000000005E-2</v>
      </c>
      <c r="Z432">
        <v>-1.3555749999999999E-3</v>
      </c>
      <c r="AA432">
        <v>0.99668049999999997</v>
      </c>
      <c r="AB432">
        <v>28</v>
      </c>
      <c r="AC432">
        <v>40.167299999999997</v>
      </c>
      <c r="AD432">
        <v>-1.160177</v>
      </c>
      <c r="AE432">
        <v>-3.0368000000000199</v>
      </c>
      <c r="AF432">
        <v>3.3005575844727302</v>
      </c>
      <c r="AG432">
        <v>-1.160177</v>
      </c>
      <c r="AH432">
        <v>40.112987768978698</v>
      </c>
      <c r="AI432">
        <v>91.651111661245096</v>
      </c>
      <c r="AJ432">
        <v>85.296212375083499</v>
      </c>
      <c r="AK432">
        <v>40.265263923063799</v>
      </c>
      <c r="AL432">
        <v>85.579921039874193</v>
      </c>
      <c r="AM432">
        <v>86.033719024379906</v>
      </c>
      <c r="AN432">
        <v>0.99999994124604796</v>
      </c>
    </row>
    <row r="433" spans="1:40" x14ac:dyDescent="0.25">
      <c r="A433" t="str">
        <f>"20190312154511699"</f>
        <v>20190312154511699</v>
      </c>
      <c r="B433" t="str">
        <f>"1552376711686746"</f>
        <v>1552376711686746</v>
      </c>
      <c r="C433" t="s">
        <v>40</v>
      </c>
      <c r="D433">
        <v>4.5281510000000003</v>
      </c>
      <c r="E433">
        <v>0.50517829999999997</v>
      </c>
      <c r="F433" t="s">
        <v>43</v>
      </c>
      <c r="G433">
        <v>-299.45269999999999</v>
      </c>
      <c r="H433">
        <v>-0.05</v>
      </c>
      <c r="I433">
        <v>365.47239999999999</v>
      </c>
      <c r="J433">
        <v>-338.5745</v>
      </c>
      <c r="K433">
        <v>1.110171</v>
      </c>
      <c r="L433">
        <v>368.38290000000001</v>
      </c>
      <c r="M433">
        <v>0.99987899999999996</v>
      </c>
      <c r="N433">
        <v>0</v>
      </c>
      <c r="O433">
        <v>6.6264219999999999E-3</v>
      </c>
      <c r="P433">
        <v>0.99605929999999998</v>
      </c>
      <c r="Q433">
        <v>6.2770809999999996E-2</v>
      </c>
      <c r="R433">
        <v>-6.2656890000000007E-2</v>
      </c>
      <c r="S433">
        <v>3.0035400000000001</v>
      </c>
      <c r="T433">
        <v>-8.8468669999999999E-2</v>
      </c>
      <c r="U433">
        <v>-0.22180179999999999</v>
      </c>
      <c r="V433">
        <v>6.9260870000000002E-2</v>
      </c>
      <c r="W433">
        <v>7.6778899999999997E-2</v>
      </c>
      <c r="X433">
        <v>0.99463959999999996</v>
      </c>
      <c r="Y433">
        <v>8.0216259999999998E-2</v>
      </c>
      <c r="Z433">
        <v>-1.374419E-3</v>
      </c>
      <c r="AA433">
        <v>0.99677649999999995</v>
      </c>
      <c r="AB433">
        <v>28</v>
      </c>
      <c r="AC433">
        <v>39.1218</v>
      </c>
      <c r="AD433">
        <v>-1.1601709999999901</v>
      </c>
      <c r="AE433">
        <v>-2.9105000000000101</v>
      </c>
      <c r="AF433">
        <v>3.1669295264681998</v>
      </c>
      <c r="AG433">
        <v>-1.1601709999999901</v>
      </c>
      <c r="AH433">
        <v>39.067484394016098</v>
      </c>
      <c r="AI433">
        <v>91.695431125202106</v>
      </c>
      <c r="AJ433">
        <v>85.365562807204498</v>
      </c>
      <c r="AK433">
        <v>39.212801178333997</v>
      </c>
      <c r="AL433">
        <v>85.596559449542994</v>
      </c>
      <c r="AM433">
        <v>86.016687790721903</v>
      </c>
      <c r="AN433">
        <v>1.0000000007432599</v>
      </c>
    </row>
    <row r="434" spans="1:40" x14ac:dyDescent="0.25">
      <c r="A434" t="str">
        <f>"20190312154511721"</f>
        <v>20190312154511721</v>
      </c>
      <c r="B434" t="str">
        <f>"1552376711716026"</f>
        <v>1552376711716026</v>
      </c>
      <c r="C434" t="s">
        <v>40</v>
      </c>
      <c r="D434">
        <v>4.5569360000000003</v>
      </c>
      <c r="E434">
        <v>0.50451829999999998</v>
      </c>
      <c r="F434" t="s">
        <v>43</v>
      </c>
      <c r="G434">
        <v>-298.30509999999998</v>
      </c>
      <c r="H434">
        <v>-0.05</v>
      </c>
      <c r="I434">
        <v>365.4246</v>
      </c>
      <c r="J434">
        <v>-338.29509999999999</v>
      </c>
      <c r="K434">
        <v>1.1101650000000001</v>
      </c>
      <c r="L434">
        <v>368.38470000000001</v>
      </c>
      <c r="M434">
        <v>0.99987910000000002</v>
      </c>
      <c r="N434">
        <v>0</v>
      </c>
      <c r="O434">
        <v>6.6161969999999999E-3</v>
      </c>
      <c r="P434">
        <v>0.99608390000000002</v>
      </c>
      <c r="Q434">
        <v>6.236208E-2</v>
      </c>
      <c r="R434">
        <v>-6.2674610000000006E-2</v>
      </c>
      <c r="S434">
        <v>3.003479</v>
      </c>
      <c r="T434">
        <v>-8.6530919999999997E-2</v>
      </c>
      <c r="U434">
        <v>-0.22064210000000001</v>
      </c>
      <c r="V434">
        <v>6.9268579999999996E-2</v>
      </c>
      <c r="W434">
        <v>7.6368130000000006E-2</v>
      </c>
      <c r="X434">
        <v>0.99467070000000002</v>
      </c>
      <c r="Y434">
        <v>7.9826540000000001E-2</v>
      </c>
      <c r="Z434">
        <v>-1.3384740000000001E-3</v>
      </c>
      <c r="AA434">
        <v>0.99680789999999997</v>
      </c>
      <c r="AB434">
        <v>28</v>
      </c>
      <c r="AC434">
        <v>39.99</v>
      </c>
      <c r="AD434">
        <v>-1.1601649999999999</v>
      </c>
      <c r="AE434">
        <v>-2.9601000000000099</v>
      </c>
      <c r="AF434">
        <v>3.2219461095517299</v>
      </c>
      <c r="AG434">
        <v>-1.1601649999999999</v>
      </c>
      <c r="AH434">
        <v>39.936108547457799</v>
      </c>
      <c r="AI434">
        <v>91.658618513206804</v>
      </c>
      <c r="AJ434">
        <v>85.387508771882807</v>
      </c>
      <c r="AK434">
        <v>40.0826606586241</v>
      </c>
      <c r="AL434">
        <v>85.620164202017506</v>
      </c>
      <c r="AM434">
        <v>86.016369960470698</v>
      </c>
      <c r="AN434">
        <v>1.0000000144467001</v>
      </c>
    </row>
    <row r="435" spans="1:40" x14ac:dyDescent="0.25">
      <c r="A435" t="str">
        <f>"20190312154511745"</f>
        <v>20190312154511745</v>
      </c>
      <c r="B435" t="str">
        <f>"1552376711736521"</f>
        <v>1552376711736521</v>
      </c>
      <c r="C435" t="s">
        <v>40</v>
      </c>
      <c r="D435">
        <v>4.603783</v>
      </c>
      <c r="E435">
        <v>0.50384340000000005</v>
      </c>
      <c r="F435" t="s">
        <v>43</v>
      </c>
      <c r="G435">
        <v>-299.82150000000001</v>
      </c>
      <c r="H435">
        <v>-0.05</v>
      </c>
      <c r="I435">
        <v>365.62869999999998</v>
      </c>
      <c r="J435">
        <v>-338.01560000000001</v>
      </c>
      <c r="K435">
        <v>1.1101620000000001</v>
      </c>
      <c r="L435">
        <v>368.38650000000001</v>
      </c>
      <c r="M435">
        <v>0.99987910000000002</v>
      </c>
      <c r="N435">
        <v>0</v>
      </c>
      <c r="O435">
        <v>6.6056159999999999E-3</v>
      </c>
      <c r="P435">
        <v>0.99609460000000005</v>
      </c>
      <c r="Q435">
        <v>6.2366739999999997E-2</v>
      </c>
      <c r="R435">
        <v>-6.2496999999999997E-2</v>
      </c>
      <c r="S435">
        <v>3.0039370000000001</v>
      </c>
      <c r="T435">
        <v>-9.0583090000000005E-2</v>
      </c>
      <c r="U435">
        <v>-0.21517939999999999</v>
      </c>
      <c r="V435">
        <v>6.9080559999999999E-2</v>
      </c>
      <c r="W435">
        <v>7.6369549999999994E-2</v>
      </c>
      <c r="X435">
        <v>0.9946836</v>
      </c>
      <c r="Y435">
        <v>7.7998970000000001E-2</v>
      </c>
      <c r="Z435">
        <v>-1.373172E-3</v>
      </c>
      <c r="AA435">
        <v>0.99695250000000002</v>
      </c>
      <c r="AB435">
        <v>28</v>
      </c>
      <c r="AC435">
        <v>38.194099999999899</v>
      </c>
      <c r="AD435">
        <v>-1.1601619999999999</v>
      </c>
      <c r="AE435">
        <v>-2.7578000000000298</v>
      </c>
      <c r="AF435">
        <v>3.0073000348261898</v>
      </c>
      <c r="AG435">
        <v>-1.1601619999999999</v>
      </c>
      <c r="AH435">
        <v>38.140039751215497</v>
      </c>
      <c r="AI435">
        <v>91.736925544865699</v>
      </c>
      <c r="AJ435">
        <v>85.491618681564304</v>
      </c>
      <c r="AK435">
        <v>38.276003730666602</v>
      </c>
      <c r="AL435">
        <v>85.620082312216795</v>
      </c>
      <c r="AM435">
        <v>86.027199660634906</v>
      </c>
      <c r="AN435">
        <v>0.99999994802303604</v>
      </c>
    </row>
    <row r="436" spans="1:40" x14ac:dyDescent="0.25">
      <c r="A436" t="str">
        <f>"20190312154511766"</f>
        <v>20190312154511766</v>
      </c>
      <c r="B436" t="str">
        <f>"1552376711756045"</f>
        <v>1552376711756045</v>
      </c>
      <c r="C436" t="s">
        <v>40</v>
      </c>
      <c r="D436">
        <v>4.5598519999999896</v>
      </c>
      <c r="E436">
        <v>0.50356350000000005</v>
      </c>
      <c r="F436" t="s">
        <v>43</v>
      </c>
      <c r="G436">
        <v>-302.51909999999998</v>
      </c>
      <c r="H436">
        <v>-0.05</v>
      </c>
      <c r="I436">
        <v>365.91669999999999</v>
      </c>
      <c r="J436">
        <v>-337.74439999999998</v>
      </c>
      <c r="K436">
        <v>1.1101639999999999</v>
      </c>
      <c r="L436">
        <v>368.38830000000002</v>
      </c>
      <c r="M436">
        <v>0.99987939999999997</v>
      </c>
      <c r="N436">
        <v>0</v>
      </c>
      <c r="O436">
        <v>6.5955639999999999E-3</v>
      </c>
      <c r="P436">
        <v>0.99608810000000003</v>
      </c>
      <c r="Q436">
        <v>6.2550729999999999E-2</v>
      </c>
      <c r="R436">
        <v>-6.241791E-2</v>
      </c>
      <c r="S436">
        <v>3.004791</v>
      </c>
      <c r="T436">
        <v>-9.8208190000000001E-2</v>
      </c>
      <c r="U436">
        <v>-0.20907590000000001</v>
      </c>
      <c r="V436">
        <v>6.8991479999999994E-2</v>
      </c>
      <c r="W436">
        <v>7.6550690000000005E-2</v>
      </c>
      <c r="X436">
        <v>0.99467589999999995</v>
      </c>
      <c r="Y436">
        <v>7.594795E-2</v>
      </c>
      <c r="Z436">
        <v>-1.4545910000000001E-3</v>
      </c>
      <c r="AA436">
        <v>0.99711070000000002</v>
      </c>
      <c r="AB436">
        <v>28</v>
      </c>
      <c r="AC436">
        <v>35.225299999999997</v>
      </c>
      <c r="AD436">
        <v>-1.160164</v>
      </c>
      <c r="AE436">
        <v>-2.47160000000002</v>
      </c>
      <c r="AF436">
        <v>2.70098438058444</v>
      </c>
      <c r="AG436">
        <v>-1.160164</v>
      </c>
      <c r="AH436">
        <v>35.170266439745603</v>
      </c>
      <c r="AI436">
        <v>91.883791762241501</v>
      </c>
      <c r="AJ436">
        <v>85.608454149010697</v>
      </c>
      <c r="AK436">
        <v>35.2929020990589</v>
      </c>
      <c r="AL436">
        <v>85.609673464525898</v>
      </c>
      <c r="AM436">
        <v>86.032275632729494</v>
      </c>
      <c r="AN436">
        <v>0.99999998924643796</v>
      </c>
    </row>
    <row r="437" spans="1:40" x14ac:dyDescent="0.25">
      <c r="A437" t="str">
        <f>"20190312154511790"</f>
        <v>20190312154511790</v>
      </c>
      <c r="B437" t="str">
        <f>"1552376711786299"</f>
        <v>1552376711786299</v>
      </c>
      <c r="C437" t="s">
        <v>40</v>
      </c>
      <c r="D437">
        <v>4.5999930000000004</v>
      </c>
      <c r="E437">
        <v>0.50332840000000001</v>
      </c>
      <c r="F437" t="s">
        <v>43</v>
      </c>
      <c r="G437">
        <v>-302.5222</v>
      </c>
      <c r="H437">
        <v>-0.05</v>
      </c>
      <c r="I437">
        <v>365.96460000000002</v>
      </c>
      <c r="J437">
        <v>-337.4522</v>
      </c>
      <c r="K437">
        <v>1.1101669999999999</v>
      </c>
      <c r="L437">
        <v>368.39019999999999</v>
      </c>
      <c r="M437">
        <v>0.99987950000000003</v>
      </c>
      <c r="N437">
        <v>0</v>
      </c>
      <c r="O437">
        <v>6.5849749999999999E-3</v>
      </c>
      <c r="P437">
        <v>0.99610730000000003</v>
      </c>
      <c r="Q437">
        <v>6.2461059999999999E-2</v>
      </c>
      <c r="R437">
        <v>-6.2203410000000001E-2</v>
      </c>
      <c r="S437">
        <v>3.005096</v>
      </c>
      <c r="T437">
        <v>-9.8983050000000003E-2</v>
      </c>
      <c r="U437">
        <v>-0.2067871</v>
      </c>
      <c r="V437">
        <v>6.8766510000000003E-2</v>
      </c>
      <c r="W437">
        <v>7.6458449999999997E-2</v>
      </c>
      <c r="X437">
        <v>0.99469859999999999</v>
      </c>
      <c r="Y437">
        <v>7.5174260000000007E-2</v>
      </c>
      <c r="Z437">
        <v>-1.4528799999999999E-3</v>
      </c>
      <c r="AA437">
        <v>0.99716939999999998</v>
      </c>
      <c r="AB437">
        <v>28</v>
      </c>
      <c r="AC437">
        <v>34.93</v>
      </c>
      <c r="AD437">
        <v>-1.1601669999999999</v>
      </c>
      <c r="AE437">
        <v>-2.42559999999997</v>
      </c>
      <c r="AF437">
        <v>2.6526709949771701</v>
      </c>
      <c r="AG437">
        <v>-1.1601669999999999</v>
      </c>
      <c r="AH437">
        <v>34.874979910128197</v>
      </c>
      <c r="AI437">
        <v>91.899841139017795</v>
      </c>
      <c r="AJ437">
        <v>85.650326943671303</v>
      </c>
      <c r="AK437">
        <v>34.994954987931102</v>
      </c>
      <c r="AL437">
        <v>85.614974080060804</v>
      </c>
      <c r="AM437">
        <v>86.045262580808895</v>
      </c>
      <c r="AN437">
        <v>1.0000000161579701</v>
      </c>
    </row>
    <row r="438" spans="1:40" x14ac:dyDescent="0.25">
      <c r="A438" t="str">
        <f>"20190312154511812"</f>
        <v>20190312154511812</v>
      </c>
      <c r="B438" t="str">
        <f>"1552376711806794"</f>
        <v>1552376711806794</v>
      </c>
      <c r="C438" t="s">
        <v>40</v>
      </c>
      <c r="D438">
        <v>4.6162830000000001</v>
      </c>
      <c r="E438">
        <v>0.50312829999999997</v>
      </c>
      <c r="F438" t="s">
        <v>43</v>
      </c>
      <c r="G438">
        <v>-302.69749999999999</v>
      </c>
      <c r="H438">
        <v>-0.05</v>
      </c>
      <c r="I438">
        <v>366.02949999999998</v>
      </c>
      <c r="J438">
        <v>-337.18329999999997</v>
      </c>
      <c r="K438">
        <v>1.110168</v>
      </c>
      <c r="L438">
        <v>368.392</v>
      </c>
      <c r="M438">
        <v>0.99987950000000003</v>
      </c>
      <c r="N438">
        <v>0</v>
      </c>
      <c r="O438">
        <v>6.5754569999999998E-3</v>
      </c>
      <c r="P438">
        <v>0.99611070000000002</v>
      </c>
      <c r="Q438">
        <v>6.235193E-2</v>
      </c>
      <c r="R438">
        <v>-6.2258380000000002E-2</v>
      </c>
      <c r="S438">
        <v>3.00528</v>
      </c>
      <c r="T438">
        <v>-0.1003208</v>
      </c>
      <c r="U438">
        <v>-0.20413210000000001</v>
      </c>
      <c r="V438">
        <v>6.8811730000000002E-2</v>
      </c>
      <c r="W438">
        <v>7.6346259999999999E-2</v>
      </c>
      <c r="X438">
        <v>0.99470409999999998</v>
      </c>
      <c r="Y438">
        <v>7.428303E-2</v>
      </c>
      <c r="Z438">
        <v>-1.4572879999999999E-3</v>
      </c>
      <c r="AA438">
        <v>0.99723609999999896</v>
      </c>
      <c r="AB438">
        <v>28</v>
      </c>
      <c r="AC438">
        <v>34.485799999999898</v>
      </c>
      <c r="AD438">
        <v>-1.1601680000000001</v>
      </c>
      <c r="AE438">
        <v>-2.36250000000001</v>
      </c>
      <c r="AF438">
        <v>2.5863177715111898</v>
      </c>
      <c r="AG438">
        <v>-1.1601680000000001</v>
      </c>
      <c r="AH438">
        <v>34.430732356600501</v>
      </c>
      <c r="AI438">
        <v>91.924474149814799</v>
      </c>
      <c r="AJ438">
        <v>85.704206352945306</v>
      </c>
      <c r="AK438">
        <v>34.547219280505203</v>
      </c>
      <c r="AL438">
        <v>85.621420980712003</v>
      </c>
      <c r="AM438">
        <v>86.042692066491497</v>
      </c>
      <c r="AN438">
        <v>1.0000000260791899</v>
      </c>
    </row>
    <row r="439" spans="1:40" x14ac:dyDescent="0.25">
      <c r="A439" t="str">
        <f>"20190312154511834"</f>
        <v>20190312154511834</v>
      </c>
      <c r="B439" t="str">
        <f>"1552376711826314"</f>
        <v>1552376711826314</v>
      </c>
      <c r="C439" t="s">
        <v>40</v>
      </c>
      <c r="D439">
        <v>4.6024729999999998</v>
      </c>
      <c r="E439">
        <v>0.50290040000000003</v>
      </c>
      <c r="F439" t="s">
        <v>43</v>
      </c>
      <c r="G439">
        <v>-302.60169999999999</v>
      </c>
      <c r="H439">
        <v>-0.05</v>
      </c>
      <c r="I439">
        <v>366.06139999999999</v>
      </c>
      <c r="J439">
        <v>-336.91390000000001</v>
      </c>
      <c r="K439">
        <v>1.110174</v>
      </c>
      <c r="L439">
        <v>368.3938</v>
      </c>
      <c r="M439">
        <v>0.99987979999999999</v>
      </c>
      <c r="N439">
        <v>0</v>
      </c>
      <c r="O439">
        <v>6.5660569999999897E-3</v>
      </c>
      <c r="P439">
        <v>0.9960909</v>
      </c>
      <c r="Q439">
        <v>6.2487580000000001E-2</v>
      </c>
      <c r="R439">
        <v>-6.2438630000000002E-2</v>
      </c>
      <c r="S439">
        <v>3.0053709999999998</v>
      </c>
      <c r="T439">
        <v>-0.1008261</v>
      </c>
      <c r="U439">
        <v>-0.20254520000000001</v>
      </c>
      <c r="V439">
        <v>6.898282E-2</v>
      </c>
      <c r="W439">
        <v>7.6478909999999997E-2</v>
      </c>
      <c r="X439">
        <v>0.99468199999999996</v>
      </c>
      <c r="Y439">
        <v>7.3747279999999998E-2</v>
      </c>
      <c r="Z439">
        <v>-1.455317E-3</v>
      </c>
      <c r="AA439">
        <v>0.99727589999999999</v>
      </c>
      <c r="AB439">
        <v>28</v>
      </c>
      <c r="AC439">
        <v>34.312199999999997</v>
      </c>
      <c r="AD439">
        <v>-1.160174</v>
      </c>
      <c r="AE439">
        <v>-2.3323999999999998</v>
      </c>
      <c r="AF439">
        <v>2.5547604485444002</v>
      </c>
      <c r="AG439">
        <v>-1.160174</v>
      </c>
      <c r="AH439">
        <v>34.257158939030703</v>
      </c>
      <c r="AI439">
        <v>91.934305408127898</v>
      </c>
      <c r="AJ439">
        <v>85.735007347398906</v>
      </c>
      <c r="AK439">
        <v>34.371874304927502</v>
      </c>
      <c r="AL439">
        <v>85.613798150440104</v>
      </c>
      <c r="AM439">
        <v>86.032796333751406</v>
      </c>
      <c r="AN439">
        <v>0.99999996712696904</v>
      </c>
    </row>
    <row r="440" spans="1:40" x14ac:dyDescent="0.25">
      <c r="A440" t="str">
        <f>"20190312154511856"</f>
        <v>20190312154511856</v>
      </c>
      <c r="B440" t="str">
        <f>"1552376711846810"</f>
        <v>1552376711846810</v>
      </c>
      <c r="C440" t="s">
        <v>40</v>
      </c>
      <c r="D440">
        <v>4.6558510000000002</v>
      </c>
      <c r="E440">
        <v>0.50286249999999999</v>
      </c>
      <c r="F440" t="s">
        <v>43</v>
      </c>
      <c r="G440">
        <v>-301.97460000000001</v>
      </c>
      <c r="H440">
        <v>-0.05</v>
      </c>
      <c r="I440">
        <v>366.05439999999999</v>
      </c>
      <c r="J440">
        <v>-336.64359999999999</v>
      </c>
      <c r="K440">
        <v>1.110177</v>
      </c>
      <c r="L440">
        <v>368.39550000000003</v>
      </c>
      <c r="M440">
        <v>0.99987979999999999</v>
      </c>
      <c r="N440">
        <v>0</v>
      </c>
      <c r="O440">
        <v>6.5563030000000003E-3</v>
      </c>
      <c r="P440">
        <v>0.99607690000000004</v>
      </c>
      <c r="Q440">
        <v>6.2719799999999895E-2</v>
      </c>
      <c r="R440">
        <v>-6.243137E-2</v>
      </c>
      <c r="S440">
        <v>3.0054319999999999</v>
      </c>
      <c r="T440">
        <v>-9.9796529999999994E-2</v>
      </c>
      <c r="U440">
        <v>-0.20123289999999999</v>
      </c>
      <c r="V440">
        <v>6.8965520000000002E-2</v>
      </c>
      <c r="W440">
        <v>7.6708540000000006E-2</v>
      </c>
      <c r="X440">
        <v>0.99466560000000004</v>
      </c>
      <c r="Y440">
        <v>7.3303859999999998E-2</v>
      </c>
      <c r="Z440">
        <v>-1.43278E-3</v>
      </c>
      <c r="AA440">
        <v>0.99730859999999999</v>
      </c>
      <c r="AB440">
        <v>28</v>
      </c>
      <c r="AC440">
        <v>34.668999999999897</v>
      </c>
      <c r="AD440">
        <v>-1.160177</v>
      </c>
      <c r="AE440">
        <v>-2.3411000000000399</v>
      </c>
      <c r="AF440">
        <v>2.5655125921659199</v>
      </c>
      <c r="AG440">
        <v>-1.160177</v>
      </c>
      <c r="AH440">
        <v>34.614316819075697</v>
      </c>
      <c r="AI440">
        <v>91.914431610333097</v>
      </c>
      <c r="AJ440">
        <v>85.761153768475907</v>
      </c>
      <c r="AK440">
        <v>34.728645156170899</v>
      </c>
      <c r="AL440">
        <v>85.600602919406299</v>
      </c>
      <c r="AM440">
        <v>86.0337228954468</v>
      </c>
      <c r="AN440">
        <v>1.0000000494405701</v>
      </c>
    </row>
    <row r="441" spans="1:40" x14ac:dyDescent="0.25">
      <c r="A441" t="str">
        <f>"20190312154511879"</f>
        <v>20190312154511879</v>
      </c>
      <c r="B441" t="str">
        <f>"1552376711866330"</f>
        <v>1552376711866330</v>
      </c>
      <c r="C441" t="s">
        <v>40</v>
      </c>
      <c r="D441">
        <v>4.6624610000000004</v>
      </c>
      <c r="E441">
        <v>0.50275300000000001</v>
      </c>
      <c r="F441" t="s">
        <v>43</v>
      </c>
      <c r="G441">
        <v>-301.54480000000001</v>
      </c>
      <c r="H441">
        <v>-0.05</v>
      </c>
      <c r="I441">
        <v>366.04899999999998</v>
      </c>
      <c r="J441">
        <v>-336.36810000000003</v>
      </c>
      <c r="K441">
        <v>1.1101760000000001</v>
      </c>
      <c r="L441">
        <v>368.39729999999997</v>
      </c>
      <c r="M441">
        <v>0.99987990000000004</v>
      </c>
      <c r="N441">
        <v>0</v>
      </c>
      <c r="O441">
        <v>6.5459589999999996E-3</v>
      </c>
      <c r="P441">
        <v>0.99606380000000005</v>
      </c>
      <c r="Q441">
        <v>6.2684009999999998E-2</v>
      </c>
      <c r="R441">
        <v>-6.2671199999999996E-2</v>
      </c>
      <c r="S441">
        <v>3.005493</v>
      </c>
      <c r="T441">
        <v>-9.9345450000000002E-2</v>
      </c>
      <c r="U441">
        <v>-0.20092769999999999</v>
      </c>
      <c r="V441">
        <v>6.9195019999999996E-2</v>
      </c>
      <c r="W441">
        <v>7.6669080000000001E-2</v>
      </c>
      <c r="X441">
        <v>0.9946526</v>
      </c>
      <c r="Y441">
        <v>7.3191839999999994E-2</v>
      </c>
      <c r="Z441">
        <v>-1.424093E-3</v>
      </c>
      <c r="AA441">
        <v>0.9973168</v>
      </c>
      <c r="AB441">
        <v>27</v>
      </c>
      <c r="AC441">
        <v>34.823300000000003</v>
      </c>
      <c r="AD441">
        <v>-1.1601760000000001</v>
      </c>
      <c r="AE441">
        <v>-2.3482999999999299</v>
      </c>
      <c r="AF441">
        <v>2.57338064355601</v>
      </c>
      <c r="AG441">
        <v>-1.1601760000000001</v>
      </c>
      <c r="AH441">
        <v>34.7687630832595</v>
      </c>
      <c r="AI441">
        <v>91.905946602735</v>
      </c>
      <c r="AJ441">
        <v>85.767019552892805</v>
      </c>
      <c r="AK441">
        <v>34.883164745008898</v>
      </c>
      <c r="AL441">
        <v>85.602870035714105</v>
      </c>
      <c r="AM441">
        <v>86.020514609078802</v>
      </c>
      <c r="AN441">
        <v>0.99999994665380199</v>
      </c>
    </row>
    <row r="442" spans="1:40" x14ac:dyDescent="0.25">
      <c r="A442" t="str">
        <f>"20190312154511900"</f>
        <v>20190312154511900</v>
      </c>
      <c r="B442" t="str">
        <f>"1552376711886826"</f>
        <v>1552376711886826</v>
      </c>
      <c r="C442" t="s">
        <v>40</v>
      </c>
      <c r="D442">
        <v>4.6944559999999997</v>
      </c>
      <c r="E442">
        <v>0.50254829999999995</v>
      </c>
      <c r="F442" t="s">
        <v>43</v>
      </c>
      <c r="G442">
        <v>-301.61849999999998</v>
      </c>
      <c r="H442">
        <v>-0.05</v>
      </c>
      <c r="I442">
        <v>366.07560000000001</v>
      </c>
      <c r="J442">
        <v>-336.1</v>
      </c>
      <c r="K442">
        <v>1.1101730000000001</v>
      </c>
      <c r="L442">
        <v>368.399</v>
      </c>
      <c r="M442">
        <v>0.99987999999999999</v>
      </c>
      <c r="N442">
        <v>0</v>
      </c>
      <c r="O442">
        <v>6.5360260000000003E-3</v>
      </c>
      <c r="P442">
        <v>0.99607610000000002</v>
      </c>
      <c r="Q442">
        <v>6.2567300000000006E-2</v>
      </c>
      <c r="R442">
        <v>-6.2593629999999997E-2</v>
      </c>
      <c r="S442">
        <v>3.0055540000000001</v>
      </c>
      <c r="T442">
        <v>-0.1003457</v>
      </c>
      <c r="U442">
        <v>-0.2008057</v>
      </c>
      <c r="V442">
        <v>6.9107730000000006E-2</v>
      </c>
      <c r="W442">
        <v>7.6550220000000002E-2</v>
      </c>
      <c r="X442">
        <v>0.99466790000000005</v>
      </c>
      <c r="Y442">
        <v>7.3139410000000002E-2</v>
      </c>
      <c r="Z442">
        <v>-1.4371919999999999E-3</v>
      </c>
      <c r="AA442">
        <v>0.99732069999999995</v>
      </c>
      <c r="AB442">
        <v>27</v>
      </c>
      <c r="AC442">
        <v>34.481499999999997</v>
      </c>
      <c r="AD442">
        <v>-1.1601729999999999</v>
      </c>
      <c r="AE442">
        <v>-2.3233999999999901</v>
      </c>
      <c r="AF442">
        <v>2.54587549264357</v>
      </c>
      <c r="AG442">
        <v>-1.1601729999999999</v>
      </c>
      <c r="AH442">
        <v>34.426778658765798</v>
      </c>
      <c r="AI442">
        <v>91.924869527411303</v>
      </c>
      <c r="AJ442">
        <v>85.7706502153749</v>
      </c>
      <c r="AK442">
        <v>34.540274640390798</v>
      </c>
      <c r="AL442">
        <v>85.609700620871806</v>
      </c>
      <c r="AM442">
        <v>86.025579598370797</v>
      </c>
      <c r="AN442">
        <v>1.0000000229091</v>
      </c>
    </row>
    <row r="443" spans="1:40" x14ac:dyDescent="0.25">
      <c r="A443" t="str">
        <f>"20190312154511923"</f>
        <v>20190312154511923</v>
      </c>
      <c r="B443" t="str">
        <f>"1552376711916109"</f>
        <v>1552376711916109</v>
      </c>
      <c r="C443" t="s">
        <v>40</v>
      </c>
      <c r="D443">
        <v>4.64602</v>
      </c>
      <c r="E443">
        <v>0.50221539999999998</v>
      </c>
      <c r="F443" t="s">
        <v>43</v>
      </c>
      <c r="G443">
        <v>-301.39249999999998</v>
      </c>
      <c r="H443">
        <v>-0.05</v>
      </c>
      <c r="I443">
        <v>366.10019999999997</v>
      </c>
      <c r="J443">
        <v>-335.82139999999998</v>
      </c>
      <c r="K443">
        <v>1.110166</v>
      </c>
      <c r="L443">
        <v>368.40089999999998</v>
      </c>
      <c r="M443">
        <v>0.99988010000000005</v>
      </c>
      <c r="N443">
        <v>0</v>
      </c>
      <c r="O443">
        <v>6.525795E-3</v>
      </c>
      <c r="P443">
        <v>0.99608470000000005</v>
      </c>
      <c r="Q443">
        <v>6.2520430000000002E-2</v>
      </c>
      <c r="R443">
        <v>-6.2502669999999996E-2</v>
      </c>
      <c r="S443">
        <v>3.005585</v>
      </c>
      <c r="T443">
        <v>-0.1004679</v>
      </c>
      <c r="U443">
        <v>-0.1990662</v>
      </c>
      <c r="V443">
        <v>6.9006689999999996E-2</v>
      </c>
      <c r="W443">
        <v>7.6500780000000004E-2</v>
      </c>
      <c r="X443">
        <v>0.99467870000000003</v>
      </c>
      <c r="Y443">
        <v>7.2554080000000007E-2</v>
      </c>
      <c r="Z443">
        <v>-1.428842E-3</v>
      </c>
      <c r="AA443">
        <v>0.99736340000000001</v>
      </c>
      <c r="AB443">
        <v>27</v>
      </c>
      <c r="AC443">
        <v>34.428899999999999</v>
      </c>
      <c r="AD443">
        <v>-1.160166</v>
      </c>
      <c r="AE443">
        <v>-2.3007</v>
      </c>
      <c r="AF443">
        <v>2.5224974937446598</v>
      </c>
      <c r="AG443">
        <v>-1.160166</v>
      </c>
      <c r="AH443">
        <v>34.374292279471199</v>
      </c>
      <c r="AI443">
        <v>91.927874842192296</v>
      </c>
      <c r="AJ443">
        <v>85.802972158021603</v>
      </c>
      <c r="AK443">
        <v>34.4862428870995</v>
      </c>
      <c r="AL443">
        <v>85.612541573843899</v>
      </c>
      <c r="AM443">
        <v>86.031414830864193</v>
      </c>
      <c r="AN443">
        <v>1.0000000044195201</v>
      </c>
    </row>
    <row r="444" spans="1:40" x14ac:dyDescent="0.25">
      <c r="A444" t="str">
        <f>"20190312154511946"</f>
        <v>20190312154511946</v>
      </c>
      <c r="B444" t="str">
        <f>"1552376711936601"</f>
        <v>1552376711936601</v>
      </c>
      <c r="C444" t="s">
        <v>40</v>
      </c>
      <c r="D444">
        <v>4.6133119999999996</v>
      </c>
      <c r="E444">
        <v>0.50207650000000004</v>
      </c>
      <c r="F444" t="s">
        <v>43</v>
      </c>
      <c r="G444">
        <v>-300.71609999999998</v>
      </c>
      <c r="H444">
        <v>-0.05</v>
      </c>
      <c r="I444">
        <v>366.10829999999999</v>
      </c>
      <c r="J444">
        <v>-335.55020000000002</v>
      </c>
      <c r="K444">
        <v>1.110166</v>
      </c>
      <c r="L444">
        <v>368.40260000000001</v>
      </c>
      <c r="M444">
        <v>0.99988010000000005</v>
      </c>
      <c r="N444">
        <v>0</v>
      </c>
      <c r="O444">
        <v>6.5159190000000002E-3</v>
      </c>
      <c r="P444">
        <v>0.99610100000000001</v>
      </c>
      <c r="Q444">
        <v>6.2239610000000001E-2</v>
      </c>
      <c r="R444">
        <v>-6.2523099999999998E-2</v>
      </c>
      <c r="S444">
        <v>3.0056759999999998</v>
      </c>
      <c r="T444">
        <v>-9.9331970000000006E-2</v>
      </c>
      <c r="U444">
        <v>-0.19628909999999999</v>
      </c>
      <c r="V444">
        <v>6.9017289999999995E-2</v>
      </c>
      <c r="W444">
        <v>7.6216939999999997E-2</v>
      </c>
      <c r="X444">
        <v>0.99469980000000002</v>
      </c>
      <c r="Y444">
        <v>7.1626170000000003E-2</v>
      </c>
      <c r="Z444">
        <v>-1.3970580000000001E-3</v>
      </c>
      <c r="AA444">
        <v>0.99743059999999995</v>
      </c>
      <c r="AB444">
        <v>27</v>
      </c>
      <c r="AC444">
        <v>34.834099999999999</v>
      </c>
      <c r="AD444">
        <v>-1.160166</v>
      </c>
      <c r="AE444">
        <v>-2.2943000000000202</v>
      </c>
      <c r="AF444">
        <v>2.51846830177892</v>
      </c>
      <c r="AG444">
        <v>-1.160166</v>
      </c>
      <c r="AH444">
        <v>34.779996199421603</v>
      </c>
      <c r="AI444">
        <v>91.905537300599306</v>
      </c>
      <c r="AJ444">
        <v>85.858360929742503</v>
      </c>
      <c r="AK444">
        <v>34.8903540160658</v>
      </c>
      <c r="AL444">
        <v>85.628852228345394</v>
      </c>
      <c r="AM444">
        <v>86.030891098733605</v>
      </c>
      <c r="AN444">
        <v>1.00000005019097</v>
      </c>
    </row>
    <row r="445" spans="1:40" x14ac:dyDescent="0.25">
      <c r="A445" t="str">
        <f>"20190312154511967"</f>
        <v>20190312154511967</v>
      </c>
      <c r="B445" t="str">
        <f>"1552376711956122"</f>
        <v>1552376711956122</v>
      </c>
      <c r="C445" t="s">
        <v>40</v>
      </c>
      <c r="D445">
        <v>4.5341670000000001</v>
      </c>
      <c r="E445">
        <v>0.50198220000000005</v>
      </c>
      <c r="F445" t="s">
        <v>43</v>
      </c>
      <c r="G445">
        <v>-300.59429999999998</v>
      </c>
      <c r="H445">
        <v>-0.05</v>
      </c>
      <c r="I445">
        <v>366.1343</v>
      </c>
      <c r="J445">
        <v>-335.27879999999999</v>
      </c>
      <c r="K445">
        <v>1.110168</v>
      </c>
      <c r="L445">
        <v>368.40440000000001</v>
      </c>
      <c r="M445">
        <v>0.99988030000000006</v>
      </c>
      <c r="N445">
        <v>0</v>
      </c>
      <c r="O445">
        <v>6.5066990000000003E-3</v>
      </c>
      <c r="P445">
        <v>0.99610989999999999</v>
      </c>
      <c r="Q445">
        <v>6.2179760000000001E-2</v>
      </c>
      <c r="R445">
        <v>-6.2441209999999997E-2</v>
      </c>
      <c r="S445">
        <v>3.0057070000000001</v>
      </c>
      <c r="T445">
        <v>-9.9757670000000007E-2</v>
      </c>
      <c r="U445">
        <v>-0.19503780000000001</v>
      </c>
      <c r="V445">
        <v>6.892624E-2</v>
      </c>
      <c r="W445">
        <v>7.6154650000000004E-2</v>
      </c>
      <c r="X445">
        <v>0.99471089999999995</v>
      </c>
      <c r="Y445">
        <v>7.1202710000000002E-2</v>
      </c>
      <c r="Z445">
        <v>-1.395723E-3</v>
      </c>
      <c r="AA445">
        <v>0.99746089999999998</v>
      </c>
      <c r="AB445">
        <v>27</v>
      </c>
      <c r="AC445">
        <v>34.6845</v>
      </c>
      <c r="AD445">
        <v>-1.1601680000000001</v>
      </c>
      <c r="AE445">
        <v>-2.27010000000001</v>
      </c>
      <c r="AF445">
        <v>2.4929784099119301</v>
      </c>
      <c r="AG445">
        <v>-1.1601680000000001</v>
      </c>
      <c r="AH445">
        <v>34.630412432706798</v>
      </c>
      <c r="AI445">
        <v>91.913823471937405</v>
      </c>
      <c r="AJ445">
        <v>85.882487255839806</v>
      </c>
      <c r="AK445">
        <v>34.739406966727103</v>
      </c>
      <c r="AL445">
        <v>85.632431654041198</v>
      </c>
      <c r="AM445">
        <v>86.036154673951998</v>
      </c>
      <c r="AN445">
        <v>1.00000006592798</v>
      </c>
    </row>
    <row r="446" spans="1:40" x14ac:dyDescent="0.25">
      <c r="A446" t="str">
        <f>"20190312154511993"</f>
        <v>20190312154511993</v>
      </c>
      <c r="B446" t="str">
        <f>"1552376711986380"</f>
        <v>1552376711986380</v>
      </c>
      <c r="C446" t="s">
        <v>40</v>
      </c>
      <c r="D446">
        <v>4.483136</v>
      </c>
      <c r="E446">
        <v>0.5018456</v>
      </c>
      <c r="F446" t="s">
        <v>43</v>
      </c>
      <c r="G446">
        <v>-300.3836</v>
      </c>
      <c r="H446">
        <v>-0.05</v>
      </c>
      <c r="I446">
        <v>366.15179999999998</v>
      </c>
      <c r="J446">
        <v>-334.97359999999998</v>
      </c>
      <c r="K446">
        <v>1.1101669999999999</v>
      </c>
      <c r="L446">
        <v>368.40629999999999</v>
      </c>
      <c r="M446">
        <v>0.9998804</v>
      </c>
      <c r="N446">
        <v>0</v>
      </c>
      <c r="O446">
        <v>6.4959319999999899E-3</v>
      </c>
      <c r="P446">
        <v>0.99610869999999996</v>
      </c>
      <c r="Q446">
        <v>6.2293910000000001E-2</v>
      </c>
      <c r="R446">
        <v>-6.2346249999999999E-2</v>
      </c>
      <c r="S446">
        <v>3.005798</v>
      </c>
      <c r="T446">
        <v>-9.9934460000000003E-2</v>
      </c>
      <c r="U446">
        <v>-0.1940308</v>
      </c>
      <c r="V446">
        <v>6.8820759999999995E-2</v>
      </c>
      <c r="W446">
        <v>7.626542E-2</v>
      </c>
      <c r="X446">
        <v>0.99470970000000003</v>
      </c>
      <c r="Y446">
        <v>7.0857240000000002E-2</v>
      </c>
      <c r="Z446">
        <v>-1.3920740000000001E-3</v>
      </c>
      <c r="AA446">
        <v>0.99748550000000002</v>
      </c>
      <c r="AB446">
        <v>27</v>
      </c>
      <c r="AC446">
        <v>34.589999999999897</v>
      </c>
      <c r="AD446">
        <v>-1.1601669999999999</v>
      </c>
      <c r="AE446">
        <v>-2.2545000000000002</v>
      </c>
      <c r="AF446">
        <v>2.4763947672555799</v>
      </c>
      <c r="AG446">
        <v>-1.1601669999999999</v>
      </c>
      <c r="AH446">
        <v>34.535936079451197</v>
      </c>
      <c r="AI446">
        <v>91.919092181873793</v>
      </c>
      <c r="AJ446">
        <v>85.898633212192806</v>
      </c>
      <c r="AK446">
        <v>34.644038439464801</v>
      </c>
      <c r="AL446">
        <v>85.626066416765198</v>
      </c>
      <c r="AM446">
        <v>86.042196619537904</v>
      </c>
      <c r="AN446">
        <v>1.0000000492844201</v>
      </c>
    </row>
    <row r="447" spans="1:40" x14ac:dyDescent="0.25">
      <c r="A447" t="str">
        <f>"20190312154512014"</f>
        <v>20190312154512014</v>
      </c>
      <c r="B447" t="str">
        <f>"1552376712006875"</f>
        <v>1552376712006875</v>
      </c>
      <c r="C447" t="s">
        <v>40</v>
      </c>
      <c r="D447">
        <v>4.3939810000000001</v>
      </c>
      <c r="E447">
        <v>0.5018146</v>
      </c>
      <c r="F447" t="s">
        <v>43</v>
      </c>
      <c r="G447">
        <v>-299.50529999999998</v>
      </c>
      <c r="H447">
        <v>-0.05</v>
      </c>
      <c r="I447">
        <v>366.13080000000002</v>
      </c>
      <c r="J447">
        <v>-334.71870000000001</v>
      </c>
      <c r="K447">
        <v>1.1101639999999999</v>
      </c>
      <c r="L447">
        <v>368.40800000000002</v>
      </c>
      <c r="M447">
        <v>0.99988049999999995</v>
      </c>
      <c r="N447">
        <v>0</v>
      </c>
      <c r="O447">
        <v>6.4864199999999997E-3</v>
      </c>
      <c r="P447">
        <v>0.99615279999999995</v>
      </c>
      <c r="Q447">
        <v>6.2321290000000001E-2</v>
      </c>
      <c r="R447">
        <v>-6.1611680000000002E-2</v>
      </c>
      <c r="S447">
        <v>3.0057680000000002</v>
      </c>
      <c r="T447">
        <v>-9.8318580000000003E-2</v>
      </c>
      <c r="U447">
        <v>-0.1928406</v>
      </c>
      <c r="V447">
        <v>6.807676E-2</v>
      </c>
      <c r="W447">
        <v>7.6291100000000001E-2</v>
      </c>
      <c r="X447">
        <v>0.9947589</v>
      </c>
      <c r="Y447">
        <v>7.0456619999999998E-2</v>
      </c>
      <c r="Z447">
        <v>-1.3627540000000001E-3</v>
      </c>
      <c r="AA447">
        <v>0.99751389999999995</v>
      </c>
      <c r="AB447">
        <v>27</v>
      </c>
      <c r="AC447">
        <v>35.2134</v>
      </c>
      <c r="AD447">
        <v>-1.160164</v>
      </c>
      <c r="AE447">
        <v>-2.2771999999999899</v>
      </c>
      <c r="AF447">
        <v>2.5028779627460298</v>
      </c>
      <c r="AG447">
        <v>-1.160164</v>
      </c>
      <c r="AH447">
        <v>35.159880245365599</v>
      </c>
      <c r="AI447">
        <v>91.885125587941502</v>
      </c>
      <c r="AJ447">
        <v>85.928232746745195</v>
      </c>
      <c r="AK447">
        <v>35.267939512703897</v>
      </c>
      <c r="AL447">
        <v>85.624590647475998</v>
      </c>
      <c r="AM447">
        <v>86.085042460669598</v>
      </c>
      <c r="AN447">
        <v>1.0000000231602499</v>
      </c>
    </row>
    <row r="448" spans="1:40" x14ac:dyDescent="0.25">
      <c r="A448" t="str">
        <f>"20190312154512036"</f>
        <v>20190312154512036</v>
      </c>
      <c r="B448" t="str">
        <f>"1552376712026394"</f>
        <v>1552376712026394</v>
      </c>
      <c r="C448" t="s">
        <v>40</v>
      </c>
      <c r="D448">
        <v>4.3847849999999999</v>
      </c>
      <c r="E448">
        <v>0.50176369999999904</v>
      </c>
      <c r="F448" t="s">
        <v>43</v>
      </c>
      <c r="G448">
        <v>-298.7029</v>
      </c>
      <c r="H448">
        <v>-0.05</v>
      </c>
      <c r="I448">
        <v>366.12520000000001</v>
      </c>
      <c r="J448">
        <v>-334.4468</v>
      </c>
      <c r="K448">
        <v>1.1101620000000001</v>
      </c>
      <c r="L448">
        <v>368.40969999999999</v>
      </c>
      <c r="M448">
        <v>0.99988069999999896</v>
      </c>
      <c r="N448">
        <v>0</v>
      </c>
      <c r="O448">
        <v>6.4761920000000004E-3</v>
      </c>
      <c r="P448">
        <v>0.9961911</v>
      </c>
      <c r="Q448">
        <v>6.1907669999999998E-2</v>
      </c>
      <c r="R448">
        <v>-6.1408650000000002E-2</v>
      </c>
      <c r="S448">
        <v>3.0058590000000001</v>
      </c>
      <c r="T448">
        <v>-9.6826670000000004E-2</v>
      </c>
      <c r="U448">
        <v>-0.1905212</v>
      </c>
      <c r="V448">
        <v>6.7863809999999997E-2</v>
      </c>
      <c r="W448">
        <v>7.5875070000000003E-2</v>
      </c>
      <c r="X448">
        <v>0.99480519999999995</v>
      </c>
      <c r="Y448">
        <v>6.9679530000000003E-2</v>
      </c>
      <c r="Z448">
        <v>-1.3292480000000001E-3</v>
      </c>
      <c r="AA448">
        <v>0.99756849999999997</v>
      </c>
      <c r="AB448">
        <v>27</v>
      </c>
      <c r="AC448">
        <v>35.743899999999996</v>
      </c>
      <c r="AD448">
        <v>-1.1601619999999999</v>
      </c>
      <c r="AE448">
        <v>-2.28449999999998</v>
      </c>
      <c r="AF448">
        <v>2.5133221994136501</v>
      </c>
      <c r="AG448">
        <v>-1.1601619999999999</v>
      </c>
      <c r="AH448">
        <v>35.690906656595303</v>
      </c>
      <c r="AI448">
        <v>91.857194589822498</v>
      </c>
      <c r="AJ448">
        <v>85.971931107965304</v>
      </c>
      <c r="AK448">
        <v>35.798094674355298</v>
      </c>
      <c r="AL448">
        <v>85.648496402828499</v>
      </c>
      <c r="AM448">
        <v>86.097431962431898</v>
      </c>
      <c r="AN448">
        <v>0.99999995445112899</v>
      </c>
    </row>
    <row r="449" spans="1:40" x14ac:dyDescent="0.25">
      <c r="A449" t="str">
        <f>"20190312154512057"</f>
        <v>20190312154512057</v>
      </c>
      <c r="B449" t="str">
        <f>"1552376712046890"</f>
        <v>1552376712046890</v>
      </c>
      <c r="C449" t="s">
        <v>40</v>
      </c>
      <c r="D449">
        <v>4.3196820000000002</v>
      </c>
      <c r="E449">
        <v>0.50176299999999996</v>
      </c>
      <c r="F449" t="s">
        <v>43</v>
      </c>
      <c r="G449">
        <v>-298.47710000000001</v>
      </c>
      <c r="H449">
        <v>-0.05</v>
      </c>
      <c r="I449">
        <v>366.1422</v>
      </c>
      <c r="J449">
        <v>-334.18830000000003</v>
      </c>
      <c r="K449">
        <v>1.1101669999999999</v>
      </c>
      <c r="L449">
        <v>368.41140000000001</v>
      </c>
      <c r="M449">
        <v>0.99988080000000001</v>
      </c>
      <c r="N449">
        <v>0</v>
      </c>
      <c r="O449">
        <v>6.4667939999999997E-3</v>
      </c>
      <c r="P449">
        <v>0.99622699999999997</v>
      </c>
      <c r="Q449">
        <v>6.1827930000000003E-2</v>
      </c>
      <c r="R449">
        <v>-6.0906160000000001E-2</v>
      </c>
      <c r="S449">
        <v>3.0058289999999999</v>
      </c>
      <c r="T449">
        <v>-9.6949579999999994E-2</v>
      </c>
      <c r="U449">
        <v>-0.1894836</v>
      </c>
      <c r="V449">
        <v>6.7352199999999904E-2</v>
      </c>
      <c r="W449">
        <v>7.5793299999999994E-2</v>
      </c>
      <c r="X449">
        <v>0.99484620000000001</v>
      </c>
      <c r="Y449">
        <v>6.9327879999999995E-2</v>
      </c>
      <c r="Z449">
        <v>-1.3249959999999999E-3</v>
      </c>
      <c r="AA449">
        <v>0.99759299999999995</v>
      </c>
      <c r="AB449">
        <v>27</v>
      </c>
      <c r="AC449">
        <v>35.711199999999998</v>
      </c>
      <c r="AD449">
        <v>-1.1601669999999999</v>
      </c>
      <c r="AE449">
        <v>-2.2692000000000099</v>
      </c>
      <c r="AF449">
        <v>2.4974868777846599</v>
      </c>
      <c r="AG449">
        <v>-1.1601669999999999</v>
      </c>
      <c r="AH449">
        <v>35.658293525802698</v>
      </c>
      <c r="AI449">
        <v>91.858949287119501</v>
      </c>
      <c r="AJ449">
        <v>85.993578390042501</v>
      </c>
      <c r="AK449">
        <v>35.764470153280598</v>
      </c>
      <c r="AL449">
        <v>85.653194999962096</v>
      </c>
      <c r="AM449">
        <v>86.126921796158001</v>
      </c>
      <c r="AN449">
        <v>0.99999995241208295</v>
      </c>
    </row>
    <row r="450" spans="1:40" x14ac:dyDescent="0.25">
      <c r="A450" t="str">
        <f>"20190312154512081"</f>
        <v>20190312154512081</v>
      </c>
      <c r="B450" t="str">
        <f>"1552376712066411"</f>
        <v>1552376712066411</v>
      </c>
      <c r="C450" t="s">
        <v>40</v>
      </c>
      <c r="D450">
        <v>4.2923819999999999</v>
      </c>
      <c r="E450">
        <v>0.50176980000000004</v>
      </c>
      <c r="F450" t="s">
        <v>43</v>
      </c>
      <c r="G450">
        <v>-297.73930000000001</v>
      </c>
      <c r="H450">
        <v>-0.05</v>
      </c>
      <c r="I450">
        <v>366.13069999999999</v>
      </c>
      <c r="J450">
        <v>-333.90629999999999</v>
      </c>
      <c r="K450">
        <v>1.110168</v>
      </c>
      <c r="L450">
        <v>368.41320000000002</v>
      </c>
      <c r="M450">
        <v>0.99988069999999896</v>
      </c>
      <c r="N450">
        <v>0</v>
      </c>
      <c r="O450">
        <v>6.4567409999999898E-3</v>
      </c>
      <c r="P450">
        <v>0.99624349999999995</v>
      </c>
      <c r="Q450">
        <v>6.1516679999999997E-2</v>
      </c>
      <c r="R450">
        <v>-6.0947210000000002E-2</v>
      </c>
      <c r="S450">
        <v>3.0058289999999999</v>
      </c>
      <c r="T450">
        <v>-9.5675109999999994E-2</v>
      </c>
      <c r="U450">
        <v>-0.18807979999999999</v>
      </c>
      <c r="V450">
        <v>6.7383509999999994E-2</v>
      </c>
      <c r="W450">
        <v>7.5479489999999996E-2</v>
      </c>
      <c r="X450">
        <v>0.99486799999999997</v>
      </c>
      <c r="Y450">
        <v>6.8855050000000001E-2</v>
      </c>
      <c r="Z450">
        <v>-1.2997709999999999E-3</v>
      </c>
      <c r="AA450">
        <v>0.99762580000000001</v>
      </c>
      <c r="AB450">
        <v>27</v>
      </c>
      <c r="AC450">
        <v>36.166999999999902</v>
      </c>
      <c r="AD450">
        <v>-1.1601680000000001</v>
      </c>
      <c r="AE450">
        <v>-2.2825000000000202</v>
      </c>
      <c r="AF450">
        <v>2.5134202990140602</v>
      </c>
      <c r="AG450">
        <v>-1.1601680000000001</v>
      </c>
      <c r="AH450">
        <v>36.114492479143998</v>
      </c>
      <c r="AI450">
        <v>91.835541277473993</v>
      </c>
      <c r="AJ450">
        <v>86.0188685199997</v>
      </c>
      <c r="AK450">
        <v>36.220433989860901</v>
      </c>
      <c r="AL450">
        <v>85.671226909395003</v>
      </c>
      <c r="AM450">
        <v>86.1252114522471</v>
      </c>
      <c r="AN450">
        <v>1.00000001412729</v>
      </c>
    </row>
    <row r="451" spans="1:40" x14ac:dyDescent="0.25">
      <c r="A451" t="str">
        <f>"20190312154512102"</f>
        <v>20190312154512102</v>
      </c>
      <c r="B451" t="str">
        <f>"1552376712096666"</f>
        <v>1552376712096666</v>
      </c>
      <c r="C451" t="s">
        <v>40</v>
      </c>
      <c r="D451">
        <v>4.205857</v>
      </c>
      <c r="E451">
        <v>0.50181980000000004</v>
      </c>
      <c r="F451" t="s">
        <v>43</v>
      </c>
      <c r="G451">
        <v>-297.24930000000001</v>
      </c>
      <c r="H451">
        <v>-0.05</v>
      </c>
      <c r="I451">
        <v>366.11759999999998</v>
      </c>
      <c r="J451">
        <v>-333.65019999999998</v>
      </c>
      <c r="K451">
        <v>1.110168</v>
      </c>
      <c r="L451">
        <v>368.41489999999999</v>
      </c>
      <c r="M451">
        <v>0.99988089999999996</v>
      </c>
      <c r="N451">
        <v>0</v>
      </c>
      <c r="O451">
        <v>6.4476999999999998E-3</v>
      </c>
      <c r="P451">
        <v>0.99624089999999998</v>
      </c>
      <c r="Q451">
        <v>6.1399280000000001E-2</v>
      </c>
      <c r="R451">
        <v>-6.1110970000000001E-2</v>
      </c>
      <c r="S451">
        <v>3.005646</v>
      </c>
      <c r="T451">
        <v>-9.5126630000000004E-2</v>
      </c>
      <c r="U451">
        <v>-0.18823239999999999</v>
      </c>
      <c r="V451">
        <v>6.7537959999999994E-2</v>
      </c>
      <c r="W451">
        <v>7.5358720000000004E-2</v>
      </c>
      <c r="X451">
        <v>0.99486669999999999</v>
      </c>
      <c r="Y451">
        <v>6.8900669999999997E-2</v>
      </c>
      <c r="Z451">
        <v>-1.292835E-3</v>
      </c>
      <c r="AA451">
        <v>0.99762269999999997</v>
      </c>
      <c r="AB451">
        <v>27</v>
      </c>
      <c r="AC451">
        <v>36.400899999999901</v>
      </c>
      <c r="AD451">
        <v>-1.1601680000000001</v>
      </c>
      <c r="AE451">
        <v>-2.2972999999999999</v>
      </c>
      <c r="AF451">
        <v>2.5294181519787799</v>
      </c>
      <c r="AG451">
        <v>-1.1601680000000001</v>
      </c>
      <c r="AH451">
        <v>36.348552273998401</v>
      </c>
      <c r="AI451">
        <v>91.823730668849805</v>
      </c>
      <c r="AJ451">
        <v>86.019326180952405</v>
      </c>
      <c r="AK451">
        <v>36.454920084830498</v>
      </c>
      <c r="AL451">
        <v>85.678166360748904</v>
      </c>
      <c r="AM451">
        <v>86.116352122957906</v>
      </c>
      <c r="AN451">
        <v>1.00000003174494</v>
      </c>
    </row>
    <row r="452" spans="1:40" x14ac:dyDescent="0.25">
      <c r="A452" t="str">
        <f>"20190312154512124"</f>
        <v>20190312154512124</v>
      </c>
      <c r="B452" t="str">
        <f>"1552376712116190"</f>
        <v>1552376712116190</v>
      </c>
      <c r="C452" t="s">
        <v>40</v>
      </c>
      <c r="D452">
        <v>4.1439389999999996</v>
      </c>
      <c r="E452">
        <v>0.50194910000000004</v>
      </c>
      <c r="F452" t="s">
        <v>43</v>
      </c>
      <c r="G452">
        <v>-296.25470000000001</v>
      </c>
      <c r="H452">
        <v>-0.05</v>
      </c>
      <c r="I452">
        <v>366.0591</v>
      </c>
      <c r="J452">
        <v>-333.37880000000001</v>
      </c>
      <c r="K452">
        <v>1.1101719999999999</v>
      </c>
      <c r="L452">
        <v>368.41660000000002</v>
      </c>
      <c r="M452">
        <v>0.99988100000000002</v>
      </c>
      <c r="N452">
        <v>0</v>
      </c>
      <c r="O452">
        <v>6.4385950000000001E-3</v>
      </c>
      <c r="P452">
        <v>0.99619899999999995</v>
      </c>
      <c r="Q452">
        <v>6.188482E-2</v>
      </c>
      <c r="R452">
        <v>-6.1304589999999999E-2</v>
      </c>
      <c r="S452">
        <v>3.0054630000000002</v>
      </c>
      <c r="T452">
        <v>-9.3242169999999999E-2</v>
      </c>
      <c r="U452">
        <v>-0.1893311</v>
      </c>
      <c r="V452">
        <v>6.7722370000000004E-2</v>
      </c>
      <c r="W452">
        <v>7.5841320000000004E-2</v>
      </c>
      <c r="X452">
        <v>0.99481739999999996</v>
      </c>
      <c r="Y452">
        <v>6.9259929999999997E-2</v>
      </c>
      <c r="Z452">
        <v>-1.272582E-3</v>
      </c>
      <c r="AA452">
        <v>0.99759779999999998</v>
      </c>
      <c r="AB452">
        <v>27</v>
      </c>
      <c r="AC452">
        <v>37.124099999999999</v>
      </c>
      <c r="AD452">
        <v>-1.160172</v>
      </c>
      <c r="AE452">
        <v>-2.3575000000000101</v>
      </c>
      <c r="AF452">
        <v>2.59397846184461</v>
      </c>
      <c r="AG452">
        <v>-1.160172</v>
      </c>
      <c r="AH452">
        <v>37.072089331297398</v>
      </c>
      <c r="AI452">
        <v>91.788118795052398</v>
      </c>
      <c r="AJ452">
        <v>85.997469312016193</v>
      </c>
      <c r="AK452">
        <v>37.180835530119502</v>
      </c>
      <c r="AL452">
        <v>85.650435670363194</v>
      </c>
      <c r="AM452">
        <v>86.105588152034699</v>
      </c>
      <c r="AN452">
        <v>0.99999994228025701</v>
      </c>
    </row>
    <row r="453" spans="1:40" x14ac:dyDescent="0.25">
      <c r="A453" t="str">
        <f>"20190312154512146"</f>
        <v>20190312154512146</v>
      </c>
      <c r="B453" t="str">
        <f>"1552376712136682"</f>
        <v>1552376712136682</v>
      </c>
      <c r="C453" t="s">
        <v>40</v>
      </c>
      <c r="D453">
        <v>4.0972339999999896</v>
      </c>
      <c r="E453">
        <v>0.52048439999999996</v>
      </c>
      <c r="F453" t="s">
        <v>43</v>
      </c>
      <c r="G453">
        <v>-294.87099999999998</v>
      </c>
      <c r="H453">
        <v>-0.05</v>
      </c>
      <c r="I453">
        <v>365.97109999999998</v>
      </c>
      <c r="J453">
        <v>-333.1182</v>
      </c>
      <c r="K453">
        <v>1.1101760000000001</v>
      </c>
      <c r="L453">
        <v>368.41829999999999</v>
      </c>
      <c r="M453">
        <v>0.99988100000000002</v>
      </c>
      <c r="N453">
        <v>0</v>
      </c>
      <c r="O453">
        <v>6.4291979999999997E-3</v>
      </c>
      <c r="P453">
        <v>0.99617529999999999</v>
      </c>
      <c r="Q453">
        <v>6.2034289999999999E-2</v>
      </c>
      <c r="R453">
        <v>-6.1535279999999998E-2</v>
      </c>
      <c r="S453">
        <v>3.005341</v>
      </c>
      <c r="T453">
        <v>-9.0545420000000001E-2</v>
      </c>
      <c r="U453">
        <v>-0.1908569</v>
      </c>
      <c r="V453">
        <v>6.7943719999999999E-2</v>
      </c>
      <c r="W453">
        <v>7.5987760000000001E-2</v>
      </c>
      <c r="X453">
        <v>0.99479119999999999</v>
      </c>
      <c r="Y453">
        <v>6.9759409999999994E-2</v>
      </c>
      <c r="Z453">
        <v>-1.243056E-3</v>
      </c>
      <c r="AA453">
        <v>0.99756310000000004</v>
      </c>
      <c r="AB453">
        <v>27</v>
      </c>
      <c r="AC453">
        <v>38.247199999999999</v>
      </c>
      <c r="AD453">
        <v>-1.1601760000000001</v>
      </c>
      <c r="AE453">
        <v>-2.4472</v>
      </c>
      <c r="AF453">
        <v>2.6906068061333701</v>
      </c>
      <c r="AG453">
        <v>-1.1601760000000001</v>
      </c>
      <c r="AH453">
        <v>38.195672658425202</v>
      </c>
      <c r="AI453">
        <v>91.735500084510406</v>
      </c>
      <c r="AJ453">
        <v>85.970585939382602</v>
      </c>
      <c r="AK453">
        <v>38.3078945279659</v>
      </c>
      <c r="AL453">
        <v>85.642021290384307</v>
      </c>
      <c r="AM453">
        <v>86.092796076017194</v>
      </c>
      <c r="AN453">
        <v>1.0000000101773401</v>
      </c>
    </row>
    <row r="454" spans="1:40" x14ac:dyDescent="0.25">
      <c r="A454" t="str">
        <f>"20190312154512168"</f>
        <v>20190312154512168</v>
      </c>
      <c r="B454" t="str">
        <f>"1552376712156202"</f>
        <v>1552376712156202</v>
      </c>
      <c r="C454" t="s">
        <v>40</v>
      </c>
      <c r="D454">
        <v>4.1257570000000001</v>
      </c>
      <c r="E454">
        <v>0.52636019999999994</v>
      </c>
      <c r="F454" t="s">
        <v>41</v>
      </c>
      <c r="G454">
        <v>-332.18939999999998</v>
      </c>
      <c r="H454">
        <v>1.018618</v>
      </c>
      <c r="I454">
        <v>368.31529999999998</v>
      </c>
      <c r="J454">
        <v>-332.84730000000002</v>
      </c>
      <c r="K454">
        <v>1.110179</v>
      </c>
      <c r="L454">
        <v>368.42</v>
      </c>
      <c r="M454">
        <v>0.99988120000000003</v>
      </c>
      <c r="N454">
        <v>0</v>
      </c>
      <c r="O454">
        <v>6.4189729999999997E-3</v>
      </c>
      <c r="P454">
        <v>0.99618240000000002</v>
      </c>
      <c r="Q454">
        <v>6.1851040000000003E-2</v>
      </c>
      <c r="R454">
        <v>-6.1604449999999998E-2</v>
      </c>
      <c r="S454">
        <v>3.00943</v>
      </c>
      <c r="T454">
        <v>-0.29677930000000002</v>
      </c>
      <c r="U454">
        <v>-0.33288570000000001</v>
      </c>
      <c r="V454">
        <v>6.8002740000000006E-2</v>
      </c>
      <c r="W454">
        <v>7.5801859999999999E-2</v>
      </c>
      <c r="X454">
        <v>0.9948013</v>
      </c>
      <c r="Y454">
        <v>0.1157366</v>
      </c>
      <c r="Z454">
        <v>-6.305466E-3</v>
      </c>
      <c r="AA454">
        <v>0.99325989999999997</v>
      </c>
      <c r="AB454">
        <v>27</v>
      </c>
      <c r="AC454">
        <v>0.65790000000004001</v>
      </c>
      <c r="AD454">
        <v>-9.1561000000000003E-2</v>
      </c>
      <c r="AE454">
        <v>-0.104700000000036</v>
      </c>
      <c r="AF454">
        <v>0.106901889546252</v>
      </c>
      <c r="AG454">
        <v>-9.1561000000000003E-2</v>
      </c>
      <c r="AH454">
        <v>0.64502950216070798</v>
      </c>
      <c r="AI454">
        <v>97.971765751171503</v>
      </c>
      <c r="AJ454">
        <v>80.589802862982197</v>
      </c>
      <c r="AK454">
        <v>0.66020791374176202</v>
      </c>
      <c r="AL454">
        <v>85.652703168540796</v>
      </c>
      <c r="AM454">
        <v>86.089452150128807</v>
      </c>
      <c r="AN454">
        <v>0.99999996055432705</v>
      </c>
    </row>
    <row r="455" spans="1:40" x14ac:dyDescent="0.25">
      <c r="A455" t="str">
        <f>"20190312154512191"</f>
        <v>20190312154512191</v>
      </c>
      <c r="B455" t="str">
        <f>"1552376712186458"</f>
        <v>1552376712186458</v>
      </c>
      <c r="C455" t="s">
        <v>40</v>
      </c>
      <c r="D455">
        <v>4.0395640000000004</v>
      </c>
      <c r="E455">
        <v>0.529595699999999</v>
      </c>
      <c r="F455" t="s">
        <v>41</v>
      </c>
      <c r="G455">
        <v>-331.97030000000001</v>
      </c>
      <c r="H455">
        <v>0.97460100000000005</v>
      </c>
      <c r="I455">
        <v>368.3109</v>
      </c>
      <c r="J455">
        <v>-332.58080000000001</v>
      </c>
      <c r="K455">
        <v>1.1101780000000001</v>
      </c>
      <c r="L455">
        <v>368.42169999999999</v>
      </c>
      <c r="M455">
        <v>0.99988129999999997</v>
      </c>
      <c r="N455">
        <v>0</v>
      </c>
      <c r="O455">
        <v>6.4087450000000004E-3</v>
      </c>
      <c r="P455">
        <v>0.99619310000000005</v>
      </c>
      <c r="Q455">
        <v>6.1730309999999997E-2</v>
      </c>
      <c r="R455">
        <v>-6.1556380000000001E-2</v>
      </c>
      <c r="S455">
        <v>3.017334</v>
      </c>
      <c r="T455">
        <v>-0.46659040000000002</v>
      </c>
      <c r="U455">
        <v>-0.37460329999999997</v>
      </c>
      <c r="V455">
        <v>6.7944279999999996E-2</v>
      </c>
      <c r="W455">
        <v>7.5678229999999999E-2</v>
      </c>
      <c r="X455">
        <v>0.9948148</v>
      </c>
      <c r="Y455">
        <v>0.12798899999999999</v>
      </c>
      <c r="Z455">
        <v>-1.0782129999999999E-2</v>
      </c>
      <c r="AA455">
        <v>0.99171699999999996</v>
      </c>
      <c r="AB455">
        <v>27</v>
      </c>
      <c r="AC455">
        <v>0.61050000000000104</v>
      </c>
      <c r="AD455">
        <v>-0.135577</v>
      </c>
      <c r="AE455">
        <v>-0.110799999999983</v>
      </c>
      <c r="AF455">
        <v>0.10948338451954399</v>
      </c>
      <c r="AG455">
        <v>-0.135577</v>
      </c>
      <c r="AH455">
        <v>0.58199029020822401</v>
      </c>
      <c r="AI455">
        <v>102.894979661438</v>
      </c>
      <c r="AJ455">
        <v>79.346091447934995</v>
      </c>
      <c r="AK455">
        <v>0.60751990281101698</v>
      </c>
      <c r="AL455">
        <v>85.659807453215606</v>
      </c>
      <c r="AM455">
        <v>86.092856376438405</v>
      </c>
      <c r="AN455">
        <v>1.0000000529898401</v>
      </c>
    </row>
    <row r="456" spans="1:40" x14ac:dyDescent="0.25">
      <c r="A456" t="str">
        <f>"20190312154512214"</f>
        <v>20190312154512214</v>
      </c>
      <c r="B456" t="str">
        <f>"1552376712206954"</f>
        <v>1552376712206954</v>
      </c>
      <c r="C456" t="s">
        <v>40</v>
      </c>
      <c r="D456">
        <v>4.0490680000000001</v>
      </c>
      <c r="E456">
        <v>0.53106039999999999</v>
      </c>
      <c r="F456" t="s">
        <v>41</v>
      </c>
      <c r="G456">
        <v>-331.7448</v>
      </c>
      <c r="H456">
        <v>0.94387520000000003</v>
      </c>
      <c r="I456">
        <v>368.31189999999998</v>
      </c>
      <c r="J456">
        <v>-332.29989999999998</v>
      </c>
      <c r="K456">
        <v>1.110179</v>
      </c>
      <c r="L456">
        <v>368.42349999999999</v>
      </c>
      <c r="M456">
        <v>0.99988129999999997</v>
      </c>
      <c r="N456">
        <v>0</v>
      </c>
      <c r="O456">
        <v>6.3985149999999996E-3</v>
      </c>
      <c r="P456">
        <v>0.99617489999999997</v>
      </c>
      <c r="Q456">
        <v>6.2068499999999902E-2</v>
      </c>
      <c r="R456">
        <v>-6.1509880000000003E-2</v>
      </c>
      <c r="S456">
        <v>3.0242309999999999</v>
      </c>
      <c r="T456">
        <v>-0.60169949999999905</v>
      </c>
      <c r="U456">
        <v>-0.39608759999999998</v>
      </c>
      <c r="V456">
        <v>6.7887450000000002E-2</v>
      </c>
      <c r="W456">
        <v>7.6012949999999996E-2</v>
      </c>
      <c r="X456">
        <v>0.99479309999999999</v>
      </c>
      <c r="Y456">
        <v>0.1335076</v>
      </c>
      <c r="Z456">
        <v>-1.4353799999999899E-2</v>
      </c>
      <c r="AA456">
        <v>0.99094380000000004</v>
      </c>
      <c r="AB456">
        <v>27</v>
      </c>
      <c r="AC456">
        <v>0.55509999999998105</v>
      </c>
      <c r="AD456">
        <v>-0.166303799999999</v>
      </c>
      <c r="AE456">
        <v>-0.111600000000009</v>
      </c>
      <c r="AF456">
        <v>0.106004962013151</v>
      </c>
      <c r="AG456">
        <v>-0.166303799999999</v>
      </c>
      <c r="AH456">
        <v>0.51034744417662503</v>
      </c>
      <c r="AI456">
        <v>107.695487244647</v>
      </c>
      <c r="AJ456">
        <v>78.265869338182696</v>
      </c>
      <c r="AK456">
        <v>0.54712751680340699</v>
      </c>
      <c r="AL456">
        <v>85.640573748837298</v>
      </c>
      <c r="AM456">
        <v>86.0960293884512</v>
      </c>
      <c r="AN456">
        <v>0.99999999312140697</v>
      </c>
    </row>
    <row r="457" spans="1:40" x14ac:dyDescent="0.25">
      <c r="A457" t="str">
        <f>"20190312154512236"</f>
        <v>20190312154512236</v>
      </c>
      <c r="B457" t="str">
        <f>"1552376712226474"</f>
        <v>1552376712226474</v>
      </c>
      <c r="C457" t="s">
        <v>40</v>
      </c>
      <c r="D457">
        <v>4.0603550000000004</v>
      </c>
      <c r="E457">
        <v>0.53236799999999995</v>
      </c>
      <c r="F457" t="s">
        <v>41</v>
      </c>
      <c r="G457">
        <v>-331.50569999999999</v>
      </c>
      <c r="H457">
        <v>0.94205220000000001</v>
      </c>
      <c r="I457">
        <v>368.3168</v>
      </c>
      <c r="J457">
        <v>-332.03339999999997</v>
      </c>
      <c r="K457">
        <v>1.1101799999999999</v>
      </c>
      <c r="L457">
        <v>368.42520000000002</v>
      </c>
      <c r="M457">
        <v>0.99988160000000004</v>
      </c>
      <c r="N457">
        <v>0</v>
      </c>
      <c r="O457">
        <v>6.3891729999999997E-3</v>
      </c>
      <c r="P457">
        <v>0.99620439999999999</v>
      </c>
      <c r="Q457">
        <v>6.206822E-2</v>
      </c>
      <c r="R457">
        <v>-6.1031420000000003E-2</v>
      </c>
      <c r="S457">
        <v>3.0263059999999999</v>
      </c>
      <c r="T457">
        <v>-0.64063419999999904</v>
      </c>
      <c r="U457">
        <v>-0.40707399999999999</v>
      </c>
      <c r="V457">
        <v>6.7400039999999994E-2</v>
      </c>
      <c r="W457">
        <v>7.6010590000000003E-2</v>
      </c>
      <c r="X457">
        <v>0.9948264</v>
      </c>
      <c r="Y457">
        <v>0.13652909999999999</v>
      </c>
      <c r="Z457">
        <v>-1.5562599999999999E-2</v>
      </c>
      <c r="AA457">
        <v>0.9905138</v>
      </c>
      <c r="AB457">
        <v>27</v>
      </c>
      <c r="AC457">
        <v>0.52769999999998096</v>
      </c>
      <c r="AD457">
        <v>-0.16812779999999999</v>
      </c>
      <c r="AE457">
        <v>-0.108400000000017</v>
      </c>
      <c r="AF457">
        <v>0.101849622532621</v>
      </c>
      <c r="AG457">
        <v>-0.16812779999999999</v>
      </c>
      <c r="AH457">
        <v>0.48022325991109399</v>
      </c>
      <c r="AI457">
        <v>108.90558361532599</v>
      </c>
      <c r="AJ457">
        <v>78.025684917760699</v>
      </c>
      <c r="AK457">
        <v>0.51889756417092203</v>
      </c>
      <c r="AL457">
        <v>85.640709261106807</v>
      </c>
      <c r="AM457">
        <v>86.1241022406425</v>
      </c>
      <c r="AN457">
        <v>0.99999997066055402</v>
      </c>
    </row>
    <row r="458" spans="1:40" x14ac:dyDescent="0.25">
      <c r="A458" t="str">
        <f>"20190312154512257"</f>
        <v>20190312154512257</v>
      </c>
      <c r="B458" t="str">
        <f>"1552376712246969"</f>
        <v>1552376712246969</v>
      </c>
      <c r="C458" t="s">
        <v>40</v>
      </c>
      <c r="D458">
        <v>4.0862949999999998</v>
      </c>
      <c r="E458">
        <v>0.53336879999999998</v>
      </c>
      <c r="F458" t="s">
        <v>41</v>
      </c>
      <c r="G458">
        <v>-331.26670000000001</v>
      </c>
      <c r="H458">
        <v>0.94078810000000002</v>
      </c>
      <c r="I458">
        <v>368.31990000000002</v>
      </c>
      <c r="J458">
        <v>-331.77519999999998</v>
      </c>
      <c r="K458">
        <v>1.1101760000000001</v>
      </c>
      <c r="L458">
        <v>368.42680000000001</v>
      </c>
      <c r="M458">
        <v>0.99988160000000004</v>
      </c>
      <c r="N458">
        <v>0</v>
      </c>
      <c r="O458">
        <v>6.3804259999999998E-3</v>
      </c>
      <c r="P458">
        <v>0.99619939999999996</v>
      </c>
      <c r="Q458">
        <v>6.2410880000000002E-2</v>
      </c>
      <c r="R458">
        <v>-6.0759729999999998E-2</v>
      </c>
      <c r="S458">
        <v>3.0277099999999999</v>
      </c>
      <c r="T458">
        <v>-0.66898290000000005</v>
      </c>
      <c r="U458">
        <v>-0.4150085</v>
      </c>
      <c r="V458">
        <v>6.7119609999999996E-2</v>
      </c>
      <c r="W458">
        <v>7.6350539999999995E-2</v>
      </c>
      <c r="X458">
        <v>0.99481929999999996</v>
      </c>
      <c r="Y458">
        <v>0.13868369999999999</v>
      </c>
      <c r="Z458">
        <v>-1.645775E-2</v>
      </c>
      <c r="AA458">
        <v>0.99019999999999997</v>
      </c>
      <c r="AB458">
        <v>27</v>
      </c>
      <c r="AC458">
        <v>0.50849999999996898</v>
      </c>
      <c r="AD458">
        <v>-0.16938790000000001</v>
      </c>
      <c r="AE458">
        <v>-0.106899999999996</v>
      </c>
      <c r="AF458">
        <v>9.9562329833811594E-2</v>
      </c>
      <c r="AG458">
        <v>-0.16938790000000001</v>
      </c>
      <c r="AH458">
        <v>0.45902770084206301</v>
      </c>
      <c r="AI458">
        <v>109.83078238293299</v>
      </c>
      <c r="AJ458">
        <v>77.7622011891998</v>
      </c>
      <c r="AK458">
        <v>0.49931087343327202</v>
      </c>
      <c r="AL458">
        <v>85.621174673864502</v>
      </c>
      <c r="AM458">
        <v>86.140152299394202</v>
      </c>
      <c r="AN458">
        <v>0.99999994332866504</v>
      </c>
    </row>
    <row r="459" spans="1:40" x14ac:dyDescent="0.25">
      <c r="A459" t="str">
        <f>"20190312154512281"</f>
        <v>20190312154512281</v>
      </c>
      <c r="B459" t="str">
        <f>"1552376712276250"</f>
        <v>1552376712276250</v>
      </c>
      <c r="C459" t="s">
        <v>40</v>
      </c>
      <c r="D459">
        <v>4.0265589999999998</v>
      </c>
      <c r="E459">
        <v>0.53388979999999997</v>
      </c>
      <c r="F459" t="s">
        <v>41</v>
      </c>
      <c r="G459">
        <v>-331.02760000000001</v>
      </c>
      <c r="H459">
        <v>0.94000079999999997</v>
      </c>
      <c r="I459">
        <v>368.32260000000002</v>
      </c>
      <c r="J459">
        <v>-331.50839999999999</v>
      </c>
      <c r="K459">
        <v>1.1101749999999999</v>
      </c>
      <c r="L459">
        <v>368.42849999999999</v>
      </c>
      <c r="M459">
        <v>0.99988169999999998</v>
      </c>
      <c r="N459">
        <v>0</v>
      </c>
      <c r="O459">
        <v>6.37085E-3</v>
      </c>
      <c r="P459">
        <v>0.99623450000000002</v>
      </c>
      <c r="Q459">
        <v>6.2279109999999999E-2</v>
      </c>
      <c r="R459">
        <v>-6.0319409999999997E-2</v>
      </c>
      <c r="S459">
        <v>3.028931</v>
      </c>
      <c r="T459">
        <v>-0.68949950000000004</v>
      </c>
      <c r="U459">
        <v>-0.42163089999999998</v>
      </c>
      <c r="V459">
        <v>6.6669909999999999E-2</v>
      </c>
      <c r="W459">
        <v>7.6216450000000005E-2</v>
      </c>
      <c r="X459">
        <v>0.99485990000000002</v>
      </c>
      <c r="Y459">
        <v>0.14049229999999999</v>
      </c>
      <c r="Z459">
        <v>-1.7141380000000001E-2</v>
      </c>
      <c r="AA459">
        <v>0.98993339999999996</v>
      </c>
      <c r="AB459">
        <v>27</v>
      </c>
      <c r="AC459">
        <v>0.48079999999998702</v>
      </c>
      <c r="AD459">
        <v>-0.170174199999999</v>
      </c>
      <c r="AE459">
        <v>-0.105899999999962</v>
      </c>
      <c r="AF459">
        <v>9.7332281922077601E-2</v>
      </c>
      <c r="AG459">
        <v>-0.170174199999999</v>
      </c>
      <c r="AH459">
        <v>0.42887480697416003</v>
      </c>
      <c r="AI459">
        <v>111.154060283777</v>
      </c>
      <c r="AJ459">
        <v>77.213426568578498</v>
      </c>
      <c r="AK459">
        <v>0.471557453028708</v>
      </c>
      <c r="AL459">
        <v>85.628880263414302</v>
      </c>
      <c r="AM459">
        <v>86.166091808541296</v>
      </c>
      <c r="AN459">
        <v>1.00000002238901</v>
      </c>
    </row>
    <row r="460" spans="1:40" x14ac:dyDescent="0.25">
      <c r="A460" t="str">
        <f>"20190312154512303"</f>
        <v>20190312154512303</v>
      </c>
      <c r="B460" t="str">
        <f>"1552376712296746"</f>
        <v>1552376712296746</v>
      </c>
      <c r="C460" t="s">
        <v>40</v>
      </c>
      <c r="D460">
        <v>4.0465770000000001</v>
      </c>
      <c r="E460">
        <v>0.53425480000000003</v>
      </c>
      <c r="F460" t="s">
        <v>41</v>
      </c>
      <c r="G460">
        <v>-330.78800000000001</v>
      </c>
      <c r="H460">
        <v>0.94134949999999995</v>
      </c>
      <c r="I460">
        <v>368.32749999999999</v>
      </c>
      <c r="J460">
        <v>-331.23739999999998</v>
      </c>
      <c r="K460">
        <v>1.1101760000000001</v>
      </c>
      <c r="L460">
        <v>368.43020000000001</v>
      </c>
      <c r="M460">
        <v>0.99988189999999999</v>
      </c>
      <c r="N460">
        <v>0</v>
      </c>
      <c r="O460">
        <v>6.3611559999999998E-3</v>
      </c>
      <c r="P460">
        <v>0.99624769999999896</v>
      </c>
      <c r="Q460">
        <v>6.2111279999999998E-2</v>
      </c>
      <c r="R460">
        <v>-6.0272329999999999E-2</v>
      </c>
      <c r="S460">
        <v>3.03009</v>
      </c>
      <c r="T460">
        <v>-0.71025450000000001</v>
      </c>
      <c r="U460">
        <v>-0.42364499999999999</v>
      </c>
      <c r="V460">
        <v>6.6613480000000003E-2</v>
      </c>
      <c r="W460">
        <v>7.6046240000000001E-2</v>
      </c>
      <c r="X460">
        <v>0.99487669999999995</v>
      </c>
      <c r="Y460">
        <v>0.14084820000000001</v>
      </c>
      <c r="Z460">
        <v>-1.767554E-2</v>
      </c>
      <c r="AA460">
        <v>0.98987340000000001</v>
      </c>
      <c r="AB460">
        <v>27</v>
      </c>
      <c r="AC460">
        <v>0.44939999999996799</v>
      </c>
      <c r="AD460">
        <v>-0.16882649999999999</v>
      </c>
      <c r="AE460">
        <v>-0.10270000000002701</v>
      </c>
      <c r="AF460">
        <v>9.3073508885792605E-2</v>
      </c>
      <c r="AG460">
        <v>-0.16882649999999999</v>
      </c>
      <c r="AH460">
        <v>0.39566884269755997</v>
      </c>
      <c r="AI460">
        <v>112.555540138618</v>
      </c>
      <c r="AJ460">
        <v>76.762916216261502</v>
      </c>
      <c r="AK460">
        <v>0.44013509089845398</v>
      </c>
      <c r="AL460">
        <v>85.638660941035297</v>
      </c>
      <c r="AM460">
        <v>86.169391690750601</v>
      </c>
      <c r="AN460">
        <v>1.0000000172693599</v>
      </c>
    </row>
    <row r="461" spans="1:40" x14ac:dyDescent="0.25">
      <c r="A461" t="str">
        <f>"20190312154512325"</f>
        <v>20190312154512325</v>
      </c>
      <c r="B461" t="str">
        <f>"1552376712316270"</f>
        <v>1552376712316270</v>
      </c>
      <c r="C461" t="s">
        <v>40</v>
      </c>
      <c r="D461">
        <v>3.9931589999999999</v>
      </c>
      <c r="E461">
        <v>0.53442789999999996</v>
      </c>
      <c r="F461" t="s">
        <v>41</v>
      </c>
      <c r="G461">
        <v>-330.5471</v>
      </c>
      <c r="H461">
        <v>0.94593210000000005</v>
      </c>
      <c r="I461">
        <v>368.3331</v>
      </c>
      <c r="J461">
        <v>-330.97359999999998</v>
      </c>
      <c r="K461">
        <v>1.110168</v>
      </c>
      <c r="L461">
        <v>368.43189999999998</v>
      </c>
      <c r="M461">
        <v>0.99988189999999999</v>
      </c>
      <c r="N461">
        <v>0</v>
      </c>
      <c r="O461">
        <v>6.3511080000000003E-3</v>
      </c>
      <c r="P461">
        <v>0.99623550000000005</v>
      </c>
      <c r="Q461">
        <v>6.2597009999999995E-2</v>
      </c>
      <c r="R461">
        <v>-5.9971650000000001E-2</v>
      </c>
      <c r="S461">
        <v>3.0304570000000002</v>
      </c>
      <c r="T461">
        <v>-0.72101400000000004</v>
      </c>
      <c r="U461">
        <v>-0.4263306</v>
      </c>
      <c r="V461">
        <v>6.6302609999999998E-2</v>
      </c>
      <c r="W461">
        <v>7.6528819999999997E-2</v>
      </c>
      <c r="X461">
        <v>0.99486050000000004</v>
      </c>
      <c r="Y461">
        <v>0.141546799999999</v>
      </c>
      <c r="Z461">
        <v>-1.801227E-2</v>
      </c>
      <c r="AA461">
        <v>0.98976770000000003</v>
      </c>
      <c r="AB461">
        <v>27</v>
      </c>
      <c r="AC461">
        <v>0.42649999999997501</v>
      </c>
      <c r="AD461">
        <v>-0.16423589999999999</v>
      </c>
      <c r="AE461">
        <v>-9.8799999999982901E-2</v>
      </c>
      <c r="AF461">
        <v>8.8984020204532194E-2</v>
      </c>
      <c r="AG461">
        <v>-0.16423589999999999</v>
      </c>
      <c r="AH461">
        <v>0.37332469323865197</v>
      </c>
      <c r="AI461">
        <v>113.167987905614</v>
      </c>
      <c r="AJ461">
        <v>76.5933873431904</v>
      </c>
      <c r="AK461">
        <v>0.41744809651297199</v>
      </c>
      <c r="AL461">
        <v>85.610930500879604</v>
      </c>
      <c r="AM461">
        <v>86.187153515876702</v>
      </c>
      <c r="AN461">
        <v>1.00000005542182</v>
      </c>
    </row>
    <row r="462" spans="1:40" x14ac:dyDescent="0.25">
      <c r="A462" t="str">
        <f>"20190312154512347"</f>
        <v>20190312154512347</v>
      </c>
      <c r="B462" t="str">
        <f>"1552376712336762"</f>
        <v>1552376712336762</v>
      </c>
      <c r="C462" t="s">
        <v>40</v>
      </c>
      <c r="D462">
        <v>4.0397049999999997</v>
      </c>
      <c r="E462">
        <v>0.53502659999999902</v>
      </c>
      <c r="F462" t="s">
        <v>41</v>
      </c>
      <c r="G462">
        <v>-330.09059999999999</v>
      </c>
      <c r="H462">
        <v>0.89846499999999996</v>
      </c>
      <c r="I462">
        <v>368.30770000000001</v>
      </c>
      <c r="J462">
        <v>-330.70749999999998</v>
      </c>
      <c r="K462">
        <v>1.1101719999999999</v>
      </c>
      <c r="L462">
        <v>368.43360000000001</v>
      </c>
      <c r="M462">
        <v>0.99988189999999999</v>
      </c>
      <c r="N462">
        <v>0</v>
      </c>
      <c r="O462">
        <v>6.3407029999999996E-3</v>
      </c>
      <c r="P462">
        <v>0.99622230000000001</v>
      </c>
      <c r="Q462">
        <v>6.2460740000000001E-2</v>
      </c>
      <c r="R462">
        <v>-6.0332749999999997E-2</v>
      </c>
      <c r="S462">
        <v>3.0313110000000001</v>
      </c>
      <c r="T462">
        <v>-0.72672029999999999</v>
      </c>
      <c r="U462">
        <v>-0.42694090000000001</v>
      </c>
      <c r="V462">
        <v>6.6653050000000005E-2</v>
      </c>
      <c r="W462">
        <v>7.6389520000000002E-2</v>
      </c>
      <c r="X462">
        <v>0.9948477</v>
      </c>
      <c r="Y462">
        <v>0.14163029999999999</v>
      </c>
      <c r="Z462">
        <v>-1.815317E-2</v>
      </c>
      <c r="AA462">
        <v>0.98975310000000005</v>
      </c>
      <c r="AB462">
        <v>27</v>
      </c>
      <c r="AC462">
        <v>0.61689999999998602</v>
      </c>
      <c r="AD462">
        <v>-0.21170700000000001</v>
      </c>
      <c r="AE462">
        <v>-0.12590000000000101</v>
      </c>
      <c r="AF462">
        <v>0.11662366224808</v>
      </c>
      <c r="AG462">
        <v>-0.21170700000000001</v>
      </c>
      <c r="AH462">
        <v>0.55350817442198896</v>
      </c>
      <c r="AI462">
        <v>110.519105381245</v>
      </c>
      <c r="AJ462">
        <v>78.101863819471902</v>
      </c>
      <c r="AK462">
        <v>0.60398032384931</v>
      </c>
      <c r="AL462">
        <v>85.6189348466186</v>
      </c>
      <c r="AM462">
        <v>86.167011602367893</v>
      </c>
      <c r="AN462">
        <v>0.99999996701770999</v>
      </c>
    </row>
    <row r="463" spans="1:40" x14ac:dyDescent="0.25">
      <c r="A463" t="str">
        <f>"20190312154512369"</f>
        <v>20190312154512369</v>
      </c>
      <c r="B463" t="str">
        <f>"1552376712366042"</f>
        <v>1552376712366042</v>
      </c>
      <c r="C463" t="s">
        <v>40</v>
      </c>
      <c r="D463">
        <v>4.0419989999999997</v>
      </c>
      <c r="E463">
        <v>0.53572369999999903</v>
      </c>
      <c r="F463" t="s">
        <v>41</v>
      </c>
      <c r="G463">
        <v>-329.85050000000001</v>
      </c>
      <c r="H463">
        <v>0.90358910000000003</v>
      </c>
      <c r="I463">
        <v>368.31099999999998</v>
      </c>
      <c r="J463">
        <v>-330.44490000000002</v>
      </c>
      <c r="K463">
        <v>1.1101730000000001</v>
      </c>
      <c r="L463">
        <v>368.43520000000001</v>
      </c>
      <c r="M463">
        <v>0.9998821</v>
      </c>
      <c r="N463">
        <v>0</v>
      </c>
      <c r="O463">
        <v>6.3311259999999899E-3</v>
      </c>
      <c r="P463">
        <v>0.99620319999999996</v>
      </c>
      <c r="Q463">
        <v>6.2775549999999999E-2</v>
      </c>
      <c r="R463">
        <v>-6.0320029999999997E-2</v>
      </c>
      <c r="S463">
        <v>3.0309750000000002</v>
      </c>
      <c r="T463">
        <v>-0.73077619999999999</v>
      </c>
      <c r="U463">
        <v>-0.4327087</v>
      </c>
      <c r="V463">
        <v>6.6630770000000006E-2</v>
      </c>
      <c r="W463">
        <v>7.6701420000000006E-2</v>
      </c>
      <c r="X463">
        <v>0.99482519999999997</v>
      </c>
      <c r="Y463">
        <v>0.14338799999999999</v>
      </c>
      <c r="Z463">
        <v>-1.845695E-2</v>
      </c>
      <c r="AA463">
        <v>0.9894944</v>
      </c>
      <c r="AB463">
        <v>27</v>
      </c>
      <c r="AC463">
        <v>0.59440000000000703</v>
      </c>
      <c r="AD463">
        <v>-0.20658389999999999</v>
      </c>
      <c r="AE463">
        <v>-0.12420000000002999</v>
      </c>
      <c r="AF463">
        <v>0.11468740168858201</v>
      </c>
      <c r="AG463">
        <v>-0.20658389999999999</v>
      </c>
      <c r="AH463">
        <v>0.53202601883315503</v>
      </c>
      <c r="AI463">
        <v>110.78563081156901</v>
      </c>
      <c r="AJ463">
        <v>77.835056769952004</v>
      </c>
      <c r="AK463">
        <v>0.58213554483534602</v>
      </c>
      <c r="AL463">
        <v>85.601011733611301</v>
      </c>
      <c r="AM463">
        <v>86.168202627618498</v>
      </c>
      <c r="AN463">
        <v>0.99999997294792398</v>
      </c>
    </row>
    <row r="464" spans="1:40" x14ac:dyDescent="0.25">
      <c r="A464" t="str">
        <f>"20190312154512392"</f>
        <v>20190312154512392</v>
      </c>
      <c r="B464" t="str">
        <f>"1552376712386540"</f>
        <v>1552376712386540</v>
      </c>
      <c r="C464" t="s">
        <v>40</v>
      </c>
      <c r="D464">
        <v>4.0503210000000003</v>
      </c>
      <c r="E464">
        <v>0.53629269999999996</v>
      </c>
      <c r="F464" t="s">
        <v>41</v>
      </c>
      <c r="G464">
        <v>-329.61090000000002</v>
      </c>
      <c r="H464">
        <v>0.90827729999999995</v>
      </c>
      <c r="I464">
        <v>368.31470000000002</v>
      </c>
      <c r="J464">
        <v>-330.1746</v>
      </c>
      <c r="K464">
        <v>1.110179</v>
      </c>
      <c r="L464">
        <v>368.43689999999998</v>
      </c>
      <c r="M464">
        <v>0.9998821</v>
      </c>
      <c r="N464">
        <v>0</v>
      </c>
      <c r="O464">
        <v>6.3219039999999997E-3</v>
      </c>
      <c r="P464">
        <v>0.99619199999999997</v>
      </c>
      <c r="Q464">
        <v>6.2533389999999994E-2</v>
      </c>
      <c r="R464">
        <v>-6.0753260000000003E-2</v>
      </c>
      <c r="S464">
        <v>3.031158</v>
      </c>
      <c r="T464">
        <v>-0.73383140000000002</v>
      </c>
      <c r="U464">
        <v>-0.43795780000000001</v>
      </c>
      <c r="V464">
        <v>6.7054849999999999E-2</v>
      </c>
      <c r="W464">
        <v>7.6456070000000001E-2</v>
      </c>
      <c r="X464">
        <v>0.99481560000000002</v>
      </c>
      <c r="Y464">
        <v>0.14497160000000001</v>
      </c>
      <c r="Z464">
        <v>-1.871457E-2</v>
      </c>
      <c r="AA464">
        <v>0.98925879999999999</v>
      </c>
      <c r="AB464">
        <v>27</v>
      </c>
      <c r="AC464">
        <v>0.56369999999998299</v>
      </c>
      <c r="AD464">
        <v>-0.20190169999999999</v>
      </c>
      <c r="AE464">
        <v>-0.122199999999963</v>
      </c>
      <c r="AF464">
        <v>0.11203411590687801</v>
      </c>
      <c r="AG464">
        <v>-0.20190169999999999</v>
      </c>
      <c r="AH464">
        <v>0.50147126053362701</v>
      </c>
      <c r="AI464">
        <v>111.451451565715</v>
      </c>
      <c r="AJ464">
        <v>77.406310665787402</v>
      </c>
      <c r="AK464">
        <v>0.552077317711126</v>
      </c>
      <c r="AL464">
        <v>85.615110688891903</v>
      </c>
      <c r="AM464">
        <v>86.143850913060405</v>
      </c>
      <c r="AN464">
        <v>0.99999998077586305</v>
      </c>
    </row>
    <row r="465" spans="1:40" x14ac:dyDescent="0.25">
      <c r="A465" t="str">
        <f>"20190312154512416"</f>
        <v>20190312154512416</v>
      </c>
      <c r="B465" t="str">
        <f>"1552376712406058"</f>
        <v>1552376712406058</v>
      </c>
      <c r="C465" t="s">
        <v>40</v>
      </c>
      <c r="D465">
        <v>4.0981909999999999</v>
      </c>
      <c r="E465">
        <v>0.53679160000000004</v>
      </c>
      <c r="F465" t="s">
        <v>41</v>
      </c>
      <c r="G465">
        <v>-329.37110000000001</v>
      </c>
      <c r="H465">
        <v>0.9142962</v>
      </c>
      <c r="I465">
        <v>368.31909999999999</v>
      </c>
      <c r="J465">
        <v>-329.89429999999999</v>
      </c>
      <c r="K465">
        <v>1.110187</v>
      </c>
      <c r="L465">
        <v>368.43869999999998</v>
      </c>
      <c r="M465">
        <v>0.9998823</v>
      </c>
      <c r="N465">
        <v>0</v>
      </c>
      <c r="O465">
        <v>6.3120310000000001E-3</v>
      </c>
      <c r="P465">
        <v>0.99616870000000002</v>
      </c>
      <c r="Q465">
        <v>6.2667929999999997E-2</v>
      </c>
      <c r="R465">
        <v>-6.0998490000000002E-2</v>
      </c>
      <c r="S465">
        <v>3.0308229999999998</v>
      </c>
      <c r="T465">
        <v>-0.73891260000000003</v>
      </c>
      <c r="U465">
        <v>-0.44335940000000001</v>
      </c>
      <c r="V465">
        <v>6.7290100000000005E-2</v>
      </c>
      <c r="W465">
        <v>7.6586829999999995E-2</v>
      </c>
      <c r="X465">
        <v>0.9947897</v>
      </c>
      <c r="Y465">
        <v>0.14659900000000001</v>
      </c>
      <c r="Z465">
        <v>-1.903241E-2</v>
      </c>
      <c r="AA465">
        <v>0.98901289999999997</v>
      </c>
      <c r="AB465">
        <v>27</v>
      </c>
      <c r="AC465">
        <v>0.52319999999997402</v>
      </c>
      <c r="AD465">
        <v>-0.1958908</v>
      </c>
      <c r="AE465">
        <v>-0.11959999999999101</v>
      </c>
      <c r="AF465">
        <v>0.10845230436907401</v>
      </c>
      <c r="AG465">
        <v>-0.1958908</v>
      </c>
      <c r="AH465">
        <v>0.46101751401684099</v>
      </c>
      <c r="AI465">
        <v>112.470909447244</v>
      </c>
      <c r="AJ465">
        <v>76.762118536877097</v>
      </c>
      <c r="AK465">
        <v>0.51251561544783197</v>
      </c>
      <c r="AL465">
        <v>85.607596849716899</v>
      </c>
      <c r="AM465">
        <v>86.130262888584298</v>
      </c>
      <c r="AN465">
        <v>1.0000000236567701</v>
      </c>
    </row>
    <row r="466" spans="1:40" x14ac:dyDescent="0.25">
      <c r="A466" t="str">
        <f>"20190312154512438"</f>
        <v>20190312154512438</v>
      </c>
      <c r="B466" t="str">
        <f>"1552376712426554"</f>
        <v>1552376712426554</v>
      </c>
      <c r="C466" t="s">
        <v>40</v>
      </c>
      <c r="D466">
        <v>4.1065209999999999</v>
      </c>
      <c r="E466">
        <v>0.53710519999999995</v>
      </c>
      <c r="F466" t="s">
        <v>41</v>
      </c>
      <c r="G466">
        <v>-329.13029999999998</v>
      </c>
      <c r="H466">
        <v>0.92293190000000003</v>
      </c>
      <c r="I466">
        <v>368.32589999999999</v>
      </c>
      <c r="J466">
        <v>-329.63099999999997</v>
      </c>
      <c r="K466">
        <v>1.110187</v>
      </c>
      <c r="L466">
        <v>368.44040000000001</v>
      </c>
      <c r="M466">
        <v>0.99988250000000001</v>
      </c>
      <c r="N466">
        <v>0</v>
      </c>
      <c r="O466">
        <v>6.3026360000000003E-3</v>
      </c>
      <c r="P466">
        <v>0.99613620000000003</v>
      </c>
      <c r="Q466">
        <v>6.2994229999999998E-2</v>
      </c>
      <c r="R466">
        <v>-6.1194520000000002E-2</v>
      </c>
      <c r="S466">
        <v>3.030853</v>
      </c>
      <c r="T466">
        <v>-0.74277839999999995</v>
      </c>
      <c r="U466">
        <v>-0.44805909999999899</v>
      </c>
      <c r="V466">
        <v>6.7476560000000005E-2</v>
      </c>
      <c r="W466">
        <v>7.6909640000000001E-2</v>
      </c>
      <c r="X466">
        <v>0.99475219999999998</v>
      </c>
      <c r="Y466">
        <v>0.14800469999999999</v>
      </c>
      <c r="Z466">
        <v>-1.929353E-2</v>
      </c>
      <c r="AA466">
        <v>0.98879839999999997</v>
      </c>
      <c r="AB466">
        <v>27</v>
      </c>
      <c r="AC466">
        <v>0.50069999999999404</v>
      </c>
      <c r="AD466">
        <v>-0.18725510000000001</v>
      </c>
      <c r="AE466">
        <v>-0.11450000000002</v>
      </c>
      <c r="AF466">
        <v>0.10385045357464499</v>
      </c>
      <c r="AG466">
        <v>-0.18725510000000001</v>
      </c>
      <c r="AH466">
        <v>0.44131132279281299</v>
      </c>
      <c r="AI466">
        <v>112.442244815203</v>
      </c>
      <c r="AJ466">
        <v>76.757942926901904</v>
      </c>
      <c r="AK466">
        <v>0.49051510966412798</v>
      </c>
      <c r="AL466">
        <v>85.589046642095894</v>
      </c>
      <c r="AM466">
        <v>86.119426774829805</v>
      </c>
      <c r="AN466">
        <v>1.0000000591395899</v>
      </c>
    </row>
    <row r="467" spans="1:40" x14ac:dyDescent="0.25">
      <c r="A467" t="str">
        <f>"20190312154512460"</f>
        <v>20190312154512460</v>
      </c>
      <c r="B467" t="str">
        <f>"1552376712456811"</f>
        <v>1552376712456811</v>
      </c>
      <c r="C467" t="s">
        <v>40</v>
      </c>
      <c r="D467">
        <v>4.1020399999999997</v>
      </c>
      <c r="E467">
        <v>0.53756369999999998</v>
      </c>
      <c r="F467" t="s">
        <v>41</v>
      </c>
      <c r="G467">
        <v>-328.89109999999999</v>
      </c>
      <c r="H467">
        <v>0.92819929999999995</v>
      </c>
      <c r="I467">
        <v>368.33010000000002</v>
      </c>
      <c r="J467">
        <v>-329.37310000000002</v>
      </c>
      <c r="K467">
        <v>1.1101909999999999</v>
      </c>
      <c r="L467">
        <v>368.44200000000001</v>
      </c>
      <c r="M467">
        <v>0.99988250000000001</v>
      </c>
      <c r="N467">
        <v>0</v>
      </c>
      <c r="O467">
        <v>6.2935980000000001E-3</v>
      </c>
      <c r="P467">
        <v>0.99612239999999996</v>
      </c>
      <c r="Q467">
        <v>6.3111529999999999E-2</v>
      </c>
      <c r="R467">
        <v>-6.1296999999999997E-2</v>
      </c>
      <c r="S467">
        <v>3.0311279999999998</v>
      </c>
      <c r="T467">
        <v>-0.74562099999999998</v>
      </c>
      <c r="U467">
        <v>-0.45080569999999998</v>
      </c>
      <c r="V467">
        <v>6.7569969999999993E-2</v>
      </c>
      <c r="W467">
        <v>7.7023759999999997E-2</v>
      </c>
      <c r="X467">
        <v>0.99473699999999998</v>
      </c>
      <c r="Y467">
        <v>0.14880409999999999</v>
      </c>
      <c r="Z467">
        <v>-1.9456540000000001E-2</v>
      </c>
      <c r="AA467">
        <v>0.98867519999999998</v>
      </c>
      <c r="AB467">
        <v>27</v>
      </c>
      <c r="AC467">
        <v>0.48200000000002702</v>
      </c>
      <c r="AD467">
        <v>-0.18199169999999901</v>
      </c>
      <c r="AE467">
        <v>-0.111899999999934</v>
      </c>
      <c r="AF467">
        <v>0.101236973696557</v>
      </c>
      <c r="AG467">
        <v>-0.18199169999999901</v>
      </c>
      <c r="AH467">
        <v>0.423938706102643</v>
      </c>
      <c r="AI467">
        <v>112.662844888818</v>
      </c>
      <c r="AJ467">
        <v>76.5692422298483</v>
      </c>
      <c r="AK467">
        <v>0.472328201830158</v>
      </c>
      <c r="AL467">
        <v>85.582488464928403</v>
      </c>
      <c r="AM467">
        <v>86.1140120213731</v>
      </c>
      <c r="AN467">
        <v>1.0000000298096601</v>
      </c>
    </row>
    <row r="468" spans="1:40" x14ac:dyDescent="0.25">
      <c r="A468" t="str">
        <f>"20190312154512482"</f>
        <v>20190312154512482</v>
      </c>
      <c r="B468" t="str">
        <f>"1552376712476330"</f>
        <v>1552376712476330</v>
      </c>
      <c r="C468" t="s">
        <v>40</v>
      </c>
      <c r="D468">
        <v>4.1505409999999996</v>
      </c>
      <c r="E468">
        <v>0.53786290000000003</v>
      </c>
      <c r="F468" t="s">
        <v>41</v>
      </c>
      <c r="G468">
        <v>-328.65280000000001</v>
      </c>
      <c r="H468">
        <v>0.93212220000000001</v>
      </c>
      <c r="I468">
        <v>368.334</v>
      </c>
      <c r="J468">
        <v>-329.1207</v>
      </c>
      <c r="K468">
        <v>1.1101909999999999</v>
      </c>
      <c r="L468">
        <v>368.44349999999997</v>
      </c>
      <c r="M468">
        <v>0.99988259999999995</v>
      </c>
      <c r="N468">
        <v>0</v>
      </c>
      <c r="O468">
        <v>6.2838490000000002E-3</v>
      </c>
      <c r="P468">
        <v>0.99611890000000003</v>
      </c>
      <c r="Q468">
        <v>6.3275699999999893E-2</v>
      </c>
      <c r="R468">
        <v>-6.1185509999999999E-2</v>
      </c>
      <c r="S468">
        <v>3.031158</v>
      </c>
      <c r="T468">
        <v>-0.74926139999999997</v>
      </c>
      <c r="U468">
        <v>-0.4550476</v>
      </c>
      <c r="V468">
        <v>6.7448720000000004E-2</v>
      </c>
      <c r="W468">
        <v>7.7185379999999998E-2</v>
      </c>
      <c r="X468">
        <v>0.99473270000000003</v>
      </c>
      <c r="Y468">
        <v>0.15006700000000001</v>
      </c>
      <c r="Z468">
        <v>-1.9697280000000001E-2</v>
      </c>
      <c r="AA468">
        <v>0.98847960000000001</v>
      </c>
      <c r="AB468">
        <v>26</v>
      </c>
      <c r="AC468">
        <v>0.46789999999998599</v>
      </c>
      <c r="AD468">
        <v>-0.178068799999999</v>
      </c>
      <c r="AE468">
        <v>-0.109499999999968</v>
      </c>
      <c r="AF468">
        <v>9.8863109518672596E-2</v>
      </c>
      <c r="AG468">
        <v>-0.178068799999999</v>
      </c>
      <c r="AH468">
        <v>0.41079496434080098</v>
      </c>
      <c r="AI468">
        <v>112.852543281992</v>
      </c>
      <c r="AJ468">
        <v>76.468359054056293</v>
      </c>
      <c r="AK468">
        <v>0.45851381078970899</v>
      </c>
      <c r="AL468">
        <v>85.573200666212301</v>
      </c>
      <c r="AM468">
        <v>86.120947154462797</v>
      </c>
      <c r="AN468">
        <v>1.0000000285823301</v>
      </c>
    </row>
    <row r="469" spans="1:40" x14ac:dyDescent="0.25">
      <c r="A469" t="str">
        <f>"20190312154512504"</f>
        <v>20190312154512504</v>
      </c>
      <c r="B469" t="str">
        <f>"1552376712496826"</f>
        <v>1552376712496826</v>
      </c>
      <c r="C469" t="s">
        <v>40</v>
      </c>
      <c r="D469">
        <v>4.1340890000000003</v>
      </c>
      <c r="E469">
        <v>0.53804359999999996</v>
      </c>
      <c r="F469" t="s">
        <v>41</v>
      </c>
      <c r="G469">
        <v>-328.41520000000003</v>
      </c>
      <c r="H469">
        <v>0.93521010000000004</v>
      </c>
      <c r="I469">
        <v>368.33710000000002</v>
      </c>
      <c r="J469">
        <v>-328.85390000000001</v>
      </c>
      <c r="K469">
        <v>1.110195</v>
      </c>
      <c r="L469">
        <v>368.4452</v>
      </c>
      <c r="M469">
        <v>0.99988270000000001</v>
      </c>
      <c r="N469">
        <v>0</v>
      </c>
      <c r="O469">
        <v>6.2734449999999999E-3</v>
      </c>
      <c r="P469">
        <v>0.99613119999999999</v>
      </c>
      <c r="Q469">
        <v>6.367043E-2</v>
      </c>
      <c r="R469">
        <v>-6.057183E-2</v>
      </c>
      <c r="S469">
        <v>3.0313720000000002</v>
      </c>
      <c r="T469">
        <v>-0.75191039999999998</v>
      </c>
      <c r="U469">
        <v>-0.4569397</v>
      </c>
      <c r="V469">
        <v>6.6824850000000005E-2</v>
      </c>
      <c r="W469">
        <v>7.7577119999999999E-2</v>
      </c>
      <c r="X469">
        <v>0.99474430000000003</v>
      </c>
      <c r="Y469">
        <v>0.15060319999999999</v>
      </c>
      <c r="Z469">
        <v>-1.982532E-2</v>
      </c>
      <c r="AA469">
        <v>0.98839549999999998</v>
      </c>
      <c r="AB469">
        <v>26</v>
      </c>
      <c r="AC469">
        <v>0.43869999999998199</v>
      </c>
      <c r="AD469">
        <v>-0.1749849</v>
      </c>
      <c r="AE469">
        <v>-0.108099999999979</v>
      </c>
      <c r="AF469">
        <v>9.6392297174729399E-2</v>
      </c>
      <c r="AG469">
        <v>-0.1749849</v>
      </c>
      <c r="AH469">
        <v>0.38088387869006701</v>
      </c>
      <c r="AI469">
        <v>114.00708033147799</v>
      </c>
      <c r="AJ469">
        <v>75.798040665794602</v>
      </c>
      <c r="AK469">
        <v>0.430097336923424</v>
      </c>
      <c r="AL469">
        <v>85.550687971738697</v>
      </c>
      <c r="AM469">
        <v>86.156763285401397</v>
      </c>
      <c r="AN469">
        <v>0.99999999625375302</v>
      </c>
    </row>
    <row r="470" spans="1:40" x14ac:dyDescent="0.25">
      <c r="A470" t="str">
        <f>"20190312154512537"</f>
        <v>20190312154512537</v>
      </c>
      <c r="B470" t="str">
        <f>"1552376712526107"</f>
        <v>1552376712526107</v>
      </c>
      <c r="C470" t="s">
        <v>40</v>
      </c>
      <c r="D470">
        <v>4.1516999999999999</v>
      </c>
      <c r="E470">
        <v>0.53816469999999905</v>
      </c>
      <c r="F470" t="s">
        <v>41</v>
      </c>
      <c r="G470">
        <v>-327.96269999999998</v>
      </c>
      <c r="H470">
        <v>0.88882169999999905</v>
      </c>
      <c r="I470">
        <v>368.31079999999997</v>
      </c>
      <c r="J470">
        <v>-328.45960000000002</v>
      </c>
      <c r="K470">
        <v>1.1101920000000001</v>
      </c>
      <c r="L470">
        <v>368.44760000000002</v>
      </c>
      <c r="M470">
        <v>0.99988290000000002</v>
      </c>
      <c r="N470">
        <v>0</v>
      </c>
      <c r="O470">
        <v>6.2595219999999896E-3</v>
      </c>
      <c r="P470">
        <v>0.99615690000000001</v>
      </c>
      <c r="Q470">
        <v>6.3478969999999996E-2</v>
      </c>
      <c r="R470">
        <v>-6.0352009999999998E-2</v>
      </c>
      <c r="S470">
        <v>3.0320740000000002</v>
      </c>
      <c r="T470">
        <v>-0.75323490000000004</v>
      </c>
      <c r="U470">
        <v>-0.45605469999999998</v>
      </c>
      <c r="V470">
        <v>6.6591230000000001E-2</v>
      </c>
      <c r="W470">
        <v>7.7382210000000007E-2</v>
      </c>
      <c r="X470">
        <v>0.99477519999999997</v>
      </c>
      <c r="Y470">
        <v>0.1502696</v>
      </c>
      <c r="Z470">
        <v>-1.9811240000000001E-2</v>
      </c>
      <c r="AA470">
        <v>0.98844650000000001</v>
      </c>
      <c r="AB470">
        <v>26</v>
      </c>
      <c r="AC470">
        <v>0.49690000000003898</v>
      </c>
      <c r="AD470">
        <v>-0.22137029999999999</v>
      </c>
      <c r="AE470">
        <v>-0.13680000000004999</v>
      </c>
      <c r="AF470">
        <v>0.118116690702703</v>
      </c>
      <c r="AG470">
        <v>-0.22137029999999999</v>
      </c>
      <c r="AH470">
        <v>0.41877439999920002</v>
      </c>
      <c r="AI470">
        <v>116.965388699375</v>
      </c>
      <c r="AJ470">
        <v>74.248720602033401</v>
      </c>
      <c r="AK470">
        <v>0.48818885734860601</v>
      </c>
      <c r="AL470">
        <v>85.561889395778493</v>
      </c>
      <c r="AM470">
        <v>86.170277813608394</v>
      </c>
      <c r="AN470">
        <v>1.0000000484362099</v>
      </c>
    </row>
    <row r="471" spans="1:40" x14ac:dyDescent="0.25">
      <c r="A471" t="str">
        <f>"20190312154512559"</f>
        <v>20190312154512559</v>
      </c>
      <c r="B471" t="str">
        <f>"1552376712556363"</f>
        <v>1552376712556363</v>
      </c>
      <c r="C471" t="s">
        <v>40</v>
      </c>
      <c r="D471">
        <v>4.1788270000000001</v>
      </c>
      <c r="E471">
        <v>0.53833809999999904</v>
      </c>
      <c r="F471" t="s">
        <v>41</v>
      </c>
      <c r="G471">
        <v>-327.7133</v>
      </c>
      <c r="H471">
        <v>0.92392019999999997</v>
      </c>
      <c r="I471">
        <v>368.33539999999999</v>
      </c>
      <c r="J471">
        <v>-328.20710000000003</v>
      </c>
      <c r="K471">
        <v>1.110193</v>
      </c>
      <c r="L471">
        <v>368.44920000000002</v>
      </c>
      <c r="M471">
        <v>0.99988290000000002</v>
      </c>
      <c r="N471">
        <v>0</v>
      </c>
      <c r="O471">
        <v>6.2506590000000004E-3</v>
      </c>
      <c r="P471">
        <v>0.99618099999999998</v>
      </c>
      <c r="Q471">
        <v>6.3131619999999999E-2</v>
      </c>
      <c r="R471">
        <v>-6.0317080000000002E-2</v>
      </c>
      <c r="S471">
        <v>3.0321039999999999</v>
      </c>
      <c r="T471">
        <v>-0.75674839999999999</v>
      </c>
      <c r="U471">
        <v>-0.4564819</v>
      </c>
      <c r="V471">
        <v>6.6547389999999998E-2</v>
      </c>
      <c r="W471">
        <v>7.7032310000000007E-2</v>
      </c>
      <c r="X471">
        <v>0.99480519999999995</v>
      </c>
      <c r="Y471">
        <v>0.1503507</v>
      </c>
      <c r="Z471">
        <v>-1.9908309999999999E-2</v>
      </c>
      <c r="AA471">
        <v>0.98843219999999998</v>
      </c>
      <c r="AB471">
        <v>26</v>
      </c>
      <c r="AC471">
        <v>0.493800000000021</v>
      </c>
      <c r="AD471">
        <v>-0.18627279999999999</v>
      </c>
      <c r="AE471">
        <v>-0.11380000000002601</v>
      </c>
      <c r="AF471">
        <v>0.102971100618513</v>
      </c>
      <c r="AG471">
        <v>-0.18627279999999999</v>
      </c>
      <c r="AH471">
        <v>0.43438451155225499</v>
      </c>
      <c r="AI471">
        <v>112.648671620096</v>
      </c>
      <c r="AJ471">
        <v>76.664158958986704</v>
      </c>
      <c r="AK471">
        <v>0.48372565309162502</v>
      </c>
      <c r="AL471">
        <v>85.581996812427306</v>
      </c>
      <c r="AM471">
        <v>86.172906669145505</v>
      </c>
      <c r="AN471">
        <v>0.999999958923393</v>
      </c>
    </row>
    <row r="472" spans="1:40" x14ac:dyDescent="0.25">
      <c r="A472" t="str">
        <f>"20190312154512581"</f>
        <v>20190312154512581</v>
      </c>
      <c r="B472" t="str">
        <f>"1552376712576859"</f>
        <v>1552376712576859</v>
      </c>
      <c r="C472" t="s">
        <v>40</v>
      </c>
      <c r="D472">
        <v>4.1844070000000002</v>
      </c>
      <c r="E472">
        <v>0.53845719999999997</v>
      </c>
      <c r="F472" t="s">
        <v>41</v>
      </c>
      <c r="G472">
        <v>-327.47680000000003</v>
      </c>
      <c r="H472">
        <v>0.92701449999999996</v>
      </c>
      <c r="I472">
        <v>368.33859999999999</v>
      </c>
      <c r="J472">
        <v>-327.9443</v>
      </c>
      <c r="K472">
        <v>1.1101840000000001</v>
      </c>
      <c r="L472">
        <v>368.45089999999999</v>
      </c>
      <c r="M472">
        <v>0.99988310000000002</v>
      </c>
      <c r="N472">
        <v>0</v>
      </c>
      <c r="O472">
        <v>6.2414389999999997E-3</v>
      </c>
      <c r="P472">
        <v>0.99617080000000002</v>
      </c>
      <c r="Q472">
        <v>6.2934249999999997E-2</v>
      </c>
      <c r="R472">
        <v>-6.0690630000000002E-2</v>
      </c>
      <c r="S472">
        <v>3.031952</v>
      </c>
      <c r="T472">
        <v>-0.76062659999999904</v>
      </c>
      <c r="U472">
        <v>-0.45797729999999998</v>
      </c>
      <c r="V472">
        <v>6.6911880000000007E-2</v>
      </c>
      <c r="W472">
        <v>7.6832150000000002E-2</v>
      </c>
      <c r="X472">
        <v>0.99479629999999997</v>
      </c>
      <c r="Y472">
        <v>0.1507656</v>
      </c>
      <c r="Z472">
        <v>-2.0056299999999999E-2</v>
      </c>
      <c r="AA472">
        <v>0.98836610000000003</v>
      </c>
      <c r="AB472">
        <v>26</v>
      </c>
      <c r="AC472">
        <v>0.46749999999997199</v>
      </c>
      <c r="AD472">
        <v>-0.18316950000000001</v>
      </c>
      <c r="AE472">
        <v>-0.11230000000000399</v>
      </c>
      <c r="AF472">
        <v>0.10061322323468901</v>
      </c>
      <c r="AG472">
        <v>-0.18316950000000001</v>
      </c>
      <c r="AH472">
        <v>0.40762784687103798</v>
      </c>
      <c r="AI472">
        <v>113.569812395133</v>
      </c>
      <c r="AJ472">
        <v>76.135033709032697</v>
      </c>
      <c r="AK472">
        <v>0.45807701095409897</v>
      </c>
      <c r="AL472">
        <v>85.593499533764501</v>
      </c>
      <c r="AM472">
        <v>86.151973587844594</v>
      </c>
      <c r="AN472">
        <v>1.0000000287262201</v>
      </c>
    </row>
    <row r="473" spans="1:40" x14ac:dyDescent="0.25">
      <c r="A473" t="str">
        <f>"20190312154512605"</f>
        <v>20190312154512605</v>
      </c>
      <c r="B473" t="str">
        <f>"1552376712596379"</f>
        <v>1552376712596379</v>
      </c>
      <c r="C473" t="s">
        <v>40</v>
      </c>
      <c r="D473">
        <v>4.2290859999999997</v>
      </c>
      <c r="E473">
        <v>0.53856999999999999</v>
      </c>
      <c r="F473" t="s">
        <v>41</v>
      </c>
      <c r="G473">
        <v>-327.23950000000002</v>
      </c>
      <c r="H473">
        <v>0.93263580000000001</v>
      </c>
      <c r="I473">
        <v>368.34390000000002</v>
      </c>
      <c r="J473">
        <v>-327.67180000000002</v>
      </c>
      <c r="K473">
        <v>1.1101829999999999</v>
      </c>
      <c r="L473">
        <v>368.45249999999999</v>
      </c>
      <c r="M473">
        <v>0.99988310000000002</v>
      </c>
      <c r="N473">
        <v>0</v>
      </c>
      <c r="O473">
        <v>6.2318649999999996E-3</v>
      </c>
      <c r="P473">
        <v>0.99615679999999995</v>
      </c>
      <c r="Q473">
        <v>6.2838649999999996E-2</v>
      </c>
      <c r="R473">
        <v>-6.1018399999999903E-2</v>
      </c>
      <c r="S473">
        <v>3.0317690000000002</v>
      </c>
      <c r="T473">
        <v>-0.76368380000000002</v>
      </c>
      <c r="U473">
        <v>-0.45993040000000002</v>
      </c>
      <c r="V473">
        <v>6.7229929999999993E-2</v>
      </c>
      <c r="W473">
        <v>7.6733259999999998E-2</v>
      </c>
      <c r="X473">
        <v>0.99478239999999996</v>
      </c>
      <c r="Y473">
        <v>0.15133260000000001</v>
      </c>
      <c r="Z473">
        <v>-2.0202330000000001E-2</v>
      </c>
      <c r="AA473">
        <v>0.98827640000000005</v>
      </c>
      <c r="AB473">
        <v>26</v>
      </c>
      <c r="AC473">
        <v>0.43229999999999702</v>
      </c>
      <c r="AD473">
        <v>-0.17754719999999899</v>
      </c>
      <c r="AE473">
        <v>-0.108599999999967</v>
      </c>
      <c r="AF473">
        <v>9.6052133723488795E-2</v>
      </c>
      <c r="AG473">
        <v>-0.17754719999999899</v>
      </c>
      <c r="AH473">
        <v>0.37251058581013702</v>
      </c>
      <c r="AI473">
        <v>114.77461480654701</v>
      </c>
      <c r="AJ473">
        <v>75.541189674359998</v>
      </c>
      <c r="AK473">
        <v>0.423689930445941</v>
      </c>
      <c r="AL473">
        <v>85.599181898407494</v>
      </c>
      <c r="AM473">
        <v>86.133684375906398</v>
      </c>
      <c r="AN473">
        <v>0.99999994001389403</v>
      </c>
    </row>
    <row r="474" spans="1:40" x14ac:dyDescent="0.25">
      <c r="A474" t="str">
        <f>"20190312154512627"</f>
        <v>20190312154512627</v>
      </c>
      <c r="B474" t="str">
        <f>"1552376712616874"</f>
        <v>1552376712616874</v>
      </c>
      <c r="C474" t="s">
        <v>40</v>
      </c>
      <c r="D474">
        <v>4.222315</v>
      </c>
      <c r="E474">
        <v>0.53854939999999996</v>
      </c>
      <c r="F474" t="s">
        <v>41</v>
      </c>
      <c r="G474">
        <v>-326.78949999999998</v>
      </c>
      <c r="H474">
        <v>0.88708109999999996</v>
      </c>
      <c r="I474">
        <v>368.3184</v>
      </c>
      <c r="J474">
        <v>-327.3999</v>
      </c>
      <c r="K474">
        <v>1.1101890000000001</v>
      </c>
      <c r="L474">
        <v>368.45420000000001</v>
      </c>
      <c r="M474">
        <v>0.99988319999999997</v>
      </c>
      <c r="N474">
        <v>0</v>
      </c>
      <c r="O474">
        <v>6.221636E-3</v>
      </c>
      <c r="P474">
        <v>0.9961662</v>
      </c>
      <c r="Q474">
        <v>6.2659069999999997E-2</v>
      </c>
      <c r="R474">
        <v>-6.1049470000000002E-2</v>
      </c>
      <c r="S474">
        <v>3.0316770000000002</v>
      </c>
      <c r="T474">
        <v>-0.76662919999999901</v>
      </c>
      <c r="U474">
        <v>-0.46105960000000001</v>
      </c>
      <c r="V474">
        <v>6.7250959999999999E-2</v>
      </c>
      <c r="W474">
        <v>7.6551179999999996E-2</v>
      </c>
      <c r="X474">
        <v>0.99479510000000004</v>
      </c>
      <c r="Y474">
        <v>0.151641</v>
      </c>
      <c r="Z474">
        <v>-2.0313600000000001E-2</v>
      </c>
      <c r="AA474">
        <v>0.98822690000000002</v>
      </c>
      <c r="AB474">
        <v>26</v>
      </c>
      <c r="AC474">
        <v>0.61040000000002603</v>
      </c>
      <c r="AD474">
        <v>-0.223107899999999</v>
      </c>
      <c r="AE474">
        <v>-0.13580000000001699</v>
      </c>
      <c r="AF474">
        <v>0.12383192707077</v>
      </c>
      <c r="AG474">
        <v>-0.223107899999999</v>
      </c>
      <c r="AH474">
        <v>0.54071190327754304</v>
      </c>
      <c r="AI474">
        <v>111.91028904446399</v>
      </c>
      <c r="AJ474">
        <v>77.100768270016104</v>
      </c>
      <c r="AK474">
        <v>0.59789701751262603</v>
      </c>
      <c r="AL474">
        <v>85.609645498922205</v>
      </c>
      <c r="AM474">
        <v>86.132527859342105</v>
      </c>
      <c r="AN474">
        <v>1.0000000328821601</v>
      </c>
    </row>
    <row r="475" spans="1:40" x14ac:dyDescent="0.25">
      <c r="A475" t="str">
        <f>"20190312154512649"</f>
        <v>20190312154512649</v>
      </c>
      <c r="B475" t="str">
        <f>"1552376712646155"</f>
        <v>1552376712646155</v>
      </c>
      <c r="C475" t="s">
        <v>40</v>
      </c>
      <c r="D475">
        <v>4.2348420000000004</v>
      </c>
      <c r="E475">
        <v>0.53862659999999996</v>
      </c>
      <c r="F475" t="s">
        <v>41</v>
      </c>
      <c r="G475">
        <v>-326.5521</v>
      </c>
      <c r="H475">
        <v>0.89564299999999997</v>
      </c>
      <c r="I475">
        <v>368.32490000000001</v>
      </c>
      <c r="J475">
        <v>-327.15159999999997</v>
      </c>
      <c r="K475">
        <v>1.110193</v>
      </c>
      <c r="L475">
        <v>368.45569999999998</v>
      </c>
      <c r="M475">
        <v>0.99988339999999998</v>
      </c>
      <c r="N475">
        <v>0</v>
      </c>
      <c r="O475">
        <v>6.2120639999999998E-3</v>
      </c>
      <c r="P475">
        <v>0.99616749999999998</v>
      </c>
      <c r="Q475">
        <v>6.2923709999999994E-2</v>
      </c>
      <c r="R475">
        <v>-6.0756159999999997E-2</v>
      </c>
      <c r="S475">
        <v>3.0314939999999999</v>
      </c>
      <c r="T475">
        <v>-0.76723469999999905</v>
      </c>
      <c r="U475">
        <v>-0.4618835</v>
      </c>
      <c r="V475">
        <v>6.6947880000000001E-2</v>
      </c>
      <c r="W475">
        <v>7.6813140000000002E-2</v>
      </c>
      <c r="X475">
        <v>0.99479530000000005</v>
      </c>
      <c r="Y475">
        <v>0.15188769999999999</v>
      </c>
      <c r="Z475">
        <v>-2.035814E-2</v>
      </c>
      <c r="AA475">
        <v>0.98818810000000001</v>
      </c>
      <c r="AB475">
        <v>26</v>
      </c>
      <c r="AC475">
        <v>0.59949999999997705</v>
      </c>
      <c r="AD475">
        <v>-0.21454999999999899</v>
      </c>
      <c r="AE475">
        <v>-0.130799999999965</v>
      </c>
      <c r="AF475">
        <v>0.11986710552343199</v>
      </c>
      <c r="AG475">
        <v>-0.21454999999999899</v>
      </c>
      <c r="AH475">
        <v>0.53345588552761602</v>
      </c>
      <c r="AI475">
        <v>111.42527139768499</v>
      </c>
      <c r="AJ475">
        <v>77.336022207456693</v>
      </c>
      <c r="AK475">
        <v>0.58734573063113205</v>
      </c>
      <c r="AL475">
        <v>85.594591753045904</v>
      </c>
      <c r="AM475">
        <v>86.149905634962707</v>
      </c>
      <c r="AN475">
        <v>0.99999998300762205</v>
      </c>
    </row>
    <row r="476" spans="1:40" x14ac:dyDescent="0.25">
      <c r="A476" t="str">
        <f>"20190312154512671"</f>
        <v>20190312154512671</v>
      </c>
      <c r="B476" t="str">
        <f>"1552376712666650"</f>
        <v>1552376712666650</v>
      </c>
      <c r="C476" t="s">
        <v>40</v>
      </c>
      <c r="D476">
        <v>4.2494969999999999</v>
      </c>
      <c r="E476">
        <v>0.53863969999999906</v>
      </c>
      <c r="F476" t="s">
        <v>41</v>
      </c>
      <c r="G476">
        <v>-326.31729999999999</v>
      </c>
      <c r="H476">
        <v>0.89873179999999997</v>
      </c>
      <c r="I476">
        <v>368.32870000000003</v>
      </c>
      <c r="J476">
        <v>-326.89490000000001</v>
      </c>
      <c r="K476">
        <v>1.11019</v>
      </c>
      <c r="L476">
        <v>368.45729999999998</v>
      </c>
      <c r="M476">
        <v>0.99988339999999998</v>
      </c>
      <c r="N476">
        <v>0</v>
      </c>
      <c r="O476">
        <v>6.2025479999999996E-3</v>
      </c>
      <c r="P476">
        <v>0.99618600000000002</v>
      </c>
      <c r="Q476">
        <v>6.2740850000000001E-2</v>
      </c>
      <c r="R476">
        <v>-6.063648E-2</v>
      </c>
      <c r="S476">
        <v>3.0318909999999999</v>
      </c>
      <c r="T476">
        <v>-0.76839709999999894</v>
      </c>
      <c r="U476">
        <v>-0.46154790000000001</v>
      </c>
      <c r="V476">
        <v>6.6819139999999999E-2</v>
      </c>
      <c r="W476">
        <v>7.6627710000000002E-2</v>
      </c>
      <c r="X476">
        <v>0.99481830000000004</v>
      </c>
      <c r="Y476">
        <v>0.1517435</v>
      </c>
      <c r="Z476">
        <v>-2.0365399999999999E-2</v>
      </c>
      <c r="AA476">
        <v>0.98821009999999998</v>
      </c>
      <c r="AB476">
        <v>26</v>
      </c>
      <c r="AC476">
        <v>0.57760000000001799</v>
      </c>
      <c r="AD476">
        <v>-0.21145820000000001</v>
      </c>
      <c r="AE476">
        <v>-0.12859999999994801</v>
      </c>
      <c r="AF476">
        <v>0.117212683159666</v>
      </c>
      <c r="AG476">
        <v>-0.21145820000000001</v>
      </c>
      <c r="AH476">
        <v>0.51147678298615995</v>
      </c>
      <c r="AI476">
        <v>111.94847718869801</v>
      </c>
      <c r="AJ476">
        <v>77.092670755389193</v>
      </c>
      <c r="AK476">
        <v>0.56574011964381599</v>
      </c>
      <c r="AL476">
        <v>85.605247708406907</v>
      </c>
      <c r="AM476">
        <v>86.157375695482202</v>
      </c>
      <c r="AN476">
        <v>1.00000002671253</v>
      </c>
    </row>
    <row r="477" spans="1:40" x14ac:dyDescent="0.25">
      <c r="A477" t="str">
        <f>"20190312154512693"</f>
        <v>20190312154512693</v>
      </c>
      <c r="B477" t="str">
        <f>"1552376712686174"</f>
        <v>1552376712686174</v>
      </c>
      <c r="C477" t="s">
        <v>40</v>
      </c>
      <c r="D477">
        <v>4.3002159999999998</v>
      </c>
      <c r="E477">
        <v>0.53874519999999904</v>
      </c>
      <c r="F477" t="s">
        <v>41</v>
      </c>
      <c r="G477">
        <v>-326.08190000000002</v>
      </c>
      <c r="H477">
        <v>0.90387430000000002</v>
      </c>
      <c r="I477">
        <v>368.33339999999998</v>
      </c>
      <c r="J477">
        <v>-326.63249999999999</v>
      </c>
      <c r="K477">
        <v>1.1101909999999999</v>
      </c>
      <c r="L477">
        <v>368.459</v>
      </c>
      <c r="M477">
        <v>0.99988350000000004</v>
      </c>
      <c r="N477">
        <v>0</v>
      </c>
      <c r="O477">
        <v>6.1931460000000001E-3</v>
      </c>
      <c r="P477">
        <v>0.9962221</v>
      </c>
      <c r="Q477">
        <v>6.2475999999999997E-2</v>
      </c>
      <c r="R477">
        <v>-6.0320159999999998E-2</v>
      </c>
      <c r="S477">
        <v>3.0318909999999999</v>
      </c>
      <c r="T477">
        <v>-0.76948689999999997</v>
      </c>
      <c r="U477">
        <v>-0.46136470000000002</v>
      </c>
      <c r="V477">
        <v>6.6493730000000001E-2</v>
      </c>
      <c r="W477">
        <v>7.6360990000000004E-2</v>
      </c>
      <c r="X477">
        <v>0.99486059999999998</v>
      </c>
      <c r="Y477">
        <v>0.15166489999999999</v>
      </c>
      <c r="Z477">
        <v>-2.0381400000000001E-2</v>
      </c>
      <c r="AA477">
        <v>0.98822180000000004</v>
      </c>
      <c r="AB477">
        <v>26</v>
      </c>
      <c r="AC477">
        <v>0.550599999999974</v>
      </c>
      <c r="AD477">
        <v>-0.20631669999999899</v>
      </c>
      <c r="AE477">
        <v>-0.125600000000019</v>
      </c>
      <c r="AF477">
        <v>0.11381730481333199</v>
      </c>
      <c r="AG477">
        <v>-0.20631669999999899</v>
      </c>
      <c r="AH477">
        <v>0.48507167867381701</v>
      </c>
      <c r="AI477">
        <v>112.493768649231</v>
      </c>
      <c r="AJ477">
        <v>76.7949877294066</v>
      </c>
      <c r="AK477">
        <v>0.53927311542973799</v>
      </c>
      <c r="AL477">
        <v>85.6205744951464</v>
      </c>
      <c r="AM477">
        <v>86.176195771309494</v>
      </c>
      <c r="AN477">
        <v>1.00000001517772</v>
      </c>
    </row>
    <row r="478" spans="1:40" x14ac:dyDescent="0.25">
      <c r="A478" t="str">
        <f>"20190312154512715"</f>
        <v>20190312154512715</v>
      </c>
      <c r="B478" t="str">
        <f>"1552376712706666"</f>
        <v>1552376712706666</v>
      </c>
      <c r="C478" t="s">
        <v>40</v>
      </c>
      <c r="D478">
        <v>4.2533529999999997</v>
      </c>
      <c r="E478">
        <v>0.53883610000000004</v>
      </c>
      <c r="F478" t="s">
        <v>41</v>
      </c>
      <c r="G478">
        <v>-325.84640000000002</v>
      </c>
      <c r="H478">
        <v>0.90996160000000004</v>
      </c>
      <c r="I478">
        <v>368.33960000000002</v>
      </c>
      <c r="J478">
        <v>-326.37150000000003</v>
      </c>
      <c r="K478">
        <v>1.110195</v>
      </c>
      <c r="L478">
        <v>368.4606</v>
      </c>
      <c r="M478">
        <v>0.99988359999999998</v>
      </c>
      <c r="N478">
        <v>0</v>
      </c>
      <c r="O478">
        <v>6.1839249999999998E-3</v>
      </c>
      <c r="P478">
        <v>0.99621519999999997</v>
      </c>
      <c r="Q478">
        <v>6.2537800000000004E-2</v>
      </c>
      <c r="R478">
        <v>-6.0368119999999997E-2</v>
      </c>
      <c r="S478">
        <v>3.0318909999999999</v>
      </c>
      <c r="T478">
        <v>-0.77221989999999996</v>
      </c>
      <c r="U478">
        <v>-0.46069339999999998</v>
      </c>
      <c r="V478">
        <v>6.6532240000000006E-2</v>
      </c>
      <c r="W478">
        <v>7.641995E-2</v>
      </c>
      <c r="X478">
        <v>0.99485349999999995</v>
      </c>
      <c r="Y478">
        <v>0.15141540000000001</v>
      </c>
      <c r="Z478">
        <v>-2.0418510000000001E-2</v>
      </c>
      <c r="AA478">
        <v>0.98825929999999995</v>
      </c>
      <c r="AB478">
        <v>26</v>
      </c>
      <c r="AC478">
        <v>0.525100000000008</v>
      </c>
      <c r="AD478">
        <v>-0.20023339999999901</v>
      </c>
      <c r="AE478">
        <v>-0.12099999999998</v>
      </c>
      <c r="AF478">
        <v>0.10917120266784799</v>
      </c>
      <c r="AG478">
        <v>-0.20023339999999901</v>
      </c>
      <c r="AH478">
        <v>0.46072617030198498</v>
      </c>
      <c r="AI478">
        <v>112.92320220626701</v>
      </c>
      <c r="AJ478">
        <v>76.669363734173899</v>
      </c>
      <c r="AK478">
        <v>0.51408206540263401</v>
      </c>
      <c r="AL478">
        <v>85.617186444454205</v>
      </c>
      <c r="AM478">
        <v>86.173960557542699</v>
      </c>
      <c r="AN478">
        <v>1.00000001708983</v>
      </c>
    </row>
    <row r="479" spans="1:40" x14ac:dyDescent="0.25">
      <c r="A479" t="str">
        <f>"20190312154512737"</f>
        <v>20190312154512737</v>
      </c>
      <c r="B479" t="str">
        <f>"1552376712726187"</f>
        <v>1552376712726187</v>
      </c>
      <c r="C479" t="s">
        <v>40</v>
      </c>
      <c r="D479">
        <v>4.3070849999999998</v>
      </c>
      <c r="E479">
        <v>0.53882450000000004</v>
      </c>
      <c r="F479" t="s">
        <v>41</v>
      </c>
      <c r="G479">
        <v>-325.61110000000002</v>
      </c>
      <c r="H479">
        <v>0.91626680000000005</v>
      </c>
      <c r="I479">
        <v>368.34460000000001</v>
      </c>
      <c r="J479">
        <v>-326.11059999999998</v>
      </c>
      <c r="K479">
        <v>1.1101970000000001</v>
      </c>
      <c r="L479">
        <v>368.4622</v>
      </c>
      <c r="M479">
        <v>0.99988379999999999</v>
      </c>
      <c r="N479">
        <v>0</v>
      </c>
      <c r="O479">
        <v>6.1745259999999996E-3</v>
      </c>
      <c r="P479">
        <v>0.99618470000000003</v>
      </c>
      <c r="Q479">
        <v>6.2769350000000002E-2</v>
      </c>
      <c r="R479">
        <v>-6.0632999999999999E-2</v>
      </c>
      <c r="S479">
        <v>3.0319210000000001</v>
      </c>
      <c r="T479">
        <v>-0.77326709999999999</v>
      </c>
      <c r="U479">
        <v>-0.46163939999999998</v>
      </c>
      <c r="V479">
        <v>6.6787810000000003E-2</v>
      </c>
      <c r="W479">
        <v>7.6648170000000002E-2</v>
      </c>
      <c r="X479">
        <v>0.9948188</v>
      </c>
      <c r="Y479">
        <v>0.15168509999999999</v>
      </c>
      <c r="Z479">
        <v>-2.0476020000000001E-2</v>
      </c>
      <c r="AA479">
        <v>0.98821680000000001</v>
      </c>
      <c r="AB479">
        <v>26</v>
      </c>
      <c r="AC479">
        <v>0.49949999999995498</v>
      </c>
      <c r="AD479">
        <v>-0.193930199999999</v>
      </c>
      <c r="AE479">
        <v>-0.117599999999981</v>
      </c>
      <c r="AF479">
        <v>0.105600340250718</v>
      </c>
      <c r="AG479">
        <v>-0.193930199999999</v>
      </c>
      <c r="AH479">
        <v>0.43643274129613402</v>
      </c>
      <c r="AI479">
        <v>113.359039644058</v>
      </c>
      <c r="AJ479">
        <v>76.397997273493999</v>
      </c>
      <c r="AK479">
        <v>0.48911541788044799</v>
      </c>
      <c r="AL479">
        <v>85.604071857691594</v>
      </c>
      <c r="AM479">
        <v>86.159173946687901</v>
      </c>
      <c r="AN479">
        <v>0.99999999918119198</v>
      </c>
    </row>
    <row r="480" spans="1:40" x14ac:dyDescent="0.25">
      <c r="A480" t="str">
        <f>"20190312154512760"</f>
        <v>20190312154512760</v>
      </c>
      <c r="B480" t="str">
        <f>"1552376712756443"</f>
        <v>1552376712756443</v>
      </c>
      <c r="C480" t="s">
        <v>40</v>
      </c>
      <c r="D480">
        <v>4.2776259999999997</v>
      </c>
      <c r="E480">
        <v>0.53880159999999999</v>
      </c>
      <c r="F480" t="s">
        <v>41</v>
      </c>
      <c r="G480">
        <v>-325.37580000000003</v>
      </c>
      <c r="H480">
        <v>0.92285030000000001</v>
      </c>
      <c r="I480">
        <v>368.3501</v>
      </c>
      <c r="J480">
        <v>-325.86079999999998</v>
      </c>
      <c r="K480">
        <v>1.1102000000000001</v>
      </c>
      <c r="L480">
        <v>368.46370000000002</v>
      </c>
      <c r="M480">
        <v>0.99988379999999999</v>
      </c>
      <c r="N480">
        <v>0</v>
      </c>
      <c r="O480">
        <v>6.1656039999999999E-3</v>
      </c>
      <c r="P480">
        <v>0.99616959999999999</v>
      </c>
      <c r="Q480">
        <v>6.2893350000000001E-2</v>
      </c>
      <c r="R480">
        <v>-6.0750140000000001E-2</v>
      </c>
      <c r="S480">
        <v>3.0320130000000001</v>
      </c>
      <c r="T480">
        <v>-0.77309319999999904</v>
      </c>
      <c r="U480">
        <v>-0.46258539999999998</v>
      </c>
      <c r="V480">
        <v>6.6895930000000006E-2</v>
      </c>
      <c r="W480">
        <v>7.6769379999999998E-2</v>
      </c>
      <c r="X480">
        <v>0.99480219999999997</v>
      </c>
      <c r="Y480">
        <v>0.1519674</v>
      </c>
      <c r="Z480">
        <v>-2.0503509999999999E-2</v>
      </c>
      <c r="AA480">
        <v>0.98817279999999996</v>
      </c>
      <c r="AB480">
        <v>26</v>
      </c>
      <c r="AC480">
        <v>0.48499999999995602</v>
      </c>
      <c r="AD480">
        <v>-0.18734970000000001</v>
      </c>
      <c r="AE480">
        <v>-0.11360000000001901</v>
      </c>
      <c r="AF480">
        <v>0.10213995846953899</v>
      </c>
      <c r="AG480">
        <v>-0.18734970000000001</v>
      </c>
      <c r="AH480">
        <v>0.424273514824343</v>
      </c>
      <c r="AI480">
        <v>113.234438770713</v>
      </c>
      <c r="AJ480">
        <v>76.464138750421498</v>
      </c>
      <c r="AK480">
        <v>0.47491104070936502</v>
      </c>
      <c r="AL480">
        <v>85.597106561493206</v>
      </c>
      <c r="AM480">
        <v>86.152910847524893</v>
      </c>
      <c r="AN480">
        <v>1.00000001014049</v>
      </c>
    </row>
    <row r="481" spans="1:40" x14ac:dyDescent="0.25">
      <c r="A481" t="str">
        <f>"20190312154512783"</f>
        <v>20190312154512783</v>
      </c>
      <c r="B481" t="str">
        <f>"1552376712776956"</f>
        <v>1552376712776956</v>
      </c>
      <c r="C481" t="s">
        <v>40</v>
      </c>
      <c r="D481">
        <v>4.3074640000000004</v>
      </c>
      <c r="E481">
        <v>0.53881159999999995</v>
      </c>
      <c r="F481" t="s">
        <v>41</v>
      </c>
      <c r="G481">
        <v>-325.14190000000002</v>
      </c>
      <c r="H481">
        <v>0.92667719999999998</v>
      </c>
      <c r="I481">
        <v>368.3537</v>
      </c>
      <c r="J481">
        <v>-325.58609999999999</v>
      </c>
      <c r="K481">
        <v>1.110201</v>
      </c>
      <c r="L481">
        <v>368.46539999999999</v>
      </c>
      <c r="M481">
        <v>0.99988390000000005</v>
      </c>
      <c r="N481">
        <v>0</v>
      </c>
      <c r="O481">
        <v>6.1555519999999999E-3</v>
      </c>
      <c r="P481">
        <v>0.99616700000000002</v>
      </c>
      <c r="Q481">
        <v>6.3025199999999906E-2</v>
      </c>
      <c r="R481">
        <v>-6.0659739999999997E-2</v>
      </c>
      <c r="S481">
        <v>3.0321660000000001</v>
      </c>
      <c r="T481">
        <v>-0.7740648</v>
      </c>
      <c r="U481">
        <v>-0.46295170000000002</v>
      </c>
      <c r="V481">
        <v>6.6795259999999995E-2</v>
      </c>
      <c r="W481">
        <v>7.68987E-2</v>
      </c>
      <c r="X481">
        <v>0.99479899999999999</v>
      </c>
      <c r="Y481">
        <v>0.15205270000000001</v>
      </c>
      <c r="Z481">
        <v>-2.0535459999999998E-2</v>
      </c>
      <c r="AA481">
        <v>0.98815909999999996</v>
      </c>
      <c r="AB481">
        <v>26</v>
      </c>
      <c r="AC481">
        <v>0.44419999999996601</v>
      </c>
      <c r="AD481">
        <v>-0.18352379999999999</v>
      </c>
      <c r="AE481">
        <v>-0.11169999999998401</v>
      </c>
      <c r="AF481">
        <v>9.8602266957282803E-2</v>
      </c>
      <c r="AG481">
        <v>-0.18352379999999999</v>
      </c>
      <c r="AH481">
        <v>0.38215117989226899</v>
      </c>
      <c r="AI481">
        <v>114.938870443515</v>
      </c>
      <c r="AJ481">
        <v>75.532150740211307</v>
      </c>
      <c r="AK481">
        <v>0.435250406672537</v>
      </c>
      <c r="AL481">
        <v>85.589675206907899</v>
      </c>
      <c r="AM481">
        <v>86.158670569908494</v>
      </c>
      <c r="AN481">
        <v>1.0000000336105701</v>
      </c>
    </row>
    <row r="482" spans="1:40" x14ac:dyDescent="0.25">
      <c r="A482" t="str">
        <f>"20190312154512806"</f>
        <v>20190312154512806</v>
      </c>
      <c r="B482" t="str">
        <f>"1552376712796477"</f>
        <v>1552376712796477</v>
      </c>
      <c r="C482" t="s">
        <v>40</v>
      </c>
      <c r="D482">
        <v>4.3379760000000003</v>
      </c>
      <c r="E482">
        <v>0.53880699999999904</v>
      </c>
      <c r="F482" t="s">
        <v>41</v>
      </c>
      <c r="G482">
        <v>-324.90570000000002</v>
      </c>
      <c r="H482">
        <v>0.93632599999999999</v>
      </c>
      <c r="I482">
        <v>368.36189999999999</v>
      </c>
      <c r="J482">
        <v>-325.33199999999999</v>
      </c>
      <c r="K482">
        <v>1.110204</v>
      </c>
      <c r="L482">
        <v>368.46690000000001</v>
      </c>
      <c r="M482">
        <v>0.999884</v>
      </c>
      <c r="N482">
        <v>0</v>
      </c>
      <c r="O482">
        <v>6.1456820000000004E-3</v>
      </c>
      <c r="P482">
        <v>0.99614669999999905</v>
      </c>
      <c r="Q482">
        <v>6.3193159999999998E-2</v>
      </c>
      <c r="R482">
        <v>-6.0815790000000002E-2</v>
      </c>
      <c r="S482">
        <v>3.03241</v>
      </c>
      <c r="T482">
        <v>-0.77487950000000005</v>
      </c>
      <c r="U482">
        <v>-0.46215820000000002</v>
      </c>
      <c r="V482">
        <v>6.6941600000000004E-2</v>
      </c>
      <c r="W482">
        <v>7.7063679999999996E-2</v>
      </c>
      <c r="X482">
        <v>0.99477640000000001</v>
      </c>
      <c r="Y482">
        <v>0.15177760000000001</v>
      </c>
      <c r="Z482">
        <v>-2.0518339999999999E-2</v>
      </c>
      <c r="AA482">
        <v>0.98820169999999996</v>
      </c>
      <c r="AB482">
        <v>26</v>
      </c>
      <c r="AC482">
        <v>0.42629999999996898</v>
      </c>
      <c r="AD482">
        <v>-0.173878</v>
      </c>
      <c r="AE482">
        <v>-0.105000000000018</v>
      </c>
      <c r="AF482">
        <v>9.3027042106249597E-2</v>
      </c>
      <c r="AG482">
        <v>-0.173878</v>
      </c>
      <c r="AH482">
        <v>0.36793639150167001</v>
      </c>
      <c r="AI482">
        <v>114.615314507294</v>
      </c>
      <c r="AJ482">
        <v>75.811002935020696</v>
      </c>
      <c r="AK482">
        <v>0.41745032954629202</v>
      </c>
      <c r="AL482">
        <v>85.580194431994599</v>
      </c>
      <c r="AM482">
        <v>86.150192782283298</v>
      </c>
      <c r="AN482">
        <v>1.00000003729133</v>
      </c>
    </row>
    <row r="483" spans="1:40" x14ac:dyDescent="0.25">
      <c r="A483" t="str">
        <f>"20190312154512828"</f>
        <v>20190312154512828</v>
      </c>
      <c r="B483" t="str">
        <f>"1552376712816973"</f>
        <v>1552376712816973</v>
      </c>
      <c r="C483" t="s">
        <v>40</v>
      </c>
      <c r="D483">
        <v>4.3067060000000001</v>
      </c>
      <c r="E483">
        <v>0.53882039999999998</v>
      </c>
      <c r="F483" t="s">
        <v>41</v>
      </c>
      <c r="G483">
        <v>-324.46260000000001</v>
      </c>
      <c r="H483">
        <v>0.88798259999999996</v>
      </c>
      <c r="I483">
        <v>368.33440000000002</v>
      </c>
      <c r="J483">
        <v>-325.06540000000001</v>
      </c>
      <c r="K483">
        <v>1.1101989999999999</v>
      </c>
      <c r="L483">
        <v>368.46850000000001</v>
      </c>
      <c r="M483">
        <v>0.99988410000000005</v>
      </c>
      <c r="N483">
        <v>0</v>
      </c>
      <c r="O483">
        <v>6.1359259999999999E-3</v>
      </c>
      <c r="P483">
        <v>0.99615129999999996</v>
      </c>
      <c r="Q483">
        <v>6.3182240000000001E-2</v>
      </c>
      <c r="R483">
        <v>-6.0754120000000002E-2</v>
      </c>
      <c r="S483">
        <v>3.0325009999999999</v>
      </c>
      <c r="T483">
        <v>-0.77511919999999901</v>
      </c>
      <c r="U483">
        <v>-0.4625244</v>
      </c>
      <c r="V483">
        <v>6.6870170000000007E-2</v>
      </c>
      <c r="W483">
        <v>7.7049899999999893E-2</v>
      </c>
      <c r="X483">
        <v>0.99478219999999995</v>
      </c>
      <c r="Y483">
        <v>0.15187479999999901</v>
      </c>
      <c r="Z483">
        <v>-2.053344E-2</v>
      </c>
      <c r="AA483">
        <v>0.98818640000000002</v>
      </c>
      <c r="AB483">
        <v>26</v>
      </c>
      <c r="AC483">
        <v>0.602800000000002</v>
      </c>
      <c r="AD483">
        <v>-0.22221640000000001</v>
      </c>
      <c r="AE483">
        <v>-0.13409999999998901</v>
      </c>
      <c r="AF483">
        <v>0.121999202994216</v>
      </c>
      <c r="AG483">
        <v>-0.22221640000000001</v>
      </c>
      <c r="AH483">
        <v>0.53295477986177797</v>
      </c>
      <c r="AI483">
        <v>112.118738146262</v>
      </c>
      <c r="AJ483">
        <v>77.106510683767397</v>
      </c>
      <c r="AK483">
        <v>0.59017347563042799</v>
      </c>
      <c r="AL483">
        <v>85.580986007026596</v>
      </c>
      <c r="AM483">
        <v>86.154310738625796</v>
      </c>
      <c r="AN483">
        <v>0.99999996608133801</v>
      </c>
    </row>
    <row r="484" spans="1:40" x14ac:dyDescent="0.25">
      <c r="A484" t="str">
        <f>"20190312154512850"</f>
        <v>20190312154512850</v>
      </c>
      <c r="B484" t="str">
        <f>"1552376712846253"</f>
        <v>1552376712846253</v>
      </c>
      <c r="C484" t="s">
        <v>40</v>
      </c>
      <c r="D484">
        <v>4.3148710000000001</v>
      </c>
      <c r="E484">
        <v>0.53890680000000002</v>
      </c>
      <c r="F484" t="s">
        <v>41</v>
      </c>
      <c r="G484">
        <v>-324.22829999999999</v>
      </c>
      <c r="H484">
        <v>0.89613799999999899</v>
      </c>
      <c r="I484">
        <v>368.34070000000003</v>
      </c>
      <c r="J484">
        <v>-324.81540000000001</v>
      </c>
      <c r="K484">
        <v>1.1101989999999999</v>
      </c>
      <c r="L484">
        <v>368.47</v>
      </c>
      <c r="M484">
        <v>0.99988410000000005</v>
      </c>
      <c r="N484">
        <v>0</v>
      </c>
      <c r="O484">
        <v>6.126884E-3</v>
      </c>
      <c r="P484">
        <v>0.99614760000000002</v>
      </c>
      <c r="Q484">
        <v>6.3400219999999993E-2</v>
      </c>
      <c r="R484">
        <v>-6.058322E-2</v>
      </c>
      <c r="S484">
        <v>3.0325319999999998</v>
      </c>
      <c r="T484">
        <v>-0.77559690000000003</v>
      </c>
      <c r="U484">
        <v>-0.462677</v>
      </c>
      <c r="V484">
        <v>6.6690269999999996E-2</v>
      </c>
      <c r="W484">
        <v>7.7265260000000002E-2</v>
      </c>
      <c r="X484">
        <v>0.99477760000000004</v>
      </c>
      <c r="Y484">
        <v>0.15190629999999999</v>
      </c>
      <c r="Z484">
        <v>-2.0547119999999999E-2</v>
      </c>
      <c r="AA484">
        <v>0.98818130000000004</v>
      </c>
      <c r="AB484">
        <v>26</v>
      </c>
      <c r="AC484">
        <v>0.58710000000002005</v>
      </c>
      <c r="AD484">
        <v>-0.214061</v>
      </c>
      <c r="AE484">
        <v>-0.1293</v>
      </c>
      <c r="AF484">
        <v>0.117941365516723</v>
      </c>
      <c r="AG484">
        <v>-0.214061</v>
      </c>
      <c r="AH484">
        <v>0.52032525447776801</v>
      </c>
      <c r="AI484">
        <v>111.861666228883</v>
      </c>
      <c r="AJ484">
        <v>77.228655371379901</v>
      </c>
      <c r="AK484">
        <v>0.57486576508634102</v>
      </c>
      <c r="AL484">
        <v>85.568610012677098</v>
      </c>
      <c r="AM484">
        <v>86.164608146564802</v>
      </c>
      <c r="AN484">
        <v>0.99999999298865005</v>
      </c>
    </row>
    <row r="485" spans="1:40" x14ac:dyDescent="0.25">
      <c r="A485" t="str">
        <f>"20190312154512872"</f>
        <v>20190312154512872</v>
      </c>
      <c r="B485" t="str">
        <f>"1552376712866749"</f>
        <v>1552376712866749</v>
      </c>
      <c r="C485" t="s">
        <v>40</v>
      </c>
      <c r="D485">
        <v>4.3232869999999997</v>
      </c>
      <c r="E485">
        <v>0.53898889999999999</v>
      </c>
      <c r="F485" t="s">
        <v>41</v>
      </c>
      <c r="G485">
        <v>-323.99579999999997</v>
      </c>
      <c r="H485">
        <v>0.9003234</v>
      </c>
      <c r="I485">
        <v>368.34500000000003</v>
      </c>
      <c r="J485">
        <v>-324.55799999999999</v>
      </c>
      <c r="K485">
        <v>1.1102000000000001</v>
      </c>
      <c r="L485">
        <v>368.47160000000002</v>
      </c>
      <c r="M485">
        <v>0.9998842</v>
      </c>
      <c r="N485">
        <v>0</v>
      </c>
      <c r="O485">
        <v>6.1174849999999998E-3</v>
      </c>
      <c r="P485">
        <v>0.99610410000000005</v>
      </c>
      <c r="Q485">
        <v>6.3598749999999996E-2</v>
      </c>
      <c r="R485">
        <v>-6.108823E-2</v>
      </c>
      <c r="S485">
        <v>3.0329280000000001</v>
      </c>
      <c r="T485">
        <v>-0.77666199999999996</v>
      </c>
      <c r="U485">
        <v>-0.46304319999999999</v>
      </c>
      <c r="V485">
        <v>6.7185800000000004E-2</v>
      </c>
      <c r="W485">
        <v>7.7460180000000003E-2</v>
      </c>
      <c r="X485">
        <v>0.99472910000000003</v>
      </c>
      <c r="Y485">
        <v>0.15198029999999901</v>
      </c>
      <c r="Z485">
        <v>-2.0578619999999999E-2</v>
      </c>
      <c r="AA485">
        <v>0.98816930000000003</v>
      </c>
      <c r="AB485">
        <v>26</v>
      </c>
      <c r="AC485">
        <v>0.56220000000001802</v>
      </c>
      <c r="AD485">
        <v>-0.2098766</v>
      </c>
      <c r="AE485">
        <v>-0.12659999999999599</v>
      </c>
      <c r="AF485">
        <v>0.114809284256476</v>
      </c>
      <c r="AG485">
        <v>-0.2098766</v>
      </c>
      <c r="AH485">
        <v>0.49567076930208198</v>
      </c>
      <c r="AI485">
        <v>112.416083862985</v>
      </c>
      <c r="AJ485">
        <v>76.958889335370003</v>
      </c>
      <c r="AK485">
        <v>0.55038065965253802</v>
      </c>
      <c r="AL485">
        <v>85.557408364956302</v>
      </c>
      <c r="AM485">
        <v>86.136008147750999</v>
      </c>
      <c r="AN485">
        <v>0.99999999679704099</v>
      </c>
    </row>
    <row r="486" spans="1:40" x14ac:dyDescent="0.25">
      <c r="A486" t="str">
        <f>"20190312154512895"</f>
        <v>20190312154512895</v>
      </c>
      <c r="B486" t="str">
        <f>"1552376712886775"</f>
        <v>1552376712886775</v>
      </c>
      <c r="C486" t="s">
        <v>40</v>
      </c>
      <c r="D486">
        <v>4.3581699999999897</v>
      </c>
      <c r="E486">
        <v>0.53905150000000002</v>
      </c>
      <c r="F486" t="s">
        <v>41</v>
      </c>
      <c r="G486">
        <v>-323.7629</v>
      </c>
      <c r="H486">
        <v>0.90637080000000003</v>
      </c>
      <c r="I486">
        <v>368.34969999999998</v>
      </c>
      <c r="J486">
        <v>-324.29860000000002</v>
      </c>
      <c r="K486">
        <v>1.1101939999999999</v>
      </c>
      <c r="L486">
        <v>368.47320000000002</v>
      </c>
      <c r="M486">
        <v>0.99988429999999995</v>
      </c>
      <c r="N486">
        <v>0</v>
      </c>
      <c r="O486">
        <v>6.1082640000000004E-3</v>
      </c>
      <c r="P486">
        <v>0.99611559999999999</v>
      </c>
      <c r="Q486">
        <v>6.335288E-2</v>
      </c>
      <c r="R486">
        <v>-6.115872E-2</v>
      </c>
      <c r="S486">
        <v>3.0328979999999999</v>
      </c>
      <c r="T486">
        <v>-0.7775919</v>
      </c>
      <c r="U486">
        <v>-0.46487430000000002</v>
      </c>
      <c r="V486">
        <v>6.7246769999999997E-2</v>
      </c>
      <c r="W486">
        <v>7.721248E-2</v>
      </c>
      <c r="X486">
        <v>0.99474419999999997</v>
      </c>
      <c r="Y486">
        <v>0.1525272</v>
      </c>
      <c r="Z486">
        <v>-2.066811E-2</v>
      </c>
      <c r="AA486">
        <v>0.98808309999999999</v>
      </c>
      <c r="AB486">
        <v>26</v>
      </c>
      <c r="AC486">
        <v>0.53570000000001905</v>
      </c>
      <c r="AD486">
        <v>-0.20382320000000001</v>
      </c>
      <c r="AE486">
        <v>-0.123500000000035</v>
      </c>
      <c r="AF486">
        <v>0.11145031961587</v>
      </c>
      <c r="AG486">
        <v>-0.20382320000000001</v>
      </c>
      <c r="AH486">
        <v>0.47028981886230298</v>
      </c>
      <c r="AI486">
        <v>112.866072180163</v>
      </c>
      <c r="AJ486">
        <v>76.667868055968796</v>
      </c>
      <c r="AK486">
        <v>0.52453558918938703</v>
      </c>
      <c r="AL486">
        <v>85.571642995537303</v>
      </c>
      <c r="AM486">
        <v>86.132570805286704</v>
      </c>
      <c r="AN486">
        <v>0.99999995928841001</v>
      </c>
    </row>
    <row r="487" spans="1:40" x14ac:dyDescent="0.25">
      <c r="A487" t="str">
        <f>"20190312154512916"</f>
        <v>20190312154512916</v>
      </c>
      <c r="B487" t="str">
        <f>"1552376712906299"</f>
        <v>1552376712906299</v>
      </c>
      <c r="C487" t="s">
        <v>40</v>
      </c>
      <c r="D487">
        <v>4.3473620000000004</v>
      </c>
      <c r="E487">
        <v>0.53908869999999998</v>
      </c>
      <c r="F487" t="s">
        <v>41</v>
      </c>
      <c r="G487">
        <v>-323.53019999999998</v>
      </c>
      <c r="H487">
        <v>0.91273740000000003</v>
      </c>
      <c r="I487">
        <v>368.35559999999998</v>
      </c>
      <c r="J487">
        <v>-324.05220000000003</v>
      </c>
      <c r="K487">
        <v>1.1102000000000001</v>
      </c>
      <c r="L487">
        <v>368.47480000000002</v>
      </c>
      <c r="M487">
        <v>0.99988449999999995</v>
      </c>
      <c r="N487">
        <v>0</v>
      </c>
      <c r="O487">
        <v>6.0995210000000001E-3</v>
      </c>
      <c r="P487">
        <v>0.99609349999999997</v>
      </c>
      <c r="Q487">
        <v>6.3427810000000001E-2</v>
      </c>
      <c r="R487">
        <v>-6.1440639999999998E-2</v>
      </c>
      <c r="S487">
        <v>3.032715</v>
      </c>
      <c r="T487">
        <v>-0.77930449999999996</v>
      </c>
      <c r="U487">
        <v>-0.46481319999999998</v>
      </c>
      <c r="V487">
        <v>6.7520079999999996E-2</v>
      </c>
      <c r="W487">
        <v>7.7283790000000005E-2</v>
      </c>
      <c r="X487">
        <v>0.99472020000000005</v>
      </c>
      <c r="Y487">
        <v>0.15248729999999999</v>
      </c>
      <c r="Z487">
        <v>-2.0706229999999999E-2</v>
      </c>
      <c r="AA487">
        <v>0.98808850000000004</v>
      </c>
      <c r="AB487">
        <v>26</v>
      </c>
      <c r="AC487">
        <v>0.52200000000004798</v>
      </c>
      <c r="AD487">
        <v>-0.19746259999999999</v>
      </c>
      <c r="AE487">
        <v>-0.119200000000034</v>
      </c>
      <c r="AF487">
        <v>0.107730246427916</v>
      </c>
      <c r="AG487">
        <v>-0.19746259999999999</v>
      </c>
      <c r="AH487">
        <v>0.45885660805209599</v>
      </c>
      <c r="AI487">
        <v>112.730984735737</v>
      </c>
      <c r="AJ487">
        <v>76.787407562677103</v>
      </c>
      <c r="AK487">
        <v>0.51102511792205896</v>
      </c>
      <c r="AL487">
        <v>85.567545217044398</v>
      </c>
      <c r="AM487">
        <v>86.116807060814494</v>
      </c>
      <c r="AN487">
        <v>1.0000000108439999</v>
      </c>
    </row>
    <row r="488" spans="1:40" x14ac:dyDescent="0.25">
      <c r="A488" t="str">
        <f>"20190312154512939"</f>
        <v>20190312154512939</v>
      </c>
      <c r="B488" t="str">
        <f>"1552376712936552"</f>
        <v>1552376712936552</v>
      </c>
      <c r="C488" t="s">
        <v>40</v>
      </c>
      <c r="D488">
        <v>4.3248369999999996</v>
      </c>
      <c r="E488">
        <v>0.53914930000000005</v>
      </c>
      <c r="F488" t="s">
        <v>41</v>
      </c>
      <c r="G488">
        <v>-323.2987</v>
      </c>
      <c r="H488">
        <v>0.91651419999999995</v>
      </c>
      <c r="I488">
        <v>368.35860000000002</v>
      </c>
      <c r="J488">
        <v>-323.78359999999998</v>
      </c>
      <c r="K488">
        <v>1.110198</v>
      </c>
      <c r="L488">
        <v>368.47629999999998</v>
      </c>
      <c r="M488">
        <v>0.99988469999999996</v>
      </c>
      <c r="N488">
        <v>0</v>
      </c>
      <c r="O488">
        <v>6.0896469999999897E-3</v>
      </c>
      <c r="P488">
        <v>0.99609990000000004</v>
      </c>
      <c r="Q488">
        <v>6.3396300000000003E-2</v>
      </c>
      <c r="R488">
        <v>-6.1370090000000002E-2</v>
      </c>
      <c r="S488">
        <v>3.0325929999999999</v>
      </c>
      <c r="T488">
        <v>-0.77944650000000004</v>
      </c>
      <c r="U488">
        <v>-0.46688839999999998</v>
      </c>
      <c r="V488">
        <v>6.7439819999999998E-2</v>
      </c>
      <c r="W488">
        <v>7.7250050000000001E-2</v>
      </c>
      <c r="X488">
        <v>0.99472830000000001</v>
      </c>
      <c r="Y488">
        <v>0.1531226</v>
      </c>
      <c r="Z488">
        <v>-2.0787070000000001E-2</v>
      </c>
      <c r="AA488">
        <v>0.98798850000000005</v>
      </c>
      <c r="AB488">
        <v>26</v>
      </c>
      <c r="AC488">
        <v>0.48489999999998101</v>
      </c>
      <c r="AD488">
        <v>-0.19368379999999999</v>
      </c>
      <c r="AE488">
        <v>-0.11769999999995601</v>
      </c>
      <c r="AF488">
        <v>0.104853020078545</v>
      </c>
      <c r="AG488">
        <v>-0.19368379999999999</v>
      </c>
      <c r="AH488">
        <v>0.42077676237848299</v>
      </c>
      <c r="AI488">
        <v>114.067557657078</v>
      </c>
      <c r="AJ488">
        <v>76.007488217589099</v>
      </c>
      <c r="AK488">
        <v>0.47493226249619003</v>
      </c>
      <c r="AL488">
        <v>85.569484325691406</v>
      </c>
      <c r="AM488">
        <v>86.121440337620498</v>
      </c>
      <c r="AN488">
        <v>1.0000000451837601</v>
      </c>
    </row>
    <row r="489" spans="1:40" x14ac:dyDescent="0.25">
      <c r="A489" t="str">
        <f>"20190312154512960"</f>
        <v>20190312154512960</v>
      </c>
      <c r="B489" t="str">
        <f>"1552376712957048"</f>
        <v>1552376712957048</v>
      </c>
      <c r="C489" t="s">
        <v>40</v>
      </c>
      <c r="D489">
        <v>4.311896</v>
      </c>
      <c r="E489">
        <v>0.53915329999999995</v>
      </c>
      <c r="F489" t="s">
        <v>41</v>
      </c>
      <c r="G489">
        <v>-323.0652</v>
      </c>
      <c r="H489">
        <v>0.92536149999999995</v>
      </c>
      <c r="I489">
        <v>368.36559999999997</v>
      </c>
      <c r="J489">
        <v>-323.53969999999998</v>
      </c>
      <c r="K489">
        <v>1.1101989999999999</v>
      </c>
      <c r="L489">
        <v>368.4778</v>
      </c>
      <c r="M489">
        <v>0.99988469999999996</v>
      </c>
      <c r="N489">
        <v>0</v>
      </c>
      <c r="O489">
        <v>6.0807250000000004E-3</v>
      </c>
      <c r="P489">
        <v>0.99611700000000003</v>
      </c>
      <c r="Q489">
        <v>6.3229069999999998E-2</v>
      </c>
      <c r="R489">
        <v>-6.1263079999999998E-2</v>
      </c>
      <c r="S489">
        <v>3.032654</v>
      </c>
      <c r="T489">
        <v>-0.78027880000000005</v>
      </c>
      <c r="U489">
        <v>-0.4671631</v>
      </c>
      <c r="V489">
        <v>6.7324010000000004E-2</v>
      </c>
      <c r="W489">
        <v>7.7080800000000005E-2</v>
      </c>
      <c r="X489">
        <v>0.9947492</v>
      </c>
      <c r="Y489">
        <v>0.15318609999999999</v>
      </c>
      <c r="Z489">
        <v>-2.0813789999999999E-2</v>
      </c>
      <c r="AA489">
        <v>0.98797820000000003</v>
      </c>
      <c r="AB489">
        <v>26</v>
      </c>
      <c r="AC489">
        <v>0.474499999999977</v>
      </c>
      <c r="AD489">
        <v>-0.18483749999999999</v>
      </c>
      <c r="AE489">
        <v>-0.112200000000029</v>
      </c>
      <c r="AF489">
        <v>0.100623195988283</v>
      </c>
      <c r="AG489">
        <v>-0.18483749999999999</v>
      </c>
      <c r="AH489">
        <v>0.41427452653246399</v>
      </c>
      <c r="AI489">
        <v>113.439893851433</v>
      </c>
      <c r="AJ489">
        <v>76.347795807843895</v>
      </c>
      <c r="AK489">
        <v>0.46466473108128598</v>
      </c>
      <c r="AL489">
        <v>85.5792103103594</v>
      </c>
      <c r="AM489">
        <v>86.128161561334096</v>
      </c>
      <c r="AN489">
        <v>0.99999997147587905</v>
      </c>
    </row>
    <row r="490" spans="1:40" x14ac:dyDescent="0.25">
      <c r="A490" t="str">
        <f>"20190312154512985"</f>
        <v>20190312154512985</v>
      </c>
      <c r="B490" t="str">
        <f>"1552376712977074"</f>
        <v>1552376712977074</v>
      </c>
      <c r="C490" t="s">
        <v>40</v>
      </c>
      <c r="D490">
        <v>4.2438000000000002</v>
      </c>
      <c r="E490">
        <v>0.53911549999999997</v>
      </c>
      <c r="F490" t="s">
        <v>41</v>
      </c>
      <c r="G490">
        <v>-322.83440000000002</v>
      </c>
      <c r="H490">
        <v>0.92851870000000003</v>
      </c>
      <c r="I490">
        <v>368.36900000000003</v>
      </c>
      <c r="J490">
        <v>-323.26069999999999</v>
      </c>
      <c r="K490">
        <v>1.1101989999999999</v>
      </c>
      <c r="L490">
        <v>368.47949999999997</v>
      </c>
      <c r="M490">
        <v>0.99988469999999996</v>
      </c>
      <c r="N490">
        <v>0</v>
      </c>
      <c r="O490">
        <v>6.0700219999999996E-3</v>
      </c>
      <c r="P490">
        <v>0.9961489</v>
      </c>
      <c r="Q490">
        <v>6.3157550000000007E-2</v>
      </c>
      <c r="R490">
        <v>-6.0814970000000003E-2</v>
      </c>
      <c r="S490">
        <v>3.032562</v>
      </c>
      <c r="T490">
        <v>-0.781219</v>
      </c>
      <c r="U490">
        <v>-0.46679690000000001</v>
      </c>
      <c r="V490">
        <v>6.6865419999999995E-2</v>
      </c>
      <c r="W490">
        <v>7.7006619999999998E-2</v>
      </c>
      <c r="X490">
        <v>0.9947859</v>
      </c>
      <c r="Y490">
        <v>0.15305550000000001</v>
      </c>
      <c r="Z490">
        <v>-2.0819710000000002E-2</v>
      </c>
      <c r="AA490">
        <v>0.98799820000000005</v>
      </c>
      <c r="AB490">
        <v>26</v>
      </c>
      <c r="AC490">
        <v>0.42629999999996898</v>
      </c>
      <c r="AD490">
        <v>-0.18168029999999899</v>
      </c>
      <c r="AE490">
        <v>-0.110499999999944</v>
      </c>
      <c r="AF490">
        <v>9.6638571466298701E-2</v>
      </c>
      <c r="AG490">
        <v>-0.18168029999999899</v>
      </c>
      <c r="AH490">
        <v>0.36371865333254699</v>
      </c>
      <c r="AI490">
        <v>115.769314997134</v>
      </c>
      <c r="AJ490">
        <v>75.1205210932944</v>
      </c>
      <c r="AK490">
        <v>0.41789712093430198</v>
      </c>
      <c r="AL490">
        <v>85.583473287641297</v>
      </c>
      <c r="AM490">
        <v>86.154597350207695</v>
      </c>
      <c r="AN490">
        <v>0.99999999537720496</v>
      </c>
    </row>
    <row r="491" spans="1:40" x14ac:dyDescent="0.25">
      <c r="A491" t="str">
        <f>"20190312154513007"</f>
        <v>20190312154513007</v>
      </c>
      <c r="B491" t="str">
        <f>"1552376712996594"</f>
        <v>1552376712996594</v>
      </c>
      <c r="C491" t="s">
        <v>40</v>
      </c>
      <c r="D491">
        <v>4.3074450000000004</v>
      </c>
      <c r="E491">
        <v>0.53910340000000001</v>
      </c>
      <c r="F491" t="s">
        <v>41</v>
      </c>
      <c r="G491">
        <v>-322.39350000000002</v>
      </c>
      <c r="H491">
        <v>0.8867929</v>
      </c>
      <c r="I491">
        <v>368.34629999999999</v>
      </c>
      <c r="J491">
        <v>-323.01620000000003</v>
      </c>
      <c r="K491">
        <v>1.110198</v>
      </c>
      <c r="L491">
        <v>368.48099999999999</v>
      </c>
      <c r="M491">
        <v>0.99988480000000002</v>
      </c>
      <c r="N491">
        <v>0</v>
      </c>
      <c r="O491">
        <v>6.060981E-3</v>
      </c>
      <c r="P491">
        <v>0.9961641</v>
      </c>
      <c r="Q491">
        <v>6.3049499999999994E-2</v>
      </c>
      <c r="R491">
        <v>-6.0677059999999998E-2</v>
      </c>
      <c r="S491">
        <v>3.0326840000000002</v>
      </c>
      <c r="T491">
        <v>-0.78137279999999998</v>
      </c>
      <c r="U491">
        <v>-0.46533200000000002</v>
      </c>
      <c r="V491">
        <v>6.6718669999999994E-2</v>
      </c>
      <c r="W491">
        <v>7.6896320000000004E-2</v>
      </c>
      <c r="X491">
        <v>0.99480429999999997</v>
      </c>
      <c r="Y491">
        <v>0.15258759999999999</v>
      </c>
      <c r="Z491">
        <v>-2.0762340000000001E-2</v>
      </c>
      <c r="AA491">
        <v>0.9880719</v>
      </c>
      <c r="AB491">
        <v>26</v>
      </c>
      <c r="AC491">
        <v>0.62270000000000802</v>
      </c>
      <c r="AD491">
        <v>-0.2234051</v>
      </c>
      <c r="AE491">
        <v>-0.13470000000000901</v>
      </c>
      <c r="AF491">
        <v>0.12330975878747701</v>
      </c>
      <c r="AG491">
        <v>-0.2234051</v>
      </c>
      <c r="AH491">
        <v>0.55377880926485601</v>
      </c>
      <c r="AI491">
        <v>111.4933010897</v>
      </c>
      <c r="AJ491">
        <v>77.446762791166094</v>
      </c>
      <c r="AK491">
        <v>0.60974265465771504</v>
      </c>
      <c r="AL491">
        <v>85.589811872060295</v>
      </c>
      <c r="AM491">
        <v>86.163082401730605</v>
      </c>
      <c r="AN491">
        <v>1.0000000101273001</v>
      </c>
    </row>
    <row r="492" spans="1:40" x14ac:dyDescent="0.25">
      <c r="A492" t="str">
        <f>"20190312154513029"</f>
        <v>20190312154513029</v>
      </c>
      <c r="B492" t="str">
        <f>"1552376713016113"</f>
        <v>1552376713016113</v>
      </c>
      <c r="C492" t="s">
        <v>40</v>
      </c>
      <c r="D492">
        <v>4.2818659999999999</v>
      </c>
      <c r="E492">
        <v>0.53909119999999899</v>
      </c>
      <c r="F492" t="s">
        <v>41</v>
      </c>
      <c r="G492">
        <v>-322.16359999999997</v>
      </c>
      <c r="H492">
        <v>0.89037040000000001</v>
      </c>
      <c r="I492">
        <v>368.3503</v>
      </c>
      <c r="J492">
        <v>-322.76150000000001</v>
      </c>
      <c r="K492">
        <v>1.110196</v>
      </c>
      <c r="L492">
        <v>368.48250000000002</v>
      </c>
      <c r="M492">
        <v>0.99988480000000002</v>
      </c>
      <c r="N492">
        <v>0</v>
      </c>
      <c r="O492">
        <v>6.0517599999999998E-3</v>
      </c>
      <c r="P492">
        <v>0.99616090000000002</v>
      </c>
      <c r="Q492">
        <v>6.3036990000000001E-2</v>
      </c>
      <c r="R492">
        <v>-6.0746929999999998E-2</v>
      </c>
      <c r="S492">
        <v>3.0327760000000001</v>
      </c>
      <c r="T492">
        <v>-0.78193999999999997</v>
      </c>
      <c r="U492">
        <v>-0.46472170000000002</v>
      </c>
      <c r="V492">
        <v>6.6778939999999995E-2</v>
      </c>
      <c r="W492">
        <v>7.6881130000000006E-2</v>
      </c>
      <c r="X492">
        <v>0.99480139999999995</v>
      </c>
      <c r="Y492">
        <v>0.1523795</v>
      </c>
      <c r="Z492">
        <v>-2.0748079999999999E-2</v>
      </c>
      <c r="AA492">
        <v>0.98810419999999999</v>
      </c>
      <c r="AB492">
        <v>26</v>
      </c>
      <c r="AC492">
        <v>0.59790000000003796</v>
      </c>
      <c r="AD492">
        <v>-0.21982559999999901</v>
      </c>
      <c r="AE492">
        <v>-0.132200000000011</v>
      </c>
      <c r="AF492">
        <v>0.1203111276071</v>
      </c>
      <c r="AG492">
        <v>-0.21982559999999901</v>
      </c>
      <c r="AH492">
        <v>0.52892366162566995</v>
      </c>
      <c r="AI492">
        <v>112.06062262840101</v>
      </c>
      <c r="AJ492">
        <v>77.185309821458802</v>
      </c>
      <c r="AK492">
        <v>0.58528480389376003</v>
      </c>
      <c r="AL492">
        <v>85.590684646849198</v>
      </c>
      <c r="AM492">
        <v>86.159615545492102</v>
      </c>
      <c r="AN492">
        <v>0.99999998020977998</v>
      </c>
    </row>
    <row r="493" spans="1:40" x14ac:dyDescent="0.25">
      <c r="A493" t="str">
        <f>"20190312154513052"</f>
        <v>20190312154513052</v>
      </c>
      <c r="B493" t="str">
        <f>"1552376713046370"</f>
        <v>1552376713046370</v>
      </c>
      <c r="C493" t="s">
        <v>40</v>
      </c>
      <c r="D493">
        <v>4.2707369999999996</v>
      </c>
      <c r="E493">
        <v>0.53911509999999996</v>
      </c>
      <c r="F493" t="s">
        <v>41</v>
      </c>
      <c r="G493">
        <v>-321.93290000000002</v>
      </c>
      <c r="H493">
        <v>0.89644460000000004</v>
      </c>
      <c r="I493">
        <v>368.3553</v>
      </c>
      <c r="J493">
        <v>-322.49950000000001</v>
      </c>
      <c r="K493">
        <v>1.110196</v>
      </c>
      <c r="L493">
        <v>368.48399999999998</v>
      </c>
      <c r="M493">
        <v>0.99988500000000002</v>
      </c>
      <c r="N493">
        <v>0</v>
      </c>
      <c r="O493">
        <v>6.0421819999999897E-3</v>
      </c>
      <c r="P493">
        <v>0.99612389999999995</v>
      </c>
      <c r="Q493">
        <v>6.3409950000000007E-2</v>
      </c>
      <c r="R493">
        <v>-6.0961870000000001E-2</v>
      </c>
      <c r="S493">
        <v>3.0327760000000001</v>
      </c>
      <c r="T493">
        <v>-0.78241669999999996</v>
      </c>
      <c r="U493">
        <v>-0.46481319999999998</v>
      </c>
      <c r="V493">
        <v>6.6984429999999998E-2</v>
      </c>
      <c r="W493">
        <v>7.72505E-2</v>
      </c>
      <c r="X493">
        <v>0.99475899999999995</v>
      </c>
      <c r="Y493">
        <v>0.152393</v>
      </c>
      <c r="Z493">
        <v>-2.0759570000000001E-2</v>
      </c>
      <c r="AA493">
        <v>0.98810189999999998</v>
      </c>
      <c r="AB493">
        <v>26</v>
      </c>
      <c r="AC493">
        <v>0.566599999999994</v>
      </c>
      <c r="AD493">
        <v>-0.21375139999999901</v>
      </c>
      <c r="AE493">
        <v>-0.12870000000003701</v>
      </c>
      <c r="AF493">
        <v>0.116372041773043</v>
      </c>
      <c r="AG493">
        <v>-0.21375139999999901</v>
      </c>
      <c r="AH493">
        <v>0.49836477096439702</v>
      </c>
      <c r="AI493">
        <v>112.668817663822</v>
      </c>
      <c r="AJ493">
        <v>76.856500118086402</v>
      </c>
      <c r="AK493">
        <v>0.55461658652332302</v>
      </c>
      <c r="AL493">
        <v>85.569458312878893</v>
      </c>
      <c r="AM493">
        <v>86.147669866081301</v>
      </c>
      <c r="AN493">
        <v>1.0000000108468301</v>
      </c>
    </row>
    <row r="494" spans="1:40" x14ac:dyDescent="0.25">
      <c r="A494" t="str">
        <f>"20190312154513073"</f>
        <v>20190312154513073</v>
      </c>
      <c r="B494" t="str">
        <f>"1552376713066865"</f>
        <v>1552376713066865</v>
      </c>
      <c r="C494" t="s">
        <v>40</v>
      </c>
      <c r="D494">
        <v>4.2299020000000001</v>
      </c>
      <c r="E494">
        <v>0.53912269999999995</v>
      </c>
      <c r="F494" t="s">
        <v>41</v>
      </c>
      <c r="G494">
        <v>-321.70170000000002</v>
      </c>
      <c r="H494">
        <v>0.90451720000000002</v>
      </c>
      <c r="I494">
        <v>368.36160000000001</v>
      </c>
      <c r="J494">
        <v>-322.25360000000001</v>
      </c>
      <c r="K494">
        <v>1.110196</v>
      </c>
      <c r="L494">
        <v>368.48559999999998</v>
      </c>
      <c r="M494">
        <v>0.99988520000000003</v>
      </c>
      <c r="N494">
        <v>0</v>
      </c>
      <c r="O494">
        <v>6.033259E-3</v>
      </c>
      <c r="P494">
        <v>0.99612000000000001</v>
      </c>
      <c r="Q494">
        <v>6.3396569999999999E-2</v>
      </c>
      <c r="R494">
        <v>-6.1040070000000002E-2</v>
      </c>
      <c r="S494">
        <v>3.0329280000000001</v>
      </c>
      <c r="T494">
        <v>-0.78196350000000003</v>
      </c>
      <c r="U494">
        <v>-0.46551510000000001</v>
      </c>
      <c r="V494">
        <v>6.7053710000000002E-2</v>
      </c>
      <c r="W494">
        <v>7.7234819999999996E-2</v>
      </c>
      <c r="X494">
        <v>0.99475559999999996</v>
      </c>
      <c r="Y494">
        <v>0.15260029999999999</v>
      </c>
      <c r="Z494">
        <v>-2.0770469999999999E-2</v>
      </c>
      <c r="AA494">
        <v>0.98806970000000005</v>
      </c>
      <c r="AB494">
        <v>26</v>
      </c>
      <c r="AC494">
        <v>0.55189999999998895</v>
      </c>
      <c r="AD494">
        <v>-0.20567879999999999</v>
      </c>
      <c r="AE494">
        <v>-0.123999999999966</v>
      </c>
      <c r="AF494">
        <v>0.11245936166277901</v>
      </c>
      <c r="AG494">
        <v>-0.20567879999999999</v>
      </c>
      <c r="AH494">
        <v>0.48678325087337998</v>
      </c>
      <c r="AI494">
        <v>112.376128475934</v>
      </c>
      <c r="AJ494">
        <v>76.991441269912798</v>
      </c>
      <c r="AK494">
        <v>0.54028585963903897</v>
      </c>
      <c r="AL494">
        <v>85.570359623634801</v>
      </c>
      <c r="AM494">
        <v>86.143684390654101</v>
      </c>
      <c r="AN494">
        <v>1.00000006058827</v>
      </c>
    </row>
    <row r="495" spans="1:40" x14ac:dyDescent="0.25">
      <c r="A495" t="str">
        <f>"20190312154513094"</f>
        <v>20190312154513094</v>
      </c>
      <c r="B495" t="str">
        <f>"1552376713086896"</f>
        <v>1552376713086896</v>
      </c>
      <c r="C495" t="s">
        <v>40</v>
      </c>
      <c r="D495">
        <v>4.2340960000000001</v>
      </c>
      <c r="E495">
        <v>0.53910400000000003</v>
      </c>
      <c r="F495" t="s">
        <v>41</v>
      </c>
      <c r="G495">
        <v>-321.47239999999999</v>
      </c>
      <c r="H495">
        <v>0.90864599999999995</v>
      </c>
      <c r="I495">
        <v>368.3655</v>
      </c>
      <c r="J495">
        <v>-322.0147</v>
      </c>
      <c r="K495">
        <v>1.110201</v>
      </c>
      <c r="L495">
        <v>368.48700000000002</v>
      </c>
      <c r="M495">
        <v>0.99988520000000003</v>
      </c>
      <c r="N495">
        <v>0</v>
      </c>
      <c r="O495">
        <v>6.024929E-3</v>
      </c>
      <c r="P495">
        <v>0.99610750000000003</v>
      </c>
      <c r="Q495">
        <v>6.3520740000000006E-2</v>
      </c>
      <c r="R495">
        <v>-6.1114330000000001E-2</v>
      </c>
      <c r="S495">
        <v>3.032959</v>
      </c>
      <c r="T495">
        <v>-0.78254009999999996</v>
      </c>
      <c r="U495">
        <v>-0.4657288</v>
      </c>
      <c r="V495">
        <v>6.7119700000000004E-2</v>
      </c>
      <c r="W495">
        <v>7.7356060000000004E-2</v>
      </c>
      <c r="X495">
        <v>0.99474169999999995</v>
      </c>
      <c r="Y495">
        <v>0.15265010000000001</v>
      </c>
      <c r="Z495">
        <v>-2.0789180000000001E-2</v>
      </c>
      <c r="AA495">
        <v>0.98806159999999998</v>
      </c>
      <c r="AB495">
        <v>25</v>
      </c>
      <c r="AC495">
        <v>0.542300000000011</v>
      </c>
      <c r="AD495">
        <v>-0.20155500000000001</v>
      </c>
      <c r="AE495">
        <v>-0.12149999999996899</v>
      </c>
      <c r="AF495">
        <v>0.11026221989521701</v>
      </c>
      <c r="AG495">
        <v>-0.20155500000000001</v>
      </c>
      <c r="AH495">
        <v>0.47860528216669501</v>
      </c>
      <c r="AI495">
        <v>112.312267515809</v>
      </c>
      <c r="AJ495">
        <v>77.026429674400305</v>
      </c>
      <c r="AK495">
        <v>0.530890941040703</v>
      </c>
      <c r="AL495">
        <v>85.563392111560503</v>
      </c>
      <c r="AM495">
        <v>86.139846941808997</v>
      </c>
      <c r="AN495">
        <v>1.0000000319328499</v>
      </c>
    </row>
    <row r="496" spans="1:40" x14ac:dyDescent="0.25">
      <c r="A496" t="str">
        <f>"20190312154513118"</f>
        <v>20190312154513118</v>
      </c>
      <c r="B496" t="str">
        <f>"1552376713106413"</f>
        <v>1552376713106413</v>
      </c>
      <c r="C496" t="s">
        <v>40</v>
      </c>
      <c r="D496">
        <v>4.1698950000000004</v>
      </c>
      <c r="E496">
        <v>0.53908219999999996</v>
      </c>
      <c r="F496" t="s">
        <v>41</v>
      </c>
      <c r="G496">
        <v>-321.2439</v>
      </c>
      <c r="H496">
        <v>0.91141320000000003</v>
      </c>
      <c r="I496">
        <v>368.36869999999999</v>
      </c>
      <c r="J496">
        <v>-321.7439</v>
      </c>
      <c r="K496">
        <v>1.1102000000000001</v>
      </c>
      <c r="L496">
        <v>368.48860000000002</v>
      </c>
      <c r="M496">
        <v>0.99988529999999998</v>
      </c>
      <c r="N496">
        <v>0</v>
      </c>
      <c r="O496">
        <v>6.0155299999999998E-3</v>
      </c>
      <c r="P496">
        <v>0.99607460000000003</v>
      </c>
      <c r="Q496">
        <v>6.3967789999999997E-2</v>
      </c>
      <c r="R496">
        <v>-6.1188550000000001E-2</v>
      </c>
      <c r="S496">
        <v>3.03302</v>
      </c>
      <c r="T496">
        <v>-0.7821342</v>
      </c>
      <c r="U496">
        <v>-0.46633910000000001</v>
      </c>
      <c r="V496">
        <v>6.7184220000000003E-2</v>
      </c>
      <c r="W496">
        <v>7.7799610000000005E-2</v>
      </c>
      <c r="X496">
        <v>0.99470270000000005</v>
      </c>
      <c r="Y496">
        <v>0.1528321</v>
      </c>
      <c r="Z496">
        <v>-2.0798629999999999E-2</v>
      </c>
      <c r="AA496">
        <v>0.9880333</v>
      </c>
      <c r="AB496">
        <v>25</v>
      </c>
      <c r="AC496">
        <v>0.5</v>
      </c>
      <c r="AD496">
        <v>-0.19878680000000001</v>
      </c>
      <c r="AE496">
        <v>-0.119900000000029</v>
      </c>
      <c r="AF496">
        <v>0.10692399306839</v>
      </c>
      <c r="AG496">
        <v>-0.19878680000000001</v>
      </c>
      <c r="AH496">
        <v>0.43434780224216502</v>
      </c>
      <c r="AI496">
        <v>113.960361637567</v>
      </c>
      <c r="AJ496">
        <v>76.170402408159106</v>
      </c>
      <c r="AK496">
        <v>0.48949662456499998</v>
      </c>
      <c r="AL496">
        <v>85.5379015168878</v>
      </c>
      <c r="AM496">
        <v>86.135996501921696</v>
      </c>
      <c r="AN496">
        <v>0.99999998006022495</v>
      </c>
    </row>
    <row r="497" spans="1:40" x14ac:dyDescent="0.25">
      <c r="A497" t="str">
        <f>"20190312154513139"</f>
        <v>20190312154513139</v>
      </c>
      <c r="B497" t="str">
        <f>"1552376713136668"</f>
        <v>1552376713136668</v>
      </c>
      <c r="C497" t="s">
        <v>40</v>
      </c>
      <c r="D497">
        <v>4.1757629999999999</v>
      </c>
      <c r="E497">
        <v>0.53906509999999996</v>
      </c>
      <c r="F497" t="s">
        <v>41</v>
      </c>
      <c r="G497">
        <v>-321.01240000000001</v>
      </c>
      <c r="H497">
        <v>0.92196299999999998</v>
      </c>
      <c r="I497">
        <v>368.37599999999998</v>
      </c>
      <c r="J497">
        <v>-321.50360000000001</v>
      </c>
      <c r="K497">
        <v>1.1102000000000001</v>
      </c>
      <c r="L497">
        <v>368.49009999999998</v>
      </c>
      <c r="M497">
        <v>0.99988529999999998</v>
      </c>
      <c r="N497">
        <v>0</v>
      </c>
      <c r="O497">
        <v>6.0064339999999997E-3</v>
      </c>
      <c r="P497">
        <v>0.99605909999999998</v>
      </c>
      <c r="Q497">
        <v>6.3896629999999996E-2</v>
      </c>
      <c r="R497">
        <v>-6.1510860000000001E-2</v>
      </c>
      <c r="S497">
        <v>3.033325</v>
      </c>
      <c r="T497">
        <v>-0.78060229999999997</v>
      </c>
      <c r="U497">
        <v>-0.46621699999999999</v>
      </c>
      <c r="V497">
        <v>6.7497500000000002E-2</v>
      </c>
      <c r="W497">
        <v>7.7725920000000004E-2</v>
      </c>
      <c r="X497">
        <v>0.99468730000000005</v>
      </c>
      <c r="Y497">
        <v>0.1527915</v>
      </c>
      <c r="Z497">
        <v>-2.074981E-2</v>
      </c>
      <c r="AA497">
        <v>0.98804060000000005</v>
      </c>
      <c r="AB497">
        <v>25</v>
      </c>
      <c r="AC497">
        <v>0.49119999999999198</v>
      </c>
      <c r="AD497">
        <v>-0.18823699999999999</v>
      </c>
      <c r="AE497">
        <v>-0.114100000000007</v>
      </c>
      <c r="AF497">
        <v>0.102733843601783</v>
      </c>
      <c r="AG497">
        <v>-0.18823699999999999</v>
      </c>
      <c r="AH497">
        <v>0.430518137847889</v>
      </c>
      <c r="AI497">
        <v>113.039682184778</v>
      </c>
      <c r="AJ497">
        <v>76.578597991934501</v>
      </c>
      <c r="AK497">
        <v>0.48097118188744897</v>
      </c>
      <c r="AL497">
        <v>85.542136680832996</v>
      </c>
      <c r="AM497">
        <v>86.1179736993939</v>
      </c>
      <c r="AN497">
        <v>1.00000002796369</v>
      </c>
    </row>
    <row r="498" spans="1:40" x14ac:dyDescent="0.25">
      <c r="A498" t="str">
        <f>"20190312154513163"</f>
        <v>20190312154513163</v>
      </c>
      <c r="B498" t="str">
        <f>"1552376713156190"</f>
        <v>1552376713156190</v>
      </c>
      <c r="C498" t="s">
        <v>40</v>
      </c>
      <c r="D498">
        <v>4.1840799999999998</v>
      </c>
      <c r="E498">
        <v>0.53905400000000003</v>
      </c>
      <c r="F498" t="s">
        <v>41</v>
      </c>
      <c r="G498">
        <v>-320.7842</v>
      </c>
      <c r="H498">
        <v>0.92488289999999995</v>
      </c>
      <c r="I498">
        <v>368.37950000000001</v>
      </c>
      <c r="J498">
        <v>-321.23509999999999</v>
      </c>
      <c r="K498">
        <v>1.1101970000000001</v>
      </c>
      <c r="L498">
        <v>368.49169999999998</v>
      </c>
      <c r="M498">
        <v>0.99988540000000004</v>
      </c>
      <c r="N498">
        <v>0</v>
      </c>
      <c r="O498">
        <v>5.9959119999999999E-3</v>
      </c>
      <c r="P498">
        <v>0.9960601</v>
      </c>
      <c r="Q498">
        <v>6.4075259999999995E-2</v>
      </c>
      <c r="R498">
        <v>-6.13094E-2</v>
      </c>
      <c r="S498">
        <v>3.0331730000000001</v>
      </c>
      <c r="T498">
        <v>-0.78131709999999999</v>
      </c>
      <c r="U498">
        <v>-0.46710210000000002</v>
      </c>
      <c r="V498">
        <v>6.7285360000000002E-2</v>
      </c>
      <c r="W498">
        <v>7.7901819999999997E-2</v>
      </c>
      <c r="X498">
        <v>0.99468789999999996</v>
      </c>
      <c r="Y498">
        <v>0.15305279999999999</v>
      </c>
      <c r="Z498">
        <v>-2.0799060000000001E-2</v>
      </c>
      <c r="AA498">
        <v>0.98799910000000002</v>
      </c>
      <c r="AB498">
        <v>25</v>
      </c>
      <c r="AC498">
        <v>0.45089999999998998</v>
      </c>
      <c r="AD498">
        <v>-0.18531409999999901</v>
      </c>
      <c r="AE498">
        <v>-0.112199999999973</v>
      </c>
      <c r="AF498">
        <v>9.9133483173686102E-2</v>
      </c>
      <c r="AG498">
        <v>-0.18531409999999901</v>
      </c>
      <c r="AH498">
        <v>0.38843417593596402</v>
      </c>
      <c r="AI498">
        <v>114.809345557344</v>
      </c>
      <c r="AJ498">
        <v>75.682985442940193</v>
      </c>
      <c r="AK498">
        <v>0.44164450883035899</v>
      </c>
      <c r="AL498">
        <v>85.532027647716205</v>
      </c>
      <c r="AM498">
        <v>86.130139837637202</v>
      </c>
      <c r="AN498">
        <v>1.00000001581802</v>
      </c>
    </row>
    <row r="499" spans="1:40" x14ac:dyDescent="0.25">
      <c r="A499" t="str">
        <f>"20190312154513185"</f>
        <v>20190312154513185</v>
      </c>
      <c r="B499" t="str">
        <f>"1552376713176956"</f>
        <v>1552376713176956</v>
      </c>
      <c r="C499" t="s">
        <v>40</v>
      </c>
      <c r="D499">
        <v>4.1531379999999896</v>
      </c>
      <c r="E499">
        <v>0.53903290000000004</v>
      </c>
      <c r="F499" t="s">
        <v>41</v>
      </c>
      <c r="G499">
        <v>-320.55329999999998</v>
      </c>
      <c r="H499">
        <v>0.9347316</v>
      </c>
      <c r="I499">
        <v>368.38670000000002</v>
      </c>
      <c r="J499">
        <v>-320.98660000000001</v>
      </c>
      <c r="K499">
        <v>1.109993</v>
      </c>
      <c r="L499">
        <v>368.49310000000003</v>
      </c>
      <c r="M499">
        <v>0.9998956</v>
      </c>
      <c r="N499">
        <v>0</v>
      </c>
      <c r="O499">
        <v>5.9856379999999997E-3</v>
      </c>
      <c r="P499">
        <v>0.99600049999999996</v>
      </c>
      <c r="Q499">
        <v>6.5139610000000001E-2</v>
      </c>
      <c r="R499">
        <v>-6.1152789999999999E-2</v>
      </c>
      <c r="S499">
        <v>3.033417</v>
      </c>
      <c r="T499">
        <v>-0.78075919999999999</v>
      </c>
      <c r="U499">
        <v>-0.46633910000000001</v>
      </c>
      <c r="V499">
        <v>6.7118419999999998E-2</v>
      </c>
      <c r="W499">
        <v>7.823078E-2</v>
      </c>
      <c r="X499">
        <v>0.99467340000000004</v>
      </c>
      <c r="Y499">
        <v>0.15280389999999999</v>
      </c>
      <c r="Z499">
        <v>-2.0749489999999999E-2</v>
      </c>
      <c r="AA499">
        <v>0.98803869999999905</v>
      </c>
      <c r="AB499">
        <v>25</v>
      </c>
      <c r="AC499">
        <v>0.43330000000003099</v>
      </c>
      <c r="AD499">
        <v>-0.17526140000000001</v>
      </c>
      <c r="AE499">
        <v>-0.106400000000007</v>
      </c>
      <c r="AF499">
        <v>9.4422469642922599E-2</v>
      </c>
      <c r="AG499">
        <v>-0.17526140000000001</v>
      </c>
      <c r="AH499">
        <v>0.374820374244965</v>
      </c>
      <c r="AI499">
        <v>114.39057478148101</v>
      </c>
      <c r="AJ499">
        <v>75.860594142449997</v>
      </c>
      <c r="AK499">
        <v>0.42440838122328001</v>
      </c>
      <c r="AL499">
        <v>85.513122107222898</v>
      </c>
      <c r="AM499">
        <v>86.139656080050898</v>
      </c>
      <c r="AN499">
        <v>1.00000005495513</v>
      </c>
    </row>
    <row r="500" spans="1:40" x14ac:dyDescent="0.25">
      <c r="A500" t="str">
        <f>"20190312154513207"</f>
        <v>20190312154513207</v>
      </c>
      <c r="B500" t="str">
        <f>"1552376713196476"</f>
        <v>1552376713196476</v>
      </c>
      <c r="C500" t="s">
        <v>40</v>
      </c>
      <c r="D500">
        <v>4.1681019999999904</v>
      </c>
      <c r="E500">
        <v>0.5390163</v>
      </c>
      <c r="F500" t="s">
        <v>41</v>
      </c>
      <c r="G500">
        <v>-320.1148</v>
      </c>
      <c r="H500">
        <v>0.88663780000000003</v>
      </c>
      <c r="I500">
        <v>368.35910000000001</v>
      </c>
      <c r="J500">
        <v>-320.73360000000002</v>
      </c>
      <c r="K500">
        <v>1.1097509999999999</v>
      </c>
      <c r="L500">
        <v>368.49470000000002</v>
      </c>
      <c r="M500">
        <v>0.99990109999999999</v>
      </c>
      <c r="N500">
        <v>0</v>
      </c>
      <c r="O500">
        <v>5.975139E-3</v>
      </c>
      <c r="P500">
        <v>0.99599349999999998</v>
      </c>
      <c r="Q500">
        <v>6.5344139999999995E-2</v>
      </c>
      <c r="R500">
        <v>-6.1052330000000002E-2</v>
      </c>
      <c r="S500">
        <v>3.0342709999999999</v>
      </c>
      <c r="T500">
        <v>-0.77735209999999999</v>
      </c>
      <c r="U500">
        <v>-0.46582030000000002</v>
      </c>
      <c r="V500">
        <v>6.7007150000000001E-2</v>
      </c>
      <c r="W500">
        <v>7.8010689999999994E-2</v>
      </c>
      <c r="X500">
        <v>0.99469810000000003</v>
      </c>
      <c r="Y500">
        <v>0.1526382</v>
      </c>
      <c r="Z500">
        <v>-2.063301E-2</v>
      </c>
      <c r="AA500">
        <v>0.98806669999999996</v>
      </c>
      <c r="AB500">
        <v>26</v>
      </c>
      <c r="AC500">
        <v>0.618800000000021</v>
      </c>
      <c r="AD500">
        <v>-0.22311319999999901</v>
      </c>
      <c r="AE500">
        <v>-0.13560000000000999</v>
      </c>
      <c r="AF500">
        <v>0.12392319768142999</v>
      </c>
      <c r="AG500">
        <v>-0.22311319999999901</v>
      </c>
      <c r="AH500">
        <v>0.54978089167428601</v>
      </c>
      <c r="AI500">
        <v>111.598097287054</v>
      </c>
      <c r="AJ500">
        <v>77.297548056380904</v>
      </c>
      <c r="AK500">
        <v>0.60613157630006698</v>
      </c>
      <c r="AL500">
        <v>85.525770601108107</v>
      </c>
      <c r="AM500">
        <v>86.146131930212704</v>
      </c>
      <c r="AN500">
        <v>0.99999996802450297</v>
      </c>
    </row>
    <row r="501" spans="1:40" x14ac:dyDescent="0.25">
      <c r="A501" t="str">
        <f>"20190312154513230"</f>
        <v>20190312154513230</v>
      </c>
      <c r="B501" t="str">
        <f>"1552376713226732"</f>
        <v>1552376713226732</v>
      </c>
      <c r="C501" t="s">
        <v>40</v>
      </c>
      <c r="D501">
        <v>4.1409050000000001</v>
      </c>
      <c r="E501">
        <v>0.53897949999999994</v>
      </c>
      <c r="F501" t="s">
        <v>41</v>
      </c>
      <c r="G501">
        <v>-319.88400000000001</v>
      </c>
      <c r="H501">
        <v>0.89229040000000004</v>
      </c>
      <c r="I501">
        <v>368.36439999999999</v>
      </c>
      <c r="J501">
        <v>-320.46859999999998</v>
      </c>
      <c r="K501">
        <v>1.1094599999999999</v>
      </c>
      <c r="L501">
        <v>368.49619999999999</v>
      </c>
      <c r="M501">
        <v>0.99989689999999998</v>
      </c>
      <c r="N501">
        <v>0</v>
      </c>
      <c r="O501">
        <v>5.9648779999999998E-3</v>
      </c>
      <c r="P501">
        <v>0.99604110000000001</v>
      </c>
      <c r="Q501">
        <v>6.4723749999999997E-2</v>
      </c>
      <c r="R501">
        <v>-6.0940269999999998E-2</v>
      </c>
      <c r="S501">
        <v>3.0345759999999999</v>
      </c>
      <c r="T501">
        <v>-0.77667390000000003</v>
      </c>
      <c r="U501">
        <v>-0.46536250000000001</v>
      </c>
      <c r="V501">
        <v>6.6884990000000005E-2</v>
      </c>
      <c r="W501">
        <v>7.7727820000000003E-2</v>
      </c>
      <c r="X501">
        <v>0.99472850000000002</v>
      </c>
      <c r="Y501">
        <v>0.15248220000000001</v>
      </c>
      <c r="Z501">
        <v>-2.0591700000000001E-2</v>
      </c>
      <c r="AA501">
        <v>0.98809159999999996</v>
      </c>
      <c r="AB501">
        <v>26</v>
      </c>
      <c r="AC501">
        <v>0.58459999999996604</v>
      </c>
      <c r="AD501">
        <v>-0.21716959999999999</v>
      </c>
      <c r="AE501">
        <v>-0.131799999999998</v>
      </c>
      <c r="AF501">
        <v>0.119581011123871</v>
      </c>
      <c r="AG501">
        <v>-0.21716959999999999</v>
      </c>
      <c r="AH501">
        <v>0.51603493187793903</v>
      </c>
      <c r="AI501">
        <v>112.292600638525</v>
      </c>
      <c r="AJ501">
        <v>76.953104621406794</v>
      </c>
      <c r="AK501">
        <v>0.57249830069951901</v>
      </c>
      <c r="AL501">
        <v>85.542027373878298</v>
      </c>
      <c r="AM501">
        <v>86.153253971531299</v>
      </c>
      <c r="AN501">
        <v>1.00000000230075</v>
      </c>
    </row>
    <row r="502" spans="1:40" x14ac:dyDescent="0.25">
      <c r="A502" t="str">
        <f>"20190312154513253"</f>
        <v>20190312154513253</v>
      </c>
      <c r="B502" t="str">
        <f>"1552376713246252"</f>
        <v>1552376713246252</v>
      </c>
      <c r="C502" t="s">
        <v>40</v>
      </c>
      <c r="D502">
        <v>4.1695169999999999</v>
      </c>
      <c r="E502">
        <v>0.53889909999999996</v>
      </c>
      <c r="F502" t="s">
        <v>41</v>
      </c>
      <c r="G502">
        <v>-319.65269999999998</v>
      </c>
      <c r="H502">
        <v>0.90017369999999997</v>
      </c>
      <c r="I502">
        <v>368.37110000000001</v>
      </c>
      <c r="J502">
        <v>-320.214</v>
      </c>
      <c r="K502">
        <v>1.108962</v>
      </c>
      <c r="L502">
        <v>368.49770000000001</v>
      </c>
      <c r="M502">
        <v>0.99988699999999997</v>
      </c>
      <c r="N502">
        <v>0</v>
      </c>
      <c r="O502">
        <v>5.9558479999999997E-3</v>
      </c>
      <c r="P502">
        <v>0.99607389999999996</v>
      </c>
      <c r="Q502">
        <v>6.4393039999999999E-2</v>
      </c>
      <c r="R502">
        <v>-6.074972E-2</v>
      </c>
      <c r="S502">
        <v>3.0340579999999999</v>
      </c>
      <c r="T502">
        <v>-0.77824130000000002</v>
      </c>
      <c r="U502">
        <v>-0.46478269999999999</v>
      </c>
      <c r="V502">
        <v>6.6686019999999999E-2</v>
      </c>
      <c r="W502">
        <v>7.8126199999999896E-2</v>
      </c>
      <c r="X502">
        <v>0.9947106</v>
      </c>
      <c r="Y502">
        <v>0.1522985</v>
      </c>
      <c r="Z502">
        <v>-2.061033E-2</v>
      </c>
      <c r="AA502">
        <v>0.98811959999999999</v>
      </c>
      <c r="AB502">
        <v>26</v>
      </c>
      <c r="AC502">
        <v>0.56130000000001701</v>
      </c>
      <c r="AD502">
        <v>-0.20878830000000001</v>
      </c>
      <c r="AE502">
        <v>-0.12659999999999599</v>
      </c>
      <c r="AF502">
        <v>0.114822863353058</v>
      </c>
      <c r="AG502">
        <v>-0.20878830000000001</v>
      </c>
      <c r="AH502">
        <v>0.49531940923843998</v>
      </c>
      <c r="AI502">
        <v>112.32469559138799</v>
      </c>
      <c r="AJ502">
        <v>76.948464359011894</v>
      </c>
      <c r="AK502">
        <v>0.54965276432835497</v>
      </c>
      <c r="AL502">
        <v>85.519132037578402</v>
      </c>
      <c r="AM502">
        <v>86.164594286507693</v>
      </c>
      <c r="AN502">
        <v>0.999999953071119</v>
      </c>
    </row>
    <row r="503" spans="1:40" x14ac:dyDescent="0.25">
      <c r="A503" t="str">
        <f>"20190312154513274"</f>
        <v>20190312154513274</v>
      </c>
      <c r="B503" t="str">
        <f>"1552376713266748"</f>
        <v>1552376713266748</v>
      </c>
      <c r="C503" t="s">
        <v>40</v>
      </c>
      <c r="D503">
        <v>4.1392309999999997</v>
      </c>
      <c r="E503">
        <v>0.53888009999999997</v>
      </c>
      <c r="F503" t="s">
        <v>41</v>
      </c>
      <c r="G503">
        <v>-319.42230000000001</v>
      </c>
      <c r="H503">
        <v>0.90568820000000005</v>
      </c>
      <c r="I503">
        <v>368.37670000000003</v>
      </c>
      <c r="J503">
        <v>-319.96519999999998</v>
      </c>
      <c r="K503">
        <v>1.1082050000000001</v>
      </c>
      <c r="L503">
        <v>368.49919999999997</v>
      </c>
      <c r="M503">
        <v>0.99987329999999996</v>
      </c>
      <c r="N503">
        <v>0</v>
      </c>
      <c r="O503">
        <v>5.947379E-3</v>
      </c>
      <c r="P503">
        <v>0.99612279999999997</v>
      </c>
      <c r="Q503">
        <v>6.3451279999999999E-2</v>
      </c>
      <c r="R503">
        <v>-6.0940000000000001E-2</v>
      </c>
      <c r="S503">
        <v>3.0339360000000002</v>
      </c>
      <c r="T503">
        <v>-0.77897139999999998</v>
      </c>
      <c r="U503">
        <v>-0.46359250000000002</v>
      </c>
      <c r="V503">
        <v>6.6868399999999995E-2</v>
      </c>
      <c r="W503">
        <v>7.8145690000000004E-2</v>
      </c>
      <c r="X503">
        <v>0.99469689999999999</v>
      </c>
      <c r="Y503">
        <v>0.15191969999999999</v>
      </c>
      <c r="Z503">
        <v>-2.0580749999999998E-2</v>
      </c>
      <c r="AA503">
        <v>0.98817860000000002</v>
      </c>
      <c r="AB503">
        <v>25</v>
      </c>
      <c r="AC503">
        <v>0.54289999999997396</v>
      </c>
      <c r="AD503">
        <v>-0.202516799999999</v>
      </c>
      <c r="AE503">
        <v>-0.122499999999945</v>
      </c>
      <c r="AF503">
        <v>0.111026215472343</v>
      </c>
      <c r="AG503">
        <v>-0.202516799999999</v>
      </c>
      <c r="AH503">
        <v>0.478768765072627</v>
      </c>
      <c r="AI503">
        <v>112.394616509792</v>
      </c>
      <c r="AJ503">
        <v>76.943915633945593</v>
      </c>
      <c r="AK503">
        <v>0.53156317142322695</v>
      </c>
      <c r="AL503">
        <v>85.518012251751202</v>
      </c>
      <c r="AM503">
        <v>86.154083437668007</v>
      </c>
      <c r="AN503">
        <v>1.0000000273268701</v>
      </c>
    </row>
    <row r="504" spans="1:40" x14ac:dyDescent="0.25">
      <c r="A504" t="str">
        <f>"20190312154513296"</f>
        <v>20190312154513296</v>
      </c>
      <c r="B504" t="str">
        <f>"1552376713286776"</f>
        <v>1552376713286776</v>
      </c>
      <c r="C504" t="s">
        <v>40</v>
      </c>
      <c r="D504">
        <v>4.1431690000000003</v>
      </c>
      <c r="E504">
        <v>0.53884690000000002</v>
      </c>
      <c r="F504" t="s">
        <v>41</v>
      </c>
      <c r="G504">
        <v>-319.19279999999998</v>
      </c>
      <c r="H504">
        <v>0.90915060000000003</v>
      </c>
      <c r="I504">
        <v>368.3809</v>
      </c>
      <c r="J504">
        <v>-319.71539999999999</v>
      </c>
      <c r="K504">
        <v>1.107216</v>
      </c>
      <c r="L504">
        <v>368.50069999999999</v>
      </c>
      <c r="M504">
        <v>0.99985179999999996</v>
      </c>
      <c r="N504">
        <v>0</v>
      </c>
      <c r="O504">
        <v>5.9412249999999996E-3</v>
      </c>
      <c r="P504">
        <v>0.99618830000000003</v>
      </c>
      <c r="Q504">
        <v>6.209754E-2</v>
      </c>
      <c r="R504">
        <v>-6.126243E-2</v>
      </c>
      <c r="S504">
        <v>3.0330810000000001</v>
      </c>
      <c r="T504">
        <v>-0.78169140000000004</v>
      </c>
      <c r="U504">
        <v>-0.46405030000000003</v>
      </c>
      <c r="V504">
        <v>6.7185190000000006E-2</v>
      </c>
      <c r="W504">
        <v>7.8176120000000002E-2</v>
      </c>
      <c r="X504">
        <v>0.99467309999999998</v>
      </c>
      <c r="Y504">
        <v>0.15205969999999999</v>
      </c>
      <c r="Z504">
        <v>-2.0671849999999999E-2</v>
      </c>
      <c r="AA504">
        <v>0.98815509999999995</v>
      </c>
      <c r="AB504">
        <v>25</v>
      </c>
      <c r="AC504">
        <v>0.52260000000001094</v>
      </c>
      <c r="AD504">
        <v>-0.1980654</v>
      </c>
      <c r="AE504">
        <v>-0.11979999999999701</v>
      </c>
      <c r="AF504">
        <v>0.108144719557437</v>
      </c>
      <c r="AG504">
        <v>-0.1980654</v>
      </c>
      <c r="AH504">
        <v>0.459210674341062</v>
      </c>
      <c r="AI504">
        <v>112.774224516266</v>
      </c>
      <c r="AJ504">
        <v>76.7482316165095</v>
      </c>
      <c r="AK504">
        <v>0.51166358720754102</v>
      </c>
      <c r="AL504">
        <v>85.516263114058304</v>
      </c>
      <c r="AM504">
        <v>86.135826242452595</v>
      </c>
      <c r="AN504">
        <v>0.99999996567859895</v>
      </c>
    </row>
    <row r="505" spans="1:40" x14ac:dyDescent="0.25">
      <c r="A505" t="str">
        <f>"20190312154513318"</f>
        <v>20190312154513318</v>
      </c>
      <c r="B505" t="str">
        <f>"1552376713306297"</f>
        <v>1552376713306297</v>
      </c>
      <c r="C505" t="s">
        <v>40</v>
      </c>
      <c r="D505">
        <v>4.1543739999999998</v>
      </c>
      <c r="E505">
        <v>0.53880509999999904</v>
      </c>
      <c r="F505" t="s">
        <v>41</v>
      </c>
      <c r="G505">
        <v>-318.96420000000001</v>
      </c>
      <c r="H505">
        <v>0.91252829999999996</v>
      </c>
      <c r="I505">
        <v>368.38549999999998</v>
      </c>
      <c r="J505">
        <v>-319.46140000000003</v>
      </c>
      <c r="K505">
        <v>1.1060209999999999</v>
      </c>
      <c r="L505">
        <v>368.50220000000002</v>
      </c>
      <c r="M505">
        <v>0.99982110000000002</v>
      </c>
      <c r="N505">
        <v>0</v>
      </c>
      <c r="O505">
        <v>5.9340560000000001E-3</v>
      </c>
      <c r="P505">
        <v>0.99630399999999997</v>
      </c>
      <c r="Q505">
        <v>6.0100830000000001E-2</v>
      </c>
      <c r="R505">
        <v>-6.1372669999999997E-2</v>
      </c>
      <c r="S505">
        <v>3.0318909999999999</v>
      </c>
      <c r="T505">
        <v>-0.78584860000000001</v>
      </c>
      <c r="U505">
        <v>-0.46447749999999999</v>
      </c>
      <c r="V505">
        <v>6.728932E-2</v>
      </c>
      <c r="W505">
        <v>7.7980729999999998E-2</v>
      </c>
      <c r="X505">
        <v>0.99468140000000005</v>
      </c>
      <c r="Y505">
        <v>0.15218619999999999</v>
      </c>
      <c r="Z505">
        <v>-2.0800200000000001E-2</v>
      </c>
      <c r="AA505">
        <v>0.98813300000000004</v>
      </c>
      <c r="AB505">
        <v>25</v>
      </c>
      <c r="AC505">
        <v>0.49720000000002001</v>
      </c>
      <c r="AD505">
        <v>-0.19349269999999899</v>
      </c>
      <c r="AE505">
        <v>-0.116700000000037</v>
      </c>
      <c r="AF505">
        <v>0.104630087598404</v>
      </c>
      <c r="AG505">
        <v>-0.19349269999999899</v>
      </c>
      <c r="AH505">
        <v>0.43417635961633499</v>
      </c>
      <c r="AI505">
        <v>113.424761616935</v>
      </c>
      <c r="AJ505">
        <v>76.450903836055701</v>
      </c>
      <c r="AK505">
        <v>0.48671962302113198</v>
      </c>
      <c r="AL505">
        <v>85.527492424105802</v>
      </c>
      <c r="AM505">
        <v>86.129887560484505</v>
      </c>
      <c r="AN505">
        <v>0.99999996717167705</v>
      </c>
    </row>
    <row r="506" spans="1:40" x14ac:dyDescent="0.25">
      <c r="A506" t="str">
        <f>"20190312154513341"</f>
        <v>20190312154513341</v>
      </c>
      <c r="B506" t="str">
        <f>"1552376713336553"</f>
        <v>1552376713336553</v>
      </c>
      <c r="C506" t="s">
        <v>40</v>
      </c>
      <c r="D506">
        <v>4.1118350000000001</v>
      </c>
      <c r="E506">
        <v>0.53878789999999999</v>
      </c>
      <c r="F506" t="s">
        <v>41</v>
      </c>
      <c r="G506">
        <v>-318.73610000000002</v>
      </c>
      <c r="H506">
        <v>0.91646620000000001</v>
      </c>
      <c r="I506">
        <v>368.39069999999998</v>
      </c>
      <c r="J506">
        <v>-319.21440000000001</v>
      </c>
      <c r="K506">
        <v>1.1046609999999999</v>
      </c>
      <c r="L506">
        <v>368.50360000000001</v>
      </c>
      <c r="M506">
        <v>0.99978630000000002</v>
      </c>
      <c r="N506">
        <v>0</v>
      </c>
      <c r="O506">
        <v>5.925273E-3</v>
      </c>
      <c r="P506">
        <v>0.99638130000000003</v>
      </c>
      <c r="Q506">
        <v>5.835274E-2</v>
      </c>
      <c r="R506">
        <v>-6.1800880000000002E-2</v>
      </c>
      <c r="S506">
        <v>3.0302730000000002</v>
      </c>
      <c r="T506">
        <v>-0.79193999999999998</v>
      </c>
      <c r="U506">
        <v>-0.46469120000000003</v>
      </c>
      <c r="V506">
        <v>6.7709240000000004E-2</v>
      </c>
      <c r="W506">
        <v>7.8061549999999993E-2</v>
      </c>
      <c r="X506">
        <v>0.99464660000000005</v>
      </c>
      <c r="Y506">
        <v>0.15223970000000001</v>
      </c>
      <c r="Z506">
        <v>-2.097156E-2</v>
      </c>
      <c r="AA506">
        <v>0.98812109999999997</v>
      </c>
      <c r="AB506">
        <v>25</v>
      </c>
      <c r="AC506">
        <v>0.47829999999999001</v>
      </c>
      <c r="AD506">
        <v>-0.1881948</v>
      </c>
      <c r="AE506">
        <v>-0.112900000000024</v>
      </c>
      <c r="AF506">
        <v>0.10093153543233301</v>
      </c>
      <c r="AG506">
        <v>-0.1881948</v>
      </c>
      <c r="AH506">
        <v>0.41653915835646699</v>
      </c>
      <c r="AI506">
        <v>113.706229705447</v>
      </c>
      <c r="AJ506">
        <v>76.3791964195904</v>
      </c>
      <c r="AK506">
        <v>0.46809115355460701</v>
      </c>
      <c r="AL506">
        <v>85.522847780294796</v>
      </c>
      <c r="AM506">
        <v>86.105674317947305</v>
      </c>
      <c r="AN506">
        <v>1.0000000028306699</v>
      </c>
    </row>
    <row r="507" spans="1:40" x14ac:dyDescent="0.25">
      <c r="A507" t="str">
        <f>"20190312154513364"</f>
        <v>20190312154513364</v>
      </c>
      <c r="B507" t="str">
        <f>"1552376713357049"</f>
        <v>1552376713357049</v>
      </c>
      <c r="C507" t="s">
        <v>40</v>
      </c>
      <c r="D507">
        <v>4.1645479999999999</v>
      </c>
      <c r="E507">
        <v>0.53874460000000002</v>
      </c>
      <c r="F507" t="s">
        <v>41</v>
      </c>
      <c r="G507">
        <v>-318.50889999999998</v>
      </c>
      <c r="H507">
        <v>0.9189737</v>
      </c>
      <c r="I507">
        <v>368.39510000000001</v>
      </c>
      <c r="J507">
        <v>-318.95490000000001</v>
      </c>
      <c r="K507">
        <v>1.103073</v>
      </c>
      <c r="L507">
        <v>368.5052</v>
      </c>
      <c r="M507">
        <v>0.99975000000000003</v>
      </c>
      <c r="N507">
        <v>0</v>
      </c>
      <c r="O507">
        <v>5.9139910000000004E-3</v>
      </c>
      <c r="P507">
        <v>0.99645899999999998</v>
      </c>
      <c r="Q507">
        <v>5.656125E-2</v>
      </c>
      <c r="R507">
        <v>-6.2213249999999998E-2</v>
      </c>
      <c r="S507">
        <v>3.0286559999999998</v>
      </c>
      <c r="T507">
        <v>-0.79720899999999995</v>
      </c>
      <c r="U507">
        <v>-0.46575929999999999</v>
      </c>
      <c r="V507">
        <v>6.8111030000000003E-2</v>
      </c>
      <c r="W507">
        <v>7.8025410000000003E-2</v>
      </c>
      <c r="X507">
        <v>0.99462200000000001</v>
      </c>
      <c r="Y507">
        <v>0.15256449999999999</v>
      </c>
      <c r="Z507">
        <v>-2.1155779999999999E-2</v>
      </c>
      <c r="AA507">
        <v>0.98806700000000003</v>
      </c>
      <c r="AB507">
        <v>25</v>
      </c>
      <c r="AC507">
        <v>0.44600000000002599</v>
      </c>
      <c r="AD507">
        <v>-0.18409929999999999</v>
      </c>
      <c r="AE507">
        <v>-0.110099999999988</v>
      </c>
      <c r="AF507">
        <v>9.7136306331655695E-2</v>
      </c>
      <c r="AG507">
        <v>-0.18409929999999999</v>
      </c>
      <c r="AH507">
        <v>0.38371634638347402</v>
      </c>
      <c r="AI507">
        <v>114.94352952879601</v>
      </c>
      <c r="AJ507">
        <v>75.794226330489707</v>
      </c>
      <c r="AK507">
        <v>0.43653894299378299</v>
      </c>
      <c r="AL507">
        <v>85.524924771791504</v>
      </c>
      <c r="AM507">
        <v>86.082540347464999</v>
      </c>
      <c r="AN507">
        <v>0.99999999994866395</v>
      </c>
    </row>
    <row r="508" spans="1:40" x14ac:dyDescent="0.25">
      <c r="A508" t="str">
        <f>"20190312154513385"</f>
        <v>20190312154513385</v>
      </c>
      <c r="B508" t="str">
        <f>"1552376713376099"</f>
        <v>1552376713376099</v>
      </c>
      <c r="C508" t="s">
        <v>40</v>
      </c>
      <c r="D508">
        <v>4.1834860000000003</v>
      </c>
      <c r="E508">
        <v>0.49703789999999998</v>
      </c>
      <c r="F508" t="s">
        <v>41</v>
      </c>
      <c r="G508">
        <v>-318.07819999999998</v>
      </c>
      <c r="H508">
        <v>0.87057390000000001</v>
      </c>
      <c r="I508">
        <v>368.37</v>
      </c>
      <c r="J508">
        <v>-318.71350000000001</v>
      </c>
      <c r="K508">
        <v>1.1015159999999999</v>
      </c>
      <c r="L508">
        <v>368.50650000000002</v>
      </c>
      <c r="M508">
        <v>0.99971790000000005</v>
      </c>
      <c r="N508">
        <v>0</v>
      </c>
      <c r="O508">
        <v>5.9040009999999999E-3</v>
      </c>
      <c r="P508">
        <v>0.99652949999999996</v>
      </c>
      <c r="Q508">
        <v>5.5262739999999998E-2</v>
      </c>
      <c r="R508">
        <v>-6.2249430000000001E-2</v>
      </c>
      <c r="S508">
        <v>3.027161</v>
      </c>
      <c r="T508">
        <v>-0.80281729999999996</v>
      </c>
      <c r="U508">
        <v>-0.4661865</v>
      </c>
      <c r="V508">
        <v>6.8137840000000005E-2</v>
      </c>
      <c r="W508">
        <v>7.8161850000000005E-2</v>
      </c>
      <c r="X508">
        <v>0.99460950000000004</v>
      </c>
      <c r="Y508">
        <v>0.1526825</v>
      </c>
      <c r="Z508">
        <v>-2.132233E-2</v>
      </c>
      <c r="AA508">
        <v>0.98804530000000002</v>
      </c>
      <c r="AB508">
        <v>25</v>
      </c>
      <c r="AC508">
        <v>0.63530000000002895</v>
      </c>
      <c r="AD508">
        <v>-0.23094210000000001</v>
      </c>
      <c r="AE508">
        <v>-0.136500000000012</v>
      </c>
      <c r="AF508">
        <v>0.124520809232645</v>
      </c>
      <c r="AG508">
        <v>-0.23094210000000001</v>
      </c>
      <c r="AH508">
        <v>0.56332718284219196</v>
      </c>
      <c r="AI508">
        <v>111.81612756932699</v>
      </c>
      <c r="AJ508">
        <v>77.535469295534597</v>
      </c>
      <c r="AK508">
        <v>0.62143157339588295</v>
      </c>
      <c r="AL508">
        <v>85.517083607548301</v>
      </c>
      <c r="AM508">
        <v>86.080954053703906</v>
      </c>
      <c r="AN508">
        <v>1.0000000487627601</v>
      </c>
    </row>
    <row r="509" spans="1:40" x14ac:dyDescent="0.25">
      <c r="A509" t="str">
        <f>"20190312154513409"</f>
        <v>20190312154513409</v>
      </c>
      <c r="B509" t="str">
        <f>"1552376713406355"</f>
        <v>1552376713406355</v>
      </c>
      <c r="C509" t="s">
        <v>40</v>
      </c>
      <c r="D509">
        <v>4.104705</v>
      </c>
      <c r="E509">
        <v>0.47925319999999999</v>
      </c>
      <c r="F509" t="s">
        <v>41</v>
      </c>
      <c r="G509">
        <v>-317.84769999999997</v>
      </c>
      <c r="H509">
        <v>0.88660260000000002</v>
      </c>
      <c r="I509">
        <v>368.46769999999998</v>
      </c>
      <c r="J509">
        <v>-318.4443</v>
      </c>
      <c r="K509">
        <v>1.0996969999999999</v>
      </c>
      <c r="L509">
        <v>368.50810000000001</v>
      </c>
      <c r="M509">
        <v>0.99969260000000004</v>
      </c>
      <c r="N509">
        <v>0</v>
      </c>
      <c r="O509">
        <v>5.8926930000000001E-3</v>
      </c>
      <c r="P509">
        <v>0.99658040000000003</v>
      </c>
      <c r="Q509">
        <v>5.441207E-2</v>
      </c>
      <c r="R509">
        <v>-6.218427E-2</v>
      </c>
      <c r="S509">
        <v>3.0438540000000001</v>
      </c>
      <c r="T509">
        <v>-0.75553149999999902</v>
      </c>
      <c r="U509">
        <v>-0.1357727</v>
      </c>
      <c r="V509">
        <v>6.8061940000000001E-2</v>
      </c>
      <c r="W509">
        <v>7.8389550000000002E-2</v>
      </c>
      <c r="X509">
        <v>0.9945967</v>
      </c>
      <c r="Y509">
        <v>4.879265E-2</v>
      </c>
      <c r="Z509">
        <v>-7.4027769999999897E-3</v>
      </c>
      <c r="AA509">
        <v>0.99878149999999999</v>
      </c>
      <c r="AB509">
        <v>25</v>
      </c>
      <c r="AC509">
        <v>0.596600000000023</v>
      </c>
      <c r="AD509">
        <v>-0.21309439999999899</v>
      </c>
      <c r="AE509">
        <v>-4.0400000000033701E-2</v>
      </c>
      <c r="AF509">
        <v>3.8967212019950397E-2</v>
      </c>
      <c r="AG509">
        <v>-0.21309439999999899</v>
      </c>
      <c r="AH509">
        <v>0.52915131150149097</v>
      </c>
      <c r="AI509">
        <v>111.88149178982501</v>
      </c>
      <c r="AJ509">
        <v>85.788286019221502</v>
      </c>
      <c r="AK509">
        <v>0.571776859786854</v>
      </c>
      <c r="AL509">
        <v>85.503996862958502</v>
      </c>
      <c r="AM509">
        <v>86.085255746907606</v>
      </c>
      <c r="AN509">
        <v>0.99999997243832695</v>
      </c>
    </row>
    <row r="510" spans="1:40" x14ac:dyDescent="0.25">
      <c r="A510" t="str">
        <f>"20190312154513432"</f>
        <v>20190312154513432</v>
      </c>
      <c r="B510" t="str">
        <f>"1552376713426851"</f>
        <v>1552376713426851</v>
      </c>
      <c r="C510" t="s">
        <v>40</v>
      </c>
      <c r="D510">
        <v>4.1032510000000002</v>
      </c>
      <c r="E510">
        <v>0.42441390000000001</v>
      </c>
      <c r="F510" t="s">
        <v>41</v>
      </c>
      <c r="G510">
        <v>-317.61759999999998</v>
      </c>
      <c r="H510">
        <v>0.89033209999999996</v>
      </c>
      <c r="I510">
        <v>368.50970000000001</v>
      </c>
      <c r="J510">
        <v>-318.19119999999998</v>
      </c>
      <c r="K510">
        <v>1.097912</v>
      </c>
      <c r="L510">
        <v>368.50959999999998</v>
      </c>
      <c r="M510">
        <v>0.99967349999999999</v>
      </c>
      <c r="N510">
        <v>0</v>
      </c>
      <c r="O510">
        <v>5.8831539999999998E-3</v>
      </c>
      <c r="P510">
        <v>0.9966178</v>
      </c>
      <c r="Q510">
        <v>5.3795540000000003E-2</v>
      </c>
      <c r="R510">
        <v>-6.2118899999999998E-2</v>
      </c>
      <c r="S510">
        <v>3.0528870000000001</v>
      </c>
      <c r="T510">
        <v>-0.77317579999999997</v>
      </c>
      <c r="U510">
        <v>6.2561040000000002E-3</v>
      </c>
      <c r="V510">
        <v>6.798746E-2</v>
      </c>
      <c r="W510">
        <v>7.8542630000000002E-2</v>
      </c>
      <c r="X510">
        <v>0.99458970000000002</v>
      </c>
      <c r="Y510">
        <v>3.538252E-3</v>
      </c>
      <c r="Z510">
        <v>-1.9083450000000001E-3</v>
      </c>
      <c r="AA510">
        <v>0.99999190000000004</v>
      </c>
      <c r="AB510">
        <v>25</v>
      </c>
      <c r="AC510">
        <v>0.573599999999999</v>
      </c>
      <c r="AD510">
        <v>-0.20757990000000001</v>
      </c>
      <c r="AE510">
        <v>1.00000000031741E-4</v>
      </c>
      <c r="AF510">
        <v>2.89630991734602E-3</v>
      </c>
      <c r="AG510">
        <v>-0.20757990000000001</v>
      </c>
      <c r="AH510">
        <v>0.50716963541167503</v>
      </c>
      <c r="AI510">
        <v>112.258509744729</v>
      </c>
      <c r="AJ510">
        <v>89.672802709583294</v>
      </c>
      <c r="AK510">
        <v>0.54801354233153698</v>
      </c>
      <c r="AL510">
        <v>85.495198821814</v>
      </c>
      <c r="AM510">
        <v>86.0894989061036</v>
      </c>
      <c r="AN510">
        <v>0.99999995539532804</v>
      </c>
    </row>
    <row r="511" spans="1:40" x14ac:dyDescent="0.25">
      <c r="A511" t="str">
        <f>"20190312154513454"</f>
        <v>20190312154513454</v>
      </c>
      <c r="B511" t="str">
        <f>"1552376713446371"</f>
        <v>1552376713446371</v>
      </c>
      <c r="C511" t="s">
        <v>40</v>
      </c>
      <c r="D511">
        <v>4.1505080000000003</v>
      </c>
      <c r="E511">
        <v>0.42407620000000001</v>
      </c>
      <c r="F511" t="s">
        <v>41</v>
      </c>
      <c r="G511">
        <v>-317.40010000000001</v>
      </c>
      <c r="H511">
        <v>0.84993299999999905</v>
      </c>
      <c r="I511">
        <v>368.62430000000001</v>
      </c>
      <c r="J511">
        <v>-317.9393</v>
      </c>
      <c r="K511">
        <v>1.0960350000000001</v>
      </c>
      <c r="L511">
        <v>368.5111</v>
      </c>
      <c r="M511">
        <v>0.99965749999999998</v>
      </c>
      <c r="N511">
        <v>0</v>
      </c>
      <c r="O511">
        <v>5.8761119999999898E-3</v>
      </c>
      <c r="P511">
        <v>0.99666030000000005</v>
      </c>
      <c r="Q511">
        <v>5.3082440000000002E-2</v>
      </c>
      <c r="R511">
        <v>-6.2052209999999997E-2</v>
      </c>
      <c r="S511">
        <v>3.0904850000000001</v>
      </c>
      <c r="T511">
        <v>-0.9687268</v>
      </c>
      <c r="U511">
        <v>0.44863890000000001</v>
      </c>
      <c r="V511">
        <v>6.7914479999999999E-2</v>
      </c>
      <c r="W511">
        <v>7.8467529999999994E-2</v>
      </c>
      <c r="X511">
        <v>0.9946007</v>
      </c>
      <c r="Y511">
        <v>-0.131918799999999</v>
      </c>
      <c r="Z511">
        <v>1.830238E-2</v>
      </c>
      <c r="AA511">
        <v>0.99109150000000001</v>
      </c>
      <c r="AB511">
        <v>25</v>
      </c>
      <c r="AC511">
        <v>0.53919999999999302</v>
      </c>
      <c r="AD511">
        <v>-0.24610199999999999</v>
      </c>
      <c r="AE511">
        <v>0.113200000000006</v>
      </c>
      <c r="AF511">
        <v>-9.1726768541645506E-2</v>
      </c>
      <c r="AG511">
        <v>-0.24610199999999999</v>
      </c>
      <c r="AH511">
        <v>0.450057958909652</v>
      </c>
      <c r="AI511">
        <v>118.182748287876</v>
      </c>
      <c r="AJ511">
        <v>101.51973447067699</v>
      </c>
      <c r="AK511">
        <v>0.52108747907526498</v>
      </c>
      <c r="AL511">
        <v>85.499515442914799</v>
      </c>
      <c r="AM511">
        <v>86.093726634269302</v>
      </c>
      <c r="AN511">
        <v>1.00000004114922</v>
      </c>
    </row>
    <row r="512" spans="1:40" x14ac:dyDescent="0.25">
      <c r="A512" t="str">
        <f>"20190312154513475"</f>
        <v>20190312154513475</v>
      </c>
      <c r="B512" t="str">
        <f>"1552376713466884"</f>
        <v>1552376713466884</v>
      </c>
      <c r="C512" t="s">
        <v>40</v>
      </c>
      <c r="D512">
        <v>4.1012890000000004</v>
      </c>
      <c r="E512">
        <v>0.42423909999999998</v>
      </c>
      <c r="F512" t="s">
        <v>41</v>
      </c>
      <c r="G512">
        <v>-317.17829999999998</v>
      </c>
      <c r="H512">
        <v>0.84344490000000005</v>
      </c>
      <c r="I512">
        <v>368.62259999999998</v>
      </c>
      <c r="J512">
        <v>-317.69990000000001</v>
      </c>
      <c r="K512">
        <v>1.094125</v>
      </c>
      <c r="L512">
        <v>368.51249999999999</v>
      </c>
      <c r="M512">
        <v>0.99964710000000001</v>
      </c>
      <c r="N512">
        <v>0</v>
      </c>
      <c r="O512">
        <v>5.8703319999999998E-3</v>
      </c>
      <c r="P512">
        <v>0.99668389999999996</v>
      </c>
      <c r="Q512">
        <v>5.3092880000000002E-2</v>
      </c>
      <c r="R512">
        <v>-6.166514E-2</v>
      </c>
      <c r="S512">
        <v>3.0929869999999999</v>
      </c>
      <c r="T512">
        <v>-1.026667</v>
      </c>
      <c r="U512">
        <v>0.45355220000000002</v>
      </c>
      <c r="V512">
        <v>6.7521949999999997E-2</v>
      </c>
      <c r="W512">
        <v>7.8883449999999994E-2</v>
      </c>
      <c r="X512">
        <v>0.99459450000000005</v>
      </c>
      <c r="Y512">
        <v>-0.13261579999999901</v>
      </c>
      <c r="Z512">
        <v>1.9440619999999999E-2</v>
      </c>
      <c r="AA512">
        <v>0.99097690000000005</v>
      </c>
      <c r="AB512">
        <v>25</v>
      </c>
      <c r="AC512">
        <v>0.52160000000003404</v>
      </c>
      <c r="AD512">
        <v>-0.25068010000000002</v>
      </c>
      <c r="AE512">
        <v>0.110099999999988</v>
      </c>
      <c r="AF512">
        <v>-8.7653040936632703E-2</v>
      </c>
      <c r="AG512">
        <v>-0.25068010000000002</v>
      </c>
      <c r="AH512">
        <v>0.42767004027829703</v>
      </c>
      <c r="AI512">
        <v>119.865162204101</v>
      </c>
      <c r="AJ512">
        <v>101.58264259764699</v>
      </c>
      <c r="AK512">
        <v>0.50341357895182803</v>
      </c>
      <c r="AL512">
        <v>85.475610771293105</v>
      </c>
      <c r="AM512">
        <v>86.116210561158397</v>
      </c>
      <c r="AN512">
        <v>1.0000000159229701</v>
      </c>
    </row>
    <row r="513" spans="1:40" x14ac:dyDescent="0.25">
      <c r="A513" t="str">
        <f>"20190312154513498"</f>
        <v>20190312154513498</v>
      </c>
      <c r="B513" t="str">
        <f>"1552376713486387"</f>
        <v>1552376713486387</v>
      </c>
      <c r="C513" t="s">
        <v>40</v>
      </c>
      <c r="D513">
        <v>4.099202</v>
      </c>
      <c r="E513">
        <v>0.42447430000000003</v>
      </c>
      <c r="F513" t="s">
        <v>41</v>
      </c>
      <c r="G513">
        <v>-316.95510000000002</v>
      </c>
      <c r="H513">
        <v>0.84122319999999995</v>
      </c>
      <c r="I513">
        <v>368.62169999999998</v>
      </c>
      <c r="J513">
        <v>-317.44760000000002</v>
      </c>
      <c r="K513">
        <v>1.0919540000000001</v>
      </c>
      <c r="L513">
        <v>368.51400000000001</v>
      </c>
      <c r="M513">
        <v>0.99964390000000003</v>
      </c>
      <c r="N513">
        <v>0</v>
      </c>
      <c r="O513">
        <v>5.861565E-3</v>
      </c>
      <c r="P513">
        <v>0.99668909999999999</v>
      </c>
      <c r="Q513">
        <v>5.3174350000000002E-2</v>
      </c>
      <c r="R513">
        <v>-6.1510219999999997E-2</v>
      </c>
      <c r="S513">
        <v>3.0940249999999998</v>
      </c>
      <c r="T513">
        <v>-1.0506709999999999</v>
      </c>
      <c r="U513">
        <v>0.4539185</v>
      </c>
      <c r="V513">
        <v>6.7358210000000002E-2</v>
      </c>
      <c r="W513">
        <v>7.9094029999999996E-2</v>
      </c>
      <c r="X513">
        <v>0.9945889</v>
      </c>
      <c r="Y513">
        <v>-0.13240070000000001</v>
      </c>
      <c r="Z513">
        <v>1.9832700000000002E-2</v>
      </c>
      <c r="AA513">
        <v>0.99099789999999999</v>
      </c>
      <c r="AB513">
        <v>25</v>
      </c>
      <c r="AC513">
        <v>0.49250000000000599</v>
      </c>
      <c r="AD513">
        <v>-0.25073079999999998</v>
      </c>
      <c r="AE513">
        <v>0.107699999999965</v>
      </c>
      <c r="AF513">
        <v>-8.4026266499585903E-2</v>
      </c>
      <c r="AG513">
        <v>-0.25073079999999998</v>
      </c>
      <c r="AH513">
        <v>0.39533584407391897</v>
      </c>
      <c r="AI513">
        <v>121.813999287608</v>
      </c>
      <c r="AJ513">
        <v>101.999312053018</v>
      </c>
      <c r="AK513">
        <v>0.47562251538393002</v>
      </c>
      <c r="AL513">
        <v>85.463507705891303</v>
      </c>
      <c r="AM513">
        <v>86.125578241630294</v>
      </c>
      <c r="AN513">
        <v>1.00000003701962</v>
      </c>
    </row>
    <row r="514" spans="1:40" x14ac:dyDescent="0.25">
      <c r="A514" t="str">
        <f>"20190312154513519"</f>
        <v>20190312154513519</v>
      </c>
      <c r="B514" t="str">
        <f>"1552376713516643"</f>
        <v>1552376713516643</v>
      </c>
      <c r="C514" t="s">
        <v>40</v>
      </c>
      <c r="D514">
        <v>4.1294490000000001</v>
      </c>
      <c r="E514">
        <v>0.42455880000000001</v>
      </c>
      <c r="F514" t="s">
        <v>41</v>
      </c>
      <c r="G514">
        <v>-316.73059999999998</v>
      </c>
      <c r="H514">
        <v>0.8457114</v>
      </c>
      <c r="I514">
        <v>368.6189</v>
      </c>
      <c r="J514">
        <v>-317.2047</v>
      </c>
      <c r="K514">
        <v>1.0896950000000001</v>
      </c>
      <c r="L514">
        <v>368.5154</v>
      </c>
      <c r="M514">
        <v>0.99964830000000005</v>
      </c>
      <c r="N514">
        <v>0</v>
      </c>
      <c r="O514">
        <v>5.8512410000000001E-3</v>
      </c>
      <c r="P514">
        <v>0.99668129999999999</v>
      </c>
      <c r="Q514">
        <v>5.3438720000000002E-2</v>
      </c>
      <c r="R514">
        <v>-6.1410270000000003E-2</v>
      </c>
      <c r="S514">
        <v>3.0945740000000002</v>
      </c>
      <c r="T514">
        <v>-1.0628219999999999</v>
      </c>
      <c r="U514">
        <v>0.4526367</v>
      </c>
      <c r="V514">
        <v>6.7247550000000003E-2</v>
      </c>
      <c r="W514">
        <v>7.9189579999999996E-2</v>
      </c>
      <c r="X514">
        <v>0.99458869999999999</v>
      </c>
      <c r="Y514">
        <v>-0.13185829999999901</v>
      </c>
      <c r="Z514">
        <v>1.9960410000000001E-2</v>
      </c>
      <c r="AA514">
        <v>0.99106760000000005</v>
      </c>
      <c r="AB514">
        <v>25</v>
      </c>
      <c r="AC514">
        <v>0.474100000000021</v>
      </c>
      <c r="AD514">
        <v>-0.24398359999999999</v>
      </c>
      <c r="AE514">
        <v>0.103499999999996</v>
      </c>
      <c r="AF514">
        <v>-8.0399065462559205E-2</v>
      </c>
      <c r="AG514">
        <v>-0.24398359999999999</v>
      </c>
      <c r="AH514">
        <v>0.37891211430751098</v>
      </c>
      <c r="AI514">
        <v>122.20610092194499</v>
      </c>
      <c r="AJ514">
        <v>101.97957171038399</v>
      </c>
      <c r="AK514">
        <v>0.45778422555304499</v>
      </c>
      <c r="AL514">
        <v>85.458015483179295</v>
      </c>
      <c r="AM514">
        <v>86.131923254056204</v>
      </c>
      <c r="AN514">
        <v>0.99999995236463302</v>
      </c>
    </row>
    <row r="515" spans="1:40" x14ac:dyDescent="0.25">
      <c r="A515" t="str">
        <f>"20190312154513533"</f>
        <v>20190312154513533</v>
      </c>
      <c r="B515" t="str">
        <f>"1552376713526403"</f>
        <v>1552376713526403</v>
      </c>
      <c r="C515" t="s">
        <v>40</v>
      </c>
      <c r="D515">
        <v>4.1254689999999998</v>
      </c>
      <c r="E515">
        <v>0.42461339999999997</v>
      </c>
      <c r="F515" t="s">
        <v>41</v>
      </c>
      <c r="G515">
        <v>-316.50560000000002</v>
      </c>
      <c r="H515">
        <v>0.84750969999999903</v>
      </c>
      <c r="I515">
        <v>368.61759999999998</v>
      </c>
      <c r="J515">
        <v>-317.04849999999999</v>
      </c>
      <c r="K515">
        <v>1.0881769999999999</v>
      </c>
      <c r="L515">
        <v>368.5163</v>
      </c>
      <c r="M515">
        <v>0.99965389999999998</v>
      </c>
      <c r="N515">
        <v>0</v>
      </c>
      <c r="O515">
        <v>5.8460109999999999E-3</v>
      </c>
      <c r="P515">
        <v>0.9966853</v>
      </c>
      <c r="Q515">
        <v>5.3370540000000001E-2</v>
      </c>
      <c r="R515">
        <v>-6.1399500000000003E-2</v>
      </c>
      <c r="S515">
        <v>3.095367</v>
      </c>
      <c r="T515">
        <v>-1.0722799999999999</v>
      </c>
      <c r="U515">
        <v>0.45272829999999997</v>
      </c>
      <c r="V515">
        <v>6.7231630000000001E-2</v>
      </c>
      <c r="W515">
        <v>7.8905810000000007E-2</v>
      </c>
      <c r="X515">
        <v>0.99461239999999995</v>
      </c>
      <c r="Y515">
        <v>-0.13174259999999999</v>
      </c>
      <c r="Z515">
        <v>2.0105950000000001E-2</v>
      </c>
      <c r="AA515">
        <v>0.99107999999999996</v>
      </c>
      <c r="AB515">
        <v>25</v>
      </c>
      <c r="AC515">
        <v>0.54289999999997396</v>
      </c>
      <c r="AD515">
        <v>-0.2406673</v>
      </c>
      <c r="AE515">
        <v>0.10129999999998</v>
      </c>
      <c r="AF515">
        <v>-8.2463395221488697E-2</v>
      </c>
      <c r="AG515">
        <v>-0.2406673</v>
      </c>
      <c r="AH515">
        <v>0.45674580969772999</v>
      </c>
      <c r="AI515">
        <v>117.408269927284</v>
      </c>
      <c r="AJ515">
        <v>100.234244159387</v>
      </c>
      <c r="AK515">
        <v>0.52281707653555098</v>
      </c>
      <c r="AL515">
        <v>85.474325662039206</v>
      </c>
      <c r="AM515">
        <v>86.132928061698607</v>
      </c>
      <c r="AN515">
        <v>1.00000002257898</v>
      </c>
    </row>
    <row r="516" spans="1:40" x14ac:dyDescent="0.25">
      <c r="A516" t="str">
        <f>"20190312154513553"</f>
        <v>20190312154513553</v>
      </c>
      <c r="B516" t="str">
        <f>"1552376713546899"</f>
        <v>1552376713546899</v>
      </c>
      <c r="C516" t="s">
        <v>40</v>
      </c>
      <c r="D516">
        <v>4.1291200000000003</v>
      </c>
      <c r="E516">
        <v>0.42465399999999998</v>
      </c>
      <c r="F516" t="s">
        <v>41</v>
      </c>
      <c r="G516">
        <v>-316.28750000000002</v>
      </c>
      <c r="H516">
        <v>0.82375719999999997</v>
      </c>
      <c r="I516">
        <v>368.62759999999997</v>
      </c>
      <c r="J516">
        <v>-316.82490000000001</v>
      </c>
      <c r="K516">
        <v>1.08595</v>
      </c>
      <c r="L516">
        <v>368.51760000000002</v>
      </c>
      <c r="M516">
        <v>0.99966350000000004</v>
      </c>
      <c r="N516">
        <v>0</v>
      </c>
      <c r="O516">
        <v>5.8395540000000003E-3</v>
      </c>
      <c r="P516">
        <v>0.99663559999999995</v>
      </c>
      <c r="Q516">
        <v>5.3856469999999997E-2</v>
      </c>
      <c r="R516">
        <v>-6.1782249999999997E-2</v>
      </c>
      <c r="S516">
        <v>3.0954899999999999</v>
      </c>
      <c r="T516">
        <v>-1.0756870000000001</v>
      </c>
      <c r="U516">
        <v>0.4529724</v>
      </c>
      <c r="V516">
        <v>6.7607890000000004E-2</v>
      </c>
      <c r="W516">
        <v>7.9016069999999994E-2</v>
      </c>
      <c r="X516">
        <v>0.99457810000000002</v>
      </c>
      <c r="Y516">
        <v>-0.131774</v>
      </c>
      <c r="Z516">
        <v>2.017296E-2</v>
      </c>
      <c r="AA516">
        <v>0.99107449999999997</v>
      </c>
      <c r="AB516">
        <v>25</v>
      </c>
      <c r="AC516">
        <v>0.537399999999991</v>
      </c>
      <c r="AD516">
        <v>-0.2621928</v>
      </c>
      <c r="AE516">
        <v>0.10999999999995599</v>
      </c>
      <c r="AF516">
        <v>-8.6985691820267497E-2</v>
      </c>
      <c r="AG516">
        <v>-0.2621928</v>
      </c>
      <c r="AH516">
        <v>0.43797182168454901</v>
      </c>
      <c r="AI516">
        <v>120.420739939866</v>
      </c>
      <c r="AJ516">
        <v>101.233347663461</v>
      </c>
      <c r="AK516">
        <v>0.51781356832645198</v>
      </c>
      <c r="AL516">
        <v>85.467988256584206</v>
      </c>
      <c r="AM516">
        <v>86.111218616336302</v>
      </c>
      <c r="AN516">
        <v>0.99999998155405301</v>
      </c>
    </row>
    <row r="517" spans="1:40" x14ac:dyDescent="0.25">
      <c r="A517" t="str">
        <f>"20190312154513576"</f>
        <v>20190312154513576</v>
      </c>
      <c r="B517" t="str">
        <f>"1552376713566423"</f>
        <v>1552376713566423</v>
      </c>
      <c r="C517" t="s">
        <v>40</v>
      </c>
      <c r="D517">
        <v>4.1199510000000004</v>
      </c>
      <c r="E517">
        <v>0.42463469999999998</v>
      </c>
      <c r="F517" t="s">
        <v>41</v>
      </c>
      <c r="G517">
        <v>-316.06670000000003</v>
      </c>
      <c r="H517">
        <v>0.82172259999999997</v>
      </c>
      <c r="I517">
        <v>368.62799999999999</v>
      </c>
      <c r="J517">
        <v>-316.57670000000002</v>
      </c>
      <c r="K517">
        <v>1.0834349999999999</v>
      </c>
      <c r="L517">
        <v>368.51900000000001</v>
      </c>
      <c r="M517">
        <v>0.99967620000000001</v>
      </c>
      <c r="N517">
        <v>0</v>
      </c>
      <c r="O517">
        <v>5.8324090000000002E-3</v>
      </c>
      <c r="P517">
        <v>0.99662740000000005</v>
      </c>
      <c r="Q517">
        <v>5.3984259999999999E-2</v>
      </c>
      <c r="R517">
        <v>-6.1805180000000001E-2</v>
      </c>
      <c r="S517">
        <v>3.0964969999999998</v>
      </c>
      <c r="T517">
        <v>-1.0791999999999999</v>
      </c>
      <c r="U517">
        <v>0.45187379999999999</v>
      </c>
      <c r="V517">
        <v>6.7623470000000005E-2</v>
      </c>
      <c r="W517">
        <v>7.8644350000000002E-2</v>
      </c>
      <c r="X517">
        <v>0.99460649999999995</v>
      </c>
      <c r="Y517">
        <v>-0.13137160000000001</v>
      </c>
      <c r="Z517">
        <v>2.0164189999999999E-2</v>
      </c>
      <c r="AA517">
        <v>0.99112809999999996</v>
      </c>
      <c r="AB517">
        <v>25</v>
      </c>
      <c r="AC517">
        <v>0.50999999999999002</v>
      </c>
      <c r="AD517">
        <v>-0.26171239999999901</v>
      </c>
      <c r="AE517">
        <v>0.109000000000037</v>
      </c>
      <c r="AF517">
        <v>-8.4694069773007696E-2</v>
      </c>
      <c r="AG517">
        <v>-0.26171239999999901</v>
      </c>
      <c r="AH517">
        <v>0.40790414067179098</v>
      </c>
      <c r="AI517">
        <v>122.137214011091</v>
      </c>
      <c r="AJ517">
        <v>101.72978741518401</v>
      </c>
      <c r="AK517">
        <v>0.49198806260484401</v>
      </c>
      <c r="AL517">
        <v>85.489352716217198</v>
      </c>
      <c r="AM517">
        <v>86.110435935824</v>
      </c>
      <c r="AN517">
        <v>0.99999997866200596</v>
      </c>
    </row>
    <row r="518" spans="1:40" x14ac:dyDescent="0.25">
      <c r="A518" t="str">
        <f>"20190312154513597"</f>
        <v>20190312154513597</v>
      </c>
      <c r="B518" t="str">
        <f>"1552376713586919"</f>
        <v>1552376713586919</v>
      </c>
      <c r="C518" t="s">
        <v>40</v>
      </c>
      <c r="D518">
        <v>4.1391839999999904</v>
      </c>
      <c r="E518">
        <v>0.42470069999999999</v>
      </c>
      <c r="F518" t="s">
        <v>41</v>
      </c>
      <c r="G518">
        <v>-315.84449999999998</v>
      </c>
      <c r="H518">
        <v>0.82718789999999998</v>
      </c>
      <c r="I518">
        <v>368.62580000000003</v>
      </c>
      <c r="J518">
        <v>-316.33960000000002</v>
      </c>
      <c r="K518">
        <v>1.0810390000000001</v>
      </c>
      <c r="L518">
        <v>368.5204</v>
      </c>
      <c r="M518">
        <v>0.99969090000000005</v>
      </c>
      <c r="N518">
        <v>0</v>
      </c>
      <c r="O518">
        <v>5.8235079999999998E-3</v>
      </c>
      <c r="P518">
        <v>0.99656409999999995</v>
      </c>
      <c r="Q518">
        <v>5.4613099999999998E-2</v>
      </c>
      <c r="R518">
        <v>-6.2271859999999998E-2</v>
      </c>
      <c r="S518">
        <v>3.0968629999999999</v>
      </c>
      <c r="T518">
        <v>-1.083828</v>
      </c>
      <c r="U518">
        <v>0.4516907</v>
      </c>
      <c r="V518">
        <v>6.8080799999999997E-2</v>
      </c>
      <c r="W518">
        <v>7.8678120000000004E-2</v>
      </c>
      <c r="X518">
        <v>0.99457260000000003</v>
      </c>
      <c r="Y518">
        <v>-0.1312536</v>
      </c>
      <c r="Z518">
        <v>2.022682E-2</v>
      </c>
      <c r="AA518">
        <v>0.99114250000000004</v>
      </c>
      <c r="AB518">
        <v>25</v>
      </c>
      <c r="AC518">
        <v>0.49510000000003601</v>
      </c>
      <c r="AD518">
        <v>-0.253851099999999</v>
      </c>
      <c r="AE518">
        <v>0.105400000000031</v>
      </c>
      <c r="AF518">
        <v>-8.1913602279257397E-2</v>
      </c>
      <c r="AG518">
        <v>-0.253851099999999</v>
      </c>
      <c r="AH518">
        <v>0.39609194762984301</v>
      </c>
      <c r="AI518">
        <v>122.112752001806</v>
      </c>
      <c r="AJ518">
        <v>101.684312114441</v>
      </c>
      <c r="AK518">
        <v>0.477534344510189</v>
      </c>
      <c r="AL518">
        <v>85.487411690810404</v>
      </c>
      <c r="AM518">
        <v>86.0840797523134</v>
      </c>
      <c r="AN518">
        <v>0.99999994928306501</v>
      </c>
    </row>
    <row r="519" spans="1:40" x14ac:dyDescent="0.25">
      <c r="A519" t="str">
        <f>"20190312154513621"</f>
        <v>20190312154513621</v>
      </c>
      <c r="B519" t="str">
        <f>"1552376713616195"</f>
        <v>1552376713616195</v>
      </c>
      <c r="C519" t="s">
        <v>40</v>
      </c>
      <c r="D519">
        <v>4.1784480000000004</v>
      </c>
      <c r="E519">
        <v>0.4247051</v>
      </c>
      <c r="F519" t="s">
        <v>41</v>
      </c>
      <c r="G519">
        <v>-315.62360000000001</v>
      </c>
      <c r="H519">
        <v>0.82991000000000004</v>
      </c>
      <c r="I519">
        <v>368.6241</v>
      </c>
      <c r="J519">
        <v>-316.08330000000001</v>
      </c>
      <c r="K519">
        <v>1.0785149999999999</v>
      </c>
      <c r="L519">
        <v>368.52190000000002</v>
      </c>
      <c r="M519">
        <v>0.99970910000000002</v>
      </c>
      <c r="N519">
        <v>0</v>
      </c>
      <c r="O519">
        <v>5.8131440000000001E-3</v>
      </c>
      <c r="P519">
        <v>0.99651060000000002</v>
      </c>
      <c r="Q519">
        <v>5.5566110000000002E-2</v>
      </c>
      <c r="R519">
        <v>-6.2284359999999997E-2</v>
      </c>
      <c r="S519">
        <v>3.0979610000000002</v>
      </c>
      <c r="T519">
        <v>-1.0865020000000001</v>
      </c>
      <c r="U519">
        <v>0.44915769999999999</v>
      </c>
      <c r="V519">
        <v>6.8082480000000001E-2</v>
      </c>
      <c r="W519">
        <v>7.8868720000000003E-2</v>
      </c>
      <c r="X519">
        <v>0.99455740000000004</v>
      </c>
      <c r="Y519">
        <v>-0.1304362</v>
      </c>
      <c r="Z519">
        <v>2.013334E-2</v>
      </c>
      <c r="AA519">
        <v>0.99125220000000003</v>
      </c>
      <c r="AB519">
        <v>25</v>
      </c>
      <c r="AC519">
        <v>0.459699999999998</v>
      </c>
      <c r="AD519">
        <v>-0.24860499999999899</v>
      </c>
      <c r="AE519">
        <v>0.102199999999982</v>
      </c>
      <c r="AF519">
        <v>-7.7833842317104704E-2</v>
      </c>
      <c r="AG519">
        <v>-0.24860499999999899</v>
      </c>
      <c r="AH519">
        <v>0.35996765573626399</v>
      </c>
      <c r="AI519">
        <v>124.020603420543</v>
      </c>
      <c r="AJ519">
        <v>102.200924578666</v>
      </c>
      <c r="AK519">
        <v>0.44434138476075502</v>
      </c>
      <c r="AL519">
        <v>85.476457124475203</v>
      </c>
      <c r="AM519">
        <v>86.083923758546305</v>
      </c>
      <c r="AN519">
        <v>0.99999996048607298</v>
      </c>
    </row>
    <row r="520" spans="1:40" x14ac:dyDescent="0.25">
      <c r="A520" t="str">
        <f>"20190312154513644"</f>
        <v>20190312154513644</v>
      </c>
      <c r="B520" t="str">
        <f>"1552376713636692"</f>
        <v>1552376713636692</v>
      </c>
      <c r="C520" t="s">
        <v>40</v>
      </c>
      <c r="D520">
        <v>4.1981619999999999</v>
      </c>
      <c r="E520">
        <v>0.42454979999999998</v>
      </c>
      <c r="F520" t="s">
        <v>41</v>
      </c>
      <c r="G520">
        <v>-315.39949999999999</v>
      </c>
      <c r="H520">
        <v>0.83817549999999996</v>
      </c>
      <c r="I520">
        <v>368.62090000000001</v>
      </c>
      <c r="J520">
        <v>-315.83159999999998</v>
      </c>
      <c r="K520">
        <v>1.0761810000000001</v>
      </c>
      <c r="L520">
        <v>368.52339999999998</v>
      </c>
      <c r="M520">
        <v>0.99972799999999995</v>
      </c>
      <c r="N520">
        <v>0</v>
      </c>
      <c r="O520">
        <v>5.8030119999999998E-3</v>
      </c>
      <c r="P520">
        <v>0.99647490000000005</v>
      </c>
      <c r="Q520">
        <v>5.6425530000000002E-2</v>
      </c>
      <c r="R520">
        <v>-6.20835E-2</v>
      </c>
      <c r="S520">
        <v>3.0993040000000001</v>
      </c>
      <c r="T520">
        <v>-1.0893120000000001</v>
      </c>
      <c r="U520">
        <v>0.44903559999999998</v>
      </c>
      <c r="V520">
        <v>6.7871239999999999E-2</v>
      </c>
      <c r="W520">
        <v>7.8909119999999999E-2</v>
      </c>
      <c r="X520">
        <v>0.99456860000000002</v>
      </c>
      <c r="Y520">
        <v>-0.13032249999999901</v>
      </c>
      <c r="Z520">
        <v>2.0158559999999999E-2</v>
      </c>
      <c r="AA520">
        <v>0.99126669999999995</v>
      </c>
      <c r="AB520">
        <v>25</v>
      </c>
      <c r="AC520">
        <v>0.43209999999999099</v>
      </c>
      <c r="AD520">
        <v>-0.23800550000000001</v>
      </c>
      <c r="AE520">
        <v>9.7500000000024997E-2</v>
      </c>
      <c r="AF520">
        <v>-7.3710453308628104E-2</v>
      </c>
      <c r="AG520">
        <v>-0.23800550000000001</v>
      </c>
      <c r="AH520">
        <v>0.33573414699099102</v>
      </c>
      <c r="AI520">
        <v>124.699462129868</v>
      </c>
      <c r="AJ520">
        <v>102.382826871414</v>
      </c>
      <c r="AK520">
        <v>0.41808763006453797</v>
      </c>
      <c r="AL520">
        <v>85.474134987582303</v>
      </c>
      <c r="AM520">
        <v>86.096080393556207</v>
      </c>
      <c r="AN520">
        <v>0.99999992727213305</v>
      </c>
    </row>
    <row r="521" spans="1:40" x14ac:dyDescent="0.25">
      <c r="A521" t="str">
        <f>"20190312154513822"</f>
        <v>20190312154513822</v>
      </c>
      <c r="B521" t="str">
        <f>"1552376713816275"</f>
        <v>1552376713816275</v>
      </c>
      <c r="C521" t="s">
        <v>40</v>
      </c>
      <c r="D521">
        <v>4.3046439999999997</v>
      </c>
      <c r="E521">
        <v>0.50238739999999904</v>
      </c>
      <c r="F521" t="s">
        <v>43</v>
      </c>
      <c r="G521">
        <v>-312.62610000000001</v>
      </c>
      <c r="H521">
        <v>-0.05</v>
      </c>
      <c r="I521">
        <v>368.9898</v>
      </c>
      <c r="J521">
        <v>-313.88760000000002</v>
      </c>
      <c r="K521">
        <v>1.0647740000000001</v>
      </c>
      <c r="L521">
        <v>368.53449999999998</v>
      </c>
      <c r="M521">
        <v>0.99983290000000002</v>
      </c>
      <c r="N521">
        <v>0</v>
      </c>
      <c r="O521">
        <v>5.733793E-3</v>
      </c>
      <c r="P521">
        <v>0.99618910000000005</v>
      </c>
      <c r="Q521">
        <v>6.2492440000000003E-2</v>
      </c>
      <c r="R521">
        <v>-6.0843630000000003E-2</v>
      </c>
      <c r="S521">
        <v>3.100403</v>
      </c>
      <c r="T521">
        <v>-1.089243</v>
      </c>
      <c r="U521">
        <v>0.45114140000000003</v>
      </c>
      <c r="V521">
        <v>6.6559809999999997E-2</v>
      </c>
      <c r="W521">
        <v>7.9764249999999995E-2</v>
      </c>
      <c r="X521">
        <v>0.9945891</v>
      </c>
      <c r="Y521">
        <v>-0.130966</v>
      </c>
      <c r="Z521">
        <v>2.0282700000000001E-2</v>
      </c>
      <c r="AA521">
        <v>0.99117929999999999</v>
      </c>
      <c r="AB521">
        <v>24</v>
      </c>
      <c r="AC521">
        <v>1.2615000000000101</v>
      </c>
      <c r="AD521">
        <v>-1.1147739999999999</v>
      </c>
      <c r="AE521">
        <v>0.45530000000002202</v>
      </c>
      <c r="AF521">
        <v>-0.26498098902547401</v>
      </c>
      <c r="AG521">
        <v>-1.1147739999999999</v>
      </c>
      <c r="AH521">
        <v>0.74758112014052902</v>
      </c>
      <c r="AI521">
        <v>144.56842925350199</v>
      </c>
      <c r="AJ521">
        <v>109.516930326181</v>
      </c>
      <c r="AK521">
        <v>1.3681423635029599</v>
      </c>
      <c r="AL521">
        <v>85.424985098078594</v>
      </c>
      <c r="AM521">
        <v>86.171365311304399</v>
      </c>
      <c r="AN521">
        <v>1.0000000108620499</v>
      </c>
    </row>
    <row r="522" spans="1:40" x14ac:dyDescent="0.25">
      <c r="A522" t="str">
        <f>"20190312154513845"</f>
        <v>20190312154513845</v>
      </c>
      <c r="B522" t="str">
        <f>"1552376713836772"</f>
        <v>1552376713836772</v>
      </c>
      <c r="C522" t="s">
        <v>40</v>
      </c>
      <c r="D522">
        <v>4.3664630000000004</v>
      </c>
      <c r="E522">
        <v>0.50029279999999998</v>
      </c>
      <c r="F522" t="s">
        <v>41</v>
      </c>
      <c r="G522">
        <v>-313.17770000000002</v>
      </c>
      <c r="H522">
        <v>0.92356970000000005</v>
      </c>
      <c r="I522">
        <v>368.49259999999998</v>
      </c>
      <c r="J522">
        <v>-313.64550000000003</v>
      </c>
      <c r="K522">
        <v>1.0640540000000001</v>
      </c>
      <c r="L522">
        <v>368.53590000000003</v>
      </c>
      <c r="M522">
        <v>0.99984010000000001</v>
      </c>
      <c r="N522">
        <v>0</v>
      </c>
      <c r="O522">
        <v>5.7249479999999997E-3</v>
      </c>
      <c r="P522">
        <v>0.99618530000000005</v>
      </c>
      <c r="Q522">
        <v>6.2349389999999998E-2</v>
      </c>
      <c r="R522">
        <v>-6.1053990000000002E-2</v>
      </c>
      <c r="S522">
        <v>3.0384829999999998</v>
      </c>
      <c r="T522">
        <v>-0.6044022</v>
      </c>
      <c r="U522">
        <v>-0.17950439999999901</v>
      </c>
      <c r="V522">
        <v>6.6761219999999996E-2</v>
      </c>
      <c r="W522">
        <v>7.9206219999999994E-2</v>
      </c>
      <c r="X522">
        <v>0.99462019999999995</v>
      </c>
      <c r="Y522">
        <v>6.3340419999999995E-2</v>
      </c>
      <c r="Z522">
        <v>-7.3603009999999996E-3</v>
      </c>
      <c r="AA522">
        <v>0.99796490000000004</v>
      </c>
      <c r="AB522">
        <v>24</v>
      </c>
      <c r="AC522">
        <v>0.46780000000001098</v>
      </c>
      <c r="AD522">
        <v>-0.14048429999999901</v>
      </c>
      <c r="AE522">
        <v>-4.3300000000044699E-2</v>
      </c>
      <c r="AF522">
        <v>4.2203965738245502E-2</v>
      </c>
      <c r="AG522">
        <v>-0.14048429999999901</v>
      </c>
      <c r="AH522">
        <v>0.429168551323174</v>
      </c>
      <c r="AI522">
        <v>108.044015599741</v>
      </c>
      <c r="AJ522">
        <v>84.383653651438607</v>
      </c>
      <c r="AK522">
        <v>0.45354454986843001</v>
      </c>
      <c r="AL522">
        <v>85.457059357871998</v>
      </c>
      <c r="AM522">
        <v>86.159934191276804</v>
      </c>
      <c r="AN522">
        <v>1.0000000140153</v>
      </c>
    </row>
    <row r="523" spans="1:40" x14ac:dyDescent="0.25">
      <c r="A523" t="str">
        <f>"20190312154513866"</f>
        <v>20190312154513866</v>
      </c>
      <c r="B523" t="str">
        <f>"1552376713856291"</f>
        <v>1552376713856291</v>
      </c>
      <c r="C523" t="s">
        <v>40</v>
      </c>
      <c r="D523">
        <v>4.2262879999999896</v>
      </c>
      <c r="E523">
        <v>0.49997380000000002</v>
      </c>
      <c r="F523" t="s">
        <v>41</v>
      </c>
      <c r="G523">
        <v>-312.73779999999999</v>
      </c>
      <c r="H523">
        <v>0.93554990000000005</v>
      </c>
      <c r="I523">
        <v>368.48540000000003</v>
      </c>
      <c r="J523">
        <v>-313.41629999999998</v>
      </c>
      <c r="K523">
        <v>1.0634699999999999</v>
      </c>
      <c r="L523">
        <v>368.53719999999998</v>
      </c>
      <c r="M523">
        <v>0.99984620000000002</v>
      </c>
      <c r="N523">
        <v>0</v>
      </c>
      <c r="O523">
        <v>5.7160120000000003E-3</v>
      </c>
      <c r="P523">
        <v>0.99615869999999995</v>
      </c>
      <c r="Q523">
        <v>6.2538090000000005E-2</v>
      </c>
      <c r="R523">
        <v>-6.129838E-2</v>
      </c>
      <c r="S523">
        <v>3.0280149999999999</v>
      </c>
      <c r="T523">
        <v>-0.42873739999999999</v>
      </c>
      <c r="U523">
        <v>-0.16815189999999999</v>
      </c>
      <c r="V523">
        <v>6.6996349999999996E-2</v>
      </c>
      <c r="W523">
        <v>7.9044130000000004E-2</v>
      </c>
      <c r="X523">
        <v>0.99461730000000004</v>
      </c>
      <c r="Y523">
        <v>6.0495269999999997E-2</v>
      </c>
      <c r="Z523">
        <v>-5.0631299999999999E-3</v>
      </c>
      <c r="AA523">
        <v>0.99815569999999998</v>
      </c>
      <c r="AB523">
        <v>24</v>
      </c>
      <c r="AC523">
        <v>0.678499999999985</v>
      </c>
      <c r="AD523">
        <v>-0.12792010000000001</v>
      </c>
      <c r="AE523">
        <v>-5.1799999999957401E-2</v>
      </c>
      <c r="AF523">
        <v>5.3777557234834503E-2</v>
      </c>
      <c r="AG523">
        <v>-0.12792010000000001</v>
      </c>
      <c r="AH523">
        <v>0.65504419353913701</v>
      </c>
      <c r="AI523">
        <v>101.01377830725301</v>
      </c>
      <c r="AJ523">
        <v>85.306679387048604</v>
      </c>
      <c r="AK523">
        <v>0.66958081897221</v>
      </c>
      <c r="AL523">
        <v>85.466375710132596</v>
      </c>
      <c r="AM523">
        <v>86.146439128752604</v>
      </c>
      <c r="AN523">
        <v>1.00000002943003</v>
      </c>
    </row>
    <row r="524" spans="1:40" x14ac:dyDescent="0.25">
      <c r="A524" t="str">
        <f>"20190312154513888"</f>
        <v>20190312154513888</v>
      </c>
      <c r="B524" t="str">
        <f>"1552376713876788"</f>
        <v>1552376713876788</v>
      </c>
      <c r="C524" t="s">
        <v>40</v>
      </c>
      <c r="D524">
        <v>4.2527429999999997</v>
      </c>
      <c r="E524">
        <v>0.49957439999999997</v>
      </c>
      <c r="F524" t="s">
        <v>41</v>
      </c>
      <c r="G524">
        <v>-312.5027</v>
      </c>
      <c r="H524">
        <v>0.97270769999999995</v>
      </c>
      <c r="I524">
        <v>368.4855</v>
      </c>
      <c r="J524">
        <v>-313.16770000000002</v>
      </c>
      <c r="K524">
        <v>1.0629379999999999</v>
      </c>
      <c r="L524">
        <v>368.53859999999997</v>
      </c>
      <c r="M524">
        <v>0.99985179999999996</v>
      </c>
      <c r="N524">
        <v>0</v>
      </c>
      <c r="O524">
        <v>5.7069030000000001E-3</v>
      </c>
      <c r="P524">
        <v>0.99613669999999999</v>
      </c>
      <c r="Q524">
        <v>6.2872880000000006E-2</v>
      </c>
      <c r="R524">
        <v>-6.1309870000000002E-2</v>
      </c>
      <c r="S524">
        <v>3.0199579999999999</v>
      </c>
      <c r="T524">
        <v>-0.30023309999999997</v>
      </c>
      <c r="U524">
        <v>-0.16992189999999999</v>
      </c>
      <c r="V524">
        <v>6.6998660000000002E-2</v>
      </c>
      <c r="W524">
        <v>7.904079E-2</v>
      </c>
      <c r="X524">
        <v>0.99461739999999998</v>
      </c>
      <c r="Y524">
        <v>6.1544649999999999E-2</v>
      </c>
      <c r="Z524">
        <v>-3.6149699999999999E-3</v>
      </c>
      <c r="AA524">
        <v>0.99809780000000003</v>
      </c>
      <c r="AB524">
        <v>24</v>
      </c>
      <c r="AC524">
        <v>0.66500000000002002</v>
      </c>
      <c r="AD524">
        <v>-9.0230299999999999E-2</v>
      </c>
      <c r="AE524">
        <v>-5.30999999999721E-2</v>
      </c>
      <c r="AF524">
        <v>5.5872610176017801E-2</v>
      </c>
      <c r="AG524">
        <v>-9.0230299999999999E-2</v>
      </c>
      <c r="AH524">
        <v>0.65274497873215498</v>
      </c>
      <c r="AI524">
        <v>97.841922817471698</v>
      </c>
      <c r="AJ524">
        <v>85.107613587405098</v>
      </c>
      <c r="AK524">
        <v>0.66131631075152897</v>
      </c>
      <c r="AL524">
        <v>85.466567634241102</v>
      </c>
      <c r="AM524">
        <v>86.146307046575899</v>
      </c>
      <c r="AN524">
        <v>1.0000000196541801</v>
      </c>
    </row>
    <row r="525" spans="1:40" x14ac:dyDescent="0.25">
      <c r="A525" t="str">
        <f>"20190312154513909"</f>
        <v>20190312154513909</v>
      </c>
      <c r="B525" t="str">
        <f>"1552376713907043"</f>
        <v>1552376713907043</v>
      </c>
      <c r="C525" t="s">
        <v>40</v>
      </c>
      <c r="D525">
        <v>4.2541840000000004</v>
      </c>
      <c r="E525">
        <v>0.49847279999999999</v>
      </c>
      <c r="F525" t="s">
        <v>41</v>
      </c>
      <c r="G525">
        <v>-312.27539999999999</v>
      </c>
      <c r="H525">
        <v>0.99463630000000003</v>
      </c>
      <c r="I525">
        <v>368.48849999999999</v>
      </c>
      <c r="J525">
        <v>-312.93599999999998</v>
      </c>
      <c r="K525">
        <v>1.06251299999999</v>
      </c>
      <c r="L525">
        <v>368.53989999999999</v>
      </c>
      <c r="M525">
        <v>0.99985639999999998</v>
      </c>
      <c r="N525">
        <v>0</v>
      </c>
      <c r="O525">
        <v>5.6982909999999899E-3</v>
      </c>
      <c r="P525">
        <v>0.99610679999999996</v>
      </c>
      <c r="Q525">
        <v>6.3032560000000001E-2</v>
      </c>
      <c r="R525">
        <v>-6.1630089999999998E-2</v>
      </c>
      <c r="S525">
        <v>3.0158079999999998</v>
      </c>
      <c r="T525">
        <v>-0.2309985</v>
      </c>
      <c r="U525">
        <v>-0.16903689999999999</v>
      </c>
      <c r="V525">
        <v>6.7310220000000004E-2</v>
      </c>
      <c r="W525">
        <v>7.8918630000000003E-2</v>
      </c>
      <c r="X525">
        <v>0.99460599999999999</v>
      </c>
      <c r="Y525">
        <v>6.1455509999999998E-2</v>
      </c>
      <c r="Z525">
        <v>-2.783902E-3</v>
      </c>
      <c r="AA525">
        <v>0.99810589999999999</v>
      </c>
      <c r="AB525">
        <v>24</v>
      </c>
      <c r="AC525">
        <v>0.66059999999998797</v>
      </c>
      <c r="AD525">
        <v>-6.7876699999999596E-2</v>
      </c>
      <c r="AE525">
        <v>-5.1400000000000903E-2</v>
      </c>
      <c r="AF525">
        <v>5.45910547670478E-2</v>
      </c>
      <c r="AG525">
        <v>-6.7876699999999596E-2</v>
      </c>
      <c r="AH525">
        <v>0.65343912241388702</v>
      </c>
      <c r="AI525">
        <v>95.909950060499199</v>
      </c>
      <c r="AJ525">
        <v>85.224359545729897</v>
      </c>
      <c r="AK525">
        <v>0.65921932341558398</v>
      </c>
      <c r="AL525">
        <v>85.473588528406907</v>
      </c>
      <c r="AM525">
        <v>86.128396574407603</v>
      </c>
      <c r="AN525">
        <v>0.99999995555676102</v>
      </c>
    </row>
    <row r="526" spans="1:40" x14ac:dyDescent="0.25">
      <c r="A526" t="str">
        <f>"20190312154513933"</f>
        <v>20190312154513933</v>
      </c>
      <c r="B526" t="str">
        <f>"1552376713926565"</f>
        <v>1552376713926565</v>
      </c>
      <c r="C526" t="s">
        <v>40</v>
      </c>
      <c r="D526">
        <v>4.2489100000000004</v>
      </c>
      <c r="E526">
        <v>0.49848720000000002</v>
      </c>
      <c r="F526" t="s">
        <v>43</v>
      </c>
      <c r="G526">
        <v>-293.93259999999998</v>
      </c>
      <c r="H526">
        <v>-0.05</v>
      </c>
      <c r="I526">
        <v>367.51220000000001</v>
      </c>
      <c r="J526">
        <v>-312.68779999999998</v>
      </c>
      <c r="K526">
        <v>1.0621309999999999</v>
      </c>
      <c r="L526">
        <v>368.54129999999998</v>
      </c>
      <c r="M526">
        <v>0.99986079999999999</v>
      </c>
      <c r="N526">
        <v>0</v>
      </c>
      <c r="O526">
        <v>5.6892929999999998E-3</v>
      </c>
      <c r="P526">
        <v>0.99610399999999999</v>
      </c>
      <c r="Q526">
        <v>6.3030299999999997E-2</v>
      </c>
      <c r="R526">
        <v>-6.1682279999999999E-2</v>
      </c>
      <c r="S526">
        <v>3.0128170000000001</v>
      </c>
      <c r="T526">
        <v>-0.176378799999999</v>
      </c>
      <c r="U526">
        <v>-0.162933299999999</v>
      </c>
      <c r="V526">
        <v>6.7353289999999996E-2</v>
      </c>
      <c r="W526">
        <v>7.8648159999999995E-2</v>
      </c>
      <c r="X526">
        <v>0.99462459999999997</v>
      </c>
      <c r="Y526">
        <v>5.957055E-2</v>
      </c>
      <c r="Z526">
        <v>-2.0735459999999999E-3</v>
      </c>
      <c r="AA526">
        <v>0.9982219</v>
      </c>
      <c r="AB526">
        <v>24</v>
      </c>
      <c r="AC526">
        <v>18.755199999999999</v>
      </c>
      <c r="AD526">
        <v>-1.112131</v>
      </c>
      <c r="AE526">
        <v>-1.0290999999999699</v>
      </c>
      <c r="AF526">
        <v>1.1318325393034001</v>
      </c>
      <c r="AG526">
        <v>-1.112131</v>
      </c>
      <c r="AH526">
        <v>18.683543701972599</v>
      </c>
      <c r="AI526">
        <v>93.400271691005798</v>
      </c>
      <c r="AJ526">
        <v>86.533308972919897</v>
      </c>
      <c r="AK526">
        <v>18.750804929967799</v>
      </c>
      <c r="AL526">
        <v>85.489134049192899</v>
      </c>
      <c r="AM526">
        <v>86.125999007403607</v>
      </c>
      <c r="AN526">
        <v>1.00000004683518</v>
      </c>
    </row>
    <row r="527" spans="1:40" x14ac:dyDescent="0.25">
      <c r="A527" t="str">
        <f>"20190312154513955"</f>
        <v>20190312154513955</v>
      </c>
      <c r="B527" t="str">
        <f>"1552376713947059"</f>
        <v>1552376713947059</v>
      </c>
      <c r="C527" t="s">
        <v>40</v>
      </c>
      <c r="D527">
        <v>4.2641980000000004</v>
      </c>
      <c r="E527">
        <v>0.49860539999999998</v>
      </c>
      <c r="F527" t="s">
        <v>43</v>
      </c>
      <c r="G527">
        <v>-290.34320000000002</v>
      </c>
      <c r="H527">
        <v>-0.05</v>
      </c>
      <c r="I527">
        <v>367.327</v>
      </c>
      <c r="J527">
        <v>-312.44940000000003</v>
      </c>
      <c r="K527">
        <v>1.061814</v>
      </c>
      <c r="L527">
        <v>368.54259999999999</v>
      </c>
      <c r="M527">
        <v>0.99986439999999999</v>
      </c>
      <c r="N527">
        <v>0</v>
      </c>
      <c r="O527">
        <v>5.6810230000000003E-3</v>
      </c>
      <c r="P527">
        <v>0.99609429999999999</v>
      </c>
      <c r="Q527">
        <v>6.313349E-2</v>
      </c>
      <c r="R527">
        <v>-6.1730319999999998E-2</v>
      </c>
      <c r="S527">
        <v>3.0110779999999999</v>
      </c>
      <c r="T527">
        <v>-0.14986629999999901</v>
      </c>
      <c r="U527">
        <v>-0.16363529999999901</v>
      </c>
      <c r="V527">
        <v>6.7393030000000007E-2</v>
      </c>
      <c r="W527">
        <v>7.8523609999999994E-2</v>
      </c>
      <c r="X527">
        <v>0.99463170000000001</v>
      </c>
      <c r="Y527">
        <v>5.9855899999999997E-2</v>
      </c>
      <c r="Z527">
        <v>-1.7699619999999999E-3</v>
      </c>
      <c r="AA527">
        <v>0.99820549999999997</v>
      </c>
      <c r="AB527">
        <v>24</v>
      </c>
      <c r="AC527">
        <v>22.106200000000001</v>
      </c>
      <c r="AD527">
        <v>-1.1118139999999901</v>
      </c>
      <c r="AE527">
        <v>-1.21559999999999</v>
      </c>
      <c r="AF527">
        <v>1.3378074209117099</v>
      </c>
      <c r="AG527">
        <v>-1.1118139999999901</v>
      </c>
      <c r="AH527">
        <v>22.043345779219401</v>
      </c>
      <c r="AI527">
        <v>92.882122237933103</v>
      </c>
      <c r="AJ527">
        <v>86.526987369188404</v>
      </c>
      <c r="AK527">
        <v>22.11187355717</v>
      </c>
      <c r="AL527">
        <v>85.496292157076795</v>
      </c>
      <c r="AM527">
        <v>86.123747809152903</v>
      </c>
      <c r="AN527">
        <v>0.999999998232451</v>
      </c>
    </row>
    <row r="528" spans="1:40" x14ac:dyDescent="0.25">
      <c r="A528" t="str">
        <f>"20190312154513978"</f>
        <v>20190312154513978</v>
      </c>
      <c r="B528" t="str">
        <f>"1552376713966580"</f>
        <v>1552376713966580</v>
      </c>
      <c r="C528" t="s">
        <v>40</v>
      </c>
      <c r="D528">
        <v>4.2630270000000001</v>
      </c>
      <c r="E528">
        <v>0.49870920000000002</v>
      </c>
      <c r="F528" t="s">
        <v>43</v>
      </c>
      <c r="G528">
        <v>-286.80619999999999</v>
      </c>
      <c r="H528">
        <v>-0.05</v>
      </c>
      <c r="I528">
        <v>367.13470000000001</v>
      </c>
      <c r="J528">
        <v>-312.20650000000001</v>
      </c>
      <c r="K528">
        <v>1.061542</v>
      </c>
      <c r="L528">
        <v>368.54399999999998</v>
      </c>
      <c r="M528">
        <v>0.99986759999999997</v>
      </c>
      <c r="N528">
        <v>0</v>
      </c>
      <c r="O528">
        <v>5.6721999999999996E-3</v>
      </c>
      <c r="P528">
        <v>0.99611810000000001</v>
      </c>
      <c r="Q528">
        <v>6.3195769999999998E-2</v>
      </c>
      <c r="R528">
        <v>-6.1280330000000001E-2</v>
      </c>
      <c r="S528">
        <v>3.0097960000000001</v>
      </c>
      <c r="T528">
        <v>-0.13049630000000001</v>
      </c>
      <c r="U528">
        <v>-0.1652527</v>
      </c>
      <c r="V528">
        <v>6.6934469999999996E-2</v>
      </c>
      <c r="W528">
        <v>7.8379580000000004E-2</v>
      </c>
      <c r="X528">
        <v>0.99467399999999995</v>
      </c>
      <c r="Y528">
        <v>6.0423909999999997E-2</v>
      </c>
      <c r="Z528">
        <v>-1.5539740000000001E-3</v>
      </c>
      <c r="AA528">
        <v>0.99817160000000005</v>
      </c>
      <c r="AB528">
        <v>24</v>
      </c>
      <c r="AC528">
        <v>25.400300000000001</v>
      </c>
      <c r="AD528">
        <v>-1.111542</v>
      </c>
      <c r="AE528">
        <v>-1.40930000000003</v>
      </c>
      <c r="AF528">
        <v>1.55040970574431</v>
      </c>
      <c r="AG528">
        <v>-1.111542</v>
      </c>
      <c r="AH528">
        <v>25.343512059605601</v>
      </c>
      <c r="AI528">
        <v>92.506648023379896</v>
      </c>
      <c r="AJ528">
        <v>86.499247483500895</v>
      </c>
      <c r="AK528">
        <v>25.415210000879501</v>
      </c>
      <c r="AL528">
        <v>85.504569872195603</v>
      </c>
      <c r="AM528">
        <v>86.150206497862598</v>
      </c>
      <c r="AN528">
        <v>0.99999997405557794</v>
      </c>
    </row>
    <row r="529" spans="1:40" x14ac:dyDescent="0.25">
      <c r="A529" t="str">
        <f>"20190312154513999"</f>
        <v>20190312154513999</v>
      </c>
      <c r="B529" t="str">
        <f>"1552376713987075"</f>
        <v>1552376713987075</v>
      </c>
      <c r="C529" t="s">
        <v>40</v>
      </c>
      <c r="D529">
        <v>4.304405</v>
      </c>
      <c r="E529">
        <v>0.49838300000000002</v>
      </c>
      <c r="F529" t="s">
        <v>43</v>
      </c>
      <c r="G529">
        <v>-283.22109999999998</v>
      </c>
      <c r="H529">
        <v>-0.05</v>
      </c>
      <c r="I529">
        <v>366.95209999999997</v>
      </c>
      <c r="J529">
        <v>-311.96870000000001</v>
      </c>
      <c r="K529">
        <v>1.061323</v>
      </c>
      <c r="L529">
        <v>368.54539999999997</v>
      </c>
      <c r="M529">
        <v>0.99987040000000005</v>
      </c>
      <c r="N529">
        <v>0</v>
      </c>
      <c r="O529">
        <v>5.6635050000000001E-3</v>
      </c>
      <c r="P529">
        <v>0.99611470000000002</v>
      </c>
      <c r="Q529">
        <v>6.3368099999999997E-2</v>
      </c>
      <c r="R529">
        <v>-6.115744E-2</v>
      </c>
      <c r="S529">
        <v>3.0088499999999998</v>
      </c>
      <c r="T529">
        <v>-0.1153845</v>
      </c>
      <c r="U529">
        <v>-0.1652527</v>
      </c>
      <c r="V529">
        <v>6.6802849999999997E-2</v>
      </c>
      <c r="W529">
        <v>7.8372919999999999E-2</v>
      </c>
      <c r="X529">
        <v>0.9946834</v>
      </c>
      <c r="Y529">
        <v>6.0445859999999997E-2</v>
      </c>
      <c r="Z529">
        <v>-1.3746779999999901E-3</v>
      </c>
      <c r="AA529">
        <v>0.99817060000000002</v>
      </c>
      <c r="AB529">
        <v>24</v>
      </c>
      <c r="AC529">
        <v>28.747599999999998</v>
      </c>
      <c r="AD529">
        <v>-1.1113230000000001</v>
      </c>
      <c r="AE529">
        <v>-1.5932999999999899</v>
      </c>
      <c r="AF529">
        <v>1.75349265046492</v>
      </c>
      <c r="AG529">
        <v>-1.1113230000000001</v>
      </c>
      <c r="AH529">
        <v>28.695362094124601</v>
      </c>
      <c r="AI529">
        <v>92.213735382901106</v>
      </c>
      <c r="AJ529">
        <v>86.503164671106603</v>
      </c>
      <c r="AK529">
        <v>28.770359417262899</v>
      </c>
      <c r="AL529">
        <v>85.504952759995703</v>
      </c>
      <c r="AM529">
        <v>86.157790239039699</v>
      </c>
      <c r="AN529">
        <v>1.0000000007965</v>
      </c>
    </row>
    <row r="530" spans="1:40" x14ac:dyDescent="0.25">
      <c r="A530" t="str">
        <f>"20190312154514023"</f>
        <v>20190312154514023</v>
      </c>
      <c r="B530" t="str">
        <f>"1552376714016356"</f>
        <v>1552376714016356</v>
      </c>
      <c r="C530" t="s">
        <v>40</v>
      </c>
      <c r="D530">
        <v>4.3185279999999997</v>
      </c>
      <c r="E530">
        <v>0.49799399999999999</v>
      </c>
      <c r="F530" t="s">
        <v>43</v>
      </c>
      <c r="G530">
        <v>-279.74209999999999</v>
      </c>
      <c r="H530">
        <v>-0.05</v>
      </c>
      <c r="I530">
        <v>366.80709999999999</v>
      </c>
      <c r="J530">
        <v>-311.72579999999999</v>
      </c>
      <c r="K530">
        <v>1.0611360000000001</v>
      </c>
      <c r="L530">
        <v>368.54669999999999</v>
      </c>
      <c r="M530">
        <v>0.99987280000000001</v>
      </c>
      <c r="N530">
        <v>0</v>
      </c>
      <c r="O530">
        <v>5.6551350000000004E-3</v>
      </c>
      <c r="P530">
        <v>0.99609409999999998</v>
      </c>
      <c r="Q530">
        <v>6.3491649999999997E-2</v>
      </c>
      <c r="R530">
        <v>-6.1360989999999997E-2</v>
      </c>
      <c r="S530">
        <v>3.008362</v>
      </c>
      <c r="T530">
        <v>-0.1037421</v>
      </c>
      <c r="U530">
        <v>-0.16226199999999999</v>
      </c>
      <c r="V530">
        <v>6.6998059999999998E-2</v>
      </c>
      <c r="W530">
        <v>7.8334399999999998E-2</v>
      </c>
      <c r="X530">
        <v>0.99467329999999998</v>
      </c>
      <c r="Y530">
        <v>5.9466789999999999E-2</v>
      </c>
      <c r="Z530">
        <v>-1.2191389999999999E-3</v>
      </c>
      <c r="AA530">
        <v>0.99822960000000005</v>
      </c>
      <c r="AB530">
        <v>24</v>
      </c>
      <c r="AC530">
        <v>31.983699999999999</v>
      </c>
      <c r="AD530">
        <v>-1.1111359999999999</v>
      </c>
      <c r="AE530">
        <v>-1.73959999999999</v>
      </c>
      <c r="AF530">
        <v>1.91815620990088</v>
      </c>
      <c r="AG530">
        <v>-1.1111359999999999</v>
      </c>
      <c r="AH530">
        <v>31.934920606084798</v>
      </c>
      <c r="AI530">
        <v>91.9891497314226</v>
      </c>
      <c r="AJ530">
        <v>86.562685236664507</v>
      </c>
      <c r="AK530">
        <v>32.011765033703199</v>
      </c>
      <c r="AL530">
        <v>85.507166577997495</v>
      </c>
      <c r="AM530">
        <v>86.146557374587701</v>
      </c>
      <c r="AN530">
        <v>0.999999996000006</v>
      </c>
    </row>
    <row r="531" spans="1:40" x14ac:dyDescent="0.25">
      <c r="A531" t="str">
        <f>"20190312154514046"</f>
        <v>20190312154514046</v>
      </c>
      <c r="B531" t="str">
        <f>"1552376714036852"</f>
        <v>1552376714036852</v>
      </c>
      <c r="C531" t="s">
        <v>40</v>
      </c>
      <c r="D531">
        <v>4.2981299999999996</v>
      </c>
      <c r="E531">
        <v>0.4978051</v>
      </c>
      <c r="F531" t="s">
        <v>42</v>
      </c>
      <c r="G531">
        <v>-276.59589999999997</v>
      </c>
      <c r="H531" s="1">
        <v>-1.9644190000000001E-6</v>
      </c>
      <c r="I531">
        <v>366.67500000000001</v>
      </c>
      <c r="J531">
        <v>-311.47660000000002</v>
      </c>
      <c r="K531">
        <v>1.060981</v>
      </c>
      <c r="L531">
        <v>368.54809999999998</v>
      </c>
      <c r="M531">
        <v>0.99987510000000002</v>
      </c>
      <c r="N531">
        <v>0</v>
      </c>
      <c r="O531">
        <v>5.6455069999999897E-3</v>
      </c>
      <c r="P531">
        <v>0.9960656</v>
      </c>
      <c r="Q531">
        <v>6.3828650000000001E-2</v>
      </c>
      <c r="R531">
        <v>-6.1480670000000001E-2</v>
      </c>
      <c r="S531">
        <v>3.0076900000000002</v>
      </c>
      <c r="T531">
        <v>-9.0850349999999996E-2</v>
      </c>
      <c r="U531">
        <v>-0.1602478</v>
      </c>
      <c r="V531">
        <v>6.7107620000000007E-2</v>
      </c>
      <c r="W531">
        <v>7.8525499999999998E-2</v>
      </c>
      <c r="X531">
        <v>0.99465079999999995</v>
      </c>
      <c r="Y531">
        <v>5.8811860000000001E-2</v>
      </c>
      <c r="Z531">
        <v>-1.057798E-3</v>
      </c>
      <c r="AA531">
        <v>0.9982685</v>
      </c>
      <c r="AB531">
        <v>24</v>
      </c>
      <c r="AC531">
        <v>34.880699999999997</v>
      </c>
      <c r="AD531">
        <v>-1.0609829644190001</v>
      </c>
      <c r="AE531">
        <v>-1.87309999999996</v>
      </c>
      <c r="AF531">
        <v>2.0681028844432401</v>
      </c>
      <c r="AG531">
        <v>-1.0609829644190001</v>
      </c>
      <c r="AH531">
        <v>34.837428558579902</v>
      </c>
      <c r="AI531">
        <v>91.741354907941002</v>
      </c>
      <c r="AJ531">
        <v>86.602657838801093</v>
      </c>
      <c r="AK531">
        <v>34.914884547504798</v>
      </c>
      <c r="AL531">
        <v>85.496183316661003</v>
      </c>
      <c r="AM531">
        <v>86.140187935054499</v>
      </c>
      <c r="AN531">
        <v>0.99999995037647504</v>
      </c>
    </row>
    <row r="532" spans="1:40" x14ac:dyDescent="0.25">
      <c r="A532" t="str">
        <f>"20190312154514070"</f>
        <v>20190312154514070</v>
      </c>
      <c r="B532" t="str">
        <f>"1552376714056371"</f>
        <v>1552376714056371</v>
      </c>
      <c r="C532" t="s">
        <v>40</v>
      </c>
      <c r="D532">
        <v>4.332643</v>
      </c>
      <c r="E532">
        <v>0.4975986</v>
      </c>
      <c r="F532" t="s">
        <v>42</v>
      </c>
      <c r="G532">
        <v>-273.30160000000001</v>
      </c>
      <c r="H532" s="1">
        <v>-3.4042439999999999E-6</v>
      </c>
      <c r="I532">
        <v>366.52510000000001</v>
      </c>
      <c r="J532">
        <v>-311.22120000000001</v>
      </c>
      <c r="K532">
        <v>1.060848</v>
      </c>
      <c r="L532">
        <v>368.54950000000002</v>
      </c>
      <c r="M532">
        <v>0.99987700000000002</v>
      </c>
      <c r="N532">
        <v>0</v>
      </c>
      <c r="O532">
        <v>5.6355789999999999E-3</v>
      </c>
      <c r="P532">
        <v>0.99602959999999996</v>
      </c>
      <c r="Q532">
        <v>6.4040490000000005E-2</v>
      </c>
      <c r="R532">
        <v>-6.1839440000000002E-2</v>
      </c>
      <c r="S532">
        <v>3.0073850000000002</v>
      </c>
      <c r="T532">
        <v>-8.3582879999999998E-2</v>
      </c>
      <c r="U532">
        <v>-0.1593628</v>
      </c>
      <c r="V532">
        <v>6.7456409999999994E-2</v>
      </c>
      <c r="W532">
        <v>7.8606309999999999E-2</v>
      </c>
      <c r="X532">
        <v>0.99462090000000003</v>
      </c>
      <c r="Y532">
        <v>5.8518979999999998E-2</v>
      </c>
      <c r="Z532">
        <v>-9.6897819999999996E-4</v>
      </c>
      <c r="AA532">
        <v>0.9982858</v>
      </c>
      <c r="AB532">
        <v>24</v>
      </c>
      <c r="AC532">
        <v>37.919600000000003</v>
      </c>
      <c r="AD532">
        <v>-1.060851404244</v>
      </c>
      <c r="AE532">
        <v>-2.0244000000000102</v>
      </c>
      <c r="AF532">
        <v>2.2363442837154799</v>
      </c>
      <c r="AG532">
        <v>-1.060851404244</v>
      </c>
      <c r="AH532">
        <v>37.878025880360703</v>
      </c>
      <c r="AI532">
        <v>91.601478511172701</v>
      </c>
      <c r="AJ532">
        <v>86.621140768043702</v>
      </c>
      <c r="AK532">
        <v>37.958813022149002</v>
      </c>
      <c r="AL532">
        <v>85.491539234225499</v>
      </c>
      <c r="AM532">
        <v>86.120071502952896</v>
      </c>
      <c r="AN532">
        <v>1.0000000269693501</v>
      </c>
    </row>
    <row r="533" spans="1:40" x14ac:dyDescent="0.25">
      <c r="A533" t="str">
        <f>"20190312154514090"</f>
        <v>20190312154514090</v>
      </c>
      <c r="B533" t="str">
        <f>"1552376714086627"</f>
        <v>1552376714086627</v>
      </c>
      <c r="C533" t="s">
        <v>40</v>
      </c>
      <c r="D533">
        <v>4.3744449999999997</v>
      </c>
      <c r="E533">
        <v>0.49747069999999999</v>
      </c>
      <c r="F533" t="s">
        <v>42</v>
      </c>
      <c r="G533">
        <v>-270.45600000000002</v>
      </c>
      <c r="H533" s="1">
        <v>-4.6481520000000002E-6</v>
      </c>
      <c r="I533">
        <v>366.39449999999999</v>
      </c>
      <c r="J533">
        <v>-310.99880000000002</v>
      </c>
      <c r="K533">
        <v>1.060754</v>
      </c>
      <c r="L533">
        <v>368.55079999999998</v>
      </c>
      <c r="M533">
        <v>0.9998785</v>
      </c>
      <c r="N533">
        <v>0</v>
      </c>
      <c r="O533">
        <v>5.6273850000000004E-3</v>
      </c>
      <c r="P533">
        <v>0.99602849999999998</v>
      </c>
      <c r="Q533">
        <v>6.4215980000000006E-2</v>
      </c>
      <c r="R533">
        <v>-6.1678339999999998E-2</v>
      </c>
      <c r="S533">
        <v>3.0070800000000002</v>
      </c>
      <c r="T533">
        <v>-7.8254580000000004E-2</v>
      </c>
      <c r="U533">
        <v>-0.1589661</v>
      </c>
      <c r="V533">
        <v>6.7286970000000002E-2</v>
      </c>
      <c r="W533">
        <v>7.868095E-2</v>
      </c>
      <c r="X533">
        <v>0.99462649999999997</v>
      </c>
      <c r="Y533">
        <v>5.83879E-2</v>
      </c>
      <c r="Z533">
        <v>-9.0540620000000005E-4</v>
      </c>
      <c r="AA533">
        <v>0.9982936</v>
      </c>
      <c r="AB533">
        <v>24</v>
      </c>
      <c r="AC533">
        <v>40.5428</v>
      </c>
      <c r="AD533">
        <v>-1.0607586481519999</v>
      </c>
      <c r="AE533">
        <v>-2.1562999999999799</v>
      </c>
      <c r="AF533">
        <v>2.3828133489963101</v>
      </c>
      <c r="AG533">
        <v>-1.0607586481519999</v>
      </c>
      <c r="AH533">
        <v>40.5023745776586</v>
      </c>
      <c r="AI533">
        <v>91.497647216152401</v>
      </c>
      <c r="AJ533">
        <v>86.633087192316793</v>
      </c>
      <c r="AK533">
        <v>40.586270520888498</v>
      </c>
      <c r="AL533">
        <v>85.487249501139004</v>
      </c>
      <c r="AM533">
        <v>86.129809348414398</v>
      </c>
      <c r="AN533">
        <v>1.0000000513634599</v>
      </c>
    </row>
    <row r="534" spans="1:40" x14ac:dyDescent="0.25">
      <c r="A534" t="str">
        <f>"20190312154514112"</f>
        <v>20190312154514112</v>
      </c>
      <c r="B534" t="str">
        <f>"1552376714106148"</f>
        <v>1552376714106148</v>
      </c>
      <c r="C534" t="s">
        <v>40</v>
      </c>
      <c r="D534">
        <v>4.3803799999999997</v>
      </c>
      <c r="E534">
        <v>0.4975985</v>
      </c>
      <c r="F534" t="s">
        <v>42</v>
      </c>
      <c r="G534">
        <v>-266.65350000000001</v>
      </c>
      <c r="H534" s="1">
        <v>-2.0276790000000001E-6</v>
      </c>
      <c r="I534">
        <v>366.22329999999999</v>
      </c>
      <c r="J534">
        <v>-310.76170000000002</v>
      </c>
      <c r="K534">
        <v>1.06067</v>
      </c>
      <c r="L534">
        <v>368.5521</v>
      </c>
      <c r="M534">
        <v>0.99987999999999999</v>
      </c>
      <c r="N534">
        <v>0</v>
      </c>
      <c r="O534">
        <v>5.6186689999999997E-3</v>
      </c>
      <c r="P534">
        <v>0.99600520000000003</v>
      </c>
      <c r="Q534">
        <v>6.4305099999999907E-2</v>
      </c>
      <c r="R534">
        <v>-6.1956129999999998E-2</v>
      </c>
      <c r="S534">
        <v>3.0068359999999998</v>
      </c>
      <c r="T534">
        <v>-7.1924450000000001E-2</v>
      </c>
      <c r="U534">
        <v>-0.15780640000000001</v>
      </c>
      <c r="V534">
        <v>6.7556290000000005E-2</v>
      </c>
      <c r="W534">
        <v>7.8674289999999994E-2</v>
      </c>
      <c r="X534">
        <v>0.99460870000000001</v>
      </c>
      <c r="Y534">
        <v>5.8002959999999999E-2</v>
      </c>
      <c r="Z534">
        <v>-8.2745569999999997E-4</v>
      </c>
      <c r="AA534">
        <v>0.99831599999999998</v>
      </c>
      <c r="AB534">
        <v>24</v>
      </c>
      <c r="AC534">
        <v>44.108199999999997</v>
      </c>
      <c r="AD534">
        <v>-1.060672027679</v>
      </c>
      <c r="AE534">
        <v>-2.3288000000000002</v>
      </c>
      <c r="AF534">
        <v>2.5751334797725298</v>
      </c>
      <c r="AG534">
        <v>-1.060672027679</v>
      </c>
      <c r="AH534">
        <v>44.069004965997202</v>
      </c>
      <c r="AI534">
        <v>91.376406619561095</v>
      </c>
      <c r="AJ534">
        <v>86.655774480466604</v>
      </c>
      <c r="AK534">
        <v>44.1569194609636</v>
      </c>
      <c r="AL534">
        <v>85.487631960182796</v>
      </c>
      <c r="AM534">
        <v>86.114296717925299</v>
      </c>
      <c r="AN534">
        <v>0.99999998117062805</v>
      </c>
    </row>
    <row r="535" spans="1:40" x14ac:dyDescent="0.25">
      <c r="A535" t="str">
        <f>"20190312154514135"</f>
        <v>20190312154514135</v>
      </c>
      <c r="B535" t="str">
        <f>"1552376714126643"</f>
        <v>1552376714126643</v>
      </c>
      <c r="C535" t="s">
        <v>40</v>
      </c>
      <c r="D535">
        <v>4.3595959999999998</v>
      </c>
      <c r="E535">
        <v>0.49774970000000002</v>
      </c>
      <c r="F535" t="s">
        <v>42</v>
      </c>
      <c r="G535">
        <v>-263.78059999999999</v>
      </c>
      <c r="H535" s="1">
        <v>-3.2820219999999998E-6</v>
      </c>
      <c r="I535">
        <v>366.05549999999999</v>
      </c>
      <c r="J535">
        <v>-310.51839999999999</v>
      </c>
      <c r="K535">
        <v>1.0605960000000001</v>
      </c>
      <c r="L535">
        <v>368.55340000000001</v>
      </c>
      <c r="M535">
        <v>0.99988129999999997</v>
      </c>
      <c r="N535">
        <v>0</v>
      </c>
      <c r="O535">
        <v>5.6097029999999997E-3</v>
      </c>
      <c r="P535">
        <v>0.99601790000000001</v>
      </c>
      <c r="Q535">
        <v>6.4383469999999998E-2</v>
      </c>
      <c r="R535">
        <v>-6.1670799999999998E-2</v>
      </c>
      <c r="S535">
        <v>3.0064700000000002</v>
      </c>
      <c r="T535">
        <v>-6.7875859999999996E-2</v>
      </c>
      <c r="U535">
        <v>-0.1597595</v>
      </c>
      <c r="V535">
        <v>6.7261979999999999E-2</v>
      </c>
      <c r="W535">
        <v>7.8666689999999997E-2</v>
      </c>
      <c r="X535">
        <v>0.99462930000000005</v>
      </c>
      <c r="Y535">
        <v>5.8648930000000002E-2</v>
      </c>
      <c r="Z535">
        <v>-7.8805580000000002E-4</v>
      </c>
      <c r="AA535">
        <v>0.99827840000000001</v>
      </c>
      <c r="AB535">
        <v>24</v>
      </c>
      <c r="AC535">
        <v>46.737799999999901</v>
      </c>
      <c r="AD535">
        <v>-1.0605992820219901</v>
      </c>
      <c r="AE535">
        <v>-2.4979000000000098</v>
      </c>
      <c r="AF535">
        <v>2.7586563364917298</v>
      </c>
      <c r="AG535">
        <v>-1.0605992820219901</v>
      </c>
      <c r="AH535">
        <v>46.699071280046901</v>
      </c>
      <c r="AI535">
        <v>91.298777869694803</v>
      </c>
      <c r="AJ535">
        <v>86.619292655617798</v>
      </c>
      <c r="AK535">
        <v>46.792502754595198</v>
      </c>
      <c r="AL535">
        <v>85.488068997343603</v>
      </c>
      <c r="AM535">
        <v>86.131253207522803</v>
      </c>
      <c r="AN535">
        <v>1.00000003324378</v>
      </c>
    </row>
    <row r="536" spans="1:40" x14ac:dyDescent="0.25">
      <c r="A536" t="str">
        <f>"20190312154514156"</f>
        <v>20190312154514156</v>
      </c>
      <c r="B536" t="str">
        <f>"1552376714146163"</f>
        <v>1552376714146163</v>
      </c>
      <c r="C536" t="s">
        <v>40</v>
      </c>
      <c r="D536">
        <v>4.3503740000000004</v>
      </c>
      <c r="E536">
        <v>0.4978921</v>
      </c>
      <c r="F536" t="s">
        <v>42</v>
      </c>
      <c r="G536">
        <v>-261.38600000000002</v>
      </c>
      <c r="H536" s="1">
        <v>-4.3305219999999996E-6</v>
      </c>
      <c r="I536">
        <v>365.9359</v>
      </c>
      <c r="J536">
        <v>-310.29410000000001</v>
      </c>
      <c r="K536">
        <v>1.06054</v>
      </c>
      <c r="L536">
        <v>368.55470000000003</v>
      </c>
      <c r="M536">
        <v>0.9998823</v>
      </c>
      <c r="N536">
        <v>0</v>
      </c>
      <c r="O536">
        <v>5.6015120000000003E-3</v>
      </c>
      <c r="P536">
        <v>0.99599040000000005</v>
      </c>
      <c r="Q536">
        <v>6.4808439999999995E-2</v>
      </c>
      <c r="R536">
        <v>-6.1669540000000002E-2</v>
      </c>
      <c r="S536">
        <v>3.006256</v>
      </c>
      <c r="T536">
        <v>-6.4894679999999996E-2</v>
      </c>
      <c r="U536">
        <v>-0.160156299999999</v>
      </c>
      <c r="V536">
        <v>6.725246E-2</v>
      </c>
      <c r="W536">
        <v>7.9020370000000006E-2</v>
      </c>
      <c r="X536">
        <v>0.99460179999999998</v>
      </c>
      <c r="Y536">
        <v>5.8777250000000003E-2</v>
      </c>
      <c r="Z536">
        <v>-7.5470959999999999E-4</v>
      </c>
      <c r="AA536">
        <v>0.99827080000000001</v>
      </c>
      <c r="AB536">
        <v>24</v>
      </c>
      <c r="AC536">
        <v>48.908099999999997</v>
      </c>
      <c r="AD536">
        <v>-1.0605443305219999</v>
      </c>
      <c r="AE536">
        <v>-2.6188000000000198</v>
      </c>
      <c r="AF536">
        <v>2.8913904777669601</v>
      </c>
      <c r="AG536">
        <v>-1.0605443305219999</v>
      </c>
      <c r="AH536">
        <v>48.8697482365531</v>
      </c>
      <c r="AI536">
        <v>91.241036713559097</v>
      </c>
      <c r="AJ536">
        <v>86.614028555416198</v>
      </c>
      <c r="AK536">
        <v>48.966694659492802</v>
      </c>
      <c r="AL536">
        <v>85.467740861486106</v>
      </c>
      <c r="AM536">
        <v>86.131692484314797</v>
      </c>
      <c r="AN536">
        <v>0.999999926407111</v>
      </c>
    </row>
    <row r="537" spans="1:40" x14ac:dyDescent="0.25">
      <c r="A537" t="str">
        <f>"20190312154514179"</f>
        <v>20190312154514179</v>
      </c>
      <c r="B537" t="str">
        <f>"1552376714176420"</f>
        <v>1552376714176420</v>
      </c>
      <c r="C537" t="s">
        <v>40</v>
      </c>
      <c r="D537">
        <v>4.3666960000000001</v>
      </c>
      <c r="E537">
        <v>0.49805359999999999</v>
      </c>
      <c r="F537" t="s">
        <v>42</v>
      </c>
      <c r="G537">
        <v>-258.44029999999998</v>
      </c>
      <c r="H537" s="1">
        <v>-1.5389950000000001E-6</v>
      </c>
      <c r="I537">
        <v>365.77480000000003</v>
      </c>
      <c r="J537">
        <v>-310.05040000000002</v>
      </c>
      <c r="K537">
        <v>1.0604899999999999</v>
      </c>
      <c r="L537">
        <v>368.55610000000001</v>
      </c>
      <c r="M537">
        <v>0.99988339999999998</v>
      </c>
      <c r="N537">
        <v>0</v>
      </c>
      <c r="O537">
        <v>5.5930579999999997E-3</v>
      </c>
      <c r="P537">
        <v>0.99598759999999997</v>
      </c>
      <c r="Q537">
        <v>6.4713030000000005E-2</v>
      </c>
      <c r="R537">
        <v>-6.1815229999999999E-2</v>
      </c>
      <c r="S537">
        <v>3.0061339999999999</v>
      </c>
      <c r="T537">
        <v>-6.1482910000000002E-2</v>
      </c>
      <c r="U537">
        <v>-0.16116329999999901</v>
      </c>
      <c r="V537">
        <v>6.7389870000000004E-2</v>
      </c>
      <c r="W537">
        <v>7.8857319999999995E-2</v>
      </c>
      <c r="X537">
        <v>0.99460550000000003</v>
      </c>
      <c r="Y537">
        <v>5.9105890000000001E-2</v>
      </c>
      <c r="Z537">
        <v>-7.182477E-4</v>
      </c>
      <c r="AA537">
        <v>0.99825140000000001</v>
      </c>
      <c r="AB537">
        <v>24</v>
      </c>
      <c r="AC537">
        <v>51.610100000000003</v>
      </c>
      <c r="AD537">
        <v>-1.060491538995</v>
      </c>
      <c r="AE537">
        <v>-2.7812999999999799</v>
      </c>
      <c r="AF537">
        <v>3.06865200307855</v>
      </c>
      <c r="AG537">
        <v>-1.060491538995</v>
      </c>
      <c r="AH537">
        <v>51.572023051389898</v>
      </c>
      <c r="AI537">
        <v>91.175945594311898</v>
      </c>
      <c r="AJ537">
        <v>86.5947864969731</v>
      </c>
      <c r="AK537">
        <v>51.674121463585401</v>
      </c>
      <c r="AL537">
        <v>85.477112452995698</v>
      </c>
      <c r="AM537">
        <v>86.123827216561494</v>
      </c>
      <c r="AN537">
        <v>0.99999998606322404</v>
      </c>
    </row>
    <row r="538" spans="1:40" x14ac:dyDescent="0.25">
      <c r="A538" t="str">
        <f>"20190312154514202"</f>
        <v>20190312154514202</v>
      </c>
      <c r="B538" t="str">
        <f>"1552376714196916"</f>
        <v>1552376714196916</v>
      </c>
      <c r="C538" t="s">
        <v>40</v>
      </c>
      <c r="D538">
        <v>4.3361720000000004</v>
      </c>
      <c r="E538">
        <v>0.49815530000000002</v>
      </c>
      <c r="F538" t="s">
        <v>42</v>
      </c>
      <c r="G538">
        <v>-255.79079999999999</v>
      </c>
      <c r="H538" s="1">
        <v>-2.4979510000000002E-6</v>
      </c>
      <c r="I538">
        <v>365.61430000000001</v>
      </c>
      <c r="J538">
        <v>-309.81360000000001</v>
      </c>
      <c r="K538">
        <v>1.0604480000000001</v>
      </c>
      <c r="L538">
        <v>368.55739999999997</v>
      </c>
      <c r="M538">
        <v>0.9998842</v>
      </c>
      <c r="N538">
        <v>0</v>
      </c>
      <c r="O538">
        <v>5.5845950000000004E-3</v>
      </c>
      <c r="P538">
        <v>0.99597080000000004</v>
      </c>
      <c r="Q538">
        <v>6.5162090000000006E-2</v>
      </c>
      <c r="R538">
        <v>-6.1613719999999997E-2</v>
      </c>
      <c r="S538">
        <v>3.0057680000000002</v>
      </c>
      <c r="T538">
        <v>-5.8746930000000003E-2</v>
      </c>
      <c r="U538">
        <v>-0.16296389999999999</v>
      </c>
      <c r="V538">
        <v>6.7179580000000003E-2</v>
      </c>
      <c r="W538">
        <v>7.924805E-2</v>
      </c>
      <c r="X538">
        <v>0.99458869999999999</v>
      </c>
      <c r="Y538">
        <v>5.9701240000000003E-2</v>
      </c>
      <c r="Z538">
        <v>-6.9201240000000002E-4</v>
      </c>
      <c r="AA538">
        <v>0.99821599999999999</v>
      </c>
      <c r="AB538">
        <v>24</v>
      </c>
      <c r="AC538">
        <v>54.022799999999997</v>
      </c>
      <c r="AD538">
        <v>-1.0604504979510001</v>
      </c>
      <c r="AE538">
        <v>-2.9430999999999501</v>
      </c>
      <c r="AF538">
        <v>3.2435336746244601</v>
      </c>
      <c r="AG538">
        <v>-1.0604504979510001</v>
      </c>
      <c r="AH538">
        <v>53.984779629818298</v>
      </c>
      <c r="AI538">
        <v>91.123320238555706</v>
      </c>
      <c r="AJ538">
        <v>86.561666956100595</v>
      </c>
      <c r="AK538">
        <v>54.092527188485803</v>
      </c>
      <c r="AL538">
        <v>85.454655125987202</v>
      </c>
      <c r="AM538">
        <v>86.135821035583504</v>
      </c>
      <c r="AN538">
        <v>1.00000001578273</v>
      </c>
    </row>
    <row r="539" spans="1:40" x14ac:dyDescent="0.25">
      <c r="A539" t="str">
        <f>"20190312154514225"</f>
        <v>20190312154514225</v>
      </c>
      <c r="B539" t="str">
        <f>"1552376714216435"</f>
        <v>1552376714216435</v>
      </c>
      <c r="C539" t="s">
        <v>40</v>
      </c>
      <c r="D539">
        <v>4.3022410000000004</v>
      </c>
      <c r="E539">
        <v>0.49826179999999898</v>
      </c>
      <c r="F539" t="s">
        <v>42</v>
      </c>
      <c r="G539">
        <v>-252.69630000000001</v>
      </c>
      <c r="H539" s="1">
        <v>-3.8532349999999997E-6</v>
      </c>
      <c r="I539">
        <v>365.45769999999999</v>
      </c>
      <c r="J539">
        <v>-309.57600000000002</v>
      </c>
      <c r="K539">
        <v>1.060414</v>
      </c>
      <c r="L539">
        <v>368.55869999999999</v>
      </c>
      <c r="M539">
        <v>0.99988500000000002</v>
      </c>
      <c r="N539">
        <v>0</v>
      </c>
      <c r="O539">
        <v>5.5758459999999998E-3</v>
      </c>
      <c r="P539">
        <v>0.99595619999999996</v>
      </c>
      <c r="Q539">
        <v>6.5290550000000003E-2</v>
      </c>
      <c r="R539">
        <v>-6.1714949999999998E-2</v>
      </c>
      <c r="S539">
        <v>3.0057369999999999</v>
      </c>
      <c r="T539">
        <v>-5.5805090000000002E-2</v>
      </c>
      <c r="U539">
        <v>-0.1631165</v>
      </c>
      <c r="V539">
        <v>6.7272029999999997E-2</v>
      </c>
      <c r="W539">
        <v>7.9324580000000006E-2</v>
      </c>
      <c r="X539">
        <v>0.99457629999999997</v>
      </c>
      <c r="Y539">
        <v>5.9744779999999997E-2</v>
      </c>
      <c r="Z539">
        <v>-6.5761219999999998E-4</v>
      </c>
      <c r="AA539">
        <v>0.99821349999999998</v>
      </c>
      <c r="AB539">
        <v>24</v>
      </c>
      <c r="AC539">
        <v>56.8796999999999</v>
      </c>
      <c r="AD539">
        <v>-1.0604178532349999</v>
      </c>
      <c r="AE539">
        <v>-3.1009999999999902</v>
      </c>
      <c r="AF539">
        <v>3.41695167490805</v>
      </c>
      <c r="AG539">
        <v>-1.0604178532349999</v>
      </c>
      <c r="AH539">
        <v>56.8418253646471</v>
      </c>
      <c r="AI539">
        <v>91.066837276181204</v>
      </c>
      <c r="AJ539">
        <v>86.559899372727898</v>
      </c>
      <c r="AK539">
        <v>56.954307611954597</v>
      </c>
      <c r="AL539">
        <v>85.450256204417897</v>
      </c>
      <c r="AM539">
        <v>86.130471345499402</v>
      </c>
      <c r="AN539">
        <v>0.99999996576709305</v>
      </c>
    </row>
    <row r="540" spans="1:40" x14ac:dyDescent="0.25">
      <c r="A540" t="str">
        <f>"20190312154514246"</f>
        <v>20190312154514246</v>
      </c>
      <c r="B540" t="str">
        <f>"1552376714236932"</f>
        <v>1552376714236932</v>
      </c>
      <c r="C540" t="s">
        <v>40</v>
      </c>
      <c r="D540">
        <v>4.2900479999999996</v>
      </c>
      <c r="E540">
        <v>0.49835770000000001</v>
      </c>
      <c r="F540" t="s">
        <v>42</v>
      </c>
      <c r="G540">
        <v>-250.47409999999999</v>
      </c>
      <c r="H540" s="1">
        <v>-4.8304749999999997E-6</v>
      </c>
      <c r="I540">
        <v>365.3229</v>
      </c>
      <c r="J540">
        <v>-309.34230000000002</v>
      </c>
      <c r="K540">
        <v>1.060379</v>
      </c>
      <c r="L540">
        <v>368.56</v>
      </c>
      <c r="M540">
        <v>0.99988569999999999</v>
      </c>
      <c r="N540">
        <v>0</v>
      </c>
      <c r="O540">
        <v>5.5666309999999998E-3</v>
      </c>
      <c r="P540">
        <v>0.99597720000000001</v>
      </c>
      <c r="Q540">
        <v>6.4953159999999996E-2</v>
      </c>
      <c r="R540">
        <v>-6.1731000000000001E-2</v>
      </c>
      <c r="S540">
        <v>3.0055540000000001</v>
      </c>
      <c r="T540">
        <v>-5.3926229999999999E-2</v>
      </c>
      <c r="U540">
        <v>-0.164550799999999</v>
      </c>
      <c r="V540">
        <v>6.7279060000000002E-2</v>
      </c>
      <c r="W540">
        <v>7.8943349999999995E-2</v>
      </c>
      <c r="X540">
        <v>0.9946062</v>
      </c>
      <c r="Y540">
        <v>6.0214490000000002E-2</v>
      </c>
      <c r="Z540">
        <v>-6.395506E-4</v>
      </c>
      <c r="AA540">
        <v>0.99818530000000005</v>
      </c>
      <c r="AB540">
        <v>24</v>
      </c>
      <c r="AC540">
        <v>58.868200000000002</v>
      </c>
      <c r="AD540">
        <v>-1.060383830475</v>
      </c>
      <c r="AE540">
        <v>-3.2370999999999901</v>
      </c>
      <c r="AF540">
        <v>3.5636269853301399</v>
      </c>
      <c r="AG540">
        <v>-1.060383830475</v>
      </c>
      <c r="AH540">
        <v>58.830235537046903</v>
      </c>
      <c r="AI540">
        <v>91.030725376975695</v>
      </c>
      <c r="AJ540">
        <v>86.533557974714597</v>
      </c>
      <c r="AK540">
        <v>58.947607792877498</v>
      </c>
      <c r="AL540">
        <v>85.472167985301198</v>
      </c>
      <c r="AM540">
        <v>86.130184189195901</v>
      </c>
      <c r="AN540">
        <v>1.0000000087510701</v>
      </c>
    </row>
    <row r="541" spans="1:40" x14ac:dyDescent="0.25">
      <c r="A541" t="str">
        <f>"20190312154514269"</f>
        <v>20190312154514269</v>
      </c>
      <c r="B541" t="str">
        <f>"1552376714256452"</f>
        <v>1552376714256452</v>
      </c>
      <c r="C541" t="s">
        <v>40</v>
      </c>
      <c r="D541">
        <v>4.2236479999999998</v>
      </c>
      <c r="E541">
        <v>0.49843999999999999</v>
      </c>
      <c r="F541" t="s">
        <v>42</v>
      </c>
      <c r="G541">
        <v>-248.82419999999999</v>
      </c>
      <c r="H541" s="1">
        <v>-1.6028670000000001E-6</v>
      </c>
      <c r="I541">
        <v>365.22980000000001</v>
      </c>
      <c r="J541">
        <v>-309.1046</v>
      </c>
      <c r="K541">
        <v>1.0603560000000001</v>
      </c>
      <c r="L541">
        <v>368.56130000000002</v>
      </c>
      <c r="M541">
        <v>0.99988630000000001</v>
      </c>
      <c r="N541">
        <v>0</v>
      </c>
      <c r="O541">
        <v>5.5571450000000003E-3</v>
      </c>
      <c r="P541">
        <v>0.99600820000000001</v>
      </c>
      <c r="Q541">
        <v>6.4404520000000007E-2</v>
      </c>
      <c r="R541">
        <v>-6.1805449999999998E-2</v>
      </c>
      <c r="S541">
        <v>3.0053100000000001</v>
      </c>
      <c r="T541">
        <v>-5.2658200000000002E-2</v>
      </c>
      <c r="U541">
        <v>-0.16537479999999999</v>
      </c>
      <c r="V541">
        <v>6.7344089999999995E-2</v>
      </c>
      <c r="W541">
        <v>7.8355800000000003E-2</v>
      </c>
      <c r="X541">
        <v>0.99464830000000004</v>
      </c>
      <c r="Y541">
        <v>6.048274E-2</v>
      </c>
      <c r="Z541">
        <v>-6.267423E-4</v>
      </c>
      <c r="AA541">
        <v>0.99816910000000003</v>
      </c>
      <c r="AB541">
        <v>24</v>
      </c>
      <c r="AC541">
        <v>60.2804</v>
      </c>
      <c r="AD541">
        <v>-1.0603576028670001</v>
      </c>
      <c r="AE541">
        <v>-3.3315000000000001</v>
      </c>
      <c r="AF541">
        <v>3.6653377038212298</v>
      </c>
      <c r="AG541">
        <v>-1.0603576028670001</v>
      </c>
      <c r="AH541">
        <v>60.242369969445903</v>
      </c>
      <c r="AI541">
        <v>91.006528062510796</v>
      </c>
      <c r="AJ541">
        <v>86.5182343883491</v>
      </c>
      <c r="AK541">
        <v>60.363086387829803</v>
      </c>
      <c r="AL541">
        <v>85.505936907835803</v>
      </c>
      <c r="AM541">
        <v>86.126618572855904</v>
      </c>
      <c r="AN541">
        <v>1.0000000492722201</v>
      </c>
    </row>
    <row r="542" spans="1:40" x14ac:dyDescent="0.25">
      <c r="A542" t="str">
        <f>"20190312154514289"</f>
        <v>20190312154514289</v>
      </c>
      <c r="B542" t="str">
        <f>"1552376714276948"</f>
        <v>1552376714276948</v>
      </c>
      <c r="C542" t="s">
        <v>40</v>
      </c>
      <c r="D542">
        <v>4.216164</v>
      </c>
      <c r="E542">
        <v>0.49829030000000002</v>
      </c>
      <c r="F542" t="s">
        <v>42</v>
      </c>
      <c r="G542">
        <v>-248.12289999999999</v>
      </c>
      <c r="H542" s="1">
        <v>-1.8838019999999999E-6</v>
      </c>
      <c r="I542">
        <v>365.18619999999999</v>
      </c>
      <c r="J542">
        <v>-308.88069999999999</v>
      </c>
      <c r="K542">
        <v>1.0603370000000001</v>
      </c>
      <c r="L542">
        <v>368.56259999999997</v>
      </c>
      <c r="M542">
        <v>0.99988690000000002</v>
      </c>
      <c r="N542">
        <v>0</v>
      </c>
      <c r="O542">
        <v>5.5487990000000001E-3</v>
      </c>
      <c r="P542">
        <v>0.99603379999999997</v>
      </c>
      <c r="Q542">
        <v>6.44348E-2</v>
      </c>
      <c r="R542">
        <v>-6.1357759999999997E-2</v>
      </c>
      <c r="S542">
        <v>3.005096</v>
      </c>
      <c r="T542">
        <v>-5.2253010000000003E-2</v>
      </c>
      <c r="U542">
        <v>-0.16632079999999999</v>
      </c>
      <c r="V542">
        <v>6.6888230000000007E-2</v>
      </c>
      <c r="W542">
        <v>7.8352939999999996E-2</v>
      </c>
      <c r="X542">
        <v>0.99467919999999999</v>
      </c>
      <c r="Y542">
        <v>6.0791690000000002E-2</v>
      </c>
      <c r="Z542">
        <v>-6.2449800000000002E-4</v>
      </c>
      <c r="AA542">
        <v>0.99815030000000005</v>
      </c>
      <c r="AB542">
        <v>24</v>
      </c>
      <c r="AC542">
        <v>60.757800000000003</v>
      </c>
      <c r="AD542">
        <v>-1.060338883802</v>
      </c>
      <c r="AE542">
        <v>-3.3763999999999799</v>
      </c>
      <c r="AF542">
        <v>3.7123865775905101</v>
      </c>
      <c r="AG542">
        <v>-1.060338883802</v>
      </c>
      <c r="AH542">
        <v>60.7196912897383</v>
      </c>
      <c r="AI542">
        <v>90.9985816734075</v>
      </c>
      <c r="AJ542">
        <v>86.501305639175797</v>
      </c>
      <c r="AK542">
        <v>60.842312932457602</v>
      </c>
      <c r="AL542">
        <v>85.506100898336399</v>
      </c>
      <c r="AM542">
        <v>86.152878093716893</v>
      </c>
      <c r="AN542">
        <v>0.99999996471590702</v>
      </c>
    </row>
    <row r="543" spans="1:40" x14ac:dyDescent="0.25">
      <c r="A543" t="str">
        <f>"20190312154514313"</f>
        <v>20190312154514313</v>
      </c>
      <c r="B543" t="str">
        <f>"1552376714306231"</f>
        <v>1552376714306231</v>
      </c>
      <c r="C543" t="s">
        <v>40</v>
      </c>
      <c r="D543">
        <v>4.1083550000000004</v>
      </c>
      <c r="E543">
        <v>0.47430080000000002</v>
      </c>
      <c r="F543" t="s">
        <v>42</v>
      </c>
      <c r="G543">
        <v>-245.27969999999999</v>
      </c>
      <c r="H543" s="1">
        <v>-3.0132729999999999E-6</v>
      </c>
      <c r="I543">
        <v>365.09800000000001</v>
      </c>
      <c r="J543">
        <v>-308.63850000000002</v>
      </c>
      <c r="K543">
        <v>1.0603180000000001</v>
      </c>
      <c r="L543">
        <v>368.56389999999999</v>
      </c>
      <c r="M543">
        <v>0.99988730000000003</v>
      </c>
      <c r="N543">
        <v>0</v>
      </c>
      <c r="O543">
        <v>5.5399630000000002E-3</v>
      </c>
      <c r="P543">
        <v>0.99601479999999998</v>
      </c>
      <c r="Q543">
        <v>6.4696000000000004E-2</v>
      </c>
      <c r="R543">
        <v>-6.1397439999999998E-2</v>
      </c>
      <c r="S543">
        <v>3.005096</v>
      </c>
      <c r="T543">
        <v>-5.0100209999999999E-2</v>
      </c>
      <c r="U543">
        <v>-0.16369629999999999</v>
      </c>
      <c r="V543">
        <v>6.6919010000000001E-2</v>
      </c>
      <c r="W543">
        <v>7.8581590000000007E-2</v>
      </c>
      <c r="X543">
        <v>0.99465910000000002</v>
      </c>
      <c r="Y543">
        <v>5.991465E-2</v>
      </c>
      <c r="Z543">
        <v>-5.9133449999999995E-4</v>
      </c>
      <c r="AA543">
        <v>0.99820330000000002</v>
      </c>
      <c r="AB543">
        <v>24</v>
      </c>
      <c r="AC543">
        <v>63.358800000000002</v>
      </c>
      <c r="AD543">
        <v>-1.0603210132729901</v>
      </c>
      <c r="AE543">
        <v>-3.4658999999999698</v>
      </c>
      <c r="AF543">
        <v>3.81582089089077</v>
      </c>
      <c r="AG543">
        <v>-1.0603210132729901</v>
      </c>
      <c r="AH543">
        <v>63.3209435441929</v>
      </c>
      <c r="AI543">
        <v>90.957602011145198</v>
      </c>
      <c r="AJ543">
        <v>86.551435494146304</v>
      </c>
      <c r="AK543">
        <v>63.444674016416997</v>
      </c>
      <c r="AL543">
        <v>85.492959735533503</v>
      </c>
      <c r="AM543">
        <v>86.151035536719206</v>
      </c>
      <c r="AN543">
        <v>0.99999997269955798</v>
      </c>
    </row>
    <row r="544" spans="1:40" x14ac:dyDescent="0.25">
      <c r="A544" t="str">
        <f>"20190312154514335"</f>
        <v>20190312154514335</v>
      </c>
      <c r="B544" t="str">
        <f>"1552376714326724"</f>
        <v>1552376714326724</v>
      </c>
      <c r="C544" t="s">
        <v>40</v>
      </c>
      <c r="D544">
        <v>4.1056410000000003</v>
      </c>
      <c r="E544">
        <v>0.4744603</v>
      </c>
      <c r="F544" t="s">
        <v>42</v>
      </c>
      <c r="G544">
        <v>-249.7978</v>
      </c>
      <c r="H544" s="1">
        <v>-2.0192320000000001E-7</v>
      </c>
      <c r="I544">
        <v>369.09</v>
      </c>
      <c r="J544">
        <v>-308.40629999999999</v>
      </c>
      <c r="K544">
        <v>1.0603049999999901</v>
      </c>
      <c r="L544">
        <v>368.56509999999997</v>
      </c>
      <c r="M544">
        <v>0.99988779999999999</v>
      </c>
      <c r="N544">
        <v>0</v>
      </c>
      <c r="O544">
        <v>5.531925E-3</v>
      </c>
      <c r="P544">
        <v>0.99599859999999896</v>
      </c>
      <c r="Q544">
        <v>6.5082310000000004E-2</v>
      </c>
      <c r="R544">
        <v>-6.1248940000000002E-2</v>
      </c>
      <c r="S544">
        <v>3.0172119999999998</v>
      </c>
      <c r="T544">
        <v>-5.4370639999999998E-2</v>
      </c>
      <c r="U544">
        <v>2.6977540000000001E-2</v>
      </c>
      <c r="V544">
        <v>6.676253E-2</v>
      </c>
      <c r="W544">
        <v>7.8941449999999996E-2</v>
      </c>
      <c r="X544">
        <v>0.99464109999999994</v>
      </c>
      <c r="Y544">
        <v>-3.4088259999999998E-3</v>
      </c>
      <c r="Z544" s="1">
        <v>-6.8974059999999998E-5</v>
      </c>
      <c r="AA544">
        <v>0.99999420000000006</v>
      </c>
      <c r="AB544">
        <v>24</v>
      </c>
      <c r="AC544">
        <v>58.6084999999999</v>
      </c>
      <c r="AD544">
        <v>-1.06030520192319</v>
      </c>
      <c r="AE544">
        <v>0.52490000000000203</v>
      </c>
      <c r="AF544">
        <v>-0.20057707880484699</v>
      </c>
      <c r="AG544">
        <v>-1.06030520192319</v>
      </c>
      <c r="AH544">
        <v>58.591331868864799</v>
      </c>
      <c r="AI544">
        <v>91.036740842692694</v>
      </c>
      <c r="AJ544">
        <v>90.196141217878804</v>
      </c>
      <c r="AK544">
        <v>58.601268317786598</v>
      </c>
      <c r="AL544">
        <v>85.4722769345628</v>
      </c>
      <c r="AM544">
        <v>86.159939516240698</v>
      </c>
      <c r="AN544">
        <v>0.99999995287465504</v>
      </c>
    </row>
    <row r="545" spans="1:40" x14ac:dyDescent="0.25">
      <c r="A545" t="str">
        <f>"20190312154514357"</f>
        <v>20190312154514357</v>
      </c>
      <c r="B545" t="str">
        <f>"1552376714346244"</f>
        <v>1552376714346244</v>
      </c>
      <c r="C545" t="s">
        <v>40</v>
      </c>
      <c r="D545">
        <v>4.0662149999999997</v>
      </c>
      <c r="E545">
        <v>0.47526649999999998</v>
      </c>
      <c r="F545" t="s">
        <v>42</v>
      </c>
      <c r="G545">
        <v>-256.53410000000002</v>
      </c>
      <c r="H545" s="1">
        <v>-1.574987E-6</v>
      </c>
      <c r="I545">
        <v>369.01990000000001</v>
      </c>
      <c r="J545">
        <v>-308.16520000000003</v>
      </c>
      <c r="K545">
        <v>1.0602860000000001</v>
      </c>
      <c r="L545">
        <v>368.56650000000002</v>
      </c>
      <c r="M545">
        <v>0.99988809999999995</v>
      </c>
      <c r="N545">
        <v>0</v>
      </c>
      <c r="O545">
        <v>5.523338E-3</v>
      </c>
      <c r="P545">
        <v>0.99597849999999999</v>
      </c>
      <c r="Q545">
        <v>6.5090999999999996E-2</v>
      </c>
      <c r="R545">
        <v>-6.1563529999999998E-2</v>
      </c>
      <c r="S545">
        <v>3.0177309999999999</v>
      </c>
      <c r="T545">
        <v>-6.1684610000000001E-2</v>
      </c>
      <c r="U545">
        <v>2.6458740000000001E-2</v>
      </c>
      <c r="V545">
        <v>6.7068390000000006E-2</v>
      </c>
      <c r="W545">
        <v>7.8924339999999996E-2</v>
      </c>
      <c r="X545">
        <v>0.99462189999999995</v>
      </c>
      <c r="Y545">
        <v>-3.2441060000000001E-3</v>
      </c>
      <c r="Z545" s="1">
        <v>-7.9745030000000005E-5</v>
      </c>
      <c r="AA545">
        <v>0.99999479999999996</v>
      </c>
      <c r="AB545">
        <v>24</v>
      </c>
      <c r="AC545">
        <v>51.631100000000004</v>
      </c>
      <c r="AD545">
        <v>-1.060287574987</v>
      </c>
      <c r="AE545">
        <v>0.45339999999998698</v>
      </c>
      <c r="AF545">
        <v>-0.16811860898870301</v>
      </c>
      <c r="AG545">
        <v>-1.060287574987</v>
      </c>
      <c r="AH545">
        <v>51.611053048911501</v>
      </c>
      <c r="AI545">
        <v>91.176901711079097</v>
      </c>
      <c r="AJ545">
        <v>90.186635461098604</v>
      </c>
      <c r="AK545">
        <v>51.622216829829398</v>
      </c>
      <c r="AL545">
        <v>85.4732604211992</v>
      </c>
      <c r="AM545">
        <v>86.142325754626498</v>
      </c>
      <c r="AN545">
        <v>0.99999997217061798</v>
      </c>
    </row>
    <row r="546" spans="1:40" x14ac:dyDescent="0.25">
      <c r="A546" t="str">
        <f>"20190312154514380"</f>
        <v>20190312154514380</v>
      </c>
      <c r="B546" t="str">
        <f>"1552376714376499"</f>
        <v>1552376714376499</v>
      </c>
      <c r="C546" t="s">
        <v>40</v>
      </c>
      <c r="D546">
        <v>4.0386430000000004</v>
      </c>
      <c r="E546">
        <v>0.47623389999999999</v>
      </c>
      <c r="F546" t="s">
        <v>42</v>
      </c>
      <c r="G546">
        <v>-256.9821</v>
      </c>
      <c r="H546" s="1">
        <v>-1.4055520000000001E-6</v>
      </c>
      <c r="I546">
        <v>368.89159999999998</v>
      </c>
      <c r="J546">
        <v>-307.93360000000001</v>
      </c>
      <c r="K546">
        <v>1.0602819999999999</v>
      </c>
      <c r="L546">
        <v>368.56779999999998</v>
      </c>
      <c r="M546">
        <v>0.99988840000000001</v>
      </c>
      <c r="N546">
        <v>0</v>
      </c>
      <c r="O546">
        <v>5.515084E-3</v>
      </c>
      <c r="P546">
        <v>0.99594349999999998</v>
      </c>
      <c r="Q546">
        <v>6.5180859999999993E-2</v>
      </c>
      <c r="R546">
        <v>-6.2032539999999997E-2</v>
      </c>
      <c r="S546">
        <v>3.0174259999999999</v>
      </c>
      <c r="T546">
        <v>-6.2507629999999995E-2</v>
      </c>
      <c r="U546">
        <v>1.9165040000000001E-2</v>
      </c>
      <c r="V546">
        <v>6.7529179999999994E-2</v>
      </c>
      <c r="W546">
        <v>7.8992789999999993E-2</v>
      </c>
      <c r="X546">
        <v>0.99458530000000001</v>
      </c>
      <c r="Y546">
        <v>-8.3672839999999896E-4</v>
      </c>
      <c r="Z546">
        <v>-1.0557909999999999E-4</v>
      </c>
      <c r="AA546">
        <v>0.99999959999999999</v>
      </c>
      <c r="AB546">
        <v>24</v>
      </c>
      <c r="AC546">
        <v>50.951500000000003</v>
      </c>
      <c r="AD546">
        <v>-1.0602834055519901</v>
      </c>
      <c r="AE546">
        <v>0.32380000000000497</v>
      </c>
      <c r="AF546">
        <v>-4.2747672952581001E-2</v>
      </c>
      <c r="AG546">
        <v>-1.0602834055519901</v>
      </c>
      <c r="AH546">
        <v>50.930456792601397</v>
      </c>
      <c r="AI546">
        <v>91.192625643472198</v>
      </c>
      <c r="AJ546">
        <v>90.048090294556104</v>
      </c>
      <c r="AK546">
        <v>50.941510159855603</v>
      </c>
      <c r="AL546">
        <v>85.469326300321498</v>
      </c>
      <c r="AM546">
        <v>86.115760153047304</v>
      </c>
      <c r="AN546">
        <v>0.99999998499977305</v>
      </c>
    </row>
    <row r="547" spans="1:40" x14ac:dyDescent="0.25">
      <c r="A547" t="str">
        <f>"20190312154514402"</f>
        <v>20190312154514402</v>
      </c>
      <c r="B547" t="str">
        <f>"1552376714396996"</f>
        <v>1552376714396996</v>
      </c>
      <c r="C547" t="s">
        <v>40</v>
      </c>
      <c r="D547">
        <v>4.0170370000000002</v>
      </c>
      <c r="E547">
        <v>0.47657329999999998</v>
      </c>
      <c r="F547" t="s">
        <v>42</v>
      </c>
      <c r="G547">
        <v>-260.69349999999997</v>
      </c>
      <c r="H547" s="1">
        <v>-4.1323950000000001E-6</v>
      </c>
      <c r="I547">
        <v>368.7278</v>
      </c>
      <c r="J547">
        <v>-307.6977</v>
      </c>
      <c r="K547">
        <v>1.060273</v>
      </c>
      <c r="L547">
        <v>368.56909999999999</v>
      </c>
      <c r="M547">
        <v>0.99988880000000002</v>
      </c>
      <c r="N547">
        <v>0</v>
      </c>
      <c r="O547">
        <v>5.5059810000000001E-3</v>
      </c>
      <c r="P547">
        <v>0.99594830000000001</v>
      </c>
      <c r="Q547">
        <v>6.4902779999999993E-2</v>
      </c>
      <c r="R547">
        <v>-6.224826E-2</v>
      </c>
      <c r="S547">
        <v>3.0172729999999999</v>
      </c>
      <c r="T547">
        <v>-6.7721370000000003E-2</v>
      </c>
      <c r="U547">
        <v>1.0223390000000001E-2</v>
      </c>
      <c r="V547">
        <v>6.7735710000000005E-2</v>
      </c>
      <c r="W547">
        <v>7.8696160000000001E-2</v>
      </c>
      <c r="X547">
        <v>0.9945948</v>
      </c>
      <c r="Y547">
        <v>2.1163419999999998E-3</v>
      </c>
      <c r="Z547">
        <v>-1.473217E-4</v>
      </c>
      <c r="AA547">
        <v>0.99999769999999999</v>
      </c>
      <c r="AB547">
        <v>24</v>
      </c>
      <c r="AC547">
        <v>47.004199999999997</v>
      </c>
      <c r="AD547">
        <v>-1.060277132395</v>
      </c>
      <c r="AE547">
        <v>0.15870000000001</v>
      </c>
      <c r="AF547">
        <v>0.100080573673046</v>
      </c>
      <c r="AG547">
        <v>-1.060277132395</v>
      </c>
      <c r="AH547">
        <v>46.980456860946802</v>
      </c>
      <c r="AI547">
        <v>91.292855801923395</v>
      </c>
      <c r="AJ547">
        <v>89.877945294874905</v>
      </c>
      <c r="AK547">
        <v>46.992526326874497</v>
      </c>
      <c r="AL547">
        <v>85.4863751532111</v>
      </c>
      <c r="AM547">
        <v>86.103954295365895</v>
      </c>
      <c r="AN547">
        <v>1.0000000140974901</v>
      </c>
    </row>
    <row r="548" spans="1:40" x14ac:dyDescent="0.25">
      <c r="A548" t="str">
        <f>"20190312154514427"</f>
        <v>20190312154514427</v>
      </c>
      <c r="B548" t="str">
        <f>"1552376714416516"</f>
        <v>1552376714416516</v>
      </c>
      <c r="C548" t="s">
        <v>40</v>
      </c>
      <c r="D548">
        <v>4.0317970000000001</v>
      </c>
      <c r="E548">
        <v>0.4767864</v>
      </c>
      <c r="F548" t="s">
        <v>42</v>
      </c>
      <c r="G548">
        <v>-263.92309999999998</v>
      </c>
      <c r="H548" s="1">
        <v>-2.757246E-6</v>
      </c>
      <c r="I548">
        <v>368.6696</v>
      </c>
      <c r="J548">
        <v>-307.44779999999997</v>
      </c>
      <c r="K548">
        <v>1.060268</v>
      </c>
      <c r="L548">
        <v>368.57040000000001</v>
      </c>
      <c r="M548">
        <v>0.99988920000000003</v>
      </c>
      <c r="N548">
        <v>0</v>
      </c>
      <c r="O548">
        <v>5.4966909999999997E-3</v>
      </c>
      <c r="P548">
        <v>0.99593290000000001</v>
      </c>
      <c r="Q548">
        <v>6.4934510000000001E-2</v>
      </c>
      <c r="R548">
        <v>-6.2461320000000001E-2</v>
      </c>
      <c r="S548">
        <v>3.0173649999999999</v>
      </c>
      <c r="T548">
        <v>-7.3084120000000002E-2</v>
      </c>
      <c r="U548">
        <v>6.9274899999999997E-3</v>
      </c>
      <c r="V548">
        <v>6.7939479999999997E-2</v>
      </c>
      <c r="W548">
        <v>7.8709950000000001E-2</v>
      </c>
      <c r="X548">
        <v>0.99457980000000001</v>
      </c>
      <c r="Y548">
        <v>3.1988189999999999E-3</v>
      </c>
      <c r="Z548">
        <v>-1.7186250000000001E-4</v>
      </c>
      <c r="AA548">
        <v>0.99999490000000002</v>
      </c>
      <c r="AB548">
        <v>23</v>
      </c>
      <c r="AC548">
        <v>43.524700000000003</v>
      </c>
      <c r="AD548">
        <v>-1.060270757246</v>
      </c>
      <c r="AE548">
        <v>9.9199999999996097E-2</v>
      </c>
      <c r="AF548">
        <v>0.13998315295755201</v>
      </c>
      <c r="AG548">
        <v>-1.060270757246</v>
      </c>
      <c r="AH548">
        <v>43.498774776056997</v>
      </c>
      <c r="AI548">
        <v>91.396285271707001</v>
      </c>
      <c r="AJ548">
        <v>89.8156174232045</v>
      </c>
      <c r="AK548">
        <v>43.511919934426203</v>
      </c>
      <c r="AL548">
        <v>85.485582539693795</v>
      </c>
      <c r="AM548">
        <v>86.092211288336898</v>
      </c>
      <c r="AN548">
        <v>1.00000000386985</v>
      </c>
    </row>
    <row r="549" spans="1:40" x14ac:dyDescent="0.25">
      <c r="A549" t="str">
        <f>"20190312154514448"</f>
        <v>20190312154514448</v>
      </c>
      <c r="B549" t="str">
        <f>"1552376714437012"</f>
        <v>1552376714437012</v>
      </c>
      <c r="C549" t="s">
        <v>40</v>
      </c>
      <c r="D549">
        <v>3.9901770000000001</v>
      </c>
      <c r="E549">
        <v>0.47698560000000001</v>
      </c>
      <c r="F549" t="s">
        <v>42</v>
      </c>
      <c r="G549">
        <v>-264.93040000000002</v>
      </c>
      <c r="H549" s="1">
        <v>-2.3313220000000002E-6</v>
      </c>
      <c r="I549">
        <v>368.6345</v>
      </c>
      <c r="J549">
        <v>-307.22390000000001</v>
      </c>
      <c r="K549">
        <v>1.060262</v>
      </c>
      <c r="L549">
        <v>368.57170000000002</v>
      </c>
      <c r="M549">
        <v>0.99988929999999998</v>
      </c>
      <c r="N549">
        <v>0</v>
      </c>
      <c r="O549">
        <v>5.4880329999999998E-3</v>
      </c>
      <c r="P549">
        <v>0.99594930000000004</v>
      </c>
      <c r="Q549">
        <v>6.4796859999999998E-2</v>
      </c>
      <c r="R549">
        <v>-6.2341979999999998E-2</v>
      </c>
      <c r="S549">
        <v>3.0174560000000001</v>
      </c>
      <c r="T549">
        <v>-7.5247289999999994E-2</v>
      </c>
      <c r="U549">
        <v>4.5471189999999996E-3</v>
      </c>
      <c r="V549">
        <v>6.7811590000000005E-2</v>
      </c>
      <c r="W549">
        <v>7.8557829999999995E-2</v>
      </c>
      <c r="X549">
        <v>0.9946005</v>
      </c>
      <c r="Y549">
        <v>3.9786960000000003E-3</v>
      </c>
      <c r="Z549">
        <v>-1.8644930000000001E-4</v>
      </c>
      <c r="AA549">
        <v>0.99999210000000005</v>
      </c>
      <c r="AB549">
        <v>23</v>
      </c>
      <c r="AC549">
        <v>42.293500000000002</v>
      </c>
      <c r="AD549">
        <v>-1.0602643313219999</v>
      </c>
      <c r="AE549">
        <v>6.2799999999981496E-2</v>
      </c>
      <c r="AF549">
        <v>0.169224918659027</v>
      </c>
      <c r="AG549">
        <v>-1.0602643313219999</v>
      </c>
      <c r="AH549">
        <v>42.266644600906297</v>
      </c>
      <c r="AI549">
        <v>91.436959281572399</v>
      </c>
      <c r="AJ549">
        <v>89.770603464944401</v>
      </c>
      <c r="AK549">
        <v>42.280279603435602</v>
      </c>
      <c r="AL549">
        <v>85.494325200021194</v>
      </c>
      <c r="AM549">
        <v>86.099625551452903</v>
      </c>
      <c r="AN549">
        <v>0.999999949496442</v>
      </c>
    </row>
    <row r="550" spans="1:40" x14ac:dyDescent="0.25">
      <c r="A550" t="str">
        <f>"20190312154514471"</f>
        <v>20190312154514471</v>
      </c>
      <c r="B550" t="str">
        <f>"1552376714466292"</f>
        <v>1552376714466292</v>
      </c>
      <c r="C550" t="s">
        <v>40</v>
      </c>
      <c r="D550">
        <v>3.9818099999999998</v>
      </c>
      <c r="E550">
        <v>0.47729080000000002</v>
      </c>
      <c r="F550" t="s">
        <v>42</v>
      </c>
      <c r="G550">
        <v>-265.84769999999997</v>
      </c>
      <c r="H550" s="1">
        <v>-1.9408499999999998E-6</v>
      </c>
      <c r="I550">
        <v>368.61720000000003</v>
      </c>
      <c r="J550">
        <v>-306.98680000000002</v>
      </c>
      <c r="K550">
        <v>1.0602590000000001</v>
      </c>
      <c r="L550">
        <v>368.5729</v>
      </c>
      <c r="M550">
        <v>0.99988949999999999</v>
      </c>
      <c r="N550">
        <v>0</v>
      </c>
      <c r="O550">
        <v>5.4795419999999996E-3</v>
      </c>
      <c r="P550">
        <v>0.99598039999999999</v>
      </c>
      <c r="Q550">
        <v>6.4762940000000005E-2</v>
      </c>
      <c r="R550">
        <v>-6.1876349999999997E-2</v>
      </c>
      <c r="S550">
        <v>3.017487</v>
      </c>
      <c r="T550">
        <v>-7.7322959999999996E-2</v>
      </c>
      <c r="U550">
        <v>3.326416E-3</v>
      </c>
      <c r="V550">
        <v>6.7337709999999995E-2</v>
      </c>
      <c r="W550">
        <v>7.8511250000000005E-2</v>
      </c>
      <c r="X550">
        <v>0.99463639999999998</v>
      </c>
      <c r="Y550">
        <v>4.3744650000000001E-3</v>
      </c>
      <c r="Z550">
        <v>-1.9644129999999999E-4</v>
      </c>
      <c r="AA550">
        <v>0.99999039999999995</v>
      </c>
      <c r="AB550">
        <v>23</v>
      </c>
      <c r="AC550">
        <v>41.139099999999999</v>
      </c>
      <c r="AD550">
        <v>-1.0602609408499899</v>
      </c>
      <c r="AE550">
        <v>4.43000000000211E-2</v>
      </c>
      <c r="AF550">
        <v>0.18102537662496199</v>
      </c>
      <c r="AG550">
        <v>-1.0602609408499899</v>
      </c>
      <c r="AH550">
        <v>41.111417789693</v>
      </c>
      <c r="AI550">
        <v>91.477312845078401</v>
      </c>
      <c r="AJ550">
        <v>89.747711862304101</v>
      </c>
      <c r="AK550">
        <v>41.1254859682942</v>
      </c>
      <c r="AL550">
        <v>85.4970024251665</v>
      </c>
      <c r="AM550">
        <v>86.126938213463305</v>
      </c>
      <c r="AN550">
        <v>0.99999997588478295</v>
      </c>
    </row>
    <row r="551" spans="1:40" x14ac:dyDescent="0.25">
      <c r="A551" t="str">
        <f>"20190312154514491"</f>
        <v>20190312154514491</v>
      </c>
      <c r="B551" t="str">
        <f>"1552376714486788"</f>
        <v>1552376714486788</v>
      </c>
      <c r="C551" t="s">
        <v>40</v>
      </c>
      <c r="D551">
        <v>4.001792</v>
      </c>
      <c r="E551">
        <v>0.4774176</v>
      </c>
      <c r="F551" t="s">
        <v>42</v>
      </c>
      <c r="G551">
        <v>-265.98770000000002</v>
      </c>
      <c r="H551" s="1">
        <v>-1.8831630000000001E-6</v>
      </c>
      <c r="I551">
        <v>368.60399999999998</v>
      </c>
      <c r="J551">
        <v>-306.7681</v>
      </c>
      <c r="K551">
        <v>1.0602510000000001</v>
      </c>
      <c r="L551">
        <v>368.57420000000002</v>
      </c>
      <c r="M551">
        <v>0.99988969999999999</v>
      </c>
      <c r="N551">
        <v>0</v>
      </c>
      <c r="O551">
        <v>5.4719269999999997E-3</v>
      </c>
      <c r="P551">
        <v>0.99599610000000005</v>
      </c>
      <c r="Q551">
        <v>6.4953769999999994E-2</v>
      </c>
      <c r="R551">
        <v>-6.1423940000000003E-2</v>
      </c>
      <c r="S551">
        <v>3.0173030000000001</v>
      </c>
      <c r="T551">
        <v>-7.802916E-2</v>
      </c>
      <c r="U551">
        <v>2.2888180000000002E-3</v>
      </c>
      <c r="V551">
        <v>6.6877839999999994E-2</v>
      </c>
      <c r="W551">
        <v>7.8691880000000006E-2</v>
      </c>
      <c r="X551">
        <v>0.99465320000000002</v>
      </c>
      <c r="Y551">
        <v>4.7104900000000003E-3</v>
      </c>
      <c r="Z551">
        <v>-2.0239410000000001E-4</v>
      </c>
      <c r="AA551">
        <v>0.99998889999999996</v>
      </c>
      <c r="AB551">
        <v>23</v>
      </c>
      <c r="AC551">
        <v>40.780399999999901</v>
      </c>
      <c r="AD551">
        <v>-1.060252883163</v>
      </c>
      <c r="AE551">
        <v>2.9800000000022898E-2</v>
      </c>
      <c r="AF551">
        <v>0.193238472263321</v>
      </c>
      <c r="AG551">
        <v>-1.060252883163</v>
      </c>
      <c r="AH551">
        <v>40.752405772827203</v>
      </c>
      <c r="AI551">
        <v>91.490307896466405</v>
      </c>
      <c r="AJ551">
        <v>89.728318716135206</v>
      </c>
      <c r="AK551">
        <v>40.766653695840397</v>
      </c>
      <c r="AL551">
        <v>85.486621181656105</v>
      </c>
      <c r="AM551">
        <v>86.153373642089093</v>
      </c>
      <c r="AN551">
        <v>1.0000000228656101</v>
      </c>
    </row>
    <row r="552" spans="1:40" x14ac:dyDescent="0.25">
      <c r="A552" t="str">
        <f>"20190312154514515"</f>
        <v>20190312154514515</v>
      </c>
      <c r="B552" t="str">
        <f>"1552376714506308"</f>
        <v>1552376714506308</v>
      </c>
      <c r="C552" t="s">
        <v>40</v>
      </c>
      <c r="D552">
        <v>4.017684</v>
      </c>
      <c r="E552">
        <v>0.47750150000000002</v>
      </c>
      <c r="F552" t="s">
        <v>42</v>
      </c>
      <c r="G552">
        <v>-265.78120000000001</v>
      </c>
      <c r="H552" s="1">
        <v>-1.9709489999999999E-6</v>
      </c>
      <c r="I552">
        <v>368.60849999999999</v>
      </c>
      <c r="J552">
        <v>-306.52749999999997</v>
      </c>
      <c r="K552">
        <v>1.0602480000000001</v>
      </c>
      <c r="L552">
        <v>368.5754</v>
      </c>
      <c r="M552">
        <v>0.9998899</v>
      </c>
      <c r="N552">
        <v>0</v>
      </c>
      <c r="O552">
        <v>5.4634189999999997E-3</v>
      </c>
      <c r="P552">
        <v>0.99602950000000001</v>
      </c>
      <c r="Q552">
        <v>6.4660850000000006E-2</v>
      </c>
      <c r="R552">
        <v>-6.1191969999999998E-2</v>
      </c>
      <c r="S552">
        <v>3.0172729999999999</v>
      </c>
      <c r="T552">
        <v>-7.8050969999999997E-2</v>
      </c>
      <c r="U552">
        <v>2.532959E-3</v>
      </c>
      <c r="V552">
        <v>6.6637459999999996E-2</v>
      </c>
      <c r="W552">
        <v>7.8388120000000006E-2</v>
      </c>
      <c r="X552">
        <v>0.9946933</v>
      </c>
      <c r="Y552">
        <v>4.6210909999999999E-3</v>
      </c>
      <c r="Z552">
        <v>-2.0107649999999999E-4</v>
      </c>
      <c r="AA552">
        <v>0.99998929999999997</v>
      </c>
      <c r="AB552">
        <v>23</v>
      </c>
      <c r="AC552">
        <v>40.746299999999898</v>
      </c>
      <c r="AD552">
        <v>-1.0602499709490001</v>
      </c>
      <c r="AE552">
        <v>3.3099999999990297E-2</v>
      </c>
      <c r="AF552">
        <v>0.18940754875181201</v>
      </c>
      <c r="AG552">
        <v>-1.0602499709490001</v>
      </c>
      <c r="AH552">
        <v>40.718303076090898</v>
      </c>
      <c r="AI552">
        <v>91.491552042580807</v>
      </c>
      <c r="AJ552">
        <v>89.7334816517576</v>
      </c>
      <c r="AK552">
        <v>40.732544858096098</v>
      </c>
      <c r="AL552">
        <v>85.504079194386307</v>
      </c>
      <c r="AM552">
        <v>86.167312399018698</v>
      </c>
      <c r="AN552">
        <v>1.0000000047486299</v>
      </c>
    </row>
    <row r="553" spans="1:40" x14ac:dyDescent="0.25">
      <c r="A553" t="str">
        <f>"20190312154514536"</f>
        <v>20190312154514536</v>
      </c>
      <c r="B553" t="str">
        <f>"1552376714526804"</f>
        <v>1552376714526804</v>
      </c>
      <c r="C553" t="s">
        <v>40</v>
      </c>
      <c r="D553">
        <v>3.983644</v>
      </c>
      <c r="E553">
        <v>0.4775105</v>
      </c>
      <c r="F553" t="s">
        <v>42</v>
      </c>
      <c r="G553">
        <v>-265.03190000000001</v>
      </c>
      <c r="H553" s="1">
        <v>-2.291997E-6</v>
      </c>
      <c r="I553">
        <v>368.61070000000001</v>
      </c>
      <c r="J553">
        <v>-306.30189999999999</v>
      </c>
      <c r="K553">
        <v>1.060244</v>
      </c>
      <c r="L553">
        <v>368.57670000000002</v>
      </c>
      <c r="M553">
        <v>0.9998901</v>
      </c>
      <c r="N553">
        <v>0</v>
      </c>
      <c r="O553">
        <v>5.4550809999999996E-3</v>
      </c>
      <c r="P553">
        <v>0.99607239999999997</v>
      </c>
      <c r="Q553">
        <v>6.4025219999999994E-2</v>
      </c>
      <c r="R553">
        <v>-6.1160440000000003E-2</v>
      </c>
      <c r="S553">
        <v>3.0171199999999998</v>
      </c>
      <c r="T553">
        <v>-7.7090019999999995E-2</v>
      </c>
      <c r="U553">
        <v>2.5634770000000002E-3</v>
      </c>
      <c r="V553">
        <v>6.6597970000000006E-2</v>
      </c>
      <c r="W553">
        <v>7.7743980000000004E-2</v>
      </c>
      <c r="X553">
        <v>0.99474649999999998</v>
      </c>
      <c r="Y553">
        <v>4.6026840000000001E-3</v>
      </c>
      <c r="Z553">
        <v>-1.9816359999999999E-4</v>
      </c>
      <c r="AA553">
        <v>0.99998940000000003</v>
      </c>
      <c r="AB553">
        <v>23</v>
      </c>
      <c r="AC553">
        <v>41.269999999999897</v>
      </c>
      <c r="AD553">
        <v>-1.0602462919969999</v>
      </c>
      <c r="AE553">
        <v>3.3999999999991801E-2</v>
      </c>
      <c r="AF553">
        <v>0.19102701481204901</v>
      </c>
      <c r="AG553">
        <v>-1.0602462919969999</v>
      </c>
      <c r="AH553">
        <v>41.242351340423603</v>
      </c>
      <c r="AI553">
        <v>91.472602979458102</v>
      </c>
      <c r="AJ553">
        <v>89.734618345066295</v>
      </c>
      <c r="AK553">
        <v>41.256419592676998</v>
      </c>
      <c r="AL553">
        <v>85.541098687686798</v>
      </c>
      <c r="AM553">
        <v>86.169781168031406</v>
      </c>
      <c r="AN553">
        <v>1.0000000076483</v>
      </c>
    </row>
    <row r="554" spans="1:40" x14ac:dyDescent="0.25">
      <c r="A554" t="str">
        <f>"20190312154514559"</f>
        <v>20190312154514559</v>
      </c>
      <c r="B554" t="str">
        <f>"1552376714546324"</f>
        <v>1552376714546324</v>
      </c>
      <c r="C554" t="s">
        <v>40</v>
      </c>
      <c r="D554">
        <v>3.9855939999999999</v>
      </c>
      <c r="E554">
        <v>0.47752939999999999</v>
      </c>
      <c r="F554" t="s">
        <v>42</v>
      </c>
      <c r="G554">
        <v>-264.41430000000003</v>
      </c>
      <c r="H554" s="1">
        <v>-2.5565200000000001E-6</v>
      </c>
      <c r="I554">
        <v>368.61309999999997</v>
      </c>
      <c r="J554">
        <v>-306.07040000000001</v>
      </c>
      <c r="K554">
        <v>1.060238</v>
      </c>
      <c r="L554">
        <v>368.5779</v>
      </c>
      <c r="M554">
        <v>0.99989039999999996</v>
      </c>
      <c r="N554">
        <v>0</v>
      </c>
      <c r="O554">
        <v>5.4465590000000001E-3</v>
      </c>
      <c r="P554">
        <v>0.99607120000000005</v>
      </c>
      <c r="Q554">
        <v>6.3763860000000006E-2</v>
      </c>
      <c r="R554">
        <v>-6.1456940000000002E-2</v>
      </c>
      <c r="S554">
        <v>3.016937</v>
      </c>
      <c r="T554">
        <v>-7.6363799999999996E-2</v>
      </c>
      <c r="U554">
        <v>2.6245119999999999E-3</v>
      </c>
      <c r="V554">
        <v>6.6885810000000004E-2</v>
      </c>
      <c r="W554">
        <v>7.7473959999999994E-2</v>
      </c>
      <c r="X554">
        <v>0.99474819999999997</v>
      </c>
      <c r="Y554">
        <v>4.5739520000000001E-3</v>
      </c>
      <c r="Z554">
        <v>-1.9573E-4</v>
      </c>
      <c r="AA554">
        <v>0.99998949999999998</v>
      </c>
      <c r="AB554">
        <v>23</v>
      </c>
      <c r="AC554">
        <v>41.656099999999903</v>
      </c>
      <c r="AD554">
        <v>-1.0602405565199999</v>
      </c>
      <c r="AE554">
        <v>3.51999999999748E-2</v>
      </c>
      <c r="AF554">
        <v>0.19158032264569599</v>
      </c>
      <c r="AG554">
        <v>-1.0602405565199999</v>
      </c>
      <c r="AH554">
        <v>41.628706032216101</v>
      </c>
      <c r="AI554">
        <v>91.458934043897699</v>
      </c>
      <c r="AJ554">
        <v>89.736319778380505</v>
      </c>
      <c r="AK554">
        <v>41.642646157207402</v>
      </c>
      <c r="AL554">
        <v>85.5566162575889</v>
      </c>
      <c r="AM554">
        <v>86.1532829057859</v>
      </c>
      <c r="AN554">
        <v>0.99999995373033701</v>
      </c>
    </row>
    <row r="555" spans="1:40" x14ac:dyDescent="0.25">
      <c r="A555" t="str">
        <f>"20190312154514580"</f>
        <v>20190312154514580</v>
      </c>
      <c r="B555" t="str">
        <f>"1552376714576580"</f>
        <v>1552376714576580</v>
      </c>
      <c r="C555" t="s">
        <v>40</v>
      </c>
      <c r="D555">
        <v>3.9612690000000002</v>
      </c>
      <c r="E555">
        <v>0.47766150000000002</v>
      </c>
      <c r="F555" t="s">
        <v>42</v>
      </c>
      <c r="G555">
        <v>-263.15179999999998</v>
      </c>
      <c r="H555" s="1">
        <v>-3.1008379999999998E-6</v>
      </c>
      <c r="I555">
        <v>368.59780000000001</v>
      </c>
      <c r="J555">
        <v>-305.84440000000001</v>
      </c>
      <c r="K555">
        <v>1.060235</v>
      </c>
      <c r="L555">
        <v>368.57920000000001</v>
      </c>
      <c r="M555">
        <v>0.99989050000000002</v>
      </c>
      <c r="N555">
        <v>0</v>
      </c>
      <c r="O555">
        <v>5.4382099999999997E-3</v>
      </c>
      <c r="P555">
        <v>0.99608470000000005</v>
      </c>
      <c r="Q555">
        <v>6.3309749999999998E-2</v>
      </c>
      <c r="R555">
        <v>-6.1701649999999997E-2</v>
      </c>
      <c r="S555">
        <v>3.0167540000000002</v>
      </c>
      <c r="T555">
        <v>-7.4524279999999998E-2</v>
      </c>
      <c r="U555">
        <v>1.403809E-3</v>
      </c>
      <c r="V555">
        <v>6.7122329999999994E-2</v>
      </c>
      <c r="W555">
        <v>7.7012810000000001E-2</v>
      </c>
      <c r="X555">
        <v>0.99476810000000004</v>
      </c>
      <c r="Y555">
        <v>4.9702189999999997E-3</v>
      </c>
      <c r="Z555">
        <v>-1.9571580000000001E-4</v>
      </c>
      <c r="AA555">
        <v>0.99998759999999998</v>
      </c>
      <c r="AB555">
        <v>23</v>
      </c>
      <c r="AC555">
        <v>42.692599999999999</v>
      </c>
      <c r="AD555">
        <v>-1.060238100838</v>
      </c>
      <c r="AE555">
        <v>1.8599999999992099E-2</v>
      </c>
      <c r="AF555">
        <v>0.213461940362388</v>
      </c>
      <c r="AG555">
        <v>-1.060238100838</v>
      </c>
      <c r="AH555">
        <v>42.665756095357096</v>
      </c>
      <c r="AI555">
        <v>91.423481375554999</v>
      </c>
      <c r="AJ555">
        <v>89.713344673986498</v>
      </c>
      <c r="AK555">
        <v>42.679461266737597</v>
      </c>
      <c r="AL555">
        <v>85.583117486566294</v>
      </c>
      <c r="AM555">
        <v>86.139798282217598</v>
      </c>
      <c r="AN555">
        <v>0.99999997643316696</v>
      </c>
    </row>
    <row r="556" spans="1:40" x14ac:dyDescent="0.25">
      <c r="A556" t="str">
        <f>"20190312154514614"</f>
        <v>20190312154514614</v>
      </c>
      <c r="B556" t="str">
        <f>"1552376714606836"</f>
        <v>1552376714606836</v>
      </c>
      <c r="C556" t="s">
        <v>40</v>
      </c>
      <c r="D556">
        <v>4.1261739999999998</v>
      </c>
      <c r="E556">
        <v>0.47763600000000001</v>
      </c>
      <c r="F556" t="s">
        <v>42</v>
      </c>
      <c r="G556">
        <v>-263.98160000000001</v>
      </c>
      <c r="H556" s="1">
        <v>-2.7481789999999998E-6</v>
      </c>
      <c r="I556">
        <v>368.57909999999998</v>
      </c>
      <c r="J556">
        <v>-305.49599999999998</v>
      </c>
      <c r="K556">
        <v>1.060233</v>
      </c>
      <c r="L556">
        <v>368.58109999999999</v>
      </c>
      <c r="M556">
        <v>0.99989090000000003</v>
      </c>
      <c r="N556">
        <v>0</v>
      </c>
      <c r="O556">
        <v>5.4254780000000001E-3</v>
      </c>
      <c r="P556">
        <v>0.99600129999999998</v>
      </c>
      <c r="Q556">
        <v>6.4312789999999995E-2</v>
      </c>
      <c r="R556">
        <v>-6.2008639999999997E-2</v>
      </c>
      <c r="S556">
        <v>3.016632</v>
      </c>
      <c r="T556">
        <v>-7.6400640000000006E-2</v>
      </c>
      <c r="U556">
        <v>0</v>
      </c>
      <c r="V556">
        <v>6.7416229999999994E-2</v>
      </c>
      <c r="W556">
        <v>7.7985479999999996E-2</v>
      </c>
      <c r="X556">
        <v>0.99467249999999996</v>
      </c>
      <c r="Y556">
        <v>5.4225130000000003E-3</v>
      </c>
      <c r="Z556">
        <v>-2.0605419999999999E-4</v>
      </c>
      <c r="AA556">
        <v>0.99998529999999997</v>
      </c>
      <c r="AB556">
        <v>23</v>
      </c>
      <c r="AC556">
        <v>41.514399999999902</v>
      </c>
      <c r="AD556">
        <v>-1.0602357481789999</v>
      </c>
      <c r="AE556">
        <v>-2.0000000000095402E-3</v>
      </c>
      <c r="AF556">
        <v>0.227108565040639</v>
      </c>
      <c r="AG556">
        <v>-1.0602357481789999</v>
      </c>
      <c r="AH556">
        <v>41.486718730374697</v>
      </c>
      <c r="AI556">
        <v>91.463911976036897</v>
      </c>
      <c r="AJ556">
        <v>89.686351857016007</v>
      </c>
      <c r="AK556">
        <v>41.500885643022798</v>
      </c>
      <c r="AL556">
        <v>85.527219731536803</v>
      </c>
      <c r="AM556">
        <v>86.122576049823493</v>
      </c>
      <c r="AN556">
        <v>1.00000003270724</v>
      </c>
    </row>
    <row r="557" spans="1:40" x14ac:dyDescent="0.25">
      <c r="A557" t="str">
        <f>"20190312154514638"</f>
        <v>20190312154514638</v>
      </c>
      <c r="B557" t="str">
        <f>"1552376714626360"</f>
        <v>1552376714626360</v>
      </c>
      <c r="C557" t="s">
        <v>40</v>
      </c>
      <c r="D557">
        <v>3.9877959999999999</v>
      </c>
      <c r="E557">
        <v>0.50665059999999995</v>
      </c>
      <c r="F557" t="s">
        <v>42</v>
      </c>
      <c r="G557">
        <v>-262.29050000000001</v>
      </c>
      <c r="H557" s="1">
        <v>-3.4764840000000001E-6</v>
      </c>
      <c r="I557">
        <v>368.56310000000002</v>
      </c>
      <c r="J557">
        <v>-305.25779999999997</v>
      </c>
      <c r="K557">
        <v>1.060225</v>
      </c>
      <c r="L557">
        <v>368.58229999999998</v>
      </c>
      <c r="M557">
        <v>0.99989150000000004</v>
      </c>
      <c r="N557">
        <v>0</v>
      </c>
      <c r="O557">
        <v>5.4168059999999997E-3</v>
      </c>
      <c r="P557">
        <v>0.99601609999999996</v>
      </c>
      <c r="Q557">
        <v>6.4233700000000005E-2</v>
      </c>
      <c r="R557">
        <v>-6.1853739999999997E-2</v>
      </c>
      <c r="S557">
        <v>3.0167540000000002</v>
      </c>
      <c r="T557">
        <v>-7.4029330000000004E-2</v>
      </c>
      <c r="U557">
        <v>-1.2512210000000001E-3</v>
      </c>
      <c r="V557">
        <v>6.7252720000000002E-2</v>
      </c>
      <c r="W557">
        <v>7.7868049999999994E-2</v>
      </c>
      <c r="X557">
        <v>0.99469269999999999</v>
      </c>
      <c r="Y557">
        <v>5.8286800000000001E-3</v>
      </c>
      <c r="Z557">
        <v>-2.0442250000000001E-4</v>
      </c>
      <c r="AA557">
        <v>0.99998299999999996</v>
      </c>
      <c r="AB557">
        <v>23</v>
      </c>
      <c r="AC557">
        <v>42.967299999999902</v>
      </c>
      <c r="AD557">
        <v>-1.060228476484</v>
      </c>
      <c r="AE557">
        <v>-1.9199999999955201E-2</v>
      </c>
      <c r="AF557">
        <v>0.25181376552621199</v>
      </c>
      <c r="AG557">
        <v>-1.060228476484</v>
      </c>
      <c r="AH557">
        <v>42.940420474213099</v>
      </c>
      <c r="AI557">
        <v>91.414360471638005</v>
      </c>
      <c r="AJ557">
        <v>89.664006536433206</v>
      </c>
      <c r="AK557">
        <v>42.954245483969103</v>
      </c>
      <c r="AL557">
        <v>85.533968191869704</v>
      </c>
      <c r="AM557">
        <v>86.132030008275194</v>
      </c>
      <c r="AN557">
        <v>0.99999996449574402</v>
      </c>
    </row>
    <row r="558" spans="1:40" x14ac:dyDescent="0.25">
      <c r="A558" t="str">
        <f>"20190312154514659"</f>
        <v>20190312154514659</v>
      </c>
      <c r="B558" t="str">
        <f>"1552376714646852"</f>
        <v>1552376714646852</v>
      </c>
      <c r="C558" t="s">
        <v>40</v>
      </c>
      <c r="D558">
        <v>3.994065</v>
      </c>
      <c r="E558">
        <v>0.53913</v>
      </c>
      <c r="F558" t="s">
        <v>41</v>
      </c>
      <c r="G558">
        <v>-304.47179999999997</v>
      </c>
      <c r="H558">
        <v>0.97100540000000002</v>
      </c>
      <c r="I558">
        <v>368.52370000000002</v>
      </c>
      <c r="J558">
        <v>-305.02589999999998</v>
      </c>
      <c r="K558">
        <v>1.0602129999999901</v>
      </c>
      <c r="L558">
        <v>368.58359999999999</v>
      </c>
      <c r="M558">
        <v>0.99989240000000001</v>
      </c>
      <c r="N558">
        <v>0</v>
      </c>
      <c r="O558">
        <v>5.4083430000000004E-3</v>
      </c>
      <c r="P558">
        <v>0.99601470000000003</v>
      </c>
      <c r="Q558">
        <v>6.4569970000000004E-2</v>
      </c>
      <c r="R558">
        <v>-6.152755E-2</v>
      </c>
      <c r="S558">
        <v>3.0201419999999999</v>
      </c>
      <c r="T558">
        <v>-0.34305010000000002</v>
      </c>
      <c r="U558">
        <v>-0.22451779999999999</v>
      </c>
      <c r="V558">
        <v>6.6918190000000002E-2</v>
      </c>
      <c r="W558">
        <v>7.8143779999999996E-2</v>
      </c>
      <c r="X558">
        <v>0.99469370000000001</v>
      </c>
      <c r="Y558">
        <v>7.898869E-2</v>
      </c>
      <c r="Z558">
        <v>-5.0771820000000004E-3</v>
      </c>
      <c r="AA558">
        <v>0.99686260000000004</v>
      </c>
      <c r="AB558">
        <v>23</v>
      </c>
      <c r="AC558">
        <v>0.55410000000000503</v>
      </c>
      <c r="AD558">
        <v>-8.9207599999999804E-2</v>
      </c>
      <c r="AE558">
        <v>-5.9899999999970498E-2</v>
      </c>
      <c r="AF558">
        <v>6.1325009809877602E-2</v>
      </c>
      <c r="AG558">
        <v>-8.9207599999999804E-2</v>
      </c>
      <c r="AH558">
        <v>0.539934700919105</v>
      </c>
      <c r="AI558">
        <v>99.322736097151306</v>
      </c>
      <c r="AJ558">
        <v>83.520195593035297</v>
      </c>
      <c r="AK558">
        <v>0.55067979260414601</v>
      </c>
      <c r="AL558">
        <v>85.518122014888704</v>
      </c>
      <c r="AM558">
        <v>86.151216039271006</v>
      </c>
      <c r="AN558">
        <v>1.00000002566262</v>
      </c>
    </row>
    <row r="559" spans="1:40" x14ac:dyDescent="0.25">
      <c r="A559" t="str">
        <f>"20190312154514681"</f>
        <v>20190312154514681</v>
      </c>
      <c r="B559" t="str">
        <f>"1552376714676132"</f>
        <v>1552376714676132</v>
      </c>
      <c r="C559" t="s">
        <v>40</v>
      </c>
      <c r="D559">
        <v>3.9502579999999998</v>
      </c>
      <c r="E559">
        <v>0.53784480000000001</v>
      </c>
      <c r="F559" t="s">
        <v>41</v>
      </c>
      <c r="G559">
        <v>-304.303</v>
      </c>
      <c r="H559">
        <v>0.89196790000000004</v>
      </c>
      <c r="I559">
        <v>368.47050000000002</v>
      </c>
      <c r="J559">
        <v>-304.8005</v>
      </c>
      <c r="K559">
        <v>1.060187</v>
      </c>
      <c r="L559">
        <v>368.58479999999997</v>
      </c>
      <c r="M559">
        <v>0.99989380000000005</v>
      </c>
      <c r="N559">
        <v>0</v>
      </c>
      <c r="O559">
        <v>5.4002249999999998E-3</v>
      </c>
      <c r="P559">
        <v>0.99604610000000005</v>
      </c>
      <c r="Q559">
        <v>6.4436999999999994E-2</v>
      </c>
      <c r="R559">
        <v>-6.1160150000000003E-2</v>
      </c>
      <c r="S559">
        <v>3.0284420000000001</v>
      </c>
      <c r="T559">
        <v>-0.70492829999999995</v>
      </c>
      <c r="U559">
        <v>-0.4732056</v>
      </c>
      <c r="V559">
        <v>6.6542740000000003E-2</v>
      </c>
      <c r="W559">
        <v>7.7917509999999995E-2</v>
      </c>
      <c r="X559">
        <v>0.99473659999999997</v>
      </c>
      <c r="Y559">
        <v>0.15551280000000001</v>
      </c>
      <c r="Z559">
        <v>-1.8990460000000001E-2</v>
      </c>
      <c r="AA559">
        <v>0.98765130000000001</v>
      </c>
      <c r="AB559">
        <v>23</v>
      </c>
      <c r="AC559">
        <v>0.497500000000002</v>
      </c>
      <c r="AD559">
        <v>-0.16821909999999901</v>
      </c>
      <c r="AE559">
        <v>-0.11429999999995701</v>
      </c>
      <c r="AF559">
        <v>0.105525274607727</v>
      </c>
      <c r="AG559">
        <v>-0.16821909999999901</v>
      </c>
      <c r="AH559">
        <v>0.44820132332655899</v>
      </c>
      <c r="AI559">
        <v>110.068830765786</v>
      </c>
      <c r="AJ559">
        <v>76.751468923451498</v>
      </c>
      <c r="AK559">
        <v>0.49022206745262398</v>
      </c>
      <c r="AL559">
        <v>85.531125816017294</v>
      </c>
      <c r="AM559">
        <v>86.172910167611093</v>
      </c>
      <c r="AN559">
        <v>0.99999998899543296</v>
      </c>
    </row>
    <row r="560" spans="1:40" x14ac:dyDescent="0.25">
      <c r="A560" t="str">
        <f>"20190312154514704"</f>
        <v>20190312154514704</v>
      </c>
      <c r="B560" t="str">
        <f>"1552376714696634"</f>
        <v>1552376714696634</v>
      </c>
      <c r="C560" t="s">
        <v>40</v>
      </c>
      <c r="D560">
        <v>3.9721039999999999</v>
      </c>
      <c r="E560">
        <v>0.53832100000000005</v>
      </c>
      <c r="F560" t="s">
        <v>41</v>
      </c>
      <c r="G560">
        <v>-304.09620000000001</v>
      </c>
      <c r="H560">
        <v>0.89318569999999997</v>
      </c>
      <c r="I560">
        <v>368.47710000000001</v>
      </c>
      <c r="J560">
        <v>-304.57089999999999</v>
      </c>
      <c r="K560">
        <v>1.0601579999999999</v>
      </c>
      <c r="L560">
        <v>368.58600000000001</v>
      </c>
      <c r="M560">
        <v>0.9998956</v>
      </c>
      <c r="N560">
        <v>0</v>
      </c>
      <c r="O560">
        <v>5.3922669999999897E-3</v>
      </c>
      <c r="P560">
        <v>0.99608209999999997</v>
      </c>
      <c r="Q560">
        <v>6.401896E-2</v>
      </c>
      <c r="R560">
        <v>-6.1010849999999998E-2</v>
      </c>
      <c r="S560">
        <v>3.0300600000000002</v>
      </c>
      <c r="T560">
        <v>-0.71857609999999905</v>
      </c>
      <c r="U560">
        <v>-0.46154790000000001</v>
      </c>
      <c r="V560">
        <v>6.6385719999999995E-2</v>
      </c>
      <c r="W560">
        <v>7.7364619999999995E-2</v>
      </c>
      <c r="X560">
        <v>0.99479030000000002</v>
      </c>
      <c r="Y560">
        <v>0.15165600000000001</v>
      </c>
      <c r="Z560">
        <v>-1.8893489999999999E-2</v>
      </c>
      <c r="AA560">
        <v>0.98825280000000004</v>
      </c>
      <c r="AB560">
        <v>23</v>
      </c>
      <c r="AC560">
        <v>0.47469999999998402</v>
      </c>
      <c r="AD560">
        <v>-0.16697229999999899</v>
      </c>
      <c r="AE560">
        <v>-0.10890000000000501</v>
      </c>
      <c r="AF560">
        <v>9.9735697885563399E-2</v>
      </c>
      <c r="AG560">
        <v>-0.16697229999999899</v>
      </c>
      <c r="AH560">
        <v>0.42424163911673601</v>
      </c>
      <c r="AI560">
        <v>110.963492496326</v>
      </c>
      <c r="AJ560">
        <v>76.770468608916005</v>
      </c>
      <c r="AK560">
        <v>0.46669896803021299</v>
      </c>
      <c r="AL560">
        <v>85.562900241865194</v>
      </c>
      <c r="AM560">
        <v>86.182119652348206</v>
      </c>
      <c r="AN560">
        <v>1.0000000446108701</v>
      </c>
    </row>
    <row r="561" spans="1:40" x14ac:dyDescent="0.25">
      <c r="A561" t="str">
        <f>"20190312154514725"</f>
        <v>20190312154514725</v>
      </c>
      <c r="B561" t="str">
        <f>"1552376714717125"</f>
        <v>1552376714717125</v>
      </c>
      <c r="C561" t="s">
        <v>40</v>
      </c>
      <c r="D561">
        <v>4.0259669999999996</v>
      </c>
      <c r="E561">
        <v>0.53862739999999998</v>
      </c>
      <c r="F561" t="s">
        <v>41</v>
      </c>
      <c r="G561">
        <v>-303.7002</v>
      </c>
      <c r="H561">
        <v>0.85257799999999995</v>
      </c>
      <c r="I561">
        <v>368.4522</v>
      </c>
      <c r="J561">
        <v>-304.34050000000002</v>
      </c>
      <c r="K561">
        <v>1.0601149999999999</v>
      </c>
      <c r="L561">
        <v>368.5872</v>
      </c>
      <c r="M561">
        <v>0.99989779999999995</v>
      </c>
      <c r="N561">
        <v>0</v>
      </c>
      <c r="O561">
        <v>5.3836329999999996E-3</v>
      </c>
      <c r="P561">
        <v>0.99608419999999998</v>
      </c>
      <c r="Q561">
        <v>6.4203609999999994E-2</v>
      </c>
      <c r="R561">
        <v>-6.0782849999999999E-2</v>
      </c>
      <c r="S561">
        <v>3.029785</v>
      </c>
      <c r="T561">
        <v>-0.72243020000000002</v>
      </c>
      <c r="U561">
        <v>-0.46496579999999899</v>
      </c>
      <c r="V561">
        <v>6.6148999999999999E-2</v>
      </c>
      <c r="W561">
        <v>7.7381729999999996E-2</v>
      </c>
      <c r="X561">
        <v>0.99480469999999999</v>
      </c>
      <c r="Y561">
        <v>0.15267720000000001</v>
      </c>
      <c r="Z561">
        <v>-1.9109600000000001E-2</v>
      </c>
      <c r="AA561">
        <v>0.98809130000000001</v>
      </c>
      <c r="AB561">
        <v>23</v>
      </c>
      <c r="AC561">
        <v>0.64030000000002396</v>
      </c>
      <c r="AD561">
        <v>-0.207536999999999</v>
      </c>
      <c r="AE561">
        <v>-0.13499999999998999</v>
      </c>
      <c r="AF561">
        <v>0.12579258170083399</v>
      </c>
      <c r="AG561">
        <v>-0.207536999999999</v>
      </c>
      <c r="AH561">
        <v>0.58111240870201797</v>
      </c>
      <c r="AI561">
        <v>109.241693717972</v>
      </c>
      <c r="AJ561">
        <v>77.785718036560993</v>
      </c>
      <c r="AK561">
        <v>0.62975154745933104</v>
      </c>
      <c r="AL561">
        <v>85.561916795043103</v>
      </c>
      <c r="AM561">
        <v>86.195748411437506</v>
      </c>
      <c r="AN561">
        <v>1.00000000674044</v>
      </c>
    </row>
    <row r="562" spans="1:40" x14ac:dyDescent="0.25">
      <c r="A562" t="str">
        <f>"20190312154514748"</f>
        <v>20190312154514748</v>
      </c>
      <c r="B562" t="str">
        <f>"1552376714736644"</f>
        <v>1552376714736644</v>
      </c>
      <c r="C562" t="s">
        <v>40</v>
      </c>
      <c r="D562">
        <v>4.0310649999999999</v>
      </c>
      <c r="E562">
        <v>0.53882810000000003</v>
      </c>
      <c r="F562" t="s">
        <v>41</v>
      </c>
      <c r="G562">
        <v>-303.49160000000001</v>
      </c>
      <c r="H562">
        <v>0.8575469</v>
      </c>
      <c r="I562">
        <v>368.45650000000001</v>
      </c>
      <c r="J562">
        <v>-304.10899999999998</v>
      </c>
      <c r="K562">
        <v>1.0600889999999901</v>
      </c>
      <c r="L562">
        <v>368.58850000000001</v>
      </c>
      <c r="M562">
        <v>0.99990020000000002</v>
      </c>
      <c r="N562">
        <v>0</v>
      </c>
      <c r="O562">
        <v>5.3747350000000003E-3</v>
      </c>
      <c r="P562">
        <v>0.99605010000000005</v>
      </c>
      <c r="Q562">
        <v>6.487946E-2</v>
      </c>
      <c r="R562">
        <v>-6.0623660000000003E-2</v>
      </c>
      <c r="S562">
        <v>3.0298769999999999</v>
      </c>
      <c r="T562">
        <v>-0.72292299999999998</v>
      </c>
      <c r="U562">
        <v>-0.46664430000000001</v>
      </c>
      <c r="V562">
        <v>6.5980789999999997E-2</v>
      </c>
      <c r="W562">
        <v>7.7881370000000005E-2</v>
      </c>
      <c r="X562">
        <v>0.99477680000000002</v>
      </c>
      <c r="Y562">
        <v>0.15317999999999901</v>
      </c>
      <c r="Z562">
        <v>-1.9177710000000001E-2</v>
      </c>
      <c r="AA562">
        <v>0.98801220000000001</v>
      </c>
      <c r="AB562">
        <v>23</v>
      </c>
      <c r="AC562">
        <v>0.61740000000003104</v>
      </c>
      <c r="AD562">
        <v>-0.202542099999999</v>
      </c>
      <c r="AE562">
        <v>-0.132000000000005</v>
      </c>
      <c r="AF562">
        <v>0.12268989549303599</v>
      </c>
      <c r="AG562">
        <v>-0.202542099999999</v>
      </c>
      <c r="AH562">
        <v>0.55913700575783198</v>
      </c>
      <c r="AI562">
        <v>109.484935661362</v>
      </c>
      <c r="AJ562">
        <v>77.623886417779801</v>
      </c>
      <c r="AK562">
        <v>0.60721520397329898</v>
      </c>
      <c r="AL562">
        <v>85.533202520096197</v>
      </c>
      <c r="AM562">
        <v>86.205287812997796</v>
      </c>
      <c r="AN562">
        <v>0.99999992713016705</v>
      </c>
    </row>
    <row r="563" spans="1:40" x14ac:dyDescent="0.25">
      <c r="A563" t="str">
        <f>"20190312154514769"</f>
        <v>20190312154514769</v>
      </c>
      <c r="B563" t="str">
        <f>"1552376714766900"</f>
        <v>1552376714766900</v>
      </c>
      <c r="C563" t="s">
        <v>40</v>
      </c>
      <c r="D563">
        <v>4.0155419999999999</v>
      </c>
      <c r="E563">
        <v>0.53863649999999996</v>
      </c>
      <c r="F563" t="s">
        <v>41</v>
      </c>
      <c r="G563">
        <v>-303.28230000000002</v>
      </c>
      <c r="H563">
        <v>0.86399359999999903</v>
      </c>
      <c r="I563">
        <v>368.4606</v>
      </c>
      <c r="J563">
        <v>-303.88409999999999</v>
      </c>
      <c r="K563">
        <v>1.060065</v>
      </c>
      <c r="L563">
        <v>368.58969999999999</v>
      </c>
      <c r="M563">
        <v>0.99990250000000003</v>
      </c>
      <c r="N563">
        <v>0</v>
      </c>
      <c r="O563">
        <v>5.3664719999999997E-3</v>
      </c>
      <c r="P563">
        <v>0.99602230000000003</v>
      </c>
      <c r="Q563">
        <v>6.5286449999999996E-2</v>
      </c>
      <c r="R563">
        <v>-6.0642469999999997E-2</v>
      </c>
      <c r="S563">
        <v>3.0302120000000001</v>
      </c>
      <c r="T563">
        <v>-0.71888879999999999</v>
      </c>
      <c r="U563">
        <v>-0.46835329999999997</v>
      </c>
      <c r="V563">
        <v>6.5991129999999995E-2</v>
      </c>
      <c r="W563">
        <v>7.8113370000000001E-2</v>
      </c>
      <c r="X563">
        <v>0.99475800000000003</v>
      </c>
      <c r="Y563">
        <v>0.15373399999999901</v>
      </c>
      <c r="Z563">
        <v>-1.9133230000000001E-2</v>
      </c>
      <c r="AA563">
        <v>0.987927</v>
      </c>
      <c r="AB563">
        <v>23</v>
      </c>
      <c r="AC563">
        <v>0.60179999999996803</v>
      </c>
      <c r="AD563">
        <v>-0.19607140000000001</v>
      </c>
      <c r="AE563">
        <v>-0.129099999999994</v>
      </c>
      <c r="AF563">
        <v>0.120136407679359</v>
      </c>
      <c r="AG563">
        <v>-0.19607140000000001</v>
      </c>
      <c r="AH563">
        <v>0.54571848982920301</v>
      </c>
      <c r="AI563">
        <v>109.335379332318</v>
      </c>
      <c r="AJ563">
        <v>77.584736399889096</v>
      </c>
      <c r="AK563">
        <v>0.59218698101995304</v>
      </c>
      <c r="AL563">
        <v>85.519869620833504</v>
      </c>
      <c r="AM563">
        <v>86.204623354804298</v>
      </c>
      <c r="AN563">
        <v>1.0000000031877101</v>
      </c>
    </row>
    <row r="564" spans="1:40" x14ac:dyDescent="0.25">
      <c r="A564" t="str">
        <f>"20190312154514793"</f>
        <v>20190312154514793</v>
      </c>
      <c r="B564" t="str">
        <f>"1552376714786417"</f>
        <v>1552376714786417</v>
      </c>
      <c r="C564" t="s">
        <v>40</v>
      </c>
      <c r="D564">
        <v>3.9920969999999998</v>
      </c>
      <c r="E564">
        <v>0.53843999999999903</v>
      </c>
      <c r="F564" t="s">
        <v>41</v>
      </c>
      <c r="G564">
        <v>-303.07409999999999</v>
      </c>
      <c r="H564">
        <v>0.86760769999999998</v>
      </c>
      <c r="I564">
        <v>368.46499999999997</v>
      </c>
      <c r="J564">
        <v>-303.64929999999998</v>
      </c>
      <c r="K564">
        <v>1.0600449999999999</v>
      </c>
      <c r="L564">
        <v>368.59089999999998</v>
      </c>
      <c r="M564">
        <v>0.99990489999999999</v>
      </c>
      <c r="N564">
        <v>0</v>
      </c>
      <c r="O564">
        <v>5.3578690000000003E-3</v>
      </c>
      <c r="P564">
        <v>0.9959884</v>
      </c>
      <c r="Q564">
        <v>6.5803710000000001E-2</v>
      </c>
      <c r="R564">
        <v>-6.0639329999999998E-2</v>
      </c>
      <c r="S564">
        <v>3.0307620000000002</v>
      </c>
      <c r="T564">
        <v>-0.72007980000000005</v>
      </c>
      <c r="U564">
        <v>-0.46664430000000001</v>
      </c>
      <c r="V564">
        <v>6.5979499999999996E-2</v>
      </c>
      <c r="W564">
        <v>7.8449459999999999E-2</v>
      </c>
      <c r="X564">
        <v>0.99473230000000001</v>
      </c>
      <c r="Y564">
        <v>0.15315709999999999</v>
      </c>
      <c r="Z564">
        <v>-1.9092319999999999E-2</v>
      </c>
      <c r="AA564">
        <v>0.98801740000000005</v>
      </c>
      <c r="AB564">
        <v>23</v>
      </c>
      <c r="AC564">
        <v>0.57519999999999505</v>
      </c>
      <c r="AD564">
        <v>-0.19243730000000001</v>
      </c>
      <c r="AE564">
        <v>-0.12590000000000101</v>
      </c>
      <c r="AF564">
        <v>0.11653321910143701</v>
      </c>
      <c r="AG564">
        <v>-0.19243730000000001</v>
      </c>
      <c r="AH564">
        <v>0.51907413177409001</v>
      </c>
      <c r="AI564">
        <v>109.886481920251</v>
      </c>
      <c r="AJ564">
        <v>77.346773774840202</v>
      </c>
      <c r="AK564">
        <v>0.56572967030416499</v>
      </c>
      <c r="AL564">
        <v>85.500553705247995</v>
      </c>
      <c r="AM564">
        <v>86.205192527578603</v>
      </c>
      <c r="AN564">
        <v>0.99999998042891503</v>
      </c>
    </row>
    <row r="565" spans="1:40" x14ac:dyDescent="0.25">
      <c r="A565" t="str">
        <f>"20190312154514814"</f>
        <v>20190312154514814</v>
      </c>
      <c r="B565" t="str">
        <f>"1552376714806913"</f>
        <v>1552376714806913</v>
      </c>
      <c r="C565" t="s">
        <v>40</v>
      </c>
      <c r="D565">
        <v>4.0554639999999997</v>
      </c>
      <c r="E565">
        <v>0.53862670000000001</v>
      </c>
      <c r="F565" t="s">
        <v>41</v>
      </c>
      <c r="G565">
        <v>-302.8648</v>
      </c>
      <c r="H565">
        <v>0.87371270000000001</v>
      </c>
      <c r="I565">
        <v>368.47039999999998</v>
      </c>
      <c r="J565">
        <v>-303.4187</v>
      </c>
      <c r="K565">
        <v>1.0600270000000001</v>
      </c>
      <c r="L565">
        <v>368.59210000000002</v>
      </c>
      <c r="M565">
        <v>0.99990710000000005</v>
      </c>
      <c r="N565">
        <v>0</v>
      </c>
      <c r="O565">
        <v>5.3498699999999996E-3</v>
      </c>
      <c r="P565">
        <v>0.99600789999999995</v>
      </c>
      <c r="Q565">
        <v>6.5723190000000001E-2</v>
      </c>
      <c r="R565">
        <v>-6.0408839999999998E-2</v>
      </c>
      <c r="S565">
        <v>3.031342</v>
      </c>
      <c r="T565">
        <v>-0.72011459999999905</v>
      </c>
      <c r="U565">
        <v>-0.4649353</v>
      </c>
      <c r="V565">
        <v>6.5740969999999996E-2</v>
      </c>
      <c r="W565">
        <v>7.8203209999999995E-2</v>
      </c>
      <c r="X565">
        <v>0.99476750000000003</v>
      </c>
      <c r="Y565">
        <v>0.152592899999999</v>
      </c>
      <c r="Z565">
        <v>-1.9022890000000001E-2</v>
      </c>
      <c r="AA565">
        <v>0.98810600000000004</v>
      </c>
      <c r="AB565">
        <v>23</v>
      </c>
      <c r="AC565">
        <v>0.55389999999999795</v>
      </c>
      <c r="AD565">
        <v>-0.18631429999999999</v>
      </c>
      <c r="AE565">
        <v>-0.121700000000032</v>
      </c>
      <c r="AF565">
        <v>0.11251743044262801</v>
      </c>
      <c r="AG565">
        <v>-0.18631429999999999</v>
      </c>
      <c r="AH565">
        <v>0.49934508537085998</v>
      </c>
      <c r="AI565">
        <v>110.001058452949</v>
      </c>
      <c r="AJ565">
        <v>77.301620990498193</v>
      </c>
      <c r="AK565">
        <v>0.54471892276836997</v>
      </c>
      <c r="AL565">
        <v>85.514706350685998</v>
      </c>
      <c r="AM565">
        <v>86.219005106690304</v>
      </c>
      <c r="AN565">
        <v>0.99999999812354701</v>
      </c>
    </row>
    <row r="566" spans="1:40" x14ac:dyDescent="0.25">
      <c r="A566" t="str">
        <f>"20190312154514838"</f>
        <v>20190312154514838</v>
      </c>
      <c r="B566" t="str">
        <f>"1552376714826429"</f>
        <v>1552376714826429</v>
      </c>
      <c r="C566" t="s">
        <v>40</v>
      </c>
      <c r="D566">
        <v>4.0900589999999903</v>
      </c>
      <c r="E566">
        <v>0.53886000000000001</v>
      </c>
      <c r="F566" t="s">
        <v>41</v>
      </c>
      <c r="G566">
        <v>-302.65609999999998</v>
      </c>
      <c r="H566">
        <v>0.8775773</v>
      </c>
      <c r="I566">
        <v>368.47500000000002</v>
      </c>
      <c r="J566">
        <v>-303.1807</v>
      </c>
      <c r="K566">
        <v>1.060014</v>
      </c>
      <c r="L566">
        <v>368.59339999999997</v>
      </c>
      <c r="M566">
        <v>0.99990919999999905</v>
      </c>
      <c r="N566">
        <v>0</v>
      </c>
      <c r="O566">
        <v>5.3414369999999897E-3</v>
      </c>
      <c r="P566">
        <v>0.99598969999999998</v>
      </c>
      <c r="Q566">
        <v>6.5702499999999997E-2</v>
      </c>
      <c r="R566">
        <v>-6.0729480000000002E-2</v>
      </c>
      <c r="S566">
        <v>3.031647</v>
      </c>
      <c r="T566">
        <v>-0.72534619999999905</v>
      </c>
      <c r="U566">
        <v>-0.46578979999999998</v>
      </c>
      <c r="V566">
        <v>6.6053089999999995E-2</v>
      </c>
      <c r="W566">
        <v>7.8026369999999998E-2</v>
      </c>
      <c r="X566">
        <v>0.99476070000000005</v>
      </c>
      <c r="Y566">
        <v>0.1527762</v>
      </c>
      <c r="Z566">
        <v>-1.917464E-2</v>
      </c>
      <c r="AA566">
        <v>0.98807480000000003</v>
      </c>
      <c r="AB566">
        <v>23</v>
      </c>
      <c r="AC566">
        <v>0.52460000000002005</v>
      </c>
      <c r="AD566">
        <v>-0.18243669999999901</v>
      </c>
      <c r="AE566">
        <v>-0.118399999999951</v>
      </c>
      <c r="AF566">
        <v>0.108692571088467</v>
      </c>
      <c r="AG566">
        <v>-0.18243669999999901</v>
      </c>
      <c r="AH566">
        <v>0.46988664862109603</v>
      </c>
      <c r="AI566">
        <v>110.720057609921</v>
      </c>
      <c r="AJ566">
        <v>76.975611807518803</v>
      </c>
      <c r="AK566">
        <v>0.51564589309823505</v>
      </c>
      <c r="AL566">
        <v>85.524869544667098</v>
      </c>
      <c r="AM566">
        <v>86.201080533183998</v>
      </c>
      <c r="AN566">
        <v>0.99999998768920695</v>
      </c>
    </row>
    <row r="567" spans="1:40" x14ac:dyDescent="0.25">
      <c r="A567" t="str">
        <f>"20190312154514861"</f>
        <v>20190312154514861</v>
      </c>
      <c r="B567" t="str">
        <f>"1552376714856685"</f>
        <v>1552376714856685</v>
      </c>
      <c r="C567" t="s">
        <v>40</v>
      </c>
      <c r="D567">
        <v>4.0963430000000001</v>
      </c>
      <c r="E567">
        <v>0.53901140000000003</v>
      </c>
      <c r="F567" t="s">
        <v>41</v>
      </c>
      <c r="G567">
        <v>-302.44639999999998</v>
      </c>
      <c r="H567">
        <v>0.88330280000000005</v>
      </c>
      <c r="I567">
        <v>368.47980000000001</v>
      </c>
      <c r="J567">
        <v>-302.94470000000001</v>
      </c>
      <c r="K567">
        <v>1.059995</v>
      </c>
      <c r="L567">
        <v>368.59460000000001</v>
      </c>
      <c r="M567">
        <v>0.99991079999999999</v>
      </c>
      <c r="N567">
        <v>0</v>
      </c>
      <c r="O567">
        <v>5.3330690000000002E-3</v>
      </c>
      <c r="P567">
        <v>0.99596390000000001</v>
      </c>
      <c r="Q567">
        <v>6.5788479999999996E-2</v>
      </c>
      <c r="R567">
        <v>-6.1055110000000003E-2</v>
      </c>
      <c r="S567">
        <v>3.0317080000000001</v>
      </c>
      <c r="T567">
        <v>-0.72978480000000001</v>
      </c>
      <c r="U567">
        <v>-0.46798709999999999</v>
      </c>
      <c r="V567">
        <v>6.6370429999999994E-2</v>
      </c>
      <c r="W567">
        <v>7.7972639999999996E-2</v>
      </c>
      <c r="X567">
        <v>0.99474379999999996</v>
      </c>
      <c r="Y567">
        <v>0.15339529999999901</v>
      </c>
      <c r="Z567">
        <v>-1.9358469999999999E-2</v>
      </c>
      <c r="AA567">
        <v>0.98797520000000005</v>
      </c>
      <c r="AB567">
        <v>23</v>
      </c>
      <c r="AC567">
        <v>0.498300000000028</v>
      </c>
      <c r="AD567">
        <v>-0.17669219999999899</v>
      </c>
      <c r="AE567">
        <v>-0.114800000000002</v>
      </c>
      <c r="AF567">
        <v>0.104927960819199</v>
      </c>
      <c r="AG567">
        <v>-0.17669219999999899</v>
      </c>
      <c r="AH567">
        <v>0.444597110773506</v>
      </c>
      <c r="AI567">
        <v>111.146211727653</v>
      </c>
      <c r="AJ567">
        <v>76.720792271664195</v>
      </c>
      <c r="AK567">
        <v>0.48979240644446898</v>
      </c>
      <c r="AL567">
        <v>85.527957496755505</v>
      </c>
      <c r="AM567">
        <v>86.182818488147703</v>
      </c>
      <c r="AN567">
        <v>0.99999999710269705</v>
      </c>
    </row>
    <row r="568" spans="1:40" x14ac:dyDescent="0.25">
      <c r="A568" t="str">
        <f>"20190312154514883"</f>
        <v>20190312154514883</v>
      </c>
      <c r="B568" t="str">
        <f>"1552376714876208"</f>
        <v>1552376714876208</v>
      </c>
      <c r="C568" t="s">
        <v>40</v>
      </c>
      <c r="D568">
        <v>4.1161810000000001</v>
      </c>
      <c r="E568">
        <v>0.53921519999999901</v>
      </c>
      <c r="F568" t="s">
        <v>41</v>
      </c>
      <c r="G568">
        <v>-302.2371</v>
      </c>
      <c r="H568">
        <v>0.8881578</v>
      </c>
      <c r="I568">
        <v>368.48520000000002</v>
      </c>
      <c r="J568">
        <v>-302.72039999999998</v>
      </c>
      <c r="K568">
        <v>1.05999</v>
      </c>
      <c r="L568">
        <v>368.5958</v>
      </c>
      <c r="M568">
        <v>0.99991240000000003</v>
      </c>
      <c r="N568">
        <v>0</v>
      </c>
      <c r="O568">
        <v>5.3246880000000002E-3</v>
      </c>
      <c r="P568">
        <v>0.99594629999999995</v>
      </c>
      <c r="Q568">
        <v>6.5723299999999998E-2</v>
      </c>
      <c r="R568">
        <v>-6.1411460000000001E-2</v>
      </c>
      <c r="S568">
        <v>3.0320130000000001</v>
      </c>
      <c r="T568">
        <v>-0.73622469999999995</v>
      </c>
      <c r="U568">
        <v>-0.4698792</v>
      </c>
      <c r="V568">
        <v>6.6718470000000002E-2</v>
      </c>
      <c r="W568">
        <v>7.7787720000000005E-2</v>
      </c>
      <c r="X568">
        <v>0.99473500000000004</v>
      </c>
      <c r="Y568">
        <v>0.1538844</v>
      </c>
      <c r="Z568">
        <v>-1.9578000000000002E-2</v>
      </c>
      <c r="AA568">
        <v>0.98789490000000002</v>
      </c>
      <c r="AB568">
        <v>23</v>
      </c>
      <c r="AC568">
        <v>0.48329999999998502</v>
      </c>
      <c r="AD568">
        <v>-0.17183219999999899</v>
      </c>
      <c r="AE568">
        <v>-0.110599999999976</v>
      </c>
      <c r="AF568">
        <v>0.101035840345764</v>
      </c>
      <c r="AG568">
        <v>-0.17183219999999899</v>
      </c>
      <c r="AH568">
        <v>0.43094056419399801</v>
      </c>
      <c r="AI568">
        <v>111.216739111417</v>
      </c>
      <c r="AJ568">
        <v>76.805085922594301</v>
      </c>
      <c r="AK568">
        <v>0.47480976807460001</v>
      </c>
      <c r="AL568">
        <v>85.538584932265707</v>
      </c>
      <c r="AM568">
        <v>86.162827362724997</v>
      </c>
      <c r="AN568">
        <v>1.0000000019234601</v>
      </c>
    </row>
    <row r="569" spans="1:40" x14ac:dyDescent="0.25">
      <c r="A569" t="str">
        <f>"20190312154514904"</f>
        <v>20190312154514904</v>
      </c>
      <c r="B569" t="str">
        <f>"1552376714896701"</f>
        <v>1552376714896701</v>
      </c>
      <c r="C569" t="s">
        <v>40</v>
      </c>
      <c r="D569">
        <v>4.1407080000000001</v>
      </c>
      <c r="E569">
        <v>0.53937769999999996</v>
      </c>
      <c r="F569" t="s">
        <v>41</v>
      </c>
      <c r="G569">
        <v>-302.02839999999998</v>
      </c>
      <c r="H569">
        <v>0.89127579999999995</v>
      </c>
      <c r="I569">
        <v>368.48790000000002</v>
      </c>
      <c r="J569">
        <v>-302.50069999999999</v>
      </c>
      <c r="K569">
        <v>1.059985</v>
      </c>
      <c r="L569">
        <v>368.59699999999998</v>
      </c>
      <c r="M569">
        <v>0.99991350000000001</v>
      </c>
      <c r="N569">
        <v>0</v>
      </c>
      <c r="O569">
        <v>5.3168929999999996E-3</v>
      </c>
      <c r="P569">
        <v>0.99595</v>
      </c>
      <c r="Q569">
        <v>6.5429829999999994E-2</v>
      </c>
      <c r="R569">
        <v>-6.1665089999999999E-2</v>
      </c>
      <c r="S569">
        <v>3.03186</v>
      </c>
      <c r="T569">
        <v>-0.73919119999999905</v>
      </c>
      <c r="U569">
        <v>-0.4724121</v>
      </c>
      <c r="V569">
        <v>6.6963930000000005E-2</v>
      </c>
      <c r="W569">
        <v>7.7395510000000001E-2</v>
      </c>
      <c r="X569">
        <v>0.99474910000000005</v>
      </c>
      <c r="Y569">
        <v>0.1546332</v>
      </c>
      <c r="Z569">
        <v>-1.9741999999999999E-2</v>
      </c>
      <c r="AA569">
        <v>0.98777470000000001</v>
      </c>
      <c r="AB569">
        <v>23</v>
      </c>
      <c r="AC569">
        <v>0.47230000000001798</v>
      </c>
      <c r="AD569">
        <v>-0.1687092</v>
      </c>
      <c r="AE569">
        <v>-0.109099999999955</v>
      </c>
      <c r="AF569">
        <v>9.9550846990841699E-2</v>
      </c>
      <c r="AG569">
        <v>-0.1687092</v>
      </c>
      <c r="AH569">
        <v>0.420746619541573</v>
      </c>
      <c r="AI569">
        <v>111.31584549631999</v>
      </c>
      <c r="AJ569">
        <v>76.688320979340205</v>
      </c>
      <c r="AK569">
        <v>0.46411300688183199</v>
      </c>
      <c r="AL569">
        <v>85.561124865053003</v>
      </c>
      <c r="AM569">
        <v>86.148807077419093</v>
      </c>
      <c r="AN569">
        <v>1.00000000242</v>
      </c>
    </row>
    <row r="570" spans="1:40" x14ac:dyDescent="0.25">
      <c r="A570" t="str">
        <f>"20190312154514926"</f>
        <v>20190312154514926</v>
      </c>
      <c r="B570" t="str">
        <f>"1552376714917197"</f>
        <v>1552376714917197</v>
      </c>
      <c r="C570" t="s">
        <v>40</v>
      </c>
      <c r="D570">
        <v>4.1066019999999996</v>
      </c>
      <c r="E570">
        <v>0.53940339999999998</v>
      </c>
      <c r="F570" t="s">
        <v>41</v>
      </c>
      <c r="G570">
        <v>-301.63170000000002</v>
      </c>
      <c r="H570">
        <v>0.8473079</v>
      </c>
      <c r="I570">
        <v>368.46069999999997</v>
      </c>
      <c r="J570">
        <v>-302.25670000000002</v>
      </c>
      <c r="K570">
        <v>1.0599860000000001</v>
      </c>
      <c r="L570">
        <v>368.59829999999999</v>
      </c>
      <c r="M570">
        <v>0.99991470000000005</v>
      </c>
      <c r="N570">
        <v>0</v>
      </c>
      <c r="O570">
        <v>5.3078639999999998E-3</v>
      </c>
      <c r="P570">
        <v>0.99599360000000003</v>
      </c>
      <c r="Q570">
        <v>6.4917279999999994E-2</v>
      </c>
      <c r="R570">
        <v>-6.1501060000000003E-2</v>
      </c>
      <c r="S570">
        <v>3.031555</v>
      </c>
      <c r="T570">
        <v>-0.74199099999999996</v>
      </c>
      <c r="U570">
        <v>-0.47470089999999998</v>
      </c>
      <c r="V570">
        <v>6.6791580000000003E-2</v>
      </c>
      <c r="W570">
        <v>7.6800300000000002E-2</v>
      </c>
      <c r="X570">
        <v>0.99480679999999999</v>
      </c>
      <c r="Y570">
        <v>0.15531349999999999</v>
      </c>
      <c r="Z570">
        <v>-1.98949E-2</v>
      </c>
      <c r="AA570">
        <v>0.98766489999999996</v>
      </c>
      <c r="AB570">
        <v>23</v>
      </c>
      <c r="AC570">
        <v>0.625</v>
      </c>
      <c r="AD570">
        <v>-0.21267810000000001</v>
      </c>
      <c r="AE570">
        <v>-0.13760000000002001</v>
      </c>
      <c r="AF570">
        <v>0.12690070441037801</v>
      </c>
      <c r="AG570">
        <v>-0.21267810000000001</v>
      </c>
      <c r="AH570">
        <v>0.56217387887549197</v>
      </c>
      <c r="AI570">
        <v>110.255504150218</v>
      </c>
      <c r="AJ570">
        <v>77.279696364205293</v>
      </c>
      <c r="AK570">
        <v>0.61430874410948899</v>
      </c>
      <c r="AL570">
        <v>85.595329620538095</v>
      </c>
      <c r="AM570">
        <v>86.158911596490597</v>
      </c>
      <c r="AN570">
        <v>0.99999998528261302</v>
      </c>
    </row>
    <row r="571" spans="1:40" x14ac:dyDescent="0.25">
      <c r="A571" t="str">
        <f>"20190312154514948"</f>
        <v>20190312154514948</v>
      </c>
      <c r="B571" t="str">
        <f>"1552376714936717"</f>
        <v>1552376714936717</v>
      </c>
      <c r="C571" t="s">
        <v>40</v>
      </c>
      <c r="D571">
        <v>4.1253279999999997</v>
      </c>
      <c r="E571">
        <v>0.53946850000000002</v>
      </c>
      <c r="F571" t="s">
        <v>41</v>
      </c>
      <c r="G571">
        <v>-301.42140000000001</v>
      </c>
      <c r="H571">
        <v>0.85457899999999998</v>
      </c>
      <c r="I571">
        <v>368.46769999999998</v>
      </c>
      <c r="J571">
        <v>-302.03559999999999</v>
      </c>
      <c r="K571">
        <v>1.0599809999999901</v>
      </c>
      <c r="L571">
        <v>368.59949999999998</v>
      </c>
      <c r="M571">
        <v>0.99991549999999996</v>
      </c>
      <c r="N571">
        <v>0</v>
      </c>
      <c r="O571">
        <v>5.2998159999999997E-3</v>
      </c>
      <c r="P571">
        <v>0.99602639999999998</v>
      </c>
      <c r="Q571">
        <v>6.4738729999999994E-2</v>
      </c>
      <c r="R571">
        <v>-6.1162689999999999E-2</v>
      </c>
      <c r="S571">
        <v>3.0314030000000001</v>
      </c>
      <c r="T571">
        <v>-0.74536040000000003</v>
      </c>
      <c r="U571">
        <v>-0.47412109999999902</v>
      </c>
      <c r="V571">
        <v>6.6444970000000006E-2</v>
      </c>
      <c r="W571">
        <v>7.6563049999999994E-2</v>
      </c>
      <c r="X571">
        <v>0.99484830000000002</v>
      </c>
      <c r="Y571">
        <v>0.15509319999999999</v>
      </c>
      <c r="Z571">
        <v>-1.995545E-2</v>
      </c>
      <c r="AA571">
        <v>0.98769830000000003</v>
      </c>
      <c r="AB571">
        <v>23</v>
      </c>
      <c r="AC571">
        <v>0.61419999999998198</v>
      </c>
      <c r="AD571">
        <v>-0.205401999999999</v>
      </c>
      <c r="AE571">
        <v>-0.131799999999998</v>
      </c>
      <c r="AF571">
        <v>0.122008954532832</v>
      </c>
      <c r="AG571">
        <v>-0.205401999999999</v>
      </c>
      <c r="AH571">
        <v>0.55423667075501803</v>
      </c>
      <c r="AI571">
        <v>109.897076171412</v>
      </c>
      <c r="AJ571">
        <v>77.585000229100501</v>
      </c>
      <c r="AK571">
        <v>0.60353496485274305</v>
      </c>
      <c r="AL571">
        <v>85.608963195827698</v>
      </c>
      <c r="AM571">
        <v>86.178944364203105</v>
      </c>
      <c r="AN571">
        <v>0.99999998733824602</v>
      </c>
    </row>
    <row r="572" spans="1:40" x14ac:dyDescent="0.25">
      <c r="A572" t="str">
        <f>"20190312154514971"</f>
        <v>20190312154514971</v>
      </c>
      <c r="B572" t="str">
        <f>"1552376714966973"</f>
        <v>1552376714966973</v>
      </c>
      <c r="C572" t="s">
        <v>40</v>
      </c>
      <c r="D572">
        <v>4.1268710000000004</v>
      </c>
      <c r="E572">
        <v>0.53925889999999999</v>
      </c>
      <c r="F572" t="s">
        <v>41</v>
      </c>
      <c r="G572">
        <v>-301.21289999999999</v>
      </c>
      <c r="H572">
        <v>0.85698490000000005</v>
      </c>
      <c r="I572">
        <v>368.47089999999997</v>
      </c>
      <c r="J572">
        <v>-301.8</v>
      </c>
      <c r="K572">
        <v>1.059982</v>
      </c>
      <c r="L572">
        <v>368.60070000000002</v>
      </c>
      <c r="M572">
        <v>0.99991600000000003</v>
      </c>
      <c r="N572">
        <v>0</v>
      </c>
      <c r="O572">
        <v>5.2914869999999897E-3</v>
      </c>
      <c r="P572">
        <v>0.99604970000000004</v>
      </c>
      <c r="Q572">
        <v>6.4577369999999995E-2</v>
      </c>
      <c r="R572">
        <v>-6.0951079999999998E-2</v>
      </c>
      <c r="S572">
        <v>3.0315249999999998</v>
      </c>
      <c r="T572">
        <v>-0.74797809999999998</v>
      </c>
      <c r="U572">
        <v>-0.47311399999999998</v>
      </c>
      <c r="V572">
        <v>6.6225179999999995E-2</v>
      </c>
      <c r="W572">
        <v>7.6359079999999996E-2</v>
      </c>
      <c r="X572">
        <v>0.99487859999999995</v>
      </c>
      <c r="Y572">
        <v>0.15473700000000001</v>
      </c>
      <c r="Z572">
        <v>-1.997819E-2</v>
      </c>
      <c r="AA572">
        <v>0.98775369999999996</v>
      </c>
      <c r="AB572">
        <v>23</v>
      </c>
      <c r="AC572">
        <v>0.58710000000002005</v>
      </c>
      <c r="AD572">
        <v>-0.20299710000000001</v>
      </c>
      <c r="AE572">
        <v>-0.12980000000004499</v>
      </c>
      <c r="AF572">
        <v>0.11930644217896499</v>
      </c>
      <c r="AG572">
        <v>-0.20299710000000001</v>
      </c>
      <c r="AH572">
        <v>0.52640506372684503</v>
      </c>
      <c r="AI572">
        <v>110.610810280392</v>
      </c>
      <c r="AJ572">
        <v>77.230003767540097</v>
      </c>
      <c r="AK572">
        <v>0.57666640345270404</v>
      </c>
      <c r="AL572">
        <v>85.620683991535003</v>
      </c>
      <c r="AM572">
        <v>86.191662233984701</v>
      </c>
      <c r="AN572">
        <v>0.99999995615121795</v>
      </c>
    </row>
    <row r="573" spans="1:40" x14ac:dyDescent="0.25">
      <c r="A573" t="str">
        <f>"20190312154514994"</f>
        <v>20190312154514994</v>
      </c>
      <c r="B573" t="str">
        <f>"1552376714986492"</f>
        <v>1552376714986492</v>
      </c>
      <c r="C573" t="s">
        <v>40</v>
      </c>
      <c r="D573">
        <v>4.1461430000000004</v>
      </c>
      <c r="E573">
        <v>0.53926819999999998</v>
      </c>
      <c r="F573" t="s">
        <v>41</v>
      </c>
      <c r="G573">
        <v>-301.00299999999999</v>
      </c>
      <c r="H573">
        <v>0.86303469999999904</v>
      </c>
      <c r="I573">
        <v>368.47699999999998</v>
      </c>
      <c r="J573">
        <v>-301.55810000000002</v>
      </c>
      <c r="K573">
        <v>1.0599829999999999</v>
      </c>
      <c r="L573">
        <v>368.60199999999998</v>
      </c>
      <c r="M573">
        <v>0.99991600000000003</v>
      </c>
      <c r="N573">
        <v>0</v>
      </c>
      <c r="O573">
        <v>5.2826009999999996E-3</v>
      </c>
      <c r="P573">
        <v>0.9960812</v>
      </c>
      <c r="Q573">
        <v>6.4228170000000001E-2</v>
      </c>
      <c r="R573">
        <v>-6.0802170000000003E-2</v>
      </c>
      <c r="S573">
        <v>3.0316770000000002</v>
      </c>
      <c r="T573">
        <v>-0.74905719999999898</v>
      </c>
      <c r="U573">
        <v>-0.4703369</v>
      </c>
      <c r="V573">
        <v>6.6067639999999997E-2</v>
      </c>
      <c r="W573">
        <v>7.6001070000000004E-2</v>
      </c>
      <c r="X573">
        <v>0.99491660000000004</v>
      </c>
      <c r="Y573">
        <v>0.15384979999999901</v>
      </c>
      <c r="Z573">
        <v>-1.9897049999999999E-2</v>
      </c>
      <c r="AA573">
        <v>0.98789389999999999</v>
      </c>
      <c r="AB573">
        <v>23</v>
      </c>
      <c r="AC573">
        <v>0.55510000000003801</v>
      </c>
      <c r="AD573">
        <v>-0.19694829999999999</v>
      </c>
      <c r="AE573">
        <v>-0.125</v>
      </c>
      <c r="AF573">
        <v>0.114243708330906</v>
      </c>
      <c r="AG573">
        <v>-0.19694829999999999</v>
      </c>
      <c r="AH573">
        <v>0.495114061446218</v>
      </c>
      <c r="AI573">
        <v>111.18629223957301</v>
      </c>
      <c r="AJ573">
        <v>77.006853598715693</v>
      </c>
      <c r="AK573">
        <v>0.54495705482896295</v>
      </c>
      <c r="AL573">
        <v>85.641256725842695</v>
      </c>
      <c r="AM573">
        <v>86.200839832911996</v>
      </c>
      <c r="AN573">
        <v>1.00000006832593</v>
      </c>
    </row>
    <row r="574" spans="1:40" x14ac:dyDescent="0.25">
      <c r="A574" t="str">
        <f>"20190312154515016"</f>
        <v>20190312154515016</v>
      </c>
      <c r="B574" t="str">
        <f>"1552376715006993"</f>
        <v>1552376715006993</v>
      </c>
      <c r="C574" t="s">
        <v>40</v>
      </c>
      <c r="D574">
        <v>4.1897640000000003</v>
      </c>
      <c r="E574">
        <v>0.5392825</v>
      </c>
      <c r="F574" t="s">
        <v>41</v>
      </c>
      <c r="G574">
        <v>-300.79259999999999</v>
      </c>
      <c r="H574">
        <v>0.87029769999999895</v>
      </c>
      <c r="I574">
        <v>368.4828</v>
      </c>
      <c r="J574">
        <v>-301.33139999999997</v>
      </c>
      <c r="K574">
        <v>1.0599970000000001</v>
      </c>
      <c r="L574">
        <v>368.60320000000002</v>
      </c>
      <c r="M574">
        <v>0.99991589999999997</v>
      </c>
      <c r="N574">
        <v>0</v>
      </c>
      <c r="O574">
        <v>5.2742479999999996E-3</v>
      </c>
      <c r="P574">
        <v>0.99610390000000004</v>
      </c>
      <c r="Q574">
        <v>6.3825900000000005E-2</v>
      </c>
      <c r="R574">
        <v>-6.0854930000000002E-2</v>
      </c>
      <c r="S574">
        <v>3.0314939999999999</v>
      </c>
      <c r="T574">
        <v>-0.75122699999999998</v>
      </c>
      <c r="U574">
        <v>-0.4703369</v>
      </c>
      <c r="V574">
        <v>6.6112500000000005E-2</v>
      </c>
      <c r="W574">
        <v>7.5620220000000002E-2</v>
      </c>
      <c r="X574">
        <v>0.99494249999999995</v>
      </c>
      <c r="Y574">
        <v>0.1538243</v>
      </c>
      <c r="Z574">
        <v>-1.9949049999999999E-2</v>
      </c>
      <c r="AA574">
        <v>0.98789680000000002</v>
      </c>
      <c r="AB574">
        <v>23</v>
      </c>
      <c r="AC574">
        <v>0.53879999999997996</v>
      </c>
      <c r="AD574">
        <v>-0.18969929999999999</v>
      </c>
      <c r="AE574">
        <v>-0.12040000000001699</v>
      </c>
      <c r="AF574">
        <v>0.110226594969249</v>
      </c>
      <c r="AG574">
        <v>-0.18969929999999999</v>
      </c>
      <c r="AH574">
        <v>0.48133011151773503</v>
      </c>
      <c r="AI574">
        <v>111.015276536084</v>
      </c>
      <c r="AJ574">
        <v>77.1014383285939</v>
      </c>
      <c r="AK574">
        <v>0.528974860378714</v>
      </c>
      <c r="AL574">
        <v>85.663140195372705</v>
      </c>
      <c r="AM574">
        <v>86.198366436494496</v>
      </c>
      <c r="AN574">
        <v>0.99999992931767101</v>
      </c>
    </row>
    <row r="575" spans="1:40" x14ac:dyDescent="0.25">
      <c r="A575" t="str">
        <f>"20190312154515039"</f>
        <v>20190312154515039</v>
      </c>
      <c r="B575" t="str">
        <f>"1552376715026510"</f>
        <v>1552376715026510</v>
      </c>
      <c r="C575" t="s">
        <v>40</v>
      </c>
      <c r="D575">
        <v>4.1803470000000003</v>
      </c>
      <c r="E575">
        <v>0.53940449999999995</v>
      </c>
      <c r="F575" t="s">
        <v>41</v>
      </c>
      <c r="G575">
        <v>-300.58359999999999</v>
      </c>
      <c r="H575">
        <v>0.87397530000000001</v>
      </c>
      <c r="I575">
        <v>368.4873</v>
      </c>
      <c r="J575">
        <v>-301.09769999999997</v>
      </c>
      <c r="K575">
        <v>1.060012</v>
      </c>
      <c r="L575">
        <v>368.6044</v>
      </c>
      <c r="M575">
        <v>0.99991549999999996</v>
      </c>
      <c r="N575">
        <v>0</v>
      </c>
      <c r="O575">
        <v>5.2653869999999998E-3</v>
      </c>
      <c r="P575">
        <v>0.99614060000000004</v>
      </c>
      <c r="Q575">
        <v>6.3105889999999998E-2</v>
      </c>
      <c r="R575">
        <v>-6.1009029999999999E-2</v>
      </c>
      <c r="S575">
        <v>3.031342</v>
      </c>
      <c r="T575">
        <v>-0.75404079999999996</v>
      </c>
      <c r="U575">
        <v>-0.47039789999999998</v>
      </c>
      <c r="V575">
        <v>6.6257540000000004E-2</v>
      </c>
      <c r="W575">
        <v>7.4947410000000006E-2</v>
      </c>
      <c r="X575">
        <v>0.99498390000000003</v>
      </c>
      <c r="Y575">
        <v>0.153808</v>
      </c>
      <c r="Z575">
        <v>-2.001841E-2</v>
      </c>
      <c r="AA575">
        <v>0.9878979</v>
      </c>
      <c r="AB575">
        <v>23</v>
      </c>
      <c r="AC575">
        <v>0.51409999999998401</v>
      </c>
      <c r="AD575">
        <v>-0.1860367</v>
      </c>
      <c r="AE575">
        <v>-0.117099999999993</v>
      </c>
      <c r="AF575">
        <v>0.106542067082291</v>
      </c>
      <c r="AG575">
        <v>-0.1860367</v>
      </c>
      <c r="AH575">
        <v>0.45663028690091201</v>
      </c>
      <c r="AI575">
        <v>111.640982276112</v>
      </c>
      <c r="AJ575">
        <v>76.866572661073405</v>
      </c>
      <c r="AK575">
        <v>0.50445226208261396</v>
      </c>
      <c r="AL575">
        <v>85.701799680150202</v>
      </c>
      <c r="AM575">
        <v>86.190208871989896</v>
      </c>
      <c r="AN575">
        <v>1.0000000685658801</v>
      </c>
    </row>
    <row r="576" spans="1:40" x14ac:dyDescent="0.25">
      <c r="A576" t="str">
        <f>"20190312154515061"</f>
        <v>20190312154515061</v>
      </c>
      <c r="B576" t="str">
        <f>"1552376715056767"</f>
        <v>1552376715056767</v>
      </c>
      <c r="C576" t="s">
        <v>40</v>
      </c>
      <c r="D576">
        <v>4.2111280000000004</v>
      </c>
      <c r="E576">
        <v>0.53958709999999999</v>
      </c>
      <c r="F576" t="s">
        <v>41</v>
      </c>
      <c r="G576">
        <v>-300.37400000000002</v>
      </c>
      <c r="H576">
        <v>0.87898639999999995</v>
      </c>
      <c r="I576">
        <v>368.49149999999997</v>
      </c>
      <c r="J576">
        <v>-300.86829999999998</v>
      </c>
      <c r="K576">
        <v>1.0600320000000001</v>
      </c>
      <c r="L576">
        <v>368.60559999999998</v>
      </c>
      <c r="M576">
        <v>0.99991459999999999</v>
      </c>
      <c r="N576">
        <v>0</v>
      </c>
      <c r="O576">
        <v>5.2565320000000004E-3</v>
      </c>
      <c r="P576">
        <v>0.99615790000000004</v>
      </c>
      <c r="Q576">
        <v>6.2857769999999993E-2</v>
      </c>
      <c r="R576">
        <v>-6.0978160000000003E-2</v>
      </c>
      <c r="S576">
        <v>3.0307309999999998</v>
      </c>
      <c r="T576">
        <v>-0.75817219999999996</v>
      </c>
      <c r="U576">
        <v>-0.47183229999999998</v>
      </c>
      <c r="V576">
        <v>6.6218029999999997E-2</v>
      </c>
      <c r="W576">
        <v>7.4775289999999994E-2</v>
      </c>
      <c r="X576">
        <v>0.99499939999999998</v>
      </c>
      <c r="Y576">
        <v>0.154221</v>
      </c>
      <c r="Z576">
        <v>-2.017648E-2</v>
      </c>
      <c r="AA576">
        <v>0.98783030000000005</v>
      </c>
      <c r="AB576">
        <v>23</v>
      </c>
      <c r="AC576">
        <v>0.494299999999952</v>
      </c>
      <c r="AD576">
        <v>-0.181045599999999</v>
      </c>
      <c r="AE576">
        <v>-0.114100000000007</v>
      </c>
      <c r="AF576">
        <v>0.10351299613579799</v>
      </c>
      <c r="AG576">
        <v>-0.181045599999999</v>
      </c>
      <c r="AH576">
        <v>0.43791799740478698</v>
      </c>
      <c r="AI576">
        <v>111.916715972229</v>
      </c>
      <c r="AJ576">
        <v>76.700796986187498</v>
      </c>
      <c r="AK576">
        <v>0.48504084580516399</v>
      </c>
      <c r="AL576">
        <v>85.711688836527401</v>
      </c>
      <c r="AM576">
        <v>86.192533140913696</v>
      </c>
      <c r="AN576">
        <v>0.99999998874601204</v>
      </c>
    </row>
    <row r="577" spans="1:40" x14ac:dyDescent="0.25">
      <c r="A577" t="str">
        <f>"20190312154515084"</f>
        <v>20190312154515084</v>
      </c>
      <c r="B577" t="str">
        <f>"1552376715077260"</f>
        <v>1552376715077260</v>
      </c>
      <c r="C577" t="s">
        <v>40</v>
      </c>
      <c r="D577">
        <v>4.2366140000000003</v>
      </c>
      <c r="E577">
        <v>0.53956530000000003</v>
      </c>
      <c r="F577" t="s">
        <v>41</v>
      </c>
      <c r="G577">
        <v>-300.16489999999999</v>
      </c>
      <c r="H577">
        <v>0.88333069999999902</v>
      </c>
      <c r="I577">
        <v>368.4957</v>
      </c>
      <c r="J577">
        <v>-300.63119999999998</v>
      </c>
      <c r="K577">
        <v>1.0600609999999999</v>
      </c>
      <c r="L577">
        <v>368.60680000000002</v>
      </c>
      <c r="M577">
        <v>0.99991319999999995</v>
      </c>
      <c r="N577">
        <v>0</v>
      </c>
      <c r="O577">
        <v>5.246934E-3</v>
      </c>
      <c r="P577">
        <v>0.99612990000000001</v>
      </c>
      <c r="Q577">
        <v>6.3091049999999996E-2</v>
      </c>
      <c r="R577">
        <v>-6.1196309999999997E-2</v>
      </c>
      <c r="S577">
        <v>3.0306700000000002</v>
      </c>
      <c r="T577">
        <v>-0.76145169999999995</v>
      </c>
      <c r="U577">
        <v>-0.4735413</v>
      </c>
      <c r="V577">
        <v>6.6426289999999999E-2</v>
      </c>
      <c r="W577">
        <v>7.5127150000000004E-2</v>
      </c>
      <c r="X577">
        <v>0.99495900000000004</v>
      </c>
      <c r="Y577">
        <v>0.15470329999999999</v>
      </c>
      <c r="Z577">
        <v>-2.0317680000000001E-2</v>
      </c>
      <c r="AA577">
        <v>0.98775199999999996</v>
      </c>
      <c r="AB577">
        <v>23</v>
      </c>
      <c r="AC577">
        <v>0.466299999999989</v>
      </c>
      <c r="AD577">
        <v>-0.17673030000000001</v>
      </c>
      <c r="AE577">
        <v>-0.111100000000021</v>
      </c>
      <c r="AF577">
        <v>9.9958097686428493E-2</v>
      </c>
      <c r="AG577">
        <v>-0.17673030000000001</v>
      </c>
      <c r="AH577">
        <v>0.40998216789795999</v>
      </c>
      <c r="AI577">
        <v>112.723955580655</v>
      </c>
      <c r="AJ577">
        <v>76.297992533801704</v>
      </c>
      <c r="AK577">
        <v>0.45750475213432501</v>
      </c>
      <c r="AL577">
        <v>85.691471822715599</v>
      </c>
      <c r="AM577">
        <v>86.180439171971102</v>
      </c>
      <c r="AN577">
        <v>0.99999997617564296</v>
      </c>
    </row>
    <row r="578" spans="1:40" x14ac:dyDescent="0.25">
      <c r="A578" t="str">
        <f>"20190312154515105"</f>
        <v>20190312154515105</v>
      </c>
      <c r="B578" t="str">
        <f>"1552376715096781"</f>
        <v>1552376715096781</v>
      </c>
      <c r="C578" t="s">
        <v>40</v>
      </c>
      <c r="D578">
        <v>4.2610720000000004</v>
      </c>
      <c r="E578">
        <v>0.53967710000000002</v>
      </c>
      <c r="F578" t="s">
        <v>41</v>
      </c>
      <c r="G578">
        <v>-299.76780000000002</v>
      </c>
      <c r="H578">
        <v>0.84292579999999995</v>
      </c>
      <c r="I578">
        <v>368.47179999999997</v>
      </c>
      <c r="J578">
        <v>-300.4101</v>
      </c>
      <c r="K578">
        <v>1.0600909999999999</v>
      </c>
      <c r="L578">
        <v>368.60789999999997</v>
      </c>
      <c r="M578">
        <v>0.99991149999999995</v>
      </c>
      <c r="N578">
        <v>0</v>
      </c>
      <c r="O578">
        <v>5.2381270000000004E-3</v>
      </c>
      <c r="P578">
        <v>0.99614809999999998</v>
      </c>
      <c r="Q578">
        <v>6.3040520000000003E-2</v>
      </c>
      <c r="R578">
        <v>-6.0950240000000003E-2</v>
      </c>
      <c r="S578">
        <v>3.0307620000000002</v>
      </c>
      <c r="T578">
        <v>-0.76220010000000005</v>
      </c>
      <c r="U578">
        <v>-0.47375489999999998</v>
      </c>
      <c r="V578">
        <v>6.6171439999999998E-2</v>
      </c>
      <c r="W578">
        <v>7.5220350000000005E-2</v>
      </c>
      <c r="X578">
        <v>0.99496899999999999</v>
      </c>
      <c r="Y578">
        <v>0.15474789999999999</v>
      </c>
      <c r="Z578">
        <v>-2.0339690000000001E-2</v>
      </c>
      <c r="AA578">
        <v>0.98774459999999997</v>
      </c>
      <c r="AB578">
        <v>23</v>
      </c>
      <c r="AC578">
        <v>0.642299999999977</v>
      </c>
      <c r="AD578">
        <v>-0.217165199999999</v>
      </c>
      <c r="AE578">
        <v>-0.136099999999999</v>
      </c>
      <c r="AF578">
        <v>0.12570977738331501</v>
      </c>
      <c r="AG578">
        <v>-0.217165199999999</v>
      </c>
      <c r="AH578">
        <v>0.57830931699349797</v>
      </c>
      <c r="AI578">
        <v>110.15050994649999</v>
      </c>
      <c r="AJ578">
        <v>77.736138194334202</v>
      </c>
      <c r="AK578">
        <v>0.63040093459820401</v>
      </c>
      <c r="AL578">
        <v>85.686116960814701</v>
      </c>
      <c r="AM578">
        <v>86.195088236254904</v>
      </c>
      <c r="AN578">
        <v>1.00000003574339</v>
      </c>
    </row>
    <row r="579" spans="1:40" x14ac:dyDescent="0.25">
      <c r="A579" t="str">
        <f>"20190312154515128"</f>
        <v>20190312154515128</v>
      </c>
      <c r="B579" t="str">
        <f>"1552376715116301"</f>
        <v>1552376715116301</v>
      </c>
      <c r="C579" t="s">
        <v>40</v>
      </c>
      <c r="D579">
        <v>4.2153460000000003</v>
      </c>
      <c r="E579">
        <v>0.53969449999999997</v>
      </c>
      <c r="F579" t="s">
        <v>41</v>
      </c>
      <c r="G579">
        <v>-299.56020000000001</v>
      </c>
      <c r="H579">
        <v>0.84583889999999995</v>
      </c>
      <c r="I579">
        <v>368.47489999999999</v>
      </c>
      <c r="J579">
        <v>-300.18049999999999</v>
      </c>
      <c r="K579">
        <v>1.0601229999999999</v>
      </c>
      <c r="L579">
        <v>368.60910000000001</v>
      </c>
      <c r="M579">
        <v>0.99990970000000001</v>
      </c>
      <c r="N579">
        <v>0</v>
      </c>
      <c r="O579">
        <v>5.2299679999999998E-3</v>
      </c>
      <c r="P579">
        <v>0.99615350000000003</v>
      </c>
      <c r="Q579">
        <v>6.2964279999999997E-2</v>
      </c>
      <c r="R579">
        <v>-6.0943369999999997E-2</v>
      </c>
      <c r="S579">
        <v>3.0310060000000001</v>
      </c>
      <c r="T579">
        <v>-0.76423039999999998</v>
      </c>
      <c r="U579">
        <v>-0.47348020000000002</v>
      </c>
      <c r="V579">
        <v>6.615675E-2</v>
      </c>
      <c r="W579">
        <v>7.5295000000000001E-2</v>
      </c>
      <c r="X579">
        <v>0.99496430000000002</v>
      </c>
      <c r="Y579">
        <v>0.1546196</v>
      </c>
      <c r="Z579">
        <v>-2.0372970000000001E-2</v>
      </c>
      <c r="AA579">
        <v>0.98776399999999998</v>
      </c>
      <c r="AB579">
        <v>23</v>
      </c>
      <c r="AC579">
        <v>0.62029999999998597</v>
      </c>
      <c r="AD579">
        <v>-0.21428409999999901</v>
      </c>
      <c r="AE579">
        <v>-0.134200000000021</v>
      </c>
      <c r="AF579">
        <v>0.123377370808873</v>
      </c>
      <c r="AG579">
        <v>-0.21428409999999901</v>
      </c>
      <c r="AH579">
        <v>0.55618386789324903</v>
      </c>
      <c r="AI579">
        <v>110.612908913368</v>
      </c>
      <c r="AJ579">
        <v>77.492697241620604</v>
      </c>
      <c r="AK579">
        <v>0.60867080268829699</v>
      </c>
      <c r="AL579">
        <v>85.681827535979707</v>
      </c>
      <c r="AM579">
        <v>86.195912525982607</v>
      </c>
      <c r="AN579">
        <v>1.00000000543502</v>
      </c>
    </row>
    <row r="580" spans="1:40" x14ac:dyDescent="0.25">
      <c r="A580" t="str">
        <f>"20190312154515150"</f>
        <v>20190312154515150</v>
      </c>
      <c r="B580" t="str">
        <f>"1552376715146558"</f>
        <v>1552376715146558</v>
      </c>
      <c r="C580" t="s">
        <v>40</v>
      </c>
      <c r="D580">
        <v>4.3395519999999896</v>
      </c>
      <c r="E580">
        <v>0.53980919999999999</v>
      </c>
      <c r="F580" t="s">
        <v>41</v>
      </c>
      <c r="G580">
        <v>-299.35210000000001</v>
      </c>
      <c r="H580">
        <v>0.85094199999999998</v>
      </c>
      <c r="I580">
        <v>368.47969999999998</v>
      </c>
      <c r="J580">
        <v>-299.94850000000002</v>
      </c>
      <c r="K580">
        <v>1.0601419999999999</v>
      </c>
      <c r="L580">
        <v>368.61040000000003</v>
      </c>
      <c r="M580">
        <v>0.99990789999999996</v>
      </c>
      <c r="N580">
        <v>0</v>
      </c>
      <c r="O580">
        <v>5.2217899999999996E-3</v>
      </c>
      <c r="P580">
        <v>0.99615050000000005</v>
      </c>
      <c r="Q580">
        <v>6.2848840000000003E-2</v>
      </c>
      <c r="R580">
        <v>-6.111101E-2</v>
      </c>
      <c r="S580">
        <v>3.0310060000000001</v>
      </c>
      <c r="T580">
        <v>-0.76533219999999902</v>
      </c>
      <c r="U580">
        <v>-0.47357179999999999</v>
      </c>
      <c r="V580">
        <v>6.6316139999999996E-2</v>
      </c>
      <c r="W580">
        <v>7.5322109999999998E-2</v>
      </c>
      <c r="X580">
        <v>0.99495160000000005</v>
      </c>
      <c r="Y580">
        <v>0.15462690000000001</v>
      </c>
      <c r="Z580">
        <v>-2.0400290000000001E-2</v>
      </c>
      <c r="AA580">
        <v>0.98776229999999998</v>
      </c>
      <c r="AB580">
        <v>23</v>
      </c>
      <c r="AC580">
        <v>0.59640000000001603</v>
      </c>
      <c r="AD580">
        <v>-0.209199999999999</v>
      </c>
      <c r="AE580">
        <v>-0.130700000000047</v>
      </c>
      <c r="AF580">
        <v>0.11975342764088399</v>
      </c>
      <c r="AG580">
        <v>-0.209199999999999</v>
      </c>
      <c r="AH580">
        <v>0.533119902362855</v>
      </c>
      <c r="AI580">
        <v>110.950176272741</v>
      </c>
      <c r="AJ580">
        <v>77.3399286338134</v>
      </c>
      <c r="AK580">
        <v>0.58508320239699296</v>
      </c>
      <c r="AL580">
        <v>85.680269664132595</v>
      </c>
      <c r="AM580">
        <v>86.186725899082703</v>
      </c>
      <c r="AN580">
        <v>0.99999996851095496</v>
      </c>
    </row>
    <row r="581" spans="1:40" x14ac:dyDescent="0.25">
      <c r="A581" t="str">
        <f>"20190312154515172"</f>
        <v>20190312154515172</v>
      </c>
      <c r="B581" t="str">
        <f>"1552376715167054"</f>
        <v>1552376715167054</v>
      </c>
      <c r="C581" t="s">
        <v>40</v>
      </c>
      <c r="D581">
        <v>4.3318779999999997</v>
      </c>
      <c r="E581">
        <v>0.53995740000000003</v>
      </c>
      <c r="F581" t="s">
        <v>41</v>
      </c>
      <c r="G581">
        <v>-299.14400000000001</v>
      </c>
      <c r="H581">
        <v>0.85644809999999905</v>
      </c>
      <c r="I581">
        <v>368.48410000000001</v>
      </c>
      <c r="J581">
        <v>-299.71159999999998</v>
      </c>
      <c r="K581">
        <v>1.060154</v>
      </c>
      <c r="L581">
        <v>368.61160000000001</v>
      </c>
      <c r="M581">
        <v>0.99990630000000003</v>
      </c>
      <c r="N581">
        <v>0</v>
      </c>
      <c r="O581">
        <v>5.2135280000000003E-3</v>
      </c>
      <c r="P581">
        <v>0.99615699999999996</v>
      </c>
      <c r="Q581">
        <v>6.2739699999999995E-2</v>
      </c>
      <c r="R581">
        <v>-6.1117489999999997E-2</v>
      </c>
      <c r="S581">
        <v>3.0309140000000001</v>
      </c>
      <c r="T581">
        <v>-0.76736749999999998</v>
      </c>
      <c r="U581">
        <v>-0.47500609999999999</v>
      </c>
      <c r="V581">
        <v>6.6314620000000005E-2</v>
      </c>
      <c r="W581">
        <v>7.5348730000000003E-2</v>
      </c>
      <c r="X581">
        <v>0.99494970000000005</v>
      </c>
      <c r="Y581">
        <v>0.1550414</v>
      </c>
      <c r="Z581">
        <v>-2.0502119999999999E-2</v>
      </c>
      <c r="AA581">
        <v>0.9876952</v>
      </c>
      <c r="AB581">
        <v>23</v>
      </c>
      <c r="AC581">
        <v>0.56759999999997002</v>
      </c>
      <c r="AD581">
        <v>-0.2037059</v>
      </c>
      <c r="AE581">
        <v>-0.127499999999997</v>
      </c>
      <c r="AF581">
        <v>0.116208768326119</v>
      </c>
      <c r="AG581">
        <v>-0.2037059</v>
      </c>
      <c r="AH581">
        <v>0.50500618992037405</v>
      </c>
      <c r="AI581">
        <v>111.45976825592599</v>
      </c>
      <c r="AJ581">
        <v>77.041056448206405</v>
      </c>
      <c r="AK581">
        <v>0.55680501379619196</v>
      </c>
      <c r="AL581">
        <v>85.678740165383999</v>
      </c>
      <c r="AM581">
        <v>86.186805783077702</v>
      </c>
      <c r="AN581">
        <v>0.99999998273422297</v>
      </c>
    </row>
    <row r="582" spans="1:40" x14ac:dyDescent="0.25">
      <c r="A582" t="str">
        <f>"20190312154515194"</f>
        <v>20190312154515194</v>
      </c>
      <c r="B582" t="str">
        <f>"1552376715186574"</f>
        <v>1552376715186574</v>
      </c>
      <c r="C582" t="s">
        <v>40</v>
      </c>
      <c r="D582">
        <v>4.3658060000000001</v>
      </c>
      <c r="E582">
        <v>0.54010429999999998</v>
      </c>
      <c r="F582" t="s">
        <v>41</v>
      </c>
      <c r="G582">
        <v>-298.9357</v>
      </c>
      <c r="H582">
        <v>0.86320719999999995</v>
      </c>
      <c r="I582">
        <v>368.4896</v>
      </c>
      <c r="J582">
        <v>-299.49</v>
      </c>
      <c r="K582">
        <v>1.0601609999999999</v>
      </c>
      <c r="L582">
        <v>368.61270000000002</v>
      </c>
      <c r="M582">
        <v>0.99990480000000004</v>
      </c>
      <c r="N582">
        <v>0</v>
      </c>
      <c r="O582">
        <v>5.2057249999999996E-3</v>
      </c>
      <c r="P582">
        <v>0.99619219999999997</v>
      </c>
      <c r="Q582">
        <v>6.2286050000000003E-2</v>
      </c>
      <c r="R582">
        <v>-6.100759E-2</v>
      </c>
      <c r="S582">
        <v>3.0307620000000002</v>
      </c>
      <c r="T582">
        <v>-0.76930790000000004</v>
      </c>
      <c r="U582">
        <v>-0.47634890000000002</v>
      </c>
      <c r="V582">
        <v>6.6196930000000001E-2</v>
      </c>
      <c r="W582">
        <v>7.5014449999999996E-2</v>
      </c>
      <c r="X582">
        <v>0.99498279999999995</v>
      </c>
      <c r="Y582">
        <v>0.15543189999999901</v>
      </c>
      <c r="Z582">
        <v>-2.0599269999999999E-2</v>
      </c>
      <c r="AA582">
        <v>0.98763179999999995</v>
      </c>
      <c r="AB582">
        <v>23</v>
      </c>
      <c r="AC582">
        <v>0.55430000000001201</v>
      </c>
      <c r="AD582">
        <v>-0.19695380000000001</v>
      </c>
      <c r="AE582">
        <v>-0.123100000000022</v>
      </c>
      <c r="AF582">
        <v>0.112453868044729</v>
      </c>
      <c r="AG582">
        <v>-0.19695380000000001</v>
      </c>
      <c r="AH582">
        <v>0.49419144834838302</v>
      </c>
      <c r="AI582">
        <v>111.236303635299</v>
      </c>
      <c r="AJ582">
        <v>77.180561989506202</v>
      </c>
      <c r="AK582">
        <v>0.54374797415101594</v>
      </c>
      <c r="AL582">
        <v>85.697947375446802</v>
      </c>
      <c r="AM582">
        <v>86.193679485975906</v>
      </c>
      <c r="AN582">
        <v>0.99999998677303303</v>
      </c>
    </row>
    <row r="583" spans="1:40" x14ac:dyDescent="0.25">
      <c r="A583" t="str">
        <f>"20190312154515216"</f>
        <v>20190312154515216</v>
      </c>
      <c r="B583" t="str">
        <f>"1552376715207073"</f>
        <v>1552376715207073</v>
      </c>
      <c r="C583" t="s">
        <v>40</v>
      </c>
      <c r="D583">
        <v>4.3730279999999997</v>
      </c>
      <c r="E583">
        <v>0.54020380000000001</v>
      </c>
      <c r="F583" t="s">
        <v>41</v>
      </c>
      <c r="G583">
        <v>-298.72919999999999</v>
      </c>
      <c r="H583">
        <v>0.86627999999999905</v>
      </c>
      <c r="I583">
        <v>368.49279999999999</v>
      </c>
      <c r="J583">
        <v>-299.25900000000001</v>
      </c>
      <c r="K583">
        <v>1.060168</v>
      </c>
      <c r="L583">
        <v>368.6139</v>
      </c>
      <c r="M583">
        <v>0.9999034</v>
      </c>
      <c r="N583">
        <v>0</v>
      </c>
      <c r="O583">
        <v>5.1972340000000002E-3</v>
      </c>
      <c r="P583">
        <v>0.9961816</v>
      </c>
      <c r="Q583">
        <v>6.2250479999999997E-2</v>
      </c>
      <c r="R583">
        <v>-6.1217300000000002E-2</v>
      </c>
      <c r="S583">
        <v>3.030548</v>
      </c>
      <c r="T583">
        <v>-0.77232609999999902</v>
      </c>
      <c r="U583">
        <v>-0.47680660000000002</v>
      </c>
      <c r="V583">
        <v>6.6398109999999996E-2</v>
      </c>
      <c r="W583">
        <v>7.5092930000000002E-2</v>
      </c>
      <c r="X583">
        <v>0.9949635</v>
      </c>
      <c r="Y583">
        <v>0.1555377</v>
      </c>
      <c r="Z583">
        <v>-2.0689889999999999E-2</v>
      </c>
      <c r="AA583">
        <v>0.98761330000000003</v>
      </c>
      <c r="AB583">
        <v>23</v>
      </c>
      <c r="AC583">
        <v>0.52980000000002203</v>
      </c>
      <c r="AD583">
        <v>-0.193888</v>
      </c>
      <c r="AE583">
        <v>-0.121100000000012</v>
      </c>
      <c r="AF583">
        <v>0.109868080227059</v>
      </c>
      <c r="AG583">
        <v>-0.193888</v>
      </c>
      <c r="AH583">
        <v>0.46941612933462801</v>
      </c>
      <c r="AI583">
        <v>111.908611306072</v>
      </c>
      <c r="AJ583">
        <v>76.826899133808297</v>
      </c>
      <c r="AK583">
        <v>0.51962972786040995</v>
      </c>
      <c r="AL583">
        <v>85.693438191851499</v>
      </c>
      <c r="AM583">
        <v>86.182071966079306</v>
      </c>
      <c r="AN583">
        <v>1.0000000117398999</v>
      </c>
    </row>
    <row r="584" spans="1:40" x14ac:dyDescent="0.25">
      <c r="A584" t="str">
        <f>"20190312154515239"</f>
        <v>20190312154515239</v>
      </c>
      <c r="B584" t="str">
        <f>"1552376715236350"</f>
        <v>1552376715236350</v>
      </c>
      <c r="C584" t="s">
        <v>40</v>
      </c>
      <c r="D584">
        <v>4.4164269999999997</v>
      </c>
      <c r="E584">
        <v>0.540267099999999</v>
      </c>
      <c r="F584" t="s">
        <v>41</v>
      </c>
      <c r="G584">
        <v>-298.52179999999998</v>
      </c>
      <c r="H584">
        <v>0.87191589999999997</v>
      </c>
      <c r="I584">
        <v>368.49759999999998</v>
      </c>
      <c r="J584">
        <v>-299.03449999999998</v>
      </c>
      <c r="K584">
        <v>1.0601719999999999</v>
      </c>
      <c r="L584">
        <v>368.61509999999998</v>
      </c>
      <c r="M584">
        <v>0.99990210000000002</v>
      </c>
      <c r="N584">
        <v>0</v>
      </c>
      <c r="O584">
        <v>5.188654E-3</v>
      </c>
      <c r="P584">
        <v>0.99619970000000002</v>
      </c>
      <c r="Q584">
        <v>6.2100820000000001E-2</v>
      </c>
      <c r="R584">
        <v>-6.107249E-2</v>
      </c>
      <c r="S584">
        <v>3.0305179999999998</v>
      </c>
      <c r="T584">
        <v>-0.77388859999999904</v>
      </c>
      <c r="U584">
        <v>-0.47772219999999999</v>
      </c>
      <c r="V584">
        <v>6.6244890000000001E-2</v>
      </c>
      <c r="W584">
        <v>7.5042990000000004E-2</v>
      </c>
      <c r="X584">
        <v>0.99497749999999996</v>
      </c>
      <c r="Y584">
        <v>0.1557943</v>
      </c>
      <c r="Z584">
        <v>-2.076012E-2</v>
      </c>
      <c r="AA584">
        <v>0.98757139999999999</v>
      </c>
      <c r="AB584">
        <v>23</v>
      </c>
      <c r="AC584">
        <v>0.51269999999999505</v>
      </c>
      <c r="AD584">
        <v>-0.18825609999999901</v>
      </c>
      <c r="AE584">
        <v>-0.117500000000006</v>
      </c>
      <c r="AF584">
        <v>0.10651463112571</v>
      </c>
      <c r="AG584">
        <v>-0.18825609999999901</v>
      </c>
      <c r="AH584">
        <v>0.45393547905677201</v>
      </c>
      <c r="AI584">
        <v>111.98657487590199</v>
      </c>
      <c r="AJ584">
        <v>76.794613310580999</v>
      </c>
      <c r="AK584">
        <v>0.50283510714503399</v>
      </c>
      <c r="AL584">
        <v>85.696307720971205</v>
      </c>
      <c r="AM584">
        <v>86.190909673232696</v>
      </c>
      <c r="AN584">
        <v>1.0000000306527499</v>
      </c>
    </row>
    <row r="585" spans="1:40" x14ac:dyDescent="0.25">
      <c r="A585" t="str">
        <f>"20190312154515262"</f>
        <v>20190312154515262</v>
      </c>
      <c r="B585" t="str">
        <f>"1552376715256845"</f>
        <v>1552376715256845</v>
      </c>
      <c r="C585" t="s">
        <v>40</v>
      </c>
      <c r="D585">
        <v>4.4300509999999997</v>
      </c>
      <c r="E585">
        <v>0.54027289999999994</v>
      </c>
      <c r="F585" t="s">
        <v>41</v>
      </c>
      <c r="G585">
        <v>-298.3152</v>
      </c>
      <c r="H585">
        <v>0.87593980000000005</v>
      </c>
      <c r="I585">
        <v>368.50150000000002</v>
      </c>
      <c r="J585">
        <v>-298.79730000000001</v>
      </c>
      <c r="K585">
        <v>1.060184</v>
      </c>
      <c r="L585">
        <v>368.61630000000002</v>
      </c>
      <c r="M585">
        <v>0.99990080000000003</v>
      </c>
      <c r="N585">
        <v>0</v>
      </c>
      <c r="O585">
        <v>5.1798139999999996E-3</v>
      </c>
      <c r="P585">
        <v>0.99617630000000001</v>
      </c>
      <c r="Q585">
        <v>6.2112639999999997E-2</v>
      </c>
      <c r="R585">
        <v>-6.1440340000000003E-2</v>
      </c>
      <c r="S585">
        <v>3.0305789999999999</v>
      </c>
      <c r="T585">
        <v>-0.77613869999999996</v>
      </c>
      <c r="U585">
        <v>-0.47732540000000001</v>
      </c>
      <c r="V585">
        <v>6.6603899999999994E-2</v>
      </c>
      <c r="W585">
        <v>7.5147599999999995E-2</v>
      </c>
      <c r="X585">
        <v>0.99494559999999999</v>
      </c>
      <c r="Y585">
        <v>0.15563289999999999</v>
      </c>
      <c r="Z585">
        <v>-2.0795979999999999E-2</v>
      </c>
      <c r="AA585">
        <v>0.98759600000000003</v>
      </c>
      <c r="AB585">
        <v>23</v>
      </c>
      <c r="AC585">
        <v>0.48210000000000203</v>
      </c>
      <c r="AD585">
        <v>-0.184244199999999</v>
      </c>
      <c r="AE585">
        <v>-0.114800000000002</v>
      </c>
      <c r="AF585">
        <v>0.103052319233807</v>
      </c>
      <c r="AG585">
        <v>-0.184244199999999</v>
      </c>
      <c r="AH585">
        <v>0.42302917591008998</v>
      </c>
      <c r="AI585">
        <v>112.936158624412</v>
      </c>
      <c r="AJ585">
        <v>76.309087267724294</v>
      </c>
      <c r="AK585">
        <v>0.47277837239480103</v>
      </c>
      <c r="AL585">
        <v>85.690296879921505</v>
      </c>
      <c r="AM585">
        <v>86.170205391190805</v>
      </c>
      <c r="AN585">
        <v>0.99999999412016405</v>
      </c>
    </row>
    <row r="586" spans="1:40" x14ac:dyDescent="0.25">
      <c r="A586" t="str">
        <f>"20190312154515285"</f>
        <v>20190312154515285</v>
      </c>
      <c r="B586" t="str">
        <f>"1552376715276365"</f>
        <v>1552376715276365</v>
      </c>
      <c r="C586" t="s">
        <v>40</v>
      </c>
      <c r="D586">
        <v>4.3404360000000004</v>
      </c>
      <c r="E586">
        <v>0.54023520000000003</v>
      </c>
      <c r="F586" t="s">
        <v>41</v>
      </c>
      <c r="G586">
        <v>-298.10739999999998</v>
      </c>
      <c r="H586">
        <v>0.88319590000000003</v>
      </c>
      <c r="I586">
        <v>368.50740000000002</v>
      </c>
      <c r="J586">
        <v>-298.56790000000001</v>
      </c>
      <c r="K586">
        <v>1.060184</v>
      </c>
      <c r="L586">
        <v>368.61750000000001</v>
      </c>
      <c r="M586">
        <v>0.99989989999999995</v>
      </c>
      <c r="N586">
        <v>0</v>
      </c>
      <c r="O586">
        <v>5.1714229999999996E-3</v>
      </c>
      <c r="P586">
        <v>0.99613640000000003</v>
      </c>
      <c r="Q586">
        <v>6.2010740000000002E-2</v>
      </c>
      <c r="R586">
        <v>-6.2188340000000002E-2</v>
      </c>
      <c r="S586">
        <v>3.0304570000000002</v>
      </c>
      <c r="T586">
        <v>-0.77749089999999998</v>
      </c>
      <c r="U586">
        <v>-0.47869869999999998</v>
      </c>
      <c r="V586">
        <v>6.7343189999999997E-2</v>
      </c>
      <c r="W586">
        <v>7.512286E-2</v>
      </c>
      <c r="X586">
        <v>0.9948977</v>
      </c>
      <c r="Y586">
        <v>0.15603739999999999</v>
      </c>
      <c r="Z586">
        <v>-2.0879869999999998E-2</v>
      </c>
      <c r="AA586">
        <v>0.98753040000000003</v>
      </c>
      <c r="AB586">
        <v>23</v>
      </c>
      <c r="AC586">
        <v>0.460500000000024</v>
      </c>
      <c r="AD586">
        <v>-0.17698809999999901</v>
      </c>
      <c r="AE586">
        <v>-0.110099999999988</v>
      </c>
      <c r="AF586">
        <v>9.8690270707046404E-2</v>
      </c>
      <c r="AG586">
        <v>-0.17698809999999901</v>
      </c>
      <c r="AH586">
        <v>0.40353836214925098</v>
      </c>
      <c r="AI586">
        <v>113.075692700649</v>
      </c>
      <c r="AJ586">
        <v>76.257359884878298</v>
      </c>
      <c r="AK586">
        <v>0.451561476213306</v>
      </c>
      <c r="AL586">
        <v>85.691718383894298</v>
      </c>
      <c r="AM586">
        <v>86.127638188096199</v>
      </c>
      <c r="AN586">
        <v>0.99999999139962203</v>
      </c>
    </row>
    <row r="587" spans="1:40" x14ac:dyDescent="0.25">
      <c r="A587" t="str">
        <f>"20190312154515308"</f>
        <v>20190312154515308</v>
      </c>
      <c r="B587" t="str">
        <f>"1552376715296862"</f>
        <v>1552376715296862</v>
      </c>
      <c r="C587" t="s">
        <v>40</v>
      </c>
      <c r="D587">
        <v>4.4694339999999997</v>
      </c>
      <c r="E587">
        <v>0.54025829999999997</v>
      </c>
      <c r="F587" t="s">
        <v>41</v>
      </c>
      <c r="G587">
        <v>-297.71620000000001</v>
      </c>
      <c r="H587">
        <v>0.84147819999999995</v>
      </c>
      <c r="I587">
        <v>368.48239999999998</v>
      </c>
      <c r="J587">
        <v>-298.33449999999999</v>
      </c>
      <c r="K587">
        <v>1.060187</v>
      </c>
      <c r="L587">
        <v>368.61869999999999</v>
      </c>
      <c r="M587">
        <v>0.99989899999999998</v>
      </c>
      <c r="N587">
        <v>0</v>
      </c>
      <c r="O587">
        <v>5.1632099999999997E-3</v>
      </c>
      <c r="P587">
        <v>0.99611959999999999</v>
      </c>
      <c r="Q587">
        <v>6.1702489999999999E-2</v>
      </c>
      <c r="R587">
        <v>-6.2762670000000007E-2</v>
      </c>
      <c r="S587">
        <v>3.03009</v>
      </c>
      <c r="T587">
        <v>-0.77809600000000001</v>
      </c>
      <c r="U587">
        <v>-0.48065190000000002</v>
      </c>
      <c r="V587">
        <v>6.7909230000000001E-2</v>
      </c>
      <c r="W587">
        <v>7.4884179999999995E-2</v>
      </c>
      <c r="X587">
        <v>0.99487720000000002</v>
      </c>
      <c r="Y587">
        <v>0.15664139999999999</v>
      </c>
      <c r="Z587">
        <v>-2.0970840000000001E-2</v>
      </c>
      <c r="AA587">
        <v>0.98743289999999995</v>
      </c>
      <c r="AB587">
        <v>23</v>
      </c>
      <c r="AC587">
        <v>0.61829999999997598</v>
      </c>
      <c r="AD587">
        <v>-0.21870880000000001</v>
      </c>
      <c r="AE587">
        <v>-0.136300000000005</v>
      </c>
      <c r="AF587">
        <v>0.124620692172545</v>
      </c>
      <c r="AG587">
        <v>-0.21870880000000001</v>
      </c>
      <c r="AH587">
        <v>0.55175105529266799</v>
      </c>
      <c r="AI587">
        <v>111.139025525311</v>
      </c>
      <c r="AJ587">
        <v>77.272507848924903</v>
      </c>
      <c r="AK587">
        <v>0.60645946536563899</v>
      </c>
      <c r="AL587">
        <v>85.705432292320907</v>
      </c>
      <c r="AM587">
        <v>86.095109870176202</v>
      </c>
      <c r="AN587">
        <v>0.99999997350665204</v>
      </c>
    </row>
    <row r="588" spans="1:40" x14ac:dyDescent="0.25">
      <c r="A588" t="str">
        <f>"20190312154515329"</f>
        <v>20190312154515329</v>
      </c>
      <c r="B588" t="str">
        <f>"1552376715316382"</f>
        <v>1552376715316382</v>
      </c>
      <c r="C588" t="s">
        <v>40</v>
      </c>
      <c r="D588">
        <v>4.4671279999999998</v>
      </c>
      <c r="E588">
        <v>0.54025330000000005</v>
      </c>
      <c r="F588" t="s">
        <v>41</v>
      </c>
      <c r="G588">
        <v>-297.50979999999998</v>
      </c>
      <c r="H588">
        <v>0.84790840000000001</v>
      </c>
      <c r="I588">
        <v>368.48689999999999</v>
      </c>
      <c r="J588">
        <v>-298.11849999999998</v>
      </c>
      <c r="K588">
        <v>1.06019</v>
      </c>
      <c r="L588">
        <v>368.6198</v>
      </c>
      <c r="M588">
        <v>0.99989839999999997</v>
      </c>
      <c r="N588">
        <v>0</v>
      </c>
      <c r="O588">
        <v>5.1554399999999998E-3</v>
      </c>
      <c r="P588">
        <v>0.99610790000000005</v>
      </c>
      <c r="Q588">
        <v>6.1569779999999998E-2</v>
      </c>
      <c r="R588">
        <v>-6.3076179999999996E-2</v>
      </c>
      <c r="S588">
        <v>3.0296020000000001</v>
      </c>
      <c r="T588">
        <v>-0.77989629999999999</v>
      </c>
      <c r="U588">
        <v>-0.48257450000000002</v>
      </c>
      <c r="V588">
        <v>6.8215070000000003E-2</v>
      </c>
      <c r="W588">
        <v>7.4807609999999997E-2</v>
      </c>
      <c r="X588">
        <v>0.99486209999999997</v>
      </c>
      <c r="Y588">
        <v>0.157226799999999</v>
      </c>
      <c r="Z588">
        <v>-2.1091840000000001E-2</v>
      </c>
      <c r="AA588">
        <v>0.98733720000000003</v>
      </c>
      <c r="AB588">
        <v>23</v>
      </c>
      <c r="AC588">
        <v>0.60869999999999802</v>
      </c>
      <c r="AD588">
        <v>-0.21228159999999899</v>
      </c>
      <c r="AE588">
        <v>-0.13290000000000601</v>
      </c>
      <c r="AF588">
        <v>0.12188682278178301</v>
      </c>
      <c r="AG588">
        <v>-0.21228159999999899</v>
      </c>
      <c r="AH588">
        <v>0.54476507839617505</v>
      </c>
      <c r="AI588">
        <v>110.820477362383</v>
      </c>
      <c r="AJ588">
        <v>77.388240467334796</v>
      </c>
      <c r="AK588">
        <v>0.59723434756081195</v>
      </c>
      <c r="AL588">
        <v>85.709832039583503</v>
      </c>
      <c r="AM588">
        <v>86.0775190022121</v>
      </c>
      <c r="AN588">
        <v>1.0000000361527099</v>
      </c>
    </row>
    <row r="589" spans="1:40" x14ac:dyDescent="0.25">
      <c r="A589" t="str">
        <f>"20190312154515350"</f>
        <v>20190312154515350</v>
      </c>
      <c r="B589" t="str">
        <f>"1552376715346637"</f>
        <v>1552376715346637</v>
      </c>
      <c r="C589" t="s">
        <v>40</v>
      </c>
      <c r="D589">
        <v>4.4665949999999999</v>
      </c>
      <c r="E589">
        <v>0.54019309999999998</v>
      </c>
      <c r="F589" t="s">
        <v>41</v>
      </c>
      <c r="G589">
        <v>-297.30529999999999</v>
      </c>
      <c r="H589">
        <v>0.85052870000000003</v>
      </c>
      <c r="I589">
        <v>368.48989999999998</v>
      </c>
      <c r="J589">
        <v>-297.89710000000002</v>
      </c>
      <c r="K589">
        <v>1.0601929999999999</v>
      </c>
      <c r="L589">
        <v>368.62090000000001</v>
      </c>
      <c r="M589">
        <v>0.9998977</v>
      </c>
      <c r="N589">
        <v>0</v>
      </c>
      <c r="O589">
        <v>5.147352E-3</v>
      </c>
      <c r="P589">
        <v>0.99610379999999998</v>
      </c>
      <c r="Q589">
        <v>6.153691E-2</v>
      </c>
      <c r="R589">
        <v>-6.31713E-2</v>
      </c>
      <c r="S589">
        <v>3.029388</v>
      </c>
      <c r="T589">
        <v>-0.78108389999999905</v>
      </c>
      <c r="U589">
        <v>-0.4832458</v>
      </c>
      <c r="V589">
        <v>6.8302130000000003E-2</v>
      </c>
      <c r="W589">
        <v>7.4825210000000003E-2</v>
      </c>
      <c r="X589">
        <v>0.99485469999999998</v>
      </c>
      <c r="Y589">
        <v>0.15742110000000001</v>
      </c>
      <c r="Z589">
        <v>-2.1146499999999999E-2</v>
      </c>
      <c r="AA589">
        <v>0.98730510000000005</v>
      </c>
      <c r="AB589">
        <v>23</v>
      </c>
      <c r="AC589">
        <v>0.59180000000003397</v>
      </c>
      <c r="AD589">
        <v>-0.209664299999999</v>
      </c>
      <c r="AE589">
        <v>-0.13100000000002801</v>
      </c>
      <c r="AF589">
        <v>0.119719890011379</v>
      </c>
      <c r="AG589">
        <v>-0.209664299999999</v>
      </c>
      <c r="AH589">
        <v>0.52794729785397898</v>
      </c>
      <c r="AI589">
        <v>111.171289225602</v>
      </c>
      <c r="AJ589">
        <v>77.223406937912301</v>
      </c>
      <c r="AK589">
        <v>0.58053451238504705</v>
      </c>
      <c r="AL589">
        <v>85.708820358668405</v>
      </c>
      <c r="AM589">
        <v>86.072499440816003</v>
      </c>
      <c r="AN589">
        <v>0.99999993356308303</v>
      </c>
    </row>
    <row r="590" spans="1:40" x14ac:dyDescent="0.25">
      <c r="A590" t="str">
        <f>"20190312154515373"</f>
        <v>20190312154515373</v>
      </c>
      <c r="B590" t="str">
        <f>"1552376715367138"</f>
        <v>1552376715367138</v>
      </c>
      <c r="C590" t="s">
        <v>40</v>
      </c>
      <c r="D590">
        <v>4.5089169999999896</v>
      </c>
      <c r="E590">
        <v>0.54018840000000001</v>
      </c>
      <c r="F590" t="s">
        <v>41</v>
      </c>
      <c r="G590">
        <v>-297.10059999999999</v>
      </c>
      <c r="H590">
        <v>0.8543674</v>
      </c>
      <c r="I590">
        <v>368.49360000000001</v>
      </c>
      <c r="J590">
        <v>-297.661</v>
      </c>
      <c r="K590">
        <v>1.0601940000000001</v>
      </c>
      <c r="L590">
        <v>368.62209999999999</v>
      </c>
      <c r="M590">
        <v>0.99989709999999998</v>
      </c>
      <c r="N590">
        <v>0</v>
      </c>
      <c r="O590">
        <v>5.1389319999999997E-3</v>
      </c>
      <c r="P590">
        <v>0.99610379999999998</v>
      </c>
      <c r="Q590">
        <v>6.1511349999999999E-2</v>
      </c>
      <c r="R590">
        <v>-6.3196989999999995E-2</v>
      </c>
      <c r="S590">
        <v>3.02948</v>
      </c>
      <c r="T590">
        <v>-0.78290609999999905</v>
      </c>
      <c r="U590">
        <v>-0.48291020000000001</v>
      </c>
      <c r="V590">
        <v>6.8319420000000006E-2</v>
      </c>
      <c r="W590">
        <v>7.4845659999999994E-2</v>
      </c>
      <c r="X590">
        <v>0.99485210000000002</v>
      </c>
      <c r="Y590">
        <v>0.15728249999999999</v>
      </c>
      <c r="Z590">
        <v>-2.1174209999999999E-2</v>
      </c>
      <c r="AA590">
        <v>0.98732660000000005</v>
      </c>
      <c r="AB590">
        <v>23</v>
      </c>
      <c r="AC590">
        <v>0.560400000000015</v>
      </c>
      <c r="AD590">
        <v>-0.2058266</v>
      </c>
      <c r="AE590">
        <v>-0.128499999999974</v>
      </c>
      <c r="AF590">
        <v>0.116453721401355</v>
      </c>
      <c r="AG590">
        <v>-0.2058266</v>
      </c>
      <c r="AH590">
        <v>0.49614614618299702</v>
      </c>
      <c r="AI590">
        <v>111.992540322873</v>
      </c>
      <c r="AJ590">
        <v>76.790839266031497</v>
      </c>
      <c r="AK590">
        <v>0.54962446894950401</v>
      </c>
      <c r="AL590">
        <v>85.707645902040895</v>
      </c>
      <c r="AM590">
        <v>86.071498111250605</v>
      </c>
      <c r="AN590">
        <v>1.00000005842218</v>
      </c>
    </row>
    <row r="591" spans="1:40" x14ac:dyDescent="0.25">
      <c r="A591" t="str">
        <f>"20190312154515396"</f>
        <v>20190312154515396</v>
      </c>
      <c r="B591" t="str">
        <f>"1552376715386653"</f>
        <v>1552376715386653</v>
      </c>
      <c r="C591" t="s">
        <v>40</v>
      </c>
      <c r="D591">
        <v>4.4964009999999996</v>
      </c>
      <c r="E591">
        <v>0.54008919999999905</v>
      </c>
      <c r="F591" t="s">
        <v>41</v>
      </c>
      <c r="G591">
        <v>-296.8947</v>
      </c>
      <c r="H591">
        <v>0.86186249999999998</v>
      </c>
      <c r="I591">
        <v>368.50009999999997</v>
      </c>
      <c r="J591">
        <v>-297.4384</v>
      </c>
      <c r="K591">
        <v>1.060195</v>
      </c>
      <c r="L591">
        <v>368.62329999999997</v>
      </c>
      <c r="M591">
        <v>0.99989660000000002</v>
      </c>
      <c r="N591">
        <v>0</v>
      </c>
      <c r="O591">
        <v>5.130987E-3</v>
      </c>
      <c r="P591">
        <v>0.99608319999999995</v>
      </c>
      <c r="Q591">
        <v>6.1756249999999999E-2</v>
      </c>
      <c r="R591">
        <v>-6.3280219999999998E-2</v>
      </c>
      <c r="S591">
        <v>3.029541</v>
      </c>
      <c r="T591">
        <v>-0.78408540000000004</v>
      </c>
      <c r="U591">
        <v>-0.48272710000000002</v>
      </c>
      <c r="V591">
        <v>6.8394730000000001E-2</v>
      </c>
      <c r="W591">
        <v>7.5128589999999995E-2</v>
      </c>
      <c r="X591">
        <v>0.99482550000000003</v>
      </c>
      <c r="Y591">
        <v>0.1572009</v>
      </c>
      <c r="Z591">
        <v>-2.119246E-2</v>
      </c>
      <c r="AA591">
        <v>0.98733919999999997</v>
      </c>
      <c r="AB591">
        <v>23</v>
      </c>
      <c r="AC591">
        <v>0.54370000000000096</v>
      </c>
      <c r="AD591">
        <v>-0.19833249999999999</v>
      </c>
      <c r="AE591">
        <v>-0.12319999999999701</v>
      </c>
      <c r="AF591">
        <v>0.111833779011437</v>
      </c>
      <c r="AG591">
        <v>-0.19833249999999999</v>
      </c>
      <c r="AH591">
        <v>0.482048742376813</v>
      </c>
      <c r="AI591">
        <v>111.84052475834</v>
      </c>
      <c r="AJ591">
        <v>76.938621394732806</v>
      </c>
      <c r="AK591">
        <v>0.53311683964333401</v>
      </c>
      <c r="AL591">
        <v>85.6913890122227</v>
      </c>
      <c r="AM591">
        <v>86.067076391932105</v>
      </c>
      <c r="AN591">
        <v>0.99999995978870404</v>
      </c>
    </row>
    <row r="592" spans="1:40" x14ac:dyDescent="0.25">
      <c r="A592" t="str">
        <f>"20190312154515418"</f>
        <v>20190312154515418</v>
      </c>
      <c r="B592" t="str">
        <f>"1552376715407149"</f>
        <v>1552376715407149</v>
      </c>
      <c r="C592" t="s">
        <v>40</v>
      </c>
      <c r="D592">
        <v>4.486809</v>
      </c>
      <c r="E592">
        <v>0.54006759999999998</v>
      </c>
      <c r="F592" t="s">
        <v>41</v>
      </c>
      <c r="G592">
        <v>-296.69</v>
      </c>
      <c r="H592">
        <v>0.86669419999999897</v>
      </c>
      <c r="I592">
        <v>368.50389999999999</v>
      </c>
      <c r="J592">
        <v>-297.20420000000001</v>
      </c>
      <c r="K592">
        <v>1.0602009999999999</v>
      </c>
      <c r="L592">
        <v>368.62450000000001</v>
      </c>
      <c r="M592">
        <v>0.99989620000000001</v>
      </c>
      <c r="N592">
        <v>0</v>
      </c>
      <c r="O592">
        <v>5.1223509999999998E-3</v>
      </c>
      <c r="P592">
        <v>0.99610449999999995</v>
      </c>
      <c r="Q592">
        <v>6.1404760000000003E-2</v>
      </c>
      <c r="R592">
        <v>-6.3287659999999996E-2</v>
      </c>
      <c r="S592">
        <v>3.0297550000000002</v>
      </c>
      <c r="T592">
        <v>-0.78340889999999996</v>
      </c>
      <c r="U592">
        <v>-0.48226930000000001</v>
      </c>
      <c r="V592">
        <v>6.839365E-2</v>
      </c>
      <c r="W592">
        <v>7.4811429999999998E-2</v>
      </c>
      <c r="X592">
        <v>0.99484950000000005</v>
      </c>
      <c r="Y592">
        <v>0.15705069999999999</v>
      </c>
      <c r="Z592">
        <v>-2.115237E-2</v>
      </c>
      <c r="AA592">
        <v>0.98736400000000002</v>
      </c>
      <c r="AB592">
        <v>23</v>
      </c>
      <c r="AC592">
        <v>0.51420000000001598</v>
      </c>
      <c r="AD592">
        <v>-0.19350680000000001</v>
      </c>
      <c r="AE592">
        <v>-0.12060000000002399</v>
      </c>
      <c r="AF592">
        <v>0.108647986594126</v>
      </c>
      <c r="AG592">
        <v>-0.19350680000000001</v>
      </c>
      <c r="AH592">
        <v>0.45279375402305999</v>
      </c>
      <c r="AI592">
        <v>112.566108140946</v>
      </c>
      <c r="AJ592">
        <v>76.506960520075907</v>
      </c>
      <c r="AK592">
        <v>0.50425335925454495</v>
      </c>
      <c r="AL592">
        <v>85.709612332805804</v>
      </c>
      <c r="AM592">
        <v>86.067232880239303</v>
      </c>
      <c r="AN592">
        <v>0.99999998453460803</v>
      </c>
    </row>
    <row r="593" spans="1:40" x14ac:dyDescent="0.25">
      <c r="A593" t="str">
        <f>"20190312154515441"</f>
        <v>20190312154515441</v>
      </c>
      <c r="B593" t="str">
        <f>"1552376715436431"</f>
        <v>1552376715436431</v>
      </c>
      <c r="C593" t="s">
        <v>40</v>
      </c>
      <c r="D593">
        <v>4.5324460000000002</v>
      </c>
      <c r="E593">
        <v>0.54003800000000002</v>
      </c>
      <c r="F593" t="s">
        <v>41</v>
      </c>
      <c r="G593">
        <v>-296.48469999999998</v>
      </c>
      <c r="H593">
        <v>0.87373269999999903</v>
      </c>
      <c r="I593">
        <v>368.51</v>
      </c>
      <c r="J593">
        <v>-296.98419999999999</v>
      </c>
      <c r="K593">
        <v>1.0602009999999999</v>
      </c>
      <c r="L593">
        <v>368.62560000000002</v>
      </c>
      <c r="M593">
        <v>0.9998958</v>
      </c>
      <c r="N593">
        <v>0</v>
      </c>
      <c r="O593">
        <v>5.1144149999999998E-3</v>
      </c>
      <c r="P593">
        <v>0.996112</v>
      </c>
      <c r="Q593">
        <v>6.1189569999999999E-2</v>
      </c>
      <c r="R593">
        <v>-6.3379099999999994E-2</v>
      </c>
      <c r="S593">
        <v>3.0295100000000001</v>
      </c>
      <c r="T593">
        <v>-0.78510789999999997</v>
      </c>
      <c r="U593">
        <v>-0.48254390000000003</v>
      </c>
      <c r="V593">
        <v>6.8477040000000003E-2</v>
      </c>
      <c r="W593">
        <v>7.4623599999999998E-2</v>
      </c>
      <c r="X593">
        <v>0.99485789999999996</v>
      </c>
      <c r="Y593">
        <v>0.1571176</v>
      </c>
      <c r="Z593">
        <v>-2.1204770000000001E-2</v>
      </c>
      <c r="AA593">
        <v>0.98735220000000001</v>
      </c>
      <c r="AB593">
        <v>23</v>
      </c>
      <c r="AC593">
        <v>0.49950000000001099</v>
      </c>
      <c r="AD593">
        <v>-0.1864683</v>
      </c>
      <c r="AE593">
        <v>-0.115600000000029</v>
      </c>
      <c r="AF593">
        <v>0.10435036911979</v>
      </c>
      <c r="AG593">
        <v>-0.1864683</v>
      </c>
      <c r="AH593">
        <v>0.44061906005566298</v>
      </c>
      <c r="AI593">
        <v>112.382122443288</v>
      </c>
      <c r="AJ593">
        <v>76.676303140158893</v>
      </c>
      <c r="AK593">
        <v>0.489698460815084</v>
      </c>
      <c r="AL593">
        <v>85.720404491866503</v>
      </c>
      <c r="AM593">
        <v>86.062486010100798</v>
      </c>
      <c r="AN593">
        <v>1.0000000139382601</v>
      </c>
    </row>
    <row r="594" spans="1:40" x14ac:dyDescent="0.25">
      <c r="A594" t="str">
        <f>"20190312154515465"</f>
        <v>20190312154515465</v>
      </c>
      <c r="B594" t="str">
        <f>"1552376715456925"</f>
        <v>1552376715456925</v>
      </c>
      <c r="C594" t="s">
        <v>40</v>
      </c>
      <c r="D594">
        <v>4.5627769999999996</v>
      </c>
      <c r="E594">
        <v>0.54002069999999902</v>
      </c>
      <c r="F594" t="s">
        <v>41</v>
      </c>
      <c r="G594">
        <v>-296.2808</v>
      </c>
      <c r="H594">
        <v>0.87748159999999897</v>
      </c>
      <c r="I594">
        <v>368.51319999999998</v>
      </c>
      <c r="J594">
        <v>-296.745</v>
      </c>
      <c r="K594">
        <v>1.0601910000000001</v>
      </c>
      <c r="L594">
        <v>368.6268</v>
      </c>
      <c r="M594">
        <v>0.9998956</v>
      </c>
      <c r="N594">
        <v>0</v>
      </c>
      <c r="O594">
        <v>5.1063080000000004E-3</v>
      </c>
      <c r="P594">
        <v>0.99617920000000004</v>
      </c>
      <c r="Q594">
        <v>6.0365050000000003E-2</v>
      </c>
      <c r="R594">
        <v>-6.3113320000000001E-2</v>
      </c>
      <c r="S594">
        <v>3.0292970000000001</v>
      </c>
      <c r="T594">
        <v>-0.78698040000000002</v>
      </c>
      <c r="U594">
        <v>-0.48287960000000002</v>
      </c>
      <c r="V594">
        <v>6.8203840000000002E-2</v>
      </c>
      <c r="W594">
        <v>7.3825199999999994E-2</v>
      </c>
      <c r="X594">
        <v>0.99493620000000005</v>
      </c>
      <c r="Y594">
        <v>0.15719959999999999</v>
      </c>
      <c r="Z594">
        <v>-2.1263359999999999E-2</v>
      </c>
      <c r="AA594">
        <v>0.98733789999999999</v>
      </c>
      <c r="AB594">
        <v>23</v>
      </c>
      <c r="AC594">
        <v>0.464200000000005</v>
      </c>
      <c r="AD594">
        <v>-0.18270939999999999</v>
      </c>
      <c r="AE594">
        <v>-0.11360000000001901</v>
      </c>
      <c r="AF594">
        <v>0.10117986394659</v>
      </c>
      <c r="AG594">
        <v>-0.18270939999999999</v>
      </c>
      <c r="AH594">
        <v>0.40449041739484998</v>
      </c>
      <c r="AI594">
        <v>113.663097792736</v>
      </c>
      <c r="AJ594">
        <v>75.956123109899394</v>
      </c>
      <c r="AK594">
        <v>0.45522806095502399</v>
      </c>
      <c r="AL594">
        <v>85.766275845162298</v>
      </c>
      <c r="AM594">
        <v>86.078453906627502</v>
      </c>
      <c r="AN594">
        <v>0.99999998300811199</v>
      </c>
    </row>
    <row r="595" spans="1:40" x14ac:dyDescent="0.25">
      <c r="A595" t="str">
        <f>"20190312154515486"</f>
        <v>20190312154515486</v>
      </c>
      <c r="B595" t="str">
        <f>"1552376715476445"</f>
        <v>1552376715476445</v>
      </c>
      <c r="C595" t="s">
        <v>40</v>
      </c>
      <c r="D595">
        <v>4.5191999999999997</v>
      </c>
      <c r="E595">
        <v>0.53997119999999998</v>
      </c>
      <c r="F595" t="s">
        <v>41</v>
      </c>
      <c r="G595">
        <v>-295.89319999999998</v>
      </c>
      <c r="H595">
        <v>0.83799780000000001</v>
      </c>
      <c r="I595">
        <v>368.49099999999999</v>
      </c>
      <c r="J595">
        <v>-296.52519999999998</v>
      </c>
      <c r="K595">
        <v>1.0601860000000001</v>
      </c>
      <c r="L595">
        <v>368.62790000000001</v>
      </c>
      <c r="M595">
        <v>0.99989530000000004</v>
      </c>
      <c r="N595">
        <v>0</v>
      </c>
      <c r="O595">
        <v>5.0979529999999997E-3</v>
      </c>
      <c r="P595">
        <v>0.99623379999999995</v>
      </c>
      <c r="Q595">
        <v>5.9907969999999998E-2</v>
      </c>
      <c r="R595">
        <v>-6.2686469999999994E-2</v>
      </c>
      <c r="S595">
        <v>3.0289000000000001</v>
      </c>
      <c r="T595">
        <v>-0.79018379999999999</v>
      </c>
      <c r="U595">
        <v>-0.48193359999999902</v>
      </c>
      <c r="V595">
        <v>6.7768720000000005E-2</v>
      </c>
      <c r="W595">
        <v>7.3389120000000002E-2</v>
      </c>
      <c r="X595">
        <v>0.99499820000000005</v>
      </c>
      <c r="Y595">
        <v>0.15687760000000001</v>
      </c>
      <c r="Z595">
        <v>-2.1307139999999999E-2</v>
      </c>
      <c r="AA595">
        <v>0.98738820000000005</v>
      </c>
      <c r="AB595">
        <v>23</v>
      </c>
      <c r="AC595">
        <v>0.632000000000005</v>
      </c>
      <c r="AD595">
        <v>-0.222188199999999</v>
      </c>
      <c r="AE595">
        <v>-0.136900000000025</v>
      </c>
      <c r="AF595">
        <v>0.125324877816896</v>
      </c>
      <c r="AG595">
        <v>-0.222188199999999</v>
      </c>
      <c r="AH595">
        <v>0.564634465565375</v>
      </c>
      <c r="AI595">
        <v>111.014727008357</v>
      </c>
      <c r="AJ595">
        <v>77.4856445382744</v>
      </c>
      <c r="AK595">
        <v>0.61958534595595205</v>
      </c>
      <c r="AL595">
        <v>85.791329381839503</v>
      </c>
      <c r="AM595">
        <v>86.103636930727205</v>
      </c>
      <c r="AN595">
        <v>0.99999999017402597</v>
      </c>
    </row>
    <row r="596" spans="1:40" x14ac:dyDescent="0.25">
      <c r="A596" t="str">
        <f>"20190312154515507"</f>
        <v>20190312154515507</v>
      </c>
      <c r="B596" t="str">
        <f>"1552376715496942"</f>
        <v>1552376715496942</v>
      </c>
      <c r="C596" t="s">
        <v>40</v>
      </c>
      <c r="D596">
        <v>4.5404150000000003</v>
      </c>
      <c r="E596">
        <v>0.5399661</v>
      </c>
      <c r="F596" t="s">
        <v>41</v>
      </c>
      <c r="G596">
        <v>-295.69040000000001</v>
      </c>
      <c r="H596">
        <v>0.84188009999999902</v>
      </c>
      <c r="I596">
        <v>368.49579999999997</v>
      </c>
      <c r="J596">
        <v>-296.3082</v>
      </c>
      <c r="K596">
        <v>1.0601830000000001</v>
      </c>
      <c r="L596">
        <v>368.62900000000002</v>
      </c>
      <c r="M596">
        <v>0.99989510000000004</v>
      </c>
      <c r="N596">
        <v>0</v>
      </c>
      <c r="O596">
        <v>5.0897959999999997E-3</v>
      </c>
      <c r="P596">
        <v>0.99625889999999995</v>
      </c>
      <c r="Q596">
        <v>5.9558359999999998E-2</v>
      </c>
      <c r="R596">
        <v>-6.2618270000000004E-2</v>
      </c>
      <c r="S596">
        <v>3.028778</v>
      </c>
      <c r="T596">
        <v>-0.79194299999999995</v>
      </c>
      <c r="U596">
        <v>-0.4795837</v>
      </c>
      <c r="V596">
        <v>6.7692580000000002E-2</v>
      </c>
      <c r="W596">
        <v>7.3056700000000002E-2</v>
      </c>
      <c r="X596">
        <v>0.99502780000000002</v>
      </c>
      <c r="Y596">
        <v>0.15612889999999999</v>
      </c>
      <c r="Z596">
        <v>-2.1257330000000001E-2</v>
      </c>
      <c r="AA596">
        <v>0.98750789999999999</v>
      </c>
      <c r="AB596">
        <v>23</v>
      </c>
      <c r="AC596">
        <v>0.61779999999998803</v>
      </c>
      <c r="AD596">
        <v>-0.21830289999999999</v>
      </c>
      <c r="AE596">
        <v>-0.13320000000004401</v>
      </c>
      <c r="AF596">
        <v>0.121809500900633</v>
      </c>
      <c r="AG596">
        <v>-0.21830289999999999</v>
      </c>
      <c r="AH596">
        <v>0.55133247246983497</v>
      </c>
      <c r="AI596">
        <v>111.138057522796</v>
      </c>
      <c r="AJ596">
        <v>77.541407795894699</v>
      </c>
      <c r="AK596">
        <v>0.60536039336726699</v>
      </c>
      <c r="AL596">
        <v>85.8104267200641</v>
      </c>
      <c r="AM596">
        <v>86.108116562116294</v>
      </c>
      <c r="AN596">
        <v>0.99999994478739096</v>
      </c>
    </row>
    <row r="597" spans="1:40" x14ac:dyDescent="0.25">
      <c r="A597" t="str">
        <f>"20190312154515531"</f>
        <v>20190312154515531</v>
      </c>
      <c r="B597" t="str">
        <f>"1552376715527198"</f>
        <v>1552376715527198</v>
      </c>
      <c r="C597" t="s">
        <v>40</v>
      </c>
      <c r="D597">
        <v>4.5828600000000002</v>
      </c>
      <c r="E597">
        <v>0.53992320000000005</v>
      </c>
      <c r="F597" t="s">
        <v>41</v>
      </c>
      <c r="G597">
        <v>-295.48790000000002</v>
      </c>
      <c r="H597">
        <v>0.84527580000000002</v>
      </c>
      <c r="I597">
        <v>368.49869999999999</v>
      </c>
      <c r="J597">
        <v>-296.08550000000002</v>
      </c>
      <c r="K597">
        <v>1.060189</v>
      </c>
      <c r="L597">
        <v>368.63010000000003</v>
      </c>
      <c r="M597">
        <v>0.99989490000000003</v>
      </c>
      <c r="N597">
        <v>0</v>
      </c>
      <c r="O597">
        <v>5.0814120000000004E-3</v>
      </c>
      <c r="P597">
        <v>0.99629889999999999</v>
      </c>
      <c r="Q597">
        <v>5.874397E-2</v>
      </c>
      <c r="R597">
        <v>-6.2749589999999994E-2</v>
      </c>
      <c r="S597">
        <v>3.0285030000000002</v>
      </c>
      <c r="T597">
        <v>-0.79351939999999999</v>
      </c>
      <c r="U597">
        <v>-0.47988890000000001</v>
      </c>
      <c r="V597">
        <v>6.7815669999999995E-2</v>
      </c>
      <c r="W597">
        <v>7.2257740000000001E-2</v>
      </c>
      <c r="X597">
        <v>0.99507780000000001</v>
      </c>
      <c r="Y597">
        <v>0.1562076</v>
      </c>
      <c r="Z597">
        <v>-2.1307909999999999E-2</v>
      </c>
      <c r="AA597">
        <v>0.98749439999999999</v>
      </c>
      <c r="AB597">
        <v>23</v>
      </c>
      <c r="AC597">
        <v>0.59759999999999902</v>
      </c>
      <c r="AD597">
        <v>-0.2149132</v>
      </c>
      <c r="AE597">
        <v>-0.13140000000004101</v>
      </c>
      <c r="AF597">
        <v>0.11967166829868101</v>
      </c>
      <c r="AG597">
        <v>-0.2149132</v>
      </c>
      <c r="AH597">
        <v>0.53137076481700496</v>
      </c>
      <c r="AI597">
        <v>111.532600155377</v>
      </c>
      <c r="AJ597">
        <v>77.307994501713395</v>
      </c>
      <c r="AK597">
        <v>0.58554579789273398</v>
      </c>
      <c r="AL597">
        <v>85.856325246013697</v>
      </c>
      <c r="AM597">
        <v>86.101256801442005</v>
      </c>
      <c r="AN597">
        <v>0.99999998707014803</v>
      </c>
    </row>
    <row r="598" spans="1:40" x14ac:dyDescent="0.25">
      <c r="A598" t="str">
        <f>"20190312154515553"</f>
        <v>20190312154515553</v>
      </c>
      <c r="B598" t="str">
        <f>"1552376715546717"</f>
        <v>1552376715546717</v>
      </c>
      <c r="C598" t="s">
        <v>40</v>
      </c>
      <c r="D598">
        <v>4.5661670000000001</v>
      </c>
      <c r="E598">
        <v>0.53991679999999997</v>
      </c>
      <c r="F598" t="s">
        <v>41</v>
      </c>
      <c r="G598">
        <v>-295.28530000000001</v>
      </c>
      <c r="H598">
        <v>0.84949180000000002</v>
      </c>
      <c r="I598">
        <v>368.50330000000002</v>
      </c>
      <c r="J598">
        <v>-295.85500000000002</v>
      </c>
      <c r="K598">
        <v>1.0601929999999999</v>
      </c>
      <c r="L598">
        <v>368.63130000000001</v>
      </c>
      <c r="M598">
        <v>0.99989479999999997</v>
      </c>
      <c r="N598">
        <v>0</v>
      </c>
      <c r="O598">
        <v>5.072801E-3</v>
      </c>
      <c r="P598">
        <v>0.9962531</v>
      </c>
      <c r="Q598">
        <v>5.8680000000000003E-2</v>
      </c>
      <c r="R598">
        <v>-6.3533480000000003E-2</v>
      </c>
      <c r="S598">
        <v>3.0279240000000001</v>
      </c>
      <c r="T598">
        <v>-0.7973015</v>
      </c>
      <c r="U598">
        <v>-0.47985840000000002</v>
      </c>
      <c r="V598">
        <v>6.859055E-2</v>
      </c>
      <c r="W598">
        <v>7.2205900000000003E-2</v>
      </c>
      <c r="X598">
        <v>0.99502840000000004</v>
      </c>
      <c r="Y598">
        <v>0.15616830000000001</v>
      </c>
      <c r="Z598">
        <v>-2.1402850000000001E-2</v>
      </c>
      <c r="AA598">
        <v>0.9874986</v>
      </c>
      <c r="AB598">
        <v>22</v>
      </c>
      <c r="AC598">
        <v>0.56970000000001098</v>
      </c>
      <c r="AD598">
        <v>-0.21070119999999901</v>
      </c>
      <c r="AE598">
        <v>-0.12799999999998499</v>
      </c>
      <c r="AF598">
        <v>0.11580881407834399</v>
      </c>
      <c r="AG598">
        <v>-0.21070119999999901</v>
      </c>
      <c r="AH598">
        <v>0.50348335469164496</v>
      </c>
      <c r="AI598">
        <v>112.187464884497</v>
      </c>
      <c r="AJ598">
        <v>77.0464094784313</v>
      </c>
      <c r="AK598">
        <v>0.55794459003670305</v>
      </c>
      <c r="AL598">
        <v>85.8593030270561</v>
      </c>
      <c r="AM598">
        <v>86.056653310426896</v>
      </c>
      <c r="AN598">
        <v>0.999999936175334</v>
      </c>
    </row>
    <row r="599" spans="1:40" x14ac:dyDescent="0.25">
      <c r="A599" t="str">
        <f>"20190312154515574"</f>
        <v>20190312154515574</v>
      </c>
      <c r="B599" t="str">
        <f>"1552376715567215"</f>
        <v>1552376715567215</v>
      </c>
      <c r="C599" t="s">
        <v>40</v>
      </c>
      <c r="D599">
        <v>4.5915970000000002</v>
      </c>
      <c r="E599">
        <v>0.53992379999999995</v>
      </c>
      <c r="F599" t="s">
        <v>41</v>
      </c>
      <c r="G599">
        <v>-295.08190000000002</v>
      </c>
      <c r="H599">
        <v>0.85638899999999996</v>
      </c>
      <c r="I599">
        <v>368.50779999999997</v>
      </c>
      <c r="J599">
        <v>-295.64409999999998</v>
      </c>
      <c r="K599">
        <v>1.060198</v>
      </c>
      <c r="L599">
        <v>368.63229999999999</v>
      </c>
      <c r="M599">
        <v>0.99989479999999997</v>
      </c>
      <c r="N599">
        <v>0</v>
      </c>
      <c r="O599">
        <v>5.0651649999999999E-3</v>
      </c>
      <c r="P599">
        <v>0.99628159999999999</v>
      </c>
      <c r="Q599">
        <v>5.7748550000000003E-2</v>
      </c>
      <c r="R599">
        <v>-6.3943269999999997E-2</v>
      </c>
      <c r="S599">
        <v>3.0275569999999998</v>
      </c>
      <c r="T599">
        <v>-0.79818330000000004</v>
      </c>
      <c r="U599">
        <v>-0.48211670000000001</v>
      </c>
      <c r="V599">
        <v>6.8992899999999996E-2</v>
      </c>
      <c r="W599">
        <v>7.1284169999999994E-2</v>
      </c>
      <c r="X599">
        <v>0.99506709999999998</v>
      </c>
      <c r="Y599">
        <v>0.15686249999999999</v>
      </c>
      <c r="Z599">
        <v>-2.1514519999999999E-2</v>
      </c>
      <c r="AA599">
        <v>0.98738610000000004</v>
      </c>
      <c r="AB599">
        <v>22</v>
      </c>
      <c r="AC599">
        <v>0.56219999999996095</v>
      </c>
      <c r="AD599">
        <v>-0.20380899999999999</v>
      </c>
      <c r="AE599">
        <v>-0.124500000000011</v>
      </c>
      <c r="AF599">
        <v>0.113168809005787</v>
      </c>
      <c r="AG599">
        <v>-0.20380899999999999</v>
      </c>
      <c r="AH599">
        <v>0.49904327859785003</v>
      </c>
      <c r="AI599">
        <v>111.716740355497</v>
      </c>
      <c r="AJ599">
        <v>77.223042813391302</v>
      </c>
      <c r="AK599">
        <v>0.55080802620012703</v>
      </c>
      <c r="AL599">
        <v>85.912250951162306</v>
      </c>
      <c r="AM599">
        <v>86.033749149778501</v>
      </c>
      <c r="AN599">
        <v>0.99999999332270395</v>
      </c>
    </row>
    <row r="600" spans="1:40" x14ac:dyDescent="0.25">
      <c r="A600" t="str">
        <f>"20190312154515598"</f>
        <v>20190312154515598</v>
      </c>
      <c r="B600" t="str">
        <f>"1552376715586734"</f>
        <v>1552376715586734</v>
      </c>
      <c r="C600" t="s">
        <v>40</v>
      </c>
      <c r="D600">
        <v>4.636247</v>
      </c>
      <c r="E600">
        <v>0.53987529999999995</v>
      </c>
      <c r="F600" t="s">
        <v>41</v>
      </c>
      <c r="G600">
        <v>-294.8809</v>
      </c>
      <c r="H600">
        <v>0.85802630000000002</v>
      </c>
      <c r="I600">
        <v>368.51080000000002</v>
      </c>
      <c r="J600">
        <v>-295.4042</v>
      </c>
      <c r="K600">
        <v>1.0602049999999901</v>
      </c>
      <c r="L600">
        <v>368.63350000000003</v>
      </c>
      <c r="M600">
        <v>0.99989470000000003</v>
      </c>
      <c r="N600">
        <v>0</v>
      </c>
      <c r="O600">
        <v>5.0565180000000003E-3</v>
      </c>
      <c r="P600">
        <v>0.99627969999999999</v>
      </c>
      <c r="Q600">
        <v>5.755834E-2</v>
      </c>
      <c r="R600">
        <v>-6.414048E-2</v>
      </c>
      <c r="S600">
        <v>3.0267330000000001</v>
      </c>
      <c r="T600">
        <v>-0.80183099999999996</v>
      </c>
      <c r="U600">
        <v>-0.48248289999999999</v>
      </c>
      <c r="V600">
        <v>6.9181640000000003E-2</v>
      </c>
      <c r="W600">
        <v>7.1103429999999995E-2</v>
      </c>
      <c r="X600">
        <v>0.99506689999999998</v>
      </c>
      <c r="Y600">
        <v>0.15695789999999901</v>
      </c>
      <c r="Z600">
        <v>-2.1625160000000001E-2</v>
      </c>
      <c r="AA600">
        <v>0.98736849999999998</v>
      </c>
      <c r="AB600">
        <v>22</v>
      </c>
      <c r="AC600">
        <v>0.52330000000000598</v>
      </c>
      <c r="AD600">
        <v>-0.20217869999999899</v>
      </c>
      <c r="AE600">
        <v>-0.122700000000008</v>
      </c>
      <c r="AF600">
        <v>0.109808007899381</v>
      </c>
      <c r="AG600">
        <v>-0.20217869999999899</v>
      </c>
      <c r="AH600">
        <v>0.45788642892028503</v>
      </c>
      <c r="AI600">
        <v>113.237398831666</v>
      </c>
      <c r="AJ600">
        <v>76.514292649914694</v>
      </c>
      <c r="AK600">
        <v>0.51243927164288605</v>
      </c>
      <c r="AL600">
        <v>85.922632824220997</v>
      </c>
      <c r="AM600">
        <v>86.022932874661294</v>
      </c>
      <c r="AN600">
        <v>0.99999996627323096</v>
      </c>
    </row>
    <row r="601" spans="1:40" x14ac:dyDescent="0.25">
      <c r="A601" t="str">
        <f>"20190312154515618"</f>
        <v>20190312154515618</v>
      </c>
      <c r="B601" t="str">
        <f>"1552376715606254"</f>
        <v>1552376715606254</v>
      </c>
      <c r="C601" t="s">
        <v>40</v>
      </c>
      <c r="D601">
        <v>4.6203370000000001</v>
      </c>
      <c r="E601">
        <v>0.53988990000000003</v>
      </c>
      <c r="F601" t="s">
        <v>41</v>
      </c>
      <c r="G601">
        <v>-294.67720000000003</v>
      </c>
      <c r="H601">
        <v>0.86727829999999995</v>
      </c>
      <c r="I601">
        <v>368.5172</v>
      </c>
      <c r="J601">
        <v>-295.19099999999997</v>
      </c>
      <c r="K601">
        <v>1.0602100000000001</v>
      </c>
      <c r="L601">
        <v>368.63459999999998</v>
      </c>
      <c r="M601">
        <v>0.99989459999999997</v>
      </c>
      <c r="N601">
        <v>0</v>
      </c>
      <c r="O601">
        <v>5.0493760000000004E-3</v>
      </c>
      <c r="P601">
        <v>0.99627259999999995</v>
      </c>
      <c r="Q601">
        <v>5.70933E-2</v>
      </c>
      <c r="R601">
        <v>-6.4664570000000005E-2</v>
      </c>
      <c r="S601">
        <v>3.0265200000000001</v>
      </c>
      <c r="T601">
        <v>-0.80321809999999905</v>
      </c>
      <c r="U601">
        <v>-0.48303220000000002</v>
      </c>
      <c r="V601">
        <v>6.969844E-2</v>
      </c>
      <c r="W601">
        <v>7.064492E-2</v>
      </c>
      <c r="X601">
        <v>0.99506349999999999</v>
      </c>
      <c r="Y601">
        <v>0.15711229999999901</v>
      </c>
      <c r="Z601">
        <v>-2.1680680000000001E-2</v>
      </c>
      <c r="AA601">
        <v>0.98734270000000002</v>
      </c>
      <c r="AB601">
        <v>22</v>
      </c>
      <c r="AC601">
        <v>0.51379999999994597</v>
      </c>
      <c r="AD601">
        <v>-0.19293170000000001</v>
      </c>
      <c r="AE601">
        <v>-0.117399999999975</v>
      </c>
      <c r="AF601">
        <v>0.10581368581754</v>
      </c>
      <c r="AG601">
        <v>-0.19293170000000001</v>
      </c>
      <c r="AH601">
        <v>0.45255636298915503</v>
      </c>
      <c r="AI601">
        <v>112.544279617928</v>
      </c>
      <c r="AJ601">
        <v>76.839901622120493</v>
      </c>
      <c r="AK601">
        <v>0.50321609538363798</v>
      </c>
      <c r="AL601">
        <v>85.948969771506995</v>
      </c>
      <c r="AM601">
        <v>85.993306186247096</v>
      </c>
      <c r="AN601">
        <v>0.999999973146244</v>
      </c>
    </row>
    <row r="602" spans="1:40" x14ac:dyDescent="0.25">
      <c r="A602" t="str">
        <f>"20190312154515654"</f>
        <v>20190312154515654</v>
      </c>
      <c r="B602" t="str">
        <f>"1552376715646270"</f>
        <v>1552376715646270</v>
      </c>
      <c r="C602" t="s">
        <v>40</v>
      </c>
      <c r="D602">
        <v>4.6158190000000001</v>
      </c>
      <c r="E602">
        <v>0.53744349999999996</v>
      </c>
      <c r="F602" t="s">
        <v>41</v>
      </c>
      <c r="G602">
        <v>-294.47620000000001</v>
      </c>
      <c r="H602">
        <v>0.86995659999999897</v>
      </c>
      <c r="I602">
        <v>368.51990000000001</v>
      </c>
      <c r="J602">
        <v>-294.84829999999999</v>
      </c>
      <c r="K602">
        <v>1.060209</v>
      </c>
      <c r="L602">
        <v>368.63630000000001</v>
      </c>
      <c r="M602">
        <v>0.99989470000000003</v>
      </c>
      <c r="N602">
        <v>0</v>
      </c>
      <c r="O602">
        <v>5.0370409999999999E-3</v>
      </c>
      <c r="P602">
        <v>0.99628059999999996</v>
      </c>
      <c r="Q602">
        <v>5.6755069999999998E-2</v>
      </c>
      <c r="R602">
        <v>-6.4839869999999994E-2</v>
      </c>
      <c r="S602">
        <v>3.025909</v>
      </c>
      <c r="T602">
        <v>-0.80533149999999998</v>
      </c>
      <c r="U602">
        <v>-0.48522949999999998</v>
      </c>
      <c r="V602">
        <v>6.9861469999999995E-2</v>
      </c>
      <c r="W602">
        <v>7.031482E-2</v>
      </c>
      <c r="X602">
        <v>0.9950755</v>
      </c>
      <c r="Y602">
        <v>0.15777820000000001</v>
      </c>
      <c r="Z602">
        <v>-2.1822210000000002E-2</v>
      </c>
      <c r="AA602">
        <v>0.98723340000000004</v>
      </c>
      <c r="AB602">
        <v>22</v>
      </c>
      <c r="AC602">
        <v>0.372099999999989</v>
      </c>
      <c r="AD602">
        <v>-0.19025239999999999</v>
      </c>
      <c r="AE602">
        <v>-0.11639999999999801</v>
      </c>
      <c r="AF602">
        <v>9.5526275098058805E-2</v>
      </c>
      <c r="AG602">
        <v>-0.19025239999999999</v>
      </c>
      <c r="AH602">
        <v>0.30005892060116801</v>
      </c>
      <c r="AI602">
        <v>121.13919173882999</v>
      </c>
      <c r="AJ602">
        <v>72.340689453032496</v>
      </c>
      <c r="AK602">
        <v>0.367908413565398</v>
      </c>
      <c r="AL602">
        <v>85.967930468450007</v>
      </c>
      <c r="AM602">
        <v>85.984013125156807</v>
      </c>
      <c r="AN602">
        <v>1.00000002480122</v>
      </c>
    </row>
    <row r="603" spans="1:40" x14ac:dyDescent="0.25">
      <c r="A603" t="str">
        <f>"20190312154515676"</f>
        <v>20190312154515676</v>
      </c>
      <c r="B603" t="str">
        <f>"1552376715666766"</f>
        <v>1552376715666766</v>
      </c>
      <c r="C603" t="s">
        <v>40</v>
      </c>
      <c r="D603">
        <v>4.607551</v>
      </c>
      <c r="E603">
        <v>0.53859269999999904</v>
      </c>
      <c r="F603" t="s">
        <v>41</v>
      </c>
      <c r="G603">
        <v>-294.08879999999999</v>
      </c>
      <c r="H603">
        <v>0.84305730000000001</v>
      </c>
      <c r="I603">
        <v>368.52</v>
      </c>
      <c r="J603">
        <v>-294.6241</v>
      </c>
      <c r="K603">
        <v>1.0602049999999901</v>
      </c>
      <c r="L603">
        <v>368.63740000000001</v>
      </c>
      <c r="M603">
        <v>0.99989459999999997</v>
      </c>
      <c r="N603">
        <v>0</v>
      </c>
      <c r="O603">
        <v>5.028968E-3</v>
      </c>
      <c r="P603">
        <v>0.99631110000000001</v>
      </c>
      <c r="Q603">
        <v>5.635619E-2</v>
      </c>
      <c r="R603">
        <v>-6.4717599999999903E-2</v>
      </c>
      <c r="S603">
        <v>3.0303650000000002</v>
      </c>
      <c r="T603">
        <v>-0.86645079999999997</v>
      </c>
      <c r="U603">
        <v>-0.46377560000000001</v>
      </c>
      <c r="V603">
        <v>6.9731459999999995E-2</v>
      </c>
      <c r="W603">
        <v>6.9920010000000005E-2</v>
      </c>
      <c r="X603">
        <v>0.99511240000000001</v>
      </c>
      <c r="Y603">
        <v>0.1501702</v>
      </c>
      <c r="Z603">
        <v>-2.2334150000000001E-2</v>
      </c>
      <c r="AA603">
        <v>0.98840790000000001</v>
      </c>
      <c r="AB603">
        <v>22</v>
      </c>
      <c r="AC603">
        <v>0.53530000000000599</v>
      </c>
      <c r="AD603">
        <v>-0.217147699999999</v>
      </c>
      <c r="AE603">
        <v>-0.11740000000003099</v>
      </c>
      <c r="AF603">
        <v>0.103794516041888</v>
      </c>
      <c r="AG603">
        <v>-0.217147699999999</v>
      </c>
      <c r="AH603">
        <v>0.46214388493777098</v>
      </c>
      <c r="AI603">
        <v>114.629086438282</v>
      </c>
      <c r="AJ603">
        <v>77.341786489738396</v>
      </c>
      <c r="AK603">
        <v>0.52105987713604995</v>
      </c>
      <c r="AL603">
        <v>85.990607074105199</v>
      </c>
      <c r="AM603">
        <v>85.991610521315707</v>
      </c>
      <c r="AN603">
        <v>0.99999998647294497</v>
      </c>
    </row>
    <row r="604" spans="1:40" x14ac:dyDescent="0.25">
      <c r="A604" t="str">
        <f>"20190312154515697"</f>
        <v>20190312154515697</v>
      </c>
      <c r="B604" t="str">
        <f>"1552376715686287"</f>
        <v>1552376715686287</v>
      </c>
      <c r="C604" t="s">
        <v>40</v>
      </c>
      <c r="D604">
        <v>4.6528489999999998</v>
      </c>
      <c r="E604">
        <v>0.53855900000000001</v>
      </c>
      <c r="F604" t="s">
        <v>41</v>
      </c>
      <c r="G604">
        <v>-293.88639999999998</v>
      </c>
      <c r="H604">
        <v>0.85091070000000002</v>
      </c>
      <c r="I604">
        <v>368.5222</v>
      </c>
      <c r="J604">
        <v>-294.41180000000003</v>
      </c>
      <c r="K604">
        <v>1.0601989999999999</v>
      </c>
      <c r="L604">
        <v>368.63850000000002</v>
      </c>
      <c r="M604">
        <v>0.99989459999999997</v>
      </c>
      <c r="N604">
        <v>0</v>
      </c>
      <c r="O604">
        <v>5.0201839999999996E-3</v>
      </c>
      <c r="P604">
        <v>0.99634699999999998</v>
      </c>
      <c r="Q604">
        <v>5.5532089999999999E-2</v>
      </c>
      <c r="R604">
        <v>-6.4877439999999995E-2</v>
      </c>
      <c r="S604">
        <v>3.0290219999999999</v>
      </c>
      <c r="T604">
        <v>-0.85932619999999904</v>
      </c>
      <c r="U604">
        <v>-0.47232059999999998</v>
      </c>
      <c r="V604">
        <v>6.9882700000000006E-2</v>
      </c>
      <c r="W604">
        <v>6.9099930000000004E-2</v>
      </c>
      <c r="X604">
        <v>0.99515909999999996</v>
      </c>
      <c r="Y604">
        <v>0.15293899999999999</v>
      </c>
      <c r="Z604">
        <v>-2.254279E-2</v>
      </c>
      <c r="AA604">
        <v>0.98797849999999998</v>
      </c>
      <c r="AB604">
        <v>22</v>
      </c>
      <c r="AC604">
        <v>0.52540000000004705</v>
      </c>
      <c r="AD604">
        <v>-0.20928829999999901</v>
      </c>
      <c r="AE604">
        <v>-0.116300000000023</v>
      </c>
      <c r="AF604">
        <v>0.103309408104058</v>
      </c>
      <c r="AG604">
        <v>-0.20928829999999901</v>
      </c>
      <c r="AH604">
        <v>0.45585509424595499</v>
      </c>
      <c r="AI604">
        <v>114.120783039321</v>
      </c>
      <c r="AJ604">
        <v>77.230878996613299</v>
      </c>
      <c r="AK604">
        <v>0.51213112897937496</v>
      </c>
      <c r="AL604">
        <v>86.037708230356401</v>
      </c>
      <c r="AM604">
        <v>85.983133080685903</v>
      </c>
      <c r="AN604">
        <v>1.0000000131990501</v>
      </c>
    </row>
    <row r="605" spans="1:40" x14ac:dyDescent="0.25">
      <c r="A605" t="str">
        <f>"20190312154515719"</f>
        <v>20190312154515719</v>
      </c>
      <c r="B605" t="str">
        <f>"1552376715716542"</f>
        <v>1552376715716542</v>
      </c>
      <c r="C605" t="s">
        <v>40</v>
      </c>
      <c r="D605">
        <v>4.6163660000000002</v>
      </c>
      <c r="E605">
        <v>0.53864509999999999</v>
      </c>
      <c r="F605" t="s">
        <v>41</v>
      </c>
      <c r="G605">
        <v>-293.68599999999998</v>
      </c>
      <c r="H605">
        <v>0.85481260000000003</v>
      </c>
      <c r="I605">
        <v>368.52499999999998</v>
      </c>
      <c r="J605">
        <v>-294.19459999999998</v>
      </c>
      <c r="K605">
        <v>1.0602</v>
      </c>
      <c r="L605">
        <v>368.6395</v>
      </c>
      <c r="M605">
        <v>0.99989450000000002</v>
      </c>
      <c r="N605">
        <v>0</v>
      </c>
      <c r="O605">
        <v>5.0095499999999998E-3</v>
      </c>
      <c r="P605">
        <v>0.99633740000000004</v>
      </c>
      <c r="Q605">
        <v>5.560644E-2</v>
      </c>
      <c r="R605">
        <v>-6.4962039999999999E-2</v>
      </c>
      <c r="S605">
        <v>3.0279850000000001</v>
      </c>
      <c r="T605">
        <v>-0.85687380000000002</v>
      </c>
      <c r="U605">
        <v>-0.47280879999999997</v>
      </c>
      <c r="V605">
        <v>6.9956470000000007E-2</v>
      </c>
      <c r="W605">
        <v>6.9176520000000005E-2</v>
      </c>
      <c r="X605">
        <v>0.99514860000000005</v>
      </c>
      <c r="Y605">
        <v>0.15315780000000001</v>
      </c>
      <c r="Z605">
        <v>-2.2515170000000001E-2</v>
      </c>
      <c r="AA605">
        <v>0.98794519999999997</v>
      </c>
      <c r="AB605">
        <v>22</v>
      </c>
      <c r="AC605">
        <v>0.50860000000000105</v>
      </c>
      <c r="AD605">
        <v>-0.205387399999999</v>
      </c>
      <c r="AE605">
        <v>-0.11450000000002</v>
      </c>
      <c r="AF605">
        <v>0.101320559853317</v>
      </c>
      <c r="AG605">
        <v>-0.205387399999999</v>
      </c>
      <c r="AH605">
        <v>0.43976367307397202</v>
      </c>
      <c r="AI605">
        <v>114.471091756557</v>
      </c>
      <c r="AJ605">
        <v>77.025593079039595</v>
      </c>
      <c r="AK605">
        <v>0.49582449322644501</v>
      </c>
      <c r="AL605">
        <v>86.033309437188805</v>
      </c>
      <c r="AM605">
        <v>85.9788643856363</v>
      </c>
      <c r="AN605">
        <v>1.0000000173480601</v>
      </c>
    </row>
    <row r="606" spans="1:40" x14ac:dyDescent="0.25">
      <c r="A606" t="str">
        <f>"20190312154515741"</f>
        <v>20190312154515741</v>
      </c>
      <c r="B606" t="str">
        <f>"1552376715737037"</f>
        <v>1552376715737037</v>
      </c>
      <c r="C606" t="s">
        <v>40</v>
      </c>
      <c r="D606">
        <v>4.6213870000000004</v>
      </c>
      <c r="E606">
        <v>0.53881899999999905</v>
      </c>
      <c r="F606" t="s">
        <v>41</v>
      </c>
      <c r="G606">
        <v>-293.48509999999999</v>
      </c>
      <c r="H606">
        <v>0.86045110000000002</v>
      </c>
      <c r="I606">
        <v>368.52820000000003</v>
      </c>
      <c r="J606">
        <v>-293.97539999999998</v>
      </c>
      <c r="K606">
        <v>1.0602020000000001</v>
      </c>
      <c r="L606">
        <v>368.64060000000001</v>
      </c>
      <c r="M606">
        <v>0.99989459999999997</v>
      </c>
      <c r="N606">
        <v>0</v>
      </c>
      <c r="O606">
        <v>4.9979550000000001E-3</v>
      </c>
      <c r="P606">
        <v>0.99633539999999998</v>
      </c>
      <c r="Q606">
        <v>5.5645609999999998E-2</v>
      </c>
      <c r="R606">
        <v>-6.4956669999999994E-2</v>
      </c>
      <c r="S606">
        <v>3.0277099999999999</v>
      </c>
      <c r="T606">
        <v>-0.85251699999999997</v>
      </c>
      <c r="U606">
        <v>-0.47393800000000003</v>
      </c>
      <c r="V606">
        <v>6.993982E-2</v>
      </c>
      <c r="W606">
        <v>6.9217429999999996E-2</v>
      </c>
      <c r="X606">
        <v>0.99514689999999995</v>
      </c>
      <c r="Y606">
        <v>0.15356439999999999</v>
      </c>
      <c r="Z606">
        <v>-2.2458889999999999E-2</v>
      </c>
      <c r="AA606">
        <v>0.98788339999999997</v>
      </c>
      <c r="AB606">
        <v>22</v>
      </c>
      <c r="AC606">
        <v>0.49029999999999002</v>
      </c>
      <c r="AD606">
        <v>-0.19975090000000001</v>
      </c>
      <c r="AE606">
        <v>-0.112399999999979</v>
      </c>
      <c r="AF606">
        <v>9.9205435311608997E-2</v>
      </c>
      <c r="AG606">
        <v>-0.19975090000000001</v>
      </c>
      <c r="AH606">
        <v>0.42302454288474001</v>
      </c>
      <c r="AI606">
        <v>114.68939551502299</v>
      </c>
      <c r="AJ606">
        <v>76.801807029956294</v>
      </c>
      <c r="AK606">
        <v>0.47821742369869702</v>
      </c>
      <c r="AL606">
        <v>86.030959733402</v>
      </c>
      <c r="AM606">
        <v>85.979811453054594</v>
      </c>
      <c r="AN606">
        <v>0.99999999180852295</v>
      </c>
    </row>
    <row r="607" spans="1:40" x14ac:dyDescent="0.25">
      <c r="A607" t="str">
        <f>"20190312154515764"</f>
        <v>20190312154515764</v>
      </c>
      <c r="B607" t="str">
        <f>"1552376715756558"</f>
        <v>1552376715756558</v>
      </c>
      <c r="C607" t="s">
        <v>40</v>
      </c>
      <c r="D607">
        <v>4.6263389999999998</v>
      </c>
      <c r="E607">
        <v>0.53891069999999996</v>
      </c>
      <c r="F607" t="s">
        <v>41</v>
      </c>
      <c r="G607">
        <v>-293.28449999999998</v>
      </c>
      <c r="H607">
        <v>0.86609159999999996</v>
      </c>
      <c r="I607">
        <v>368.53199999999998</v>
      </c>
      <c r="J607">
        <v>-293.75080000000003</v>
      </c>
      <c r="K607">
        <v>1.0601989999999999</v>
      </c>
      <c r="L607">
        <v>368.64179999999999</v>
      </c>
      <c r="M607">
        <v>0.99989470000000003</v>
      </c>
      <c r="N607">
        <v>0</v>
      </c>
      <c r="O607">
        <v>4.9852859999999898E-3</v>
      </c>
      <c r="P607">
        <v>0.99632330000000002</v>
      </c>
      <c r="Q607">
        <v>5.6186779999999999E-2</v>
      </c>
      <c r="R607">
        <v>-6.4680600000000005E-2</v>
      </c>
      <c r="S607">
        <v>3.0275880000000002</v>
      </c>
      <c r="T607">
        <v>-0.85060239999999998</v>
      </c>
      <c r="U607">
        <v>-0.47531129999999999</v>
      </c>
      <c r="V607">
        <v>6.9651320000000003E-2</v>
      </c>
      <c r="W607">
        <v>6.975924E-2</v>
      </c>
      <c r="X607">
        <v>0.99512929999999999</v>
      </c>
      <c r="Y607">
        <v>0.1540057</v>
      </c>
      <c r="Z607">
        <v>-2.246741E-2</v>
      </c>
      <c r="AA607">
        <v>0.98781450000000004</v>
      </c>
      <c r="AB607">
        <v>22</v>
      </c>
      <c r="AC607">
        <v>0.46630000000004601</v>
      </c>
      <c r="AD607">
        <v>-0.19410739999999899</v>
      </c>
      <c r="AE607">
        <v>-0.109800000000006</v>
      </c>
      <c r="AF607">
        <v>9.6311226082365503E-2</v>
      </c>
      <c r="AG607">
        <v>-0.19410739999999899</v>
      </c>
      <c r="AH607">
        <v>0.400064628281038</v>
      </c>
      <c r="AI607">
        <v>115.25388264820501</v>
      </c>
      <c r="AJ607">
        <v>76.464228762064394</v>
      </c>
      <c r="AK607">
        <v>0.45497828718071098</v>
      </c>
      <c r="AL607">
        <v>85.999841081431796</v>
      </c>
      <c r="AM607">
        <v>85.996270010794902</v>
      </c>
      <c r="AN607">
        <v>0.99999999083080504</v>
      </c>
    </row>
    <row r="608" spans="1:40" x14ac:dyDescent="0.25">
      <c r="A608" t="str">
        <f>"20190312154515786"</f>
        <v>20190312154515786</v>
      </c>
      <c r="B608" t="str">
        <f>"1552376715777057"</f>
        <v>1552376715777057</v>
      </c>
      <c r="C608" t="s">
        <v>40</v>
      </c>
      <c r="D608">
        <v>4.6643410000000003</v>
      </c>
      <c r="E608">
        <v>0.53924680000000003</v>
      </c>
      <c r="F608" t="s">
        <v>41</v>
      </c>
      <c r="G608">
        <v>-292.90550000000002</v>
      </c>
      <c r="H608">
        <v>0.8237525</v>
      </c>
      <c r="I608">
        <v>368.50909999999999</v>
      </c>
      <c r="J608">
        <v>-293.52550000000002</v>
      </c>
      <c r="K608">
        <v>1.0602009999999999</v>
      </c>
      <c r="L608">
        <v>368.6429</v>
      </c>
      <c r="M608">
        <v>0.99989459999999997</v>
      </c>
      <c r="N608">
        <v>0</v>
      </c>
      <c r="O608">
        <v>4.9719760000000003E-3</v>
      </c>
      <c r="P608">
        <v>0.99632030000000005</v>
      </c>
      <c r="Q608">
        <v>5.6300839999999998E-2</v>
      </c>
      <c r="R608">
        <v>-6.4623299999999995E-2</v>
      </c>
      <c r="S608">
        <v>3.0280459999999998</v>
      </c>
      <c r="T608">
        <v>-0.84701469999999901</v>
      </c>
      <c r="U608">
        <v>-0.47473140000000003</v>
      </c>
      <c r="V608">
        <v>6.9580959999999997E-2</v>
      </c>
      <c r="W608">
        <v>6.9873389999999994E-2</v>
      </c>
      <c r="X608">
        <v>0.99512619999999896</v>
      </c>
      <c r="Y608">
        <v>0.15384289999999901</v>
      </c>
      <c r="Z608">
        <v>-2.2347349999999998E-2</v>
      </c>
      <c r="AA608">
        <v>0.98784260000000002</v>
      </c>
      <c r="AB608">
        <v>22</v>
      </c>
      <c r="AC608">
        <v>0.62000000000000399</v>
      </c>
      <c r="AD608">
        <v>-0.23644849999999901</v>
      </c>
      <c r="AE608">
        <v>-0.133800000000007</v>
      </c>
      <c r="AF608">
        <v>0.12017988253395601</v>
      </c>
      <c r="AG608">
        <v>-0.23644849999999901</v>
      </c>
      <c r="AH608">
        <v>0.54376070208639604</v>
      </c>
      <c r="AI608">
        <v>113.00571898201601</v>
      </c>
      <c r="AJ608">
        <v>77.537061476963501</v>
      </c>
      <c r="AK608">
        <v>0.60500148632182305</v>
      </c>
      <c r="AL608">
        <v>85.993284715443394</v>
      </c>
      <c r="AM608">
        <v>86.000288924793495</v>
      </c>
      <c r="AN608">
        <v>0.99999997727552603</v>
      </c>
    </row>
    <row r="609" spans="1:40" x14ac:dyDescent="0.25">
      <c r="A609" t="str">
        <f>"20190312154515809"</f>
        <v>20190312154515809</v>
      </c>
      <c r="B609" t="str">
        <f>"1552376715796574"</f>
        <v>1552376715796574</v>
      </c>
      <c r="C609" t="s">
        <v>40</v>
      </c>
      <c r="D609">
        <v>4.6294469999999999</v>
      </c>
      <c r="E609">
        <v>0.53944539999999996</v>
      </c>
      <c r="F609" t="s">
        <v>41</v>
      </c>
      <c r="G609">
        <v>-292.70510000000002</v>
      </c>
      <c r="H609">
        <v>0.83055259999999997</v>
      </c>
      <c r="I609">
        <v>368.51299999999998</v>
      </c>
      <c r="J609">
        <v>-293.31029999999998</v>
      </c>
      <c r="K609">
        <v>1.0602020000000001</v>
      </c>
      <c r="L609">
        <v>368.64389999999997</v>
      </c>
      <c r="M609">
        <v>0.99989470000000003</v>
      </c>
      <c r="N609">
        <v>0</v>
      </c>
      <c r="O609">
        <v>4.9582009999999998E-3</v>
      </c>
      <c r="P609">
        <v>0.99633870000000002</v>
      </c>
      <c r="Q609">
        <v>5.6570120000000002E-2</v>
      </c>
      <c r="R609">
        <v>-6.4102950000000006E-2</v>
      </c>
      <c r="S609">
        <v>3.0279850000000001</v>
      </c>
      <c r="T609">
        <v>-0.84769139999999998</v>
      </c>
      <c r="U609">
        <v>-0.47732540000000001</v>
      </c>
      <c r="V609">
        <v>6.9046969999999999E-2</v>
      </c>
      <c r="W609">
        <v>7.01431E-2</v>
      </c>
      <c r="X609">
        <v>0.99514440000000004</v>
      </c>
      <c r="Y609">
        <v>0.154620799999999</v>
      </c>
      <c r="Z609">
        <v>-2.2466030000000001E-2</v>
      </c>
      <c r="AA609">
        <v>0.9877184</v>
      </c>
      <c r="AB609">
        <v>22</v>
      </c>
      <c r="AC609">
        <v>0.60519999999996799</v>
      </c>
      <c r="AD609">
        <v>-0.2296494</v>
      </c>
      <c r="AE609">
        <v>-0.13089999999994001</v>
      </c>
      <c r="AF609">
        <v>0.11770804169453999</v>
      </c>
      <c r="AG609">
        <v>-0.2296494</v>
      </c>
      <c r="AH609">
        <v>0.531441084694104</v>
      </c>
      <c r="AI609">
        <v>112.87493297761699</v>
      </c>
      <c r="AJ609">
        <v>77.511264211268099</v>
      </c>
      <c r="AK609">
        <v>0.59078224118601397</v>
      </c>
      <c r="AL609">
        <v>85.977793382330503</v>
      </c>
      <c r="AM609">
        <v>86.030958058393594</v>
      </c>
      <c r="AN609">
        <v>0.99999995769757399</v>
      </c>
    </row>
    <row r="610" spans="1:40" x14ac:dyDescent="0.25">
      <c r="A610" t="str">
        <f>"20190312154515832"</f>
        <v>20190312154515832</v>
      </c>
      <c r="B610" t="str">
        <f>"1552376715826830"</f>
        <v>1552376715826830</v>
      </c>
      <c r="C610" t="s">
        <v>40</v>
      </c>
      <c r="D610">
        <v>3.9178519999999999</v>
      </c>
      <c r="E610">
        <v>0.53958309999999998</v>
      </c>
      <c r="F610" t="s">
        <v>41</v>
      </c>
      <c r="G610">
        <v>-292.5061</v>
      </c>
      <c r="H610">
        <v>0.83502009999999904</v>
      </c>
      <c r="I610">
        <v>368.517</v>
      </c>
      <c r="J610">
        <v>-293.07929999999999</v>
      </c>
      <c r="K610">
        <v>1.0602049999999901</v>
      </c>
      <c r="L610">
        <v>368.64499999999998</v>
      </c>
      <c r="M610">
        <v>0.99989470000000003</v>
      </c>
      <c r="N610">
        <v>0</v>
      </c>
      <c r="O610">
        <v>4.9425299999999997E-3</v>
      </c>
      <c r="P610">
        <v>0.99638499999999997</v>
      </c>
      <c r="Q610">
        <v>5.6688849999999999E-2</v>
      </c>
      <c r="R610">
        <v>-6.3271030000000006E-2</v>
      </c>
      <c r="S610">
        <v>3.028473</v>
      </c>
      <c r="T610">
        <v>-0.84794890000000001</v>
      </c>
      <c r="U610">
        <v>-0.47763060000000002</v>
      </c>
      <c r="V610">
        <v>6.8199880000000004E-2</v>
      </c>
      <c r="W610">
        <v>7.0262969999999994E-2</v>
      </c>
      <c r="X610">
        <v>0.99519440000000003</v>
      </c>
      <c r="Y610">
        <v>0.15467500000000001</v>
      </c>
      <c r="Z610">
        <v>-2.2472099999999998E-2</v>
      </c>
      <c r="AA610">
        <v>0.98770979999999997</v>
      </c>
      <c r="AB610">
        <v>22</v>
      </c>
      <c r="AC610">
        <v>0.57319999999998505</v>
      </c>
      <c r="AD610">
        <v>-0.22518489999999899</v>
      </c>
      <c r="AE610">
        <v>-0.12799999999998499</v>
      </c>
      <c r="AF610">
        <v>0.114063806595972</v>
      </c>
      <c r="AG610">
        <v>-0.22518489999999899</v>
      </c>
      <c r="AH610">
        <v>0.49917854513340898</v>
      </c>
      <c r="AI610">
        <v>113.738734600554</v>
      </c>
      <c r="AJ610">
        <v>77.128723245244899</v>
      </c>
      <c r="AK610">
        <v>0.55937287303254202</v>
      </c>
      <c r="AL610">
        <v>85.970908525180306</v>
      </c>
      <c r="AM610">
        <v>86.0796950870823</v>
      </c>
      <c r="AN610">
        <v>1.0000000011882899</v>
      </c>
    </row>
    <row r="611" spans="1:40" x14ac:dyDescent="0.25">
      <c r="A611" t="str">
        <f>"20190312154515965"</f>
        <v>20190312154515965</v>
      </c>
      <c r="B611" t="str">
        <f>"1552376715956638"</f>
        <v>1552376715956638</v>
      </c>
      <c r="C611" t="s">
        <v>40</v>
      </c>
      <c r="D611">
        <v>4.6773699999999998</v>
      </c>
      <c r="E611">
        <v>0.54022130000000002</v>
      </c>
      <c r="F611" t="s">
        <v>41</v>
      </c>
      <c r="G611">
        <v>-291.31189999999998</v>
      </c>
      <c r="H611">
        <v>0.87325969999999997</v>
      </c>
      <c r="I611">
        <v>368.54500000000002</v>
      </c>
      <c r="J611">
        <v>-291.77330000000001</v>
      </c>
      <c r="K611">
        <v>1.0602100000000001</v>
      </c>
      <c r="L611">
        <v>368.65129999999999</v>
      </c>
      <c r="M611">
        <v>0.99989539999999999</v>
      </c>
      <c r="N611">
        <v>0</v>
      </c>
      <c r="O611">
        <v>4.8588329999999999E-3</v>
      </c>
      <c r="P611">
        <v>0.99633159999999998</v>
      </c>
      <c r="Q611">
        <v>5.8654530000000003E-2</v>
      </c>
      <c r="R611">
        <v>-6.2314729999999999E-2</v>
      </c>
      <c r="S611">
        <v>3.0307309999999998</v>
      </c>
      <c r="T611">
        <v>-0.84082969999999901</v>
      </c>
      <c r="U611">
        <v>-0.47314450000000002</v>
      </c>
      <c r="V611">
        <v>6.7159880000000005E-2</v>
      </c>
      <c r="W611">
        <v>7.2222549999999996E-2</v>
      </c>
      <c r="X611">
        <v>0.99512480000000003</v>
      </c>
      <c r="Y611">
        <v>0.153214299999999</v>
      </c>
      <c r="Z611">
        <v>-2.2056409999999999E-2</v>
      </c>
      <c r="AA611">
        <v>0.98794680000000001</v>
      </c>
      <c r="AB611">
        <v>22</v>
      </c>
      <c r="AC611">
        <v>0.46140000000002601</v>
      </c>
      <c r="AD611">
        <v>-0.18695030000000001</v>
      </c>
      <c r="AE611">
        <v>-0.106299999999976</v>
      </c>
      <c r="AF611">
        <v>9.3901837058779497E-2</v>
      </c>
      <c r="AG611">
        <v>-0.18695030000000001</v>
      </c>
      <c r="AH611">
        <v>0.39871904806462499</v>
      </c>
      <c r="AI611">
        <v>114.531545197442</v>
      </c>
      <c r="AJ611">
        <v>76.747826536035703</v>
      </c>
      <c r="AK611">
        <v>0.45027197221530901</v>
      </c>
      <c r="AL611">
        <v>85.858346641009305</v>
      </c>
      <c r="AM611">
        <v>86.139025581338601</v>
      </c>
      <c r="AN611">
        <v>0.99999995689257704</v>
      </c>
    </row>
    <row r="612" spans="1:40" x14ac:dyDescent="0.25">
      <c r="A612" t="str">
        <f>"20190312154515988"</f>
        <v>20190312154515988</v>
      </c>
      <c r="B612" t="str">
        <f>"1552376715977133"</f>
        <v>1552376715977133</v>
      </c>
      <c r="C612" t="s">
        <v>40</v>
      </c>
      <c r="D612">
        <v>4.8524560000000001</v>
      </c>
      <c r="E612">
        <v>0.54011089999999995</v>
      </c>
      <c r="F612" t="s">
        <v>41</v>
      </c>
      <c r="G612">
        <v>-290.93889999999999</v>
      </c>
      <c r="H612">
        <v>0.82939269999999998</v>
      </c>
      <c r="I612">
        <v>368.52</v>
      </c>
      <c r="J612">
        <v>-291.54610000000002</v>
      </c>
      <c r="K612">
        <v>1.0602069999999999</v>
      </c>
      <c r="L612">
        <v>368.6524</v>
      </c>
      <c r="M612">
        <v>0.99989539999999999</v>
      </c>
      <c r="N612">
        <v>0</v>
      </c>
      <c r="O612">
        <v>4.8450780000000001E-3</v>
      </c>
      <c r="P612">
        <v>0.99628190000000005</v>
      </c>
      <c r="Q612">
        <v>5.890753E-2</v>
      </c>
      <c r="R612">
        <v>-6.2866729999999996E-2</v>
      </c>
      <c r="S612">
        <v>3.030548</v>
      </c>
      <c r="T612">
        <v>-0.83837150000000005</v>
      </c>
      <c r="U612">
        <v>-0.47732540000000001</v>
      </c>
      <c r="V612">
        <v>6.7697939999999998E-2</v>
      </c>
      <c r="W612">
        <v>7.2473650000000001E-2</v>
      </c>
      <c r="X612">
        <v>0.99507009999999996</v>
      </c>
      <c r="Y612">
        <v>0.15452659999999999</v>
      </c>
      <c r="Z612">
        <v>-2.2166689999999999E-2</v>
      </c>
      <c r="AA612">
        <v>0.9877399</v>
      </c>
      <c r="AB612">
        <v>22</v>
      </c>
      <c r="AC612">
        <v>0.60720000000003405</v>
      </c>
      <c r="AD612">
        <v>-0.230814299999999</v>
      </c>
      <c r="AE612">
        <v>-0.132400000000018</v>
      </c>
      <c r="AF612">
        <v>0.11893483092141099</v>
      </c>
      <c r="AG612">
        <v>-0.230814299999999</v>
      </c>
      <c r="AH612">
        <v>0.53302595344646797</v>
      </c>
      <c r="AI612">
        <v>112.91053434060601</v>
      </c>
      <c r="AJ612">
        <v>77.421560821801407</v>
      </c>
      <c r="AK612">
        <v>0.59290589652853998</v>
      </c>
      <c r="AL612">
        <v>85.843921934020102</v>
      </c>
      <c r="AM612">
        <v>86.107974290923707</v>
      </c>
      <c r="AN612">
        <v>0.99999997246928696</v>
      </c>
    </row>
    <row r="613" spans="1:40" x14ac:dyDescent="0.25">
      <c r="A613" t="str">
        <f>"20190312154516009"</f>
        <v>20190312154516009</v>
      </c>
      <c r="B613" t="str">
        <f>"1552376716006414"</f>
        <v>1552376716006414</v>
      </c>
      <c r="C613" t="s">
        <v>40</v>
      </c>
      <c r="D613">
        <v>4.5943160000000001</v>
      </c>
      <c r="E613">
        <v>0.53691829999999996</v>
      </c>
      <c r="F613" t="s">
        <v>41</v>
      </c>
      <c r="G613">
        <v>-290.73669999999998</v>
      </c>
      <c r="H613">
        <v>0.84627589999999997</v>
      </c>
      <c r="I613">
        <v>368.52409999999998</v>
      </c>
      <c r="J613">
        <v>-291.33949999999999</v>
      </c>
      <c r="K613">
        <v>1.0602100000000001</v>
      </c>
      <c r="L613">
        <v>368.65339999999998</v>
      </c>
      <c r="M613">
        <v>0.9998956</v>
      </c>
      <c r="N613">
        <v>0</v>
      </c>
      <c r="O613">
        <v>4.8319799999999996E-3</v>
      </c>
      <c r="P613">
        <v>0.99622540000000004</v>
      </c>
      <c r="Q613">
        <v>5.939999E-2</v>
      </c>
      <c r="R613">
        <v>-6.330144E-2</v>
      </c>
      <c r="S613">
        <v>3.0283509999999998</v>
      </c>
      <c r="T613">
        <v>-0.80047259999999998</v>
      </c>
      <c r="U613">
        <v>-0.4794312</v>
      </c>
      <c r="V613">
        <v>6.8119289999999999E-2</v>
      </c>
      <c r="W613">
        <v>7.2963500000000001E-2</v>
      </c>
      <c r="X613">
        <v>0.99500549999999999</v>
      </c>
      <c r="Y613">
        <v>0.15575439999999999</v>
      </c>
      <c r="Z613">
        <v>-2.136683E-2</v>
      </c>
      <c r="AA613">
        <v>0.98756469999999996</v>
      </c>
      <c r="AB613">
        <v>22</v>
      </c>
      <c r="AC613">
        <v>0.602800000000002</v>
      </c>
      <c r="AD613">
        <v>-0.21393409999999999</v>
      </c>
      <c r="AE613">
        <v>-0.1293</v>
      </c>
      <c r="AF613">
        <v>0.118002320476131</v>
      </c>
      <c r="AG613">
        <v>-0.21393409999999999</v>
      </c>
      <c r="AH613">
        <v>0.53745134397407601</v>
      </c>
      <c r="AI613">
        <v>111.24569137620099</v>
      </c>
      <c r="AJ613">
        <v>77.616680500327405</v>
      </c>
      <c r="AK613">
        <v>0.59037809403813601</v>
      </c>
      <c r="AL613">
        <v>85.8157809040502</v>
      </c>
      <c r="AM613">
        <v>86.083572115761399</v>
      </c>
      <c r="AN613">
        <v>0.99999992751629896</v>
      </c>
    </row>
    <row r="614" spans="1:40" x14ac:dyDescent="0.25">
      <c r="A614" t="str">
        <f>"20190312154516031"</f>
        <v>20190312154516031</v>
      </c>
      <c r="B614" t="str">
        <f>"1552376716026910"</f>
        <v>1552376716026910</v>
      </c>
      <c r="C614" t="s">
        <v>40</v>
      </c>
      <c r="D614">
        <v>4.689406</v>
      </c>
      <c r="E614">
        <v>0.53679219999999905</v>
      </c>
      <c r="F614" t="s">
        <v>42</v>
      </c>
      <c r="G614">
        <v>-267.0514</v>
      </c>
      <c r="H614" s="1">
        <v>-2.2720430000000001E-6</v>
      </c>
      <c r="I614">
        <v>364.79599999999999</v>
      </c>
      <c r="J614">
        <v>-291.1232</v>
      </c>
      <c r="K614">
        <v>1.0602199999999999</v>
      </c>
      <c r="L614">
        <v>368.65440000000001</v>
      </c>
      <c r="M614">
        <v>0.9998956</v>
      </c>
      <c r="N614">
        <v>0</v>
      </c>
      <c r="O614">
        <v>4.8182320000000004E-3</v>
      </c>
      <c r="P614">
        <v>0.99611680000000002</v>
      </c>
      <c r="Q614">
        <v>5.985364E-2</v>
      </c>
      <c r="R614">
        <v>-6.4570660000000002E-2</v>
      </c>
      <c r="S614">
        <v>2.9889830000000002</v>
      </c>
      <c r="T614">
        <v>-0.13047310000000001</v>
      </c>
      <c r="U614">
        <v>-0.47470089999999998</v>
      </c>
      <c r="V614">
        <v>6.9374050000000007E-2</v>
      </c>
      <c r="W614">
        <v>7.3413850000000003E-2</v>
      </c>
      <c r="X614">
        <v>0.99488569999999998</v>
      </c>
      <c r="Y614">
        <v>0.16145379999999901</v>
      </c>
      <c r="Z614">
        <v>-3.709211E-3</v>
      </c>
      <c r="AA614">
        <v>0.98687329999999995</v>
      </c>
      <c r="AB614">
        <v>22</v>
      </c>
      <c r="AC614">
        <v>24.0718</v>
      </c>
      <c r="AD614">
        <v>-1.0602222720429999</v>
      </c>
      <c r="AE614">
        <v>-3.8584000000000098</v>
      </c>
      <c r="AF614">
        <v>3.9668469983922998</v>
      </c>
      <c r="AG614">
        <v>-1.0602222720429999</v>
      </c>
      <c r="AH614">
        <v>24.007522778745599</v>
      </c>
      <c r="AI614">
        <v>92.494873396178804</v>
      </c>
      <c r="AJ614">
        <v>80.617591444442795</v>
      </c>
      <c r="AK614">
        <v>24.356130570079898</v>
      </c>
      <c r="AL614">
        <v>85.789908472622798</v>
      </c>
      <c r="AM614">
        <v>86.011183369464703</v>
      </c>
      <c r="AN614">
        <v>0.99999995412485598</v>
      </c>
    </row>
    <row r="615" spans="1:40" x14ac:dyDescent="0.25">
      <c r="A615" t="str">
        <f>"20190312154516055"</f>
        <v>20190312154516055</v>
      </c>
      <c r="B615" t="str">
        <f>"1552376716046430"</f>
        <v>1552376716046430</v>
      </c>
      <c r="C615" t="s">
        <v>40</v>
      </c>
      <c r="D615">
        <v>4.6998199999999999</v>
      </c>
      <c r="E615">
        <v>0.53710690000000005</v>
      </c>
      <c r="F615" t="s">
        <v>42</v>
      </c>
      <c r="G615">
        <v>-261.19889999999998</v>
      </c>
      <c r="H615" s="1">
        <v>-4.778811E-6</v>
      </c>
      <c r="I615">
        <v>363.8612</v>
      </c>
      <c r="J615">
        <v>-290.89490000000001</v>
      </c>
      <c r="K615">
        <v>1.060219</v>
      </c>
      <c r="L615">
        <v>368.65550000000002</v>
      </c>
      <c r="M615">
        <v>0.9998958</v>
      </c>
      <c r="N615">
        <v>0</v>
      </c>
      <c r="O615">
        <v>4.8037619999999996E-3</v>
      </c>
      <c r="P615">
        <v>0.99604729999999997</v>
      </c>
      <c r="Q615">
        <v>5.9837649999999999E-2</v>
      </c>
      <c r="R615">
        <v>-6.5648789999999999E-2</v>
      </c>
      <c r="S615">
        <v>2.9870299999999999</v>
      </c>
      <c r="T615">
        <v>-0.1058311</v>
      </c>
      <c r="U615">
        <v>-0.47845460000000001</v>
      </c>
      <c r="V615">
        <v>7.0437479999999997E-2</v>
      </c>
      <c r="W615">
        <v>7.3395299999999997E-2</v>
      </c>
      <c r="X615">
        <v>0.99481240000000004</v>
      </c>
      <c r="Y615">
        <v>0.16280059999999999</v>
      </c>
      <c r="Z615">
        <v>-3.033984E-3</v>
      </c>
      <c r="AA615">
        <v>0.98665429999999998</v>
      </c>
      <c r="AB615">
        <v>22</v>
      </c>
      <c r="AC615">
        <v>29.696000000000002</v>
      </c>
      <c r="AD615">
        <v>-1.0602237788110001</v>
      </c>
      <c r="AE615">
        <v>-4.7943000000000202</v>
      </c>
      <c r="AF615">
        <v>4.93078492393985</v>
      </c>
      <c r="AG615">
        <v>-1.0602237788110001</v>
      </c>
      <c r="AH615">
        <v>29.635808103812298</v>
      </c>
      <c r="AI615">
        <v>92.021127999719994</v>
      </c>
      <c r="AJ615">
        <v>80.553698594791896</v>
      </c>
      <c r="AK615">
        <v>30.0619000795574</v>
      </c>
      <c r="AL615">
        <v>85.790974419687103</v>
      </c>
      <c r="AM615">
        <v>85.949943589500094</v>
      </c>
      <c r="AN615">
        <v>1.0000000099223001</v>
      </c>
    </row>
    <row r="616" spans="1:40" x14ac:dyDescent="0.25">
      <c r="A616" t="str">
        <f>"20190312154516078"</f>
        <v>20190312154516078</v>
      </c>
      <c r="B616" t="str">
        <f>"1552376716066926"</f>
        <v>1552376716066926</v>
      </c>
      <c r="C616" t="s">
        <v>40</v>
      </c>
      <c r="D616">
        <v>4.7348299999999997</v>
      </c>
      <c r="E616">
        <v>0.53546559999999999</v>
      </c>
      <c r="F616" t="s">
        <v>42</v>
      </c>
      <c r="G616">
        <v>-259.05700000000002</v>
      </c>
      <c r="H616" s="1">
        <v>-1.9373640000000001E-6</v>
      </c>
      <c r="I616">
        <v>363.48880000000003</v>
      </c>
      <c r="J616">
        <v>-290.6737</v>
      </c>
      <c r="K616">
        <v>1.0602180000000001</v>
      </c>
      <c r="L616">
        <v>368.65649999999999</v>
      </c>
      <c r="M616">
        <v>0.9998958</v>
      </c>
      <c r="N616">
        <v>0</v>
      </c>
      <c r="O616">
        <v>4.7903019999999998E-3</v>
      </c>
      <c r="P616">
        <v>0.99602029999999997</v>
      </c>
      <c r="Q616">
        <v>5.9177939999999998E-2</v>
      </c>
      <c r="R616">
        <v>-6.6646410000000003E-2</v>
      </c>
      <c r="S616">
        <v>2.9859309999999999</v>
      </c>
      <c r="T616">
        <v>-9.9432950000000006E-2</v>
      </c>
      <c r="U616">
        <v>-0.48455809999999999</v>
      </c>
      <c r="V616">
        <v>7.1421609999999996E-2</v>
      </c>
      <c r="W616">
        <v>7.2733329999999999E-2</v>
      </c>
      <c r="X616">
        <v>0.99479090000000003</v>
      </c>
      <c r="Y616">
        <v>0.1648203</v>
      </c>
      <c r="Z616">
        <v>-2.8841919999999998E-3</v>
      </c>
      <c r="AA616">
        <v>0.98631939999999996</v>
      </c>
      <c r="AB616">
        <v>22</v>
      </c>
      <c r="AC616">
        <v>31.616699999999899</v>
      </c>
      <c r="AD616">
        <v>-1.060219937364</v>
      </c>
      <c r="AE616">
        <v>-5.16769999999996</v>
      </c>
      <c r="AF616">
        <v>5.31328896345389</v>
      </c>
      <c r="AG616">
        <v>-1.060219937364</v>
      </c>
      <c r="AH616">
        <v>31.557017570048998</v>
      </c>
      <c r="AI616">
        <v>91.897551610331803</v>
      </c>
      <c r="AJ616">
        <v>80.442688079667704</v>
      </c>
      <c r="AK616">
        <v>32.0187517533261</v>
      </c>
      <c r="AL616">
        <v>85.829004357747706</v>
      </c>
      <c r="AM616">
        <v>85.8934612993542</v>
      </c>
      <c r="AN616">
        <v>1.00000005919534</v>
      </c>
    </row>
    <row r="617" spans="1:40" x14ac:dyDescent="0.25">
      <c r="A617" t="str">
        <f>"20190312154516100"</f>
        <v>20190312154516100</v>
      </c>
      <c r="B617" t="str">
        <f>"1552376716086446"</f>
        <v>1552376716086446</v>
      </c>
      <c r="C617" t="s">
        <v>40</v>
      </c>
      <c r="D617">
        <v>4.7333530000000001</v>
      </c>
      <c r="E617">
        <v>0.534153199999999</v>
      </c>
      <c r="F617" t="s">
        <v>42</v>
      </c>
      <c r="G617">
        <v>-260.26299999999998</v>
      </c>
      <c r="H617" s="1">
        <v>-5.1858679999999997E-6</v>
      </c>
      <c r="I617">
        <v>363.82979999999998</v>
      </c>
      <c r="J617">
        <v>-290.46199999999999</v>
      </c>
      <c r="K617">
        <v>1.060217</v>
      </c>
      <c r="L617">
        <v>368.6576</v>
      </c>
      <c r="M617">
        <v>0.99989589999999995</v>
      </c>
      <c r="N617">
        <v>0</v>
      </c>
      <c r="O617">
        <v>4.777379E-3</v>
      </c>
      <c r="P617">
        <v>0.99600509999999998</v>
      </c>
      <c r="Q617">
        <v>5.8803719999999997E-2</v>
      </c>
      <c r="R617">
        <v>-6.7202869999999998E-2</v>
      </c>
      <c r="S617">
        <v>2.9864809999999999</v>
      </c>
      <c r="T617">
        <v>-0.10411910000000001</v>
      </c>
      <c r="U617">
        <v>-0.473999</v>
      </c>
      <c r="V617">
        <v>7.1965210000000002E-2</v>
      </c>
      <c r="W617">
        <v>7.2356669999999998E-2</v>
      </c>
      <c r="X617">
        <v>0.99477910000000003</v>
      </c>
      <c r="Y617">
        <v>0.1613714</v>
      </c>
      <c r="Z617">
        <v>-2.9601549999999999E-3</v>
      </c>
      <c r="AA617">
        <v>0.98688929999999997</v>
      </c>
      <c r="AB617">
        <v>22</v>
      </c>
      <c r="AC617">
        <v>30.199000000000002</v>
      </c>
      <c r="AD617">
        <v>-1.0602221858680001</v>
      </c>
      <c r="AE617">
        <v>-4.8278000000000203</v>
      </c>
      <c r="AF617">
        <v>4.9660618972517003</v>
      </c>
      <c r="AG617">
        <v>-1.0602221858680001</v>
      </c>
      <c r="AH617">
        <v>30.139366073317301</v>
      </c>
      <c r="AI617">
        <v>91.987899120331406</v>
      </c>
      <c r="AJ617">
        <v>80.643446828227198</v>
      </c>
      <c r="AK617">
        <v>30.564149409924301</v>
      </c>
      <c r="AL617">
        <v>85.850642020996801</v>
      </c>
      <c r="AM617">
        <v>85.862265088223296</v>
      </c>
      <c r="AN617">
        <v>0.99999996847032102</v>
      </c>
    </row>
    <row r="618" spans="1:40" x14ac:dyDescent="0.25">
      <c r="A618" t="str">
        <f>"20190312154516121"</f>
        <v>20190312154516121</v>
      </c>
      <c r="B618" t="str">
        <f>"1552376716116702"</f>
        <v>1552376716116702</v>
      </c>
      <c r="C618" t="s">
        <v>40</v>
      </c>
      <c r="D618">
        <v>4.7930570000000001</v>
      </c>
      <c r="E618">
        <v>0.53203590000000001</v>
      </c>
      <c r="F618" t="s">
        <v>42</v>
      </c>
      <c r="G618">
        <v>-261.33479999999997</v>
      </c>
      <c r="H618" s="1">
        <v>-4.6748739999999996E-6</v>
      </c>
      <c r="I618">
        <v>364.11849999999998</v>
      </c>
      <c r="J618">
        <v>-290.25420000000003</v>
      </c>
      <c r="K618">
        <v>1.060214</v>
      </c>
      <c r="L618">
        <v>368.6585</v>
      </c>
      <c r="M618">
        <v>0.99989600000000001</v>
      </c>
      <c r="N618">
        <v>0</v>
      </c>
      <c r="O618">
        <v>4.764636E-3</v>
      </c>
      <c r="P618">
        <v>0.99595</v>
      </c>
      <c r="Q618">
        <v>5.9638200000000002E-2</v>
      </c>
      <c r="R618">
        <v>-6.7282990000000001E-2</v>
      </c>
      <c r="S618">
        <v>2.9870610000000002</v>
      </c>
      <c r="T618">
        <v>-0.10872809999999999</v>
      </c>
      <c r="U618">
        <v>-0.46548460000000003</v>
      </c>
      <c r="V618">
        <v>7.2032410000000005E-2</v>
      </c>
      <c r="W618">
        <v>7.3188450000000002E-2</v>
      </c>
      <c r="X618">
        <v>0.99471339999999997</v>
      </c>
      <c r="Y618">
        <v>0.1585762</v>
      </c>
      <c r="Z618">
        <v>-3.040184E-3</v>
      </c>
      <c r="AA618">
        <v>0.9873421</v>
      </c>
      <c r="AB618">
        <v>22</v>
      </c>
      <c r="AC618">
        <v>28.9194</v>
      </c>
      <c r="AD618">
        <v>-1.0602186748739999</v>
      </c>
      <c r="AE618">
        <v>-4.5400000000000196</v>
      </c>
      <c r="AF618">
        <v>4.6716238091457898</v>
      </c>
      <c r="AG618">
        <v>-1.0602186748739999</v>
      </c>
      <c r="AH618">
        <v>28.859582735925699</v>
      </c>
      <c r="AI618">
        <v>92.076926155803207</v>
      </c>
      <c r="AJ618">
        <v>80.805046700247701</v>
      </c>
      <c r="AK618">
        <v>29.2544637336675</v>
      </c>
      <c r="AL618">
        <v>85.802857897731997</v>
      </c>
      <c r="AM618">
        <v>85.858142177530198</v>
      </c>
      <c r="AN618">
        <v>0.999999982721685</v>
      </c>
    </row>
    <row r="619" spans="1:40" x14ac:dyDescent="0.25">
      <c r="A619" t="str">
        <f>"20190312154516144"</f>
        <v>20190312154516144</v>
      </c>
      <c r="B619" t="str">
        <f>"1552376716136226"</f>
        <v>1552376716136226</v>
      </c>
      <c r="C619" t="s">
        <v>40</v>
      </c>
      <c r="D619">
        <v>4.786257</v>
      </c>
      <c r="E619">
        <v>0.53102419999999995</v>
      </c>
      <c r="F619" t="s">
        <v>42</v>
      </c>
      <c r="G619">
        <v>-260.97710000000001</v>
      </c>
      <c r="H619" s="1">
        <v>-4.8028260000000003E-6</v>
      </c>
      <c r="I619">
        <v>364.26220000000001</v>
      </c>
      <c r="J619">
        <v>-290.0369</v>
      </c>
      <c r="K619">
        <v>1.0602210000000001</v>
      </c>
      <c r="L619">
        <v>368.65960000000001</v>
      </c>
      <c r="M619">
        <v>0.99989609999999995</v>
      </c>
      <c r="N619">
        <v>0</v>
      </c>
      <c r="O619">
        <v>4.7513590000000001E-3</v>
      </c>
      <c r="P619">
        <v>0.99595199999999995</v>
      </c>
      <c r="Q619">
        <v>6.0308609999999999E-2</v>
      </c>
      <c r="R619">
        <v>-6.6653480000000001E-2</v>
      </c>
      <c r="S619">
        <v>2.9883419999999998</v>
      </c>
      <c r="T619">
        <v>-0.1082176</v>
      </c>
      <c r="U619">
        <v>-0.44873049999999998</v>
      </c>
      <c r="V619">
        <v>7.1389729999999998E-2</v>
      </c>
      <c r="W619">
        <v>7.3857530000000005E-2</v>
      </c>
      <c r="X619">
        <v>0.99471030000000005</v>
      </c>
      <c r="Y619">
        <v>0.1530918</v>
      </c>
      <c r="Z619">
        <v>-2.926714E-3</v>
      </c>
      <c r="AA619">
        <v>0.98820759999999996</v>
      </c>
      <c r="AB619">
        <v>22</v>
      </c>
      <c r="AC619">
        <v>29.059799999999999</v>
      </c>
      <c r="AD619">
        <v>-1.0602258028260001</v>
      </c>
      <c r="AE619">
        <v>-4.3974000000000002</v>
      </c>
      <c r="AF619">
        <v>4.5295423702816198</v>
      </c>
      <c r="AG619">
        <v>-1.0602258028260001</v>
      </c>
      <c r="AH619">
        <v>29.000837434714398</v>
      </c>
      <c r="AI619">
        <v>92.068655292806099</v>
      </c>
      <c r="AJ619">
        <v>81.122886528428197</v>
      </c>
      <c r="AK619">
        <v>29.371574774803701</v>
      </c>
      <c r="AL619">
        <v>85.764418493407703</v>
      </c>
      <c r="AM619">
        <v>85.894956579434293</v>
      </c>
      <c r="AN619">
        <v>1.00000000460663</v>
      </c>
    </row>
    <row r="620" spans="1:40" x14ac:dyDescent="0.25">
      <c r="A620" t="str">
        <f>"20190312154516166"</f>
        <v>20190312154516166</v>
      </c>
      <c r="B620" t="str">
        <f>"1552376716156718"</f>
        <v>1552376716156718</v>
      </c>
      <c r="C620" t="s">
        <v>40</v>
      </c>
      <c r="D620">
        <v>4.790286</v>
      </c>
      <c r="E620">
        <v>0.53013209999999999</v>
      </c>
      <c r="F620" t="s">
        <v>42</v>
      </c>
      <c r="G620">
        <v>-260.48349999999999</v>
      </c>
      <c r="H620" s="1">
        <v>-5.0035779999999996E-6</v>
      </c>
      <c r="I620">
        <v>364.32429999999999</v>
      </c>
      <c r="J620">
        <v>-289.82190000000003</v>
      </c>
      <c r="K620">
        <v>1.0602229999999999</v>
      </c>
      <c r="L620">
        <v>368.66059999999999</v>
      </c>
      <c r="M620">
        <v>0.99989609999999995</v>
      </c>
      <c r="N620">
        <v>0</v>
      </c>
      <c r="O620">
        <v>4.7382580000000004E-3</v>
      </c>
      <c r="P620">
        <v>0.99594009999999999</v>
      </c>
      <c r="Q620">
        <v>6.1141760000000003E-2</v>
      </c>
      <c r="R620">
        <v>-6.6069059999999999E-2</v>
      </c>
      <c r="S620">
        <v>2.9893489999999998</v>
      </c>
      <c r="T620">
        <v>-0.1072423</v>
      </c>
      <c r="U620">
        <v>-0.43850709999999998</v>
      </c>
      <c r="V620">
        <v>7.0792289999999994E-2</v>
      </c>
      <c r="W620">
        <v>7.4688270000000001E-2</v>
      </c>
      <c r="X620">
        <v>0.99469099999999999</v>
      </c>
      <c r="Y620">
        <v>0.1497262</v>
      </c>
      <c r="Z620">
        <v>-2.8396160000000001E-3</v>
      </c>
      <c r="AA620">
        <v>0.98872340000000003</v>
      </c>
      <c r="AB620">
        <v>22</v>
      </c>
      <c r="AC620">
        <v>29.3384</v>
      </c>
      <c r="AD620">
        <v>-1.0602280035779901</v>
      </c>
      <c r="AE620">
        <v>-4.3362999999999898</v>
      </c>
      <c r="AF620">
        <v>4.4695648767518597</v>
      </c>
      <c r="AG620">
        <v>-1.0602280035779901</v>
      </c>
      <c r="AH620">
        <v>29.280101395337802</v>
      </c>
      <c r="AI620">
        <v>92.050038991028202</v>
      </c>
      <c r="AJ620">
        <v>81.320881161942296</v>
      </c>
      <c r="AK620">
        <v>29.638242716604001</v>
      </c>
      <c r="AL620">
        <v>85.716688898239099</v>
      </c>
      <c r="AM620">
        <v>85.929115800656803</v>
      </c>
      <c r="AN620">
        <v>1.0000000357400101</v>
      </c>
    </row>
    <row r="621" spans="1:40" x14ac:dyDescent="0.25">
      <c r="A621" t="str">
        <f>"20190312154516188"</f>
        <v>20190312154516188</v>
      </c>
      <c r="B621" t="str">
        <f>"1552376716176239"</f>
        <v>1552376716176239</v>
      </c>
      <c r="C621" t="s">
        <v>40</v>
      </c>
      <c r="D621">
        <v>4.7980689999999999</v>
      </c>
      <c r="E621">
        <v>0.5295088</v>
      </c>
      <c r="F621" t="s">
        <v>42</v>
      </c>
      <c r="G621">
        <v>-259.76780000000002</v>
      </c>
      <c r="H621" s="1">
        <v>-1.468923E-6</v>
      </c>
      <c r="I621">
        <v>364.34030000000001</v>
      </c>
      <c r="J621">
        <v>-289.60539999999997</v>
      </c>
      <c r="K621">
        <v>1.0602229999999999</v>
      </c>
      <c r="L621">
        <v>368.66160000000002</v>
      </c>
      <c r="M621">
        <v>0.99989620000000001</v>
      </c>
      <c r="N621">
        <v>0</v>
      </c>
      <c r="O621">
        <v>4.7242719999999998E-3</v>
      </c>
      <c r="P621">
        <v>0.99599150000000003</v>
      </c>
      <c r="Q621">
        <v>6.0855359999999997E-2</v>
      </c>
      <c r="R621">
        <v>-6.5556799999999998E-2</v>
      </c>
      <c r="S621">
        <v>2.9902039999999999</v>
      </c>
      <c r="T621">
        <v>-0.1054856</v>
      </c>
      <c r="U621">
        <v>-0.4298401</v>
      </c>
      <c r="V621">
        <v>7.0266099999999998E-2</v>
      </c>
      <c r="W621">
        <v>7.4400590000000003E-2</v>
      </c>
      <c r="X621">
        <v>0.99474980000000002</v>
      </c>
      <c r="Y621">
        <v>0.14686949999999999</v>
      </c>
      <c r="Z621">
        <v>-2.7423109999999999E-3</v>
      </c>
      <c r="AA621">
        <v>0.98915209999999998</v>
      </c>
      <c r="AB621">
        <v>22</v>
      </c>
      <c r="AC621">
        <v>29.837599999999899</v>
      </c>
      <c r="AD621">
        <v>-1.06022446892299</v>
      </c>
      <c r="AE621">
        <v>-4.3212999999999999</v>
      </c>
      <c r="AF621">
        <v>4.4567142941669902</v>
      </c>
      <c r="AG621">
        <v>-1.06022446892299</v>
      </c>
      <c r="AH621">
        <v>29.780022108089</v>
      </c>
      <c r="AI621">
        <v>92.016537936063997</v>
      </c>
      <c r="AJ621">
        <v>81.488595506355693</v>
      </c>
      <c r="AK621">
        <v>30.130318534370002</v>
      </c>
      <c r="AL621">
        <v>85.733217448850496</v>
      </c>
      <c r="AM621">
        <v>85.959511614890701</v>
      </c>
      <c r="AN621">
        <v>0.99999996860079798</v>
      </c>
    </row>
    <row r="622" spans="1:40" x14ac:dyDescent="0.25">
      <c r="A622" t="str">
        <f>"20190312154516211"</f>
        <v>20190312154516211</v>
      </c>
      <c r="B622" t="str">
        <f>"1552376716206495"</f>
        <v>1552376716206495</v>
      </c>
      <c r="C622" t="s">
        <v>40</v>
      </c>
      <c r="D622">
        <v>4.8629119999999997</v>
      </c>
      <c r="E622">
        <v>0.52891269999999901</v>
      </c>
      <c r="F622" t="s">
        <v>42</v>
      </c>
      <c r="G622">
        <v>-260.16419999999999</v>
      </c>
      <c r="H622" s="1">
        <v>-5.109741E-6</v>
      </c>
      <c r="I622">
        <v>364.49810000000002</v>
      </c>
      <c r="J622">
        <v>-289.39139999999998</v>
      </c>
      <c r="K622">
        <v>1.060222</v>
      </c>
      <c r="L622">
        <v>368.66250000000002</v>
      </c>
      <c r="M622">
        <v>0.99989629999999996</v>
      </c>
      <c r="N622">
        <v>0</v>
      </c>
      <c r="O622">
        <v>4.7101670000000003E-3</v>
      </c>
      <c r="P622">
        <v>0.99605290000000002</v>
      </c>
      <c r="Q622">
        <v>6.0096219999999999E-2</v>
      </c>
      <c r="R622">
        <v>-6.5325679999999997E-2</v>
      </c>
      <c r="S622">
        <v>2.9908139999999999</v>
      </c>
      <c r="T622">
        <v>-0.10770399999999999</v>
      </c>
      <c r="U622">
        <v>-0.42294310000000002</v>
      </c>
      <c r="V622">
        <v>7.0021200000000006E-2</v>
      </c>
      <c r="W622">
        <v>7.364068E-2</v>
      </c>
      <c r="X622">
        <v>0.99482360000000003</v>
      </c>
      <c r="Y622">
        <v>0.14458859999999901</v>
      </c>
      <c r="Z622">
        <v>-2.7584770000000001E-3</v>
      </c>
      <c r="AA622">
        <v>0.98948800000000003</v>
      </c>
      <c r="AB622">
        <v>22</v>
      </c>
      <c r="AC622">
        <v>29.2271999999999</v>
      </c>
      <c r="AD622">
        <v>-1.0602271097409901</v>
      </c>
      <c r="AE622">
        <v>-4.1643999999999997</v>
      </c>
      <c r="AF622">
        <v>4.2964902773755398</v>
      </c>
      <c r="AG622">
        <v>-1.0602271097409901</v>
      </c>
      <c r="AH622">
        <v>29.169638277256599</v>
      </c>
      <c r="AI622">
        <v>92.059409509369999</v>
      </c>
      <c r="AJ622">
        <v>81.620968049630505</v>
      </c>
      <c r="AK622">
        <v>29.5034185723249</v>
      </c>
      <c r="AL622">
        <v>85.776876807001202</v>
      </c>
      <c r="AM622">
        <v>85.973845335600501</v>
      </c>
      <c r="AN622">
        <v>0.99999995665862995</v>
      </c>
    </row>
    <row r="623" spans="1:40" x14ac:dyDescent="0.25">
      <c r="A623" t="str">
        <f>"20190312154516234"</f>
        <v>20190312154516234</v>
      </c>
      <c r="B623" t="str">
        <f>"1552376716226990"</f>
        <v>1552376716226990</v>
      </c>
      <c r="C623" t="s">
        <v>40</v>
      </c>
      <c r="D623">
        <v>4.8249550000000001</v>
      </c>
      <c r="E623">
        <v>0.5286227</v>
      </c>
      <c r="F623" t="s">
        <v>42</v>
      </c>
      <c r="G623">
        <v>-261.18369999999999</v>
      </c>
      <c r="H623" s="1">
        <v>-4.6324220000000001E-6</v>
      </c>
      <c r="I623">
        <v>364.72329999999999</v>
      </c>
      <c r="J623">
        <v>-289.16950000000003</v>
      </c>
      <c r="K623">
        <v>1.0602180000000001</v>
      </c>
      <c r="L623">
        <v>368.66359999999997</v>
      </c>
      <c r="M623">
        <v>0.99989640000000002</v>
      </c>
      <c r="N623">
        <v>0</v>
      </c>
      <c r="O623">
        <v>4.6960589999999998E-3</v>
      </c>
      <c r="P623">
        <v>0.99608620000000003</v>
      </c>
      <c r="Q623">
        <v>5.9719599999999998E-2</v>
      </c>
      <c r="R623">
        <v>-6.5163029999999997E-2</v>
      </c>
      <c r="S623">
        <v>2.9912719999999999</v>
      </c>
      <c r="T623">
        <v>-0.1124308</v>
      </c>
      <c r="U623">
        <v>-0.4177246</v>
      </c>
      <c r="V623">
        <v>6.9844649999999994E-2</v>
      </c>
      <c r="W623">
        <v>7.3262160000000007E-2</v>
      </c>
      <c r="X623">
        <v>0.99486399999999997</v>
      </c>
      <c r="Y623">
        <v>0.14285339999999999</v>
      </c>
      <c r="Z623">
        <v>-2.8463970000000001E-3</v>
      </c>
      <c r="AA623">
        <v>0.98973979999999995</v>
      </c>
      <c r="AB623">
        <v>22</v>
      </c>
      <c r="AC623">
        <v>27.985800000000001</v>
      </c>
      <c r="AD623">
        <v>-1.0602226324220001</v>
      </c>
      <c r="AE623">
        <v>-3.9402999999999699</v>
      </c>
      <c r="AF623">
        <v>4.0659695490066099</v>
      </c>
      <c r="AG623">
        <v>-1.0602226324220001</v>
      </c>
      <c r="AH623">
        <v>27.927682506822698</v>
      </c>
      <c r="AI623">
        <v>92.151424080293495</v>
      </c>
      <c r="AJ623">
        <v>81.716550832863703</v>
      </c>
      <c r="AK623">
        <v>28.242018883317101</v>
      </c>
      <c r="AL623">
        <v>85.798623325455395</v>
      </c>
      <c r="AM623">
        <v>85.984126091479396</v>
      </c>
      <c r="AN623">
        <v>0.99999999885874402</v>
      </c>
    </row>
    <row r="624" spans="1:40" x14ac:dyDescent="0.25">
      <c r="A624" t="str">
        <f>"20190312154516256"</f>
        <v>20190312154516256</v>
      </c>
      <c r="B624" t="str">
        <f>"1552376716246510"</f>
        <v>1552376716246510</v>
      </c>
      <c r="C624" t="s">
        <v>40</v>
      </c>
      <c r="D624">
        <v>4.828417</v>
      </c>
      <c r="E624">
        <v>0.52839230000000004</v>
      </c>
      <c r="F624" t="s">
        <v>42</v>
      </c>
      <c r="G624">
        <v>-261.61689999999999</v>
      </c>
      <c r="H624" s="1">
        <v>-4.4253429999999999E-6</v>
      </c>
      <c r="I624">
        <v>364.84289999999999</v>
      </c>
      <c r="J624">
        <v>-288.95859999999999</v>
      </c>
      <c r="K624">
        <v>1.0602199999999999</v>
      </c>
      <c r="L624">
        <v>368.66460000000001</v>
      </c>
      <c r="M624">
        <v>0.99989649999999997</v>
      </c>
      <c r="N624">
        <v>0</v>
      </c>
      <c r="O624">
        <v>4.6831349999999997E-3</v>
      </c>
      <c r="P624">
        <v>0.99608989999999997</v>
      </c>
      <c r="Q624">
        <v>5.9651129999999997E-2</v>
      </c>
      <c r="R624">
        <v>-6.5166849999999998E-2</v>
      </c>
      <c r="S624">
        <v>2.9915159999999998</v>
      </c>
      <c r="T624">
        <v>-0.11511349999999999</v>
      </c>
      <c r="U624">
        <v>-0.41482540000000001</v>
      </c>
      <c r="V624">
        <v>6.9835839999999996E-2</v>
      </c>
      <c r="W624">
        <v>7.3191779999999998E-2</v>
      </c>
      <c r="X624">
        <v>0.99486980000000003</v>
      </c>
      <c r="Y624">
        <v>0.14188429999999999</v>
      </c>
      <c r="Z624">
        <v>-2.895178E-3</v>
      </c>
      <c r="AA624">
        <v>0.98987899999999995</v>
      </c>
      <c r="AB624">
        <v>22</v>
      </c>
      <c r="AC624">
        <v>27.341699999999999</v>
      </c>
      <c r="AD624">
        <v>-1.060224425343</v>
      </c>
      <c r="AE624">
        <v>-3.8217000000000199</v>
      </c>
      <c r="AF624">
        <v>3.9438982320771898</v>
      </c>
      <c r="AG624">
        <v>-1.060224425343</v>
      </c>
      <c r="AH624">
        <v>27.2832627914242</v>
      </c>
      <c r="AI624">
        <v>92.202517809362604</v>
      </c>
      <c r="AJ624">
        <v>81.774655512787703</v>
      </c>
      <c r="AK624">
        <v>27.587222361865098</v>
      </c>
      <c r="AL624">
        <v>85.802666662685596</v>
      </c>
      <c r="AM624">
        <v>85.984654317679599</v>
      </c>
      <c r="AN624">
        <v>1.00000000008005</v>
      </c>
    </row>
    <row r="625" spans="1:40" x14ac:dyDescent="0.25">
      <c r="A625" t="str">
        <f>"20190312154516279"</f>
        <v>20190312154516279</v>
      </c>
      <c r="B625" t="str">
        <f>"1552376716267006"</f>
        <v>1552376716267006</v>
      </c>
      <c r="C625" t="s">
        <v>40</v>
      </c>
      <c r="D625">
        <v>4.9023899999999996</v>
      </c>
      <c r="E625">
        <v>0.52821099999999999</v>
      </c>
      <c r="F625" t="s">
        <v>42</v>
      </c>
      <c r="G625">
        <v>-261.7647</v>
      </c>
      <c r="H625" s="1">
        <v>-4.3501629999999999E-6</v>
      </c>
      <c r="I625">
        <v>364.90940000000001</v>
      </c>
      <c r="J625">
        <v>-288.73860000000002</v>
      </c>
      <c r="K625">
        <v>1.060222</v>
      </c>
      <c r="L625">
        <v>368.66559999999998</v>
      </c>
      <c r="M625">
        <v>0.99989680000000003</v>
      </c>
      <c r="N625">
        <v>0</v>
      </c>
      <c r="O625">
        <v>4.6696759999999898E-3</v>
      </c>
      <c r="P625">
        <v>0.99606220000000001</v>
      </c>
      <c r="Q625">
        <v>5.9984030000000001E-2</v>
      </c>
      <c r="R625">
        <v>-6.5289330000000007E-2</v>
      </c>
      <c r="S625">
        <v>2.99173</v>
      </c>
      <c r="T625">
        <v>-0.1166402</v>
      </c>
      <c r="U625">
        <v>-0.4131165</v>
      </c>
      <c r="V625">
        <v>6.9944660000000006E-2</v>
      </c>
      <c r="W625">
        <v>7.3522270000000001E-2</v>
      </c>
      <c r="X625">
        <v>0.99483779999999999</v>
      </c>
      <c r="Y625">
        <v>0.14130400000000001</v>
      </c>
      <c r="Z625">
        <v>-2.921678E-3</v>
      </c>
      <c r="AA625">
        <v>0.98996189999999995</v>
      </c>
      <c r="AB625">
        <v>21</v>
      </c>
      <c r="AC625">
        <v>26.9739</v>
      </c>
      <c r="AD625">
        <v>-1.06022635016299</v>
      </c>
      <c r="AE625">
        <v>-3.75619999999997</v>
      </c>
      <c r="AF625">
        <v>3.8762554007422501</v>
      </c>
      <c r="AG625">
        <v>-1.06022635016299</v>
      </c>
      <c r="AH625">
        <v>26.915272697166301</v>
      </c>
      <c r="AI625">
        <v>92.232774014859004</v>
      </c>
      <c r="AJ625">
        <v>81.804785403141594</v>
      </c>
      <c r="AK625">
        <v>27.213624165262999</v>
      </c>
      <c r="AL625">
        <v>85.783679883732205</v>
      </c>
      <c r="AM625">
        <v>85.978289082770203</v>
      </c>
      <c r="AN625">
        <v>1.00000001397865</v>
      </c>
    </row>
    <row r="626" spans="1:40" x14ac:dyDescent="0.25">
      <c r="A626" t="str">
        <f>"20190312154516302"</f>
        <v>20190312154516302</v>
      </c>
      <c r="B626" t="str">
        <f>"1552376716297262"</f>
        <v>1552376716297262</v>
      </c>
      <c r="C626" t="s">
        <v>40</v>
      </c>
      <c r="D626">
        <v>4.8587860000000003</v>
      </c>
      <c r="E626">
        <v>0.52804649999999997</v>
      </c>
      <c r="F626" t="s">
        <v>42</v>
      </c>
      <c r="G626">
        <v>-261.67360000000002</v>
      </c>
      <c r="H626" s="1">
        <v>-4.3840949999999997E-6</v>
      </c>
      <c r="I626">
        <v>364.9384</v>
      </c>
      <c r="J626">
        <v>-288.52089999999998</v>
      </c>
      <c r="K626">
        <v>1.060222</v>
      </c>
      <c r="L626">
        <v>368.66660000000002</v>
      </c>
      <c r="M626">
        <v>0.99989669999999997</v>
      </c>
      <c r="N626">
        <v>0</v>
      </c>
      <c r="O626">
        <v>4.6565770000000003E-3</v>
      </c>
      <c r="P626">
        <v>0.99607440000000003</v>
      </c>
      <c r="Q626">
        <v>5.9688770000000002E-2</v>
      </c>
      <c r="R626">
        <v>-6.5371600000000002E-2</v>
      </c>
      <c r="S626">
        <v>2.9919129999999998</v>
      </c>
      <c r="T626">
        <v>-0.1172031</v>
      </c>
      <c r="U626">
        <v>-0.41201779999999999</v>
      </c>
      <c r="V626">
        <v>7.0013880000000001E-2</v>
      </c>
      <c r="W626">
        <v>7.3224570000000003E-2</v>
      </c>
      <c r="X626">
        <v>0.99485489999999999</v>
      </c>
      <c r="Y626">
        <v>0.14092539999999901</v>
      </c>
      <c r="Z626">
        <v>-2.9277740000000002E-3</v>
      </c>
      <c r="AA626">
        <v>0.99001589999999995</v>
      </c>
      <c r="AB626">
        <v>21</v>
      </c>
      <c r="AC626">
        <v>26.847299999999901</v>
      </c>
      <c r="AD626">
        <v>-1.0602263840949999</v>
      </c>
      <c r="AE626">
        <v>-3.72820000000001</v>
      </c>
      <c r="AF626">
        <v>3.84730115370095</v>
      </c>
      <c r="AG626">
        <v>-1.0602263840949999</v>
      </c>
      <c r="AH626">
        <v>26.788659084098001</v>
      </c>
      <c r="AI626">
        <v>92.243442648281004</v>
      </c>
      <c r="AJ626">
        <v>81.8272482574652</v>
      </c>
      <c r="AK626">
        <v>27.084277019644102</v>
      </c>
      <c r="AL626">
        <v>85.800782990633493</v>
      </c>
      <c r="AM626">
        <v>85.974391085678803</v>
      </c>
      <c r="AN626">
        <v>1.00000002654917</v>
      </c>
    </row>
    <row r="627" spans="1:40" x14ac:dyDescent="0.25">
      <c r="A627" t="str">
        <f>"20190312154516323"</f>
        <v>20190312154516323</v>
      </c>
      <c r="B627" t="str">
        <f>"1552376716316782"</f>
        <v>1552376716316782</v>
      </c>
      <c r="C627" t="s">
        <v>40</v>
      </c>
      <c r="D627">
        <v>4.8380099999999997</v>
      </c>
      <c r="E627">
        <v>0.52790409999999999</v>
      </c>
      <c r="F627" t="s">
        <v>42</v>
      </c>
      <c r="G627">
        <v>-262.12240000000003</v>
      </c>
      <c r="H627" s="1">
        <v>-4.1738149999999999E-6</v>
      </c>
      <c r="I627">
        <v>365.03840000000002</v>
      </c>
      <c r="J627">
        <v>-288.31709999999998</v>
      </c>
      <c r="K627">
        <v>1.0602180000000001</v>
      </c>
      <c r="L627">
        <v>368.66759999999999</v>
      </c>
      <c r="M627">
        <v>0.99989669999999997</v>
      </c>
      <c r="N627">
        <v>0</v>
      </c>
      <c r="O627">
        <v>4.6443140000000001E-3</v>
      </c>
      <c r="P627">
        <v>0.9960833</v>
      </c>
      <c r="Q627">
        <v>5.9642340000000002E-2</v>
      </c>
      <c r="R627">
        <v>-6.5274650000000004E-2</v>
      </c>
      <c r="S627">
        <v>2.9920650000000002</v>
      </c>
      <c r="T627">
        <v>-0.12016839999999999</v>
      </c>
      <c r="U627">
        <v>-0.41122439999999999</v>
      </c>
      <c r="V627">
        <v>6.9905010000000004E-2</v>
      </c>
      <c r="W627">
        <v>7.3176080000000004E-2</v>
      </c>
      <c r="X627">
        <v>0.99486609999999998</v>
      </c>
      <c r="Y627">
        <v>0.1406434</v>
      </c>
      <c r="Z627">
        <v>-2.9955680000000001E-3</v>
      </c>
      <c r="AA627">
        <v>0.99005580000000004</v>
      </c>
      <c r="AB627">
        <v>21</v>
      </c>
      <c r="AC627">
        <v>26.194699999999902</v>
      </c>
      <c r="AD627">
        <v>-1.0602221738149999</v>
      </c>
      <c r="AE627">
        <v>-3.62919999999996</v>
      </c>
      <c r="AF627">
        <v>3.7448093142162202</v>
      </c>
      <c r="AG627">
        <v>-1.0602221738149999</v>
      </c>
      <c r="AH627">
        <v>26.135551850614998</v>
      </c>
      <c r="AI627">
        <v>92.299543387764004</v>
      </c>
      <c r="AJ627">
        <v>81.845924873226807</v>
      </c>
      <c r="AK627">
        <v>26.423753298762801</v>
      </c>
      <c r="AL627">
        <v>85.803568637423297</v>
      </c>
      <c r="AM627">
        <v>85.980675384844005</v>
      </c>
      <c r="AN627">
        <v>1.0000000030182301</v>
      </c>
    </row>
    <row r="628" spans="1:40" x14ac:dyDescent="0.25">
      <c r="A628" t="str">
        <f>"20190312154516346"</f>
        <v>20190312154516346</v>
      </c>
      <c r="B628" t="str">
        <f>"1552376716336304"</f>
        <v>1552376716336304</v>
      </c>
      <c r="C628" t="s">
        <v>40</v>
      </c>
      <c r="D628">
        <v>4.8931740000000001</v>
      </c>
      <c r="E628">
        <v>0.52779229999999999</v>
      </c>
      <c r="F628" t="s">
        <v>42</v>
      </c>
      <c r="G628">
        <v>-262.2192</v>
      </c>
      <c r="H628" s="1">
        <v>-4.122288E-6</v>
      </c>
      <c r="I628">
        <v>365.09469999999999</v>
      </c>
      <c r="J628">
        <v>-288.10430000000002</v>
      </c>
      <c r="K628">
        <v>1.0602210000000001</v>
      </c>
      <c r="L628">
        <v>368.66849999999999</v>
      </c>
      <c r="M628">
        <v>0.99989680000000003</v>
      </c>
      <c r="N628">
        <v>0</v>
      </c>
      <c r="O628">
        <v>4.6310400000000003E-3</v>
      </c>
      <c r="P628">
        <v>0.99607959999999995</v>
      </c>
      <c r="Q628">
        <v>5.9376100000000001E-2</v>
      </c>
      <c r="R628">
        <v>-6.5573880000000001E-2</v>
      </c>
      <c r="S628">
        <v>2.9922490000000002</v>
      </c>
      <c r="T628">
        <v>-0.1215593</v>
      </c>
      <c r="U628">
        <v>-0.40963749999999999</v>
      </c>
      <c r="V628">
        <v>7.0190820000000001E-2</v>
      </c>
      <c r="W628">
        <v>7.290787E-2</v>
      </c>
      <c r="X628">
        <v>0.99486569999999996</v>
      </c>
      <c r="Y628">
        <v>0.14010439999999999</v>
      </c>
      <c r="Z628">
        <v>-3.0187069999999998E-3</v>
      </c>
      <c r="AA628">
        <v>0.99013220000000002</v>
      </c>
      <c r="AB628">
        <v>21</v>
      </c>
      <c r="AC628">
        <v>25.885100000000001</v>
      </c>
      <c r="AD628">
        <v>-1.0602251222879999</v>
      </c>
      <c r="AE628">
        <v>-3.5737999999999999</v>
      </c>
      <c r="AF628">
        <v>3.68757701299681</v>
      </c>
      <c r="AG628">
        <v>-1.0602251222879999</v>
      </c>
      <c r="AH628">
        <v>25.825754761140399</v>
      </c>
      <c r="AI628">
        <v>92.327266297669297</v>
      </c>
      <c r="AJ628">
        <v>81.873847137270303</v>
      </c>
      <c r="AK628">
        <v>26.1092303701063</v>
      </c>
      <c r="AL628">
        <v>85.818977229927896</v>
      </c>
      <c r="AM628">
        <v>85.964294754544497</v>
      </c>
      <c r="AN628">
        <v>1.00000003487834</v>
      </c>
    </row>
    <row r="629" spans="1:40" x14ac:dyDescent="0.25">
      <c r="A629" t="str">
        <f>"20190312154516367"</f>
        <v>20190312154516367</v>
      </c>
      <c r="B629" t="str">
        <f>"1552376716356798"</f>
        <v>1552376716356798</v>
      </c>
      <c r="C629" t="s">
        <v>40</v>
      </c>
      <c r="D629">
        <v>4.8210110000000004</v>
      </c>
      <c r="E629">
        <v>0.49155559999999998</v>
      </c>
      <c r="F629" t="s">
        <v>42</v>
      </c>
      <c r="G629">
        <v>-262.29680000000002</v>
      </c>
      <c r="H629" s="1">
        <v>-4.0815330000000001E-6</v>
      </c>
      <c r="I629">
        <v>365.13690000000003</v>
      </c>
      <c r="J629">
        <v>-287.89109999999999</v>
      </c>
      <c r="K629">
        <v>1.060222</v>
      </c>
      <c r="L629">
        <v>368.66950000000003</v>
      </c>
      <c r="M629">
        <v>0.99989689999999998</v>
      </c>
      <c r="N629">
        <v>0</v>
      </c>
      <c r="O629">
        <v>4.6172920000000003E-3</v>
      </c>
      <c r="P629">
        <v>0.99606320000000004</v>
      </c>
      <c r="Q629">
        <v>5.9627930000000003E-2</v>
      </c>
      <c r="R629">
        <v>-6.5596399999999999E-2</v>
      </c>
      <c r="S629">
        <v>2.9921880000000001</v>
      </c>
      <c r="T629">
        <v>-0.1229248</v>
      </c>
      <c r="U629">
        <v>-0.40945429999999999</v>
      </c>
      <c r="V629">
        <v>7.0199449999999997E-2</v>
      </c>
      <c r="W629">
        <v>7.3157529999999998E-2</v>
      </c>
      <c r="X629">
        <v>0.99484669999999997</v>
      </c>
      <c r="Y629">
        <v>0.1400315</v>
      </c>
      <c r="Z629">
        <v>-3.0506109999999999E-3</v>
      </c>
      <c r="AA629">
        <v>0.99014230000000003</v>
      </c>
      <c r="AB629">
        <v>21</v>
      </c>
      <c r="AC629">
        <v>25.594299999999901</v>
      </c>
      <c r="AD629">
        <v>-1.060226081533</v>
      </c>
      <c r="AE629">
        <v>-3.5326</v>
      </c>
      <c r="AF629">
        <v>3.6446124760724001</v>
      </c>
      <c r="AG629">
        <v>-1.060226081533</v>
      </c>
      <c r="AH629">
        <v>25.534716803425599</v>
      </c>
      <c r="AI629">
        <v>92.353782465583606</v>
      </c>
      <c r="AJ629">
        <v>81.876943704906097</v>
      </c>
      <c r="AK629">
        <v>25.815286976438099</v>
      </c>
      <c r="AL629">
        <v>85.804634199023397</v>
      </c>
      <c r="AM629">
        <v>85.963723371937704</v>
      </c>
      <c r="AN629">
        <v>0.99999997173844601</v>
      </c>
    </row>
    <row r="630" spans="1:40" x14ac:dyDescent="0.25">
      <c r="A630" t="str">
        <f>"20190312154516389"</f>
        <v>20190312154516389</v>
      </c>
      <c r="B630" t="str">
        <f>"1552376716376318"</f>
        <v>1552376716376318</v>
      </c>
      <c r="C630" t="s">
        <v>40</v>
      </c>
      <c r="D630">
        <v>4.778429</v>
      </c>
      <c r="E630">
        <v>0.48153669999999998</v>
      </c>
      <c r="F630" t="s">
        <v>42</v>
      </c>
      <c r="G630">
        <v>-256.50670000000002</v>
      </c>
      <c r="H630" s="1">
        <v>-1.874041E-6</v>
      </c>
      <c r="I630">
        <v>367.40010000000001</v>
      </c>
      <c r="J630">
        <v>-287.6866</v>
      </c>
      <c r="K630">
        <v>1.060222</v>
      </c>
      <c r="L630">
        <v>368.67039999999997</v>
      </c>
      <c r="M630">
        <v>0.99989689999999998</v>
      </c>
      <c r="N630">
        <v>0</v>
      </c>
      <c r="O630">
        <v>4.6043730000000001E-3</v>
      </c>
      <c r="P630">
        <v>0.99604150000000002</v>
      </c>
      <c r="Q630">
        <v>5.9968489999999999E-2</v>
      </c>
      <c r="R630">
        <v>-6.5611340000000004E-2</v>
      </c>
      <c r="S630">
        <v>3.0099490000000002</v>
      </c>
      <c r="T630">
        <v>-0.10168149999999999</v>
      </c>
      <c r="U630">
        <v>-0.1217346</v>
      </c>
      <c r="V630">
        <v>7.0201639999999996E-2</v>
      </c>
      <c r="W630">
        <v>7.3495640000000001E-2</v>
      </c>
      <c r="X630">
        <v>0.99482170000000003</v>
      </c>
      <c r="Y630">
        <v>4.4983410000000001E-2</v>
      </c>
      <c r="Z630">
        <v>-9.1473729999999999E-4</v>
      </c>
      <c r="AA630">
        <v>0.99898730000000002</v>
      </c>
      <c r="AB630">
        <v>21</v>
      </c>
      <c r="AC630">
        <v>31.1798999999999</v>
      </c>
      <c r="AD630">
        <v>-1.0602238740409999</v>
      </c>
      <c r="AE630">
        <v>-1.27029999999996</v>
      </c>
      <c r="AF630">
        <v>1.4122335359379199</v>
      </c>
      <c r="AG630">
        <v>-1.0602238740409999</v>
      </c>
      <c r="AH630">
        <v>31.137777053768101</v>
      </c>
      <c r="AI630">
        <v>91.948134706924805</v>
      </c>
      <c r="AJ630">
        <v>87.403166952273494</v>
      </c>
      <c r="AK630">
        <v>31.187812332276302</v>
      </c>
      <c r="AL630">
        <v>85.785209949189294</v>
      </c>
      <c r="AM630">
        <v>85.963496769102093</v>
      </c>
      <c r="AN630">
        <v>1.00000004707429</v>
      </c>
    </row>
    <row r="631" spans="1:40" x14ac:dyDescent="0.25">
      <c r="A631" t="str">
        <f>"20190312154516413"</f>
        <v>20190312154516413</v>
      </c>
      <c r="B631" t="str">
        <f>"1552376716406578"</f>
        <v>1552376716406578</v>
      </c>
      <c r="C631" t="s">
        <v>40</v>
      </c>
      <c r="D631">
        <v>4.6928359999999998</v>
      </c>
      <c r="E631">
        <v>0.47641480000000003</v>
      </c>
      <c r="F631" t="s">
        <v>42</v>
      </c>
      <c r="G631">
        <v>-258.86739999999998</v>
      </c>
      <c r="H631" s="1">
        <v>-7.2935009999999904E-7</v>
      </c>
      <c r="I631">
        <v>368.27140000000003</v>
      </c>
      <c r="J631">
        <v>-287.46190000000001</v>
      </c>
      <c r="K631">
        <v>1.060219</v>
      </c>
      <c r="L631">
        <v>368.67140000000001</v>
      </c>
      <c r="M631">
        <v>0.99989720000000004</v>
      </c>
      <c r="N631">
        <v>0</v>
      </c>
      <c r="O631">
        <v>4.5902620000000003E-3</v>
      </c>
      <c r="P631">
        <v>0.99606039999999996</v>
      </c>
      <c r="Q631">
        <v>6.0399179999999997E-2</v>
      </c>
      <c r="R631">
        <v>-6.4931139999999998E-2</v>
      </c>
      <c r="S631">
        <v>3.0158390000000002</v>
      </c>
      <c r="T631">
        <v>-0.1109484</v>
      </c>
      <c r="U631">
        <v>-4.1748050000000002E-2</v>
      </c>
      <c r="V631">
        <v>6.9507379999999994E-2</v>
      </c>
      <c r="W631">
        <v>7.3924119999999996E-2</v>
      </c>
      <c r="X631">
        <v>0.99483869999999996</v>
      </c>
      <c r="Y631">
        <v>1.8416140000000001E-2</v>
      </c>
      <c r="Z631">
        <v>-5.0744180000000002E-4</v>
      </c>
      <c r="AA631">
        <v>0.99983029999999995</v>
      </c>
      <c r="AB631">
        <v>21</v>
      </c>
      <c r="AC631">
        <v>28.5945</v>
      </c>
      <c r="AD631">
        <v>-1.0602197293500999</v>
      </c>
      <c r="AE631">
        <v>-0.39999999999997699</v>
      </c>
      <c r="AF631">
        <v>0.53053492789493895</v>
      </c>
      <c r="AG631">
        <v>-1.0602197293500999</v>
      </c>
      <c r="AH631">
        <v>28.553116428252199</v>
      </c>
      <c r="AI631">
        <v>92.126134020337204</v>
      </c>
      <c r="AJ631">
        <v>88.935530735473193</v>
      </c>
      <c r="AK631">
        <v>28.577718434989599</v>
      </c>
      <c r="AL631">
        <v>85.760592881487597</v>
      </c>
      <c r="AM631">
        <v>86.003353882984499</v>
      </c>
      <c r="AN631">
        <v>1.00000004520496</v>
      </c>
    </row>
    <row r="632" spans="1:40" x14ac:dyDescent="0.25">
      <c r="A632" t="str">
        <f>"20190312154516435"</f>
        <v>20190312154516435</v>
      </c>
      <c r="B632" t="str">
        <f>"1552376716427070"</f>
        <v>1552376716427070</v>
      </c>
      <c r="C632" t="s">
        <v>40</v>
      </c>
      <c r="D632">
        <v>4.6411150000000001</v>
      </c>
      <c r="E632">
        <v>0.47533019999999998</v>
      </c>
      <c r="F632" t="s">
        <v>42</v>
      </c>
      <c r="G632">
        <v>-259.72250000000003</v>
      </c>
      <c r="H632" s="1">
        <v>-3.2857290000000002E-7</v>
      </c>
      <c r="I632">
        <v>368.68400000000003</v>
      </c>
      <c r="J632">
        <v>-287.25189999999998</v>
      </c>
      <c r="K632">
        <v>1.0602180000000001</v>
      </c>
      <c r="L632">
        <v>368.67230000000001</v>
      </c>
      <c r="M632">
        <v>0.99989729999999999</v>
      </c>
      <c r="N632">
        <v>0</v>
      </c>
      <c r="O632">
        <v>4.5772809999999999E-3</v>
      </c>
      <c r="P632">
        <v>0.99607319999999999</v>
      </c>
      <c r="Q632">
        <v>6.049624E-2</v>
      </c>
      <c r="R632">
        <v>-6.4640980000000001E-2</v>
      </c>
      <c r="S632">
        <v>3.0189509999999999</v>
      </c>
      <c r="T632">
        <v>-0.1153864</v>
      </c>
      <c r="U632">
        <v>1.373291E-3</v>
      </c>
      <c r="V632">
        <v>6.9204470000000004E-2</v>
      </c>
      <c r="W632">
        <v>7.4019219999999997E-2</v>
      </c>
      <c r="X632">
        <v>0.99485270000000003</v>
      </c>
      <c r="Y632">
        <v>4.1164699999999997E-3</v>
      </c>
      <c r="Z632">
        <v>-2.5353689999999999E-4</v>
      </c>
      <c r="AA632">
        <v>0.99999150000000003</v>
      </c>
      <c r="AB632">
        <v>21</v>
      </c>
      <c r="AC632">
        <v>27.5293999999999</v>
      </c>
      <c r="AD632">
        <v>-1.0602183285729001</v>
      </c>
      <c r="AE632">
        <v>1.17000000000189E-2</v>
      </c>
      <c r="AF632">
        <v>0.11415223470032999</v>
      </c>
      <c r="AG632">
        <v>-1.0602183285729001</v>
      </c>
      <c r="AH632">
        <v>27.488394577267599</v>
      </c>
      <c r="AI632">
        <v>92.208765482520306</v>
      </c>
      <c r="AJ632">
        <v>89.762066727647905</v>
      </c>
      <c r="AK632">
        <v>27.509069960151098</v>
      </c>
      <c r="AL632">
        <v>85.755128888304597</v>
      </c>
      <c r="AM632">
        <v>86.020770827218996</v>
      </c>
      <c r="AN632">
        <v>0.99999999914733895</v>
      </c>
    </row>
    <row r="633" spans="1:40" x14ac:dyDescent="0.25">
      <c r="A633" t="str">
        <f>"20190312154516458"</f>
        <v>20190312154516458</v>
      </c>
      <c r="B633" t="str">
        <f>"1552376716446592"</f>
        <v>1552376716446592</v>
      </c>
      <c r="C633" t="s">
        <v>40</v>
      </c>
      <c r="D633">
        <v>4.6325969999999996</v>
      </c>
      <c r="E633">
        <v>0.47458909999999999</v>
      </c>
      <c r="F633" t="s">
        <v>42</v>
      </c>
      <c r="G633">
        <v>-259.10039999999998</v>
      </c>
      <c r="H633" s="1">
        <v>-5.1750269999999997E-7</v>
      </c>
      <c r="I633">
        <v>368.77499999999998</v>
      </c>
      <c r="J633">
        <v>-287.03840000000002</v>
      </c>
      <c r="K633">
        <v>1.0602210000000001</v>
      </c>
      <c r="L633">
        <v>368.67329999999998</v>
      </c>
      <c r="M633">
        <v>0.99989729999999999</v>
      </c>
      <c r="N633">
        <v>0</v>
      </c>
      <c r="O633">
        <v>4.5643619999999998E-3</v>
      </c>
      <c r="P633">
        <v>0.99607730000000005</v>
      </c>
      <c r="Q633">
        <v>6.0339160000000003E-2</v>
      </c>
      <c r="R633">
        <v>-6.4725560000000001E-2</v>
      </c>
      <c r="S633">
        <v>3.0194399999999999</v>
      </c>
      <c r="T633">
        <v>-0.1137152</v>
      </c>
      <c r="U633">
        <v>1.101685E-2</v>
      </c>
      <c r="V633">
        <v>6.9276050000000006E-2</v>
      </c>
      <c r="W633">
        <v>7.3859910000000001E-2</v>
      </c>
      <c r="X633">
        <v>0.99485959999999996</v>
      </c>
      <c r="Y633">
        <v>9.1229340000000003E-4</v>
      </c>
      <c r="Z633">
        <v>-1.8902489999999999E-4</v>
      </c>
      <c r="AA633">
        <v>0.99999959999999999</v>
      </c>
      <c r="AB633">
        <v>21</v>
      </c>
      <c r="AC633">
        <v>27.937999999999999</v>
      </c>
      <c r="AD633">
        <v>-1.0602215175027001</v>
      </c>
      <c r="AE633">
        <v>0.101699999999993</v>
      </c>
      <c r="AF633">
        <v>2.5794826490951502E-2</v>
      </c>
      <c r="AG633">
        <v>-1.0602215175027001</v>
      </c>
      <c r="AH633">
        <v>27.897996867902201</v>
      </c>
      <c r="AI633">
        <v>92.176391853897798</v>
      </c>
      <c r="AJ633">
        <v>89.947023641982696</v>
      </c>
      <c r="AK633">
        <v>27.918147579678902</v>
      </c>
      <c r="AL633">
        <v>85.764281908552604</v>
      </c>
      <c r="AM633">
        <v>86.016695786591995</v>
      </c>
      <c r="AN633">
        <v>1.0000000405604801</v>
      </c>
    </row>
    <row r="634" spans="1:40" x14ac:dyDescent="0.25">
      <c r="A634" t="str">
        <f>"20190312154516480"</f>
        <v>20190312154516480</v>
      </c>
      <c r="B634" t="str">
        <f>"1552376716476846"</f>
        <v>1552376716476846</v>
      </c>
      <c r="C634" t="s">
        <v>40</v>
      </c>
      <c r="D634">
        <v>4.5319880000000001</v>
      </c>
      <c r="E634">
        <v>0.4742596</v>
      </c>
      <c r="F634" t="s">
        <v>42</v>
      </c>
      <c r="G634">
        <v>-258.94819999999999</v>
      </c>
      <c r="H634" s="1">
        <v>-5.7335900000000002E-7</v>
      </c>
      <c r="I634">
        <v>368.82799999999997</v>
      </c>
      <c r="J634">
        <v>-286.82600000000002</v>
      </c>
      <c r="K634">
        <v>1.0602240000000001</v>
      </c>
      <c r="L634">
        <v>368.67430000000002</v>
      </c>
      <c r="M634">
        <v>0.99989749999999999</v>
      </c>
      <c r="N634">
        <v>0</v>
      </c>
      <c r="O634">
        <v>4.5514400000000003E-3</v>
      </c>
      <c r="P634">
        <v>0.99607869999999998</v>
      </c>
      <c r="Q634">
        <v>6.0136820000000001E-2</v>
      </c>
      <c r="R634">
        <v>-6.4892259999999993E-2</v>
      </c>
      <c r="S634">
        <v>3.019806</v>
      </c>
      <c r="T634">
        <v>-0.1139777</v>
      </c>
      <c r="U634">
        <v>1.663208E-2</v>
      </c>
      <c r="V634">
        <v>6.9429959999999999E-2</v>
      </c>
      <c r="W634">
        <v>7.3655419999999999E-2</v>
      </c>
      <c r="X634">
        <v>0.99486399999999997</v>
      </c>
      <c r="Y634">
        <v>-9.5829260000000001E-4</v>
      </c>
      <c r="Z634">
        <v>-1.5366110000000001E-4</v>
      </c>
      <c r="AA634">
        <v>0.99999950000000004</v>
      </c>
      <c r="AB634">
        <v>21</v>
      </c>
      <c r="AC634">
        <v>27.877799999999901</v>
      </c>
      <c r="AD634">
        <v>-1.0602245733589899</v>
      </c>
      <c r="AE634">
        <v>0.15370000000001399</v>
      </c>
      <c r="AF634">
        <v>-2.6763872114347401E-2</v>
      </c>
      <c r="AG634">
        <v>-1.0602245733589899</v>
      </c>
      <c r="AH634">
        <v>27.837948126233599</v>
      </c>
      <c r="AI634">
        <v>92.181088185594703</v>
      </c>
      <c r="AJ634">
        <v>90.055085110301803</v>
      </c>
      <c r="AK634">
        <v>27.8581433037035</v>
      </c>
      <c r="AL634">
        <v>85.776030190456794</v>
      </c>
      <c r="AM634">
        <v>86.007892295447803</v>
      </c>
      <c r="AN634">
        <v>1.00000000936848</v>
      </c>
    </row>
    <row r="635" spans="1:40" x14ac:dyDescent="0.25">
      <c r="A635" t="str">
        <f>"20190312154516502"</f>
        <v>20190312154516502</v>
      </c>
      <c r="B635" t="str">
        <f>"1552376716496368"</f>
        <v>1552376716496368</v>
      </c>
      <c r="C635" t="s">
        <v>40</v>
      </c>
      <c r="D635">
        <v>4.553579</v>
      </c>
      <c r="E635">
        <v>0.47399950000000002</v>
      </c>
      <c r="F635" t="s">
        <v>42</v>
      </c>
      <c r="G635">
        <v>-257.06549999999999</v>
      </c>
      <c r="H635" s="1">
        <v>-1.3757739999999999E-6</v>
      </c>
      <c r="I635">
        <v>368.85770000000002</v>
      </c>
      <c r="J635">
        <v>-286.61829999999998</v>
      </c>
      <c r="K635">
        <v>1.060227</v>
      </c>
      <c r="L635">
        <v>368.67520000000002</v>
      </c>
      <c r="M635">
        <v>0.99989740000000005</v>
      </c>
      <c r="N635">
        <v>0</v>
      </c>
      <c r="O635">
        <v>4.5386410000000004E-3</v>
      </c>
      <c r="P635">
        <v>0.99608079999999999</v>
      </c>
      <c r="Q635">
        <v>5.9813659999999998E-2</v>
      </c>
      <c r="R635">
        <v>-6.5159659999999994E-2</v>
      </c>
      <c r="S635">
        <v>3.0195620000000001</v>
      </c>
      <c r="T635">
        <v>-0.1075724</v>
      </c>
      <c r="U635">
        <v>1.8615719999999999E-2</v>
      </c>
      <c r="V635">
        <v>6.9684540000000003E-2</v>
      </c>
      <c r="W635">
        <v>7.333017E-2</v>
      </c>
      <c r="X635">
        <v>0.99487020000000004</v>
      </c>
      <c r="Y635">
        <v>-1.6277349999999999E-3</v>
      </c>
      <c r="Z635">
        <v>-1.326663E-4</v>
      </c>
      <c r="AA635">
        <v>0.99999870000000002</v>
      </c>
      <c r="AB635">
        <v>21</v>
      </c>
      <c r="AC635">
        <v>29.552799999999898</v>
      </c>
      <c r="AD635">
        <v>-1.0602283757740001</v>
      </c>
      <c r="AE635">
        <v>0.18250000000000399</v>
      </c>
      <c r="AF635">
        <v>-4.8294033653630102E-2</v>
      </c>
      <c r="AG635">
        <v>-1.0602283757740001</v>
      </c>
      <c r="AH635">
        <v>29.5153371330338</v>
      </c>
      <c r="AI635">
        <v>92.057249832405603</v>
      </c>
      <c r="AJ635">
        <v>90.0937492877746</v>
      </c>
      <c r="AK635">
        <v>29.534412853468499</v>
      </c>
      <c r="AL635">
        <v>85.794716058529303</v>
      </c>
      <c r="AM635">
        <v>85.993326843855399</v>
      </c>
      <c r="AN635">
        <v>0.99999998189763994</v>
      </c>
    </row>
    <row r="636" spans="1:40" x14ac:dyDescent="0.25">
      <c r="A636" t="str">
        <f>"20190312154516525"</f>
        <v>20190312154516525</v>
      </c>
      <c r="B636" t="str">
        <f>"1552376716516862"</f>
        <v>1552376716516862</v>
      </c>
      <c r="C636" t="s">
        <v>40</v>
      </c>
      <c r="D636">
        <v>4.4535879999999999</v>
      </c>
      <c r="E636">
        <v>0.47387810000000002</v>
      </c>
      <c r="F636" t="s">
        <v>42</v>
      </c>
      <c r="G636">
        <v>-256.6977</v>
      </c>
      <c r="H636" s="1">
        <v>-1.5310940000000001E-6</v>
      </c>
      <c r="I636">
        <v>368.87180000000001</v>
      </c>
      <c r="J636">
        <v>-286.40539999999999</v>
      </c>
      <c r="K636">
        <v>1.0602240000000001</v>
      </c>
      <c r="L636">
        <v>368.67610000000002</v>
      </c>
      <c r="M636">
        <v>0.99989749999999999</v>
      </c>
      <c r="N636">
        <v>0</v>
      </c>
      <c r="O636">
        <v>4.5253659999999899E-3</v>
      </c>
      <c r="P636">
        <v>0.99607029999999996</v>
      </c>
      <c r="Q636">
        <v>5.9665410000000002E-2</v>
      </c>
      <c r="R636">
        <v>-6.5455029999999997E-2</v>
      </c>
      <c r="S636">
        <v>3.0195310000000002</v>
      </c>
      <c r="T636">
        <v>-0.1069958</v>
      </c>
      <c r="U636">
        <v>1.9836429999999999E-2</v>
      </c>
      <c r="V636">
        <v>6.9966689999999998E-2</v>
      </c>
      <c r="W636">
        <v>7.3179399999999895E-2</v>
      </c>
      <c r="X636">
        <v>0.99486149999999995</v>
      </c>
      <c r="Y636">
        <v>-2.0450339999999998E-3</v>
      </c>
      <c r="Z636">
        <v>-1.2409549999999999E-4</v>
      </c>
      <c r="AA636">
        <v>0.9999979</v>
      </c>
      <c r="AB636">
        <v>21</v>
      </c>
      <c r="AC636">
        <v>29.7076999999999</v>
      </c>
      <c r="AD636">
        <v>-1.0602255310940001</v>
      </c>
      <c r="AE636">
        <v>0.19569999999998799</v>
      </c>
      <c r="AF636">
        <v>-6.1169469273169602E-2</v>
      </c>
      <c r="AG636">
        <v>-1.0602255310940001</v>
      </c>
      <c r="AH636">
        <v>29.670492536918498</v>
      </c>
      <c r="AI636">
        <v>92.046493967802604</v>
      </c>
      <c r="AJ636">
        <v>90.118122321516495</v>
      </c>
      <c r="AK636">
        <v>29.689492202866798</v>
      </c>
      <c r="AL636">
        <v>85.803377820904899</v>
      </c>
      <c r="AM636">
        <v>85.977122072204693</v>
      </c>
      <c r="AN636">
        <v>0.99999998323808204</v>
      </c>
    </row>
    <row r="637" spans="1:40" x14ac:dyDescent="0.25">
      <c r="A637" t="str">
        <f>"20190312154516546"</f>
        <v>20190312154516546</v>
      </c>
      <c r="B637" t="str">
        <f>"1552376716536383"</f>
        <v>1552376716536383</v>
      </c>
      <c r="C637" t="s">
        <v>40</v>
      </c>
      <c r="D637">
        <v>4.4624519999999999</v>
      </c>
      <c r="E637">
        <v>0.47380499999999998</v>
      </c>
      <c r="F637" t="s">
        <v>42</v>
      </c>
      <c r="G637">
        <v>-258.05380000000002</v>
      </c>
      <c r="H637" s="1">
        <v>-9.5114350000000002E-7</v>
      </c>
      <c r="I637">
        <v>368.86149999999998</v>
      </c>
      <c r="J637">
        <v>-286.20139999999998</v>
      </c>
      <c r="K637">
        <v>1.060217</v>
      </c>
      <c r="L637">
        <v>368.6771</v>
      </c>
      <c r="M637">
        <v>0.9998977</v>
      </c>
      <c r="N637">
        <v>0</v>
      </c>
      <c r="O637">
        <v>4.511976E-3</v>
      </c>
      <c r="P637">
        <v>0.99608339999999995</v>
      </c>
      <c r="Q637">
        <v>5.9479659999999997E-2</v>
      </c>
      <c r="R637">
        <v>-6.5424220000000005E-2</v>
      </c>
      <c r="S637">
        <v>3.0198670000000001</v>
      </c>
      <c r="T637">
        <v>-0.1129293</v>
      </c>
      <c r="U637">
        <v>1.9744870000000001E-2</v>
      </c>
      <c r="V637">
        <v>6.9922419999999999E-2</v>
      </c>
      <c r="W637">
        <v>7.2992029999999999E-2</v>
      </c>
      <c r="X637">
        <v>0.99487840000000005</v>
      </c>
      <c r="Y637">
        <v>-2.0275610000000002E-3</v>
      </c>
      <c r="Z637">
        <v>-1.3078410000000001E-4</v>
      </c>
      <c r="AA637">
        <v>0.9999979</v>
      </c>
      <c r="AB637">
        <v>21</v>
      </c>
      <c r="AC637">
        <v>28.147599999999901</v>
      </c>
      <c r="AD637">
        <v>-1.0602179511434999</v>
      </c>
      <c r="AE637">
        <v>0.18439999999998199</v>
      </c>
      <c r="AF637">
        <v>-5.7303829906866402E-2</v>
      </c>
      <c r="AG637">
        <v>-1.0602179511434999</v>
      </c>
      <c r="AH637">
        <v>28.108268467699901</v>
      </c>
      <c r="AI637">
        <v>92.160115418571706</v>
      </c>
      <c r="AJ637">
        <v>90.116807730747098</v>
      </c>
      <c r="AK637">
        <v>28.128314952821899</v>
      </c>
      <c r="AL637">
        <v>85.814142214218293</v>
      </c>
      <c r="AM637">
        <v>85.979727186620295</v>
      </c>
      <c r="AN637">
        <v>1.0000000060243599</v>
      </c>
    </row>
    <row r="638" spans="1:40" x14ac:dyDescent="0.25">
      <c r="A638" t="str">
        <f>"20190312154516568"</f>
        <v>20190312154516568</v>
      </c>
      <c r="B638" t="str">
        <f>"1552376716556878"</f>
        <v>1552376716556878</v>
      </c>
      <c r="C638" t="s">
        <v>40</v>
      </c>
      <c r="D638">
        <v>4.4554869999999998</v>
      </c>
      <c r="E638">
        <v>0.4737999</v>
      </c>
      <c r="F638" t="s">
        <v>42</v>
      </c>
      <c r="G638">
        <v>-257.76569999999998</v>
      </c>
      <c r="H638" s="1">
        <v>-1.072687E-6</v>
      </c>
      <c r="I638">
        <v>368.87299999999999</v>
      </c>
      <c r="J638">
        <v>-285.99220000000003</v>
      </c>
      <c r="K638">
        <v>1.060214</v>
      </c>
      <c r="L638">
        <v>368.678</v>
      </c>
      <c r="M638">
        <v>0.99989779999999995</v>
      </c>
      <c r="N638">
        <v>0</v>
      </c>
      <c r="O638">
        <v>4.4983459999999899E-3</v>
      </c>
      <c r="P638">
        <v>0.99610259999999995</v>
      </c>
      <c r="Q638">
        <v>5.9467760000000001E-2</v>
      </c>
      <c r="R638">
        <v>-6.5140760000000006E-2</v>
      </c>
      <c r="S638">
        <v>3.0198670000000001</v>
      </c>
      <c r="T638">
        <v>-0.11259470000000001</v>
      </c>
      <c r="U638">
        <v>2.081299E-2</v>
      </c>
      <c r="V638">
        <v>6.962554E-2</v>
      </c>
      <c r="W638">
        <v>7.2978719999999997E-2</v>
      </c>
      <c r="X638">
        <v>0.99490020000000001</v>
      </c>
      <c r="Y638">
        <v>-2.394597E-3</v>
      </c>
      <c r="Z638">
        <v>-1.2304859999999999E-4</v>
      </c>
      <c r="AA638">
        <v>0.99999709999999997</v>
      </c>
      <c r="AB638">
        <v>21</v>
      </c>
      <c r="AC638">
        <v>28.226500000000001</v>
      </c>
      <c r="AD638">
        <v>-1.0602150726870001</v>
      </c>
      <c r="AE638">
        <v>0.19499999999999301</v>
      </c>
      <c r="AF638">
        <v>-6.7917954499480696E-2</v>
      </c>
      <c r="AG638">
        <v>-1.0602150726870001</v>
      </c>
      <c r="AH638">
        <v>28.187326066654698</v>
      </c>
      <c r="AI638">
        <v>92.154054994033501</v>
      </c>
      <c r="AJ638">
        <v>90.138055117604793</v>
      </c>
      <c r="AK638">
        <v>28.207339818508299</v>
      </c>
      <c r="AL638">
        <v>85.814906871461204</v>
      </c>
      <c r="AM638">
        <v>85.996828472073204</v>
      </c>
      <c r="AN638">
        <v>1.0000000086765799</v>
      </c>
    </row>
    <row r="639" spans="1:40" x14ac:dyDescent="0.25">
      <c r="A639" t="str">
        <f>"20190312154516591"</f>
        <v>20190312154516591</v>
      </c>
      <c r="B639" t="str">
        <f>"1552376716587134"</f>
        <v>1552376716587134</v>
      </c>
      <c r="C639" t="s">
        <v>40</v>
      </c>
      <c r="D639">
        <v>4.4182829999999997</v>
      </c>
      <c r="E639">
        <v>0.47367009999999998</v>
      </c>
      <c r="F639" t="s">
        <v>42</v>
      </c>
      <c r="G639">
        <v>-257.26560000000001</v>
      </c>
      <c r="H639" s="1">
        <v>-1.2849040000000001E-6</v>
      </c>
      <c r="I639">
        <v>368.8861</v>
      </c>
      <c r="J639">
        <v>-285.78559999999999</v>
      </c>
      <c r="K639">
        <v>1.060216</v>
      </c>
      <c r="L639">
        <v>368.6789</v>
      </c>
      <c r="M639">
        <v>0.99989779999999995</v>
      </c>
      <c r="N639">
        <v>0</v>
      </c>
      <c r="O639">
        <v>4.4854250000000003E-3</v>
      </c>
      <c r="P639">
        <v>0.99611709999999998</v>
      </c>
      <c r="Q639">
        <v>5.9491620000000002E-2</v>
      </c>
      <c r="R639">
        <v>-6.4896540000000003E-2</v>
      </c>
      <c r="S639">
        <v>3.0198670000000001</v>
      </c>
      <c r="T639">
        <v>-0.1114541</v>
      </c>
      <c r="U639">
        <v>2.1881100000000001E-2</v>
      </c>
      <c r="V639">
        <v>6.9368360000000004E-2</v>
      </c>
      <c r="W639">
        <v>7.3000590000000004E-2</v>
      </c>
      <c r="X639">
        <v>0.99491660000000004</v>
      </c>
      <c r="Y639">
        <v>-2.7609079999999999E-3</v>
      </c>
      <c r="Z639">
        <v>-1.145687E-4</v>
      </c>
      <c r="AA639">
        <v>0.9999962</v>
      </c>
      <c r="AB639">
        <v>21</v>
      </c>
      <c r="AC639">
        <v>28.5199999999999</v>
      </c>
      <c r="AD639">
        <v>-1.0602172849039999</v>
      </c>
      <c r="AE639">
        <v>0.2072</v>
      </c>
      <c r="AF639">
        <v>-7.9152427785055393E-2</v>
      </c>
      <c r="AG639">
        <v>-1.0602172849039999</v>
      </c>
      <c r="AH639">
        <v>28.481285025494099</v>
      </c>
      <c r="AI639">
        <v>92.131845741166401</v>
      </c>
      <c r="AJ639">
        <v>90.159230469088996</v>
      </c>
      <c r="AK639">
        <v>28.5011214253311</v>
      </c>
      <c r="AL639">
        <v>85.8136506274395</v>
      </c>
      <c r="AM639">
        <v>86.011632947124994</v>
      </c>
      <c r="AN639">
        <v>1.00000004823249</v>
      </c>
    </row>
    <row r="640" spans="1:40" x14ac:dyDescent="0.25">
      <c r="A640" t="str">
        <f>"20190312154516614"</f>
        <v>20190312154516614</v>
      </c>
      <c r="B640" t="str">
        <f>"1552376716606657"</f>
        <v>1552376716606657</v>
      </c>
      <c r="C640" t="s">
        <v>40</v>
      </c>
      <c r="D640">
        <v>4.4322720000000002</v>
      </c>
      <c r="E640">
        <v>0.47352729999999998</v>
      </c>
      <c r="F640" t="s">
        <v>42</v>
      </c>
      <c r="G640">
        <v>-256.834</v>
      </c>
      <c r="H640" s="1">
        <v>-1.4671830000000001E-6</v>
      </c>
      <c r="I640">
        <v>368.9024</v>
      </c>
      <c r="J640">
        <v>-285.56729999999999</v>
      </c>
      <c r="K640">
        <v>1.0602119999999999</v>
      </c>
      <c r="L640">
        <v>368.6798</v>
      </c>
      <c r="M640">
        <v>0.99989790000000001</v>
      </c>
      <c r="N640">
        <v>0</v>
      </c>
      <c r="O640">
        <v>4.47161E-3</v>
      </c>
      <c r="P640">
        <v>0.99611159999999999</v>
      </c>
      <c r="Q640">
        <v>5.9493799999999999E-2</v>
      </c>
      <c r="R640">
        <v>-6.4978729999999998E-2</v>
      </c>
      <c r="S640">
        <v>3.019806</v>
      </c>
      <c r="T640">
        <v>-0.1105858</v>
      </c>
      <c r="U640">
        <v>2.3315430000000002E-2</v>
      </c>
      <c r="V640">
        <v>6.9436899999999996E-2</v>
      </c>
      <c r="W640">
        <v>7.3000590000000004E-2</v>
      </c>
      <c r="X640">
        <v>0.99491180000000001</v>
      </c>
      <c r="Y640">
        <v>-3.2494609999999999E-3</v>
      </c>
      <c r="Z640">
        <v>-1.042307E-4</v>
      </c>
      <c r="AA640">
        <v>0.99999470000000001</v>
      </c>
      <c r="AB640">
        <v>21</v>
      </c>
      <c r="AC640">
        <v>28.7332999999999</v>
      </c>
      <c r="AD640">
        <v>-1.0602134671829999</v>
      </c>
      <c r="AE640">
        <v>0.22259999999999899</v>
      </c>
      <c r="AF640">
        <v>-9.3973890658920395E-2</v>
      </c>
      <c r="AG640">
        <v>-1.0602134671829999</v>
      </c>
      <c r="AH640">
        <v>28.6949425150571</v>
      </c>
      <c r="AI640">
        <v>92.115976090892602</v>
      </c>
      <c r="AJ640">
        <v>90.187638921642503</v>
      </c>
      <c r="AK640">
        <v>28.7146758580095</v>
      </c>
      <c r="AL640">
        <v>85.813650548881398</v>
      </c>
      <c r="AM640">
        <v>86.007685744831207</v>
      </c>
      <c r="AN640">
        <v>1.00000002950059</v>
      </c>
    </row>
    <row r="641" spans="1:40" x14ac:dyDescent="0.25">
      <c r="A641" t="str">
        <f>"20190312154516635"</f>
        <v>20190312154516635</v>
      </c>
      <c r="B641" t="str">
        <f>"1552376716627157"</f>
        <v>1552376716627157</v>
      </c>
      <c r="C641" t="s">
        <v>40</v>
      </c>
      <c r="D641">
        <v>4.4341309999999998</v>
      </c>
      <c r="E641">
        <v>0.4733734</v>
      </c>
      <c r="F641" t="s">
        <v>42</v>
      </c>
      <c r="G641">
        <v>-255.85679999999999</v>
      </c>
      <c r="H641" s="1">
        <v>-1.8834339999999999E-6</v>
      </c>
      <c r="I641">
        <v>368.91910000000001</v>
      </c>
      <c r="J641">
        <v>-285.36279999999999</v>
      </c>
      <c r="K641">
        <v>1.0602129999999901</v>
      </c>
      <c r="L641">
        <v>368.6807</v>
      </c>
      <c r="M641">
        <v>0.99989810000000001</v>
      </c>
      <c r="N641">
        <v>0</v>
      </c>
      <c r="O641">
        <v>4.4590460000000004E-3</v>
      </c>
      <c r="P641">
        <v>0.99610529999999997</v>
      </c>
      <c r="Q641">
        <v>5.9796849999999999E-2</v>
      </c>
      <c r="R641">
        <v>-6.4797110000000005E-2</v>
      </c>
      <c r="S641">
        <v>3.019714</v>
      </c>
      <c r="T641">
        <v>-0.1077574</v>
      </c>
      <c r="U641">
        <v>2.4322509999999999E-2</v>
      </c>
      <c r="V641">
        <v>6.9242860000000003E-2</v>
      </c>
      <c r="W641">
        <v>7.3301619999999998E-2</v>
      </c>
      <c r="X641">
        <v>0.99490310000000004</v>
      </c>
      <c r="Y641">
        <v>-3.5954699999999999E-3</v>
      </c>
      <c r="Z641" s="1">
        <v>-9.4949729999999999E-5</v>
      </c>
      <c r="AA641">
        <v>0.99999349999999998</v>
      </c>
      <c r="AB641">
        <v>21</v>
      </c>
      <c r="AC641">
        <v>29.506</v>
      </c>
      <c r="AD641">
        <v>-1.0602148834339999</v>
      </c>
      <c r="AE641">
        <v>0.23840000000001199</v>
      </c>
      <c r="AF641">
        <v>-0.106679191571746</v>
      </c>
      <c r="AG641">
        <v>-1.0602148834339999</v>
      </c>
      <c r="AH641">
        <v>29.468724523174199</v>
      </c>
      <c r="AI641">
        <v>92.060464183586703</v>
      </c>
      <c r="AJ641">
        <v>90.207414499189696</v>
      </c>
      <c r="AK641">
        <v>29.487983333414</v>
      </c>
      <c r="AL641">
        <v>85.7963560898487</v>
      </c>
      <c r="AM641">
        <v>86.018771558288606</v>
      </c>
      <c r="AN641">
        <v>0.99999993977260504</v>
      </c>
    </row>
    <row r="642" spans="1:40" x14ac:dyDescent="0.25">
      <c r="A642" t="str">
        <f>"20190312154516658"</f>
        <v>20190312154516658</v>
      </c>
      <c r="B642" t="str">
        <f>"1552376716646673"</f>
        <v>1552376716646673</v>
      </c>
      <c r="C642" t="s">
        <v>40</v>
      </c>
      <c r="D642">
        <v>4.4048790000000002</v>
      </c>
      <c r="E642">
        <v>0.47306110000000001</v>
      </c>
      <c r="F642" t="s">
        <v>42</v>
      </c>
      <c r="G642">
        <v>-254.80770000000001</v>
      </c>
      <c r="H642" s="1">
        <v>-2.3294859999999999E-6</v>
      </c>
      <c r="I642">
        <v>368.94170000000003</v>
      </c>
      <c r="J642">
        <v>-285.15170000000001</v>
      </c>
      <c r="K642">
        <v>1.0602210000000001</v>
      </c>
      <c r="L642">
        <v>368.68169999999998</v>
      </c>
      <c r="M642">
        <v>0.99989830000000002</v>
      </c>
      <c r="N642">
        <v>0</v>
      </c>
      <c r="O642">
        <v>4.4459479999999999E-3</v>
      </c>
      <c r="P642">
        <v>0.99607190000000001</v>
      </c>
      <c r="Q642">
        <v>5.9927569999999999E-2</v>
      </c>
      <c r="R642">
        <v>-6.5191849999999996E-2</v>
      </c>
      <c r="S642">
        <v>3.0196839999999998</v>
      </c>
      <c r="T642">
        <v>-0.1047781</v>
      </c>
      <c r="U642">
        <v>2.5787350000000001E-2</v>
      </c>
      <c r="V642">
        <v>6.9624249999999999E-2</v>
      </c>
      <c r="W642">
        <v>7.3429540000000001E-2</v>
      </c>
      <c r="X642">
        <v>0.9948671</v>
      </c>
      <c r="Y642">
        <v>-4.0933760000000001E-3</v>
      </c>
      <c r="Z642" s="1">
        <v>-8.3236869999999994E-5</v>
      </c>
      <c r="AA642">
        <v>0.99999159999999998</v>
      </c>
      <c r="AB642">
        <v>21</v>
      </c>
      <c r="AC642">
        <v>30.343999999999902</v>
      </c>
      <c r="AD642">
        <v>-1.060223329486</v>
      </c>
      <c r="AE642">
        <v>0.26000000000004703</v>
      </c>
      <c r="AF642">
        <v>-0.12492469748663899</v>
      </c>
      <c r="AG642">
        <v>-1.060223329486</v>
      </c>
      <c r="AH642">
        <v>30.307858595762401</v>
      </c>
      <c r="AI642">
        <v>92.003475295364893</v>
      </c>
      <c r="AJ642">
        <v>90.236163744964202</v>
      </c>
      <c r="AK642">
        <v>30.3266544865924</v>
      </c>
      <c r="AL642">
        <v>85.789007220652607</v>
      </c>
      <c r="AM642">
        <v>85.996769647297299</v>
      </c>
      <c r="AN642">
        <v>0.99999999009754204</v>
      </c>
    </row>
    <row r="643" spans="1:40" x14ac:dyDescent="0.25">
      <c r="A643" t="str">
        <f>"20190312154516693"</f>
        <v>20190312154516693</v>
      </c>
      <c r="B643" t="str">
        <f>"1552376716686690"</f>
        <v>1552376716686690</v>
      </c>
      <c r="C643" t="s">
        <v>40</v>
      </c>
      <c r="D643">
        <v>4.3904399999999999</v>
      </c>
      <c r="E643">
        <v>0.4596269</v>
      </c>
      <c r="F643" t="s">
        <v>42</v>
      </c>
      <c r="G643">
        <v>-254.87110000000001</v>
      </c>
      <c r="H643" s="1">
        <v>-2.299977E-6</v>
      </c>
      <c r="I643">
        <v>368.95460000000003</v>
      </c>
      <c r="J643">
        <v>-284.83499999999998</v>
      </c>
      <c r="K643">
        <v>1.060227</v>
      </c>
      <c r="L643">
        <v>368.68299999999999</v>
      </c>
      <c r="M643">
        <v>0.99989830000000002</v>
      </c>
      <c r="N643">
        <v>0</v>
      </c>
      <c r="O643">
        <v>4.4267730000000002E-3</v>
      </c>
      <c r="P643">
        <v>0.99603960000000002</v>
      </c>
      <c r="Q643">
        <v>6.0268349999999998E-2</v>
      </c>
      <c r="R643">
        <v>-6.5369200000000002E-2</v>
      </c>
      <c r="S643">
        <v>3.0199579999999999</v>
      </c>
      <c r="T643">
        <v>-0.1057384</v>
      </c>
      <c r="U643">
        <v>2.7221680000000002E-2</v>
      </c>
      <c r="V643">
        <v>6.9782540000000004E-2</v>
      </c>
      <c r="W643">
        <v>7.3767180000000002E-2</v>
      </c>
      <c r="X643">
        <v>0.99483100000000002</v>
      </c>
      <c r="Y643">
        <v>-4.5863739999999998E-3</v>
      </c>
      <c r="Z643" s="1">
        <v>-7.4692379999999995E-5</v>
      </c>
      <c r="AA643">
        <v>0.99998940000000003</v>
      </c>
      <c r="AB643">
        <v>21</v>
      </c>
      <c r="AC643">
        <v>29.963899999999899</v>
      </c>
      <c r="AD643">
        <v>-1.060229299977</v>
      </c>
      <c r="AE643">
        <v>0.27159999999997803</v>
      </c>
      <c r="AF643">
        <v>-0.13876804090441699</v>
      </c>
      <c r="AG643">
        <v>-1.060229299977</v>
      </c>
      <c r="AH643">
        <v>29.927342941448899</v>
      </c>
      <c r="AI643">
        <v>92.028934467752293</v>
      </c>
      <c r="AJ643">
        <v>90.265668960654807</v>
      </c>
      <c r="AK643">
        <v>29.946438824554701</v>
      </c>
      <c r="AL643">
        <v>85.769609134232297</v>
      </c>
      <c r="AM643">
        <v>85.9875529159645</v>
      </c>
      <c r="AN643">
        <v>0.99999995914750095</v>
      </c>
    </row>
    <row r="644" spans="1:40" x14ac:dyDescent="0.25">
      <c r="A644" t="str">
        <f>"20190312154516713"</f>
        <v>20190312154516713</v>
      </c>
      <c r="B644" t="str">
        <f>"1552376716706718"</f>
        <v>1552376716706718</v>
      </c>
      <c r="C644" t="s">
        <v>40</v>
      </c>
      <c r="D644">
        <v>4.4010300000000004</v>
      </c>
      <c r="E644">
        <v>0.46017649999999999</v>
      </c>
      <c r="F644" t="s">
        <v>42</v>
      </c>
      <c r="G644">
        <v>-265.8338</v>
      </c>
      <c r="H644" s="1">
        <v>-1.7842199999999999E-6</v>
      </c>
      <c r="I644">
        <v>369.53390000000002</v>
      </c>
      <c r="J644">
        <v>-284.63350000000003</v>
      </c>
      <c r="K644">
        <v>1.0602309999999999</v>
      </c>
      <c r="L644">
        <v>368.68389999999999</v>
      </c>
      <c r="M644">
        <v>0.99989819999999996</v>
      </c>
      <c r="N644">
        <v>0</v>
      </c>
      <c r="O644">
        <v>4.4141529999999997E-3</v>
      </c>
      <c r="P644">
        <v>0.9960118</v>
      </c>
      <c r="Q644">
        <v>6.0753540000000002E-2</v>
      </c>
      <c r="R644">
        <v>-6.5341769999999993E-2</v>
      </c>
      <c r="S644">
        <v>3.0310670000000002</v>
      </c>
      <c r="T644">
        <v>-0.16912720000000001</v>
      </c>
      <c r="U644">
        <v>0.13574220000000001</v>
      </c>
      <c r="V644">
        <v>6.9742310000000002E-2</v>
      </c>
      <c r="W644">
        <v>7.4249850000000006E-2</v>
      </c>
      <c r="X644">
        <v>0.99479790000000001</v>
      </c>
      <c r="Y644">
        <v>-4.0272559999999999E-2</v>
      </c>
      <c r="Z644">
        <v>8.761261E-4</v>
      </c>
      <c r="AA644">
        <v>0.99918839999999998</v>
      </c>
      <c r="AB644">
        <v>21</v>
      </c>
      <c r="AC644">
        <v>18.799700000000001</v>
      </c>
      <c r="AD644">
        <v>-1.0602327842199999</v>
      </c>
      <c r="AE644">
        <v>0.85000000000002196</v>
      </c>
      <c r="AF644">
        <v>-0.76457253407369996</v>
      </c>
      <c r="AG644">
        <v>-1.0602327842199999</v>
      </c>
      <c r="AH644">
        <v>18.743775513030201</v>
      </c>
      <c r="AI644">
        <v>93.234774465241202</v>
      </c>
      <c r="AJ644">
        <v>92.335842480274394</v>
      </c>
      <c r="AK644">
        <v>18.789299752770599</v>
      </c>
      <c r="AL644">
        <v>85.741878073324301</v>
      </c>
      <c r="AM644">
        <v>85.989725569193297</v>
      </c>
      <c r="AN644">
        <v>0.99999994593678199</v>
      </c>
    </row>
    <row r="645" spans="1:40" x14ac:dyDescent="0.25">
      <c r="A645" t="str">
        <f>"20190312154516735"</f>
        <v>20190312154516735</v>
      </c>
      <c r="B645" t="str">
        <f>"1552376716727215"</f>
        <v>1552376716727215</v>
      </c>
      <c r="C645" t="s">
        <v>40</v>
      </c>
      <c r="D645">
        <v>4.3961959999999998</v>
      </c>
      <c r="E645">
        <v>0.46057409999999999</v>
      </c>
      <c r="F645" t="s">
        <v>42</v>
      </c>
      <c r="G645">
        <v>-266.62169999999998</v>
      </c>
      <c r="H645" s="1">
        <v>-1.458166E-6</v>
      </c>
      <c r="I645">
        <v>369.46660000000003</v>
      </c>
      <c r="J645">
        <v>-284.42590000000001</v>
      </c>
      <c r="K645">
        <v>1.0602320000000001</v>
      </c>
      <c r="L645">
        <v>368.6848</v>
      </c>
      <c r="M645">
        <v>0.99989839999999997</v>
      </c>
      <c r="N645">
        <v>0</v>
      </c>
      <c r="O645">
        <v>4.4005829999999996E-3</v>
      </c>
      <c r="P645">
        <v>0.9959964</v>
      </c>
      <c r="Q645">
        <v>6.1180869999999998E-2</v>
      </c>
      <c r="R645">
        <v>-6.5178130000000001E-2</v>
      </c>
      <c r="S645">
        <v>3.0315249999999998</v>
      </c>
      <c r="T645">
        <v>-0.17844460000000001</v>
      </c>
      <c r="U645">
        <v>0.13174439999999901</v>
      </c>
      <c r="V645">
        <v>6.9565039999999995E-2</v>
      </c>
      <c r="W645">
        <v>7.4675430000000001E-2</v>
      </c>
      <c r="X645">
        <v>0.99477850000000001</v>
      </c>
      <c r="Y645">
        <v>-3.8960189999999999E-2</v>
      </c>
      <c r="Z645">
        <v>8.8642349999999996E-4</v>
      </c>
      <c r="AA645">
        <v>0.99924040000000003</v>
      </c>
      <c r="AB645">
        <v>21</v>
      </c>
      <c r="AC645">
        <v>17.804200000000002</v>
      </c>
      <c r="AD645">
        <v>-1.060233458166</v>
      </c>
      <c r="AE645">
        <v>0.78180000000003202</v>
      </c>
      <c r="AF645">
        <v>-0.70095545153237204</v>
      </c>
      <c r="AG645">
        <v>-1.060233458166</v>
      </c>
      <c r="AH645">
        <v>17.7446639846221</v>
      </c>
      <c r="AI645">
        <v>93.416666338857794</v>
      </c>
      <c r="AJ645">
        <v>92.262140248852504</v>
      </c>
      <c r="AK645">
        <v>17.7901246049035</v>
      </c>
      <c r="AL645">
        <v>85.717426437176798</v>
      </c>
      <c r="AM645">
        <v>85.999807938709594</v>
      </c>
      <c r="AN645">
        <v>0.99999998934906797</v>
      </c>
    </row>
    <row r="646" spans="1:40" x14ac:dyDescent="0.25">
      <c r="A646" t="str">
        <f>"20190312154516758"</f>
        <v>20190312154516758</v>
      </c>
      <c r="B646" t="str">
        <f>"1552376716746734"</f>
        <v>1552376716746734</v>
      </c>
      <c r="C646" t="s">
        <v>40</v>
      </c>
      <c r="D646">
        <v>4.3853809999999998</v>
      </c>
      <c r="E646">
        <v>0.46071400000000001</v>
      </c>
      <c r="F646" t="s">
        <v>42</v>
      </c>
      <c r="G646">
        <v>-266.90359999999998</v>
      </c>
      <c r="H646" s="1">
        <v>-1.34339499999999E-6</v>
      </c>
      <c r="I646">
        <v>369.43189999999998</v>
      </c>
      <c r="J646">
        <v>-284.2165</v>
      </c>
      <c r="K646">
        <v>1.0602309999999999</v>
      </c>
      <c r="L646">
        <v>368.6857</v>
      </c>
      <c r="M646">
        <v>0.99989839999999997</v>
      </c>
      <c r="N646">
        <v>0</v>
      </c>
      <c r="O646">
        <v>4.3867759999999898E-3</v>
      </c>
      <c r="P646">
        <v>0.99601550000000005</v>
      </c>
      <c r="Q646">
        <v>6.108661E-2</v>
      </c>
      <c r="R646">
        <v>-6.497414E-2</v>
      </c>
      <c r="S646">
        <v>3.0317989999999999</v>
      </c>
      <c r="T646">
        <v>-0.1834459</v>
      </c>
      <c r="U646">
        <v>0.12927249999999901</v>
      </c>
      <c r="V646">
        <v>6.9347450000000005E-2</v>
      </c>
      <c r="W646">
        <v>7.4579380000000001E-2</v>
      </c>
      <c r="X646">
        <v>0.99480089999999999</v>
      </c>
      <c r="Y646">
        <v>-3.8154899999999999E-2</v>
      </c>
      <c r="Z646">
        <v>8.8766110000000002E-4</v>
      </c>
      <c r="AA646">
        <v>0.99927149999999998</v>
      </c>
      <c r="AB646">
        <v>21</v>
      </c>
      <c r="AC646">
        <v>17.312899999999999</v>
      </c>
      <c r="AD646">
        <v>-1.0602323433949901</v>
      </c>
      <c r="AE646">
        <v>0.74619999999998698</v>
      </c>
      <c r="AF646">
        <v>-0.66773846277154802</v>
      </c>
      <c r="AG646">
        <v>-1.0602323433949901</v>
      </c>
      <c r="AH646">
        <v>17.2514295564063</v>
      </c>
      <c r="AI646">
        <v>93.514215872362996</v>
      </c>
      <c r="AJ646">
        <v>92.216599310791295</v>
      </c>
      <c r="AK646">
        <v>17.296872232178199</v>
      </c>
      <c r="AL646">
        <v>85.722945095719993</v>
      </c>
      <c r="AM646">
        <v>86.012369068973001</v>
      </c>
      <c r="AN646">
        <v>0.99999999169174802</v>
      </c>
    </row>
    <row r="647" spans="1:40" x14ac:dyDescent="0.25">
      <c r="A647" t="str">
        <f>"20190312154516779"</f>
        <v>20190312154516779</v>
      </c>
      <c r="B647" t="str">
        <f>"1552376716766254"</f>
        <v>1552376716766254</v>
      </c>
      <c r="C647" t="s">
        <v>40</v>
      </c>
      <c r="D647">
        <v>4.4805120000000001</v>
      </c>
      <c r="E647">
        <v>0.47669909999999999</v>
      </c>
      <c r="F647" t="s">
        <v>42</v>
      </c>
      <c r="G647">
        <v>-266.90039999999999</v>
      </c>
      <c r="H647" s="1">
        <v>-1.3468E-6</v>
      </c>
      <c r="I647">
        <v>369.4203</v>
      </c>
      <c r="J647">
        <v>-284.02</v>
      </c>
      <c r="K647">
        <v>1.0602240000000001</v>
      </c>
      <c r="L647">
        <v>368.68650000000002</v>
      </c>
      <c r="M647">
        <v>0.99989859999999997</v>
      </c>
      <c r="N647">
        <v>0</v>
      </c>
      <c r="O647">
        <v>4.374724E-3</v>
      </c>
      <c r="P647">
        <v>0.99600929999999999</v>
      </c>
      <c r="Q647">
        <v>6.0532420000000003E-2</v>
      </c>
      <c r="R647">
        <v>-6.5586290000000005E-2</v>
      </c>
      <c r="S647">
        <v>3.0317989999999999</v>
      </c>
      <c r="T647">
        <v>-0.1856313</v>
      </c>
      <c r="U647">
        <v>0.12863160000000001</v>
      </c>
      <c r="V647">
        <v>6.9947419999999996E-2</v>
      </c>
      <c r="W647">
        <v>7.401779E-2</v>
      </c>
      <c r="X647">
        <v>0.99480089999999999</v>
      </c>
      <c r="Y647">
        <v>-3.7954979999999999E-2</v>
      </c>
      <c r="Z647">
        <v>8.9284490000000004E-4</v>
      </c>
      <c r="AA647">
        <v>0.99927900000000003</v>
      </c>
      <c r="AB647">
        <v>21</v>
      </c>
      <c r="AC647">
        <v>17.119599999999899</v>
      </c>
      <c r="AD647">
        <v>-1.0602253468</v>
      </c>
      <c r="AE647">
        <v>0.73379999999997303</v>
      </c>
      <c r="AF647">
        <v>-0.656379720572696</v>
      </c>
      <c r="AG647">
        <v>-1.0602253468</v>
      </c>
      <c r="AH647">
        <v>17.057345080769501</v>
      </c>
      <c r="AI647">
        <v>93.554107350014505</v>
      </c>
      <c r="AJ647">
        <v>92.2036982439529</v>
      </c>
      <c r="AK647">
        <v>17.10286330788</v>
      </c>
      <c r="AL647">
        <v>85.755211274466205</v>
      </c>
      <c r="AM647">
        <v>85.977982214772794</v>
      </c>
      <c r="AN647">
        <v>1.00000005272097</v>
      </c>
    </row>
    <row r="648" spans="1:40" x14ac:dyDescent="0.25">
      <c r="A648" t="str">
        <f>"20190312154516802"</f>
        <v>20190312154516802</v>
      </c>
      <c r="B648" t="str">
        <f>"1552376716797016"</f>
        <v>1552376716797016</v>
      </c>
      <c r="C648" t="s">
        <v>40</v>
      </c>
      <c r="D648">
        <v>4.4256710000000004</v>
      </c>
      <c r="E648">
        <v>0.5271266</v>
      </c>
      <c r="F648" t="s">
        <v>41</v>
      </c>
      <c r="G648">
        <v>-283.25470000000001</v>
      </c>
      <c r="H648">
        <v>0.9900447</v>
      </c>
      <c r="I648">
        <v>368.68700000000001</v>
      </c>
      <c r="J648">
        <v>-283.80560000000003</v>
      </c>
      <c r="K648">
        <v>1.0602069999999999</v>
      </c>
      <c r="L648">
        <v>368.68740000000003</v>
      </c>
      <c r="M648">
        <v>0.99989950000000005</v>
      </c>
      <c r="N648">
        <v>0</v>
      </c>
      <c r="O648">
        <v>4.361317E-3</v>
      </c>
      <c r="P648">
        <v>0.99600390000000005</v>
      </c>
      <c r="Q648">
        <v>5.9946369999999999E-2</v>
      </c>
      <c r="R648">
        <v>-6.6204789999999999E-2</v>
      </c>
      <c r="S648">
        <v>3.029083</v>
      </c>
      <c r="T648">
        <v>-0.27782820000000003</v>
      </c>
      <c r="U648">
        <v>2.532959E-3</v>
      </c>
      <c r="V648">
        <v>7.0552599999999993E-2</v>
      </c>
      <c r="W648">
        <v>7.3378199999999894E-2</v>
      </c>
      <c r="X648">
        <v>0.99480550000000001</v>
      </c>
      <c r="Y648">
        <v>3.4925400000000001E-3</v>
      </c>
      <c r="Z648">
        <v>-5.5905120000000004E-4</v>
      </c>
      <c r="AA648">
        <v>0.99999369999999999</v>
      </c>
      <c r="AB648">
        <v>21</v>
      </c>
      <c r="AC648">
        <v>0.55090000000001205</v>
      </c>
      <c r="AD648">
        <v>-7.01622999999999E-2</v>
      </c>
      <c r="AE648">
        <v>-4.0000000007012199E-4</v>
      </c>
      <c r="AF648">
        <v>2.7581264191513101E-3</v>
      </c>
      <c r="AG648">
        <v>-7.01622999999999E-2</v>
      </c>
      <c r="AH648">
        <v>0.54209993116076305</v>
      </c>
      <c r="AI648">
        <v>97.374523454346701</v>
      </c>
      <c r="AJ648">
        <v>89.708489836422899</v>
      </c>
      <c r="AK648">
        <v>0.54662847617658705</v>
      </c>
      <c r="AL648">
        <v>85.7919568108871</v>
      </c>
      <c r="AM648">
        <v>85.943318388697406</v>
      </c>
      <c r="AN648">
        <v>1.0000000062161201</v>
      </c>
    </row>
    <row r="649" spans="1:40" x14ac:dyDescent="0.25">
      <c r="A649" t="str">
        <f>"20190312154516826"</f>
        <v>20190312154516826</v>
      </c>
      <c r="B649" t="str">
        <f>"1552376716816536"</f>
        <v>1552376716816536</v>
      </c>
      <c r="C649" t="s">
        <v>40</v>
      </c>
      <c r="D649">
        <v>4.3916829999999996</v>
      </c>
      <c r="E649">
        <v>0.52934899999999996</v>
      </c>
      <c r="F649" t="s">
        <v>41</v>
      </c>
      <c r="G649">
        <v>-283.1103</v>
      </c>
      <c r="H649">
        <v>0.91321169999999996</v>
      </c>
      <c r="I649">
        <v>368.59739999999999</v>
      </c>
      <c r="J649">
        <v>-283.5958</v>
      </c>
      <c r="K649">
        <v>1.0601670000000001</v>
      </c>
      <c r="L649">
        <v>368.6884</v>
      </c>
      <c r="M649">
        <v>0.99990159999999995</v>
      </c>
      <c r="N649">
        <v>0</v>
      </c>
      <c r="O649">
        <v>4.3490409999999997E-3</v>
      </c>
      <c r="P649">
        <v>0.99599139999999997</v>
      </c>
      <c r="Q649">
        <v>5.9778560000000001E-2</v>
      </c>
      <c r="R649">
        <v>-6.6541779999999995E-2</v>
      </c>
      <c r="S649">
        <v>3.024597</v>
      </c>
      <c r="T649">
        <v>-0.63968059999999904</v>
      </c>
      <c r="U649">
        <v>-0.39007570000000003</v>
      </c>
      <c r="V649">
        <v>7.0877430000000005E-2</v>
      </c>
      <c r="W649">
        <v>7.3060040000000007E-2</v>
      </c>
      <c r="X649">
        <v>0.99480579999999996</v>
      </c>
      <c r="Y649">
        <v>0.1293118</v>
      </c>
      <c r="Z649">
        <v>-1.437693E-2</v>
      </c>
      <c r="AA649">
        <v>0.99149969999999998</v>
      </c>
      <c r="AB649">
        <v>21</v>
      </c>
      <c r="AC649">
        <v>0.48550000000000099</v>
      </c>
      <c r="AD649">
        <v>-0.14695529999999901</v>
      </c>
      <c r="AE649">
        <v>-9.1000000000008199E-2</v>
      </c>
      <c r="AF649">
        <v>8.5539607558340794E-2</v>
      </c>
      <c r="AG649">
        <v>-0.14695529999999901</v>
      </c>
      <c r="AH649">
        <v>0.44565438467680402</v>
      </c>
      <c r="AI649">
        <v>107.944042150488</v>
      </c>
      <c r="AJ649">
        <v>79.134702806427399</v>
      </c>
      <c r="AK649">
        <v>0.47699131568717801</v>
      </c>
      <c r="AL649">
        <v>85.810234985585794</v>
      </c>
      <c r="AM649">
        <v>85.924705102575203</v>
      </c>
      <c r="AN649">
        <v>0.99999997962092302</v>
      </c>
    </row>
    <row r="650" spans="1:40" x14ac:dyDescent="0.25">
      <c r="A650" t="str">
        <f>"20190312154516847"</f>
        <v>20190312154516847</v>
      </c>
      <c r="B650" t="str">
        <f>"1552376716837032"</f>
        <v>1552376716837032</v>
      </c>
      <c r="C650" t="s">
        <v>40</v>
      </c>
      <c r="D650">
        <v>4.4086410000000003</v>
      </c>
      <c r="E650">
        <v>0.53048319999999904</v>
      </c>
      <c r="F650" t="s">
        <v>41</v>
      </c>
      <c r="G650">
        <v>-282.75700000000001</v>
      </c>
      <c r="H650">
        <v>0.87453950000000003</v>
      </c>
      <c r="I650">
        <v>368.57490000000001</v>
      </c>
      <c r="J650">
        <v>-283.38929999999999</v>
      </c>
      <c r="K650">
        <v>1.0601130000000001</v>
      </c>
      <c r="L650">
        <v>368.68920000000003</v>
      </c>
      <c r="M650">
        <v>0.99990449999999997</v>
      </c>
      <c r="N650">
        <v>0</v>
      </c>
      <c r="O650">
        <v>4.3364739999999999E-3</v>
      </c>
      <c r="P650">
        <v>0.99597999999999998</v>
      </c>
      <c r="Q650">
        <v>6.014502E-2</v>
      </c>
      <c r="R650">
        <v>-6.6381990000000002E-2</v>
      </c>
      <c r="S650">
        <v>3.024994</v>
      </c>
      <c r="T650">
        <v>-0.66962469999999996</v>
      </c>
      <c r="U650">
        <v>-0.40792850000000003</v>
      </c>
      <c r="V650">
        <v>7.0705119999999996E-2</v>
      </c>
      <c r="W650">
        <v>7.3211739999999997E-2</v>
      </c>
      <c r="X650">
        <v>0.99480690000000005</v>
      </c>
      <c r="Y650">
        <v>0.13463439999999999</v>
      </c>
      <c r="Z650">
        <v>-1.5603860000000001E-2</v>
      </c>
      <c r="AA650">
        <v>0.99077249999999994</v>
      </c>
      <c r="AB650">
        <v>21</v>
      </c>
      <c r="AC650">
        <v>0.63229999999998598</v>
      </c>
      <c r="AD650">
        <v>-0.185573499999999</v>
      </c>
      <c r="AE650">
        <v>-0.114300000000014</v>
      </c>
      <c r="AF650">
        <v>0.108030252186701</v>
      </c>
      <c r="AG650">
        <v>-0.185573499999999</v>
      </c>
      <c r="AH650">
        <v>0.58315691935452496</v>
      </c>
      <c r="AI650">
        <v>107.374824698705</v>
      </c>
      <c r="AJ650">
        <v>79.504891425058204</v>
      </c>
      <c r="AK650">
        <v>0.62143386766480002</v>
      </c>
      <c r="AL650">
        <v>85.801519838417903</v>
      </c>
      <c r="AM650">
        <v>85.934583765139195</v>
      </c>
      <c r="AN650">
        <v>0.99999997057782497</v>
      </c>
    </row>
    <row r="651" spans="1:40" x14ac:dyDescent="0.25">
      <c r="A651" t="str">
        <f>"20190312154516870"</f>
        <v>20190312154516870</v>
      </c>
      <c r="B651" t="str">
        <f>"1552376716866313"</f>
        <v>1552376716866313</v>
      </c>
      <c r="C651" t="s">
        <v>40</v>
      </c>
      <c r="D651">
        <v>4.3732839999999999</v>
      </c>
      <c r="E651">
        <v>0.53142040000000001</v>
      </c>
      <c r="F651" t="s">
        <v>41</v>
      </c>
      <c r="G651">
        <v>-282.57029999999997</v>
      </c>
      <c r="H651">
        <v>0.87656590000000001</v>
      </c>
      <c r="I651">
        <v>368.5761</v>
      </c>
      <c r="J651">
        <v>-283.18549999999999</v>
      </c>
      <c r="K651">
        <v>1.060073</v>
      </c>
      <c r="L651">
        <v>368.69009999999997</v>
      </c>
      <c r="M651">
        <v>0.9999074</v>
      </c>
      <c r="N651">
        <v>0</v>
      </c>
      <c r="O651">
        <v>4.3239910000000001E-3</v>
      </c>
      <c r="P651">
        <v>0.9960116</v>
      </c>
      <c r="Q651">
        <v>5.9893910000000002E-2</v>
      </c>
      <c r="R651">
        <v>-6.6134659999999998E-2</v>
      </c>
      <c r="S651">
        <v>3.025299</v>
      </c>
      <c r="T651">
        <v>-0.67805740000000003</v>
      </c>
      <c r="U651">
        <v>-0.41656490000000002</v>
      </c>
      <c r="V651">
        <v>7.0445380000000002E-2</v>
      </c>
      <c r="W651">
        <v>7.2739979999999996E-2</v>
      </c>
      <c r="X651">
        <v>0.99485990000000002</v>
      </c>
      <c r="Y651">
        <v>0.13724129999999901</v>
      </c>
      <c r="Z651">
        <v>-1.6075740000000002E-2</v>
      </c>
      <c r="AA651">
        <v>0.99040720000000004</v>
      </c>
      <c r="AB651">
        <v>21</v>
      </c>
      <c r="AC651">
        <v>0.61520000000001496</v>
      </c>
      <c r="AD651">
        <v>-0.18350710000000001</v>
      </c>
      <c r="AE651">
        <v>-0.113999999999975</v>
      </c>
      <c r="AF651">
        <v>0.107418867591839</v>
      </c>
      <c r="AG651">
        <v>-0.18350710000000001</v>
      </c>
      <c r="AH651">
        <v>0.566011700504647</v>
      </c>
      <c r="AI651">
        <v>107.66799480724301</v>
      </c>
      <c r="AJ651">
        <v>79.254085253217895</v>
      </c>
      <c r="AK651">
        <v>0.60463452925985495</v>
      </c>
      <c r="AL651">
        <v>85.828621824307206</v>
      </c>
      <c r="AM651">
        <v>85.949683612000001</v>
      </c>
      <c r="AN651">
        <v>0.99999993844087498</v>
      </c>
    </row>
    <row r="652" spans="1:40" x14ac:dyDescent="0.25">
      <c r="A652" t="str">
        <f>"20190312154516893"</f>
        <v>20190312154516893</v>
      </c>
      <c r="B652" t="str">
        <f>"1552376716886808"</f>
        <v>1552376716886808</v>
      </c>
      <c r="C652" t="s">
        <v>40</v>
      </c>
      <c r="D652">
        <v>4.3810339999999997</v>
      </c>
      <c r="E652">
        <v>0.53183800000000003</v>
      </c>
      <c r="F652" t="s">
        <v>41</v>
      </c>
      <c r="G652">
        <v>-282.38350000000003</v>
      </c>
      <c r="H652">
        <v>0.87842199999999904</v>
      </c>
      <c r="I652">
        <v>368.57749999999999</v>
      </c>
      <c r="J652">
        <v>-282.96570000000003</v>
      </c>
      <c r="K652">
        <v>1.0600270000000001</v>
      </c>
      <c r="L652">
        <v>368.69110000000001</v>
      </c>
      <c r="M652">
        <v>0.99991070000000004</v>
      </c>
      <c r="N652">
        <v>0</v>
      </c>
      <c r="O652">
        <v>4.309991E-3</v>
      </c>
      <c r="P652">
        <v>0.9960099</v>
      </c>
      <c r="Q652">
        <v>6.0266960000000001E-2</v>
      </c>
      <c r="R652">
        <v>-6.5822179999999994E-2</v>
      </c>
      <c r="S652">
        <v>3.0251160000000001</v>
      </c>
      <c r="T652">
        <v>-0.68522380000000005</v>
      </c>
      <c r="U652">
        <v>-0.42318729999999899</v>
      </c>
      <c r="V652">
        <v>7.0118780000000006E-2</v>
      </c>
      <c r="W652">
        <v>7.2864109999999996E-2</v>
      </c>
      <c r="X652">
        <v>0.99487389999999998</v>
      </c>
      <c r="Y652">
        <v>0.13924149999999999</v>
      </c>
      <c r="Z652">
        <v>-1.6459660000000001E-2</v>
      </c>
      <c r="AA652">
        <v>0.99012169999999999</v>
      </c>
      <c r="AB652">
        <v>21</v>
      </c>
      <c r="AC652">
        <v>0.58220000000000005</v>
      </c>
      <c r="AD652">
        <v>-0.18160499999999999</v>
      </c>
      <c r="AE652">
        <v>-0.11360000000001901</v>
      </c>
      <c r="AF652">
        <v>0.106158111025346</v>
      </c>
      <c r="AG652">
        <v>-0.18160499999999999</v>
      </c>
      <c r="AH652">
        <v>0.53185372893006999</v>
      </c>
      <c r="AI652">
        <v>108.51320058442499</v>
      </c>
      <c r="AJ652">
        <v>78.712095001013694</v>
      </c>
      <c r="AK652">
        <v>0.57194257538523097</v>
      </c>
      <c r="AL652">
        <v>85.821490821615299</v>
      </c>
      <c r="AM652">
        <v>85.968456235040406</v>
      </c>
      <c r="AN652">
        <v>0.99999994936799397</v>
      </c>
    </row>
    <row r="653" spans="1:40" x14ac:dyDescent="0.25">
      <c r="A653" t="str">
        <f>"20190312154516916"</f>
        <v>20190312154516916</v>
      </c>
      <c r="B653" t="str">
        <f>"1552376716906328"</f>
        <v>1552376716906328</v>
      </c>
      <c r="C653" t="s">
        <v>40</v>
      </c>
      <c r="D653">
        <v>4.399413</v>
      </c>
      <c r="E653">
        <v>0.53241989999999995</v>
      </c>
      <c r="F653" t="s">
        <v>41</v>
      </c>
      <c r="G653">
        <v>-282.19450000000001</v>
      </c>
      <c r="H653">
        <v>0.88469730000000002</v>
      </c>
      <c r="I653">
        <v>368.58260000000001</v>
      </c>
      <c r="J653">
        <v>-282.76299999999998</v>
      </c>
      <c r="K653">
        <v>1.059979</v>
      </c>
      <c r="L653">
        <v>368.69189999999998</v>
      </c>
      <c r="M653">
        <v>0.99991399999999997</v>
      </c>
      <c r="N653">
        <v>0</v>
      </c>
      <c r="O653">
        <v>4.2971820000000001E-3</v>
      </c>
      <c r="P653">
        <v>0.99603299999999995</v>
      </c>
      <c r="Q653">
        <v>6.009109E-2</v>
      </c>
      <c r="R653">
        <v>-6.5632750000000004E-2</v>
      </c>
      <c r="S653">
        <v>3.0255740000000002</v>
      </c>
      <c r="T653">
        <v>-0.6879478</v>
      </c>
      <c r="U653">
        <v>-0.42492679999999999</v>
      </c>
      <c r="V653">
        <v>6.9916679999999995E-2</v>
      </c>
      <c r="W653">
        <v>7.2425149999999994E-2</v>
      </c>
      <c r="X653">
        <v>0.99492029999999998</v>
      </c>
      <c r="Y653">
        <v>0.13972799999999999</v>
      </c>
      <c r="Z653">
        <v>-1.6571929999999999E-2</v>
      </c>
      <c r="AA653">
        <v>0.99005120000000002</v>
      </c>
      <c r="AB653">
        <v>21</v>
      </c>
      <c r="AC653">
        <v>0.56849999999997103</v>
      </c>
      <c r="AD653">
        <v>-0.17528169999999901</v>
      </c>
      <c r="AE653">
        <v>-0.109299999999961</v>
      </c>
      <c r="AF653">
        <v>0.10235846567290501</v>
      </c>
      <c r="AG653">
        <v>-0.17528169999999901</v>
      </c>
      <c r="AH653">
        <v>0.52032454310237497</v>
      </c>
      <c r="AI653">
        <v>108.29052731130599</v>
      </c>
      <c r="AJ653">
        <v>78.870859565254804</v>
      </c>
      <c r="AK653">
        <v>0.55851460142461495</v>
      </c>
      <c r="AL653">
        <v>85.846708523310497</v>
      </c>
      <c r="AM653">
        <v>85.980224873330698</v>
      </c>
      <c r="AN653">
        <v>1.0000000739234101</v>
      </c>
    </row>
    <row r="654" spans="1:40" x14ac:dyDescent="0.25">
      <c r="A654" t="str">
        <f>"20190312154516937"</f>
        <v>20190312154516937</v>
      </c>
      <c r="B654" t="str">
        <f>"1552376716926824"</f>
        <v>1552376716926824</v>
      </c>
      <c r="C654" t="s">
        <v>40</v>
      </c>
      <c r="D654">
        <v>4.4166499999999997</v>
      </c>
      <c r="E654">
        <v>0.53281369999999995</v>
      </c>
      <c r="F654" t="s">
        <v>41</v>
      </c>
      <c r="G654">
        <v>-282.00689999999997</v>
      </c>
      <c r="H654">
        <v>0.88708189999999998</v>
      </c>
      <c r="I654">
        <v>368.58440000000002</v>
      </c>
      <c r="J654">
        <v>-282.55829999999997</v>
      </c>
      <c r="K654">
        <v>1.0599339999999999</v>
      </c>
      <c r="L654">
        <v>368.69279999999998</v>
      </c>
      <c r="M654">
        <v>0.99991770000000002</v>
      </c>
      <c r="N654">
        <v>0</v>
      </c>
      <c r="O654">
        <v>4.2842169999999999E-3</v>
      </c>
      <c r="P654">
        <v>0.99601220000000001</v>
      </c>
      <c r="Q654">
        <v>6.0403079999999998E-2</v>
      </c>
      <c r="R654">
        <v>-6.5663369999999999E-2</v>
      </c>
      <c r="S654">
        <v>3.0254210000000001</v>
      </c>
      <c r="T654">
        <v>-0.69194440000000002</v>
      </c>
      <c r="U654">
        <v>-0.42895509999999898</v>
      </c>
      <c r="V654">
        <v>6.9934289999999996E-2</v>
      </c>
      <c r="W654">
        <v>7.2444190000000006E-2</v>
      </c>
      <c r="X654">
        <v>0.99491759999999996</v>
      </c>
      <c r="Y654">
        <v>0.14094300000000001</v>
      </c>
      <c r="Z654">
        <v>-1.6798730000000001E-2</v>
      </c>
      <c r="AA654">
        <v>0.98987519999999996</v>
      </c>
      <c r="AB654">
        <v>21</v>
      </c>
      <c r="AC654">
        <v>0.551400000000001</v>
      </c>
      <c r="AD654">
        <v>-0.17285209999999901</v>
      </c>
      <c r="AE654">
        <v>-0.10839999999996</v>
      </c>
      <c r="AF654">
        <v>0.101187879631432</v>
      </c>
      <c r="AG654">
        <v>-0.17285209999999901</v>
      </c>
      <c r="AH654">
        <v>0.50331108907445399</v>
      </c>
      <c r="AI654">
        <v>108.60801779549</v>
      </c>
      <c r="AJ654">
        <v>78.632540508088596</v>
      </c>
      <c r="AK654">
        <v>0.54169999800999502</v>
      </c>
      <c r="AL654">
        <v>85.845614423356807</v>
      </c>
      <c r="AM654">
        <v>85.979204852195096</v>
      </c>
      <c r="AN654">
        <v>0.99999999818616003</v>
      </c>
    </row>
    <row r="655" spans="1:40" x14ac:dyDescent="0.25">
      <c r="A655" t="str">
        <f>"20190312154516959"</f>
        <v>20190312154516959</v>
      </c>
      <c r="B655" t="str">
        <f>"1552376716946344"</f>
        <v>1552376716946344</v>
      </c>
      <c r="C655" t="s">
        <v>40</v>
      </c>
      <c r="D655">
        <v>4.4462489999999999</v>
      </c>
      <c r="E655">
        <v>0.536991</v>
      </c>
      <c r="F655" t="s">
        <v>41</v>
      </c>
      <c r="G655">
        <v>-281.8184</v>
      </c>
      <c r="H655">
        <v>0.89048329999999998</v>
      </c>
      <c r="I655">
        <v>368.58679999999998</v>
      </c>
      <c r="J655">
        <v>-282.35910000000001</v>
      </c>
      <c r="K655">
        <v>1.059895</v>
      </c>
      <c r="L655">
        <v>368.6936</v>
      </c>
      <c r="M655">
        <v>0.99992110000000001</v>
      </c>
      <c r="N655">
        <v>0</v>
      </c>
      <c r="O655">
        <v>4.2719380000000003E-3</v>
      </c>
      <c r="P655">
        <v>0.99598089999999995</v>
      </c>
      <c r="Q655">
        <v>6.0501539999999999E-2</v>
      </c>
      <c r="R655">
        <v>-6.6041230000000006E-2</v>
      </c>
      <c r="S655">
        <v>3.0255429999999999</v>
      </c>
      <c r="T655">
        <v>-0.69293209999999905</v>
      </c>
      <c r="U655">
        <v>-0.43246459999999998</v>
      </c>
      <c r="V655">
        <v>7.0300000000000001E-2</v>
      </c>
      <c r="W655">
        <v>7.2257249999999995E-2</v>
      </c>
      <c r="X655">
        <v>0.99490540000000005</v>
      </c>
      <c r="Y655">
        <v>0.14201429999999901</v>
      </c>
      <c r="Z655">
        <v>-1.693791E-2</v>
      </c>
      <c r="AA655">
        <v>0.98971969999999998</v>
      </c>
      <c r="AB655">
        <v>21</v>
      </c>
      <c r="AC655">
        <v>0.54070000000001495</v>
      </c>
      <c r="AD655">
        <v>-0.169411699999999</v>
      </c>
      <c r="AE655">
        <v>-0.106800000000021</v>
      </c>
      <c r="AF655">
        <v>9.9690038954776405E-2</v>
      </c>
      <c r="AG655">
        <v>-0.169411699999999</v>
      </c>
      <c r="AH655">
        <v>0.49360194434563298</v>
      </c>
      <c r="AI655">
        <v>108.59409854622</v>
      </c>
      <c r="AJ655">
        <v>78.581883554590902</v>
      </c>
      <c r="AK655">
        <v>0.53130152213736803</v>
      </c>
      <c r="AL655">
        <v>85.8563533550643</v>
      </c>
      <c r="AM655">
        <v>85.958198863109004</v>
      </c>
      <c r="AN655">
        <v>0.99999997756336101</v>
      </c>
    </row>
    <row r="656" spans="1:40" x14ac:dyDescent="0.25">
      <c r="A656" t="str">
        <f>"20190312154516982"</f>
        <v>20190312154516982</v>
      </c>
      <c r="B656" t="str">
        <f>"1552376716976600"</f>
        <v>1552376716976600</v>
      </c>
      <c r="C656" t="s">
        <v>40</v>
      </c>
      <c r="D656">
        <v>4.4241999999999999</v>
      </c>
      <c r="E656">
        <v>0.53759279999999998</v>
      </c>
      <c r="F656" t="s">
        <v>41</v>
      </c>
      <c r="G656">
        <v>-281.64139999999998</v>
      </c>
      <c r="H656">
        <v>0.86813689999999999</v>
      </c>
      <c r="I656">
        <v>368.58350000000002</v>
      </c>
      <c r="J656">
        <v>-282.1388</v>
      </c>
      <c r="K656">
        <v>1.059857</v>
      </c>
      <c r="L656">
        <v>368.69459999999998</v>
      </c>
      <c r="M656">
        <v>0.9999247</v>
      </c>
      <c r="N656">
        <v>0</v>
      </c>
      <c r="O656">
        <v>4.2588879999999997E-3</v>
      </c>
      <c r="P656">
        <v>0.99595449999999996</v>
      </c>
      <c r="Q656">
        <v>6.09583E-2</v>
      </c>
      <c r="R656">
        <v>-6.6020049999999997E-2</v>
      </c>
      <c r="S656">
        <v>3.0306090000000001</v>
      </c>
      <c r="T656">
        <v>-0.80972330000000003</v>
      </c>
      <c r="U656">
        <v>-0.46304319999999999</v>
      </c>
      <c r="V656">
        <v>7.0265759999999997E-2</v>
      </c>
      <c r="W656">
        <v>7.2419919999999999E-2</v>
      </c>
      <c r="X656">
        <v>0.994896</v>
      </c>
      <c r="Y656">
        <v>0.14995600000000001</v>
      </c>
      <c r="Z656">
        <v>-2.0691859999999999E-2</v>
      </c>
      <c r="AA656">
        <v>0.98847609999999997</v>
      </c>
      <c r="AB656">
        <v>21</v>
      </c>
      <c r="AC656">
        <v>0.49740000000002699</v>
      </c>
      <c r="AD656">
        <v>-0.19172009999999901</v>
      </c>
      <c r="AE656">
        <v>-0.11109999999996401</v>
      </c>
      <c r="AF656">
        <v>9.9182434500131506E-2</v>
      </c>
      <c r="AG656">
        <v>-0.19172009999999901</v>
      </c>
      <c r="AH656">
        <v>0.43532105390014197</v>
      </c>
      <c r="AI656">
        <v>113.239004260173</v>
      </c>
      <c r="AJ656">
        <v>77.164971213465293</v>
      </c>
      <c r="AK656">
        <v>0.485899343512741</v>
      </c>
      <c r="AL656">
        <v>85.847008604754805</v>
      </c>
      <c r="AM656">
        <v>85.960122882003205</v>
      </c>
      <c r="AN656">
        <v>0.999999986328591</v>
      </c>
    </row>
    <row r="657" spans="1:40" x14ac:dyDescent="0.25">
      <c r="A657" t="str">
        <f>"20190312154517004"</f>
        <v>20190312154517004</v>
      </c>
      <c r="B657" t="str">
        <f>"1552376716996627"</f>
        <v>1552376716996627</v>
      </c>
      <c r="C657" t="s">
        <v>40</v>
      </c>
      <c r="D657">
        <v>4.4619</v>
      </c>
      <c r="E657">
        <v>0.53787240000000003</v>
      </c>
      <c r="F657" t="s">
        <v>41</v>
      </c>
      <c r="G657">
        <v>-281.44889999999998</v>
      </c>
      <c r="H657">
        <v>0.87850479999999997</v>
      </c>
      <c r="I657">
        <v>368.58760000000001</v>
      </c>
      <c r="J657">
        <v>-281.93110000000001</v>
      </c>
      <c r="K657">
        <v>1.0598350000000001</v>
      </c>
      <c r="L657">
        <v>368.69549999999998</v>
      </c>
      <c r="M657">
        <v>0.99992749999999997</v>
      </c>
      <c r="N657">
        <v>0</v>
      </c>
      <c r="O657">
        <v>4.2463850000000001E-3</v>
      </c>
      <c r="P657">
        <v>0.99596039999999997</v>
      </c>
      <c r="Q657">
        <v>6.0806909999999999E-2</v>
      </c>
      <c r="R657">
        <v>-6.6071340000000006E-2</v>
      </c>
      <c r="S657">
        <v>3.0298769999999999</v>
      </c>
      <c r="T657">
        <v>-0.79645540000000004</v>
      </c>
      <c r="U657">
        <v>-0.46847529999999998</v>
      </c>
      <c r="V657">
        <v>7.0304519999999995E-2</v>
      </c>
      <c r="W657">
        <v>7.2018990000000005E-2</v>
      </c>
      <c r="X657">
        <v>0.99492239999999998</v>
      </c>
      <c r="Y657">
        <v>0.15181739999999999</v>
      </c>
      <c r="Z657">
        <v>-2.0601919999999999E-2</v>
      </c>
      <c r="AA657">
        <v>0.98819380000000001</v>
      </c>
      <c r="AB657">
        <v>21</v>
      </c>
      <c r="AC657">
        <v>0.48220000000003399</v>
      </c>
      <c r="AD657">
        <v>-0.1813302</v>
      </c>
      <c r="AE657">
        <v>-0.107899999999972</v>
      </c>
      <c r="AF657">
        <v>9.6897667969076298E-2</v>
      </c>
      <c r="AG657">
        <v>-0.1813302</v>
      </c>
      <c r="AH657">
        <v>0.42456214855913998</v>
      </c>
      <c r="AI657">
        <v>112.606468373694</v>
      </c>
      <c r="AJ657">
        <v>77.143610337556893</v>
      </c>
      <c r="AK657">
        <v>0.471723242462186</v>
      </c>
      <c r="AL657">
        <v>85.870040487791499</v>
      </c>
      <c r="AM657">
        <v>85.958008690109807</v>
      </c>
      <c r="AN657">
        <v>1.0000000212374001</v>
      </c>
    </row>
    <row r="658" spans="1:40" x14ac:dyDescent="0.25">
      <c r="A658" t="str">
        <f>"20190312154517025"</f>
        <v>20190312154517025</v>
      </c>
      <c r="B658" t="str">
        <f>"1552376717017126"</f>
        <v>1552376717017126</v>
      </c>
      <c r="C658" t="s">
        <v>40</v>
      </c>
      <c r="D658">
        <v>4.4490080000000001</v>
      </c>
      <c r="E658">
        <v>0.5377653</v>
      </c>
      <c r="F658" t="s">
        <v>41</v>
      </c>
      <c r="G658">
        <v>-281.08870000000002</v>
      </c>
      <c r="H658">
        <v>0.83806420000000004</v>
      </c>
      <c r="I658">
        <v>368.56420000000003</v>
      </c>
      <c r="J658">
        <v>-281.72320000000002</v>
      </c>
      <c r="K658">
        <v>1.059822</v>
      </c>
      <c r="L658">
        <v>368.69639999999998</v>
      </c>
      <c r="M658">
        <v>0.99993010000000004</v>
      </c>
      <c r="N658">
        <v>0</v>
      </c>
      <c r="O658">
        <v>4.2335430000000002E-3</v>
      </c>
      <c r="P658">
        <v>0.99594269999999996</v>
      </c>
      <c r="Q658">
        <v>6.1155399999999999E-2</v>
      </c>
      <c r="R658">
        <v>-6.6016909999999998E-2</v>
      </c>
      <c r="S658">
        <v>3.029633</v>
      </c>
      <c r="T658">
        <v>-0.79769069999999997</v>
      </c>
      <c r="U658">
        <v>-0.47088619999999998</v>
      </c>
      <c r="V658">
        <v>7.0237129999999995E-2</v>
      </c>
      <c r="W658">
        <v>7.2139789999999995E-2</v>
      </c>
      <c r="X658">
        <v>0.99491839999999998</v>
      </c>
      <c r="Y658">
        <v>0.15254489999999901</v>
      </c>
      <c r="Z658">
        <v>-2.072357E-2</v>
      </c>
      <c r="AA658">
        <v>0.98807920000000005</v>
      </c>
      <c r="AB658">
        <v>21</v>
      </c>
      <c r="AC658">
        <v>0.63450000000000195</v>
      </c>
      <c r="AD658">
        <v>-0.2217578</v>
      </c>
      <c r="AE658">
        <v>-0.13219999999995399</v>
      </c>
      <c r="AF658">
        <v>0.120749256896723</v>
      </c>
      <c r="AG658">
        <v>-0.2217578</v>
      </c>
      <c r="AH658">
        <v>0.56749854007207901</v>
      </c>
      <c r="AI658">
        <v>110.91723466956201</v>
      </c>
      <c r="AJ658">
        <v>77.988049613856006</v>
      </c>
      <c r="AK658">
        <v>0.621137261711042</v>
      </c>
      <c r="AL658">
        <v>85.863101074406103</v>
      </c>
      <c r="AM658">
        <v>85.961854113186504</v>
      </c>
      <c r="AN658">
        <v>1.00000001319522</v>
      </c>
    </row>
    <row r="659" spans="1:40" x14ac:dyDescent="0.25">
      <c r="A659" t="str">
        <f>"20190312154517049"</f>
        <v>20190312154517049</v>
      </c>
      <c r="B659" t="str">
        <f>"1552376717036642"</f>
        <v>1552376717036642</v>
      </c>
      <c r="C659" t="s">
        <v>40</v>
      </c>
      <c r="D659">
        <v>4.4362130000000004</v>
      </c>
      <c r="E659">
        <v>0.53796529999999998</v>
      </c>
      <c r="F659" t="s">
        <v>41</v>
      </c>
      <c r="G659">
        <v>-280.89780000000002</v>
      </c>
      <c r="H659">
        <v>0.84313439999999995</v>
      </c>
      <c r="I659">
        <v>368.56810000000002</v>
      </c>
      <c r="J659">
        <v>-281.50599999999997</v>
      </c>
      <c r="K659">
        <v>1.0598050000000001</v>
      </c>
      <c r="L659">
        <v>368.69720000000001</v>
      </c>
      <c r="M659">
        <v>0.99993270000000001</v>
      </c>
      <c r="N659">
        <v>0</v>
      </c>
      <c r="O659">
        <v>4.2197129999999999E-3</v>
      </c>
      <c r="P659">
        <v>0.99596419999999997</v>
      </c>
      <c r="Q659">
        <v>6.1223039999999999E-2</v>
      </c>
      <c r="R659">
        <v>-6.5630209999999994E-2</v>
      </c>
      <c r="S659">
        <v>3.029938</v>
      </c>
      <c r="T659">
        <v>-0.79544349999999997</v>
      </c>
      <c r="U659">
        <v>-0.46978760000000003</v>
      </c>
      <c r="V659">
        <v>6.9836789999999996E-2</v>
      </c>
      <c r="W659">
        <v>7.1993790000000002E-2</v>
      </c>
      <c r="X659">
        <v>0.99495710000000004</v>
      </c>
      <c r="Y659">
        <v>0.1522075</v>
      </c>
      <c r="Z659">
        <v>-2.0618770000000002E-2</v>
      </c>
      <c r="AA659">
        <v>0.9881335</v>
      </c>
      <c r="AB659">
        <v>21</v>
      </c>
      <c r="AC659">
        <v>0.608199999999953</v>
      </c>
      <c r="AD659">
        <v>-0.21667059999999899</v>
      </c>
      <c r="AE659">
        <v>-0.129099999999994</v>
      </c>
      <c r="AF659">
        <v>0.117407305531471</v>
      </c>
      <c r="AG659">
        <v>-0.21667059999999899</v>
      </c>
      <c r="AH659">
        <v>0.54184704666262895</v>
      </c>
      <c r="AI659">
        <v>111.34581406133699</v>
      </c>
      <c r="AJ659">
        <v>77.774159003829993</v>
      </c>
      <c r="AK659">
        <v>0.59525527824080104</v>
      </c>
      <c r="AL659">
        <v>85.871487833236102</v>
      </c>
      <c r="AM659">
        <v>85.9849510431021</v>
      </c>
      <c r="AN659">
        <v>0.99999995693823795</v>
      </c>
    </row>
    <row r="660" spans="1:40" x14ac:dyDescent="0.25">
      <c r="A660" t="str">
        <f>"20190312154517070"</f>
        <v>20190312154517070</v>
      </c>
      <c r="B660" t="str">
        <f>"1552376717066898"</f>
        <v>1552376717066898</v>
      </c>
      <c r="C660" t="s">
        <v>40</v>
      </c>
      <c r="D660">
        <v>4.4543309999999998</v>
      </c>
      <c r="E660">
        <v>0.53832809999999998</v>
      </c>
      <c r="F660" t="s">
        <v>41</v>
      </c>
      <c r="G660">
        <v>-280.70580000000001</v>
      </c>
      <c r="H660">
        <v>0.84992069999999997</v>
      </c>
      <c r="I660">
        <v>368.57299999999998</v>
      </c>
      <c r="J660">
        <v>-281.30450000000002</v>
      </c>
      <c r="K660">
        <v>1.0598909999999999</v>
      </c>
      <c r="L660">
        <v>368.69810000000001</v>
      </c>
      <c r="M660">
        <v>0.9999306</v>
      </c>
      <c r="N660">
        <v>0</v>
      </c>
      <c r="O660">
        <v>4.2076359999999998E-3</v>
      </c>
      <c r="P660">
        <v>0.99601419999999996</v>
      </c>
      <c r="Q660">
        <v>6.1025639999999999E-2</v>
      </c>
      <c r="R660">
        <v>-6.5049750000000003E-2</v>
      </c>
      <c r="S660">
        <v>3.0300289999999999</v>
      </c>
      <c r="T660">
        <v>-0.7948539</v>
      </c>
      <c r="U660">
        <v>-0.47021479999999999</v>
      </c>
      <c r="V660">
        <v>6.9244620000000007E-2</v>
      </c>
      <c r="W660">
        <v>7.1976189999999995E-2</v>
      </c>
      <c r="X660">
        <v>0.99499979999999999</v>
      </c>
      <c r="Y660">
        <v>0.15233139999999901</v>
      </c>
      <c r="Z660">
        <v>-2.0615959999999999E-2</v>
      </c>
      <c r="AA660">
        <v>0.98811439999999995</v>
      </c>
      <c r="AB660">
        <v>21</v>
      </c>
      <c r="AC660">
        <v>0.598700000000007</v>
      </c>
      <c r="AD660">
        <v>-0.209970299999999</v>
      </c>
      <c r="AE660">
        <v>-0.12509999999997401</v>
      </c>
      <c r="AF660">
        <v>0.114163712855646</v>
      </c>
      <c r="AG660">
        <v>-0.209970299999999</v>
      </c>
      <c r="AH660">
        <v>0.53510499571120296</v>
      </c>
      <c r="AI660">
        <v>110.994518167626</v>
      </c>
      <c r="AJ660">
        <v>77.956607559295804</v>
      </c>
      <c r="AK660">
        <v>0.586053100537965</v>
      </c>
      <c r="AL660">
        <v>85.872499022008597</v>
      </c>
      <c r="AM660">
        <v>86.019056374840801</v>
      </c>
      <c r="AN660">
        <v>0.99999999566294995</v>
      </c>
    </row>
    <row r="661" spans="1:40" x14ac:dyDescent="0.25">
      <c r="A661" t="str">
        <f>"20190312154517094"</f>
        <v>20190312154517094</v>
      </c>
      <c r="B661" t="str">
        <f>"1552376717086418"</f>
        <v>1552376717086418</v>
      </c>
      <c r="C661" t="s">
        <v>40</v>
      </c>
      <c r="D661">
        <v>4.4261400000000002</v>
      </c>
      <c r="E661">
        <v>0.53841260000000002</v>
      </c>
      <c r="F661" t="s">
        <v>41</v>
      </c>
      <c r="G661">
        <v>-280.51850000000002</v>
      </c>
      <c r="H661">
        <v>0.85352349999999999</v>
      </c>
      <c r="I661">
        <v>368.57549999999998</v>
      </c>
      <c r="J661">
        <v>-281.08839999999998</v>
      </c>
      <c r="K661">
        <v>1.0603860000000001</v>
      </c>
      <c r="L661">
        <v>368.69900000000001</v>
      </c>
      <c r="M661">
        <v>0.99991770000000002</v>
      </c>
      <c r="N661">
        <v>0</v>
      </c>
      <c r="O661">
        <v>4.1951879999999999E-3</v>
      </c>
      <c r="P661">
        <v>0.99608819999999998</v>
      </c>
      <c r="Q661">
        <v>5.9761870000000002E-2</v>
      </c>
      <c r="R661">
        <v>-6.5093390000000001E-2</v>
      </c>
      <c r="S661">
        <v>3.0300289999999999</v>
      </c>
      <c r="T661">
        <v>-0.79562749999999904</v>
      </c>
      <c r="U661">
        <v>-0.47100829999999999</v>
      </c>
      <c r="V661">
        <v>6.9275890000000007E-2</v>
      </c>
      <c r="W661">
        <v>7.1830649999999996E-2</v>
      </c>
      <c r="X661">
        <v>0.99500820000000001</v>
      </c>
      <c r="Y661">
        <v>0.1525551</v>
      </c>
      <c r="Z661">
        <v>-2.066053E-2</v>
      </c>
      <c r="AA661">
        <v>0.98807900000000004</v>
      </c>
      <c r="AB661">
        <v>21</v>
      </c>
      <c r="AC661">
        <v>0.56989999999996099</v>
      </c>
      <c r="AD661">
        <v>-0.20686249999999901</v>
      </c>
      <c r="AE661">
        <v>-0.123500000000035</v>
      </c>
      <c r="AF661">
        <v>0.11181817507740301</v>
      </c>
      <c r="AG661">
        <v>-0.20686249999999901</v>
      </c>
      <c r="AH661">
        <v>0.50573291310231006</v>
      </c>
      <c r="AI661">
        <v>111.77124026930601</v>
      </c>
      <c r="AJ661">
        <v>77.5324117821946</v>
      </c>
      <c r="AK661">
        <v>0.55772858773675904</v>
      </c>
      <c r="AL661">
        <v>85.880859733403298</v>
      </c>
      <c r="AM661">
        <v>86.017297929471695</v>
      </c>
      <c r="AN661">
        <v>1.00000005464097</v>
      </c>
    </row>
    <row r="662" spans="1:40" x14ac:dyDescent="0.25">
      <c r="A662" t="str">
        <f>"20190312154517116"</f>
        <v>20190312154517116</v>
      </c>
      <c r="B662" t="str">
        <f>"1552376717106915"</f>
        <v>1552376717106915</v>
      </c>
      <c r="C662" t="s">
        <v>40</v>
      </c>
      <c r="D662">
        <v>4.4407040000000002</v>
      </c>
      <c r="E662">
        <v>0.53862679999999996</v>
      </c>
      <c r="F662" t="s">
        <v>41</v>
      </c>
      <c r="G662">
        <v>-280.3329</v>
      </c>
      <c r="H662">
        <v>0.86118079999999997</v>
      </c>
      <c r="I662">
        <v>368.58109999999999</v>
      </c>
      <c r="J662">
        <v>-280.87959999999998</v>
      </c>
      <c r="K662">
        <v>1.060994</v>
      </c>
      <c r="L662">
        <v>368.69990000000001</v>
      </c>
      <c r="M662">
        <v>0.99991680000000005</v>
      </c>
      <c r="N662">
        <v>0</v>
      </c>
      <c r="O662">
        <v>4.1825660000000004E-3</v>
      </c>
      <c r="P662">
        <v>0.99611590000000005</v>
      </c>
      <c r="Q662">
        <v>5.8873780000000001E-2</v>
      </c>
      <c r="R662">
        <v>-6.5479819999999994E-2</v>
      </c>
      <c r="S662">
        <v>3.02887</v>
      </c>
      <c r="T662">
        <v>-0.79864349999999995</v>
      </c>
      <c r="U662">
        <v>-0.47195429999999999</v>
      </c>
      <c r="V662">
        <v>6.9649790000000003E-2</v>
      </c>
      <c r="W662">
        <v>7.1026859999999997E-2</v>
      </c>
      <c r="X662">
        <v>0.99503980000000003</v>
      </c>
      <c r="Y662">
        <v>0.1528496</v>
      </c>
      <c r="Z662">
        <v>-2.0778129999999999E-2</v>
      </c>
      <c r="AA662">
        <v>0.98803099999999999</v>
      </c>
      <c r="AB662">
        <v>21</v>
      </c>
      <c r="AC662">
        <v>0.54669999999998697</v>
      </c>
      <c r="AD662">
        <v>-0.199813199999999</v>
      </c>
      <c r="AE662">
        <v>-0.118800000000021</v>
      </c>
      <c r="AF662">
        <v>0.10738747629279601</v>
      </c>
      <c r="AG662">
        <v>-0.199813199999999</v>
      </c>
      <c r="AH662">
        <v>0.48440762865718201</v>
      </c>
      <c r="AI662">
        <v>111.93527115371499</v>
      </c>
      <c r="AJ662">
        <v>77.500350565513202</v>
      </c>
      <c r="AK662">
        <v>0.53489076984002104</v>
      </c>
      <c r="AL662">
        <v>85.927031447831396</v>
      </c>
      <c r="AM662">
        <v>85.995998731989204</v>
      </c>
      <c r="AN662">
        <v>1.0000000558362701</v>
      </c>
    </row>
    <row r="663" spans="1:40" x14ac:dyDescent="0.25">
      <c r="A663" t="str">
        <f>"20190312154517139"</f>
        <v>20190312154517139</v>
      </c>
      <c r="B663" t="str">
        <f>"1552376717127410"</f>
        <v>1552376717127410</v>
      </c>
      <c r="C663" t="s">
        <v>40</v>
      </c>
      <c r="D663">
        <v>4.4206839999999996</v>
      </c>
      <c r="E663">
        <v>0.53875419999999996</v>
      </c>
      <c r="F663" t="s">
        <v>41</v>
      </c>
      <c r="G663">
        <v>-280.1454</v>
      </c>
      <c r="H663">
        <v>0.86678889999999997</v>
      </c>
      <c r="I663">
        <v>368.58440000000002</v>
      </c>
      <c r="J663">
        <v>-280.67410000000001</v>
      </c>
      <c r="K663">
        <v>1.061564</v>
      </c>
      <c r="L663">
        <v>368.70069999999998</v>
      </c>
      <c r="M663">
        <v>0.99993569999999998</v>
      </c>
      <c r="N663">
        <v>0</v>
      </c>
      <c r="O663">
        <v>4.1710860000000001E-3</v>
      </c>
      <c r="P663">
        <v>0.99600960000000005</v>
      </c>
      <c r="Q663">
        <v>6.01135E-2</v>
      </c>
      <c r="R663">
        <v>-6.5963610000000006E-2</v>
      </c>
      <c r="S663">
        <v>3.027863</v>
      </c>
      <c r="T663">
        <v>-0.80097940000000001</v>
      </c>
      <c r="U663">
        <v>-0.47479250000000001</v>
      </c>
      <c r="V663">
        <v>7.0122089999999998E-2</v>
      </c>
      <c r="W663">
        <v>7.0605429999999997E-2</v>
      </c>
      <c r="X663">
        <v>0.99503649999999999</v>
      </c>
      <c r="Y663">
        <v>0.15373020000000001</v>
      </c>
      <c r="Z663">
        <v>-2.095298E-2</v>
      </c>
      <c r="AA663">
        <v>0.98789070000000001</v>
      </c>
      <c r="AB663">
        <v>20</v>
      </c>
      <c r="AC663">
        <v>0.52870000000001405</v>
      </c>
      <c r="AD663">
        <v>-0.19477509999999901</v>
      </c>
      <c r="AE663">
        <v>-0.116299999999967</v>
      </c>
      <c r="AF663">
        <v>0.104921522034751</v>
      </c>
      <c r="AG663">
        <v>-0.19477509999999901</v>
      </c>
      <c r="AH663">
        <v>0.467667385871331</v>
      </c>
      <c r="AI663">
        <v>112.115862907664</v>
      </c>
      <c r="AJ663">
        <v>77.355029027955098</v>
      </c>
      <c r="AK663">
        <v>0.517357370850965</v>
      </c>
      <c r="AL663">
        <v>85.951237892434406</v>
      </c>
      <c r="AM663">
        <v>85.968923208967993</v>
      </c>
      <c r="AN663">
        <v>0.99999993529184905</v>
      </c>
    </row>
    <row r="664" spans="1:40" x14ac:dyDescent="0.25">
      <c r="A664" t="str">
        <f>"20190312154517160"</f>
        <v>20190312154517160</v>
      </c>
      <c r="B664" t="str">
        <f>"1552376717156690"</f>
        <v>1552376717156690</v>
      </c>
      <c r="C664" t="s">
        <v>40</v>
      </c>
      <c r="D664">
        <v>4.3865179999999997</v>
      </c>
      <c r="E664">
        <v>0.53902229999999995</v>
      </c>
      <c r="F664" t="s">
        <v>41</v>
      </c>
      <c r="G664">
        <v>-279.9547</v>
      </c>
      <c r="H664">
        <v>0.87200999999999995</v>
      </c>
      <c r="I664">
        <v>368.5872</v>
      </c>
      <c r="J664">
        <v>-280.46559999999999</v>
      </c>
      <c r="K664">
        <v>1.0624199999999999</v>
      </c>
      <c r="L664">
        <v>368.70159999999998</v>
      </c>
      <c r="M664">
        <v>0.99995710000000004</v>
      </c>
      <c r="N664">
        <v>0</v>
      </c>
      <c r="O664">
        <v>4.1591340000000001E-3</v>
      </c>
      <c r="P664">
        <v>0.99583480000000002</v>
      </c>
      <c r="Q664">
        <v>6.2312199999999998E-2</v>
      </c>
      <c r="R664">
        <v>-6.6560889999999998E-2</v>
      </c>
      <c r="S664">
        <v>3.0285950000000001</v>
      </c>
      <c r="T664">
        <v>-0.79802220000000001</v>
      </c>
      <c r="U664">
        <v>-0.47714230000000002</v>
      </c>
      <c r="V664">
        <v>7.0706729999999995E-2</v>
      </c>
      <c r="W664">
        <v>7.0551219999999998E-2</v>
      </c>
      <c r="X664">
        <v>0.99499910000000003</v>
      </c>
      <c r="Y664">
        <v>0.154448</v>
      </c>
      <c r="Z664">
        <v>-2.096145E-2</v>
      </c>
      <c r="AA664">
        <v>0.9877785</v>
      </c>
      <c r="AB664">
        <v>21</v>
      </c>
      <c r="AC664">
        <v>0.51089999999999203</v>
      </c>
      <c r="AD664">
        <v>-0.19041</v>
      </c>
      <c r="AE664">
        <v>-0.114399999999989</v>
      </c>
      <c r="AF664">
        <v>0.10291185446348</v>
      </c>
      <c r="AG664">
        <v>-0.19041</v>
      </c>
      <c r="AH664">
        <v>0.45079340620053698</v>
      </c>
      <c r="AI664">
        <v>112.38158205889199</v>
      </c>
      <c r="AJ664">
        <v>77.140295927483905</v>
      </c>
      <c r="AK664">
        <v>0.500061509179616</v>
      </c>
      <c r="AL664">
        <v>85.9543521779636</v>
      </c>
      <c r="AM664">
        <v>85.935274188947304</v>
      </c>
      <c r="AN664">
        <v>1.0000000626557899</v>
      </c>
    </row>
    <row r="665" spans="1:40" x14ac:dyDescent="0.25">
      <c r="A665" t="str">
        <f>"20190312154517183"</f>
        <v>20190312154517183</v>
      </c>
      <c r="B665" t="str">
        <f>"1552376717177186"</f>
        <v>1552376717177186</v>
      </c>
      <c r="C665" t="s">
        <v>40</v>
      </c>
      <c r="D665">
        <v>4.4188799999999997</v>
      </c>
      <c r="E665">
        <v>0.53911750000000003</v>
      </c>
      <c r="F665" t="s">
        <v>41</v>
      </c>
      <c r="G665">
        <v>-279.76170000000002</v>
      </c>
      <c r="H665">
        <v>0.87864599999999904</v>
      </c>
      <c r="I665">
        <v>368.58940000000001</v>
      </c>
      <c r="J665">
        <v>-280.25360000000001</v>
      </c>
      <c r="K665">
        <v>1.0637000000000001</v>
      </c>
      <c r="L665">
        <v>368.70240000000001</v>
      </c>
      <c r="M665">
        <v>0.99997159999999996</v>
      </c>
      <c r="N665">
        <v>0</v>
      </c>
      <c r="O665">
        <v>4.1471959999999997E-3</v>
      </c>
      <c r="P665">
        <v>0.9956912</v>
      </c>
      <c r="Q665">
        <v>6.4521029999999993E-2</v>
      </c>
      <c r="R665">
        <v>-6.6605769999999995E-2</v>
      </c>
      <c r="S665">
        <v>3.029938</v>
      </c>
      <c r="T665">
        <v>-0.79114370000000001</v>
      </c>
      <c r="U665">
        <v>-0.4808655</v>
      </c>
      <c r="V665">
        <v>7.0738839999999997E-2</v>
      </c>
      <c r="W665">
        <v>7.0770470000000002E-2</v>
      </c>
      <c r="X665">
        <v>0.99498120000000001</v>
      </c>
      <c r="Y665">
        <v>0.1556102</v>
      </c>
      <c r="Z665">
        <v>-2.0921149999999999E-2</v>
      </c>
      <c r="AA665">
        <v>0.98759699999999995</v>
      </c>
      <c r="AB665">
        <v>21</v>
      </c>
      <c r="AC665">
        <v>0.49189999999998602</v>
      </c>
      <c r="AD665">
        <v>-0.185054</v>
      </c>
      <c r="AE665">
        <v>-0.112999999999999</v>
      </c>
      <c r="AF665">
        <v>0.101406585262515</v>
      </c>
      <c r="AG665">
        <v>-0.185054</v>
      </c>
      <c r="AH665">
        <v>0.43319148018903197</v>
      </c>
      <c r="AI665">
        <v>112.584521699292</v>
      </c>
      <c r="AJ665">
        <v>76.824770008112694</v>
      </c>
      <c r="AK665">
        <v>0.48185385435728101</v>
      </c>
      <c r="AL665">
        <v>85.9417584089869</v>
      </c>
      <c r="AM665">
        <v>85.933361555965902</v>
      </c>
      <c r="AN665">
        <v>1.000000015631</v>
      </c>
    </row>
    <row r="666" spans="1:40" x14ac:dyDescent="0.25">
      <c r="A666" t="str">
        <f>"20190312154517205"</f>
        <v>20190312154517205</v>
      </c>
      <c r="B666" t="str">
        <f>"1552376717196706"</f>
        <v>1552376717196706</v>
      </c>
      <c r="C666" t="s">
        <v>40</v>
      </c>
      <c r="D666">
        <v>4.4265999999999996</v>
      </c>
      <c r="E666">
        <v>0.53921719999999995</v>
      </c>
      <c r="F666" t="s">
        <v>41</v>
      </c>
      <c r="G666">
        <v>-279.56819999999999</v>
      </c>
      <c r="H666">
        <v>0.88650769999999901</v>
      </c>
      <c r="I666">
        <v>368.59339999999997</v>
      </c>
      <c r="J666">
        <v>-280.03829999999999</v>
      </c>
      <c r="K666">
        <v>1.065315</v>
      </c>
      <c r="L666">
        <v>368.70330000000001</v>
      </c>
      <c r="M666">
        <v>0.99998069999999895</v>
      </c>
      <c r="N666">
        <v>0</v>
      </c>
      <c r="O666">
        <v>4.1342330000000002E-3</v>
      </c>
      <c r="P666">
        <v>0.99557980000000001</v>
      </c>
      <c r="Q666">
        <v>6.6221009999999997E-2</v>
      </c>
      <c r="R666">
        <v>-6.660162E-2</v>
      </c>
      <c r="S666">
        <v>3.0315249999999998</v>
      </c>
      <c r="T666">
        <v>-0.783690199999999</v>
      </c>
      <c r="U666">
        <v>-0.48193359999999902</v>
      </c>
      <c r="V666">
        <v>7.0721270000000003E-2</v>
      </c>
      <c r="W666">
        <v>7.0835659999999995E-2</v>
      </c>
      <c r="X666">
        <v>0.99497780000000002</v>
      </c>
      <c r="Y666">
        <v>0.15594839999999999</v>
      </c>
      <c r="Z666">
        <v>-2.0758780000000001E-2</v>
      </c>
      <c r="AA666">
        <v>0.98754699999999995</v>
      </c>
      <c r="AB666">
        <v>21</v>
      </c>
      <c r="AC666">
        <v>0.47010000000000202</v>
      </c>
      <c r="AD666">
        <v>-0.1788073</v>
      </c>
      <c r="AE666">
        <v>-0.109900000000038</v>
      </c>
      <c r="AF666">
        <v>9.8351104647568896E-2</v>
      </c>
      <c r="AG666">
        <v>-0.1788073</v>
      </c>
      <c r="AH666">
        <v>0.41298913828824102</v>
      </c>
      <c r="AI666">
        <v>112.839870920956</v>
      </c>
      <c r="AJ666">
        <v>76.604829517214995</v>
      </c>
      <c r="AK666">
        <v>0.460657159569621</v>
      </c>
      <c r="AL666">
        <v>85.938013858924094</v>
      </c>
      <c r="AM666">
        <v>85.934354387243005</v>
      </c>
      <c r="AN666">
        <v>1.0000000056254399</v>
      </c>
    </row>
    <row r="667" spans="1:40" x14ac:dyDescent="0.25">
      <c r="A667" t="str">
        <f>"20190312154517227"</f>
        <v>20190312154517227</v>
      </c>
      <c r="B667" t="str">
        <f>"1552376717217203"</f>
        <v>1552376717217203</v>
      </c>
      <c r="C667" t="s">
        <v>40</v>
      </c>
      <c r="D667">
        <v>4.370412</v>
      </c>
      <c r="E667">
        <v>0.53923730000000003</v>
      </c>
      <c r="F667" t="s">
        <v>41</v>
      </c>
      <c r="G667">
        <v>-279.20209999999997</v>
      </c>
      <c r="H667">
        <v>0.85079839999999995</v>
      </c>
      <c r="I667">
        <v>368.56990000000002</v>
      </c>
      <c r="J667">
        <v>-279.82380000000001</v>
      </c>
      <c r="K667">
        <v>1.066967</v>
      </c>
      <c r="L667">
        <v>368.70420000000001</v>
      </c>
      <c r="M667">
        <v>0.99998690000000001</v>
      </c>
      <c r="N667">
        <v>0</v>
      </c>
      <c r="O667">
        <v>4.1194430000000004E-3</v>
      </c>
      <c r="P667">
        <v>0.99545059999999996</v>
      </c>
      <c r="Q667">
        <v>6.8138740000000003E-2</v>
      </c>
      <c r="R667">
        <v>-6.659909E-2</v>
      </c>
      <c r="S667">
        <v>3.0327760000000001</v>
      </c>
      <c r="T667">
        <v>-0.77813049999999995</v>
      </c>
      <c r="U667">
        <v>-0.48281859999999999</v>
      </c>
      <c r="V667">
        <v>7.0703219999999997E-2</v>
      </c>
      <c r="W667">
        <v>7.1113889999999999E-2</v>
      </c>
      <c r="X667">
        <v>0.99495919999999904</v>
      </c>
      <c r="Y667">
        <v>0.15621940000000001</v>
      </c>
      <c r="Z667">
        <v>-2.063777E-2</v>
      </c>
      <c r="AA667">
        <v>0.98750669999999996</v>
      </c>
      <c r="AB667">
        <v>21</v>
      </c>
      <c r="AC667">
        <v>0.621700000000032</v>
      </c>
      <c r="AD667">
        <v>-0.21616859999999999</v>
      </c>
      <c r="AE667">
        <v>-0.13429999999999601</v>
      </c>
      <c r="AF667">
        <v>0.122688324254194</v>
      </c>
      <c r="AG667">
        <v>-0.21616859999999999</v>
      </c>
      <c r="AH667">
        <v>0.55682337003928195</v>
      </c>
      <c r="AI667">
        <v>110.762907768537</v>
      </c>
      <c r="AJ667">
        <v>77.5742112862753</v>
      </c>
      <c r="AK667">
        <v>0.60978156249280402</v>
      </c>
      <c r="AL667">
        <v>85.922032005284095</v>
      </c>
      <c r="AM667">
        <v>85.935312842579506</v>
      </c>
      <c r="AN667">
        <v>0.99999997016696895</v>
      </c>
    </row>
    <row r="668" spans="1:40" x14ac:dyDescent="0.25">
      <c r="A668" t="str">
        <f>"20190312154517249"</f>
        <v>20190312154517249</v>
      </c>
      <c r="B668" t="str">
        <f>"1552376717247459"</f>
        <v>1552376717247459</v>
      </c>
      <c r="C668" t="s">
        <v>40</v>
      </c>
      <c r="D668">
        <v>4.4675200000000004</v>
      </c>
      <c r="E668">
        <v>0.53925210000000001</v>
      </c>
      <c r="F668" t="s">
        <v>41</v>
      </c>
      <c r="G668">
        <v>-279.00709999999998</v>
      </c>
      <c r="H668">
        <v>0.85942759999999996</v>
      </c>
      <c r="I668">
        <v>368.57380000000001</v>
      </c>
      <c r="J668">
        <v>-279.6121</v>
      </c>
      <c r="K668">
        <v>1.06854</v>
      </c>
      <c r="L668">
        <v>368.70499999999998</v>
      </c>
      <c r="M668">
        <v>0.99999079999999996</v>
      </c>
      <c r="N668">
        <v>0</v>
      </c>
      <c r="O668">
        <v>4.1046989999999998E-3</v>
      </c>
      <c r="P668">
        <v>0.99535779999999996</v>
      </c>
      <c r="Q668">
        <v>6.9949570000000003E-2</v>
      </c>
      <c r="R668">
        <v>-6.6104990000000002E-2</v>
      </c>
      <c r="S668">
        <v>3.0342099999999999</v>
      </c>
      <c r="T668">
        <v>-0.77119979999999999</v>
      </c>
      <c r="U668">
        <v>-0.4829407</v>
      </c>
      <c r="V668">
        <v>7.0194000000000006E-2</v>
      </c>
      <c r="W668">
        <v>7.1226139999999993E-2</v>
      </c>
      <c r="X668">
        <v>0.99498719999999996</v>
      </c>
      <c r="Y668">
        <v>0.15626319999999999</v>
      </c>
      <c r="Z668">
        <v>-2.0452000000000001E-2</v>
      </c>
      <c r="AA668">
        <v>0.98750360000000004</v>
      </c>
      <c r="AB668">
        <v>21</v>
      </c>
      <c r="AC668">
        <v>0.60500000000001797</v>
      </c>
      <c r="AD668">
        <v>-0.2091124</v>
      </c>
      <c r="AE668">
        <v>-0.131199999999978</v>
      </c>
      <c r="AF668">
        <v>0.11999110150359101</v>
      </c>
      <c r="AG668">
        <v>-0.2091124</v>
      </c>
      <c r="AH668">
        <v>0.54255064438074796</v>
      </c>
      <c r="AI668">
        <v>110.62287169583099</v>
      </c>
      <c r="AJ668">
        <v>77.5291416221378</v>
      </c>
      <c r="AK668">
        <v>0.59370620848343003</v>
      </c>
      <c r="AL668">
        <v>85.915584098114905</v>
      </c>
      <c r="AM668">
        <v>85.964603723328096</v>
      </c>
      <c r="AN668">
        <v>0.99999994440956796</v>
      </c>
    </row>
    <row r="669" spans="1:40" x14ac:dyDescent="0.25">
      <c r="A669" t="str">
        <f>"20190312154517271"</f>
        <v>20190312154517271</v>
      </c>
      <c r="B669" t="str">
        <f>"1552376717266979"</f>
        <v>1552376717266979</v>
      </c>
      <c r="C669" t="s">
        <v>40</v>
      </c>
      <c r="D669">
        <v>4.4189119999999997</v>
      </c>
      <c r="E669">
        <v>0.539274699999999</v>
      </c>
      <c r="F669" t="s">
        <v>41</v>
      </c>
      <c r="G669">
        <v>-278.8116</v>
      </c>
      <c r="H669">
        <v>0.86677039999999905</v>
      </c>
      <c r="I669">
        <v>368.57769999999999</v>
      </c>
      <c r="J669">
        <v>-279.39679999999998</v>
      </c>
      <c r="K669">
        <v>1.0700750000000001</v>
      </c>
      <c r="L669">
        <v>368.70589999999999</v>
      </c>
      <c r="M669">
        <v>0.99999170000000004</v>
      </c>
      <c r="N669">
        <v>0</v>
      </c>
      <c r="O669">
        <v>4.0908209999999997E-3</v>
      </c>
      <c r="P669">
        <v>0.99527670000000001</v>
      </c>
      <c r="Q669">
        <v>7.1307690000000007E-2</v>
      </c>
      <c r="R669">
        <v>-6.588136E-2</v>
      </c>
      <c r="S669">
        <v>3.0357669999999999</v>
      </c>
      <c r="T669">
        <v>-0.76529569999999902</v>
      </c>
      <c r="U669">
        <v>-0.48208620000000002</v>
      </c>
      <c r="V669">
        <v>6.9956110000000002E-2</v>
      </c>
      <c r="W669">
        <v>7.0935529999999997E-2</v>
      </c>
      <c r="X669">
        <v>0.99502469999999998</v>
      </c>
      <c r="Y669">
        <v>0.15598809999999999</v>
      </c>
      <c r="Z669">
        <v>-2.0253199999999999E-2</v>
      </c>
      <c r="AA669">
        <v>0.98755130000000002</v>
      </c>
      <c r="AB669">
        <v>22</v>
      </c>
      <c r="AC669">
        <v>0.58519999999998595</v>
      </c>
      <c r="AD669">
        <v>-0.2033046</v>
      </c>
      <c r="AE669">
        <v>-0.12819999999999199</v>
      </c>
      <c r="AF669">
        <v>0.11710612059188399</v>
      </c>
      <c r="AG669">
        <v>-0.2033046</v>
      </c>
      <c r="AH669">
        <v>0.52428980164355099</v>
      </c>
      <c r="AI669">
        <v>110.72894398172301</v>
      </c>
      <c r="AJ669">
        <v>77.409007054065498</v>
      </c>
      <c r="AK669">
        <v>0.574392200476882</v>
      </c>
      <c r="AL669">
        <v>85.932276991440602</v>
      </c>
      <c r="AM669">
        <v>85.978385946265107</v>
      </c>
      <c r="AN669">
        <v>0.99999993017639899</v>
      </c>
    </row>
    <row r="670" spans="1:40" x14ac:dyDescent="0.25">
      <c r="A670" t="str">
        <f>"20190312154517287"</f>
        <v>20190312154517287</v>
      </c>
      <c r="B670" t="str">
        <f>"1552376717276739"</f>
        <v>1552376717276739</v>
      </c>
      <c r="C670" t="s">
        <v>40</v>
      </c>
      <c r="D670">
        <v>4.4450070000000004</v>
      </c>
      <c r="E670">
        <v>0.53925219999999996</v>
      </c>
      <c r="F670" t="s">
        <v>41</v>
      </c>
      <c r="G670">
        <v>-278.61529999999999</v>
      </c>
      <c r="H670">
        <v>0.8742875</v>
      </c>
      <c r="I670">
        <v>368.58179999999999</v>
      </c>
      <c r="J670">
        <v>-279.25009999999997</v>
      </c>
      <c r="K670">
        <v>1.0710900000000001</v>
      </c>
      <c r="L670">
        <v>368.70650000000001</v>
      </c>
      <c r="M670">
        <v>0.99999070000000001</v>
      </c>
      <c r="N670">
        <v>0</v>
      </c>
      <c r="O670">
        <v>4.0822849999999997E-3</v>
      </c>
      <c r="P670">
        <v>0.99521519999999997</v>
      </c>
      <c r="Q670">
        <v>7.2339559999999997E-2</v>
      </c>
      <c r="R670">
        <v>-6.5681989999999996E-2</v>
      </c>
      <c r="S670">
        <v>3.036896</v>
      </c>
      <c r="T670">
        <v>-0.76087879999999997</v>
      </c>
      <c r="U670">
        <v>-0.48171999999999998</v>
      </c>
      <c r="V670">
        <v>6.9748110000000002E-2</v>
      </c>
      <c r="W670">
        <v>7.094172E-2</v>
      </c>
      <c r="X670">
        <v>0.99503889999999995</v>
      </c>
      <c r="Y670">
        <v>0.15586929999999999</v>
      </c>
      <c r="Z670">
        <v>-2.011609E-2</v>
      </c>
      <c r="AA670">
        <v>0.98757280000000003</v>
      </c>
      <c r="AB670">
        <v>22</v>
      </c>
      <c r="AC670">
        <v>0.63479999999998404</v>
      </c>
      <c r="AD670">
        <v>-0.19680249999999899</v>
      </c>
      <c r="AE670">
        <v>-0.124700000000018</v>
      </c>
      <c r="AF670">
        <v>0.11650835850836599</v>
      </c>
      <c r="AG670">
        <v>-0.19680249999999899</v>
      </c>
      <c r="AH670">
        <v>0.58055895012182601</v>
      </c>
      <c r="AI670">
        <v>108.384811258536</v>
      </c>
      <c r="AJ670">
        <v>78.652440139239303</v>
      </c>
      <c r="AK670">
        <v>0.62398246463752605</v>
      </c>
      <c r="AL670">
        <v>85.931921595017798</v>
      </c>
      <c r="AM670">
        <v>85.990361356459402</v>
      </c>
      <c r="AN670">
        <v>0.99999996949916903</v>
      </c>
    </row>
    <row r="671" spans="1:40" x14ac:dyDescent="0.25">
      <c r="A671" t="str">
        <f>"20190312154517306"</f>
        <v>20190312154517306</v>
      </c>
      <c r="B671" t="str">
        <f>"1552376717297234"</f>
        <v>1552376717297234</v>
      </c>
      <c r="C671" t="s">
        <v>40</v>
      </c>
      <c r="D671">
        <v>4.3800929999999996</v>
      </c>
      <c r="E671">
        <v>0.53919410000000001</v>
      </c>
      <c r="F671" t="s">
        <v>41</v>
      </c>
      <c r="G671">
        <v>-278.4246</v>
      </c>
      <c r="H671">
        <v>0.86519709999999905</v>
      </c>
      <c r="I671">
        <v>368.5754</v>
      </c>
      <c r="J671">
        <v>-279.0634</v>
      </c>
      <c r="K671">
        <v>1.0723129999999901</v>
      </c>
      <c r="L671">
        <v>368.70729999999998</v>
      </c>
      <c r="M671">
        <v>0.99998849999999995</v>
      </c>
      <c r="N671">
        <v>0</v>
      </c>
      <c r="O671">
        <v>4.0707190000000004E-3</v>
      </c>
      <c r="P671">
        <v>0.99513629999999997</v>
      </c>
      <c r="Q671">
        <v>7.3243420000000004E-2</v>
      </c>
      <c r="R671">
        <v>-6.5875790000000004E-2</v>
      </c>
      <c r="S671">
        <v>3.0377200000000002</v>
      </c>
      <c r="T671">
        <v>-0.75764889999999996</v>
      </c>
      <c r="U671">
        <v>-0.4813538</v>
      </c>
      <c r="V671">
        <v>6.9930129999999993E-2</v>
      </c>
      <c r="W671">
        <v>7.0679629999999993E-2</v>
      </c>
      <c r="X671">
        <v>0.99504479999999995</v>
      </c>
      <c r="Y671">
        <v>0.155747</v>
      </c>
      <c r="Z671">
        <v>-2.0010420000000001E-2</v>
      </c>
      <c r="AA671">
        <v>0.98759430000000004</v>
      </c>
      <c r="AB671">
        <v>22</v>
      </c>
      <c r="AC671">
        <v>0.63880000000000303</v>
      </c>
      <c r="AD671">
        <v>-0.20711589999999899</v>
      </c>
      <c r="AE671">
        <v>-0.13189999999997301</v>
      </c>
      <c r="AF671">
        <v>0.122180529643435</v>
      </c>
      <c r="AG671">
        <v>-0.20711589999999899</v>
      </c>
      <c r="AH671">
        <v>0.57979988489533496</v>
      </c>
      <c r="AI671">
        <v>109.266712025877</v>
      </c>
      <c r="AJ671">
        <v>78.100233704942099</v>
      </c>
      <c r="AK671">
        <v>0.62768860462924203</v>
      </c>
      <c r="AL671">
        <v>85.946976134247507</v>
      </c>
      <c r="AM671">
        <v>85.979955518810897</v>
      </c>
      <c r="AN671">
        <v>0.99999999359289604</v>
      </c>
    </row>
    <row r="672" spans="1:40" x14ac:dyDescent="0.25">
      <c r="A672" t="str">
        <f>"20190312154517328"</f>
        <v>20190312154517328</v>
      </c>
      <c r="B672" t="str">
        <f>"1552376717316754"</f>
        <v>1552376717316754</v>
      </c>
      <c r="C672" t="s">
        <v>40</v>
      </c>
      <c r="D672">
        <v>4.4497580000000001</v>
      </c>
      <c r="E672">
        <v>0.53917309999999996</v>
      </c>
      <c r="F672" t="s">
        <v>41</v>
      </c>
      <c r="G672">
        <v>-278.22949999999997</v>
      </c>
      <c r="H672">
        <v>0.8653208</v>
      </c>
      <c r="I672">
        <v>368.57459999999998</v>
      </c>
      <c r="J672">
        <v>-278.84160000000003</v>
      </c>
      <c r="K672">
        <v>1.073642</v>
      </c>
      <c r="L672">
        <v>368.70819999999998</v>
      </c>
      <c r="M672">
        <v>0.9999846</v>
      </c>
      <c r="N672">
        <v>0</v>
      </c>
      <c r="O672">
        <v>4.0575020000000002E-3</v>
      </c>
      <c r="P672">
        <v>0.99505520000000003</v>
      </c>
      <c r="Q672">
        <v>7.4277800000000005E-2</v>
      </c>
      <c r="R672">
        <v>-6.5941180000000002E-2</v>
      </c>
      <c r="S672">
        <v>3.0383</v>
      </c>
      <c r="T672">
        <v>-0.75428930000000005</v>
      </c>
      <c r="U672">
        <v>-0.48171999999999998</v>
      </c>
      <c r="V672">
        <v>6.9982139999999998E-2</v>
      </c>
      <c r="W672">
        <v>7.048082E-2</v>
      </c>
      <c r="X672">
        <v>0.99505529999999998</v>
      </c>
      <c r="Y672">
        <v>0.15586149999999999</v>
      </c>
      <c r="Z672">
        <v>-1.9931150000000002E-2</v>
      </c>
      <c r="AA672">
        <v>0.98757779999999995</v>
      </c>
      <c r="AB672">
        <v>22</v>
      </c>
      <c r="AC672">
        <v>0.61210000000005405</v>
      </c>
      <c r="AD672">
        <v>-0.20832120000000001</v>
      </c>
      <c r="AE672">
        <v>-0.133600000000001</v>
      </c>
      <c r="AF672">
        <v>0.122534697084264</v>
      </c>
      <c r="AG672">
        <v>-0.20832120000000001</v>
      </c>
      <c r="AH672">
        <v>0.55066917527287795</v>
      </c>
      <c r="AI672">
        <v>110.267862193179</v>
      </c>
      <c r="AJ672">
        <v>77.454955397209602</v>
      </c>
      <c r="AK672">
        <v>0.60137260908249202</v>
      </c>
      <c r="AL672">
        <v>85.958395807354606</v>
      </c>
      <c r="AM672">
        <v>85.977017767430496</v>
      </c>
      <c r="AN672">
        <v>1.00000004798246</v>
      </c>
    </row>
    <row r="673" spans="1:40" x14ac:dyDescent="0.25">
      <c r="A673" t="str">
        <f>"20190312154517349"</f>
        <v>20190312154517349</v>
      </c>
      <c r="B673" t="str">
        <f>"1552376717347012"</f>
        <v>1552376717347012</v>
      </c>
      <c r="C673" t="s">
        <v>40</v>
      </c>
      <c r="D673">
        <v>4.4348229999999997</v>
      </c>
      <c r="E673">
        <v>0.53940519999999903</v>
      </c>
      <c r="F673" t="s">
        <v>41</v>
      </c>
      <c r="G673">
        <v>-278.03059999999999</v>
      </c>
      <c r="H673">
        <v>0.87323609999999896</v>
      </c>
      <c r="I673">
        <v>368.57929999999999</v>
      </c>
      <c r="J673">
        <v>-278.63529999999997</v>
      </c>
      <c r="K673">
        <v>1.0748219999999999</v>
      </c>
      <c r="L673">
        <v>368.709</v>
      </c>
      <c r="M673">
        <v>0.99998109999999996</v>
      </c>
      <c r="N673">
        <v>0</v>
      </c>
      <c r="O673">
        <v>4.0446479999999996E-3</v>
      </c>
      <c r="P673">
        <v>0.99495250000000002</v>
      </c>
      <c r="Q673">
        <v>7.5403529999999996E-2</v>
      </c>
      <c r="R673">
        <v>-6.6213149999999998E-2</v>
      </c>
      <c r="S673">
        <v>3.0390320000000002</v>
      </c>
      <c r="T673">
        <v>-0.75098030000000005</v>
      </c>
      <c r="U673">
        <v>-0.48233029999999999</v>
      </c>
      <c r="V673">
        <v>7.0240800000000006E-2</v>
      </c>
      <c r="W673">
        <v>7.07681E-2</v>
      </c>
      <c r="X673">
        <v>0.99501660000000003</v>
      </c>
      <c r="Y673">
        <v>0.15604379999999901</v>
      </c>
      <c r="Z673">
        <v>-1.9860289999999999E-2</v>
      </c>
      <c r="AA673">
        <v>0.98755040000000005</v>
      </c>
      <c r="AB673">
        <v>22</v>
      </c>
      <c r="AC673">
        <v>0.60469999999997903</v>
      </c>
      <c r="AD673">
        <v>-0.20158590000000001</v>
      </c>
      <c r="AE673">
        <v>-0.129700000000013</v>
      </c>
      <c r="AF673">
        <v>0.119453478082524</v>
      </c>
      <c r="AG673">
        <v>-0.20158590000000001</v>
      </c>
      <c r="AH673">
        <v>0.546145456793661</v>
      </c>
      <c r="AI673">
        <v>109.828413511451</v>
      </c>
      <c r="AJ673">
        <v>77.662498668252994</v>
      </c>
      <c r="AK673">
        <v>0.59429022243444196</v>
      </c>
      <c r="AL673">
        <v>85.941894331913502</v>
      </c>
      <c r="AM673">
        <v>85.962041046109306</v>
      </c>
      <c r="AN673">
        <v>0.99999996411890402</v>
      </c>
    </row>
    <row r="674" spans="1:40" x14ac:dyDescent="0.25">
      <c r="A674" t="str">
        <f>"20190312154517373"</f>
        <v>20190312154517373</v>
      </c>
      <c r="B674" t="str">
        <f>"1552376717366534"</f>
        <v>1552376717366534</v>
      </c>
      <c r="C674" t="s">
        <v>40</v>
      </c>
      <c r="D674">
        <v>4.432563</v>
      </c>
      <c r="E674">
        <v>0.53955819999999999</v>
      </c>
      <c r="F674" t="s">
        <v>41</v>
      </c>
      <c r="G674">
        <v>-277.83440000000002</v>
      </c>
      <c r="H674">
        <v>0.87753389999999998</v>
      </c>
      <c r="I674">
        <v>368.58080000000001</v>
      </c>
      <c r="J674">
        <v>-278.4117</v>
      </c>
      <c r="K674">
        <v>1.0763480000000001</v>
      </c>
      <c r="L674">
        <v>368.7099</v>
      </c>
      <c r="M674">
        <v>0.99998120000000001</v>
      </c>
      <c r="N674">
        <v>0</v>
      </c>
      <c r="O674">
        <v>4.0304119999999997E-3</v>
      </c>
      <c r="P674">
        <v>0.99495359999999999</v>
      </c>
      <c r="Q674">
        <v>7.5671730000000006E-2</v>
      </c>
      <c r="R674">
        <v>-6.588753E-2</v>
      </c>
      <c r="S674">
        <v>3.0396730000000001</v>
      </c>
      <c r="T674">
        <v>-0.74891439999999998</v>
      </c>
      <c r="U674">
        <v>-0.48544310000000002</v>
      </c>
      <c r="V674">
        <v>6.9901169999999999E-2</v>
      </c>
      <c r="W674">
        <v>7.1066329999999997E-2</v>
      </c>
      <c r="X674">
        <v>0.99501930000000005</v>
      </c>
      <c r="Y674">
        <v>0.15698489999999901</v>
      </c>
      <c r="Z674">
        <v>-1.99118E-2</v>
      </c>
      <c r="AA674">
        <v>0.98740019999999995</v>
      </c>
      <c r="AB674">
        <v>22</v>
      </c>
      <c r="AC674">
        <v>0.57729999999997905</v>
      </c>
      <c r="AD674">
        <v>-0.19881409999999899</v>
      </c>
      <c r="AE674">
        <v>-0.129099999999994</v>
      </c>
      <c r="AF674">
        <v>0.118087395280203</v>
      </c>
      <c r="AG674">
        <v>-0.19881409999999899</v>
      </c>
      <c r="AH674">
        <v>0.51823834917385703</v>
      </c>
      <c r="AI674">
        <v>110.50814941886</v>
      </c>
      <c r="AJ674">
        <v>77.163573721769197</v>
      </c>
      <c r="AK674">
        <v>0.567488031448521</v>
      </c>
      <c r="AL674">
        <v>85.924764034978907</v>
      </c>
      <c r="AM674">
        <v>85.981512231008196</v>
      </c>
      <c r="AN674">
        <v>1.0000000020997599</v>
      </c>
    </row>
    <row r="675" spans="1:40" x14ac:dyDescent="0.25">
      <c r="A675" t="str">
        <f>"20190312154517394"</f>
        <v>20190312154517394</v>
      </c>
      <c r="B675" t="str">
        <f>"1552376717387027"</f>
        <v>1552376717387027</v>
      </c>
      <c r="C675" t="s">
        <v>40</v>
      </c>
      <c r="D675">
        <v>4.4996539999999996</v>
      </c>
      <c r="E675">
        <v>0.53962699999999997</v>
      </c>
      <c r="F675" t="s">
        <v>41</v>
      </c>
      <c r="G675">
        <v>-277.63799999999998</v>
      </c>
      <c r="H675">
        <v>0.88557589999999997</v>
      </c>
      <c r="I675">
        <v>368.58629999999999</v>
      </c>
      <c r="J675">
        <v>-278.2011</v>
      </c>
      <c r="K675">
        <v>1.0781829999999999</v>
      </c>
      <c r="L675">
        <v>368.71080000000001</v>
      </c>
      <c r="M675">
        <v>0.99998399999999998</v>
      </c>
      <c r="N675">
        <v>0</v>
      </c>
      <c r="O675">
        <v>4.0163550000000001E-3</v>
      </c>
      <c r="P675">
        <v>0.99499119999999996</v>
      </c>
      <c r="Q675">
        <v>7.5459269999999995E-2</v>
      </c>
      <c r="R675">
        <v>-6.5562570000000001E-2</v>
      </c>
      <c r="S675">
        <v>3.0400999999999998</v>
      </c>
      <c r="T675">
        <v>-0.74957530000000006</v>
      </c>
      <c r="U675">
        <v>-0.48492429999999997</v>
      </c>
      <c r="V675">
        <v>6.9562470000000001E-2</v>
      </c>
      <c r="W675">
        <v>7.1438740000000001E-2</v>
      </c>
      <c r="X675">
        <v>0.99501629999999996</v>
      </c>
      <c r="Y675">
        <v>0.15678439999999999</v>
      </c>
      <c r="Z675">
        <v>-1.9898820000000001E-2</v>
      </c>
      <c r="AA675">
        <v>0.98743239999999999</v>
      </c>
      <c r="AB675">
        <v>22</v>
      </c>
      <c r="AC675">
        <v>0.56310000000001903</v>
      </c>
      <c r="AD675">
        <v>-0.192607099999999</v>
      </c>
      <c r="AE675">
        <v>-0.124500000000011</v>
      </c>
      <c r="AF675">
        <v>0.114040135844621</v>
      </c>
      <c r="AG675">
        <v>-0.192607099999999</v>
      </c>
      <c r="AH675">
        <v>0.50613870653208004</v>
      </c>
      <c r="AI675">
        <v>110.366720148288</v>
      </c>
      <c r="AJ675">
        <v>77.3024937596672</v>
      </c>
      <c r="AK675">
        <v>0.55342482579284102</v>
      </c>
      <c r="AL675">
        <v>85.903371862736904</v>
      </c>
      <c r="AM675">
        <v>86.000908114244695</v>
      </c>
      <c r="AN675">
        <v>0.99999993403548704</v>
      </c>
    </row>
    <row r="676" spans="1:40" x14ac:dyDescent="0.25">
      <c r="A676" t="str">
        <f>"20190312154517418"</f>
        <v>20190312154517418</v>
      </c>
      <c r="B676" t="str">
        <f>"1552376717406548"</f>
        <v>1552376717406548</v>
      </c>
      <c r="C676" t="s">
        <v>40</v>
      </c>
      <c r="D676">
        <v>4.4563240000000004</v>
      </c>
      <c r="E676">
        <v>0.53967600000000004</v>
      </c>
      <c r="F676" t="s">
        <v>41</v>
      </c>
      <c r="G676">
        <v>-277.44209999999998</v>
      </c>
      <c r="H676">
        <v>0.89068040000000004</v>
      </c>
      <c r="I676">
        <v>368.58969999999999</v>
      </c>
      <c r="J676">
        <v>-277.97039999999998</v>
      </c>
      <c r="K676">
        <v>1.080382</v>
      </c>
      <c r="L676">
        <v>368.71159999999998</v>
      </c>
      <c r="M676">
        <v>0.99998549999999997</v>
      </c>
      <c r="N676">
        <v>0</v>
      </c>
      <c r="O676">
        <v>4.000768E-3</v>
      </c>
      <c r="P676">
        <v>0.99499020000000005</v>
      </c>
      <c r="Q676">
        <v>7.5623019999999999E-2</v>
      </c>
      <c r="R676">
        <v>-6.5390370000000003E-2</v>
      </c>
      <c r="S676">
        <v>3.0401919999999998</v>
      </c>
      <c r="T676">
        <v>-0.751112</v>
      </c>
      <c r="U676">
        <v>-0.4837341</v>
      </c>
      <c r="V676">
        <v>6.9374569999999997E-2</v>
      </c>
      <c r="W676">
        <v>7.1990929999999995E-2</v>
      </c>
      <c r="X676">
        <v>0.99498969999999998</v>
      </c>
      <c r="Y676">
        <v>0.15638060000000001</v>
      </c>
      <c r="Z676">
        <v>-1.9885839999999998E-2</v>
      </c>
      <c r="AA676">
        <v>0.98749670000000001</v>
      </c>
      <c r="AB676">
        <v>22</v>
      </c>
      <c r="AC676">
        <v>0.52830000000000099</v>
      </c>
      <c r="AD676">
        <v>-0.189701599999999</v>
      </c>
      <c r="AE676">
        <v>-0.12189999999998199</v>
      </c>
      <c r="AF676">
        <v>0.110486826760819</v>
      </c>
      <c r="AG676">
        <v>-0.189701599999999</v>
      </c>
      <c r="AH676">
        <v>0.47024107813688498</v>
      </c>
      <c r="AI676">
        <v>111.440881847778</v>
      </c>
      <c r="AJ676">
        <v>76.777738142787697</v>
      </c>
      <c r="AK676">
        <v>0.51896118110854395</v>
      </c>
      <c r="AL676">
        <v>85.871652361607104</v>
      </c>
      <c r="AM676">
        <v>86.011569150731802</v>
      </c>
      <c r="AN676">
        <v>1.0000000140355101</v>
      </c>
    </row>
    <row r="677" spans="1:40" x14ac:dyDescent="0.25">
      <c r="A677" t="str">
        <f>"20190312154517439"</f>
        <v>20190312154517439</v>
      </c>
      <c r="B677" t="str">
        <f>"1552376717436804"</f>
        <v>1552376717436804</v>
      </c>
      <c r="C677" t="s">
        <v>40</v>
      </c>
      <c r="D677">
        <v>4.4587209999999997</v>
      </c>
      <c r="E677">
        <v>0.53977969999999997</v>
      </c>
      <c r="F677" t="s">
        <v>41</v>
      </c>
      <c r="G677">
        <v>-277.24169999999998</v>
      </c>
      <c r="H677">
        <v>0.90030730000000003</v>
      </c>
      <c r="I677">
        <v>368.59559999999999</v>
      </c>
      <c r="J677">
        <v>-277.75540000000001</v>
      </c>
      <c r="K677">
        <v>1.0825400000000001</v>
      </c>
      <c r="L677">
        <v>368.71249999999998</v>
      </c>
      <c r="M677">
        <v>0.99998580000000004</v>
      </c>
      <c r="N677">
        <v>0</v>
      </c>
      <c r="O677">
        <v>3.9866390000000002E-3</v>
      </c>
      <c r="P677">
        <v>0.9950156</v>
      </c>
      <c r="Q677">
        <v>7.5438599999999995E-2</v>
      </c>
      <c r="R677">
        <v>-6.5214839999999996E-2</v>
      </c>
      <c r="S677">
        <v>3.0404049999999998</v>
      </c>
      <c r="T677">
        <v>-0.75138519999999998</v>
      </c>
      <c r="U677">
        <v>-0.48397829999999997</v>
      </c>
      <c r="V677">
        <v>6.9185239999999995E-2</v>
      </c>
      <c r="W677">
        <v>7.1904850000000006E-2</v>
      </c>
      <c r="X677">
        <v>0.99500909999999998</v>
      </c>
      <c r="Y677">
        <v>0.1564295</v>
      </c>
      <c r="Z677">
        <v>-1.9893910000000001E-2</v>
      </c>
      <c r="AA677">
        <v>0.9874887</v>
      </c>
      <c r="AB677">
        <v>22</v>
      </c>
      <c r="AC677">
        <v>0.51370000000002802</v>
      </c>
      <c r="AD677">
        <v>-0.1822327</v>
      </c>
      <c r="AE677">
        <v>-0.116899999999986</v>
      </c>
      <c r="AF677">
        <v>0.10623606475217599</v>
      </c>
      <c r="AG677">
        <v>-0.1822327</v>
      </c>
      <c r="AH677">
        <v>0.45838493715342099</v>
      </c>
      <c r="AI677">
        <v>111.17081731137</v>
      </c>
      <c r="AJ677">
        <v>76.951406718475198</v>
      </c>
      <c r="AK677">
        <v>0.50459053599177295</v>
      </c>
      <c r="AL677">
        <v>85.876597168191594</v>
      </c>
      <c r="AM677">
        <v>86.022496286527002</v>
      </c>
      <c r="AN677">
        <v>1.0000000069850901</v>
      </c>
    </row>
    <row r="678" spans="1:40" x14ac:dyDescent="0.25">
      <c r="A678" t="str">
        <f>"20190312154517463"</f>
        <v>20190312154517463</v>
      </c>
      <c r="B678" t="str">
        <f>"1552376717457299"</f>
        <v>1552376717457299</v>
      </c>
      <c r="C678" t="s">
        <v>40</v>
      </c>
      <c r="D678">
        <v>4.4576460000000004</v>
      </c>
      <c r="E678">
        <v>0.53983789999999998</v>
      </c>
      <c r="F678" t="s">
        <v>41</v>
      </c>
      <c r="G678">
        <v>-277.04059999999998</v>
      </c>
      <c r="H678">
        <v>0.90547480000000002</v>
      </c>
      <c r="I678">
        <v>368.5985</v>
      </c>
      <c r="J678">
        <v>-277.52179999999998</v>
      </c>
      <c r="K678">
        <v>1.085048</v>
      </c>
      <c r="L678">
        <v>368.71339999999998</v>
      </c>
      <c r="M678">
        <v>0.99998699999999996</v>
      </c>
      <c r="N678">
        <v>0</v>
      </c>
      <c r="O678">
        <v>3.9727529999999999E-3</v>
      </c>
      <c r="P678">
        <v>0.9950118</v>
      </c>
      <c r="Q678">
        <v>7.4968140000000003E-2</v>
      </c>
      <c r="R678">
        <v>-6.5814319999999996E-2</v>
      </c>
      <c r="S678">
        <v>3.0404049999999998</v>
      </c>
      <c r="T678">
        <v>-0.75316359999999904</v>
      </c>
      <c r="U678">
        <v>-0.48397829999999997</v>
      </c>
      <c r="V678">
        <v>6.9770970000000002E-2</v>
      </c>
      <c r="W678">
        <v>7.1753120000000004E-2</v>
      </c>
      <c r="X678">
        <v>0.99497910000000001</v>
      </c>
      <c r="Y678">
        <v>0.15639520000000001</v>
      </c>
      <c r="Z678">
        <v>-1.9932100000000001E-2</v>
      </c>
      <c r="AA678">
        <v>0.98749339999999997</v>
      </c>
      <c r="AB678">
        <v>22</v>
      </c>
      <c r="AC678">
        <v>0.48120000000000102</v>
      </c>
      <c r="AD678">
        <v>-0.17957319999999999</v>
      </c>
      <c r="AE678">
        <v>-0.11489999999997701</v>
      </c>
      <c r="AF678">
        <v>0.103212538325558</v>
      </c>
      <c r="AG678">
        <v>-0.17957319999999999</v>
      </c>
      <c r="AH678">
        <v>0.42477554643444698</v>
      </c>
      <c r="AI678">
        <v>112.332645633098</v>
      </c>
      <c r="AJ678">
        <v>76.3428605338339</v>
      </c>
      <c r="AK678">
        <v>0.47258187340875502</v>
      </c>
      <c r="AL678">
        <v>85.885312951971301</v>
      </c>
      <c r="AM678">
        <v>85.988811204456795</v>
      </c>
      <c r="AN678">
        <v>0.99999995396064101</v>
      </c>
    </row>
    <row r="679" spans="1:40" x14ac:dyDescent="0.25">
      <c r="A679" t="str">
        <f>"20190312154517484"</f>
        <v>20190312154517484</v>
      </c>
      <c r="B679" t="str">
        <f>"1552376717476819"</f>
        <v>1552376717476819</v>
      </c>
      <c r="C679" t="s">
        <v>40</v>
      </c>
      <c r="D679">
        <v>4.4636209999999998</v>
      </c>
      <c r="E679">
        <v>0.53991309999999904</v>
      </c>
      <c r="F679" t="s">
        <v>41</v>
      </c>
      <c r="G679">
        <v>-276.83640000000003</v>
      </c>
      <c r="H679">
        <v>0.91476009999999996</v>
      </c>
      <c r="I679">
        <v>368.6037</v>
      </c>
      <c r="J679">
        <v>-277.30650000000003</v>
      </c>
      <c r="K679">
        <v>1.087475</v>
      </c>
      <c r="L679">
        <v>368.71429999999998</v>
      </c>
      <c r="M679">
        <v>0.99998900000000002</v>
      </c>
      <c r="N679">
        <v>0</v>
      </c>
      <c r="O679">
        <v>3.9605320000000001E-3</v>
      </c>
      <c r="P679">
        <v>0.99499510000000002</v>
      </c>
      <c r="Q679">
        <v>7.4274820000000005E-2</v>
      </c>
      <c r="R679">
        <v>-6.6846669999999997E-2</v>
      </c>
      <c r="S679">
        <v>3.0397639999999999</v>
      </c>
      <c r="T679">
        <v>-0.75526309999999997</v>
      </c>
      <c r="U679">
        <v>-0.48641970000000001</v>
      </c>
      <c r="V679">
        <v>7.0791080000000006E-2</v>
      </c>
      <c r="W679">
        <v>7.1725070000000002E-2</v>
      </c>
      <c r="X679">
        <v>0.99490909999999999</v>
      </c>
      <c r="Y679">
        <v>0.1571399</v>
      </c>
      <c r="Z679">
        <v>-2.0076500000000001E-2</v>
      </c>
      <c r="AA679">
        <v>0.98737229999999998</v>
      </c>
      <c r="AB679">
        <v>22</v>
      </c>
      <c r="AC679">
        <v>0.47010000000000202</v>
      </c>
      <c r="AD679">
        <v>-0.17271489999999901</v>
      </c>
      <c r="AE679">
        <v>-0.110599999999976</v>
      </c>
      <c r="AF679">
        <v>9.9707996614720407E-2</v>
      </c>
      <c r="AG679">
        <v>-0.17271489999999901</v>
      </c>
      <c r="AH679">
        <v>0.41639939455555097</v>
      </c>
      <c r="AI679">
        <v>111.96809443613201</v>
      </c>
      <c r="AJ679">
        <v>76.533915676608601</v>
      </c>
      <c r="AK679">
        <v>0.46169316332079302</v>
      </c>
      <c r="AL679">
        <v>85.886924398638797</v>
      </c>
      <c r="AM679">
        <v>85.930074535948506</v>
      </c>
      <c r="AN679">
        <v>0.99999998996843997</v>
      </c>
    </row>
    <row r="680" spans="1:40" x14ac:dyDescent="0.25">
      <c r="A680" t="str">
        <f>"20190312154517508"</f>
        <v>20190312154517508</v>
      </c>
      <c r="B680" t="str">
        <f>"1552376717497315"</f>
        <v>1552376717497315</v>
      </c>
      <c r="C680" t="s">
        <v>40</v>
      </c>
      <c r="D680">
        <v>4.5287980000000001</v>
      </c>
      <c r="E680">
        <v>0.54002079999999997</v>
      </c>
      <c r="F680" t="s">
        <v>41</v>
      </c>
      <c r="G680">
        <v>-276.44990000000001</v>
      </c>
      <c r="H680">
        <v>0.87372059999999996</v>
      </c>
      <c r="I680">
        <v>368.57580000000002</v>
      </c>
      <c r="J680">
        <v>-277.0686</v>
      </c>
      <c r="K680">
        <v>1.0900989999999999</v>
      </c>
      <c r="L680">
        <v>368.71519999999998</v>
      </c>
      <c r="M680">
        <v>0.99999090000000002</v>
      </c>
      <c r="N680">
        <v>0</v>
      </c>
      <c r="O680">
        <v>3.9466739999999998E-3</v>
      </c>
      <c r="P680">
        <v>0.99498750000000002</v>
      </c>
      <c r="Q680">
        <v>7.3784169999999996E-2</v>
      </c>
      <c r="R680">
        <v>-6.7497059999999998E-2</v>
      </c>
      <c r="S680">
        <v>3.0387270000000002</v>
      </c>
      <c r="T680">
        <v>-0.75827860000000002</v>
      </c>
      <c r="U680">
        <v>-0.4906006</v>
      </c>
      <c r="V680">
        <v>7.1427690000000002E-2</v>
      </c>
      <c r="W680">
        <v>7.2128380000000006E-2</v>
      </c>
      <c r="X680">
        <v>0.99483440000000001</v>
      </c>
      <c r="Y680">
        <v>0.15842529999999999</v>
      </c>
      <c r="Z680">
        <v>-2.0312420000000001E-2</v>
      </c>
      <c r="AA680">
        <v>0.98716199999999998</v>
      </c>
      <c r="AB680">
        <v>23</v>
      </c>
      <c r="AC680">
        <v>0.61869999999998904</v>
      </c>
      <c r="AD680">
        <v>-0.2163784</v>
      </c>
      <c r="AE680">
        <v>-0.139399999999966</v>
      </c>
      <c r="AF680">
        <v>0.12705161214782901</v>
      </c>
      <c r="AG680">
        <v>-0.2163784</v>
      </c>
      <c r="AH680">
        <v>0.55369373474693095</v>
      </c>
      <c r="AI680">
        <v>110.85143148721301</v>
      </c>
      <c r="AJ680">
        <v>77.076521192873301</v>
      </c>
      <c r="AK680">
        <v>0.60789676428973305</v>
      </c>
      <c r="AL680">
        <v>85.863756268042394</v>
      </c>
      <c r="AM680">
        <v>85.893291875620207</v>
      </c>
      <c r="AN680">
        <v>0.99999995076175896</v>
      </c>
    </row>
    <row r="681" spans="1:40" x14ac:dyDescent="0.25">
      <c r="A681" t="str">
        <f>"20190312154517529"</f>
        <v>20190312154517529</v>
      </c>
      <c r="B681" t="str">
        <f>"1552376717526595"</f>
        <v>1552376717526595</v>
      </c>
      <c r="C681" t="s">
        <v>40</v>
      </c>
      <c r="D681">
        <v>4.5413240000000004</v>
      </c>
      <c r="E681">
        <v>0.54328669999999901</v>
      </c>
      <c r="F681" t="s">
        <v>41</v>
      </c>
      <c r="G681">
        <v>-276.24360000000001</v>
      </c>
      <c r="H681">
        <v>0.88357960000000002</v>
      </c>
      <c r="I681">
        <v>368.58069999999998</v>
      </c>
      <c r="J681">
        <v>-276.84679999999997</v>
      </c>
      <c r="K681">
        <v>1.0923830000000001</v>
      </c>
      <c r="L681">
        <v>368.71609999999998</v>
      </c>
      <c r="M681">
        <v>0.99999199999999999</v>
      </c>
      <c r="N681">
        <v>0</v>
      </c>
      <c r="O681">
        <v>3.9332159999999998E-3</v>
      </c>
      <c r="P681">
        <v>0.9950485</v>
      </c>
      <c r="Q681">
        <v>7.2742230000000005E-2</v>
      </c>
      <c r="R681">
        <v>-6.7730460000000006E-2</v>
      </c>
      <c r="S681">
        <v>3.0379939999999999</v>
      </c>
      <c r="T681">
        <v>-0.76049140000000004</v>
      </c>
      <c r="U681">
        <v>-0.49401859999999997</v>
      </c>
      <c r="V681">
        <v>7.1647870000000002E-2</v>
      </c>
      <c r="W681">
        <v>7.1898669999999998E-2</v>
      </c>
      <c r="X681">
        <v>0.99483529999999998</v>
      </c>
      <c r="Y681">
        <v>0.15947130000000001</v>
      </c>
      <c r="Z681">
        <v>-2.049776E-2</v>
      </c>
      <c r="AA681">
        <v>0.98698969999999997</v>
      </c>
      <c r="AB681">
        <v>23</v>
      </c>
      <c r="AC681">
        <v>0.60319999999995799</v>
      </c>
      <c r="AD681">
        <v>-0.208803399999999</v>
      </c>
      <c r="AE681">
        <v>-0.13540000000000399</v>
      </c>
      <c r="AF681">
        <v>0.12366407311994999</v>
      </c>
      <c r="AG681">
        <v>-0.208803399999999</v>
      </c>
      <c r="AH681">
        <v>0.540951868422893</v>
      </c>
      <c r="AI681">
        <v>110.62058738639701</v>
      </c>
      <c r="AJ681">
        <v>77.123193482316495</v>
      </c>
      <c r="AK681">
        <v>0.59289171589961998</v>
      </c>
      <c r="AL681">
        <v>85.876952373582498</v>
      </c>
      <c r="AM681">
        <v>85.880679935112298</v>
      </c>
      <c r="AN681">
        <v>1.0000000550746899</v>
      </c>
    </row>
    <row r="682" spans="1:40" x14ac:dyDescent="0.25">
      <c r="A682" t="str">
        <f>"20190312154517550"</f>
        <v>20190312154517550</v>
      </c>
      <c r="B682" t="str">
        <f>"1552376717547091"</f>
        <v>1552376717547091</v>
      </c>
      <c r="C682" t="s">
        <v>40</v>
      </c>
      <c r="D682">
        <v>4.5312190000000001</v>
      </c>
      <c r="E682">
        <v>0.54170180000000001</v>
      </c>
      <c r="F682" t="s">
        <v>41</v>
      </c>
      <c r="G682">
        <v>-276.04109999999997</v>
      </c>
      <c r="H682">
        <v>0.88114049999999999</v>
      </c>
      <c r="I682">
        <v>368.57810000000001</v>
      </c>
      <c r="J682">
        <v>-276.62520000000001</v>
      </c>
      <c r="K682">
        <v>1.0944860000000001</v>
      </c>
      <c r="L682">
        <v>368.71690000000001</v>
      </c>
      <c r="M682">
        <v>0.99999249999999995</v>
      </c>
      <c r="N682">
        <v>0</v>
      </c>
      <c r="O682">
        <v>3.9190650000000002E-3</v>
      </c>
      <c r="P682">
        <v>0.99515989999999999</v>
      </c>
      <c r="Q682">
        <v>7.1263660000000006E-2</v>
      </c>
      <c r="R682">
        <v>-6.766614E-2</v>
      </c>
      <c r="S682">
        <v>3.037811</v>
      </c>
      <c r="T682">
        <v>-0.79652670000000003</v>
      </c>
      <c r="U682">
        <v>-0.51950070000000004</v>
      </c>
      <c r="V682">
        <v>7.1569930000000004E-2</v>
      </c>
      <c r="W682">
        <v>7.1191439999999995E-2</v>
      </c>
      <c r="X682">
        <v>0.99489170000000005</v>
      </c>
      <c r="Y682">
        <v>0.16681509999999999</v>
      </c>
      <c r="Z682">
        <v>-2.2362420000000001E-2</v>
      </c>
      <c r="AA682">
        <v>0.98573460000000002</v>
      </c>
      <c r="AB682">
        <v>23</v>
      </c>
      <c r="AC682">
        <v>0.58410000000003404</v>
      </c>
      <c r="AD682">
        <v>-0.21334549999999999</v>
      </c>
      <c r="AE682">
        <v>-0.138800000000003</v>
      </c>
      <c r="AF682">
        <v>0.12526903067544101</v>
      </c>
      <c r="AG682">
        <v>-0.21334549999999999</v>
      </c>
      <c r="AH682">
        <v>0.518122774102726</v>
      </c>
      <c r="AI682">
        <v>111.81299448008799</v>
      </c>
      <c r="AJ682">
        <v>76.408155164217803</v>
      </c>
      <c r="AK682">
        <v>0.57416011831240799</v>
      </c>
      <c r="AL682">
        <v>85.917577489207005</v>
      </c>
      <c r="AM682">
        <v>85.885378082101994</v>
      </c>
      <c r="AN682">
        <v>0.999999985369184</v>
      </c>
    </row>
    <row r="683" spans="1:40" x14ac:dyDescent="0.25">
      <c r="A683" t="str">
        <f>"20190312154517574"</f>
        <v>20190312154517574</v>
      </c>
      <c r="B683" t="str">
        <f>"1552376717566612"</f>
        <v>1552376717566612</v>
      </c>
      <c r="C683" t="s">
        <v>40</v>
      </c>
      <c r="D683">
        <v>4.5723969999999996</v>
      </c>
      <c r="E683">
        <v>0.54164199999999996</v>
      </c>
      <c r="F683" t="s">
        <v>41</v>
      </c>
      <c r="G683">
        <v>-275.83449999999999</v>
      </c>
      <c r="H683">
        <v>0.88787459999999996</v>
      </c>
      <c r="I683">
        <v>368.58479999999997</v>
      </c>
      <c r="J683">
        <v>-276.39190000000002</v>
      </c>
      <c r="K683">
        <v>1.0964959999999999</v>
      </c>
      <c r="L683">
        <v>368.71789999999999</v>
      </c>
      <c r="M683">
        <v>0.99999229999999995</v>
      </c>
      <c r="N683">
        <v>0</v>
      </c>
      <c r="O683">
        <v>3.9047919999999998E-3</v>
      </c>
      <c r="P683">
        <v>0.99530669999999999</v>
      </c>
      <c r="Q683">
        <v>6.9469279999999994E-2</v>
      </c>
      <c r="R683">
        <v>-6.7373920000000004E-2</v>
      </c>
      <c r="S683">
        <v>3.0370180000000002</v>
      </c>
      <c r="T683">
        <v>-0.79363379999999994</v>
      </c>
      <c r="U683">
        <v>-0.50613399999999997</v>
      </c>
      <c r="V683">
        <v>7.126383E-2</v>
      </c>
      <c r="W683">
        <v>7.0166409999999999E-2</v>
      </c>
      <c r="X683">
        <v>0.9949865</v>
      </c>
      <c r="Y683">
        <v>0.1627885</v>
      </c>
      <c r="Z683">
        <v>-2.1779389999999999E-2</v>
      </c>
      <c r="AA683">
        <v>0.98642059999999998</v>
      </c>
      <c r="AB683">
        <v>23</v>
      </c>
      <c r="AC683">
        <v>0.55740000000002898</v>
      </c>
      <c r="AD683">
        <v>-0.20862140000000001</v>
      </c>
      <c r="AE683">
        <v>-0.13310000000001301</v>
      </c>
      <c r="AF683">
        <v>0.119445845211753</v>
      </c>
      <c r="AG683">
        <v>-0.20862140000000001</v>
      </c>
      <c r="AH683">
        <v>0.49171150052740897</v>
      </c>
      <c r="AI683">
        <v>112.405667867107</v>
      </c>
      <c r="AJ683">
        <v>76.346258443222595</v>
      </c>
      <c r="AK683">
        <v>0.54733024603727698</v>
      </c>
      <c r="AL683">
        <v>85.9764546767273</v>
      </c>
      <c r="AM683">
        <v>85.903305031344104</v>
      </c>
      <c r="AN683">
        <v>0.99999999687040297</v>
      </c>
    </row>
    <row r="684" spans="1:40" x14ac:dyDescent="0.25">
      <c r="A684" t="str">
        <f>"20190312154517595"</f>
        <v>20190312154517595</v>
      </c>
      <c r="B684" t="str">
        <f>"1552376717587108"</f>
        <v>1552376717587108</v>
      </c>
      <c r="C684" t="s">
        <v>40</v>
      </c>
      <c r="D684">
        <v>4.5552419999999998</v>
      </c>
      <c r="E684">
        <v>0.54173280000000001</v>
      </c>
      <c r="F684" t="s">
        <v>41</v>
      </c>
      <c r="G684">
        <v>-275.62689999999998</v>
      </c>
      <c r="H684">
        <v>0.89506719999999895</v>
      </c>
      <c r="I684">
        <v>368.59070000000003</v>
      </c>
      <c r="J684">
        <v>-276.16919999999999</v>
      </c>
      <c r="K684">
        <v>1.0982179999999999</v>
      </c>
      <c r="L684">
        <v>368.71870000000001</v>
      </c>
      <c r="M684">
        <v>0.99999150000000003</v>
      </c>
      <c r="N684">
        <v>0</v>
      </c>
      <c r="O684">
        <v>3.8914240000000001E-3</v>
      </c>
      <c r="P684">
        <v>0.99539599999999995</v>
      </c>
      <c r="Q684">
        <v>6.849848E-2</v>
      </c>
      <c r="R684">
        <v>-6.7041550000000005E-2</v>
      </c>
      <c r="S684">
        <v>3.0358890000000001</v>
      </c>
      <c r="T684">
        <v>-0.79940580000000006</v>
      </c>
      <c r="U684">
        <v>-0.5036621</v>
      </c>
      <c r="V684">
        <v>7.0918819999999994E-2</v>
      </c>
      <c r="W684">
        <v>6.9869120000000007E-2</v>
      </c>
      <c r="X684">
        <v>0.99503209999999997</v>
      </c>
      <c r="Y684">
        <v>0.1619968</v>
      </c>
      <c r="Z684">
        <v>-2.1836589999999999E-2</v>
      </c>
      <c r="AA684">
        <v>0.98654960000000003</v>
      </c>
      <c r="AB684">
        <v>23</v>
      </c>
      <c r="AC684">
        <v>0.542300000000011</v>
      </c>
      <c r="AD684">
        <v>-0.20315079999999999</v>
      </c>
      <c r="AE684">
        <v>-0.12799999999998499</v>
      </c>
      <c r="AF684">
        <v>0.11484355580634099</v>
      </c>
      <c r="AG684">
        <v>-0.20315079999999999</v>
      </c>
      <c r="AH684">
        <v>0.478228381721226</v>
      </c>
      <c r="AI684">
        <v>112.443336601049</v>
      </c>
      <c r="AJ684">
        <v>76.496479405078702</v>
      </c>
      <c r="AK684">
        <v>0.53212937800368298</v>
      </c>
      <c r="AL684">
        <v>85.993530165338797</v>
      </c>
      <c r="AM684">
        <v>85.923257550763495</v>
      </c>
      <c r="AN684">
        <v>1.0000000264950799</v>
      </c>
    </row>
    <row r="685" spans="1:40" x14ac:dyDescent="0.25">
      <c r="A685" t="str">
        <f>"20190312154517618"</f>
        <v>20190312154517618</v>
      </c>
      <c r="B685" t="str">
        <f>"1552376717606627"</f>
        <v>1552376717606627</v>
      </c>
      <c r="C685" t="s">
        <v>40</v>
      </c>
      <c r="D685">
        <v>4.5581969999999998</v>
      </c>
      <c r="E685">
        <v>0.54163509999999904</v>
      </c>
      <c r="F685" t="s">
        <v>41</v>
      </c>
      <c r="G685">
        <v>-275.41930000000002</v>
      </c>
      <c r="H685">
        <v>0.90000709999999995</v>
      </c>
      <c r="I685">
        <v>368.59410000000003</v>
      </c>
      <c r="J685">
        <v>-275.93270000000001</v>
      </c>
      <c r="K685">
        <v>1.099828</v>
      </c>
      <c r="L685">
        <v>368.71960000000001</v>
      </c>
      <c r="M685">
        <v>0.99999059999999995</v>
      </c>
      <c r="N685">
        <v>0</v>
      </c>
      <c r="O685">
        <v>3.876918E-3</v>
      </c>
      <c r="P685">
        <v>0.99542609999999998</v>
      </c>
      <c r="Q685">
        <v>6.8317149999999993E-2</v>
      </c>
      <c r="R685">
        <v>-6.6784250000000003E-2</v>
      </c>
      <c r="S685">
        <v>3.0352169999999998</v>
      </c>
      <c r="T685">
        <v>-0.8023458</v>
      </c>
      <c r="U685">
        <v>-0.50292970000000004</v>
      </c>
      <c r="V685">
        <v>7.0647000000000001E-2</v>
      </c>
      <c r="W685">
        <v>7.0318149999999996E-2</v>
      </c>
      <c r="X685">
        <v>0.99501980000000001</v>
      </c>
      <c r="Y685">
        <v>0.16175209999999901</v>
      </c>
      <c r="Z685">
        <v>-2.1883989999999999E-2</v>
      </c>
      <c r="AA685">
        <v>0.98658869999999999</v>
      </c>
      <c r="AB685">
        <v>23</v>
      </c>
      <c r="AC685">
        <v>0.51339999999998998</v>
      </c>
      <c r="AD685">
        <v>-0.1998209</v>
      </c>
      <c r="AE685">
        <v>-0.12549999999998801</v>
      </c>
      <c r="AF685">
        <v>0.111544853912015</v>
      </c>
      <c r="AG685">
        <v>-0.1998209</v>
      </c>
      <c r="AH685">
        <v>0.44876196350289899</v>
      </c>
      <c r="AI685">
        <v>113.370267030359</v>
      </c>
      <c r="AJ685">
        <v>76.041365662414606</v>
      </c>
      <c r="AK685">
        <v>0.50374392939075696</v>
      </c>
      <c r="AL685">
        <v>85.967739187180399</v>
      </c>
      <c r="AM685">
        <v>85.938780606424501</v>
      </c>
      <c r="AN685">
        <v>1.00000002161023</v>
      </c>
    </row>
    <row r="686" spans="1:40" x14ac:dyDescent="0.25">
      <c r="A686" t="str">
        <f>"20190312154517632"</f>
        <v>20190312154517632</v>
      </c>
      <c r="B686" t="str">
        <f>"1552376717627126"</f>
        <v>1552376717627126</v>
      </c>
      <c r="C686" t="s">
        <v>40</v>
      </c>
      <c r="D686">
        <v>4.5742949999999896</v>
      </c>
      <c r="E686">
        <v>0.54156780000000004</v>
      </c>
      <c r="F686" t="s">
        <v>41</v>
      </c>
      <c r="G686">
        <v>-275.20940000000002</v>
      </c>
      <c r="H686">
        <v>0.90872909999999996</v>
      </c>
      <c r="I686">
        <v>368.6001</v>
      </c>
      <c r="J686">
        <v>-275.78539999999998</v>
      </c>
      <c r="K686">
        <v>1.1007199999999999</v>
      </c>
      <c r="L686">
        <v>368.72019999999998</v>
      </c>
      <c r="M686">
        <v>0.99998980000000004</v>
      </c>
      <c r="N686">
        <v>0</v>
      </c>
      <c r="O686">
        <v>3.8679410000000002E-3</v>
      </c>
      <c r="P686">
        <v>0.9954385</v>
      </c>
      <c r="Q686">
        <v>6.7881079999999996E-2</v>
      </c>
      <c r="R686">
        <v>-6.7040440000000007E-2</v>
      </c>
      <c r="S686">
        <v>3.0351560000000002</v>
      </c>
      <c r="T686">
        <v>-0.80183850000000001</v>
      </c>
      <c r="U686">
        <v>-0.50167850000000003</v>
      </c>
      <c r="V686">
        <v>7.0894570000000004E-2</v>
      </c>
      <c r="W686">
        <v>7.0228719999999994E-2</v>
      </c>
      <c r="X686">
        <v>0.99500849999999996</v>
      </c>
      <c r="Y686">
        <v>0.16136989999999901</v>
      </c>
      <c r="Z686">
        <v>-2.182009E-2</v>
      </c>
      <c r="AA686">
        <v>0.98665270000000005</v>
      </c>
      <c r="AB686">
        <v>23</v>
      </c>
      <c r="AC686">
        <v>0.57599999999996498</v>
      </c>
      <c r="AD686">
        <v>-0.19199089999999999</v>
      </c>
      <c r="AE686">
        <v>-0.120099999999979</v>
      </c>
      <c r="AF686">
        <v>0.110555959991401</v>
      </c>
      <c r="AG686">
        <v>-0.19199089999999999</v>
      </c>
      <c r="AH686">
        <v>0.52014990270614003</v>
      </c>
      <c r="AI686">
        <v>109.851698374496</v>
      </c>
      <c r="AJ686">
        <v>78.000560140959493</v>
      </c>
      <c r="AK686">
        <v>0.56536629476617895</v>
      </c>
      <c r="AL686">
        <v>85.972875817445697</v>
      </c>
      <c r="AM686">
        <v>85.924550520264404</v>
      </c>
      <c r="AN686">
        <v>1.0000000141202801</v>
      </c>
    </row>
    <row r="687" spans="1:40" x14ac:dyDescent="0.25">
      <c r="A687" t="str">
        <f>"20190312154517651"</f>
        <v>20190312154517651</v>
      </c>
      <c r="B687" t="str">
        <f>"1552376717646643"</f>
        <v>1552376717646643</v>
      </c>
      <c r="C687" t="s">
        <v>40</v>
      </c>
      <c r="D687">
        <v>4.5706989999999896</v>
      </c>
      <c r="E687">
        <v>0.54158339999999905</v>
      </c>
      <c r="F687" t="s">
        <v>41</v>
      </c>
      <c r="G687">
        <v>-275.00720000000001</v>
      </c>
      <c r="H687">
        <v>0.89483590000000002</v>
      </c>
      <c r="I687">
        <v>368.59120000000001</v>
      </c>
      <c r="J687">
        <v>-275.58870000000002</v>
      </c>
      <c r="K687">
        <v>1.1018019999999999</v>
      </c>
      <c r="L687">
        <v>368.72089999999997</v>
      </c>
      <c r="M687">
        <v>0.99998880000000001</v>
      </c>
      <c r="N687">
        <v>0</v>
      </c>
      <c r="O687">
        <v>3.8559340000000001E-3</v>
      </c>
      <c r="P687">
        <v>0.99540649999999997</v>
      </c>
      <c r="Q687">
        <v>6.8413329999999994E-2</v>
      </c>
      <c r="R687">
        <v>-6.6976670000000002E-2</v>
      </c>
      <c r="S687">
        <v>3.034729</v>
      </c>
      <c r="T687">
        <v>-0.80282769999999903</v>
      </c>
      <c r="U687">
        <v>-0.50204470000000001</v>
      </c>
      <c r="V687">
        <v>7.0818660000000005E-2</v>
      </c>
      <c r="W687">
        <v>7.1184280000000003E-2</v>
      </c>
      <c r="X687">
        <v>0.994946</v>
      </c>
      <c r="Y687">
        <v>0.16147829999999999</v>
      </c>
      <c r="Z687">
        <v>-2.1859770000000001E-2</v>
      </c>
      <c r="AA687">
        <v>0.98663409999999996</v>
      </c>
      <c r="AB687">
        <v>23</v>
      </c>
      <c r="AC687">
        <v>0.58150000000000501</v>
      </c>
      <c r="AD687">
        <v>-0.20696609999999999</v>
      </c>
      <c r="AE687">
        <v>-0.12969999999995699</v>
      </c>
      <c r="AF687">
        <v>0.117733854734819</v>
      </c>
      <c r="AG687">
        <v>-0.20696609999999999</v>
      </c>
      <c r="AH687">
        <v>0.51843405022925304</v>
      </c>
      <c r="AI687">
        <v>111.271041100502</v>
      </c>
      <c r="AJ687">
        <v>77.2054093932406</v>
      </c>
      <c r="AK687">
        <v>0.57049986111921003</v>
      </c>
      <c r="AL687">
        <v>85.917988885959502</v>
      </c>
      <c r="AM687">
        <v>85.928644730229806</v>
      </c>
      <c r="AN687">
        <v>1.0000000136196501</v>
      </c>
    </row>
    <row r="688" spans="1:40" x14ac:dyDescent="0.25">
      <c r="A688" t="str">
        <f>"20190312154517673"</f>
        <v>20190312154517673</v>
      </c>
      <c r="B688" t="str">
        <f>"1552376717667139"</f>
        <v>1552376717667139</v>
      </c>
      <c r="C688" t="s">
        <v>40</v>
      </c>
      <c r="D688">
        <v>4.4879920000000002</v>
      </c>
      <c r="E688">
        <v>0.54140969999999999</v>
      </c>
      <c r="F688" t="s">
        <v>41</v>
      </c>
      <c r="G688">
        <v>-274.79930000000002</v>
      </c>
      <c r="H688">
        <v>0.8935921</v>
      </c>
      <c r="I688">
        <v>368.59030000000001</v>
      </c>
      <c r="J688">
        <v>-275.35320000000002</v>
      </c>
      <c r="K688">
        <v>1.102932</v>
      </c>
      <c r="L688">
        <v>368.72179999999997</v>
      </c>
      <c r="M688">
        <v>0.99998739999999997</v>
      </c>
      <c r="N688">
        <v>0</v>
      </c>
      <c r="O688">
        <v>3.8419389999999999E-3</v>
      </c>
      <c r="P688">
        <v>0.99540099999999998</v>
      </c>
      <c r="Q688">
        <v>6.8437150000000002E-2</v>
      </c>
      <c r="R688">
        <v>-6.7033200000000001E-2</v>
      </c>
      <c r="S688">
        <v>3.0350649999999999</v>
      </c>
      <c r="T688">
        <v>-0.80064269999999904</v>
      </c>
      <c r="U688">
        <v>-0.50210569999999999</v>
      </c>
      <c r="V688">
        <v>7.0861190000000004E-2</v>
      </c>
      <c r="W688">
        <v>7.1660860000000007E-2</v>
      </c>
      <c r="X688">
        <v>0.99490880000000004</v>
      </c>
      <c r="Y688">
        <v>0.1614969</v>
      </c>
      <c r="Z688">
        <v>-2.1798660000000001E-2</v>
      </c>
      <c r="AA688">
        <v>0.98663239999999996</v>
      </c>
      <c r="AB688">
        <v>23</v>
      </c>
      <c r="AC688">
        <v>0.55389999999999795</v>
      </c>
      <c r="AD688">
        <v>-0.2093399</v>
      </c>
      <c r="AE688">
        <v>-0.13149999999995901</v>
      </c>
      <c r="AF688">
        <v>0.117710708035869</v>
      </c>
      <c r="AG688">
        <v>-0.2093399</v>
      </c>
      <c r="AH688">
        <v>0.48747608112194302</v>
      </c>
      <c r="AI688">
        <v>112.65754675513</v>
      </c>
      <c r="AJ688">
        <v>76.424671350971707</v>
      </c>
      <c r="AK688">
        <v>0.54342610738197195</v>
      </c>
      <c r="AL688">
        <v>85.890613114389097</v>
      </c>
      <c r="AM688">
        <v>85.926056108145701</v>
      </c>
      <c r="AN688">
        <v>1.00000005371079</v>
      </c>
    </row>
    <row r="689" spans="1:40" x14ac:dyDescent="0.25">
      <c r="A689" t="str">
        <f>"20190312154517709"</f>
        <v>20190312154517709</v>
      </c>
      <c r="B689" t="str">
        <f>"1552376717696420"</f>
        <v>1552376717696420</v>
      </c>
      <c r="C689" t="s">
        <v>40</v>
      </c>
      <c r="D689">
        <v>4.6017839999999897</v>
      </c>
      <c r="E689">
        <v>0.54108809999999996</v>
      </c>
      <c r="F689" t="s">
        <v>41</v>
      </c>
      <c r="G689">
        <v>-274.5874</v>
      </c>
      <c r="H689">
        <v>0.90112270000000005</v>
      </c>
      <c r="I689">
        <v>368.59539999999998</v>
      </c>
      <c r="J689">
        <v>-274.99380000000002</v>
      </c>
      <c r="K689">
        <v>1.1043540000000001</v>
      </c>
      <c r="L689">
        <v>368.72320000000002</v>
      </c>
      <c r="M689">
        <v>0.99998540000000002</v>
      </c>
      <c r="N689">
        <v>0</v>
      </c>
      <c r="O689">
        <v>3.8199969999999999E-3</v>
      </c>
      <c r="P689">
        <v>0.99542489999999995</v>
      </c>
      <c r="Q689">
        <v>6.7827380000000007E-2</v>
      </c>
      <c r="R689">
        <v>-6.729723E-2</v>
      </c>
      <c r="S689">
        <v>3.0351870000000001</v>
      </c>
      <c r="T689">
        <v>-0.79985249999999997</v>
      </c>
      <c r="U689">
        <v>-0.50045779999999995</v>
      </c>
      <c r="V689">
        <v>7.1103570000000005E-2</v>
      </c>
      <c r="W689">
        <v>7.1644689999999997E-2</v>
      </c>
      <c r="X689">
        <v>0.99489260000000002</v>
      </c>
      <c r="Y689">
        <v>0.16097600000000001</v>
      </c>
      <c r="Z689">
        <v>-2.1705209999999999E-2</v>
      </c>
      <c r="AA689">
        <v>0.98671960000000003</v>
      </c>
      <c r="AB689">
        <v>23</v>
      </c>
      <c r="AC689">
        <v>0.40640000000001902</v>
      </c>
      <c r="AD689">
        <v>-0.2032313</v>
      </c>
      <c r="AE689">
        <v>-0.127800000000036</v>
      </c>
      <c r="AF689">
        <v>0.10537181864315801</v>
      </c>
      <c r="AG689">
        <v>-0.2032313</v>
      </c>
      <c r="AH689">
        <v>0.33065982016758499</v>
      </c>
      <c r="AI689">
        <v>120.353568210251</v>
      </c>
      <c r="AJ689">
        <v>72.324408650291701</v>
      </c>
      <c r="AK689">
        <v>0.40217172717275501</v>
      </c>
      <c r="AL689">
        <v>85.891541681135294</v>
      </c>
      <c r="AM689">
        <v>85.912102046160399</v>
      </c>
      <c r="AN689">
        <v>0.99999998240334997</v>
      </c>
    </row>
    <row r="690" spans="1:40" x14ac:dyDescent="0.25">
      <c r="A690" t="str">
        <f>"20190312154517730"</f>
        <v>20190312154517730</v>
      </c>
      <c r="B690" t="str">
        <f>"1552376717726675"</f>
        <v>1552376717726675</v>
      </c>
      <c r="C690" t="s">
        <v>40</v>
      </c>
      <c r="D690">
        <v>4.5708449999999896</v>
      </c>
      <c r="E690">
        <v>0.54083610000000004</v>
      </c>
      <c r="F690" t="s">
        <v>41</v>
      </c>
      <c r="G690">
        <v>-274.17219999999998</v>
      </c>
      <c r="H690">
        <v>0.88721049999999901</v>
      </c>
      <c r="I690">
        <v>368.58789999999999</v>
      </c>
      <c r="J690">
        <v>-274.76240000000001</v>
      </c>
      <c r="K690">
        <v>1.1051070000000001</v>
      </c>
      <c r="L690">
        <v>368.72399999999999</v>
      </c>
      <c r="M690">
        <v>0.99998410000000004</v>
      </c>
      <c r="N690">
        <v>0</v>
      </c>
      <c r="O690">
        <v>3.805854E-3</v>
      </c>
      <c r="P690">
        <v>0.99541639999999998</v>
      </c>
      <c r="Q690">
        <v>6.7340979999999995E-2</v>
      </c>
      <c r="R690">
        <v>-6.7908120000000002E-2</v>
      </c>
      <c r="S690">
        <v>3.0347599999999999</v>
      </c>
      <c r="T690">
        <v>-0.80216460000000001</v>
      </c>
      <c r="U690">
        <v>-0.49819950000000002</v>
      </c>
      <c r="V690">
        <v>7.1700319999999998E-2</v>
      </c>
      <c r="W690">
        <v>7.1486309999999997E-2</v>
      </c>
      <c r="X690">
        <v>0.9948612</v>
      </c>
      <c r="Y690">
        <v>0.16026029999999999</v>
      </c>
      <c r="Z690">
        <v>-2.1674039999999999E-2</v>
      </c>
      <c r="AA690">
        <v>0.98683679999999996</v>
      </c>
      <c r="AB690">
        <v>23</v>
      </c>
      <c r="AC690">
        <v>0.59020000000003803</v>
      </c>
      <c r="AD690">
        <v>-0.21789649999999999</v>
      </c>
      <c r="AE690">
        <v>-0.136099999999999</v>
      </c>
      <c r="AF690">
        <v>0.122492307510413</v>
      </c>
      <c r="AG690">
        <v>-0.21789649999999999</v>
      </c>
      <c r="AH690">
        <v>0.52210674542605395</v>
      </c>
      <c r="AI690">
        <v>112.11232721775301</v>
      </c>
      <c r="AJ690">
        <v>76.796538775714396</v>
      </c>
      <c r="AK690">
        <v>0.57885983081473402</v>
      </c>
      <c r="AL690">
        <v>85.900639660096004</v>
      </c>
      <c r="AM690">
        <v>85.877781718662703</v>
      </c>
      <c r="AN690">
        <v>1.00000001783547</v>
      </c>
    </row>
    <row r="691" spans="1:40" x14ac:dyDescent="0.25">
      <c r="A691" t="str">
        <f>"20190312154517753"</f>
        <v>20190312154517753</v>
      </c>
      <c r="B691" t="str">
        <f>"1552376717747172"</f>
        <v>1552376717747172</v>
      </c>
      <c r="C691" t="s">
        <v>40</v>
      </c>
      <c r="D691">
        <v>4.5883260000000003</v>
      </c>
      <c r="E691">
        <v>0.54080490000000003</v>
      </c>
      <c r="F691" t="s">
        <v>41</v>
      </c>
      <c r="G691">
        <v>-273.95859999999999</v>
      </c>
      <c r="H691">
        <v>0.89252749999999903</v>
      </c>
      <c r="I691">
        <v>368.59199999999998</v>
      </c>
      <c r="J691">
        <v>-274.52379999999999</v>
      </c>
      <c r="K691">
        <v>1.1057699999999999</v>
      </c>
      <c r="L691">
        <v>368.72489999999999</v>
      </c>
      <c r="M691">
        <v>0.99998299999999996</v>
      </c>
      <c r="N691">
        <v>0</v>
      </c>
      <c r="O691">
        <v>3.791057E-3</v>
      </c>
      <c r="P691">
        <v>0.99538040000000005</v>
      </c>
      <c r="Q691">
        <v>6.7308370000000006E-2</v>
      </c>
      <c r="R691">
        <v>-6.8470080000000003E-2</v>
      </c>
      <c r="S691">
        <v>3.034119</v>
      </c>
      <c r="T691">
        <v>-0.80249749999999997</v>
      </c>
      <c r="U691">
        <v>-0.49786380000000002</v>
      </c>
      <c r="V691">
        <v>7.2247309999999995E-2</v>
      </c>
      <c r="W691">
        <v>7.1756449999999999E-2</v>
      </c>
      <c r="X691">
        <v>0.99480219999999997</v>
      </c>
      <c r="Y691">
        <v>0.16016949999999999</v>
      </c>
      <c r="Z691">
        <v>-2.167173E-2</v>
      </c>
      <c r="AA691">
        <v>0.98685160000000005</v>
      </c>
      <c r="AB691">
        <v>24</v>
      </c>
      <c r="AC691">
        <v>0.56520000000000403</v>
      </c>
      <c r="AD691">
        <v>-0.2132425</v>
      </c>
      <c r="AE691">
        <v>-0.13290000000000601</v>
      </c>
      <c r="AF691">
        <v>0.118991336862192</v>
      </c>
      <c r="AG691">
        <v>-0.2132425</v>
      </c>
      <c r="AH691">
        <v>0.49757543483994499</v>
      </c>
      <c r="AI691">
        <v>112.62687983378299</v>
      </c>
      <c r="AJ691">
        <v>76.550741573766601</v>
      </c>
      <c r="AK691">
        <v>0.55426763879074004</v>
      </c>
      <c r="AL691">
        <v>85.885122016614602</v>
      </c>
      <c r="AM691">
        <v>85.846198159841094</v>
      </c>
      <c r="AN691">
        <v>1.00000003952183</v>
      </c>
    </row>
    <row r="692" spans="1:40" x14ac:dyDescent="0.25">
      <c r="A692" t="str">
        <f>"20190312154517774"</f>
        <v>20190312154517774</v>
      </c>
      <c r="B692" t="str">
        <f>"1552376717766691"</f>
        <v>1552376717766691</v>
      </c>
      <c r="C692" t="s">
        <v>40</v>
      </c>
      <c r="D692">
        <v>4.5455079999999999</v>
      </c>
      <c r="E692">
        <v>0.54083359999999903</v>
      </c>
      <c r="F692" t="s">
        <v>41</v>
      </c>
      <c r="G692">
        <v>-273.74360000000001</v>
      </c>
      <c r="H692">
        <v>0.89952799999999999</v>
      </c>
      <c r="I692">
        <v>368.59629999999999</v>
      </c>
      <c r="J692">
        <v>-274.29149999999998</v>
      </c>
      <c r="K692">
        <v>1.106314</v>
      </c>
      <c r="L692">
        <v>368.72579999999999</v>
      </c>
      <c r="M692">
        <v>0.99998180000000003</v>
      </c>
      <c r="N692">
        <v>0</v>
      </c>
      <c r="O692">
        <v>3.7771369999999999E-3</v>
      </c>
      <c r="P692">
        <v>0.99538179999999998</v>
      </c>
      <c r="Q692">
        <v>6.6718189999999997E-2</v>
      </c>
      <c r="R692">
        <v>-6.9023150000000005E-2</v>
      </c>
      <c r="S692">
        <v>3.0338129999999999</v>
      </c>
      <c r="T692">
        <v>-0.80209209999999997</v>
      </c>
      <c r="U692">
        <v>-0.49917600000000001</v>
      </c>
      <c r="V692">
        <v>7.2786729999999994E-2</v>
      </c>
      <c r="W692">
        <v>7.1432099999999998E-2</v>
      </c>
      <c r="X692">
        <v>0.99478619999999995</v>
      </c>
      <c r="Y692">
        <v>0.16057879999999899</v>
      </c>
      <c r="Z692">
        <v>-2.1711769999999998E-2</v>
      </c>
      <c r="AA692">
        <v>0.9867842</v>
      </c>
      <c r="AB692">
        <v>24</v>
      </c>
      <c r="AC692">
        <v>0.54789999999996997</v>
      </c>
      <c r="AD692">
        <v>-0.206785999999999</v>
      </c>
      <c r="AE692">
        <v>-0.129500000000007</v>
      </c>
      <c r="AF692">
        <v>0.115929060948583</v>
      </c>
      <c r="AG692">
        <v>-0.206785999999999</v>
      </c>
      <c r="AH692">
        <v>0.482336795707903</v>
      </c>
      <c r="AI692">
        <v>112.628618661196</v>
      </c>
      <c r="AJ692">
        <v>76.485372898135907</v>
      </c>
      <c r="AK692">
        <v>0.53744653823630395</v>
      </c>
      <c r="AL692">
        <v>85.903753627107506</v>
      </c>
      <c r="AM692">
        <v>85.8152273358222</v>
      </c>
      <c r="AN692">
        <v>1.00000001834247</v>
      </c>
    </row>
    <row r="693" spans="1:40" x14ac:dyDescent="0.25">
      <c r="A693" t="str">
        <f>"20190312154517796"</f>
        <v>20190312154517796</v>
      </c>
      <c r="B693" t="str">
        <f>"1552376717787191"</f>
        <v>1552376717787191</v>
      </c>
      <c r="C693" t="s">
        <v>40</v>
      </c>
      <c r="D693">
        <v>4.5688339999999998</v>
      </c>
      <c r="E693">
        <v>0.54037930000000001</v>
      </c>
      <c r="F693" t="s">
        <v>41</v>
      </c>
      <c r="G693">
        <v>-273.52890000000002</v>
      </c>
      <c r="H693">
        <v>0.9040068</v>
      </c>
      <c r="I693">
        <v>368.59989999999999</v>
      </c>
      <c r="J693">
        <v>-274.05169999999998</v>
      </c>
      <c r="K693">
        <v>1.1067929999999999</v>
      </c>
      <c r="L693">
        <v>368.72669999999999</v>
      </c>
      <c r="M693">
        <v>0.99998050000000005</v>
      </c>
      <c r="N693">
        <v>0</v>
      </c>
      <c r="O693">
        <v>3.7630519999999998E-3</v>
      </c>
      <c r="P693">
        <v>0.99541329999999995</v>
      </c>
      <c r="Q693">
        <v>6.6214549999999997E-2</v>
      </c>
      <c r="R693">
        <v>-6.9053550000000005E-2</v>
      </c>
      <c r="S693">
        <v>3.0332340000000002</v>
      </c>
      <c r="T693">
        <v>-0.80464230000000003</v>
      </c>
      <c r="U693">
        <v>-0.49978640000000002</v>
      </c>
      <c r="V693">
        <v>7.2803049999999994E-2</v>
      </c>
      <c r="W693">
        <v>7.1175260000000004E-2</v>
      </c>
      <c r="X693">
        <v>0.9948034</v>
      </c>
      <c r="Y693">
        <v>0.160747</v>
      </c>
      <c r="Z693">
        <v>-2.180031E-2</v>
      </c>
      <c r="AA693">
        <v>0.98675480000000004</v>
      </c>
      <c r="AB693">
        <v>24</v>
      </c>
      <c r="AC693">
        <v>0.52279999999996096</v>
      </c>
      <c r="AD693">
        <v>-0.2027862</v>
      </c>
      <c r="AE693">
        <v>-0.12680000000000199</v>
      </c>
      <c r="AF693">
        <v>0.112745755335979</v>
      </c>
      <c r="AG693">
        <v>-0.2027862</v>
      </c>
      <c r="AH693">
        <v>0.457333921802828</v>
      </c>
      <c r="AI693">
        <v>113.292833407548</v>
      </c>
      <c r="AJ693">
        <v>76.151121741040996</v>
      </c>
      <c r="AK693">
        <v>0.51282371658131798</v>
      </c>
      <c r="AL693">
        <v>85.918506965451797</v>
      </c>
      <c r="AM693">
        <v>85.814364487457098</v>
      </c>
      <c r="AN693">
        <v>1.0000000031884599</v>
      </c>
    </row>
    <row r="694" spans="1:40" x14ac:dyDescent="0.25">
      <c r="A694" t="str">
        <f>"20190312154517819"</f>
        <v>20190312154517819</v>
      </c>
      <c r="B694" t="str">
        <f>"1552376717806707"</f>
        <v>1552376717806707</v>
      </c>
      <c r="C694" t="s">
        <v>40</v>
      </c>
      <c r="D694">
        <v>4.5877879999999998</v>
      </c>
      <c r="E694">
        <v>0.54042419999999902</v>
      </c>
      <c r="F694" t="s">
        <v>41</v>
      </c>
      <c r="G694">
        <v>-273.31259999999997</v>
      </c>
      <c r="H694">
        <v>0.91053589999999995</v>
      </c>
      <c r="I694">
        <v>368.6053</v>
      </c>
      <c r="J694">
        <v>-273.81599999999997</v>
      </c>
      <c r="K694">
        <v>1.1071869999999999</v>
      </c>
      <c r="L694">
        <v>368.7276</v>
      </c>
      <c r="M694">
        <v>0.99997939999999996</v>
      </c>
      <c r="N694">
        <v>0</v>
      </c>
      <c r="O694">
        <v>3.7487229999999998E-3</v>
      </c>
      <c r="P694">
        <v>0.99546179999999995</v>
      </c>
      <c r="Q694">
        <v>6.5428669999999994E-2</v>
      </c>
      <c r="R694">
        <v>-6.9100919999999996E-2</v>
      </c>
      <c r="S694">
        <v>3.0329899999999999</v>
      </c>
      <c r="T694">
        <v>-0.80546519999999899</v>
      </c>
      <c r="U694">
        <v>-0.49636839999999999</v>
      </c>
      <c r="V694">
        <v>7.2836499999999998E-2</v>
      </c>
      <c r="W694">
        <v>7.0604490000000006E-2</v>
      </c>
      <c r="X694">
        <v>0.99484159999999999</v>
      </c>
      <c r="Y694">
        <v>0.15968579999999999</v>
      </c>
      <c r="Z694">
        <v>-2.1684080000000001E-2</v>
      </c>
      <c r="AA694">
        <v>0.98692970000000002</v>
      </c>
      <c r="AB694">
        <v>24</v>
      </c>
      <c r="AC694">
        <v>0.50339999999999896</v>
      </c>
      <c r="AD694">
        <v>-0.1966511</v>
      </c>
      <c r="AE694">
        <v>-0.122299999999995</v>
      </c>
      <c r="AF694">
        <v>0.108545051300924</v>
      </c>
      <c r="AG694">
        <v>-0.1966511</v>
      </c>
      <c r="AH694">
        <v>0.439593106223161</v>
      </c>
      <c r="AI694">
        <v>113.475502169004</v>
      </c>
      <c r="AJ694">
        <v>76.129878237105004</v>
      </c>
      <c r="AK694">
        <v>0.49365553003289397</v>
      </c>
      <c r="AL694">
        <v>85.951292064159105</v>
      </c>
      <c r="AM694">
        <v>85.812608422029101</v>
      </c>
      <c r="AN694">
        <v>0.99999997941548402</v>
      </c>
    </row>
    <row r="695" spans="1:40" x14ac:dyDescent="0.25">
      <c r="A695" t="str">
        <f>"20190312154517842"</f>
        <v>20190312154517842</v>
      </c>
      <c r="B695" t="str">
        <f>"1552376717836963"</f>
        <v>1552376717836963</v>
      </c>
      <c r="C695" t="s">
        <v>40</v>
      </c>
      <c r="D695">
        <v>4.5594340000000004</v>
      </c>
      <c r="E695">
        <v>0.54046050000000001</v>
      </c>
      <c r="F695" t="s">
        <v>41</v>
      </c>
      <c r="G695">
        <v>-273.09609999999998</v>
      </c>
      <c r="H695">
        <v>0.91554669999999905</v>
      </c>
      <c r="I695">
        <v>368.6096</v>
      </c>
      <c r="J695">
        <v>-273.56150000000002</v>
      </c>
      <c r="K695">
        <v>1.1075489999999999</v>
      </c>
      <c r="L695">
        <v>368.7285</v>
      </c>
      <c r="M695">
        <v>0.99997840000000005</v>
      </c>
      <c r="N695">
        <v>0</v>
      </c>
      <c r="O695">
        <v>3.7331460000000001E-3</v>
      </c>
      <c r="P695">
        <v>0.9955273</v>
      </c>
      <c r="Q695">
        <v>6.4956390000000003E-2</v>
      </c>
      <c r="R695">
        <v>-6.860107E-2</v>
      </c>
      <c r="S695">
        <v>3.0321959999999999</v>
      </c>
      <c r="T695">
        <v>-0.80708380000000002</v>
      </c>
      <c r="U695">
        <v>-0.49716189999999999</v>
      </c>
      <c r="V695">
        <v>7.23216E-2</v>
      </c>
      <c r="W695">
        <v>7.0337650000000002E-2</v>
      </c>
      <c r="X695">
        <v>0.99489810000000001</v>
      </c>
      <c r="Y695">
        <v>0.15993089999999999</v>
      </c>
      <c r="Z695">
        <v>-2.1759029999999999E-2</v>
      </c>
      <c r="AA695">
        <v>0.98688830000000005</v>
      </c>
      <c r="AB695">
        <v>24</v>
      </c>
      <c r="AC695">
        <v>0.465400000000045</v>
      </c>
      <c r="AD695">
        <v>-0.19200229999999999</v>
      </c>
      <c r="AE695">
        <v>-0.118899999999996</v>
      </c>
      <c r="AF695">
        <v>0.104017519722219</v>
      </c>
      <c r="AG695">
        <v>-0.19200229999999999</v>
      </c>
      <c r="AH695">
        <v>0.40090025816667202</v>
      </c>
      <c r="AI695">
        <v>114.87140520643599</v>
      </c>
      <c r="AJ695">
        <v>75.454776444713303</v>
      </c>
      <c r="AK695">
        <v>0.456514561227302</v>
      </c>
      <c r="AL695">
        <v>85.966619115895796</v>
      </c>
      <c r="AM695">
        <v>85.842341285582293</v>
      </c>
      <c r="AN695">
        <v>1.0000000141088401</v>
      </c>
    </row>
    <row r="696" spans="1:40" x14ac:dyDescent="0.25">
      <c r="A696" t="str">
        <f>"20190312154517864"</f>
        <v>20190312154517864</v>
      </c>
      <c r="B696" t="str">
        <f>"1552376717856488"</f>
        <v>1552376717856488</v>
      </c>
      <c r="C696" t="s">
        <v>40</v>
      </c>
      <c r="D696">
        <v>4.53925</v>
      </c>
      <c r="E696">
        <v>0.54040149999999998</v>
      </c>
      <c r="F696" t="s">
        <v>41</v>
      </c>
      <c r="G696">
        <v>-272.8768</v>
      </c>
      <c r="H696">
        <v>0.92516569999999998</v>
      </c>
      <c r="I696">
        <v>368.61619999999999</v>
      </c>
      <c r="J696">
        <v>-273.33409999999998</v>
      </c>
      <c r="K696">
        <v>1.1078209999999999</v>
      </c>
      <c r="L696">
        <v>368.7294</v>
      </c>
      <c r="M696">
        <v>0.99997760000000002</v>
      </c>
      <c r="N696">
        <v>0</v>
      </c>
      <c r="O696">
        <v>3.7191139999999999E-3</v>
      </c>
      <c r="P696">
        <v>0.9955891</v>
      </c>
      <c r="Q696">
        <v>6.448682E-2</v>
      </c>
      <c r="R696">
        <v>-6.8146949999999998E-2</v>
      </c>
      <c r="S696">
        <v>3.0320130000000001</v>
      </c>
      <c r="T696">
        <v>-0.8077472</v>
      </c>
      <c r="U696">
        <v>-0.49627690000000002</v>
      </c>
      <c r="V696">
        <v>7.1853630000000002E-2</v>
      </c>
      <c r="W696">
        <v>7.0026560000000002E-2</v>
      </c>
      <c r="X696">
        <v>0.99495389999999995</v>
      </c>
      <c r="Y696">
        <v>0.15964629999999999</v>
      </c>
      <c r="Z696">
        <v>-2.1737369999999999E-2</v>
      </c>
      <c r="AA696">
        <v>0.98693489999999995</v>
      </c>
      <c r="AB696">
        <v>24</v>
      </c>
      <c r="AC696">
        <v>0.457299999999975</v>
      </c>
      <c r="AD696">
        <v>-0.18265529999999999</v>
      </c>
      <c r="AE696">
        <v>-0.113200000000006</v>
      </c>
      <c r="AF696">
        <v>9.9884732148497996E-2</v>
      </c>
      <c r="AG696">
        <v>-0.18265529999999999</v>
      </c>
      <c r="AH696">
        <v>0.397170773606142</v>
      </c>
      <c r="AI696">
        <v>114.037015879573</v>
      </c>
      <c r="AJ696">
        <v>75.883401337013197</v>
      </c>
      <c r="AK696">
        <v>0.44842451063848998</v>
      </c>
      <c r="AL696">
        <v>85.984487114441706</v>
      </c>
      <c r="AM696">
        <v>85.869381605612304</v>
      </c>
      <c r="AN696">
        <v>0.99999996318740902</v>
      </c>
    </row>
    <row r="697" spans="1:40" x14ac:dyDescent="0.25">
      <c r="A697" t="str">
        <f>"20190312154517885"</f>
        <v>20190312154517885</v>
      </c>
      <c r="B697" t="str">
        <f>"1552376717876979"</f>
        <v>1552376717876979</v>
      </c>
      <c r="C697" t="s">
        <v>40</v>
      </c>
      <c r="D697">
        <v>4.5462579999999999</v>
      </c>
      <c r="E697">
        <v>0.54038619999999904</v>
      </c>
      <c r="F697" t="s">
        <v>41</v>
      </c>
      <c r="G697">
        <v>-272.46319999999997</v>
      </c>
      <c r="H697">
        <v>0.87562119999999999</v>
      </c>
      <c r="I697">
        <v>368.5872</v>
      </c>
      <c r="J697">
        <v>-273.09129999999999</v>
      </c>
      <c r="K697">
        <v>1.10805</v>
      </c>
      <c r="L697">
        <v>368.7303</v>
      </c>
      <c r="M697">
        <v>0.999977</v>
      </c>
      <c r="N697">
        <v>0</v>
      </c>
      <c r="O697">
        <v>3.70441E-3</v>
      </c>
      <c r="P697">
        <v>0.99559750000000002</v>
      </c>
      <c r="Q697">
        <v>6.4317520000000003E-2</v>
      </c>
      <c r="R697">
        <v>-6.8185099999999998E-2</v>
      </c>
      <c r="S697">
        <v>3.03186</v>
      </c>
      <c r="T697">
        <v>-0.80841960000000002</v>
      </c>
      <c r="U697">
        <v>-0.4942627</v>
      </c>
      <c r="V697">
        <v>7.1877350000000007E-2</v>
      </c>
      <c r="W697">
        <v>6.9995160000000001E-2</v>
      </c>
      <c r="X697">
        <v>0.99495440000000002</v>
      </c>
      <c r="Y697">
        <v>0.15901279999999901</v>
      </c>
      <c r="Z697">
        <v>-2.1670689999999999E-2</v>
      </c>
      <c r="AA697">
        <v>0.98703870000000005</v>
      </c>
      <c r="AB697">
        <v>24</v>
      </c>
      <c r="AC697">
        <v>0.62810000000001698</v>
      </c>
      <c r="AD697">
        <v>-0.23242879999999999</v>
      </c>
      <c r="AE697">
        <v>-0.143100000000004</v>
      </c>
      <c r="AF697">
        <v>0.12867486704289</v>
      </c>
      <c r="AG697">
        <v>-0.23242879999999999</v>
      </c>
      <c r="AH697">
        <v>0.55527918774315399</v>
      </c>
      <c r="AI697">
        <v>112.184393122836</v>
      </c>
      <c r="AJ697">
        <v>76.953127483790496</v>
      </c>
      <c r="AK697">
        <v>0.61556100007931203</v>
      </c>
      <c r="AL697">
        <v>85.986290642611195</v>
      </c>
      <c r="AM697">
        <v>85.868024815680101</v>
      </c>
      <c r="AN697">
        <v>0.99999996697290305</v>
      </c>
    </row>
    <row r="698" spans="1:40" x14ac:dyDescent="0.25">
      <c r="A698" t="str">
        <f>"20190312154517909"</f>
        <v>20190312154517909</v>
      </c>
      <c r="B698" t="str">
        <f>"1552376717896499"</f>
        <v>1552376717896499</v>
      </c>
      <c r="C698" t="s">
        <v>40</v>
      </c>
      <c r="D698">
        <v>4.5327799999999998</v>
      </c>
      <c r="E698">
        <v>0.54040459999999901</v>
      </c>
      <c r="F698" t="s">
        <v>41</v>
      </c>
      <c r="G698">
        <v>-272.24310000000003</v>
      </c>
      <c r="H698">
        <v>0.88191330000000001</v>
      </c>
      <c r="I698">
        <v>368.59199999999998</v>
      </c>
      <c r="J698">
        <v>-272.8408</v>
      </c>
      <c r="K698">
        <v>1.1082430000000001</v>
      </c>
      <c r="L698">
        <v>368.7312</v>
      </c>
      <c r="M698">
        <v>0.99997630000000004</v>
      </c>
      <c r="N698">
        <v>0</v>
      </c>
      <c r="O698">
        <v>3.6890429999999999E-3</v>
      </c>
      <c r="P698">
        <v>0.99561440000000001</v>
      </c>
      <c r="Q698">
        <v>6.4448340000000007E-2</v>
      </c>
      <c r="R698">
        <v>-6.7813529999999997E-2</v>
      </c>
      <c r="S698">
        <v>3.0317080000000001</v>
      </c>
      <c r="T698">
        <v>-0.8082916</v>
      </c>
      <c r="U698">
        <v>-0.4937744</v>
      </c>
      <c r="V698">
        <v>7.1490310000000001E-2</v>
      </c>
      <c r="W698">
        <v>7.0244399999999999E-2</v>
      </c>
      <c r="X698">
        <v>0.99496479999999998</v>
      </c>
      <c r="Y698">
        <v>0.15885750000000001</v>
      </c>
      <c r="Z698">
        <v>-2.1644460000000001E-2</v>
      </c>
      <c r="AA698">
        <v>0.98706419999999995</v>
      </c>
      <c r="AB698">
        <v>24</v>
      </c>
      <c r="AC698">
        <v>0.59769999999997403</v>
      </c>
      <c r="AD698">
        <v>-0.22632969999999999</v>
      </c>
      <c r="AE698">
        <v>-0.13920000000001601</v>
      </c>
      <c r="AF698">
        <v>0.124474055496436</v>
      </c>
      <c r="AG698">
        <v>-0.22632969999999999</v>
      </c>
      <c r="AH698">
        <v>0.52568314932826599</v>
      </c>
      <c r="AI698">
        <v>112.73169375765499</v>
      </c>
      <c r="AJ698">
        <v>76.678549236157593</v>
      </c>
      <c r="AK698">
        <v>0.58571468914609204</v>
      </c>
      <c r="AL698">
        <v>85.971975326863401</v>
      </c>
      <c r="AM698">
        <v>85.890240745689098</v>
      </c>
      <c r="AN698">
        <v>1.0000000466971399</v>
      </c>
    </row>
    <row r="699" spans="1:40" x14ac:dyDescent="0.25">
      <c r="A699" t="str">
        <f>"20190312154517931"</f>
        <v>20190312154517931</v>
      </c>
      <c r="B699" t="str">
        <f>"1552376717926758"</f>
        <v>1552376717926758</v>
      </c>
      <c r="C699" t="s">
        <v>40</v>
      </c>
      <c r="D699">
        <v>4.5197729999999998</v>
      </c>
      <c r="E699">
        <v>0.54050929999999997</v>
      </c>
      <c r="F699" t="s">
        <v>41</v>
      </c>
      <c r="G699">
        <v>-272.0215</v>
      </c>
      <c r="H699">
        <v>0.89006010000000002</v>
      </c>
      <c r="I699">
        <v>368.59769999999997</v>
      </c>
      <c r="J699">
        <v>-272.59469999999999</v>
      </c>
      <c r="K699">
        <v>1.108406</v>
      </c>
      <c r="L699">
        <v>368.7321</v>
      </c>
      <c r="M699">
        <v>0.99997579999999997</v>
      </c>
      <c r="N699">
        <v>0</v>
      </c>
      <c r="O699">
        <v>3.6743370000000002E-3</v>
      </c>
      <c r="P699">
        <v>0.99561920000000004</v>
      </c>
      <c r="Q699">
        <v>6.4484459999999993E-2</v>
      </c>
      <c r="R699">
        <v>-6.7709740000000004E-2</v>
      </c>
      <c r="S699">
        <v>3.0319210000000001</v>
      </c>
      <c r="T699">
        <v>-0.80742669999999905</v>
      </c>
      <c r="U699">
        <v>-0.49307250000000002</v>
      </c>
      <c r="V699">
        <v>7.1371889999999993E-2</v>
      </c>
      <c r="W699">
        <v>7.03738E-2</v>
      </c>
      <c r="X699">
        <v>0.99496410000000002</v>
      </c>
      <c r="Y699">
        <v>0.15862970000000001</v>
      </c>
      <c r="Z699">
        <v>-2.158755E-2</v>
      </c>
      <c r="AA699">
        <v>0.98710209999999998</v>
      </c>
      <c r="AB699">
        <v>24</v>
      </c>
      <c r="AC699">
        <v>0.57319999999998505</v>
      </c>
      <c r="AD699">
        <v>-0.21834590000000001</v>
      </c>
      <c r="AE699">
        <v>-0.134400000000027</v>
      </c>
      <c r="AF699">
        <v>0.120000222137486</v>
      </c>
      <c r="AG699">
        <v>-0.21834590000000001</v>
      </c>
      <c r="AH699">
        <v>0.50345607507296597</v>
      </c>
      <c r="AI699">
        <v>112.873701788031</v>
      </c>
      <c r="AJ699">
        <v>76.593531408085099</v>
      </c>
      <c r="AK699">
        <v>0.56173214692389795</v>
      </c>
      <c r="AL699">
        <v>85.964542628051404</v>
      </c>
      <c r="AM699">
        <v>85.897022204026598</v>
      </c>
      <c r="AN699">
        <v>0.99999998934871104</v>
      </c>
    </row>
    <row r="700" spans="1:40" x14ac:dyDescent="0.25">
      <c r="A700" t="str">
        <f>"20190312154517954"</f>
        <v>20190312154517954</v>
      </c>
      <c r="B700" t="str">
        <f>"1552376717947255"</f>
        <v>1552376717947255</v>
      </c>
      <c r="C700" t="s">
        <v>40</v>
      </c>
      <c r="D700">
        <v>4.5156239999999999</v>
      </c>
      <c r="E700">
        <v>0.54056139999999997</v>
      </c>
      <c r="F700" t="s">
        <v>41</v>
      </c>
      <c r="G700">
        <v>-271.79950000000002</v>
      </c>
      <c r="H700">
        <v>0.89670669999999897</v>
      </c>
      <c r="I700">
        <v>368.6026</v>
      </c>
      <c r="J700">
        <v>-272.34679999999997</v>
      </c>
      <c r="K700">
        <v>1.1085370000000001</v>
      </c>
      <c r="L700">
        <v>368.733</v>
      </c>
      <c r="M700">
        <v>0.99997539999999996</v>
      </c>
      <c r="N700">
        <v>0</v>
      </c>
      <c r="O700">
        <v>3.6592840000000001E-3</v>
      </c>
      <c r="P700">
        <v>0.99562669999999998</v>
      </c>
      <c r="Q700">
        <v>6.40434E-2</v>
      </c>
      <c r="R700">
        <v>-6.8013009999999999E-2</v>
      </c>
      <c r="S700">
        <v>3.0319210000000001</v>
      </c>
      <c r="T700">
        <v>-0.80724189999999996</v>
      </c>
      <c r="U700">
        <v>-0.49328610000000001</v>
      </c>
      <c r="V700">
        <v>7.1660440000000006E-2</v>
      </c>
      <c r="W700">
        <v>7.0001830000000001E-2</v>
      </c>
      <c r="X700">
        <v>0.99496960000000001</v>
      </c>
      <c r="Y700">
        <v>0.15868389999999999</v>
      </c>
      <c r="Z700">
        <v>-2.1585779999999999E-2</v>
      </c>
      <c r="AA700">
        <v>0.98709340000000001</v>
      </c>
      <c r="AB700">
        <v>24</v>
      </c>
      <c r="AC700">
        <v>0.54729999999995005</v>
      </c>
      <c r="AD700">
        <v>-0.2118303</v>
      </c>
      <c r="AE700">
        <v>-0.13040000000000801</v>
      </c>
      <c r="AF700">
        <v>0.11596324675847999</v>
      </c>
      <c r="AG700">
        <v>-0.2118303</v>
      </c>
      <c r="AH700">
        <v>0.478927644389953</v>
      </c>
      <c r="AI700">
        <v>113.261871426177</v>
      </c>
      <c r="AJ700">
        <v>76.388873194037103</v>
      </c>
      <c r="AK700">
        <v>0.53636856652656995</v>
      </c>
      <c r="AL700">
        <v>85.985907632194895</v>
      </c>
      <c r="AM700">
        <v>85.880513928704005</v>
      </c>
      <c r="AN700">
        <v>0.99999998989425098</v>
      </c>
    </row>
    <row r="701" spans="1:40" x14ac:dyDescent="0.25">
      <c r="A701" t="str">
        <f>"20190312154517975"</f>
        <v>20190312154517975</v>
      </c>
      <c r="B701" t="str">
        <f>"1552376717966771"</f>
        <v>1552376717966771</v>
      </c>
      <c r="C701" t="s">
        <v>40</v>
      </c>
      <c r="D701">
        <v>4.5537070000000002</v>
      </c>
      <c r="E701">
        <v>0.54065779999999997</v>
      </c>
      <c r="F701" t="s">
        <v>41</v>
      </c>
      <c r="G701">
        <v>-271.57679999999999</v>
      </c>
      <c r="H701">
        <v>0.90321870000000004</v>
      </c>
      <c r="I701">
        <v>368.60700000000003</v>
      </c>
      <c r="J701">
        <v>-272.11020000000002</v>
      </c>
      <c r="K701">
        <v>1.108635</v>
      </c>
      <c r="L701">
        <v>368.73379999999997</v>
      </c>
      <c r="M701">
        <v>0.99997510000000001</v>
      </c>
      <c r="N701">
        <v>0</v>
      </c>
      <c r="O701">
        <v>3.6450380000000002E-3</v>
      </c>
      <c r="P701">
        <v>0.99563690000000005</v>
      </c>
      <c r="Q701">
        <v>6.3994880000000004E-2</v>
      </c>
      <c r="R701">
        <v>-6.7909999999999998E-2</v>
      </c>
      <c r="S701">
        <v>3.0313720000000002</v>
      </c>
      <c r="T701">
        <v>-0.80830729999999995</v>
      </c>
      <c r="U701">
        <v>-0.49481199999999997</v>
      </c>
      <c r="V701">
        <v>7.1543280000000001E-2</v>
      </c>
      <c r="W701">
        <v>6.9991830000000005E-2</v>
      </c>
      <c r="X701">
        <v>0.99497869999999999</v>
      </c>
      <c r="Y701">
        <v>0.15915099999999999</v>
      </c>
      <c r="Z701">
        <v>-2.1673359999999999E-2</v>
      </c>
      <c r="AA701">
        <v>0.98701629999999996</v>
      </c>
      <c r="AB701">
        <v>25</v>
      </c>
      <c r="AC701">
        <v>0.53340000000002796</v>
      </c>
      <c r="AD701">
        <v>-0.2054163</v>
      </c>
      <c r="AE701">
        <v>-0.12680000000000199</v>
      </c>
      <c r="AF701">
        <v>0.112895719187235</v>
      </c>
      <c r="AG701">
        <v>-0.2054163</v>
      </c>
      <c r="AH701">
        <v>0.46733246047156601</v>
      </c>
      <c r="AI701">
        <v>113.135097142294</v>
      </c>
      <c r="AJ701">
        <v>76.418985092242195</v>
      </c>
      <c r="AK701">
        <v>0.52282016824803201</v>
      </c>
      <c r="AL701">
        <v>85.986481859789606</v>
      </c>
      <c r="AM701">
        <v>85.887263367084998</v>
      </c>
      <c r="AN701">
        <v>0.99999995531679697</v>
      </c>
    </row>
    <row r="702" spans="1:40" x14ac:dyDescent="0.25">
      <c r="A702" t="str">
        <f>"20190312154517998"</f>
        <v>20190312154517998</v>
      </c>
      <c r="B702" t="str">
        <f>"1552376717987267"</f>
        <v>1552376717987267</v>
      </c>
      <c r="C702" t="s">
        <v>40</v>
      </c>
      <c r="D702">
        <v>4.472175</v>
      </c>
      <c r="E702">
        <v>0.54070469999999904</v>
      </c>
      <c r="F702" t="s">
        <v>41</v>
      </c>
      <c r="G702">
        <v>-271.35419999999999</v>
      </c>
      <c r="H702">
        <v>0.90706620000000004</v>
      </c>
      <c r="I702">
        <v>368.61009999999999</v>
      </c>
      <c r="J702">
        <v>-271.85910000000001</v>
      </c>
      <c r="K702">
        <v>1.1087149999999999</v>
      </c>
      <c r="L702">
        <v>368.73469999999998</v>
      </c>
      <c r="M702">
        <v>0.99997530000000001</v>
      </c>
      <c r="N702">
        <v>0</v>
      </c>
      <c r="O702">
        <v>3.6296850000000001E-3</v>
      </c>
      <c r="P702">
        <v>0.99560329999999997</v>
      </c>
      <c r="Q702">
        <v>6.4178529999999998E-2</v>
      </c>
      <c r="R702">
        <v>-6.8231109999999998E-2</v>
      </c>
      <c r="S702">
        <v>3.0312809999999999</v>
      </c>
      <c r="T702">
        <v>-0.80821860000000001</v>
      </c>
      <c r="U702">
        <v>-0.49557499999999999</v>
      </c>
      <c r="V702">
        <v>7.1849090000000004E-2</v>
      </c>
      <c r="W702">
        <v>7.0186869999999998E-2</v>
      </c>
      <c r="X702">
        <v>0.99494300000000002</v>
      </c>
      <c r="Y702">
        <v>0.1593765</v>
      </c>
      <c r="Z702">
        <v>-2.1696630000000001E-2</v>
      </c>
      <c r="AA702">
        <v>0.98697939999999995</v>
      </c>
      <c r="AB702">
        <v>25</v>
      </c>
      <c r="AC702">
        <v>0.50490000000002</v>
      </c>
      <c r="AD702">
        <v>-0.20164879999999899</v>
      </c>
      <c r="AE702">
        <v>-0.124599999999986</v>
      </c>
      <c r="AF702">
        <v>0.109907207973448</v>
      </c>
      <c r="AG702">
        <v>-0.20164879999999899</v>
      </c>
      <c r="AH702">
        <v>0.43851355957172</v>
      </c>
      <c r="AI702">
        <v>114.039239075495</v>
      </c>
      <c r="AJ702">
        <v>75.929474498201301</v>
      </c>
      <c r="AK702">
        <v>0.49501108556699902</v>
      </c>
      <c r="AL702">
        <v>85.975279644780599</v>
      </c>
      <c r="AM702">
        <v>85.869596598210094</v>
      </c>
      <c r="AN702">
        <v>1.0000000308516099</v>
      </c>
    </row>
    <row r="703" spans="1:40" x14ac:dyDescent="0.25">
      <c r="A703" t="str">
        <f>"20190312154518020"</f>
        <v>20190312154518020</v>
      </c>
      <c r="B703" t="str">
        <f>"1552376718016548"</f>
        <v>1552376718016548</v>
      </c>
      <c r="C703" t="s">
        <v>40</v>
      </c>
      <c r="D703">
        <v>4.5050860000000004</v>
      </c>
      <c r="E703">
        <v>0.54071599999999997</v>
      </c>
      <c r="F703" t="s">
        <v>41</v>
      </c>
      <c r="G703">
        <v>-271.1293</v>
      </c>
      <c r="H703">
        <v>0.91427700000000001</v>
      </c>
      <c r="I703">
        <v>368.6146</v>
      </c>
      <c r="J703">
        <v>-271.61399999999998</v>
      </c>
      <c r="K703">
        <v>1.1087769999999999</v>
      </c>
      <c r="L703">
        <v>368.73559999999998</v>
      </c>
      <c r="M703">
        <v>0.99997539999999996</v>
      </c>
      <c r="N703">
        <v>0</v>
      </c>
      <c r="O703">
        <v>3.6145869999999998E-3</v>
      </c>
      <c r="P703">
        <v>0.99560789999999999</v>
      </c>
      <c r="Q703">
        <v>6.4111959999999996E-2</v>
      </c>
      <c r="R703">
        <v>-6.8228159999999996E-2</v>
      </c>
      <c r="S703">
        <v>3.03125</v>
      </c>
      <c r="T703">
        <v>-0.80771169999999903</v>
      </c>
      <c r="U703">
        <v>-0.4972839</v>
      </c>
      <c r="V703">
        <v>7.1831030000000004E-2</v>
      </c>
      <c r="W703">
        <v>7.0107429999999998E-2</v>
      </c>
      <c r="X703">
        <v>0.99494990000000005</v>
      </c>
      <c r="Y703">
        <v>0.15989539999999999</v>
      </c>
      <c r="Z703">
        <v>-2.1746330000000001E-2</v>
      </c>
      <c r="AA703">
        <v>0.98689439999999995</v>
      </c>
      <c r="AB703">
        <v>25</v>
      </c>
      <c r="AC703">
        <v>0.48470000000003199</v>
      </c>
      <c r="AD703">
        <v>-0.19450000000000001</v>
      </c>
      <c r="AE703">
        <v>-0.12099999999998</v>
      </c>
      <c r="AF703">
        <v>0.106593877650178</v>
      </c>
      <c r="AG703">
        <v>-0.19450000000000001</v>
      </c>
      <c r="AH703">
        <v>0.42051792934314502</v>
      </c>
      <c r="AI703">
        <v>114.148852829944</v>
      </c>
      <c r="AJ703">
        <v>75.776123088804297</v>
      </c>
      <c r="AK703">
        <v>0.47542384632194001</v>
      </c>
      <c r="AL703">
        <v>85.979842441867206</v>
      </c>
      <c r="AM703">
        <v>85.870659763456402</v>
      </c>
      <c r="AN703">
        <v>1.00000002606103</v>
      </c>
    </row>
    <row r="704" spans="1:40" x14ac:dyDescent="0.25">
      <c r="A704" t="str">
        <f>"20190312154518042"</f>
        <v>20190312154518042</v>
      </c>
      <c r="B704" t="str">
        <f>"1552376718037043"</f>
        <v>1552376718037043</v>
      </c>
      <c r="C704" t="s">
        <v>40</v>
      </c>
      <c r="D704">
        <v>4.5388019999999996</v>
      </c>
      <c r="E704">
        <v>0.54075769999999901</v>
      </c>
      <c r="F704" t="s">
        <v>41</v>
      </c>
      <c r="G704">
        <v>-270.90440000000001</v>
      </c>
      <c r="H704">
        <v>0.91944020000000004</v>
      </c>
      <c r="I704">
        <v>368.61930000000001</v>
      </c>
      <c r="J704">
        <v>-271.3569</v>
      </c>
      <c r="K704">
        <v>1.108824</v>
      </c>
      <c r="L704">
        <v>368.73649999999998</v>
      </c>
      <c r="M704">
        <v>0.99997559999999996</v>
      </c>
      <c r="N704">
        <v>0</v>
      </c>
      <c r="O704">
        <v>3.5988840000000001E-3</v>
      </c>
      <c r="P704">
        <v>0.99560669999999996</v>
      </c>
      <c r="Q704">
        <v>6.3984929999999995E-2</v>
      </c>
      <c r="R704">
        <v>-6.8365330000000002E-2</v>
      </c>
      <c r="S704">
        <v>3.0312190000000001</v>
      </c>
      <c r="T704">
        <v>-0.80881190000000003</v>
      </c>
      <c r="U704">
        <v>-0.4969788</v>
      </c>
      <c r="V704">
        <v>7.1952360000000007E-2</v>
      </c>
      <c r="W704">
        <v>6.9949510000000006E-2</v>
      </c>
      <c r="X704">
        <v>0.99495219999999995</v>
      </c>
      <c r="Y704">
        <v>0.15977420000000001</v>
      </c>
      <c r="Z704">
        <v>-2.1755469999999999E-2</v>
      </c>
      <c r="AA704">
        <v>0.98691379999999995</v>
      </c>
      <c r="AB704">
        <v>25</v>
      </c>
      <c r="AC704">
        <v>0.45249999999998602</v>
      </c>
      <c r="AD704">
        <v>-0.18938379999999999</v>
      </c>
      <c r="AE704">
        <v>-0.117199999999968</v>
      </c>
      <c r="AF704">
        <v>0.10207225542301999</v>
      </c>
      <c r="AG704">
        <v>-0.18938379999999999</v>
      </c>
      <c r="AH704">
        <v>0.388329635230308</v>
      </c>
      <c r="AI704">
        <v>115.251689547236</v>
      </c>
      <c r="AJ704">
        <v>75.272963037005795</v>
      </c>
      <c r="AK704">
        <v>0.44394242264925199</v>
      </c>
      <c r="AL704">
        <v>85.988912666674594</v>
      </c>
      <c r="AM704">
        <v>85.863718599802098</v>
      </c>
      <c r="AN704">
        <v>0.99999997817182396</v>
      </c>
    </row>
    <row r="705" spans="1:40" x14ac:dyDescent="0.25">
      <c r="A705" t="str">
        <f>"20190312154518065"</f>
        <v>20190312154518065</v>
      </c>
      <c r="B705" t="str">
        <f>"1552376718056567"</f>
        <v>1552376718056567</v>
      </c>
      <c r="C705" t="s">
        <v>40</v>
      </c>
      <c r="D705">
        <v>4.5389970000000002</v>
      </c>
      <c r="E705">
        <v>0.54079739999999998</v>
      </c>
      <c r="F705" t="s">
        <v>41</v>
      </c>
      <c r="G705">
        <v>-270.67720000000003</v>
      </c>
      <c r="H705">
        <v>0.92742250000000004</v>
      </c>
      <c r="I705">
        <v>368.62450000000001</v>
      </c>
      <c r="J705">
        <v>-271.10700000000003</v>
      </c>
      <c r="K705">
        <v>1.1088559999999901</v>
      </c>
      <c r="L705">
        <v>368.73739999999998</v>
      </c>
      <c r="M705">
        <v>0.99997599999999998</v>
      </c>
      <c r="N705">
        <v>0</v>
      </c>
      <c r="O705">
        <v>3.5838850000000002E-3</v>
      </c>
      <c r="P705">
        <v>0.99562910000000004</v>
      </c>
      <c r="Q705">
        <v>6.3710790000000003E-2</v>
      </c>
      <c r="R705">
        <v>-6.8293610000000005E-2</v>
      </c>
      <c r="S705">
        <v>3.0310359999999998</v>
      </c>
      <c r="T705">
        <v>-0.80891749999999996</v>
      </c>
      <c r="U705">
        <v>-0.4977722</v>
      </c>
      <c r="V705">
        <v>7.1865999999999999E-2</v>
      </c>
      <c r="W705">
        <v>6.9628419999999996E-2</v>
      </c>
      <c r="X705">
        <v>0.994981</v>
      </c>
      <c r="Y705">
        <v>0.16001119999999999</v>
      </c>
      <c r="Z705">
        <v>-2.1786E-2</v>
      </c>
      <c r="AA705">
        <v>0.98687480000000005</v>
      </c>
      <c r="AB705">
        <v>25</v>
      </c>
      <c r="AC705">
        <v>0.42980000000000002</v>
      </c>
      <c r="AD705">
        <v>-0.181433499999999</v>
      </c>
      <c r="AE705">
        <v>-0.112899999999967</v>
      </c>
      <c r="AF705">
        <v>9.8088703895239895E-2</v>
      </c>
      <c r="AG705">
        <v>-0.181433499999999</v>
      </c>
      <c r="AH705">
        <v>0.36804169399078601</v>
      </c>
      <c r="AI705">
        <v>115.47045707554</v>
      </c>
      <c r="AJ705">
        <v>75.076685628457099</v>
      </c>
      <c r="AK705">
        <v>0.42189358524360798</v>
      </c>
      <c r="AL705">
        <v>86.0073548805222</v>
      </c>
      <c r="AM705">
        <v>85.868785092930594</v>
      </c>
      <c r="AN705">
        <v>1.00000001459434</v>
      </c>
    </row>
    <row r="706" spans="1:40" x14ac:dyDescent="0.25">
      <c r="A706" t="str">
        <f>"20190312154518087"</f>
        <v>20190312154518087</v>
      </c>
      <c r="B706" t="str">
        <f>"1552376718077059"</f>
        <v>1552376718077059</v>
      </c>
      <c r="C706" t="s">
        <v>40</v>
      </c>
      <c r="D706">
        <v>4.5297400000000003</v>
      </c>
      <c r="E706">
        <v>0.54082859999999999</v>
      </c>
      <c r="F706" t="s">
        <v>41</v>
      </c>
      <c r="G706">
        <v>-270.24549999999999</v>
      </c>
      <c r="H706">
        <v>0.87882709999999997</v>
      </c>
      <c r="I706">
        <v>368.59539999999998</v>
      </c>
      <c r="J706">
        <v>-270.85770000000002</v>
      </c>
      <c r="K706">
        <v>1.1088750000000001</v>
      </c>
      <c r="L706">
        <v>368.73829999999998</v>
      </c>
      <c r="M706">
        <v>0.99997630000000004</v>
      </c>
      <c r="N706">
        <v>0</v>
      </c>
      <c r="O706">
        <v>3.5688680000000002E-3</v>
      </c>
      <c r="P706">
        <v>0.99566699999999997</v>
      </c>
      <c r="Q706">
        <v>6.3690209999999997E-2</v>
      </c>
      <c r="R706">
        <v>-6.7758189999999996E-2</v>
      </c>
      <c r="S706">
        <v>3.0307620000000002</v>
      </c>
      <c r="T706">
        <v>-0.80933129999999998</v>
      </c>
      <c r="U706">
        <v>-0.49850460000000002</v>
      </c>
      <c r="V706">
        <v>7.1315820000000002E-2</v>
      </c>
      <c r="W706">
        <v>6.9547559999999994E-2</v>
      </c>
      <c r="X706">
        <v>0.99502619999999997</v>
      </c>
      <c r="Y706">
        <v>0.1602296</v>
      </c>
      <c r="Z706">
        <v>-2.182282E-2</v>
      </c>
      <c r="AA706">
        <v>0.98683849999999995</v>
      </c>
      <c r="AB706">
        <v>25</v>
      </c>
      <c r="AC706">
        <v>0.61220000000002905</v>
      </c>
      <c r="AD706">
        <v>-0.2300479</v>
      </c>
      <c r="AE706">
        <v>-0.142899999999997</v>
      </c>
      <c r="AF706">
        <v>0.12795030417464001</v>
      </c>
      <c r="AG706">
        <v>-0.2300479</v>
      </c>
      <c r="AH706">
        <v>0.53944906909945201</v>
      </c>
      <c r="AI706">
        <v>112.53540450467401</v>
      </c>
      <c r="AJ706">
        <v>76.656758993463001</v>
      </c>
      <c r="AK706">
        <v>0.60024879407214005</v>
      </c>
      <c r="AL706">
        <v>86.0119989133525</v>
      </c>
      <c r="AM706">
        <v>85.900489517694297</v>
      </c>
      <c r="AN706">
        <v>0.99999997398533202</v>
      </c>
    </row>
    <row r="707" spans="1:40" x14ac:dyDescent="0.25">
      <c r="A707" t="str">
        <f>"20190312154518109"</f>
        <v>20190312154518109</v>
      </c>
      <c r="B707" t="str">
        <f>"1552376718107315"</f>
        <v>1552376718107315</v>
      </c>
      <c r="C707" t="s">
        <v>40</v>
      </c>
      <c r="D707">
        <v>4.5622870000000004</v>
      </c>
      <c r="E707">
        <v>0.54088840000000005</v>
      </c>
      <c r="F707" t="s">
        <v>41</v>
      </c>
      <c r="G707">
        <v>-270.01650000000001</v>
      </c>
      <c r="H707">
        <v>0.88430569999999897</v>
      </c>
      <c r="I707">
        <v>368.60019999999997</v>
      </c>
      <c r="J707">
        <v>-270.60599999999999</v>
      </c>
      <c r="K707">
        <v>1.1089020000000001</v>
      </c>
      <c r="L707">
        <v>368.73919999999998</v>
      </c>
      <c r="M707">
        <v>0.9999768</v>
      </c>
      <c r="N707">
        <v>0</v>
      </c>
      <c r="O707">
        <v>3.553624E-3</v>
      </c>
      <c r="P707">
        <v>0.99569359999999996</v>
      </c>
      <c r="Q707">
        <v>6.3694600000000004E-2</v>
      </c>
      <c r="R707">
        <v>-6.7358609999999999E-2</v>
      </c>
      <c r="S707">
        <v>3.0310359999999998</v>
      </c>
      <c r="T707">
        <v>-0.80929149999999905</v>
      </c>
      <c r="U707">
        <v>-0.49688719999999997</v>
      </c>
      <c r="V707">
        <v>7.0901190000000003E-2</v>
      </c>
      <c r="W707">
        <v>6.948762E-2</v>
      </c>
      <c r="X707">
        <v>0.99505999999999994</v>
      </c>
      <c r="Y707">
        <v>0.15970680000000001</v>
      </c>
      <c r="Z707">
        <v>-2.1748650000000001E-2</v>
      </c>
      <c r="AA707">
        <v>0.98692489999999999</v>
      </c>
      <c r="AB707">
        <v>25</v>
      </c>
      <c r="AC707">
        <v>0.58949999999998604</v>
      </c>
      <c r="AD707">
        <v>-0.2245963</v>
      </c>
      <c r="AE707">
        <v>-0.13900000000001</v>
      </c>
      <c r="AF707">
        <v>0.124037449230708</v>
      </c>
      <c r="AG707">
        <v>-0.2245963</v>
      </c>
      <c r="AH707">
        <v>0.51779902028012503</v>
      </c>
      <c r="AI707">
        <v>112.87089762832601</v>
      </c>
      <c r="AJ707">
        <v>76.528784762677503</v>
      </c>
      <c r="AK707">
        <v>0.57787940972871399</v>
      </c>
      <c r="AL707">
        <v>86.0154414787267</v>
      </c>
      <c r="AM707">
        <v>85.924381481426593</v>
      </c>
      <c r="AN707">
        <v>0.99999995583833901</v>
      </c>
    </row>
    <row r="708" spans="1:40" x14ac:dyDescent="0.25">
      <c r="A708" t="str">
        <f>"20190312154518133"</f>
        <v>20190312154518133</v>
      </c>
      <c r="B708" t="str">
        <f>"1552376718126835"</f>
        <v>1552376718126835</v>
      </c>
      <c r="C708" t="s">
        <v>40</v>
      </c>
      <c r="D708">
        <v>4.5813569999999997</v>
      </c>
      <c r="E708">
        <v>0.54092229999999997</v>
      </c>
      <c r="F708" t="s">
        <v>41</v>
      </c>
      <c r="G708">
        <v>-269.78629999999998</v>
      </c>
      <c r="H708">
        <v>0.89028719999999995</v>
      </c>
      <c r="I708">
        <v>368.6046</v>
      </c>
      <c r="J708">
        <v>-270.33859999999999</v>
      </c>
      <c r="K708">
        <v>1.1089199999999999</v>
      </c>
      <c r="L708">
        <v>368.74009999999998</v>
      </c>
      <c r="M708">
        <v>0.99997720000000001</v>
      </c>
      <c r="N708">
        <v>0</v>
      </c>
      <c r="O708">
        <v>3.537662E-3</v>
      </c>
      <c r="P708">
        <v>0.99569189999999996</v>
      </c>
      <c r="Q708">
        <v>6.4248070000000004E-2</v>
      </c>
      <c r="R708">
        <v>-6.6858920000000002E-2</v>
      </c>
      <c r="S708">
        <v>3.0311279999999998</v>
      </c>
      <c r="T708">
        <v>-0.80855829999999995</v>
      </c>
      <c r="U708">
        <v>-0.49658200000000002</v>
      </c>
      <c r="V708">
        <v>7.0385630000000005E-2</v>
      </c>
      <c r="W708">
        <v>6.9976640000000007E-2</v>
      </c>
      <c r="X708">
        <v>0.99506240000000001</v>
      </c>
      <c r="Y708">
        <v>0.15960369999999999</v>
      </c>
      <c r="Z708">
        <v>-2.171155E-2</v>
      </c>
      <c r="AA708">
        <v>0.9869424</v>
      </c>
      <c r="AB708">
        <v>25</v>
      </c>
      <c r="AC708">
        <v>0.55230000000000201</v>
      </c>
      <c r="AD708">
        <v>-0.21863279999999999</v>
      </c>
      <c r="AE708">
        <v>-0.135499999999979</v>
      </c>
      <c r="AF708">
        <v>0.119752684644626</v>
      </c>
      <c r="AG708">
        <v>-0.21863279999999999</v>
      </c>
      <c r="AH708">
        <v>0.48075758389534001</v>
      </c>
      <c r="AI708">
        <v>113.811061443873</v>
      </c>
      <c r="AJ708">
        <v>76.012751867716005</v>
      </c>
      <c r="AK708">
        <v>0.54154303724479802</v>
      </c>
      <c r="AL708">
        <v>85.9873545958542</v>
      </c>
      <c r="AM708">
        <v>85.953928396067695</v>
      </c>
      <c r="AN708">
        <v>1.00000002347497</v>
      </c>
    </row>
    <row r="709" spans="1:40" x14ac:dyDescent="0.25">
      <c r="A709" t="str">
        <f>"20190312154518155"</f>
        <v>20190312154518155</v>
      </c>
      <c r="B709" t="str">
        <f>"1552376718146355"</f>
        <v>1552376718146355</v>
      </c>
      <c r="C709" t="s">
        <v>40</v>
      </c>
      <c r="D709">
        <v>4.5599400000000001</v>
      </c>
      <c r="E709">
        <v>0.54086730000000005</v>
      </c>
      <c r="F709" t="s">
        <v>41</v>
      </c>
      <c r="G709">
        <v>-269.55360000000002</v>
      </c>
      <c r="H709">
        <v>0.90007099999999995</v>
      </c>
      <c r="I709">
        <v>368.61180000000002</v>
      </c>
      <c r="J709">
        <v>-270.09089999999998</v>
      </c>
      <c r="K709">
        <v>1.108932</v>
      </c>
      <c r="L709">
        <v>368.74099999999999</v>
      </c>
      <c r="M709">
        <v>0.99997749999999996</v>
      </c>
      <c r="N709">
        <v>0</v>
      </c>
      <c r="O709">
        <v>3.5229800000000002E-3</v>
      </c>
      <c r="P709">
        <v>0.99568959999999995</v>
      </c>
      <c r="Q709">
        <v>6.4798359999999999E-2</v>
      </c>
      <c r="R709">
        <v>-6.6356299999999993E-2</v>
      </c>
      <c r="S709">
        <v>3.0317989999999999</v>
      </c>
      <c r="T709">
        <v>-0.80675649999999999</v>
      </c>
      <c r="U709">
        <v>-0.49517820000000001</v>
      </c>
      <c r="V709">
        <v>6.9868399999999997E-2</v>
      </c>
      <c r="W709">
        <v>7.0471790000000006E-2</v>
      </c>
      <c r="X709">
        <v>0.9950639</v>
      </c>
      <c r="Y709">
        <v>0.1591513</v>
      </c>
      <c r="Z709">
        <v>-2.1598340000000001E-2</v>
      </c>
      <c r="AA709">
        <v>0.9870179</v>
      </c>
      <c r="AB709">
        <v>25</v>
      </c>
      <c r="AC709">
        <v>0.53729999999995903</v>
      </c>
      <c r="AD709">
        <v>-0.20886099999999999</v>
      </c>
      <c r="AE709">
        <v>-0.12919999999996801</v>
      </c>
      <c r="AF709">
        <v>0.114706714198576</v>
      </c>
      <c r="AG709">
        <v>-0.20886099999999999</v>
      </c>
      <c r="AH709">
        <v>0.46974082312608201</v>
      </c>
      <c r="AI709">
        <v>113.36138043707101</v>
      </c>
      <c r="AJ709">
        <v>76.277408219656493</v>
      </c>
      <c r="AK709">
        <v>0.52672287639175397</v>
      </c>
      <c r="AL709">
        <v>85.958914347623704</v>
      </c>
      <c r="AM709">
        <v>85.983569389834202</v>
      </c>
      <c r="AN709">
        <v>1.0000000157937801</v>
      </c>
    </row>
    <row r="710" spans="1:40" x14ac:dyDescent="0.25">
      <c r="A710" t="str">
        <f>"20190312154518177"</f>
        <v>20190312154518177</v>
      </c>
      <c r="B710" t="str">
        <f>"1552376718166852"</f>
        <v>1552376718166852</v>
      </c>
      <c r="C710" t="s">
        <v>40</v>
      </c>
      <c r="D710">
        <v>4.5566000000000004</v>
      </c>
      <c r="E710">
        <v>0.54074730000000004</v>
      </c>
      <c r="F710" t="s">
        <v>41</v>
      </c>
      <c r="G710">
        <v>-269.322</v>
      </c>
      <c r="H710">
        <v>0.90477470000000004</v>
      </c>
      <c r="I710">
        <v>368.61559999999997</v>
      </c>
      <c r="J710">
        <v>-269.82650000000001</v>
      </c>
      <c r="K710">
        <v>1.108948</v>
      </c>
      <c r="L710">
        <v>368.74189999999999</v>
      </c>
      <c r="M710">
        <v>0.99997789999999998</v>
      </c>
      <c r="N710">
        <v>0</v>
      </c>
      <c r="O710">
        <v>3.5069889999999999E-3</v>
      </c>
      <c r="P710">
        <v>0.99572669999999996</v>
      </c>
      <c r="Q710">
        <v>6.4456479999999997E-2</v>
      </c>
      <c r="R710">
        <v>-6.6137459999999995E-2</v>
      </c>
      <c r="S710">
        <v>3.0324710000000001</v>
      </c>
      <c r="T710">
        <v>-0.80517759999999905</v>
      </c>
      <c r="U710">
        <v>-0.49340820000000002</v>
      </c>
      <c r="V710">
        <v>6.9633609999999999E-2</v>
      </c>
      <c r="W710">
        <v>7.0074139999999993E-2</v>
      </c>
      <c r="X710">
        <v>0.9951084</v>
      </c>
      <c r="Y710">
        <v>0.15858229999999901</v>
      </c>
      <c r="Z710">
        <v>-2.1475910000000001E-2</v>
      </c>
      <c r="AA710">
        <v>0.9871122</v>
      </c>
      <c r="AB710">
        <v>26</v>
      </c>
      <c r="AC710">
        <v>0.50450000000000705</v>
      </c>
      <c r="AD710">
        <v>-0.2041733</v>
      </c>
      <c r="AE710">
        <v>-0.12630000000001401</v>
      </c>
      <c r="AF710">
        <v>0.110965818640897</v>
      </c>
      <c r="AG710">
        <v>-0.2041733</v>
      </c>
      <c r="AH710">
        <v>0.43674086961708802</v>
      </c>
      <c r="AI710">
        <v>114.375130068714</v>
      </c>
      <c r="AJ710">
        <v>75.744113220014597</v>
      </c>
      <c r="AK710">
        <v>0.49471480322851202</v>
      </c>
      <c r="AL710">
        <v>85.9817543203485</v>
      </c>
      <c r="AM710">
        <v>85.997200921186902</v>
      </c>
      <c r="AN710">
        <v>0.99999997624446502</v>
      </c>
    </row>
    <row r="711" spans="1:40" x14ac:dyDescent="0.25">
      <c r="A711" t="str">
        <f>"20190312154518199"</f>
        <v>20190312154518199</v>
      </c>
      <c r="B711" t="str">
        <f>"1552376718186372"</f>
        <v>1552376718186372</v>
      </c>
      <c r="C711" t="s">
        <v>40</v>
      </c>
      <c r="D711">
        <v>4.6183379999999996</v>
      </c>
      <c r="E711">
        <v>0.54080209999999995</v>
      </c>
      <c r="F711" t="s">
        <v>41</v>
      </c>
      <c r="G711">
        <v>-269.0881</v>
      </c>
      <c r="H711">
        <v>0.91271080000000004</v>
      </c>
      <c r="I711">
        <v>368.62200000000001</v>
      </c>
      <c r="J711">
        <v>-269.57780000000002</v>
      </c>
      <c r="K711">
        <v>1.108957</v>
      </c>
      <c r="L711">
        <v>368.74279999999999</v>
      </c>
      <c r="M711">
        <v>0.99997829999999999</v>
      </c>
      <c r="N711">
        <v>0</v>
      </c>
      <c r="O711">
        <v>3.4919959999999998E-3</v>
      </c>
      <c r="P711">
        <v>0.995695</v>
      </c>
      <c r="Q711">
        <v>6.438874E-2</v>
      </c>
      <c r="R711">
        <v>-6.6677199999999895E-2</v>
      </c>
      <c r="S711">
        <v>3.0323790000000002</v>
      </c>
      <c r="T711">
        <v>-0.80584540000000005</v>
      </c>
      <c r="U711">
        <v>-0.49179079999999997</v>
      </c>
      <c r="V711">
        <v>7.0158529999999997E-2</v>
      </c>
      <c r="W711">
        <v>6.9954740000000001E-2</v>
      </c>
      <c r="X711">
        <v>0.99507990000000002</v>
      </c>
      <c r="Y711">
        <v>0.15806729999999899</v>
      </c>
      <c r="Z711">
        <v>-2.1423899999999999E-2</v>
      </c>
      <c r="AA711">
        <v>0.98719590000000002</v>
      </c>
      <c r="AB711">
        <v>26</v>
      </c>
      <c r="AC711">
        <v>0.489700000000027</v>
      </c>
      <c r="AD711">
        <v>-0.19624619999999901</v>
      </c>
      <c r="AE711">
        <v>-0.12080000000003099</v>
      </c>
      <c r="AF711">
        <v>0.10640154702216501</v>
      </c>
      <c r="AG711">
        <v>-0.19624619999999901</v>
      </c>
      <c r="AH711">
        <v>0.42494428374573101</v>
      </c>
      <c r="AI711">
        <v>114.131737789794</v>
      </c>
      <c r="AJ711">
        <v>75.942759537716597</v>
      </c>
      <c r="AK711">
        <v>0.480011983716368</v>
      </c>
      <c r="AL711">
        <v>85.988612145350601</v>
      </c>
      <c r="AM711">
        <v>85.967010634827901</v>
      </c>
      <c r="AN711">
        <v>0.99999994618211696</v>
      </c>
    </row>
    <row r="712" spans="1:40" x14ac:dyDescent="0.25">
      <c r="A712" t="str">
        <f>"20190312154518220"</f>
        <v>20190312154518220</v>
      </c>
      <c r="B712" t="str">
        <f>"1552376718216628"</f>
        <v>1552376718216628</v>
      </c>
      <c r="C712" t="s">
        <v>40</v>
      </c>
      <c r="D712">
        <v>4.6337659999999996</v>
      </c>
      <c r="E712">
        <v>0.54081080000000004</v>
      </c>
      <c r="F712" t="s">
        <v>41</v>
      </c>
      <c r="G712">
        <v>-268.85449999999997</v>
      </c>
      <c r="H712">
        <v>0.91675479999999998</v>
      </c>
      <c r="I712">
        <v>368.62450000000001</v>
      </c>
      <c r="J712">
        <v>-269.32429999999999</v>
      </c>
      <c r="K712">
        <v>1.1089580000000001</v>
      </c>
      <c r="L712">
        <v>368.74360000000001</v>
      </c>
      <c r="M712">
        <v>0.99997849999999999</v>
      </c>
      <c r="N712">
        <v>0</v>
      </c>
      <c r="O712">
        <v>3.4766369999999999E-3</v>
      </c>
      <c r="P712">
        <v>0.99565049999999999</v>
      </c>
      <c r="Q712">
        <v>6.4656149999999996E-2</v>
      </c>
      <c r="R712">
        <v>-6.7077739999999997E-2</v>
      </c>
      <c r="S712">
        <v>3.0319210000000001</v>
      </c>
      <c r="T712">
        <v>-0.80583970000000005</v>
      </c>
      <c r="U712">
        <v>-0.4945679</v>
      </c>
      <c r="V712">
        <v>7.0543690000000006E-2</v>
      </c>
      <c r="W712">
        <v>7.0173079999999999E-2</v>
      </c>
      <c r="X712">
        <v>0.99503739999999996</v>
      </c>
      <c r="Y712">
        <v>0.1589274</v>
      </c>
      <c r="Z712">
        <v>-2.1533010000000002E-2</v>
      </c>
      <c r="AA712">
        <v>0.98705540000000003</v>
      </c>
      <c r="AB712">
        <v>26</v>
      </c>
      <c r="AC712">
        <v>0.46980000000001998</v>
      </c>
      <c r="AD712">
        <v>-0.19220319999999899</v>
      </c>
      <c r="AE712">
        <v>-0.119100000000003</v>
      </c>
      <c r="AF712">
        <v>0.104325437847498</v>
      </c>
      <c r="AG712">
        <v>-0.19220319999999899</v>
      </c>
      <c r="AH712">
        <v>0.40559537426012299</v>
      </c>
      <c r="AI712">
        <v>114.65231083401</v>
      </c>
      <c r="AJ712">
        <v>75.575320189180999</v>
      </c>
      <c r="AK712">
        <v>0.46079656540985803</v>
      </c>
      <c r="AL712">
        <v>85.976071785204596</v>
      </c>
      <c r="AM712">
        <v>85.944771154962893</v>
      </c>
      <c r="AN712">
        <v>1.00000005037713</v>
      </c>
    </row>
    <row r="713" spans="1:40" x14ac:dyDescent="0.25">
      <c r="A713" t="str">
        <f>"20190312154518236"</f>
        <v>20190312154518236</v>
      </c>
      <c r="B713" t="str">
        <f>"1552376718227363"</f>
        <v>1552376718227363</v>
      </c>
      <c r="C713" t="s">
        <v>40</v>
      </c>
      <c r="D713">
        <v>4.6321629999999896</v>
      </c>
      <c r="E713">
        <v>0.54080699999999904</v>
      </c>
      <c r="F713" t="s">
        <v>41</v>
      </c>
      <c r="G713">
        <v>-268.61959999999999</v>
      </c>
      <c r="H713">
        <v>0.92194339999999997</v>
      </c>
      <c r="I713">
        <v>368.62819999999999</v>
      </c>
      <c r="J713">
        <v>-269.14830000000001</v>
      </c>
      <c r="K713">
        <v>1.1089639999999901</v>
      </c>
      <c r="L713">
        <v>368.74419999999998</v>
      </c>
      <c r="M713">
        <v>0.99997879999999995</v>
      </c>
      <c r="N713">
        <v>0</v>
      </c>
      <c r="O713">
        <v>3.466111E-3</v>
      </c>
      <c r="P713">
        <v>0.9956604</v>
      </c>
      <c r="Q713">
        <v>6.4422320000000005E-2</v>
      </c>
      <c r="R713">
        <v>-6.7159469999999999E-2</v>
      </c>
      <c r="S713">
        <v>3.0320130000000001</v>
      </c>
      <c r="T713">
        <v>-0.80460699999999996</v>
      </c>
      <c r="U713">
        <v>-0.49548340000000002</v>
      </c>
      <c r="V713">
        <v>7.0614769999999993E-2</v>
      </c>
      <c r="W713">
        <v>6.9909559999999996E-2</v>
      </c>
      <c r="X713">
        <v>0.99505080000000001</v>
      </c>
      <c r="Y713">
        <v>0.15921060000000001</v>
      </c>
      <c r="Z713">
        <v>-2.1534009999999999E-2</v>
      </c>
      <c r="AA713">
        <v>0.98700980000000005</v>
      </c>
      <c r="AB713">
        <v>26</v>
      </c>
      <c r="AC713">
        <v>0.52870000000001405</v>
      </c>
      <c r="AD713">
        <v>-0.18702059999999901</v>
      </c>
      <c r="AE713">
        <v>-0.115999999999985</v>
      </c>
      <c r="AF713">
        <v>0.105265039808318</v>
      </c>
      <c r="AG713">
        <v>-0.18702059999999901</v>
      </c>
      <c r="AH713">
        <v>0.47195186384997501</v>
      </c>
      <c r="AI713">
        <v>111.144819625838</v>
      </c>
      <c r="AJ713">
        <v>77.426446134869295</v>
      </c>
      <c r="AK713">
        <v>0.51845539366629401</v>
      </c>
      <c r="AL713">
        <v>85.991207110994097</v>
      </c>
      <c r="AM713">
        <v>85.940753231252501</v>
      </c>
      <c r="AN713">
        <v>0.999999943451091</v>
      </c>
    </row>
    <row r="714" spans="1:40" x14ac:dyDescent="0.25">
      <c r="A714" t="str">
        <f>"20190312154518254"</f>
        <v>20190312154518254</v>
      </c>
      <c r="B714" t="str">
        <f>"1552376718246883"</f>
        <v>1552376718246883</v>
      </c>
      <c r="C714" t="s">
        <v>40</v>
      </c>
      <c r="D714">
        <v>4.6527649999999996</v>
      </c>
      <c r="E714">
        <v>0.54084889999999997</v>
      </c>
      <c r="F714" t="s">
        <v>41</v>
      </c>
      <c r="G714">
        <v>-268.39109999999999</v>
      </c>
      <c r="H714">
        <v>0.90786579999999995</v>
      </c>
      <c r="I714">
        <v>368.62009999999998</v>
      </c>
      <c r="J714">
        <v>-268.92469999999997</v>
      </c>
      <c r="K714">
        <v>1.10897</v>
      </c>
      <c r="L714">
        <v>368.745</v>
      </c>
      <c r="M714">
        <v>0.99997899999999995</v>
      </c>
      <c r="N714">
        <v>0</v>
      </c>
      <c r="O714">
        <v>3.4527350000000002E-3</v>
      </c>
      <c r="P714">
        <v>0.99562550000000005</v>
      </c>
      <c r="Q714">
        <v>6.4608540000000006E-2</v>
      </c>
      <c r="R714">
        <v>-6.7495959999999994E-2</v>
      </c>
      <c r="S714">
        <v>3.0317080000000001</v>
      </c>
      <c r="T714">
        <v>-0.80518619999999996</v>
      </c>
      <c r="U714">
        <v>-0.49606319999999998</v>
      </c>
      <c r="V714">
        <v>7.0937920000000002E-2</v>
      </c>
      <c r="W714">
        <v>7.0061289999999998E-2</v>
      </c>
      <c r="X714">
        <v>0.99501719999999905</v>
      </c>
      <c r="Y714">
        <v>0.1593831</v>
      </c>
      <c r="Z714">
        <v>-2.1569660000000001E-2</v>
      </c>
      <c r="AA714">
        <v>0.9869812</v>
      </c>
      <c r="AB714">
        <v>26</v>
      </c>
      <c r="AC714">
        <v>0.53359999999997798</v>
      </c>
      <c r="AD714">
        <v>-0.20110419999999901</v>
      </c>
      <c r="AE714">
        <v>-0.124900000000025</v>
      </c>
      <c r="AF714">
        <v>0.111699927181643</v>
      </c>
      <c r="AG714">
        <v>-0.20110419999999901</v>
      </c>
      <c r="AH714">
        <v>0.46988933000909799</v>
      </c>
      <c r="AI714">
        <v>112.605829883712</v>
      </c>
      <c r="AJ714">
        <v>76.628099908371595</v>
      </c>
      <c r="AK714">
        <v>0.523178512026653</v>
      </c>
      <c r="AL714">
        <v>85.9824924830219</v>
      </c>
      <c r="AM714">
        <v>85.922102439693603</v>
      </c>
      <c r="AN714">
        <v>1.00000000057311</v>
      </c>
    </row>
    <row r="715" spans="1:40" x14ac:dyDescent="0.25">
      <c r="A715" t="str">
        <f>"20190312154518277"</f>
        <v>20190312154518277</v>
      </c>
      <c r="B715" t="str">
        <f>"1552376718266404"</f>
        <v>1552376718266404</v>
      </c>
      <c r="C715" t="s">
        <v>40</v>
      </c>
      <c r="D715">
        <v>4.6868869999999996</v>
      </c>
      <c r="E715">
        <v>0.5408345</v>
      </c>
      <c r="F715" t="s">
        <v>41</v>
      </c>
      <c r="G715">
        <v>-268.15719999999999</v>
      </c>
      <c r="H715">
        <v>0.90528889999999995</v>
      </c>
      <c r="I715">
        <v>368.61900000000003</v>
      </c>
      <c r="J715">
        <v>-268.66329999999999</v>
      </c>
      <c r="K715">
        <v>1.1089709999999999</v>
      </c>
      <c r="L715">
        <v>368.74590000000001</v>
      </c>
      <c r="M715">
        <v>0.99997930000000002</v>
      </c>
      <c r="N715">
        <v>0</v>
      </c>
      <c r="O715">
        <v>3.437037E-3</v>
      </c>
      <c r="P715">
        <v>0.99563009999999996</v>
      </c>
      <c r="Q715">
        <v>6.3968780000000003E-2</v>
      </c>
      <c r="R715">
        <v>-6.8035670000000006E-2</v>
      </c>
      <c r="S715">
        <v>3.0317080000000001</v>
      </c>
      <c r="T715">
        <v>-0.8045812</v>
      </c>
      <c r="U715">
        <v>-0.49749759999999998</v>
      </c>
      <c r="V715">
        <v>7.1461860000000002E-2</v>
      </c>
      <c r="W715">
        <v>6.9386790000000004E-2</v>
      </c>
      <c r="X715">
        <v>0.99502690000000005</v>
      </c>
      <c r="Y715">
        <v>0.15981679999999901</v>
      </c>
      <c r="Z715">
        <v>-2.1605360000000001E-2</v>
      </c>
      <c r="AA715">
        <v>0.98691019999999896</v>
      </c>
      <c r="AB715">
        <v>26</v>
      </c>
      <c r="AC715">
        <v>0.50610000000000299</v>
      </c>
      <c r="AD715">
        <v>-0.20368209999999901</v>
      </c>
      <c r="AE715">
        <v>-0.126899999999977</v>
      </c>
      <c r="AF715">
        <v>0.111627935581658</v>
      </c>
      <c r="AG715">
        <v>-0.20368209999999901</v>
      </c>
      <c r="AH715">
        <v>0.43879368766174498</v>
      </c>
      <c r="AI715">
        <v>114.220966602701</v>
      </c>
      <c r="AJ715">
        <v>75.726875879363007</v>
      </c>
      <c r="AK715">
        <v>0.49647466621613801</v>
      </c>
      <c r="AL715">
        <v>86.021232478929306</v>
      </c>
      <c r="AM715">
        <v>85.892126160611397</v>
      </c>
      <c r="AN715">
        <v>0.99999992789238401</v>
      </c>
    </row>
    <row r="716" spans="1:40" x14ac:dyDescent="0.25">
      <c r="A716" t="str">
        <f>"20190312154518300"</f>
        <v>20190312154518300</v>
      </c>
      <c r="B716" t="str">
        <f>"1552376718296660"</f>
        <v>1552376718296660</v>
      </c>
      <c r="C716" t="s">
        <v>40</v>
      </c>
      <c r="D716">
        <v>4.6997910000000003</v>
      </c>
      <c r="E716">
        <v>0.54082359999999996</v>
      </c>
      <c r="F716" t="s">
        <v>41</v>
      </c>
      <c r="G716">
        <v>-267.91910000000001</v>
      </c>
      <c r="H716">
        <v>0.91085300000000002</v>
      </c>
      <c r="I716">
        <v>368.62310000000002</v>
      </c>
      <c r="J716">
        <v>-268.3956</v>
      </c>
      <c r="K716">
        <v>1.1089709999999999</v>
      </c>
      <c r="L716">
        <v>368.74680000000001</v>
      </c>
      <c r="M716">
        <v>0.99997950000000002</v>
      </c>
      <c r="N716">
        <v>0</v>
      </c>
      <c r="O716">
        <v>3.420789E-3</v>
      </c>
      <c r="P716">
        <v>0.99560510000000002</v>
      </c>
      <c r="Q716">
        <v>6.3800519999999999E-2</v>
      </c>
      <c r="R716">
        <v>-6.8558789999999994E-2</v>
      </c>
      <c r="S716">
        <v>3.0308839999999999</v>
      </c>
      <c r="T716">
        <v>-0.80692269999999999</v>
      </c>
      <c r="U716">
        <v>-0.49880980000000003</v>
      </c>
      <c r="V716">
        <v>7.1968850000000001E-2</v>
      </c>
      <c r="W716">
        <v>6.9187949999999998E-2</v>
      </c>
      <c r="X716">
        <v>0.99500429999999995</v>
      </c>
      <c r="Y716">
        <v>0.16021279999999999</v>
      </c>
      <c r="Z716">
        <v>-2.1718319999999999E-2</v>
      </c>
      <c r="AA716">
        <v>0.98684349999999998</v>
      </c>
      <c r="AB716">
        <v>26</v>
      </c>
      <c r="AC716">
        <v>0.47649999999998699</v>
      </c>
      <c r="AD716">
        <v>-0.19811799999999899</v>
      </c>
      <c r="AE716">
        <v>-0.123699999999985</v>
      </c>
      <c r="AF716">
        <v>0.107860604138142</v>
      </c>
      <c r="AG716">
        <v>-0.19811799999999899</v>
      </c>
      <c r="AH716">
        <v>0.40971770060375601</v>
      </c>
      <c r="AI716">
        <v>115.06150825423801</v>
      </c>
      <c r="AJ716">
        <v>75.251185409494994</v>
      </c>
      <c r="AK716">
        <v>0.46771064349346803</v>
      </c>
      <c r="AL716">
        <v>86.032652993681793</v>
      </c>
      <c r="AM716">
        <v>85.862989820053699</v>
      </c>
      <c r="AN716">
        <v>1.000000022407</v>
      </c>
    </row>
    <row r="717" spans="1:40" x14ac:dyDescent="0.25">
      <c r="A717" t="str">
        <f>"20190312154518322"</f>
        <v>20190312154518322</v>
      </c>
      <c r="B717" t="str">
        <f>"1552376718317156"</f>
        <v>1552376718317156</v>
      </c>
      <c r="C717" t="s">
        <v>40</v>
      </c>
      <c r="D717">
        <v>4.7046659999999996</v>
      </c>
      <c r="E717">
        <v>0.54082269999999999</v>
      </c>
      <c r="F717" t="s">
        <v>41</v>
      </c>
      <c r="G717">
        <v>-267.67939999999999</v>
      </c>
      <c r="H717">
        <v>0.91811949999999998</v>
      </c>
      <c r="I717">
        <v>368.62810000000002</v>
      </c>
      <c r="J717">
        <v>-268.13060000000002</v>
      </c>
      <c r="K717">
        <v>1.1089739999999999</v>
      </c>
      <c r="L717">
        <v>368.74770000000001</v>
      </c>
      <c r="M717">
        <v>0.99997970000000003</v>
      </c>
      <c r="N717">
        <v>0</v>
      </c>
      <c r="O717">
        <v>3.4053680000000002E-3</v>
      </c>
      <c r="P717">
        <v>0.99557039999999997</v>
      </c>
      <c r="Q717">
        <v>6.3700019999999996E-2</v>
      </c>
      <c r="R717">
        <v>-6.9152119999999997E-2</v>
      </c>
      <c r="S717">
        <v>3.030548</v>
      </c>
      <c r="T717">
        <v>-0.80758419999999997</v>
      </c>
      <c r="U717">
        <v>-0.50128170000000005</v>
      </c>
      <c r="V717">
        <v>7.2546940000000004E-2</v>
      </c>
      <c r="W717">
        <v>6.9059029999999993E-2</v>
      </c>
      <c r="X717">
        <v>0.9949713</v>
      </c>
      <c r="Y717">
        <v>0.16096440000000001</v>
      </c>
      <c r="Z717">
        <v>-2.1830260000000001E-2</v>
      </c>
      <c r="AA717">
        <v>0.98671880000000001</v>
      </c>
      <c r="AB717">
        <v>26</v>
      </c>
      <c r="AC717">
        <v>0.45120000000002802</v>
      </c>
      <c r="AD717">
        <v>-0.19085449999999901</v>
      </c>
      <c r="AE717">
        <v>-0.11959999999999101</v>
      </c>
      <c r="AF717">
        <v>0.103785321958531</v>
      </c>
      <c r="AG717">
        <v>-0.19085449999999901</v>
      </c>
      <c r="AH717">
        <v>0.38622259747764498</v>
      </c>
      <c r="AI717">
        <v>115.51172718669299</v>
      </c>
      <c r="AJ717">
        <v>74.958859694449799</v>
      </c>
      <c r="AK717">
        <v>0.443130599289493</v>
      </c>
      <c r="AL717">
        <v>86.040057377048598</v>
      </c>
      <c r="AM717">
        <v>85.829738217455898</v>
      </c>
      <c r="AN717">
        <v>1.00000004797579</v>
      </c>
    </row>
    <row r="718" spans="1:40" x14ac:dyDescent="0.25">
      <c r="A718" t="str">
        <f>"20190312154518345"</f>
        <v>20190312154518345</v>
      </c>
      <c r="B718" t="str">
        <f>"1552376718336676"</f>
        <v>1552376718336676</v>
      </c>
      <c r="C718" t="s">
        <v>40</v>
      </c>
      <c r="D718">
        <v>4.7367800000000004</v>
      </c>
      <c r="E718">
        <v>0.54081259999999998</v>
      </c>
      <c r="F718" t="s">
        <v>41</v>
      </c>
      <c r="G718">
        <v>-267.43880000000001</v>
      </c>
      <c r="H718">
        <v>0.92457780000000001</v>
      </c>
      <c r="I718">
        <v>368.6327</v>
      </c>
      <c r="J718">
        <v>-267.85469999999998</v>
      </c>
      <c r="K718">
        <v>1.108968</v>
      </c>
      <c r="L718">
        <v>368.74860000000001</v>
      </c>
      <c r="M718">
        <v>0.99998010000000004</v>
      </c>
      <c r="N718">
        <v>0</v>
      </c>
      <c r="O718">
        <v>3.3886400000000001E-3</v>
      </c>
      <c r="P718">
        <v>0.99557010000000001</v>
      </c>
      <c r="Q718">
        <v>6.3749050000000002E-2</v>
      </c>
      <c r="R718">
        <v>-6.9116150000000001E-2</v>
      </c>
      <c r="S718">
        <v>3.03009</v>
      </c>
      <c r="T718">
        <v>-0.80761689999999997</v>
      </c>
      <c r="U718">
        <v>-0.50289919999999999</v>
      </c>
      <c r="V718">
        <v>7.2493929999999998E-2</v>
      </c>
      <c r="W718">
        <v>6.9078539999999994E-2</v>
      </c>
      <c r="X718">
        <v>0.99497380000000002</v>
      </c>
      <c r="Y718">
        <v>0.16146650000000001</v>
      </c>
      <c r="Z718">
        <v>-2.189435E-2</v>
      </c>
      <c r="AA718">
        <v>0.98663529999999999</v>
      </c>
      <c r="AB718">
        <v>27</v>
      </c>
      <c r="AC718">
        <v>0.41589999999996502</v>
      </c>
      <c r="AD718">
        <v>-0.184390199999999</v>
      </c>
      <c r="AE718">
        <v>-0.11590000000001</v>
      </c>
      <c r="AF718">
        <v>9.9212643861484401E-2</v>
      </c>
      <c r="AG718">
        <v>-0.184390199999999</v>
      </c>
      <c r="AH718">
        <v>0.35140905632110297</v>
      </c>
      <c r="AI718">
        <v>116.792720183223</v>
      </c>
      <c r="AJ718">
        <v>74.234136776566103</v>
      </c>
      <c r="AK718">
        <v>0.40906138833005701</v>
      </c>
      <c r="AL718">
        <v>86.0389368234638</v>
      </c>
      <c r="AM718">
        <v>85.832785119872995</v>
      </c>
      <c r="AN718">
        <v>1.0000000386309</v>
      </c>
    </row>
    <row r="719" spans="1:40" x14ac:dyDescent="0.25">
      <c r="A719" t="str">
        <f>"20190312154518365"</f>
        <v>20190312154518365</v>
      </c>
      <c r="B719" t="str">
        <f>"1552376718357171"</f>
        <v>1552376718357171</v>
      </c>
      <c r="C719" t="s">
        <v>40</v>
      </c>
      <c r="D719">
        <v>4.7378119999999999</v>
      </c>
      <c r="E719">
        <v>0.54076469999999999</v>
      </c>
      <c r="F719" t="s">
        <v>41</v>
      </c>
      <c r="G719">
        <v>-266.97890000000001</v>
      </c>
      <c r="H719">
        <v>0.87561440000000001</v>
      </c>
      <c r="I719">
        <v>368.60300000000001</v>
      </c>
      <c r="J719">
        <v>-267.60019999999997</v>
      </c>
      <c r="K719">
        <v>1.1089690000000001</v>
      </c>
      <c r="L719">
        <v>368.74939999999998</v>
      </c>
      <c r="M719">
        <v>0.99998019999999999</v>
      </c>
      <c r="N719">
        <v>0</v>
      </c>
      <c r="O719">
        <v>3.3737459999999999E-3</v>
      </c>
      <c r="P719">
        <v>0.99559869999999995</v>
      </c>
      <c r="Q719">
        <v>6.3782779999999997E-2</v>
      </c>
      <c r="R719">
        <v>-6.8666539999999998E-2</v>
      </c>
      <c r="S719">
        <v>3.0301819999999999</v>
      </c>
      <c r="T719">
        <v>-0.80742789999999998</v>
      </c>
      <c r="U719">
        <v>-0.50277709999999998</v>
      </c>
      <c r="V719">
        <v>7.2029899999999994E-2</v>
      </c>
      <c r="W719">
        <v>6.9088040000000003E-2</v>
      </c>
      <c r="X719">
        <v>0.99500679999999997</v>
      </c>
      <c r="Y719">
        <v>0.16141349999999999</v>
      </c>
      <c r="Z719">
        <v>-2.1878060000000001E-2</v>
      </c>
      <c r="AA719">
        <v>0.98664430000000003</v>
      </c>
      <c r="AB719">
        <v>27</v>
      </c>
      <c r="AC719">
        <v>0.62129999999996199</v>
      </c>
      <c r="AD719">
        <v>-0.2333546</v>
      </c>
      <c r="AE719">
        <v>-0.146399999999971</v>
      </c>
      <c r="AF719">
        <v>0.13098891739399801</v>
      </c>
      <c r="AG719">
        <v>-0.2333546</v>
      </c>
      <c r="AH719">
        <v>0.54761497572659901</v>
      </c>
      <c r="AI719">
        <v>112.510956152375</v>
      </c>
      <c r="AJ719">
        <v>76.547672681995195</v>
      </c>
      <c r="AK719">
        <v>0.60950359101588103</v>
      </c>
      <c r="AL719">
        <v>86.038391048457001</v>
      </c>
      <c r="AM719">
        <v>85.859503028969698</v>
      </c>
      <c r="AN719">
        <v>0.99999999790564498</v>
      </c>
    </row>
    <row r="720" spans="1:40" x14ac:dyDescent="0.25">
      <c r="A720" t="str">
        <f>"20190312154518389"</f>
        <v>20190312154518389</v>
      </c>
      <c r="B720" t="str">
        <f>"1552376718376692"</f>
        <v>1552376718376692</v>
      </c>
      <c r="C720" t="s">
        <v>40</v>
      </c>
      <c r="D720">
        <v>4.7913430000000004</v>
      </c>
      <c r="E720">
        <v>0.5407554</v>
      </c>
      <c r="F720" t="s">
        <v>41</v>
      </c>
      <c r="G720">
        <v>-266.73660000000001</v>
      </c>
      <c r="H720">
        <v>0.87895559999999995</v>
      </c>
      <c r="I720">
        <v>368.60640000000001</v>
      </c>
      <c r="J720">
        <v>-267.32740000000001</v>
      </c>
      <c r="K720">
        <v>1.1089709999999999</v>
      </c>
      <c r="L720">
        <v>368.75029999999998</v>
      </c>
      <c r="M720">
        <v>0.99998030000000004</v>
      </c>
      <c r="N720">
        <v>0</v>
      </c>
      <c r="O720">
        <v>3.3572950000000002E-3</v>
      </c>
      <c r="P720">
        <v>0.99561750000000004</v>
      </c>
      <c r="Q720">
        <v>6.3895720000000003E-2</v>
      </c>
      <c r="R720">
        <v>-6.8288689999999999E-2</v>
      </c>
      <c r="S720">
        <v>3.0303650000000002</v>
      </c>
      <c r="T720">
        <v>-0.80713999999999997</v>
      </c>
      <c r="U720">
        <v>-0.50119020000000003</v>
      </c>
      <c r="V720">
        <v>7.163572E-2</v>
      </c>
      <c r="W720">
        <v>6.9178900000000002E-2</v>
      </c>
      <c r="X720">
        <v>0.99502900000000005</v>
      </c>
      <c r="Y720">
        <v>0.16090660000000001</v>
      </c>
      <c r="Z720">
        <v>-2.179992E-2</v>
      </c>
      <c r="AA720">
        <v>0.98672879999999996</v>
      </c>
      <c r="AB720">
        <v>27</v>
      </c>
      <c r="AC720">
        <v>0.59080000000000099</v>
      </c>
      <c r="AD720">
        <v>-0.23001539999999901</v>
      </c>
      <c r="AE720">
        <v>-0.14389999999997299</v>
      </c>
      <c r="AF720">
        <v>0.12762157935110699</v>
      </c>
      <c r="AG720">
        <v>-0.23001539999999901</v>
      </c>
      <c r="AH720">
        <v>0.51641999980963205</v>
      </c>
      <c r="AI720">
        <v>113.38345122968801</v>
      </c>
      <c r="AJ720">
        <v>76.118762178668405</v>
      </c>
      <c r="AK720">
        <v>0.57955497405907097</v>
      </c>
      <c r="AL720">
        <v>86.033172890256097</v>
      </c>
      <c r="AM720">
        <v>85.882175087402402</v>
      </c>
      <c r="AN720">
        <v>1.00000005371306</v>
      </c>
    </row>
    <row r="721" spans="1:40" x14ac:dyDescent="0.25">
      <c r="A721" t="str">
        <f>"20190312154518411"</f>
        <v>20190312154518411</v>
      </c>
      <c r="B721" t="str">
        <f>"1552376718406949"</f>
        <v>1552376718406949</v>
      </c>
      <c r="C721" t="s">
        <v>40</v>
      </c>
      <c r="D721">
        <v>4.8145530000000001</v>
      </c>
      <c r="E721">
        <v>0.54073719999999903</v>
      </c>
      <c r="F721" t="s">
        <v>41</v>
      </c>
      <c r="G721">
        <v>-266.49160000000001</v>
      </c>
      <c r="H721">
        <v>0.88652419999999998</v>
      </c>
      <c r="I721">
        <v>368.61219999999997</v>
      </c>
      <c r="J721">
        <v>-267.05459999999999</v>
      </c>
      <c r="K721">
        <v>1.1089659999999999</v>
      </c>
      <c r="L721">
        <v>368.75119999999998</v>
      </c>
      <c r="M721">
        <v>0.99998039999999999</v>
      </c>
      <c r="N721">
        <v>0</v>
      </c>
      <c r="O721">
        <v>3.3411949999999999E-3</v>
      </c>
      <c r="P721">
        <v>0.99563029999999997</v>
      </c>
      <c r="Q721">
        <v>6.3860539999999993E-2</v>
      </c>
      <c r="R721">
        <v>-6.8134280000000005E-2</v>
      </c>
      <c r="S721">
        <v>3.0307309999999998</v>
      </c>
      <c r="T721">
        <v>-0.80675580000000002</v>
      </c>
      <c r="U721">
        <v>-0.49926759999999898</v>
      </c>
      <c r="V721">
        <v>7.1465280000000006E-2</v>
      </c>
      <c r="W721">
        <v>6.9124199999999997E-2</v>
      </c>
      <c r="X721">
        <v>0.99504499999999996</v>
      </c>
      <c r="Y721">
        <v>0.1602894</v>
      </c>
      <c r="Z721">
        <v>-2.1704029999999999E-2</v>
      </c>
      <c r="AA721">
        <v>0.98683140000000003</v>
      </c>
      <c r="AB721">
        <v>27</v>
      </c>
      <c r="AC721">
        <v>0.56299999999998795</v>
      </c>
      <c r="AD721">
        <v>-0.222441799999999</v>
      </c>
      <c r="AE721">
        <v>-0.13900000000001</v>
      </c>
      <c r="AF721">
        <v>0.122810501368736</v>
      </c>
      <c r="AG721">
        <v>-0.222441799999999</v>
      </c>
      <c r="AH721">
        <v>0.49037990339064302</v>
      </c>
      <c r="AI721">
        <v>113.750547146233</v>
      </c>
      <c r="AJ721">
        <v>75.940058362686003</v>
      </c>
      <c r="AK721">
        <v>0.552299939600845</v>
      </c>
      <c r="AL721">
        <v>86.036314263143893</v>
      </c>
      <c r="AM721">
        <v>85.8920047107881</v>
      </c>
      <c r="AN721">
        <v>0.99999999664805905</v>
      </c>
    </row>
    <row r="722" spans="1:40" x14ac:dyDescent="0.25">
      <c r="A722" t="str">
        <f>"20190312154518434"</f>
        <v>20190312154518434</v>
      </c>
      <c r="B722" t="str">
        <f>"1552376718426470"</f>
        <v>1552376718426470</v>
      </c>
      <c r="C722" t="s">
        <v>40</v>
      </c>
      <c r="D722">
        <v>4.9082400000000002</v>
      </c>
      <c r="E722">
        <v>0.54078289999999996</v>
      </c>
      <c r="F722" t="s">
        <v>41</v>
      </c>
      <c r="G722">
        <v>-266.24579999999997</v>
      </c>
      <c r="H722">
        <v>0.89363680000000001</v>
      </c>
      <c r="I722">
        <v>368.61790000000002</v>
      </c>
      <c r="J722">
        <v>-266.78039999999999</v>
      </c>
      <c r="K722">
        <v>1.1089599999999999</v>
      </c>
      <c r="L722">
        <v>368.75209999999998</v>
      </c>
      <c r="M722">
        <v>0.99998050000000005</v>
      </c>
      <c r="N722">
        <v>0</v>
      </c>
      <c r="O722">
        <v>3.3251019999999999E-3</v>
      </c>
      <c r="P722">
        <v>0.9956351</v>
      </c>
      <c r="Q722">
        <v>6.3706979999999996E-2</v>
      </c>
      <c r="R722">
        <v>-6.8205829999999995E-2</v>
      </c>
      <c r="S722">
        <v>3.0307620000000002</v>
      </c>
      <c r="T722">
        <v>-0.80701330000000004</v>
      </c>
      <c r="U722">
        <v>-0.49890139999999999</v>
      </c>
      <c r="V722">
        <v>7.1520940000000005E-2</v>
      </c>
      <c r="W722">
        <v>6.8947720000000004E-2</v>
      </c>
      <c r="X722">
        <v>0.99505319999999997</v>
      </c>
      <c r="Y722">
        <v>0.16015739999999901</v>
      </c>
      <c r="Z722">
        <v>-2.1689369999999999E-2</v>
      </c>
      <c r="AA722">
        <v>0.98685319999999999</v>
      </c>
      <c r="AB722">
        <v>27</v>
      </c>
      <c r="AC722">
        <v>0.53460000000001096</v>
      </c>
      <c r="AD722">
        <v>-0.21532319999999899</v>
      </c>
      <c r="AE722">
        <v>-0.13419999999996399</v>
      </c>
      <c r="AF722">
        <v>0.117972977883246</v>
      </c>
      <c r="AG722">
        <v>-0.21532319999999899</v>
      </c>
      <c r="AH722">
        <v>0.46342702163198701</v>
      </c>
      <c r="AI722">
        <v>114.24068807685801</v>
      </c>
      <c r="AJ722">
        <v>75.717773804783604</v>
      </c>
      <c r="AK722">
        <v>0.52444857550342805</v>
      </c>
      <c r="AL722">
        <v>86.046449827264297</v>
      </c>
      <c r="AM722">
        <v>85.888849970242404</v>
      </c>
      <c r="AN722">
        <v>0.99999995189095903</v>
      </c>
    </row>
    <row r="723" spans="1:40" x14ac:dyDescent="0.25">
      <c r="A723" t="str">
        <f>"20190312154518455"</f>
        <v>20190312154518455</v>
      </c>
      <c r="B723" t="str">
        <f>"1552376718446964"</f>
        <v>1552376718446964</v>
      </c>
      <c r="C723" t="s">
        <v>40</v>
      </c>
      <c r="D723">
        <v>4.9071559999999996</v>
      </c>
      <c r="E723">
        <v>0.54077919999999902</v>
      </c>
      <c r="F723" t="s">
        <v>41</v>
      </c>
      <c r="G723">
        <v>-265.99900000000002</v>
      </c>
      <c r="H723">
        <v>0.90070190000000006</v>
      </c>
      <c r="I723">
        <v>368.62299999999999</v>
      </c>
      <c r="J723">
        <v>-266.5095</v>
      </c>
      <c r="K723">
        <v>1.1089519999999999</v>
      </c>
      <c r="L723">
        <v>368.75299999999999</v>
      </c>
      <c r="M723">
        <v>0.99998089999999995</v>
      </c>
      <c r="N723">
        <v>0</v>
      </c>
      <c r="O723">
        <v>3.309027E-3</v>
      </c>
      <c r="P723">
        <v>0.99563420000000002</v>
      </c>
      <c r="Q723">
        <v>6.3628409999999996E-2</v>
      </c>
      <c r="R723">
        <v>-6.8296519999999999E-2</v>
      </c>
      <c r="S723">
        <v>3.03064</v>
      </c>
      <c r="T723">
        <v>-0.80780739999999995</v>
      </c>
      <c r="U723">
        <v>-0.49969479999999999</v>
      </c>
      <c r="V723">
        <v>7.1595500000000006E-2</v>
      </c>
      <c r="W723">
        <v>6.8840689999999996E-2</v>
      </c>
      <c r="X723">
        <v>0.99505529999999998</v>
      </c>
      <c r="Y723">
        <v>0.16038150000000001</v>
      </c>
      <c r="Z723">
        <v>-2.173539E-2</v>
      </c>
      <c r="AA723">
        <v>0.98681580000000002</v>
      </c>
      <c r="AB723">
        <v>27</v>
      </c>
      <c r="AC723">
        <v>0.51049999999997897</v>
      </c>
      <c r="AD723">
        <v>-0.20825009999999899</v>
      </c>
      <c r="AE723">
        <v>-0.12999999999999501</v>
      </c>
      <c r="AF723">
        <v>0.113890287037305</v>
      </c>
      <c r="AG723">
        <v>-0.20825009999999899</v>
      </c>
      <c r="AH723">
        <v>0.44112925029879402</v>
      </c>
      <c r="AI723">
        <v>114.564934481519</v>
      </c>
      <c r="AJ723">
        <v>75.523558832258303</v>
      </c>
      <c r="AK723">
        <v>0.50093324615224499</v>
      </c>
      <c r="AL723">
        <v>86.052597002845303</v>
      </c>
      <c r="AM723">
        <v>85.884587503370696</v>
      </c>
      <c r="AN723">
        <v>1.0000000031389999</v>
      </c>
    </row>
    <row r="724" spans="1:40" x14ac:dyDescent="0.25">
      <c r="A724" t="str">
        <f>"20190312154518478"</f>
        <v>20190312154518478</v>
      </c>
      <c r="B724" t="str">
        <f>"1552376718466484"</f>
        <v>1552376718466484</v>
      </c>
      <c r="C724" t="s">
        <v>40</v>
      </c>
      <c r="D724">
        <v>4.8464130000000001</v>
      </c>
      <c r="E724">
        <v>0.54074369999999905</v>
      </c>
      <c r="F724" t="s">
        <v>41</v>
      </c>
      <c r="G724">
        <v>-265.7516</v>
      </c>
      <c r="H724">
        <v>0.90671579999999996</v>
      </c>
      <c r="I724">
        <v>368.62799999999999</v>
      </c>
      <c r="J724">
        <v>-266.2371</v>
      </c>
      <c r="K724">
        <v>1.1089450000000001</v>
      </c>
      <c r="L724">
        <v>368.75389999999999</v>
      </c>
      <c r="M724">
        <v>0.99998109999999996</v>
      </c>
      <c r="N724">
        <v>0</v>
      </c>
      <c r="O724">
        <v>3.2929779999999998E-3</v>
      </c>
      <c r="P724">
        <v>0.99562539999999999</v>
      </c>
      <c r="Q724">
        <v>6.3436140000000002E-2</v>
      </c>
      <c r="R724">
        <v>-6.8602490000000002E-2</v>
      </c>
      <c r="S724">
        <v>3.0305179999999998</v>
      </c>
      <c r="T724">
        <v>-0.80863879999999999</v>
      </c>
      <c r="U724">
        <v>-0.49969479999999999</v>
      </c>
      <c r="V724">
        <v>7.1885480000000002E-2</v>
      </c>
      <c r="W724">
        <v>6.860948E-2</v>
      </c>
      <c r="X724">
        <v>0.9950504</v>
      </c>
      <c r="Y724">
        <v>0.16036149999999999</v>
      </c>
      <c r="Z724">
        <v>-2.1751070000000001E-2</v>
      </c>
      <c r="AA724">
        <v>0.98681870000000005</v>
      </c>
      <c r="AB724">
        <v>27</v>
      </c>
      <c r="AC724">
        <v>0.48550000000000099</v>
      </c>
      <c r="AD724">
        <v>-0.2022292</v>
      </c>
      <c r="AE724">
        <v>-0.125899999999944</v>
      </c>
      <c r="AF724">
        <v>0.109669025854967</v>
      </c>
      <c r="AG724">
        <v>-0.2022292</v>
      </c>
      <c r="AH724">
        <v>0.41724985681029397</v>
      </c>
      <c r="AI724">
        <v>115.11486191519</v>
      </c>
      <c r="AJ724">
        <v>75.273591862389296</v>
      </c>
      <c r="AK724">
        <v>0.47646761440084101</v>
      </c>
      <c r="AL724">
        <v>86.065875904057506</v>
      </c>
      <c r="AM724">
        <v>85.867956376378203</v>
      </c>
      <c r="AN724">
        <v>1.0000000407604199</v>
      </c>
    </row>
    <row r="725" spans="1:40" x14ac:dyDescent="0.25">
      <c r="A725" t="str">
        <f>"20190312154518500"</f>
        <v>20190312154518500</v>
      </c>
      <c r="B725" t="str">
        <f>"1552376718496739"</f>
        <v>1552376718496739</v>
      </c>
      <c r="C725" t="s">
        <v>40</v>
      </c>
      <c r="D725">
        <v>4.7600150000000001</v>
      </c>
      <c r="E725">
        <v>0.54065260000000004</v>
      </c>
      <c r="F725" t="s">
        <v>41</v>
      </c>
      <c r="G725">
        <v>-265.50290000000001</v>
      </c>
      <c r="H725">
        <v>0.91292269999999998</v>
      </c>
      <c r="I725">
        <v>368.63249999999999</v>
      </c>
      <c r="J725">
        <v>-265.96210000000002</v>
      </c>
      <c r="K725">
        <v>1.108932</v>
      </c>
      <c r="L725">
        <v>368.75479999999999</v>
      </c>
      <c r="M725">
        <v>0.99998140000000002</v>
      </c>
      <c r="N725">
        <v>0</v>
      </c>
      <c r="O725">
        <v>3.277084E-3</v>
      </c>
      <c r="P725">
        <v>0.99562700000000004</v>
      </c>
      <c r="Q725">
        <v>6.3420119999999996E-2</v>
      </c>
      <c r="R725">
        <v>-6.8592609999999998E-2</v>
      </c>
      <c r="S725">
        <v>3.0302730000000002</v>
      </c>
      <c r="T725">
        <v>-0.80907959999999901</v>
      </c>
      <c r="U725">
        <v>-0.50015259999999995</v>
      </c>
      <c r="V725">
        <v>7.1859839999999994E-2</v>
      </c>
      <c r="W725">
        <v>6.8539569999999994E-2</v>
      </c>
      <c r="X725">
        <v>0.99505699999999997</v>
      </c>
      <c r="Y725">
        <v>0.1604931</v>
      </c>
      <c r="Z725">
        <v>-2.177697E-2</v>
      </c>
      <c r="AA725">
        <v>0.98679669999999997</v>
      </c>
      <c r="AB725">
        <v>27</v>
      </c>
      <c r="AC725">
        <v>0.45920000000000899</v>
      </c>
      <c r="AD725">
        <v>-0.1960093</v>
      </c>
      <c r="AE725">
        <v>-0.122299999999995</v>
      </c>
      <c r="AF725">
        <v>0.105803575189813</v>
      </c>
      <c r="AG725">
        <v>-0.1960093</v>
      </c>
      <c r="AH725">
        <v>0.39208956946757501</v>
      </c>
      <c r="AI725">
        <v>115.764091446367</v>
      </c>
      <c r="AJ725">
        <v>74.898680104305996</v>
      </c>
      <c r="AK725">
        <v>0.45094154021858002</v>
      </c>
      <c r="AL725">
        <v>86.069890629567695</v>
      </c>
      <c r="AM725">
        <v>85.869452387459702</v>
      </c>
      <c r="AN725">
        <v>0.999999971254804</v>
      </c>
    </row>
    <row r="726" spans="1:40" x14ac:dyDescent="0.25">
      <c r="A726" t="str">
        <f>"20190312154518524"</f>
        <v>20190312154518524</v>
      </c>
      <c r="B726" t="str">
        <f>"1552376718517235"</f>
        <v>1552376718517235</v>
      </c>
      <c r="C726" t="s">
        <v>40</v>
      </c>
      <c r="D726">
        <v>4.9420699999999904</v>
      </c>
      <c r="E726">
        <v>0.54076179999999996</v>
      </c>
      <c r="F726" t="s">
        <v>41</v>
      </c>
      <c r="G726">
        <v>-265.25299999999999</v>
      </c>
      <c r="H726">
        <v>0.91959990000000003</v>
      </c>
      <c r="I726">
        <v>368.6377</v>
      </c>
      <c r="J726">
        <v>-265.67509999999999</v>
      </c>
      <c r="K726">
        <v>1.108911</v>
      </c>
      <c r="L726">
        <v>368.75569999999999</v>
      </c>
      <c r="M726">
        <v>0.99998189999999998</v>
      </c>
      <c r="N726">
        <v>0</v>
      </c>
      <c r="O726">
        <v>3.2602949999999999E-3</v>
      </c>
      <c r="P726">
        <v>0.99564719999999995</v>
      </c>
      <c r="Q726">
        <v>6.3640799999999997E-2</v>
      </c>
      <c r="R726">
        <v>-6.809366E-2</v>
      </c>
      <c r="S726">
        <v>3.030243</v>
      </c>
      <c r="T726">
        <v>-0.80903009999999997</v>
      </c>
      <c r="U726">
        <v>-0.49978640000000002</v>
      </c>
      <c r="V726">
        <v>7.1344389999999994E-2</v>
      </c>
      <c r="W726">
        <v>6.868465E-2</v>
      </c>
      <c r="X726">
        <v>0.99508410000000003</v>
      </c>
      <c r="Y726">
        <v>0.16036739999999999</v>
      </c>
      <c r="Z726">
        <v>-2.175531E-2</v>
      </c>
      <c r="AA726">
        <v>0.98681759999999996</v>
      </c>
      <c r="AB726">
        <v>28</v>
      </c>
      <c r="AC726">
        <v>0.42209999999999998</v>
      </c>
      <c r="AD726">
        <v>-0.18931109999999901</v>
      </c>
      <c r="AE726">
        <v>-0.117999999999994</v>
      </c>
      <c r="AF726">
        <v>0.100605573083279</v>
      </c>
      <c r="AG726">
        <v>-0.18931109999999901</v>
      </c>
      <c r="AH726">
        <v>0.35540508802125098</v>
      </c>
      <c r="AI726">
        <v>117.136236990493</v>
      </c>
      <c r="AJ726">
        <v>74.194616257239105</v>
      </c>
      <c r="AK726">
        <v>0.41505776767820901</v>
      </c>
      <c r="AL726">
        <v>86.061558574935901</v>
      </c>
      <c r="AM726">
        <v>85.899090621116997</v>
      </c>
      <c r="AN726">
        <v>0.99999998460145201</v>
      </c>
    </row>
    <row r="727" spans="1:40" x14ac:dyDescent="0.25">
      <c r="A727" t="str">
        <f>"20190312154518546"</f>
        <v>20190312154518546</v>
      </c>
      <c r="B727" t="str">
        <f>"1552376718536756"</f>
        <v>1552376718536756</v>
      </c>
      <c r="C727" t="s">
        <v>40</v>
      </c>
      <c r="D727">
        <v>4.8075729999999997</v>
      </c>
      <c r="E727">
        <v>0.54070839999999998</v>
      </c>
      <c r="F727" t="s">
        <v>41</v>
      </c>
      <c r="G727">
        <v>-264.77449999999999</v>
      </c>
      <c r="H727">
        <v>0.86859549999999996</v>
      </c>
      <c r="I727">
        <v>368.60730000000001</v>
      </c>
      <c r="J727">
        <v>-265.39780000000002</v>
      </c>
      <c r="K727">
        <v>1.1088830000000001</v>
      </c>
      <c r="L727">
        <v>368.75659999999999</v>
      </c>
      <c r="M727">
        <v>0.99998240000000005</v>
      </c>
      <c r="N727">
        <v>0</v>
      </c>
      <c r="O727">
        <v>3.2440749999999999E-3</v>
      </c>
      <c r="P727">
        <v>0.9956545</v>
      </c>
      <c r="Q727">
        <v>6.3654799999999997E-2</v>
      </c>
      <c r="R727">
        <v>-6.7973240000000004E-2</v>
      </c>
      <c r="S727">
        <v>3.0306700000000002</v>
      </c>
      <c r="T727">
        <v>-0.80870339999999996</v>
      </c>
      <c r="U727">
        <v>-0.49929810000000002</v>
      </c>
      <c r="V727">
        <v>7.1207580000000006E-2</v>
      </c>
      <c r="W727">
        <v>6.8609009999999998E-2</v>
      </c>
      <c r="X727">
        <v>0.99509910000000001</v>
      </c>
      <c r="Y727">
        <v>0.16018669999999999</v>
      </c>
      <c r="Z727">
        <v>-2.17164E-2</v>
      </c>
      <c r="AA727">
        <v>0.98684780000000005</v>
      </c>
      <c r="AB727">
        <v>28</v>
      </c>
      <c r="AC727">
        <v>0.62330000000002805</v>
      </c>
      <c r="AD727">
        <v>-0.24028749999999999</v>
      </c>
      <c r="AE727">
        <v>-0.149299999999982</v>
      </c>
      <c r="AF727">
        <v>0.13267364401231599</v>
      </c>
      <c r="AG727">
        <v>-0.24028749999999999</v>
      </c>
      <c r="AH727">
        <v>0.54606194140740505</v>
      </c>
      <c r="AI727">
        <v>113.151413037372</v>
      </c>
      <c r="AJ727">
        <v>76.343774715868506</v>
      </c>
      <c r="AK727">
        <v>0.61116611680081001</v>
      </c>
      <c r="AL727">
        <v>86.065902607071607</v>
      </c>
      <c r="AM727">
        <v>85.906989260614793</v>
      </c>
      <c r="AN727">
        <v>0.99999996726172202</v>
      </c>
    </row>
    <row r="728" spans="1:40" x14ac:dyDescent="0.25">
      <c r="A728" t="str">
        <f>"20190312154518567"</f>
        <v>20190312154518567</v>
      </c>
      <c r="B728" t="str">
        <f>"1552376718557252"</f>
        <v>1552376718557252</v>
      </c>
      <c r="C728" t="s">
        <v>40</v>
      </c>
      <c r="D728">
        <v>4.9194290000000001</v>
      </c>
      <c r="E728">
        <v>0.54077569999999997</v>
      </c>
      <c r="F728" t="s">
        <v>41</v>
      </c>
      <c r="G728">
        <v>-264.52109999999999</v>
      </c>
      <c r="H728">
        <v>0.87501430000000002</v>
      </c>
      <c r="I728">
        <v>368.6121</v>
      </c>
      <c r="J728">
        <v>-265.12279999999998</v>
      </c>
      <c r="K728">
        <v>1.108862</v>
      </c>
      <c r="L728">
        <v>368.75749999999999</v>
      </c>
      <c r="M728">
        <v>0.99998299999999996</v>
      </c>
      <c r="N728">
        <v>0</v>
      </c>
      <c r="O728">
        <v>3.2277959999999998E-3</v>
      </c>
      <c r="P728">
        <v>0.99567910000000004</v>
      </c>
      <c r="Q728">
        <v>6.3686610000000005E-2</v>
      </c>
      <c r="R728">
        <v>-6.758306E-2</v>
      </c>
      <c r="S728">
        <v>3.0307620000000002</v>
      </c>
      <c r="T728">
        <v>-0.80849150000000003</v>
      </c>
      <c r="U728">
        <v>-0.4982605</v>
      </c>
      <c r="V728">
        <v>7.0801320000000001E-2</v>
      </c>
      <c r="W728">
        <v>6.8549059999999995E-2</v>
      </c>
      <c r="X728">
        <v>0.99513229999999997</v>
      </c>
      <c r="Y728">
        <v>0.15985170000000001</v>
      </c>
      <c r="Z728">
        <v>-2.1662959999999998E-2</v>
      </c>
      <c r="AA728">
        <v>0.98690330000000004</v>
      </c>
      <c r="AB728">
        <v>28</v>
      </c>
      <c r="AC728">
        <v>0.60169999999999302</v>
      </c>
      <c r="AD728">
        <v>-0.23384769999999999</v>
      </c>
      <c r="AE728">
        <v>-0.14539999999999501</v>
      </c>
      <c r="AF728">
        <v>0.12894019031901099</v>
      </c>
      <c r="AG728">
        <v>-0.23384769999999999</v>
      </c>
      <c r="AH728">
        <v>0.52614117474892197</v>
      </c>
      <c r="AI728">
        <v>113.34908540048301</v>
      </c>
      <c r="AJ728">
        <v>76.230041867848797</v>
      </c>
      <c r="AK728">
        <v>0.59002953760042198</v>
      </c>
      <c r="AL728">
        <v>86.0693459110107</v>
      </c>
      <c r="AM728">
        <v>85.930397710536795</v>
      </c>
      <c r="AN728">
        <v>1.0000000475219499</v>
      </c>
    </row>
    <row r="729" spans="1:40" x14ac:dyDescent="0.25">
      <c r="A729" t="str">
        <f>"20190312154518589"</f>
        <v>20190312154518589</v>
      </c>
      <c r="B729" t="str">
        <f>"1552376718586532"</f>
        <v>1552376718586532</v>
      </c>
      <c r="C729" t="s">
        <v>40</v>
      </c>
      <c r="D729">
        <v>4.8500009999999998</v>
      </c>
      <c r="E729">
        <v>0.54077819999999899</v>
      </c>
      <c r="F729" t="s">
        <v>41</v>
      </c>
      <c r="G729">
        <v>-264.26690000000002</v>
      </c>
      <c r="H729">
        <v>0.88043669999999996</v>
      </c>
      <c r="I729">
        <v>368.61700000000002</v>
      </c>
      <c r="J729">
        <v>-264.85070000000002</v>
      </c>
      <c r="K729">
        <v>1.1088450000000001</v>
      </c>
      <c r="L729">
        <v>368.75839999999999</v>
      </c>
      <c r="M729">
        <v>0.99998339999999997</v>
      </c>
      <c r="N729">
        <v>0</v>
      </c>
      <c r="O729">
        <v>3.212342E-3</v>
      </c>
      <c r="P729">
        <v>0.99567439999999996</v>
      </c>
      <c r="Q729">
        <v>6.3738489999999995E-2</v>
      </c>
      <c r="R729">
        <v>-6.7603369999999996E-2</v>
      </c>
      <c r="S729">
        <v>3.0310670000000002</v>
      </c>
      <c r="T729">
        <v>-0.80903169999999902</v>
      </c>
      <c r="U729">
        <v>-0.49685669999999998</v>
      </c>
      <c r="V729">
        <v>7.0806309999999997E-2</v>
      </c>
      <c r="W729">
        <v>6.8511020000000006E-2</v>
      </c>
      <c r="X729">
        <v>0.99513450000000003</v>
      </c>
      <c r="Y729">
        <v>0.1593852</v>
      </c>
      <c r="Z729">
        <v>-2.1610810000000001E-2</v>
      </c>
      <c r="AA729">
        <v>0.98697990000000002</v>
      </c>
      <c r="AB729">
        <v>28</v>
      </c>
      <c r="AC729">
        <v>0.58379999999999599</v>
      </c>
      <c r="AD729">
        <v>-0.22840830000000001</v>
      </c>
      <c r="AE729">
        <v>-0.141400000000032</v>
      </c>
      <c r="AF729">
        <v>0.12517555541198699</v>
      </c>
      <c r="AG729">
        <v>-0.22840830000000001</v>
      </c>
      <c r="AH729">
        <v>0.50965226590435597</v>
      </c>
      <c r="AI729">
        <v>113.52010959339</v>
      </c>
      <c r="AJ729">
        <v>76.2007472350234</v>
      </c>
      <c r="AK729">
        <v>0.572350157965413</v>
      </c>
      <c r="AL729">
        <v>86.071530325484602</v>
      </c>
      <c r="AM729">
        <v>85.930120820489606</v>
      </c>
      <c r="AN729">
        <v>0.99999998324375305</v>
      </c>
    </row>
    <row r="730" spans="1:40" x14ac:dyDescent="0.25">
      <c r="A730" t="str">
        <f>"20190312154518612"</f>
        <v>20190312154518612</v>
      </c>
      <c r="B730" t="str">
        <f>"1552376718606562"</f>
        <v>1552376718606562</v>
      </c>
      <c r="C730" t="s">
        <v>40</v>
      </c>
      <c r="D730">
        <v>4.9762519999999997</v>
      </c>
      <c r="E730">
        <v>0.5408075</v>
      </c>
      <c r="F730" t="s">
        <v>41</v>
      </c>
      <c r="G730">
        <v>-264.01190000000003</v>
      </c>
      <c r="H730">
        <v>0.88488599999999995</v>
      </c>
      <c r="I730">
        <v>368.62049999999999</v>
      </c>
      <c r="J730">
        <v>-264.56290000000001</v>
      </c>
      <c r="K730">
        <v>1.108833</v>
      </c>
      <c r="L730">
        <v>368.75920000000002</v>
      </c>
      <c r="M730">
        <v>0.99998379999999998</v>
      </c>
      <c r="N730">
        <v>0</v>
      </c>
      <c r="O730">
        <v>3.1953960000000001E-3</v>
      </c>
      <c r="P730">
        <v>0.99562790000000001</v>
      </c>
      <c r="Q730">
        <v>6.4002279999999995E-2</v>
      </c>
      <c r="R730">
        <v>-6.8036139999999995E-2</v>
      </c>
      <c r="S730">
        <v>3.0310969999999999</v>
      </c>
      <c r="T730">
        <v>-0.80933520000000003</v>
      </c>
      <c r="U730">
        <v>-0.49707030000000002</v>
      </c>
      <c r="V730">
        <v>7.1222179999999996E-2</v>
      </c>
      <c r="W730">
        <v>6.86837E-2</v>
      </c>
      <c r="X730">
        <v>0.99509289999999995</v>
      </c>
      <c r="Y730">
        <v>0.15942979999999901</v>
      </c>
      <c r="Z730">
        <v>-2.1619719999999999E-2</v>
      </c>
      <c r="AA730">
        <v>0.98697250000000003</v>
      </c>
      <c r="AB730">
        <v>28</v>
      </c>
      <c r="AC730">
        <v>0.55099999999998694</v>
      </c>
      <c r="AD730">
        <v>-0.22394699999999901</v>
      </c>
      <c r="AE730">
        <v>-0.138700000000028</v>
      </c>
      <c r="AF730">
        <v>0.121573765651758</v>
      </c>
      <c r="AG730">
        <v>-0.22394699999999901</v>
      </c>
      <c r="AH730">
        <v>0.47652664610828499</v>
      </c>
      <c r="AI730">
        <v>114.483133949589</v>
      </c>
      <c r="AJ730">
        <v>75.687734373023304</v>
      </c>
      <c r="AK730">
        <v>0.54037957377658097</v>
      </c>
      <c r="AL730">
        <v>86.061613055875199</v>
      </c>
      <c r="AM730">
        <v>85.906127485563701</v>
      </c>
      <c r="AN730">
        <v>0.99999996460002505</v>
      </c>
    </row>
    <row r="731" spans="1:40" x14ac:dyDescent="0.25">
      <c r="A731" t="str">
        <f>"20190312154518635"</f>
        <v>20190312154518635</v>
      </c>
      <c r="B731" t="str">
        <f>"1552376718627054"</f>
        <v>1552376718627054</v>
      </c>
      <c r="C731" t="s">
        <v>40</v>
      </c>
      <c r="D731">
        <v>4.9662300000000004</v>
      </c>
      <c r="E731">
        <v>0.54087220000000003</v>
      </c>
      <c r="F731" t="s">
        <v>41</v>
      </c>
      <c r="G731">
        <v>-263.7543</v>
      </c>
      <c r="H731">
        <v>0.89302769999999998</v>
      </c>
      <c r="I731">
        <v>368.62610000000001</v>
      </c>
      <c r="J731">
        <v>-264.26690000000002</v>
      </c>
      <c r="K731">
        <v>1.108819</v>
      </c>
      <c r="L731">
        <v>368.7602</v>
      </c>
      <c r="M731">
        <v>0.9999844</v>
      </c>
      <c r="N731">
        <v>0</v>
      </c>
      <c r="O731">
        <v>3.1776E-3</v>
      </c>
      <c r="P731">
        <v>0.99558210000000003</v>
      </c>
      <c r="Q731">
        <v>6.4076679999999997E-2</v>
      </c>
      <c r="R731">
        <v>-6.8636660000000002E-2</v>
      </c>
      <c r="S731">
        <v>3.0310969999999999</v>
      </c>
      <c r="T731">
        <v>-0.80899719999999997</v>
      </c>
      <c r="U731">
        <v>-0.49853520000000001</v>
      </c>
      <c r="V731">
        <v>7.1804679999999996E-2</v>
      </c>
      <c r="W731">
        <v>6.8672750000000005E-2</v>
      </c>
      <c r="X731">
        <v>0.99505180000000004</v>
      </c>
      <c r="Y731">
        <v>0.15986739999999999</v>
      </c>
      <c r="Z731">
        <v>-2.1662580000000001E-2</v>
      </c>
      <c r="AA731">
        <v>0.98690069999999996</v>
      </c>
      <c r="AB731">
        <v>28</v>
      </c>
      <c r="AC731">
        <v>0.51260000000002004</v>
      </c>
      <c r="AD731">
        <v>-0.21579129999999999</v>
      </c>
      <c r="AE731">
        <v>-0.13409999999998901</v>
      </c>
      <c r="AF731">
        <v>0.116418190791319</v>
      </c>
      <c r="AG731">
        <v>-0.21579129999999999</v>
      </c>
      <c r="AH731">
        <v>0.43930491098664098</v>
      </c>
      <c r="AI731">
        <v>115.399340602728</v>
      </c>
      <c r="AJ731">
        <v>75.157481759035207</v>
      </c>
      <c r="AK731">
        <v>0.50309828574523596</v>
      </c>
      <c r="AL731">
        <v>86.062241957434907</v>
      </c>
      <c r="AM731">
        <v>85.872590561815699</v>
      </c>
      <c r="AN731">
        <v>0.99999997167285204</v>
      </c>
    </row>
    <row r="732" spans="1:40" x14ac:dyDescent="0.25">
      <c r="A732" t="str">
        <f>"20190312154518657"</f>
        <v>20190312154518657</v>
      </c>
      <c r="B732" t="str">
        <f>"1552376718646575"</f>
        <v>1552376718646575</v>
      </c>
      <c r="C732" t="s">
        <v>40</v>
      </c>
      <c r="D732">
        <v>4.9449379999999996</v>
      </c>
      <c r="E732">
        <v>0.54090519999999997</v>
      </c>
      <c r="F732" t="s">
        <v>41</v>
      </c>
      <c r="G732">
        <v>-263.4948</v>
      </c>
      <c r="H732">
        <v>0.90263800000000005</v>
      </c>
      <c r="I732">
        <v>368.63220000000001</v>
      </c>
      <c r="J732">
        <v>-263.9871</v>
      </c>
      <c r="K732">
        <v>1.108814</v>
      </c>
      <c r="L732">
        <v>368.76100000000002</v>
      </c>
      <c r="M732">
        <v>0.9999846</v>
      </c>
      <c r="N732">
        <v>0</v>
      </c>
      <c r="O732">
        <v>3.1616140000000001E-3</v>
      </c>
      <c r="P732">
        <v>0.99551330000000005</v>
      </c>
      <c r="Q732">
        <v>6.4707580000000001E-2</v>
      </c>
      <c r="R732">
        <v>-6.9038820000000001E-2</v>
      </c>
      <c r="S732">
        <v>3.0308839999999999</v>
      </c>
      <c r="T732">
        <v>-0.80945679999999998</v>
      </c>
      <c r="U732">
        <v>-0.50112920000000005</v>
      </c>
      <c r="V732">
        <v>7.219093E-2</v>
      </c>
      <c r="W732">
        <v>6.9231230000000005E-2</v>
      </c>
      <c r="X732">
        <v>0.99498520000000001</v>
      </c>
      <c r="Y732">
        <v>0.16065270000000001</v>
      </c>
      <c r="Z732">
        <v>-2.177275E-2</v>
      </c>
      <c r="AA732">
        <v>0.98677079999999995</v>
      </c>
      <c r="AB732">
        <v>28</v>
      </c>
      <c r="AC732">
        <v>0.49230000000000002</v>
      </c>
      <c r="AD732">
        <v>-0.206176</v>
      </c>
      <c r="AE732">
        <v>-0.12879999999995501</v>
      </c>
      <c r="AF732">
        <v>0.111974335841228</v>
      </c>
      <c r="AG732">
        <v>-0.206176</v>
      </c>
      <c r="AH732">
        <v>0.42252877908448999</v>
      </c>
      <c r="AI732">
        <v>115.25209740799301</v>
      </c>
      <c r="AJ732">
        <v>75.157239596504496</v>
      </c>
      <c r="AK732">
        <v>0.48329842128618</v>
      </c>
      <c r="AL732">
        <v>86.030167266000205</v>
      </c>
      <c r="AM732">
        <v>85.8501890660404</v>
      </c>
      <c r="AN732">
        <v>1.0000000209002999</v>
      </c>
    </row>
    <row r="733" spans="1:40" x14ac:dyDescent="0.25">
      <c r="A733" t="str">
        <f>"20190312154518678"</f>
        <v>20190312154518678</v>
      </c>
      <c r="B733" t="str">
        <f>"1552376718667070"</f>
        <v>1552376718667070</v>
      </c>
      <c r="C733" t="s">
        <v>40</v>
      </c>
      <c r="D733">
        <v>4.9110809999999896</v>
      </c>
      <c r="E733">
        <v>0.54097969999999995</v>
      </c>
      <c r="F733" t="s">
        <v>41</v>
      </c>
      <c r="G733">
        <v>-263.23570000000001</v>
      </c>
      <c r="H733">
        <v>0.90841640000000001</v>
      </c>
      <c r="I733">
        <v>368.63619999999997</v>
      </c>
      <c r="J733">
        <v>-263.70400000000001</v>
      </c>
      <c r="K733">
        <v>1.108806</v>
      </c>
      <c r="L733">
        <v>368.76190000000003</v>
      </c>
      <c r="M733">
        <v>0.99998500000000001</v>
      </c>
      <c r="N733">
        <v>0</v>
      </c>
      <c r="O733">
        <v>3.1452509999999999E-3</v>
      </c>
      <c r="P733">
        <v>0.99546900000000005</v>
      </c>
      <c r="Q733">
        <v>6.4985719999999997E-2</v>
      </c>
      <c r="R733">
        <v>-6.9415530000000003E-2</v>
      </c>
      <c r="S733">
        <v>3.0312190000000001</v>
      </c>
      <c r="T733">
        <v>-0.80842879999999995</v>
      </c>
      <c r="U733">
        <v>-0.50231930000000002</v>
      </c>
      <c r="V733">
        <v>7.2551169999999998E-2</v>
      </c>
      <c r="W733">
        <v>6.9445279999999998E-2</v>
      </c>
      <c r="X733">
        <v>0.99494400000000005</v>
      </c>
      <c r="Y733">
        <v>0.16100039999999999</v>
      </c>
      <c r="Z733">
        <v>-2.1784060000000001E-2</v>
      </c>
      <c r="AA733">
        <v>0.98671390000000003</v>
      </c>
      <c r="AB733">
        <v>29</v>
      </c>
      <c r="AC733">
        <v>0.46829999999999899</v>
      </c>
      <c r="AD733">
        <v>-0.200389599999999</v>
      </c>
      <c r="AE733">
        <v>-0.12570000000005099</v>
      </c>
      <c r="AF733">
        <v>0.108620018256816</v>
      </c>
      <c r="AG733">
        <v>-0.200389599999999</v>
      </c>
      <c r="AH733">
        <v>0.39964326414829299</v>
      </c>
      <c r="AI733">
        <v>115.82083845309199</v>
      </c>
      <c r="AJ733">
        <v>74.794746902462194</v>
      </c>
      <c r="AK733">
        <v>0.46007503598149402</v>
      </c>
      <c r="AL733">
        <v>86.017873198065402</v>
      </c>
      <c r="AM733">
        <v>85.829381890062095</v>
      </c>
      <c r="AN733">
        <v>0.999999941159322</v>
      </c>
    </row>
    <row r="734" spans="1:40" x14ac:dyDescent="0.25">
      <c r="A734" t="str">
        <f>"20190312154518701"</f>
        <v>20190312154518701</v>
      </c>
      <c r="B734" t="str">
        <f>"1552376718697327"</f>
        <v>1552376718697327</v>
      </c>
      <c r="C734" t="s">
        <v>40</v>
      </c>
      <c r="D734">
        <v>4.8500500000000004</v>
      </c>
      <c r="E734">
        <v>0.54100789999999999</v>
      </c>
      <c r="F734" t="s">
        <v>41</v>
      </c>
      <c r="G734">
        <v>-262.9753</v>
      </c>
      <c r="H734">
        <v>0.9144487</v>
      </c>
      <c r="I734">
        <v>368.6404</v>
      </c>
      <c r="J734">
        <v>-263.41370000000001</v>
      </c>
      <c r="K734">
        <v>1.1087990000000001</v>
      </c>
      <c r="L734">
        <v>368.76280000000003</v>
      </c>
      <c r="M734">
        <v>0.99998540000000002</v>
      </c>
      <c r="N734">
        <v>0</v>
      </c>
      <c r="O734">
        <v>3.1280349999999999E-3</v>
      </c>
      <c r="P734">
        <v>0.99540340000000005</v>
      </c>
      <c r="Q734">
        <v>6.6028959999999998E-2</v>
      </c>
      <c r="R734">
        <v>-6.9372429999999999E-2</v>
      </c>
      <c r="S734">
        <v>3.0313110000000001</v>
      </c>
      <c r="T734">
        <v>-0.80851260000000003</v>
      </c>
      <c r="U734">
        <v>-0.50360109999999902</v>
      </c>
      <c r="V734">
        <v>7.2490940000000004E-2</v>
      </c>
      <c r="W734">
        <v>7.0431339999999995E-2</v>
      </c>
      <c r="X734">
        <v>0.99487910000000002</v>
      </c>
      <c r="Y734">
        <v>0.1613723</v>
      </c>
      <c r="Z734">
        <v>-2.182885E-2</v>
      </c>
      <c r="AA734">
        <v>0.98665210000000003</v>
      </c>
      <c r="AB734">
        <v>29</v>
      </c>
      <c r="AC734">
        <v>0.43840000000000101</v>
      </c>
      <c r="AD734">
        <v>-0.1943503</v>
      </c>
      <c r="AE734">
        <v>-0.122400000000027</v>
      </c>
      <c r="AF734">
        <v>0.104684789770597</v>
      </c>
      <c r="AG734">
        <v>-0.1943503</v>
      </c>
      <c r="AH734">
        <v>0.37047127804485602</v>
      </c>
      <c r="AI734">
        <v>116.786248802157</v>
      </c>
      <c r="AJ734">
        <v>74.221196606907696</v>
      </c>
      <c r="AK734">
        <v>0.43125388366436002</v>
      </c>
      <c r="AL734">
        <v>85.961237536922894</v>
      </c>
      <c r="AM734">
        <v>85.832561137686497</v>
      </c>
      <c r="AN734">
        <v>0.99999996682654402</v>
      </c>
    </row>
    <row r="735" spans="1:40" x14ac:dyDescent="0.25">
      <c r="A735" t="str">
        <f>"20190312154518735"</f>
        <v>20190312154518735</v>
      </c>
      <c r="B735" t="str">
        <f>"1552376718727114"</f>
        <v>1552376718727114</v>
      </c>
      <c r="C735" t="s">
        <v>40</v>
      </c>
      <c r="D735">
        <v>4.8708710000000002</v>
      </c>
      <c r="E735">
        <v>0.54099730000000001</v>
      </c>
      <c r="F735" t="s">
        <v>41</v>
      </c>
      <c r="G735">
        <v>-262.71300000000002</v>
      </c>
      <c r="H735">
        <v>0.92235679999999998</v>
      </c>
      <c r="I735">
        <v>368.64620000000002</v>
      </c>
      <c r="J735">
        <v>-262.96550000000002</v>
      </c>
      <c r="K735">
        <v>1.108798</v>
      </c>
      <c r="L735">
        <v>368.76420000000002</v>
      </c>
      <c r="M735">
        <v>0.99998580000000004</v>
      </c>
      <c r="N735">
        <v>0</v>
      </c>
      <c r="O735">
        <v>3.1017869999999999E-3</v>
      </c>
      <c r="P735">
        <v>0.99540569999999895</v>
      </c>
      <c r="Q735">
        <v>6.6146170000000004E-2</v>
      </c>
      <c r="R735">
        <v>-6.9227659999999996E-2</v>
      </c>
      <c r="S735">
        <v>3.0322879999999999</v>
      </c>
      <c r="T735">
        <v>-0.80675830000000004</v>
      </c>
      <c r="U735">
        <v>-0.50350950000000005</v>
      </c>
      <c r="V735">
        <v>7.2319980000000006E-2</v>
      </c>
      <c r="W735">
        <v>7.0478449999999998E-2</v>
      </c>
      <c r="X735">
        <v>0.9948882</v>
      </c>
      <c r="Y735">
        <v>0.16129679999999999</v>
      </c>
      <c r="Z735">
        <v>-2.1759779999999999E-2</v>
      </c>
      <c r="AA735">
        <v>0.98666600000000004</v>
      </c>
      <c r="AB735">
        <v>29</v>
      </c>
      <c r="AC735">
        <v>0.25250000000005401</v>
      </c>
      <c r="AD735">
        <v>-0.186441199999999</v>
      </c>
      <c r="AE735">
        <v>-0.117999999999994</v>
      </c>
      <c r="AF735">
        <v>8.2061707399727402E-2</v>
      </c>
      <c r="AG735">
        <v>-0.186441199999999</v>
      </c>
      <c r="AH735">
        <v>0.174187452990126</v>
      </c>
      <c r="AI735">
        <v>134.07659579543699</v>
      </c>
      <c r="AJ735">
        <v>64.774337375425702</v>
      </c>
      <c r="AK735">
        <v>0.268021852948572</v>
      </c>
      <c r="AL735">
        <v>85.958531584588599</v>
      </c>
      <c r="AM735">
        <v>85.842392864029804</v>
      </c>
      <c r="AN735">
        <v>0.99999996096041999</v>
      </c>
    </row>
    <row r="736" spans="1:40" x14ac:dyDescent="0.25">
      <c r="A736" t="str">
        <f>"20190312154518758"</f>
        <v>20190312154518758</v>
      </c>
      <c r="B736" t="str">
        <f>"1552376718746634"</f>
        <v>1552376718746634</v>
      </c>
      <c r="C736" t="s">
        <v>40</v>
      </c>
      <c r="D736">
        <v>4.9202370000000002</v>
      </c>
      <c r="E736">
        <v>0.54104750000000001</v>
      </c>
      <c r="F736" t="s">
        <v>41</v>
      </c>
      <c r="G736">
        <v>-262.19779999999997</v>
      </c>
      <c r="H736">
        <v>0.90465530000000005</v>
      </c>
      <c r="I736">
        <v>368.63650000000001</v>
      </c>
      <c r="J736">
        <v>-262.6678</v>
      </c>
      <c r="K736">
        <v>1.108787</v>
      </c>
      <c r="L736">
        <v>368.76510000000002</v>
      </c>
      <c r="M736">
        <v>0.99998589999999998</v>
      </c>
      <c r="N736">
        <v>0</v>
      </c>
      <c r="O736">
        <v>3.0847019999999999E-3</v>
      </c>
      <c r="P736">
        <v>0.9954132</v>
      </c>
      <c r="Q736">
        <v>6.6060419999999995E-2</v>
      </c>
      <c r="R736">
        <v>-6.9200399999999995E-2</v>
      </c>
      <c r="S736">
        <v>3.03241</v>
      </c>
      <c r="T736">
        <v>-0.80641929999999995</v>
      </c>
      <c r="U736">
        <v>-0.50363159999999996</v>
      </c>
      <c r="V736">
        <v>7.2275850000000003E-2</v>
      </c>
      <c r="W736">
        <v>7.0355719999999997E-2</v>
      </c>
      <c r="X736">
        <v>0.99490009999999995</v>
      </c>
      <c r="Y736">
        <v>0.16131709999999999</v>
      </c>
      <c r="Z736">
        <v>-2.174823E-2</v>
      </c>
      <c r="AA736">
        <v>0.98666299999999996</v>
      </c>
      <c r="AB736">
        <v>29</v>
      </c>
      <c r="AC736">
        <v>0.47000000000002701</v>
      </c>
      <c r="AD736">
        <v>-0.2041317</v>
      </c>
      <c r="AE736">
        <v>-0.12860000000000499</v>
      </c>
      <c r="AF736">
        <v>0.110633344399787</v>
      </c>
      <c r="AG736">
        <v>-0.2041317</v>
      </c>
      <c r="AH736">
        <v>0.399491361570046</v>
      </c>
      <c r="AI736">
        <v>116.217674856843</v>
      </c>
      <c r="AJ736">
        <v>74.520700152528207</v>
      </c>
      <c r="AK736">
        <v>0.46206367072846299</v>
      </c>
      <c r="AL736">
        <v>85.965581021134597</v>
      </c>
      <c r="AM736">
        <v>85.844970492512402</v>
      </c>
      <c r="AN736">
        <v>0.99999996740497499</v>
      </c>
    </row>
    <row r="737" spans="1:40" x14ac:dyDescent="0.25">
      <c r="A737" t="str">
        <f>"20190312154518779"</f>
        <v>20190312154518779</v>
      </c>
      <c r="B737" t="str">
        <f>"1552376718776890"</f>
        <v>1552376718776890</v>
      </c>
      <c r="C737" t="s">
        <v>40</v>
      </c>
      <c r="D737">
        <v>4.987933</v>
      </c>
      <c r="E737">
        <v>0.54111580000000004</v>
      </c>
      <c r="F737" t="s">
        <v>41</v>
      </c>
      <c r="G737">
        <v>-261.93189999999998</v>
      </c>
      <c r="H737">
        <v>0.91274770000000005</v>
      </c>
      <c r="I737">
        <v>368.64249999999998</v>
      </c>
      <c r="J737">
        <v>-262.38400000000001</v>
      </c>
      <c r="K737">
        <v>1.108784</v>
      </c>
      <c r="L737">
        <v>368.76589999999999</v>
      </c>
      <c r="M737">
        <v>0.99998620000000005</v>
      </c>
      <c r="N737">
        <v>0</v>
      </c>
      <c r="O737">
        <v>3.0680630000000002E-3</v>
      </c>
      <c r="P737">
        <v>0.99543199999999998</v>
      </c>
      <c r="Q737">
        <v>6.5745730000000002E-2</v>
      </c>
      <c r="R737">
        <v>-6.923087E-2</v>
      </c>
      <c r="S737">
        <v>3.0324710000000001</v>
      </c>
      <c r="T737">
        <v>-0.80780580000000002</v>
      </c>
      <c r="U737">
        <v>-0.50329590000000002</v>
      </c>
      <c r="V737">
        <v>7.2289889999999996E-2</v>
      </c>
      <c r="W737">
        <v>7.0018490000000003E-2</v>
      </c>
      <c r="X737">
        <v>0.99492290000000005</v>
      </c>
      <c r="Y737">
        <v>0.16117779999999901</v>
      </c>
      <c r="Z737">
        <v>-2.1761719999999998E-2</v>
      </c>
      <c r="AA737">
        <v>0.98668549999999999</v>
      </c>
      <c r="AB737">
        <v>29</v>
      </c>
      <c r="AC737">
        <v>0.45210000000002898</v>
      </c>
      <c r="AD737">
        <v>-0.1960363</v>
      </c>
      <c r="AE737">
        <v>-0.12340000000000299</v>
      </c>
      <c r="AF737">
        <v>0.106202766506114</v>
      </c>
      <c r="AG737">
        <v>-0.1960363</v>
      </c>
      <c r="AH737">
        <v>0.38444731551168998</v>
      </c>
      <c r="AI737">
        <v>116.17447544363</v>
      </c>
      <c r="AJ737">
        <v>74.557297149394003</v>
      </c>
      <c r="AK737">
        <v>0.44441984309365301</v>
      </c>
      <c r="AL737">
        <v>85.984950765285603</v>
      </c>
      <c r="AM737">
        <v>85.844261084649403</v>
      </c>
      <c r="AN737">
        <v>0.99999999704125098</v>
      </c>
    </row>
    <row r="738" spans="1:40" x14ac:dyDescent="0.25">
      <c r="A738" t="str">
        <f>"20190312154518814"</f>
        <v>20190312154518814</v>
      </c>
      <c r="B738" t="str">
        <f>"1552376718806675"</f>
        <v>1552376718806675</v>
      </c>
      <c r="C738" t="s">
        <v>40</v>
      </c>
      <c r="D738">
        <v>4.8840879999999904</v>
      </c>
      <c r="E738">
        <v>0.54115880000000005</v>
      </c>
      <c r="F738" t="s">
        <v>41</v>
      </c>
      <c r="G738">
        <v>-261.6662</v>
      </c>
      <c r="H738">
        <v>0.917153</v>
      </c>
      <c r="I738">
        <v>368.64659999999998</v>
      </c>
      <c r="J738">
        <v>-261.9316</v>
      </c>
      <c r="K738">
        <v>1.1087910000000001</v>
      </c>
      <c r="L738">
        <v>368.76729999999998</v>
      </c>
      <c r="M738">
        <v>0.99998620000000005</v>
      </c>
      <c r="N738">
        <v>0</v>
      </c>
      <c r="O738">
        <v>3.0419940000000001E-3</v>
      </c>
      <c r="P738">
        <v>0.99543700000000002</v>
      </c>
      <c r="Q738">
        <v>6.5613359999999996E-2</v>
      </c>
      <c r="R738">
        <v>-6.9283659999999997E-2</v>
      </c>
      <c r="S738">
        <v>3.0322269999999998</v>
      </c>
      <c r="T738">
        <v>-0.80964419999999904</v>
      </c>
      <c r="U738">
        <v>-0.50353999999999999</v>
      </c>
      <c r="V738">
        <v>7.2316619999999998E-2</v>
      </c>
      <c r="W738">
        <v>6.9895269999999995E-2</v>
      </c>
      <c r="X738">
        <v>0.99492959999999997</v>
      </c>
      <c r="Y738">
        <v>0.161216</v>
      </c>
      <c r="Z738">
        <v>-2.180932E-2</v>
      </c>
      <c r="AA738">
        <v>0.9866781</v>
      </c>
      <c r="AB738">
        <v>29</v>
      </c>
      <c r="AC738">
        <v>0.26539999999999903</v>
      </c>
      <c r="AD738">
        <v>-0.191638</v>
      </c>
      <c r="AE738">
        <v>-0.120699999999999</v>
      </c>
      <c r="AF738">
        <v>8.4849243596873306E-2</v>
      </c>
      <c r="AG738">
        <v>-0.191638</v>
      </c>
      <c r="AH738">
        <v>0.185073854883754</v>
      </c>
      <c r="AI738">
        <v>133.2668803963</v>
      </c>
      <c r="AJ738">
        <v>65.370365266938805</v>
      </c>
      <c r="AK738">
        <v>0.27960123201533699</v>
      </c>
      <c r="AL738">
        <v>85.992028004624203</v>
      </c>
      <c r="AM738">
        <v>85.842757737515996</v>
      </c>
      <c r="AN738">
        <v>0.99999997562637799</v>
      </c>
    </row>
    <row r="739" spans="1:40" x14ac:dyDescent="0.25">
      <c r="A739" t="str">
        <f>"20190312154518835"</f>
        <v>20190312154518835</v>
      </c>
      <c r="B739" t="str">
        <f>"1552376718827172"</f>
        <v>1552376718827172</v>
      </c>
      <c r="C739" t="s">
        <v>40</v>
      </c>
      <c r="D739">
        <v>4.8322219999999998</v>
      </c>
      <c r="E739">
        <v>0.54117349999999997</v>
      </c>
      <c r="F739" t="s">
        <v>41</v>
      </c>
      <c r="G739">
        <v>-261.14249999999998</v>
      </c>
      <c r="H739">
        <v>0.89784149999999996</v>
      </c>
      <c r="I739">
        <v>368.63569999999999</v>
      </c>
      <c r="J739">
        <v>-261.64839999999998</v>
      </c>
      <c r="K739">
        <v>1.1087990000000001</v>
      </c>
      <c r="L739">
        <v>368.7681</v>
      </c>
      <c r="M739">
        <v>0.99998609999999999</v>
      </c>
      <c r="N739">
        <v>0</v>
      </c>
      <c r="O739">
        <v>3.025584E-3</v>
      </c>
      <c r="P739">
        <v>0.99545030000000001</v>
      </c>
      <c r="Q739">
        <v>6.5462179999999995E-2</v>
      </c>
      <c r="R739">
        <v>-6.9238099999999997E-2</v>
      </c>
      <c r="S739">
        <v>3.0320740000000002</v>
      </c>
      <c r="T739">
        <v>-0.81058649999999999</v>
      </c>
      <c r="U739">
        <v>-0.50476069999999995</v>
      </c>
      <c r="V739">
        <v>7.2254769999999996E-2</v>
      </c>
      <c r="W739">
        <v>6.9778729999999997E-2</v>
      </c>
      <c r="X739">
        <v>0.99494229999999995</v>
      </c>
      <c r="Y739">
        <v>0.16156989999999999</v>
      </c>
      <c r="Z739">
        <v>-2.1876130000000001E-2</v>
      </c>
      <c r="AA739">
        <v>0.98661880000000002</v>
      </c>
      <c r="AB739">
        <v>30</v>
      </c>
      <c r="AC739">
        <v>0.50589999999999602</v>
      </c>
      <c r="AD739">
        <v>-0.21095749999999899</v>
      </c>
      <c r="AE739">
        <v>-0.132400000000018</v>
      </c>
      <c r="AF739">
        <v>0.11518506797969499</v>
      </c>
      <c r="AG739">
        <v>-0.21095749999999899</v>
      </c>
      <c r="AH739">
        <v>0.43474721722599602</v>
      </c>
      <c r="AI739">
        <v>115.129288112143</v>
      </c>
      <c r="AJ739">
        <v>75.160598450572905</v>
      </c>
      <c r="AK739">
        <v>0.49676534659483201</v>
      </c>
      <c r="AL739">
        <v>85.998721702158093</v>
      </c>
      <c r="AM739">
        <v>85.846353673148201</v>
      </c>
      <c r="AN739">
        <v>1.00000000163872</v>
      </c>
    </row>
    <row r="740" spans="1:40" x14ac:dyDescent="0.25">
      <c r="A740" t="str">
        <f>"20190312154518858"</f>
        <v>20190312154518858</v>
      </c>
      <c r="B740" t="str">
        <f>"1552376718846692"</f>
        <v>1552376718846692</v>
      </c>
      <c r="C740" t="s">
        <v>40</v>
      </c>
      <c r="D740">
        <v>4.8489610000000001</v>
      </c>
      <c r="E740">
        <v>0.54123669999999902</v>
      </c>
      <c r="F740" t="s">
        <v>41</v>
      </c>
      <c r="G740">
        <v>-260.87389999999999</v>
      </c>
      <c r="H740">
        <v>0.9015263</v>
      </c>
      <c r="I740">
        <v>368.6388</v>
      </c>
      <c r="J740">
        <v>-261.34219999999999</v>
      </c>
      <c r="K740">
        <v>1.1088100000000001</v>
      </c>
      <c r="L740">
        <v>368.76900000000001</v>
      </c>
      <c r="M740">
        <v>0.99998589999999998</v>
      </c>
      <c r="N740">
        <v>0</v>
      </c>
      <c r="O740">
        <v>3.007577E-3</v>
      </c>
      <c r="P740">
        <v>0.99547870000000005</v>
      </c>
      <c r="Q740">
        <v>6.5072439999999995E-2</v>
      </c>
      <c r="R740">
        <v>-6.9193359999999995E-2</v>
      </c>
      <c r="S740">
        <v>3.0319210000000001</v>
      </c>
      <c r="T740">
        <v>-0.81142559999999997</v>
      </c>
      <c r="U740">
        <v>-0.50540160000000001</v>
      </c>
      <c r="V740">
        <v>7.2192430000000002E-2</v>
      </c>
      <c r="W740">
        <v>6.9445300000000001E-2</v>
      </c>
      <c r="X740">
        <v>0.99497009999999997</v>
      </c>
      <c r="Y740">
        <v>0.161746</v>
      </c>
      <c r="Z740">
        <v>-2.1917010000000001E-2</v>
      </c>
      <c r="AA740">
        <v>0.98658900000000005</v>
      </c>
      <c r="AB740">
        <v>30</v>
      </c>
      <c r="AC740">
        <v>0.46829999999999899</v>
      </c>
      <c r="AD740">
        <v>-0.20728369999999999</v>
      </c>
      <c r="AE740">
        <v>-0.13020000000000201</v>
      </c>
      <c r="AF740">
        <v>0.111356229759211</v>
      </c>
      <c r="AG740">
        <v>-0.20728369999999999</v>
      </c>
      <c r="AH740">
        <v>0.39590549838773598</v>
      </c>
      <c r="AI740">
        <v>116.748617917944</v>
      </c>
      <c r="AJ740">
        <v>74.290314981841703</v>
      </c>
      <c r="AK740">
        <v>0.46055174068232302</v>
      </c>
      <c r="AL740">
        <v>86.017872077728597</v>
      </c>
      <c r="AM740">
        <v>85.850040381351903</v>
      </c>
      <c r="AN740">
        <v>0.999999948267701</v>
      </c>
    </row>
    <row r="741" spans="1:40" x14ac:dyDescent="0.25">
      <c r="A741" t="str">
        <f>"20190312154518880"</f>
        <v>20190312154518880</v>
      </c>
      <c r="B741" t="str">
        <f>"1552376718876947"</f>
        <v>1552376718876947</v>
      </c>
      <c r="C741" t="s">
        <v>40</v>
      </c>
      <c r="D741">
        <v>4.9177619999999997</v>
      </c>
      <c r="E741">
        <v>0.54133109999999995</v>
      </c>
      <c r="F741" t="s">
        <v>41</v>
      </c>
      <c r="G741">
        <v>-260.60230000000001</v>
      </c>
      <c r="H741">
        <v>0.91029819999999995</v>
      </c>
      <c r="I741">
        <v>368.6456</v>
      </c>
      <c r="J741">
        <v>-261.04520000000002</v>
      </c>
      <c r="K741">
        <v>1.1088199999999999</v>
      </c>
      <c r="L741">
        <v>368.76990000000001</v>
      </c>
      <c r="M741">
        <v>0.99998560000000003</v>
      </c>
      <c r="N741">
        <v>0</v>
      </c>
      <c r="O741">
        <v>2.9902599999999998E-3</v>
      </c>
      <c r="P741">
        <v>0.99548179999999997</v>
      </c>
      <c r="Q741">
        <v>6.5245499999999998E-2</v>
      </c>
      <c r="R741">
        <v>-6.8987129999999994E-2</v>
      </c>
      <c r="S741">
        <v>3.0316770000000002</v>
      </c>
      <c r="T741">
        <v>-0.81339939999999999</v>
      </c>
      <c r="U741">
        <v>-0.50543209999999905</v>
      </c>
      <c r="V741">
        <v>7.1968799999999999E-2</v>
      </c>
      <c r="W741">
        <v>6.9684079999999995E-2</v>
      </c>
      <c r="X741">
        <v>0.99496969999999996</v>
      </c>
      <c r="Y741">
        <v>0.161724799999999</v>
      </c>
      <c r="Z741">
        <v>-2.19629E-2</v>
      </c>
      <c r="AA741">
        <v>0.98659149999999995</v>
      </c>
      <c r="AB741">
        <v>30</v>
      </c>
      <c r="AC741">
        <v>0.44290000000000801</v>
      </c>
      <c r="AD741">
        <v>-0.1985218</v>
      </c>
      <c r="AE741">
        <v>-0.124300000000005</v>
      </c>
      <c r="AF741">
        <v>0.10590065907188601</v>
      </c>
      <c r="AG741">
        <v>-0.1985218</v>
      </c>
      <c r="AH741">
        <v>0.37304884435687502</v>
      </c>
      <c r="AI741">
        <v>117.109376763529</v>
      </c>
      <c r="AJ741">
        <v>74.151879615885605</v>
      </c>
      <c r="AK741">
        <v>0.435650427456579</v>
      </c>
      <c r="AL741">
        <v>86.004158140387602</v>
      </c>
      <c r="AM741">
        <v>85.862849319635103</v>
      </c>
      <c r="AN741">
        <v>1.00000004154848</v>
      </c>
    </row>
    <row r="742" spans="1:40" x14ac:dyDescent="0.25">
      <c r="A742" t="str">
        <f>"20190312154518903"</f>
        <v>20190312154518903</v>
      </c>
      <c r="B742" t="str">
        <f>"1552376718896468"</f>
        <v>1552376718896468</v>
      </c>
      <c r="C742" t="s">
        <v>40</v>
      </c>
      <c r="D742">
        <v>4.8887769999999904</v>
      </c>
      <c r="E742">
        <v>0.54140080000000002</v>
      </c>
      <c r="F742" t="s">
        <v>41</v>
      </c>
      <c r="G742">
        <v>-260.3304</v>
      </c>
      <c r="H742">
        <v>0.9168944</v>
      </c>
      <c r="I742">
        <v>368.65050000000002</v>
      </c>
      <c r="J742">
        <v>-260.74270000000001</v>
      </c>
      <c r="K742">
        <v>1.1088290000000001</v>
      </c>
      <c r="L742">
        <v>368.77080000000001</v>
      </c>
      <c r="M742">
        <v>0.99998549999999997</v>
      </c>
      <c r="N742">
        <v>0</v>
      </c>
      <c r="O742">
        <v>2.9727389999999999E-3</v>
      </c>
      <c r="P742">
        <v>0.99549770000000004</v>
      </c>
      <c r="Q742">
        <v>6.5075229999999998E-2</v>
      </c>
      <c r="R742">
        <v>-6.8919930000000004E-2</v>
      </c>
      <c r="S742">
        <v>3.0318909999999999</v>
      </c>
      <c r="T742">
        <v>-0.81424090000000005</v>
      </c>
      <c r="U742">
        <v>-0.50543209999999905</v>
      </c>
      <c r="V742">
        <v>7.1884320000000002E-2</v>
      </c>
      <c r="W742">
        <v>6.9589899999999899E-2</v>
      </c>
      <c r="X742">
        <v>0.99498240000000004</v>
      </c>
      <c r="Y742">
        <v>0.16168740000000001</v>
      </c>
      <c r="Z742">
        <v>-2.1973889999999999E-2</v>
      </c>
      <c r="AA742">
        <v>0.98659739999999996</v>
      </c>
      <c r="AB742">
        <v>30</v>
      </c>
      <c r="AC742">
        <v>0.41230000000001599</v>
      </c>
      <c r="AD742">
        <v>-0.19193460000000001</v>
      </c>
      <c r="AE742">
        <v>-0.120299999999986</v>
      </c>
      <c r="AF742">
        <v>0.101295563798949</v>
      </c>
      <c r="AG742">
        <v>-0.19193460000000001</v>
      </c>
      <c r="AH742">
        <v>0.34336722677977799</v>
      </c>
      <c r="AI742">
        <v>118.197302361143</v>
      </c>
      <c r="AJ742">
        <v>73.5635981669584</v>
      </c>
      <c r="AK742">
        <v>0.40620282415185499</v>
      </c>
      <c r="AL742">
        <v>86.009567393887494</v>
      </c>
      <c r="AM742">
        <v>85.867741410115002</v>
      </c>
      <c r="AN742">
        <v>1.0000000429768101</v>
      </c>
    </row>
    <row r="743" spans="1:40" x14ac:dyDescent="0.25">
      <c r="A743" t="str">
        <f>"20190312154518925"</f>
        <v>20190312154518925</v>
      </c>
      <c r="B743" t="str">
        <f>"1552376718916963"</f>
        <v>1552376718916963</v>
      </c>
      <c r="C743" t="s">
        <v>40</v>
      </c>
      <c r="D743">
        <v>4.9310029999999996</v>
      </c>
      <c r="E743">
        <v>0.54145410000000005</v>
      </c>
      <c r="F743" t="s">
        <v>41</v>
      </c>
      <c r="G743">
        <v>-260.0573</v>
      </c>
      <c r="H743">
        <v>0.92443799999999998</v>
      </c>
      <c r="I743">
        <v>368.65640000000002</v>
      </c>
      <c r="J743">
        <v>-260.43490000000003</v>
      </c>
      <c r="K743">
        <v>1.10884</v>
      </c>
      <c r="L743">
        <v>368.77179999999998</v>
      </c>
      <c r="M743">
        <v>0.99998509999999996</v>
      </c>
      <c r="N743">
        <v>0</v>
      </c>
      <c r="O743">
        <v>2.9547290000000001E-3</v>
      </c>
      <c r="P743">
        <v>0.99550249999999996</v>
      </c>
      <c r="Q743">
        <v>6.5049899999999994E-2</v>
      </c>
      <c r="R743">
        <v>-6.8873690000000001E-2</v>
      </c>
      <c r="S743">
        <v>3.0318909999999999</v>
      </c>
      <c r="T743">
        <v>-0.81560679999999997</v>
      </c>
      <c r="U743">
        <v>-0.50549319999999998</v>
      </c>
      <c r="V743">
        <v>7.1820060000000005E-2</v>
      </c>
      <c r="W743">
        <v>6.9644600000000001E-2</v>
      </c>
      <c r="X743">
        <v>0.99498319999999996</v>
      </c>
      <c r="Y743">
        <v>0.1616715</v>
      </c>
      <c r="Z743">
        <v>-2.2002649999999999E-2</v>
      </c>
      <c r="AA743">
        <v>0.98659929999999996</v>
      </c>
      <c r="AB743">
        <v>30</v>
      </c>
      <c r="AC743">
        <v>0.37760000000002902</v>
      </c>
      <c r="AD743">
        <v>-0.18440200000000001</v>
      </c>
      <c r="AE743">
        <v>-0.115399999999965</v>
      </c>
      <c r="AF743">
        <v>9.5651960687288901E-2</v>
      </c>
      <c r="AG743">
        <v>-0.18440200000000001</v>
      </c>
      <c r="AH743">
        <v>0.30970554155351199</v>
      </c>
      <c r="AI743">
        <v>119.635371947838</v>
      </c>
      <c r="AJ743">
        <v>72.836797235320802</v>
      </c>
      <c r="AK743">
        <v>0.37292213350279602</v>
      </c>
      <c r="AL743">
        <v>86.006425639723105</v>
      </c>
      <c r="AM743">
        <v>85.871425914822694</v>
      </c>
      <c r="AN743">
        <v>1.0000000298049001</v>
      </c>
    </row>
    <row r="744" spans="1:40" x14ac:dyDescent="0.25">
      <c r="A744" t="str">
        <f>"20190312154518948"</f>
        <v>20190312154518948</v>
      </c>
      <c r="B744" t="str">
        <f>"1552376718936484"</f>
        <v>1552376718936484</v>
      </c>
      <c r="C744" t="s">
        <v>40</v>
      </c>
      <c r="D744">
        <v>4.8837510000000002</v>
      </c>
      <c r="E744">
        <v>0.54151700000000003</v>
      </c>
      <c r="F744" t="s">
        <v>41</v>
      </c>
      <c r="G744">
        <v>-259.53609999999998</v>
      </c>
      <c r="H744">
        <v>0.86675849999999899</v>
      </c>
      <c r="I744">
        <v>368.6216</v>
      </c>
      <c r="J744">
        <v>-260.125</v>
      </c>
      <c r="K744">
        <v>1.1088450000000001</v>
      </c>
      <c r="L744">
        <v>368.77260000000001</v>
      </c>
      <c r="M744">
        <v>0.99998469999999995</v>
      </c>
      <c r="N744">
        <v>0</v>
      </c>
      <c r="O744">
        <v>2.9367199999999999E-3</v>
      </c>
      <c r="P744">
        <v>0.9954963</v>
      </c>
      <c r="Q744">
        <v>6.5022860000000002E-2</v>
      </c>
      <c r="R744">
        <v>-6.8989930000000005E-2</v>
      </c>
      <c r="S744">
        <v>3.0318909999999999</v>
      </c>
      <c r="T744">
        <v>-0.81662209999999902</v>
      </c>
      <c r="U744">
        <v>-0.50592040000000005</v>
      </c>
      <c r="V744">
        <v>7.1918369999999995E-2</v>
      </c>
      <c r="W744">
        <v>6.9695499999999994E-2</v>
      </c>
      <c r="X744">
        <v>0.99497250000000004</v>
      </c>
      <c r="Y744">
        <v>0.16177230000000001</v>
      </c>
      <c r="Z744">
        <v>-2.203739E-2</v>
      </c>
      <c r="AA744">
        <v>0.98658199999999996</v>
      </c>
      <c r="AB744">
        <v>30</v>
      </c>
      <c r="AC744">
        <v>0.58890000000002296</v>
      </c>
      <c r="AD744">
        <v>-0.24208650000000001</v>
      </c>
      <c r="AE744">
        <v>-0.15100000000000999</v>
      </c>
      <c r="AF744">
        <v>0.13182596692728299</v>
      </c>
      <c r="AG744">
        <v>-0.24208650000000001</v>
      </c>
      <c r="AH744">
        <v>0.50791676379144401</v>
      </c>
      <c r="AI744">
        <v>114.76581519303301</v>
      </c>
      <c r="AJ744">
        <v>75.450341656588506</v>
      </c>
      <c r="AK744">
        <v>0.57789566357512701</v>
      </c>
      <c r="AL744">
        <v>86.003502042407305</v>
      </c>
      <c r="AM744">
        <v>85.865749843713104</v>
      </c>
      <c r="AN744">
        <v>0.99999999520997795</v>
      </c>
    </row>
    <row r="745" spans="1:40" x14ac:dyDescent="0.25">
      <c r="A745" t="str">
        <f>"20190312154518970"</f>
        <v>20190312154518970</v>
      </c>
      <c r="B745" t="str">
        <f>"1552376718966740"</f>
        <v>1552376718966740</v>
      </c>
      <c r="C745" t="s">
        <v>40</v>
      </c>
      <c r="D745">
        <v>4.8628799999999996</v>
      </c>
      <c r="E745">
        <v>0.54155030000000004</v>
      </c>
      <c r="F745" t="s">
        <v>41</v>
      </c>
      <c r="G745">
        <v>-259.2595</v>
      </c>
      <c r="H745">
        <v>0.87545189999999995</v>
      </c>
      <c r="I745">
        <v>368.6277</v>
      </c>
      <c r="J745">
        <v>-259.82400000000001</v>
      </c>
      <c r="K745">
        <v>1.1088499999999999</v>
      </c>
      <c r="L745">
        <v>368.77350000000001</v>
      </c>
      <c r="M745">
        <v>0.9999844</v>
      </c>
      <c r="N745">
        <v>0</v>
      </c>
      <c r="O745">
        <v>2.9190169999999999E-3</v>
      </c>
      <c r="P745">
        <v>0.99550660000000002</v>
      </c>
      <c r="Q745">
        <v>6.4531110000000003E-2</v>
      </c>
      <c r="R745">
        <v>-6.9300260000000002E-2</v>
      </c>
      <c r="S745">
        <v>3.0318299999999998</v>
      </c>
      <c r="T745">
        <v>-0.81762749999999995</v>
      </c>
      <c r="U745">
        <v>-0.50704959999999999</v>
      </c>
      <c r="V745">
        <v>7.2211200000000003E-2</v>
      </c>
      <c r="W745">
        <v>6.927738E-2</v>
      </c>
      <c r="X745">
        <v>0.99498050000000005</v>
      </c>
      <c r="Y745">
        <v>0.1620914</v>
      </c>
      <c r="Z745">
        <v>-2.2100729999999999E-2</v>
      </c>
      <c r="AA745">
        <v>0.98652819999999997</v>
      </c>
      <c r="AB745">
        <v>30</v>
      </c>
      <c r="AC745">
        <v>0.56450000000000899</v>
      </c>
      <c r="AD745">
        <v>-0.233398099999999</v>
      </c>
      <c r="AE745">
        <v>-0.14580000000000801</v>
      </c>
      <c r="AF745">
        <v>0.12708133948447201</v>
      </c>
      <c r="AG745">
        <v>-0.233398099999999</v>
      </c>
      <c r="AH745">
        <v>0.48616069657123401</v>
      </c>
      <c r="AI745">
        <v>114.913824090969</v>
      </c>
      <c r="AJ745">
        <v>75.350792148852904</v>
      </c>
      <c r="AK745">
        <v>0.55405465688811395</v>
      </c>
      <c r="AL745">
        <v>86.0275166350132</v>
      </c>
      <c r="AM745">
        <v>85.849008401773503</v>
      </c>
      <c r="AN745">
        <v>1.00000000408267</v>
      </c>
    </row>
    <row r="746" spans="1:40" x14ac:dyDescent="0.25">
      <c r="A746" t="str">
        <f>"20190312154518994"</f>
        <v>20190312154518994</v>
      </c>
      <c r="B746" t="str">
        <f>"1552376718987238"</f>
        <v>1552376718987238</v>
      </c>
      <c r="C746" t="s">
        <v>40</v>
      </c>
      <c r="D746">
        <v>4.9255469999999999</v>
      </c>
      <c r="E746">
        <v>0.54156280000000001</v>
      </c>
      <c r="F746" t="s">
        <v>41</v>
      </c>
      <c r="G746">
        <v>-258.983</v>
      </c>
      <c r="H746">
        <v>0.88130299999999995</v>
      </c>
      <c r="I746">
        <v>368.63249999999999</v>
      </c>
      <c r="J746">
        <v>-259.50490000000002</v>
      </c>
      <c r="K746">
        <v>1.108851</v>
      </c>
      <c r="L746">
        <v>368.77440000000001</v>
      </c>
      <c r="M746">
        <v>0.99998399999999998</v>
      </c>
      <c r="N746">
        <v>0</v>
      </c>
      <c r="O746">
        <v>2.9006399999999999E-3</v>
      </c>
      <c r="P746">
        <v>0.99549750000000004</v>
      </c>
      <c r="Q746">
        <v>6.4483799999999994E-2</v>
      </c>
      <c r="R746">
        <v>-6.947391E-2</v>
      </c>
      <c r="S746">
        <v>3.031342</v>
      </c>
      <c r="T746">
        <v>-0.82023099999999904</v>
      </c>
      <c r="U746">
        <v>-0.50805659999999997</v>
      </c>
      <c r="V746">
        <v>7.2366710000000001E-2</v>
      </c>
      <c r="W746">
        <v>6.9309700000000002E-2</v>
      </c>
      <c r="X746">
        <v>0.99496689999999999</v>
      </c>
      <c r="Y746">
        <v>0.1623714</v>
      </c>
      <c r="Z746">
        <v>-2.2203649999999998E-2</v>
      </c>
      <c r="AA746">
        <v>0.98647989999999997</v>
      </c>
      <c r="AB746">
        <v>31</v>
      </c>
      <c r="AC746">
        <v>0.52190000000001602</v>
      </c>
      <c r="AD746">
        <v>-0.227548</v>
      </c>
      <c r="AE746">
        <v>-0.14190000000002001</v>
      </c>
      <c r="AF746">
        <v>0.121845418526056</v>
      </c>
      <c r="AG746">
        <v>-0.227548</v>
      </c>
      <c r="AH746">
        <v>0.44306016031315998</v>
      </c>
      <c r="AI746">
        <v>116.344522545684</v>
      </c>
      <c r="AJ746">
        <v>74.623282943106005</v>
      </c>
      <c r="AK746">
        <v>0.51276378965027603</v>
      </c>
      <c r="AL746">
        <v>86.025660172849697</v>
      </c>
      <c r="AM746">
        <v>85.840043745518599</v>
      </c>
      <c r="AN746">
        <v>0.99999995366296102</v>
      </c>
    </row>
    <row r="747" spans="1:40" x14ac:dyDescent="0.25">
      <c r="A747" t="str">
        <f>"20190312154519014"</f>
        <v>20190312154519014</v>
      </c>
      <c r="B747" t="str">
        <f>"1552376719006756"</f>
        <v>1552376719006756</v>
      </c>
      <c r="C747" t="s">
        <v>40</v>
      </c>
      <c r="D747">
        <v>4.7509269999999999</v>
      </c>
      <c r="E747">
        <v>0.54157789999999995</v>
      </c>
      <c r="F747" t="s">
        <v>41</v>
      </c>
      <c r="G747">
        <v>-258.70359999999999</v>
      </c>
      <c r="H747">
        <v>0.89194249999999997</v>
      </c>
      <c r="I747">
        <v>368.63940000000002</v>
      </c>
      <c r="J747">
        <v>-259.21710000000002</v>
      </c>
      <c r="K747">
        <v>1.1088519999999999</v>
      </c>
      <c r="L747">
        <v>368.77530000000002</v>
      </c>
      <c r="M747">
        <v>0.99998379999999998</v>
      </c>
      <c r="N747">
        <v>0</v>
      </c>
      <c r="O747">
        <v>2.8837659999999998E-3</v>
      </c>
      <c r="P747">
        <v>0.99552059999999998</v>
      </c>
      <c r="Q747">
        <v>6.4431130000000003E-2</v>
      </c>
      <c r="R747">
        <v>-6.919343E-2</v>
      </c>
      <c r="S747">
        <v>3.031158</v>
      </c>
      <c r="T747">
        <v>-0.82052590000000003</v>
      </c>
      <c r="U747">
        <v>-0.50958249999999905</v>
      </c>
      <c r="V747">
        <v>7.2069320000000006E-2</v>
      </c>
      <c r="W747">
        <v>6.9331119999999996E-2</v>
      </c>
      <c r="X747">
        <v>0.99498699999999995</v>
      </c>
      <c r="Y747">
        <v>0.162827799999999</v>
      </c>
      <c r="Z747">
        <v>-2.2267599999999999E-2</v>
      </c>
      <c r="AA747">
        <v>0.98640320000000004</v>
      </c>
      <c r="AB747">
        <v>31</v>
      </c>
      <c r="AC747">
        <v>0.51350000000002105</v>
      </c>
      <c r="AD747">
        <v>-0.21690950000000001</v>
      </c>
      <c r="AE747">
        <v>-0.135899999999992</v>
      </c>
      <c r="AF747">
        <v>0.11774573110271699</v>
      </c>
      <c r="AG747">
        <v>-0.21690950000000001</v>
      </c>
      <c r="AH747">
        <v>0.439772301060044</v>
      </c>
      <c r="AI747">
        <v>115.475443554167</v>
      </c>
      <c r="AJ747">
        <v>75.011050383041706</v>
      </c>
      <c r="AK747">
        <v>0.50429501798333198</v>
      </c>
      <c r="AL747">
        <v>86.024429965531695</v>
      </c>
      <c r="AM747">
        <v>85.857162782363204</v>
      </c>
      <c r="AN747">
        <v>0.99999996062735697</v>
      </c>
    </row>
    <row r="748" spans="1:40" x14ac:dyDescent="0.25">
      <c r="A748" t="str">
        <f>"20190312154519036"</f>
        <v>20190312154519036</v>
      </c>
      <c r="B748" t="str">
        <f>"1552376719027255"</f>
        <v>1552376719027255</v>
      </c>
      <c r="C748" t="s">
        <v>40</v>
      </c>
      <c r="D748">
        <v>4.9184140000000003</v>
      </c>
      <c r="E748">
        <v>0.54164590000000001</v>
      </c>
      <c r="F748" t="s">
        <v>41</v>
      </c>
      <c r="G748">
        <v>-258.4264</v>
      </c>
      <c r="H748">
        <v>0.89473519999999895</v>
      </c>
      <c r="I748">
        <v>368.64240000000001</v>
      </c>
      <c r="J748">
        <v>-258.90929999999997</v>
      </c>
      <c r="K748">
        <v>1.1088559999999901</v>
      </c>
      <c r="L748">
        <v>368.77609999999999</v>
      </c>
      <c r="M748">
        <v>0.99998350000000003</v>
      </c>
      <c r="N748">
        <v>0</v>
      </c>
      <c r="O748">
        <v>2.8655719999999998E-3</v>
      </c>
      <c r="P748">
        <v>0.99550709999999998</v>
      </c>
      <c r="Q748">
        <v>6.447311E-2</v>
      </c>
      <c r="R748">
        <v>-6.9350369999999995E-2</v>
      </c>
      <c r="S748">
        <v>3.0312190000000001</v>
      </c>
      <c r="T748">
        <v>-0.82083879999999998</v>
      </c>
      <c r="U748">
        <v>-0.50918580000000002</v>
      </c>
      <c r="V748">
        <v>7.2208049999999996E-2</v>
      </c>
      <c r="W748">
        <v>6.9449570000000002E-2</v>
      </c>
      <c r="X748">
        <v>0.99496870000000004</v>
      </c>
      <c r="Y748">
        <v>0.16268260000000001</v>
      </c>
      <c r="Z748">
        <v>-2.22516E-2</v>
      </c>
      <c r="AA748">
        <v>0.98642750000000001</v>
      </c>
      <c r="AB748">
        <v>31</v>
      </c>
      <c r="AC748">
        <v>0.48289999999997202</v>
      </c>
      <c r="AD748">
        <v>-0.2141208</v>
      </c>
      <c r="AE748">
        <v>-0.133699999999976</v>
      </c>
      <c r="AF748">
        <v>0.114224617586889</v>
      </c>
      <c r="AG748">
        <v>-0.2141208</v>
      </c>
      <c r="AH748">
        <v>0.40800822524336799</v>
      </c>
      <c r="AI748">
        <v>116.810422015239</v>
      </c>
      <c r="AJ748">
        <v>74.360056551629697</v>
      </c>
      <c r="AK748">
        <v>0.47472696586749102</v>
      </c>
      <c r="AL748">
        <v>86.017626957673997</v>
      </c>
      <c r="AM748">
        <v>85.849139788409104</v>
      </c>
      <c r="AN748">
        <v>0.99999997961883802</v>
      </c>
    </row>
    <row r="749" spans="1:40" x14ac:dyDescent="0.25">
      <c r="A749" t="str">
        <f>"20190312154519058"</f>
        <v>20190312154519058</v>
      </c>
      <c r="B749" t="str">
        <f>"1552376719046771"</f>
        <v>1552376719046771</v>
      </c>
      <c r="C749" t="s">
        <v>40</v>
      </c>
      <c r="D749">
        <v>4.8505890000000003</v>
      </c>
      <c r="E749">
        <v>0.54168719999999904</v>
      </c>
      <c r="F749" t="s">
        <v>41</v>
      </c>
      <c r="G749">
        <v>-258.14640000000003</v>
      </c>
      <c r="H749">
        <v>0.90218220000000005</v>
      </c>
      <c r="I749">
        <v>368.64729999999997</v>
      </c>
      <c r="J749">
        <v>-258.5992</v>
      </c>
      <c r="K749">
        <v>1.1088559999999901</v>
      </c>
      <c r="L749">
        <v>368.77699999999999</v>
      </c>
      <c r="M749">
        <v>0.99998310000000001</v>
      </c>
      <c r="N749">
        <v>0</v>
      </c>
      <c r="O749">
        <v>2.8472049999999998E-3</v>
      </c>
      <c r="P749">
        <v>0.9955465</v>
      </c>
      <c r="Q749">
        <v>6.4449939999999997E-2</v>
      </c>
      <c r="R749">
        <v>-6.8804690000000002E-2</v>
      </c>
      <c r="S749">
        <v>3.031158</v>
      </c>
      <c r="T749">
        <v>-0.8212218</v>
      </c>
      <c r="U749">
        <v>-0.51068119999999995</v>
      </c>
      <c r="V749">
        <v>7.1644079999999999E-2</v>
      </c>
      <c r="W749">
        <v>6.9499519999999995E-2</v>
      </c>
      <c r="X749">
        <v>0.99500599999999995</v>
      </c>
      <c r="Y749">
        <v>0.16312119999999999</v>
      </c>
      <c r="Z749">
        <v>-2.2314319999999999E-2</v>
      </c>
      <c r="AA749">
        <v>0.98635360000000005</v>
      </c>
      <c r="AB749">
        <v>31</v>
      </c>
      <c r="AC749">
        <v>0.45279999999996701</v>
      </c>
      <c r="AD749">
        <v>-0.20667379999999899</v>
      </c>
      <c r="AE749">
        <v>-0.129700000000013</v>
      </c>
      <c r="AF749">
        <v>0.109840478048465</v>
      </c>
      <c r="AG749">
        <v>-0.20667379999999899</v>
      </c>
      <c r="AH749">
        <v>0.379383887156102</v>
      </c>
      <c r="AI749">
        <v>117.621787599143</v>
      </c>
      <c r="AJ749">
        <v>73.853037843907003</v>
      </c>
      <c r="AK749">
        <v>0.445770259279407</v>
      </c>
      <c r="AL749">
        <v>86.014758177877795</v>
      </c>
      <c r="AM749">
        <v>85.881601315358495</v>
      </c>
      <c r="AN749">
        <v>0.99999999875763801</v>
      </c>
    </row>
    <row r="750" spans="1:40" x14ac:dyDescent="0.25">
      <c r="A750" t="str">
        <f>"20190312154519080"</f>
        <v>20190312154519080</v>
      </c>
      <c r="B750" t="str">
        <f>"1552376719077029"</f>
        <v>1552376719077029</v>
      </c>
      <c r="C750" t="s">
        <v>40</v>
      </c>
      <c r="D750">
        <v>4.7696769999999997</v>
      </c>
      <c r="E750">
        <v>0.54169880000000004</v>
      </c>
      <c r="F750" t="s">
        <v>41</v>
      </c>
      <c r="G750">
        <v>-257.86529999999999</v>
      </c>
      <c r="H750">
        <v>0.90986069999999997</v>
      </c>
      <c r="I750">
        <v>368.65359999999998</v>
      </c>
      <c r="J750">
        <v>-258.28379999999999</v>
      </c>
      <c r="K750">
        <v>1.1088579999999999</v>
      </c>
      <c r="L750">
        <v>368.77789999999999</v>
      </c>
      <c r="M750">
        <v>0.99998279999999995</v>
      </c>
      <c r="N750">
        <v>0</v>
      </c>
      <c r="O750">
        <v>2.8281920000000002E-3</v>
      </c>
      <c r="P750">
        <v>0.99555760000000004</v>
      </c>
      <c r="Q750">
        <v>6.451925E-2</v>
      </c>
      <c r="R750">
        <v>-6.8575639999999993E-2</v>
      </c>
      <c r="S750">
        <v>3.0314480000000001</v>
      </c>
      <c r="T750">
        <v>-0.82204909999999998</v>
      </c>
      <c r="U750">
        <v>-0.5092468</v>
      </c>
      <c r="V750">
        <v>7.1396310000000004E-2</v>
      </c>
      <c r="W750">
        <v>6.9637470000000007E-2</v>
      </c>
      <c r="X750">
        <v>0.99501419999999996</v>
      </c>
      <c r="Y750">
        <v>0.1626398</v>
      </c>
      <c r="Z750">
        <v>-2.22661E-2</v>
      </c>
      <c r="AA750">
        <v>0.98643429999999999</v>
      </c>
      <c r="AB750">
        <v>31</v>
      </c>
      <c r="AC750">
        <v>0.41849999999999399</v>
      </c>
      <c r="AD750">
        <v>-0.19899729999999999</v>
      </c>
      <c r="AE750">
        <v>-0.124300000000005</v>
      </c>
      <c r="AF750">
        <v>0.10389632102702399</v>
      </c>
      <c r="AG750">
        <v>-0.19899729999999999</v>
      </c>
      <c r="AH750">
        <v>0.34621320306378001</v>
      </c>
      <c r="AI750">
        <v>118.833999359402</v>
      </c>
      <c r="AJ750">
        <v>73.295842714737603</v>
      </c>
      <c r="AK750">
        <v>0.41262325783446002</v>
      </c>
      <c r="AL750">
        <v>86.006835170670598</v>
      </c>
      <c r="AM750">
        <v>85.895829114253601</v>
      </c>
      <c r="AN750">
        <v>1.0000000342556199</v>
      </c>
    </row>
    <row r="751" spans="1:40" x14ac:dyDescent="0.25">
      <c r="A751" t="str">
        <f>"20190312154519104"</f>
        <v>20190312154519104</v>
      </c>
      <c r="B751" t="str">
        <f>"1552376719096548"</f>
        <v>1552376719096548</v>
      </c>
      <c r="C751" t="s">
        <v>40</v>
      </c>
      <c r="D751">
        <v>4.820862</v>
      </c>
      <c r="E751">
        <v>0.54170260000000003</v>
      </c>
      <c r="F751" t="s">
        <v>41</v>
      </c>
      <c r="G751">
        <v>-257.5829</v>
      </c>
      <c r="H751">
        <v>0.91866029999999999</v>
      </c>
      <c r="I751">
        <v>368.6601</v>
      </c>
      <c r="J751">
        <v>-257.96839999999997</v>
      </c>
      <c r="K751">
        <v>1.108859</v>
      </c>
      <c r="L751">
        <v>368.77870000000001</v>
      </c>
      <c r="M751">
        <v>0.99998240000000005</v>
      </c>
      <c r="N751">
        <v>0</v>
      </c>
      <c r="O751">
        <v>2.808952E-3</v>
      </c>
      <c r="P751">
        <v>0.99558639999999998</v>
      </c>
      <c r="Q751">
        <v>6.4275780000000005E-2</v>
      </c>
      <c r="R751">
        <v>-6.8383100000000002E-2</v>
      </c>
      <c r="S751">
        <v>3.0317080000000001</v>
      </c>
      <c r="T751">
        <v>-0.82264159999999997</v>
      </c>
      <c r="U751">
        <v>-0.50854489999999997</v>
      </c>
      <c r="V751">
        <v>7.1184700000000004E-2</v>
      </c>
      <c r="W751">
        <v>6.9457199999999997E-2</v>
      </c>
      <c r="X751">
        <v>0.99504190000000003</v>
      </c>
      <c r="Y751">
        <v>0.1623869</v>
      </c>
      <c r="Z751">
        <v>-2.2241609999999998E-2</v>
      </c>
      <c r="AA751">
        <v>0.98647649999999998</v>
      </c>
      <c r="AB751">
        <v>31</v>
      </c>
      <c r="AC751">
        <v>0.38549999999997903</v>
      </c>
      <c r="AD751">
        <v>-0.190198699999999</v>
      </c>
      <c r="AE751">
        <v>-0.118600000000014</v>
      </c>
      <c r="AF751">
        <v>9.7909514771579401E-2</v>
      </c>
      <c r="AG751">
        <v>-0.190198699999999</v>
      </c>
      <c r="AH751">
        <v>0.31509521463076401</v>
      </c>
      <c r="AI751">
        <v>119.96068572431901</v>
      </c>
      <c r="AJ751">
        <v>72.738416365094807</v>
      </c>
      <c r="AK751">
        <v>0.38085011861321899</v>
      </c>
      <c r="AL751">
        <v>86.017188708034794</v>
      </c>
      <c r="AM751">
        <v>85.908065522661204</v>
      </c>
      <c r="AN751">
        <v>0.99999997345076896</v>
      </c>
    </row>
    <row r="752" spans="1:40" x14ac:dyDescent="0.25">
      <c r="A752" t="str">
        <f>"20190312154519126"</f>
        <v>20190312154519126</v>
      </c>
      <c r="B752" t="str">
        <f>"1552376719117044"</f>
        <v>1552376719117044</v>
      </c>
      <c r="C752" t="s">
        <v>40</v>
      </c>
      <c r="D752">
        <v>4.7561710000000001</v>
      </c>
      <c r="E752">
        <v>0.54169219999999996</v>
      </c>
      <c r="F752" t="s">
        <v>41</v>
      </c>
      <c r="G752">
        <v>-257.0455</v>
      </c>
      <c r="H752">
        <v>0.85809469999999999</v>
      </c>
      <c r="I752">
        <v>368.62389999999999</v>
      </c>
      <c r="J752">
        <v>-257.6533</v>
      </c>
      <c r="K752">
        <v>1.1088639999999901</v>
      </c>
      <c r="L752">
        <v>368.77960000000002</v>
      </c>
      <c r="M752">
        <v>0.99998240000000005</v>
      </c>
      <c r="N752">
        <v>0</v>
      </c>
      <c r="O752">
        <v>2.7899629999999999E-3</v>
      </c>
      <c r="P752">
        <v>0.99560649999999995</v>
      </c>
      <c r="Q752">
        <v>6.4304799999999995E-2</v>
      </c>
      <c r="R752">
        <v>-6.8064410000000006E-2</v>
      </c>
      <c r="S752">
        <v>3.0316010000000002</v>
      </c>
      <c r="T752">
        <v>-0.82377389999999995</v>
      </c>
      <c r="U752">
        <v>-0.5078125</v>
      </c>
      <c r="V752">
        <v>7.0847300000000002E-2</v>
      </c>
      <c r="W752">
        <v>6.9543270000000004E-2</v>
      </c>
      <c r="X752">
        <v>0.99505999999999994</v>
      </c>
      <c r="Y752">
        <v>0.16213520000000001</v>
      </c>
      <c r="Z752">
        <v>-2.2233940000000001E-2</v>
      </c>
      <c r="AA752">
        <v>0.98651800000000001</v>
      </c>
      <c r="AB752">
        <v>31</v>
      </c>
      <c r="AC752">
        <v>0.60779999999999701</v>
      </c>
      <c r="AD752">
        <v>-0.25076929999999897</v>
      </c>
      <c r="AE752">
        <v>-0.15570000000002401</v>
      </c>
      <c r="AF752">
        <v>0.13571546459966599</v>
      </c>
      <c r="AG752">
        <v>-0.25076929999999897</v>
      </c>
      <c r="AH752">
        <v>0.52370469841531198</v>
      </c>
      <c r="AI752">
        <v>114.86893973078401</v>
      </c>
      <c r="AJ752">
        <v>75.471678267306402</v>
      </c>
      <c r="AK752">
        <v>0.59629735895462899</v>
      </c>
      <c r="AL752">
        <v>86.012245432547502</v>
      </c>
      <c r="AM752">
        <v>85.927468817254606</v>
      </c>
      <c r="AN752">
        <v>1.0000000049597899</v>
      </c>
    </row>
    <row r="753" spans="1:40" x14ac:dyDescent="0.25">
      <c r="A753" t="str">
        <f>"20190312154519150"</f>
        <v>20190312154519150</v>
      </c>
      <c r="B753" t="str">
        <f>"1552376719147299"</f>
        <v>1552376719147299</v>
      </c>
      <c r="C753" t="s">
        <v>40</v>
      </c>
      <c r="D753">
        <v>4.7675749999999999</v>
      </c>
      <c r="E753">
        <v>0.54168590000000005</v>
      </c>
      <c r="F753" t="s">
        <v>41</v>
      </c>
      <c r="G753">
        <v>-256.76049999999998</v>
      </c>
      <c r="H753">
        <v>0.8661759</v>
      </c>
      <c r="I753">
        <v>368.63010000000003</v>
      </c>
      <c r="J753">
        <v>-257.32249999999999</v>
      </c>
      <c r="K753">
        <v>1.108867</v>
      </c>
      <c r="L753">
        <v>368.78050000000002</v>
      </c>
      <c r="M753">
        <v>0.99998200000000004</v>
      </c>
      <c r="N753">
        <v>0</v>
      </c>
      <c r="O753">
        <v>2.7706200000000001E-3</v>
      </c>
      <c r="P753">
        <v>0.99554690000000001</v>
      </c>
      <c r="Q753">
        <v>6.4844319999999997E-2</v>
      </c>
      <c r="R753">
        <v>-6.8424250000000006E-2</v>
      </c>
      <c r="S753">
        <v>3.0317989999999999</v>
      </c>
      <c r="T753">
        <v>-0.82416889999999998</v>
      </c>
      <c r="U753">
        <v>-0.50683590000000001</v>
      </c>
      <c r="V753">
        <v>7.1187669999999995E-2</v>
      </c>
      <c r="W753">
        <v>7.0137389999999994E-2</v>
      </c>
      <c r="X753">
        <v>0.99499400000000005</v>
      </c>
      <c r="Y753">
        <v>0.16180369999999999</v>
      </c>
      <c r="Z753">
        <v>-2.2194309999999998E-2</v>
      </c>
      <c r="AA753">
        <v>0.98657329999999999</v>
      </c>
      <c r="AB753">
        <v>31</v>
      </c>
      <c r="AC753">
        <v>0.56200000000001105</v>
      </c>
      <c r="AD753">
        <v>-0.24269109999999999</v>
      </c>
      <c r="AE753">
        <v>-0.15039999999998999</v>
      </c>
      <c r="AF753">
        <v>0.12943284488461701</v>
      </c>
      <c r="AG753">
        <v>-0.24269109999999999</v>
      </c>
      <c r="AH753">
        <v>0.47834102617748803</v>
      </c>
      <c r="AI753">
        <v>116.09319495352</v>
      </c>
      <c r="AJ753">
        <v>74.859084163229795</v>
      </c>
      <c r="AK753">
        <v>0.55178072517864196</v>
      </c>
      <c r="AL753">
        <v>85.978121515110303</v>
      </c>
      <c r="AM753">
        <v>85.907699048396694</v>
      </c>
      <c r="AN753">
        <v>0.99999999893601998</v>
      </c>
    </row>
    <row r="754" spans="1:40" x14ac:dyDescent="0.25">
      <c r="A754" t="str">
        <f>"20190312154519170"</f>
        <v>20190312154519170</v>
      </c>
      <c r="B754" t="str">
        <f>"1552376719166822"</f>
        <v>1552376719166822</v>
      </c>
      <c r="C754" t="s">
        <v>40</v>
      </c>
      <c r="D754">
        <v>4.7113550000000002</v>
      </c>
      <c r="E754">
        <v>0.54166479999999995</v>
      </c>
      <c r="F754" t="s">
        <v>41</v>
      </c>
      <c r="G754">
        <v>-256.47289999999998</v>
      </c>
      <c r="H754">
        <v>0.87831719999999902</v>
      </c>
      <c r="I754">
        <v>368.63780000000003</v>
      </c>
      <c r="J754">
        <v>-257.02499999999998</v>
      </c>
      <c r="K754">
        <v>1.1088690000000001</v>
      </c>
      <c r="L754">
        <v>368.78129999999999</v>
      </c>
      <c r="M754">
        <v>0.99998180000000003</v>
      </c>
      <c r="N754">
        <v>0</v>
      </c>
      <c r="O754">
        <v>2.7535070000000001E-3</v>
      </c>
      <c r="P754">
        <v>0.99549049999999994</v>
      </c>
      <c r="Q754">
        <v>6.5299689999999994E-2</v>
      </c>
      <c r="R754">
        <v>-6.8809880000000004E-2</v>
      </c>
      <c r="S754">
        <v>3.0320740000000002</v>
      </c>
      <c r="T754">
        <v>-0.82285299999999995</v>
      </c>
      <c r="U754">
        <v>-0.50796509999999995</v>
      </c>
      <c r="V754">
        <v>7.1556259999999997E-2</v>
      </c>
      <c r="W754">
        <v>7.0637779999999997E-2</v>
      </c>
      <c r="X754">
        <v>0.99493220000000004</v>
      </c>
      <c r="Y754">
        <v>0.16213820000000001</v>
      </c>
      <c r="Z754">
        <v>-2.21973E-2</v>
      </c>
      <c r="AA754">
        <v>0.98651840000000002</v>
      </c>
      <c r="AB754">
        <v>32</v>
      </c>
      <c r="AC754">
        <v>0.55209999999999504</v>
      </c>
      <c r="AD754">
        <v>-0.2305518</v>
      </c>
      <c r="AE754">
        <v>-0.14349999999995999</v>
      </c>
      <c r="AF754">
        <v>0.124657316880578</v>
      </c>
      <c r="AG754">
        <v>-0.2305518</v>
      </c>
      <c r="AH754">
        <v>0.474237586801592</v>
      </c>
      <c r="AI754">
        <v>115.181988547985</v>
      </c>
      <c r="AJ754">
        <v>75.272488599537994</v>
      </c>
      <c r="AK754">
        <v>0.54184395158615795</v>
      </c>
      <c r="AL754">
        <v>85.949380152918295</v>
      </c>
      <c r="AM754">
        <v>85.886328168866896</v>
      </c>
      <c r="AN754">
        <v>1.0000000384526699</v>
      </c>
    </row>
    <row r="755" spans="1:40" x14ac:dyDescent="0.25">
      <c r="A755" t="str">
        <f>"20190312154519193"</f>
        <v>20190312154519193</v>
      </c>
      <c r="B755" t="str">
        <f>"1552376719187317"</f>
        <v>1552376719187317</v>
      </c>
      <c r="C755" t="s">
        <v>40</v>
      </c>
      <c r="D755">
        <v>4.720383</v>
      </c>
      <c r="E755">
        <v>0.54165160000000001</v>
      </c>
      <c r="F755" t="s">
        <v>41</v>
      </c>
      <c r="G755">
        <v>-256.18770000000001</v>
      </c>
      <c r="H755">
        <v>0.88203180000000003</v>
      </c>
      <c r="I755">
        <v>368.64069999999998</v>
      </c>
      <c r="J755">
        <v>-256.7038</v>
      </c>
      <c r="K755">
        <v>1.108862</v>
      </c>
      <c r="L755">
        <v>368.78219999999999</v>
      </c>
      <c r="M755">
        <v>0.99998160000000003</v>
      </c>
      <c r="N755">
        <v>0</v>
      </c>
      <c r="O755">
        <v>2.7350170000000002E-3</v>
      </c>
      <c r="P755">
        <v>0.99545450000000002</v>
      </c>
      <c r="Q755">
        <v>6.5120410000000004E-2</v>
      </c>
      <c r="R755">
        <v>-6.9495409999999994E-2</v>
      </c>
      <c r="S755">
        <v>3.0323180000000001</v>
      </c>
      <c r="T755">
        <v>-0.82150210000000001</v>
      </c>
      <c r="U755">
        <v>-0.50872799999999996</v>
      </c>
      <c r="V755">
        <v>7.2223369999999995E-2</v>
      </c>
      <c r="W755">
        <v>7.050555E-2</v>
      </c>
      <c r="X755">
        <v>0.99489329999999998</v>
      </c>
      <c r="Y755">
        <v>0.16236120000000001</v>
      </c>
      <c r="Z755">
        <v>-2.2184559999999999E-2</v>
      </c>
      <c r="AA755">
        <v>0.98648199999999997</v>
      </c>
      <c r="AB755">
        <v>32</v>
      </c>
      <c r="AC755">
        <v>0.51609999999999401</v>
      </c>
      <c r="AD755">
        <v>-0.22683019999999901</v>
      </c>
      <c r="AE755">
        <v>-0.14150000000000701</v>
      </c>
      <c r="AF755">
        <v>0.121145720141405</v>
      </c>
      <c r="AG755">
        <v>-0.22683019999999901</v>
      </c>
      <c r="AH755">
        <v>0.43716839777821498</v>
      </c>
      <c r="AI755">
        <v>116.565901157133</v>
      </c>
      <c r="AJ755">
        <v>74.5111735603803</v>
      </c>
      <c r="AK755">
        <v>0.507192698248497</v>
      </c>
      <c r="AL755">
        <v>85.956975005191694</v>
      </c>
      <c r="AM755">
        <v>85.847948654052402</v>
      </c>
      <c r="AN755">
        <v>0.999999963069923</v>
      </c>
    </row>
    <row r="756" spans="1:40" x14ac:dyDescent="0.25">
      <c r="A756" t="str">
        <f>"20190312154519214"</f>
        <v>20190312154519214</v>
      </c>
      <c r="B756" t="str">
        <f>"1552376719206836"</f>
        <v>1552376719206836</v>
      </c>
      <c r="C756" t="s">
        <v>40</v>
      </c>
      <c r="D756">
        <v>4.7367080000000001</v>
      </c>
      <c r="E756">
        <v>0.54164789999999996</v>
      </c>
      <c r="F756" t="s">
        <v>41</v>
      </c>
      <c r="G756">
        <v>-255.89959999999999</v>
      </c>
      <c r="H756">
        <v>0.89075550000000003</v>
      </c>
      <c r="I756">
        <v>368.64640000000003</v>
      </c>
      <c r="J756">
        <v>-256.3974</v>
      </c>
      <c r="K756">
        <v>1.1088639999999901</v>
      </c>
      <c r="L756">
        <v>368.78300000000002</v>
      </c>
      <c r="M756">
        <v>0.99998140000000002</v>
      </c>
      <c r="N756">
        <v>0</v>
      </c>
      <c r="O756">
        <v>2.7175440000000001E-3</v>
      </c>
      <c r="P756">
        <v>0.99544999999999995</v>
      </c>
      <c r="Q756">
        <v>6.4651459999999994E-2</v>
      </c>
      <c r="R756">
        <v>-6.9995539999999995E-2</v>
      </c>
      <c r="S756">
        <v>3.0318149999999999</v>
      </c>
      <c r="T756">
        <v>-0.82218619999999898</v>
      </c>
      <c r="U756">
        <v>-0.51095579999999996</v>
      </c>
      <c r="V756">
        <v>7.2706149999999997E-2</v>
      </c>
      <c r="W756">
        <v>7.0081729999999995E-2</v>
      </c>
      <c r="X756">
        <v>0.99488810000000005</v>
      </c>
      <c r="Y756">
        <v>0.16304179999999999</v>
      </c>
      <c r="Z756">
        <v>-2.2290049999999999E-2</v>
      </c>
      <c r="AA756">
        <v>0.98636729999999995</v>
      </c>
      <c r="AB756">
        <v>32</v>
      </c>
      <c r="AC756">
        <v>0.49780000000001201</v>
      </c>
      <c r="AD756">
        <v>-0.21810849999999901</v>
      </c>
      <c r="AE756">
        <v>-0.13659999999998701</v>
      </c>
      <c r="AF756">
        <v>0.117054771821888</v>
      </c>
      <c r="AG756">
        <v>-0.21810849999999901</v>
      </c>
      <c r="AH756">
        <v>0.42207482635150601</v>
      </c>
      <c r="AI756">
        <v>116.471383272311</v>
      </c>
      <c r="AJ756">
        <v>74.499613893818207</v>
      </c>
      <c r="AK756">
        <v>0.489305933356809</v>
      </c>
      <c r="AL756">
        <v>85.981318398079395</v>
      </c>
      <c r="AM756">
        <v>85.820270369605595</v>
      </c>
      <c r="AN756">
        <v>0.99999998232461196</v>
      </c>
    </row>
    <row r="757" spans="1:40" x14ac:dyDescent="0.25">
      <c r="A757" t="str">
        <f>"20190312154519238"</f>
        <v>20190312154519238</v>
      </c>
      <c r="B757" t="str">
        <f>"1552376719227332"</f>
        <v>1552376719227332</v>
      </c>
      <c r="C757" t="s">
        <v>40</v>
      </c>
      <c r="D757">
        <v>4.7109449999999997</v>
      </c>
      <c r="E757">
        <v>0.54161329999999996</v>
      </c>
      <c r="F757" t="s">
        <v>41</v>
      </c>
      <c r="G757">
        <v>-255.6121</v>
      </c>
      <c r="H757">
        <v>0.8954413</v>
      </c>
      <c r="I757">
        <v>368.65019999999998</v>
      </c>
      <c r="J757">
        <v>-256.06490000000002</v>
      </c>
      <c r="K757">
        <v>1.108865</v>
      </c>
      <c r="L757">
        <v>368.78390000000002</v>
      </c>
      <c r="M757">
        <v>0.99998129999999996</v>
      </c>
      <c r="N757">
        <v>0</v>
      </c>
      <c r="O757">
        <v>2.698209E-3</v>
      </c>
      <c r="P757">
        <v>0.99541679999999999</v>
      </c>
      <c r="Q757">
        <v>6.4622189999999996E-2</v>
      </c>
      <c r="R757">
        <v>-7.0497169999999998E-2</v>
      </c>
      <c r="S757">
        <v>3.0312190000000001</v>
      </c>
      <c r="T757">
        <v>-0.82382420000000001</v>
      </c>
      <c r="U757">
        <v>-0.5124512</v>
      </c>
      <c r="V757">
        <v>7.3188329999999996E-2</v>
      </c>
      <c r="W757">
        <v>7.0103150000000003E-2</v>
      </c>
      <c r="X757">
        <v>0.99485120000000005</v>
      </c>
      <c r="Y757">
        <v>0.16348799999999999</v>
      </c>
      <c r="Z757">
        <v>-2.2390279999999999E-2</v>
      </c>
      <c r="AA757">
        <v>0.98629120000000003</v>
      </c>
      <c r="AB757">
        <v>32</v>
      </c>
      <c r="AC757">
        <v>0.45280000000002402</v>
      </c>
      <c r="AD757">
        <v>-0.21342369999999999</v>
      </c>
      <c r="AE757">
        <v>-0.13370000000003299</v>
      </c>
      <c r="AF757">
        <v>0.112028573716511</v>
      </c>
      <c r="AG757">
        <v>-0.21342369999999999</v>
      </c>
      <c r="AH757">
        <v>0.37567045219680301</v>
      </c>
      <c r="AI757">
        <v>118.564853331283</v>
      </c>
      <c r="AJ757">
        <v>73.394908956843693</v>
      </c>
      <c r="AK757">
        <v>0.44635004839743903</v>
      </c>
      <c r="AL757">
        <v>85.980087953150402</v>
      </c>
      <c r="AM757">
        <v>85.792494535759403</v>
      </c>
      <c r="AN757">
        <v>0.99999994671477399</v>
      </c>
    </row>
    <row r="758" spans="1:40" x14ac:dyDescent="0.25">
      <c r="A758" t="str">
        <f>"20190312154519260"</f>
        <v>20190312154519260</v>
      </c>
      <c r="B758" t="str">
        <f>"1552376719256612"</f>
        <v>1552376719256612</v>
      </c>
      <c r="C758" t="s">
        <v>40</v>
      </c>
      <c r="D758">
        <v>4.69191</v>
      </c>
      <c r="E758">
        <v>0.54159029999999997</v>
      </c>
      <c r="F758" t="s">
        <v>41</v>
      </c>
      <c r="G758">
        <v>-255.3212</v>
      </c>
      <c r="H758">
        <v>0.9066727</v>
      </c>
      <c r="I758">
        <v>368.65769999999998</v>
      </c>
      <c r="J758">
        <v>-255.74959999999999</v>
      </c>
      <c r="K758">
        <v>1.108876</v>
      </c>
      <c r="L758">
        <v>368.78469999999999</v>
      </c>
      <c r="M758">
        <v>0.99998089999999995</v>
      </c>
      <c r="N758">
        <v>0</v>
      </c>
      <c r="O758">
        <v>2.679879E-3</v>
      </c>
      <c r="P758">
        <v>0.99540609999999996</v>
      </c>
      <c r="Q758">
        <v>6.4786969999999999E-2</v>
      </c>
      <c r="R758">
        <v>-7.0494669999999995E-2</v>
      </c>
      <c r="S758">
        <v>3.0309599999999999</v>
      </c>
      <c r="T758">
        <v>-0.82405709999999999</v>
      </c>
      <c r="U758">
        <v>-0.51324459999999905</v>
      </c>
      <c r="V758">
        <v>7.3167579999999996E-2</v>
      </c>
      <c r="W758">
        <v>7.0320049999999995E-2</v>
      </c>
      <c r="X758">
        <v>0.99483750000000004</v>
      </c>
      <c r="Y758">
        <v>0.16372329999999999</v>
      </c>
      <c r="Z758">
        <v>-2.2424099999999999E-2</v>
      </c>
      <c r="AA758">
        <v>0.9862514</v>
      </c>
      <c r="AB758">
        <v>32</v>
      </c>
      <c r="AC758">
        <v>0.42839999999998202</v>
      </c>
      <c r="AD758">
        <v>-0.2022033</v>
      </c>
      <c r="AE758">
        <v>-0.12700000000000899</v>
      </c>
      <c r="AF758">
        <v>0.10636568022432</v>
      </c>
      <c r="AG758">
        <v>-0.2022033</v>
      </c>
      <c r="AH758">
        <v>0.35529876830747698</v>
      </c>
      <c r="AI758">
        <v>118.59925801992701</v>
      </c>
      <c r="AJ758">
        <v>73.333893996849696</v>
      </c>
      <c r="AK758">
        <v>0.42241809528153801</v>
      </c>
      <c r="AL758">
        <v>85.967630080053695</v>
      </c>
      <c r="AM758">
        <v>85.7936254274655</v>
      </c>
      <c r="AN758">
        <v>1.00000002780065</v>
      </c>
    </row>
    <row r="759" spans="1:40" x14ac:dyDescent="0.25">
      <c r="A759" t="str">
        <f>"20190312154519282"</f>
        <v>20190312154519282</v>
      </c>
      <c r="B759" t="str">
        <f>"1552376719277111"</f>
        <v>1552376719277111</v>
      </c>
      <c r="C759" t="s">
        <v>40</v>
      </c>
      <c r="D759">
        <v>4.613486</v>
      </c>
      <c r="E759">
        <v>0.54155629999999999</v>
      </c>
      <c r="F759" t="s">
        <v>41</v>
      </c>
      <c r="G759">
        <v>-255.03110000000001</v>
      </c>
      <c r="H759">
        <v>0.91351660000000001</v>
      </c>
      <c r="I759">
        <v>368.66309999999999</v>
      </c>
      <c r="J759">
        <v>-255.4186</v>
      </c>
      <c r="K759">
        <v>1.1088849999999999</v>
      </c>
      <c r="L759">
        <v>368.78559999999999</v>
      </c>
      <c r="M759">
        <v>0.99998069999999895</v>
      </c>
      <c r="N759">
        <v>0</v>
      </c>
      <c r="O759">
        <v>2.6608640000000002E-3</v>
      </c>
      <c r="P759">
        <v>0.99537799999999999</v>
      </c>
      <c r="Q759">
        <v>6.5293039999999997E-2</v>
      </c>
      <c r="R759">
        <v>-7.0423379999999994E-2</v>
      </c>
      <c r="S759">
        <v>3.0311889999999999</v>
      </c>
      <c r="T759">
        <v>-0.82426290000000002</v>
      </c>
      <c r="U759">
        <v>-0.51269529999999996</v>
      </c>
      <c r="V759">
        <v>7.3077459999999997E-2</v>
      </c>
      <c r="W759">
        <v>7.0888919999999994E-2</v>
      </c>
      <c r="X759">
        <v>0.99480369999999996</v>
      </c>
      <c r="Y759">
        <v>0.163524</v>
      </c>
      <c r="Z759">
        <v>-2.2396719999999998E-2</v>
      </c>
      <c r="AA759">
        <v>0.98628510000000003</v>
      </c>
      <c r="AB759">
        <v>32</v>
      </c>
      <c r="AC759">
        <v>0.38749999999998802</v>
      </c>
      <c r="AD759">
        <v>-0.1953684</v>
      </c>
      <c r="AE759">
        <v>-0.122500000000002</v>
      </c>
      <c r="AF759">
        <v>0.100341819848735</v>
      </c>
      <c r="AG759">
        <v>-0.1953684</v>
      </c>
      <c r="AH759">
        <v>0.31449364637511501</v>
      </c>
      <c r="AI759">
        <v>120.617997798424</v>
      </c>
      <c r="AJ759">
        <v>72.304283424904</v>
      </c>
      <c r="AK759">
        <v>0.38359294328680199</v>
      </c>
      <c r="AL759">
        <v>85.934954481911205</v>
      </c>
      <c r="AM759">
        <v>85.798645596323993</v>
      </c>
      <c r="AN759">
        <v>0.99999997783625305</v>
      </c>
    </row>
    <row r="760" spans="1:40" x14ac:dyDescent="0.25">
      <c r="A760" t="str">
        <f>"20190312154519304"</f>
        <v>20190312154519304</v>
      </c>
      <c r="B760" t="str">
        <f>"1552376719297612"</f>
        <v>1552376719297612</v>
      </c>
      <c r="C760" t="s">
        <v>40</v>
      </c>
      <c r="D760">
        <v>4.6463780000000003</v>
      </c>
      <c r="E760">
        <v>0.54153359999999995</v>
      </c>
      <c r="F760" t="s">
        <v>41</v>
      </c>
      <c r="G760">
        <v>-254.73859999999999</v>
      </c>
      <c r="H760">
        <v>0.92430210000000002</v>
      </c>
      <c r="I760">
        <v>368.6703</v>
      </c>
      <c r="J760">
        <v>-255.10890000000001</v>
      </c>
      <c r="K760">
        <v>1.108895</v>
      </c>
      <c r="L760">
        <v>368.78640000000001</v>
      </c>
      <c r="M760">
        <v>0.99998030000000004</v>
      </c>
      <c r="N760">
        <v>0</v>
      </c>
      <c r="O760">
        <v>2.6426140000000002E-3</v>
      </c>
      <c r="P760">
        <v>0.99535410000000002</v>
      </c>
      <c r="Q760">
        <v>6.5554699999999994E-2</v>
      </c>
      <c r="R760">
        <v>-7.0520459999999993E-2</v>
      </c>
      <c r="S760">
        <v>3.0316770000000002</v>
      </c>
      <c r="T760">
        <v>-0.82284559999999995</v>
      </c>
      <c r="U760">
        <v>-0.51220699999999997</v>
      </c>
      <c r="V760">
        <v>7.3156319999999997E-2</v>
      </c>
      <c r="W760">
        <v>7.1215680000000003E-2</v>
      </c>
      <c r="X760">
        <v>0.99477459999999995</v>
      </c>
      <c r="Y760">
        <v>0.16335359999999999</v>
      </c>
      <c r="Z760">
        <v>-2.2329000000000002E-2</v>
      </c>
      <c r="AA760">
        <v>0.98631489999999999</v>
      </c>
      <c r="AB760">
        <v>32</v>
      </c>
      <c r="AC760">
        <v>0.37030000000001401</v>
      </c>
      <c r="AD760">
        <v>-0.18459289999999901</v>
      </c>
      <c r="AE760">
        <v>-0.116100000000017</v>
      </c>
      <c r="AF760">
        <v>9.5476077372997098E-2</v>
      </c>
      <c r="AG760">
        <v>-0.18459289999999901</v>
      </c>
      <c r="AH760">
        <v>0.30172469061007501</v>
      </c>
      <c r="AI760">
        <v>120.254438871923</v>
      </c>
      <c r="AJ760">
        <v>72.440836042054897</v>
      </c>
      <c r="AK760">
        <v>0.366371408552427</v>
      </c>
      <c r="AL760">
        <v>85.916185216414704</v>
      </c>
      <c r="AM760">
        <v>85.794005461687803</v>
      </c>
      <c r="AN760">
        <v>1.0000000125194799</v>
      </c>
    </row>
    <row r="761" spans="1:40" x14ac:dyDescent="0.25">
      <c r="A761" t="str">
        <f>"20190312154519326"</f>
        <v>20190312154519326</v>
      </c>
      <c r="B761" t="str">
        <f>"1552376719317125"</f>
        <v>1552376719317125</v>
      </c>
      <c r="C761" t="s">
        <v>40</v>
      </c>
      <c r="D761">
        <v>4.563199</v>
      </c>
      <c r="E761">
        <v>0.54376169999999902</v>
      </c>
      <c r="F761" t="s">
        <v>41</v>
      </c>
      <c r="G761">
        <v>-254.185</v>
      </c>
      <c r="H761">
        <v>0.85857129999999904</v>
      </c>
      <c r="I761">
        <v>368.62979999999999</v>
      </c>
      <c r="J761">
        <v>-254.7765</v>
      </c>
      <c r="K761">
        <v>1.1089070000000001</v>
      </c>
      <c r="L761">
        <v>368.78719999999998</v>
      </c>
      <c r="M761">
        <v>0.99997999999999998</v>
      </c>
      <c r="N761">
        <v>0</v>
      </c>
      <c r="O761">
        <v>2.6225430000000002E-3</v>
      </c>
      <c r="P761">
        <v>0.99536829999999998</v>
      </c>
      <c r="Q761">
        <v>6.5701609999999994E-2</v>
      </c>
      <c r="R761">
        <v>-7.0184360000000001E-2</v>
      </c>
      <c r="S761">
        <v>3.0317989999999999</v>
      </c>
      <c r="T761">
        <v>-0.82144589999999995</v>
      </c>
      <c r="U761">
        <v>-0.51254270000000002</v>
      </c>
      <c r="V761">
        <v>7.2800199999999995E-2</v>
      </c>
      <c r="W761">
        <v>7.1439230000000006E-2</v>
      </c>
      <c r="X761">
        <v>0.99478469999999997</v>
      </c>
      <c r="Y761">
        <v>0.16345079999999901</v>
      </c>
      <c r="Z761">
        <v>-2.2298809999999999E-2</v>
      </c>
      <c r="AA761">
        <v>0.9862995</v>
      </c>
      <c r="AB761">
        <v>32</v>
      </c>
      <c r="AC761">
        <v>0.59149999999999603</v>
      </c>
      <c r="AD761">
        <v>-0.250335699999999</v>
      </c>
      <c r="AE761">
        <v>-0.15739999999999499</v>
      </c>
      <c r="AF761">
        <v>0.13617281632488701</v>
      </c>
      <c r="AG761">
        <v>-0.250335699999999</v>
      </c>
      <c r="AH761">
        <v>0.50638168299366204</v>
      </c>
      <c r="AI761">
        <v>115.519876814588</v>
      </c>
      <c r="AJ761">
        <v>74.948468521729097</v>
      </c>
      <c r="AK761">
        <v>0.58106230945728699</v>
      </c>
      <c r="AL761">
        <v>85.903344052358094</v>
      </c>
      <c r="AM761">
        <v>85.814449359963305</v>
      </c>
      <c r="AN761">
        <v>1.00000001602856</v>
      </c>
    </row>
    <row r="762" spans="1:40" x14ac:dyDescent="0.25">
      <c r="A762" t="str">
        <f>"20190312154519350"</f>
        <v>20190312154519350</v>
      </c>
      <c r="B762" t="str">
        <f>"1552376719336644"</f>
        <v>1552376719336644</v>
      </c>
      <c r="C762" t="s">
        <v>40</v>
      </c>
      <c r="D762">
        <v>4.5405530000000001</v>
      </c>
      <c r="E762">
        <v>0.54434249999999995</v>
      </c>
      <c r="F762" t="s">
        <v>41</v>
      </c>
      <c r="G762">
        <v>-253.8416</v>
      </c>
      <c r="H762">
        <v>0.97800679999999995</v>
      </c>
      <c r="I762">
        <v>368.61900000000003</v>
      </c>
      <c r="J762">
        <v>-254.45070000000001</v>
      </c>
      <c r="K762">
        <v>1.1089119999999999</v>
      </c>
      <c r="L762">
        <v>368.78809999999999</v>
      </c>
      <c r="M762">
        <v>0.99997950000000002</v>
      </c>
      <c r="N762">
        <v>0</v>
      </c>
      <c r="O762">
        <v>2.6031190000000001E-3</v>
      </c>
      <c r="P762">
        <v>0.99539610000000001</v>
      </c>
      <c r="Q762">
        <v>6.5599500000000005E-2</v>
      </c>
      <c r="R762">
        <v>-6.9882910000000006E-2</v>
      </c>
      <c r="S762">
        <v>3.0036010000000002</v>
      </c>
      <c r="T762">
        <v>-0.4206319</v>
      </c>
      <c r="U762">
        <v>-0.54061890000000001</v>
      </c>
      <c r="V762">
        <v>7.2479440000000006E-2</v>
      </c>
      <c r="W762">
        <v>7.1415450000000005E-2</v>
      </c>
      <c r="X762">
        <v>0.99480979999999997</v>
      </c>
      <c r="Y762">
        <v>0.17799760000000001</v>
      </c>
      <c r="Z762">
        <v>-1.2665600000000001E-2</v>
      </c>
      <c r="AA762">
        <v>0.98394939999999997</v>
      </c>
      <c r="AB762">
        <v>32</v>
      </c>
      <c r="AC762">
        <v>0.60910000000001197</v>
      </c>
      <c r="AD762">
        <v>-0.1309052</v>
      </c>
      <c r="AE762">
        <v>-0.16909999999995701</v>
      </c>
      <c r="AF762">
        <v>0.163666414290149</v>
      </c>
      <c r="AG762">
        <v>-0.1309052</v>
      </c>
      <c r="AH762">
        <v>0.58362962119431305</v>
      </c>
      <c r="AI762">
        <v>102.186660134671</v>
      </c>
      <c r="AJ762">
        <v>74.334986526422796</v>
      </c>
      <c r="AK762">
        <v>0.62011805431631495</v>
      </c>
      <c r="AL762">
        <v>85.904709915664597</v>
      </c>
      <c r="AM762">
        <v>85.832930691646993</v>
      </c>
      <c r="AN762">
        <v>0.99999998694872805</v>
      </c>
    </row>
    <row r="763" spans="1:40" x14ac:dyDescent="0.25">
      <c r="A763" t="str">
        <f>"20190312154519372"</f>
        <v>20190312154519372</v>
      </c>
      <c r="B763" t="str">
        <f>"1552376719366900"</f>
        <v>1552376719366900</v>
      </c>
      <c r="C763" t="s">
        <v>40</v>
      </c>
      <c r="D763">
        <v>4.5956960000000002</v>
      </c>
      <c r="E763">
        <v>0.54395400000000005</v>
      </c>
      <c r="F763" t="s">
        <v>41</v>
      </c>
      <c r="G763">
        <v>-253.5384</v>
      </c>
      <c r="H763">
        <v>1.0028349999999999</v>
      </c>
      <c r="I763">
        <v>368.62150000000003</v>
      </c>
      <c r="J763">
        <v>-254.12370000000001</v>
      </c>
      <c r="K763">
        <v>1.1089260000000001</v>
      </c>
      <c r="L763">
        <v>368.78890000000001</v>
      </c>
      <c r="M763">
        <v>0.99997899999999995</v>
      </c>
      <c r="N763">
        <v>0</v>
      </c>
      <c r="O763">
        <v>2.5836520000000001E-3</v>
      </c>
      <c r="P763">
        <v>0.99540960000000001</v>
      </c>
      <c r="Q763">
        <v>6.5403509999999998E-2</v>
      </c>
      <c r="R763">
        <v>-6.9871840000000005E-2</v>
      </c>
      <c r="S763">
        <v>2.9985050000000002</v>
      </c>
      <c r="T763">
        <v>-0.34877770000000002</v>
      </c>
      <c r="U763">
        <v>-0.54666139999999996</v>
      </c>
      <c r="V763">
        <v>7.2449120000000006E-2</v>
      </c>
      <c r="W763">
        <v>7.1310799999999994E-2</v>
      </c>
      <c r="X763">
        <v>0.99481949999999997</v>
      </c>
      <c r="Y763">
        <v>0.1807</v>
      </c>
      <c r="Z763">
        <v>-1.0686289999999999E-2</v>
      </c>
      <c r="AA763">
        <v>0.98348020000000003</v>
      </c>
      <c r="AB763">
        <v>33</v>
      </c>
      <c r="AC763">
        <v>0.58530000000001703</v>
      </c>
      <c r="AD763">
        <v>-0.10609099999999901</v>
      </c>
      <c r="AE763">
        <v>-0.167399999999986</v>
      </c>
      <c r="AF763">
        <v>0.16393294173395001</v>
      </c>
      <c r="AG763">
        <v>-0.10609099999999901</v>
      </c>
      <c r="AH763">
        <v>0.56762639524897396</v>
      </c>
      <c r="AI763">
        <v>100.17979064890601</v>
      </c>
      <c r="AJ763">
        <v>73.891055317047503</v>
      </c>
      <c r="AK763">
        <v>0.60027413258434803</v>
      </c>
      <c r="AL763">
        <v>85.910721181785306</v>
      </c>
      <c r="AM763">
        <v>85.834708217532594</v>
      </c>
      <c r="AN763">
        <v>0.99999997138283103</v>
      </c>
    </row>
    <row r="764" spans="1:40" x14ac:dyDescent="0.25">
      <c r="A764" t="str">
        <f>"20190312154519394"</f>
        <v>20190312154519394</v>
      </c>
      <c r="B764" t="str">
        <f>"1552376719387396"</f>
        <v>1552376719387396</v>
      </c>
      <c r="C764" t="s">
        <v>40</v>
      </c>
      <c r="D764">
        <v>4.4957549999999999</v>
      </c>
      <c r="E764">
        <v>0.54349840000000005</v>
      </c>
      <c r="F764" t="s">
        <v>41</v>
      </c>
      <c r="G764">
        <v>-253.2398</v>
      </c>
      <c r="H764">
        <v>1.016316</v>
      </c>
      <c r="I764">
        <v>368.62810000000002</v>
      </c>
      <c r="J764">
        <v>-253.8006</v>
      </c>
      <c r="K764">
        <v>1.108949</v>
      </c>
      <c r="L764">
        <v>368.78969999999998</v>
      </c>
      <c r="M764">
        <v>0.99997840000000005</v>
      </c>
      <c r="N764">
        <v>0</v>
      </c>
      <c r="O764">
        <v>2.5642540000000002E-3</v>
      </c>
      <c r="P764">
        <v>0.99540510000000004</v>
      </c>
      <c r="Q764">
        <v>6.5323610000000004E-2</v>
      </c>
      <c r="R764">
        <v>-7.0013389999999995E-2</v>
      </c>
      <c r="S764">
        <v>2.9962770000000001</v>
      </c>
      <c r="T764">
        <v>-0.31409870000000001</v>
      </c>
      <c r="U764">
        <v>-0.54434199999999999</v>
      </c>
      <c r="V764">
        <v>7.2571300000000005E-2</v>
      </c>
      <c r="W764">
        <v>7.1355509999999997E-2</v>
      </c>
      <c r="X764">
        <v>0.99480740000000001</v>
      </c>
      <c r="Y764">
        <v>0.18029919999999999</v>
      </c>
      <c r="Z764">
        <v>-9.6145740000000007E-3</v>
      </c>
      <c r="AA764">
        <v>0.98356480000000002</v>
      </c>
      <c r="AB764">
        <v>33</v>
      </c>
      <c r="AC764">
        <v>0.56079999999999997</v>
      </c>
      <c r="AD764">
        <v>-9.2632999999999896E-2</v>
      </c>
      <c r="AE764">
        <v>-0.16159999999996399</v>
      </c>
      <c r="AF764">
        <v>0.159031125351414</v>
      </c>
      <c r="AG764">
        <v>-9.2632999999999896E-2</v>
      </c>
      <c r="AH764">
        <v>0.54661317262843001</v>
      </c>
      <c r="AI764">
        <v>99.242182973570294</v>
      </c>
      <c r="AJ764">
        <v>73.778222928424896</v>
      </c>
      <c r="AK764">
        <v>0.57676488451574004</v>
      </c>
      <c r="AL764">
        <v>85.908152991506299</v>
      </c>
      <c r="AM764">
        <v>85.827657982411694</v>
      </c>
      <c r="AN764">
        <v>0.99999998274290502</v>
      </c>
    </row>
    <row r="765" spans="1:40" x14ac:dyDescent="0.25">
      <c r="A765" t="str">
        <f>"20190312154519417"</f>
        <v>20190312154519417</v>
      </c>
      <c r="B765" t="str">
        <f>"1552376719406917"</f>
        <v>1552376719406917</v>
      </c>
      <c r="C765" t="s">
        <v>40</v>
      </c>
      <c r="D765">
        <v>4.5656379999999999</v>
      </c>
      <c r="E765">
        <v>0.54302039999999996</v>
      </c>
      <c r="F765" t="s">
        <v>41</v>
      </c>
      <c r="G765">
        <v>-252.94479999999999</v>
      </c>
      <c r="H765">
        <v>1.0208489999999999</v>
      </c>
      <c r="I765">
        <v>368.63459999999998</v>
      </c>
      <c r="J765">
        <v>-253.46559999999999</v>
      </c>
      <c r="K765">
        <v>1.1089899999999999</v>
      </c>
      <c r="L765">
        <v>368.79059999999998</v>
      </c>
      <c r="M765">
        <v>0.99997720000000001</v>
      </c>
      <c r="N765">
        <v>0</v>
      </c>
      <c r="O765">
        <v>2.544915E-3</v>
      </c>
      <c r="P765">
        <v>0.99539200000000005</v>
      </c>
      <c r="Q765">
        <v>6.4974530000000003E-2</v>
      </c>
      <c r="R765">
        <v>-7.0522440000000006E-2</v>
      </c>
      <c r="S765">
        <v>2.996048</v>
      </c>
      <c r="T765">
        <v>-0.308805</v>
      </c>
      <c r="U765">
        <v>-0.54141240000000002</v>
      </c>
      <c r="V765">
        <v>7.3061399999999999E-2</v>
      </c>
      <c r="W765">
        <v>7.1203790000000003E-2</v>
      </c>
      <c r="X765">
        <v>0.99478239999999996</v>
      </c>
      <c r="Y765">
        <v>0.1793989</v>
      </c>
      <c r="Z765">
        <v>-9.407014E-3</v>
      </c>
      <c r="AA765">
        <v>0.98373140000000003</v>
      </c>
      <c r="AB765">
        <v>33</v>
      </c>
      <c r="AC765">
        <v>0.52080000000000803</v>
      </c>
      <c r="AD765">
        <v>-8.8140999999999997E-2</v>
      </c>
      <c r="AE765">
        <v>-0.156000000000005</v>
      </c>
      <c r="AF765">
        <v>0.15329563312351799</v>
      </c>
      <c r="AG765">
        <v>-8.8140999999999997E-2</v>
      </c>
      <c r="AH765">
        <v>0.50707319868539802</v>
      </c>
      <c r="AI765">
        <v>99.44666935603</v>
      </c>
      <c r="AJ765">
        <v>73.179166411292201</v>
      </c>
      <c r="AK765">
        <v>0.53702105716701798</v>
      </c>
      <c r="AL765">
        <v>85.916868087022806</v>
      </c>
      <c r="AM765">
        <v>85.799475992870697</v>
      </c>
      <c r="AN765">
        <v>0.999999985615042</v>
      </c>
    </row>
    <row r="766" spans="1:40" x14ac:dyDescent="0.25">
      <c r="A766" t="str">
        <f>"20190312154519439"</f>
        <v>20190312154519439</v>
      </c>
      <c r="B766" t="str">
        <f>"1552376719427412"</f>
        <v>1552376719427412</v>
      </c>
      <c r="C766" t="s">
        <v>40</v>
      </c>
      <c r="D766">
        <v>4.5384859999999998</v>
      </c>
      <c r="E766">
        <v>0.5427033</v>
      </c>
      <c r="F766" t="s">
        <v>41</v>
      </c>
      <c r="G766">
        <v>-252.6489</v>
      </c>
      <c r="H766">
        <v>1.0264230000000001</v>
      </c>
      <c r="I766">
        <v>368.64350000000002</v>
      </c>
      <c r="J766">
        <v>-253.1388</v>
      </c>
      <c r="K766">
        <v>1.1090519999999999</v>
      </c>
      <c r="L766">
        <v>368.79140000000001</v>
      </c>
      <c r="M766">
        <v>0.99997539999999996</v>
      </c>
      <c r="N766">
        <v>0</v>
      </c>
      <c r="O766">
        <v>2.5261340000000002E-3</v>
      </c>
      <c r="P766">
        <v>0.99534809999999996</v>
      </c>
      <c r="Q766">
        <v>6.5329440000000003E-2</v>
      </c>
      <c r="R766">
        <v>-7.0813860000000006E-2</v>
      </c>
      <c r="S766">
        <v>2.9954830000000001</v>
      </c>
      <c r="T766">
        <v>-0.30298950000000002</v>
      </c>
      <c r="U766">
        <v>-0.53887940000000001</v>
      </c>
      <c r="V766">
        <v>7.3333789999999996E-2</v>
      </c>
      <c r="W766">
        <v>7.1850159999999996E-2</v>
      </c>
      <c r="X766">
        <v>0.99471589999999999</v>
      </c>
      <c r="Y766">
        <v>0.1786452</v>
      </c>
      <c r="Z766">
        <v>-9.1935320000000008E-3</v>
      </c>
      <c r="AA766">
        <v>0.98387060000000004</v>
      </c>
      <c r="AB766">
        <v>33</v>
      </c>
      <c r="AC766">
        <v>0.489900000000005</v>
      </c>
      <c r="AD766">
        <v>-8.2629000000000202E-2</v>
      </c>
      <c r="AE766">
        <v>-0.14789999999999201</v>
      </c>
      <c r="AF766">
        <v>0.14534765375526401</v>
      </c>
      <c r="AG766">
        <v>-8.2629000000000202E-2</v>
      </c>
      <c r="AH766">
        <v>0.477086382102901</v>
      </c>
      <c r="AI766">
        <v>99.407137237219601</v>
      </c>
      <c r="AJ766">
        <v>73.056281440273807</v>
      </c>
      <c r="AK766">
        <v>0.50553427982798105</v>
      </c>
      <c r="AL766">
        <v>85.879738796139193</v>
      </c>
      <c r="AM766">
        <v>85.783590977741497</v>
      </c>
      <c r="AN766">
        <v>1.00000000598029</v>
      </c>
    </row>
    <row r="767" spans="1:40" x14ac:dyDescent="0.25">
      <c r="A767" t="str">
        <f>"20190312154519462"</f>
        <v>20190312154519462</v>
      </c>
      <c r="B767" t="str">
        <f>"1552376719456692"</f>
        <v>1552376719456692</v>
      </c>
      <c r="C767" t="s">
        <v>40</v>
      </c>
      <c r="D767">
        <v>4.4901559999999998</v>
      </c>
      <c r="E767">
        <v>0.54248009999999902</v>
      </c>
      <c r="F767" t="s">
        <v>41</v>
      </c>
      <c r="G767">
        <v>-252.35310000000001</v>
      </c>
      <c r="H767">
        <v>1.0309729999999999</v>
      </c>
      <c r="I767">
        <v>368.65010000000001</v>
      </c>
      <c r="J767">
        <v>-252.81049999999999</v>
      </c>
      <c r="K767">
        <v>1.1091249999999999</v>
      </c>
      <c r="L767">
        <v>368.79219999999998</v>
      </c>
      <c r="M767">
        <v>0.9999728</v>
      </c>
      <c r="N767">
        <v>0</v>
      </c>
      <c r="O767">
        <v>2.5072520000000002E-3</v>
      </c>
      <c r="P767">
        <v>0.99537949999999997</v>
      </c>
      <c r="Q767">
        <v>6.4648880000000006E-2</v>
      </c>
      <c r="R767">
        <v>-7.0996840000000005E-2</v>
      </c>
      <c r="S767">
        <v>2.9953609999999999</v>
      </c>
      <c r="T767">
        <v>-0.29788979999999998</v>
      </c>
      <c r="U767">
        <v>-0.53744510000000001</v>
      </c>
      <c r="V767">
        <v>7.3498110000000005E-2</v>
      </c>
      <c r="W767">
        <v>7.1563360000000006E-2</v>
      </c>
      <c r="X767">
        <v>0.99472450000000001</v>
      </c>
      <c r="Y767">
        <v>0.17820899999999901</v>
      </c>
      <c r="Z767">
        <v>-9.0169550000000001E-3</v>
      </c>
      <c r="AA767">
        <v>0.98395129999999997</v>
      </c>
      <c r="AB767">
        <v>33</v>
      </c>
      <c r="AC767">
        <v>0.45739999999997799</v>
      </c>
      <c r="AD767">
        <v>-7.8151999999999999E-2</v>
      </c>
      <c r="AE767">
        <v>-0.14209999999997</v>
      </c>
      <c r="AF767">
        <v>0.13953151186307899</v>
      </c>
      <c r="AG767">
        <v>-7.8151999999999999E-2</v>
      </c>
      <c r="AH767">
        <v>0.44518954930538601</v>
      </c>
      <c r="AI767">
        <v>99.509485653780402</v>
      </c>
      <c r="AJ767">
        <v>72.597941696125801</v>
      </c>
      <c r="AK767">
        <v>0.473043880329858</v>
      </c>
      <c r="AL767">
        <v>85.896213852971599</v>
      </c>
      <c r="AM767">
        <v>85.774213803242105</v>
      </c>
      <c r="AN767">
        <v>1.00000005878415</v>
      </c>
    </row>
    <row r="768" spans="1:40" x14ac:dyDescent="0.25">
      <c r="A768" t="str">
        <f>"20190312154519484"</f>
        <v>20190312154519484</v>
      </c>
      <c r="B768" t="str">
        <f>"1552376719477188"</f>
        <v>1552376719477188</v>
      </c>
      <c r="C768" t="s">
        <v>40</v>
      </c>
      <c r="D768">
        <v>4.4743870000000001</v>
      </c>
      <c r="E768">
        <v>0.54226209999999997</v>
      </c>
      <c r="F768" t="s">
        <v>41</v>
      </c>
      <c r="G768">
        <v>-252.05760000000001</v>
      </c>
      <c r="H768">
        <v>1.034845</v>
      </c>
      <c r="I768">
        <v>368.65719999999999</v>
      </c>
      <c r="J768">
        <v>-252.4828</v>
      </c>
      <c r="K768">
        <v>1.109192</v>
      </c>
      <c r="L768">
        <v>368.79300000000001</v>
      </c>
      <c r="M768">
        <v>0.99996960000000001</v>
      </c>
      <c r="N768">
        <v>0</v>
      </c>
      <c r="O768">
        <v>2.4882789999999999E-3</v>
      </c>
      <c r="P768">
        <v>0.99544359999999998</v>
      </c>
      <c r="Q768">
        <v>6.3493460000000002E-2</v>
      </c>
      <c r="R768">
        <v>-7.1140389999999998E-2</v>
      </c>
      <c r="S768">
        <v>2.9948579999999998</v>
      </c>
      <c r="T768">
        <v>-0.29558839999999997</v>
      </c>
      <c r="U768">
        <v>-0.53640750000000004</v>
      </c>
      <c r="V768">
        <v>7.3623079999999994E-2</v>
      </c>
      <c r="W768">
        <v>7.0852760000000001E-2</v>
      </c>
      <c r="X768">
        <v>0.99476609999999999</v>
      </c>
      <c r="Y768">
        <v>0.17790329999999999</v>
      </c>
      <c r="Z768">
        <v>-8.9325810000000002E-3</v>
      </c>
      <c r="AA768">
        <v>0.98400739999999998</v>
      </c>
      <c r="AB768">
        <v>33</v>
      </c>
      <c r="AC768">
        <v>0.42519999999998898</v>
      </c>
      <c r="AD768">
        <v>-7.4346999999999899E-2</v>
      </c>
      <c r="AE768">
        <v>-0.13580000000001699</v>
      </c>
      <c r="AF768">
        <v>0.13316324133259</v>
      </c>
      <c r="AG768">
        <v>-7.4346999999999899E-2</v>
      </c>
      <c r="AH768">
        <v>0.413391923580885</v>
      </c>
      <c r="AI768">
        <v>99.713971080941604</v>
      </c>
      <c r="AJ768">
        <v>72.1450319019701</v>
      </c>
      <c r="AK768">
        <v>0.440627742809172</v>
      </c>
      <c r="AL768">
        <v>85.937031742968401</v>
      </c>
      <c r="AM768">
        <v>85.767231099985196</v>
      </c>
      <c r="AN768">
        <v>1.0000000326087499</v>
      </c>
    </row>
    <row r="769" spans="1:40" x14ac:dyDescent="0.25">
      <c r="A769" t="str">
        <f>"20190312154519505"</f>
        <v>20190312154519505</v>
      </c>
      <c r="B769" t="str">
        <f>"1552376719496709"</f>
        <v>1552376719496709</v>
      </c>
      <c r="C769" t="s">
        <v>40</v>
      </c>
      <c r="D769">
        <v>4.4520309999999998</v>
      </c>
      <c r="E769">
        <v>0.54210619999999998</v>
      </c>
      <c r="F769" t="s">
        <v>41</v>
      </c>
      <c r="G769">
        <v>-251.47919999999999</v>
      </c>
      <c r="H769">
        <v>1.0103009999999999</v>
      </c>
      <c r="I769">
        <v>368.61360000000002</v>
      </c>
      <c r="J769">
        <v>-252.16589999999999</v>
      </c>
      <c r="K769">
        <v>1.109256</v>
      </c>
      <c r="L769">
        <v>368.7937</v>
      </c>
      <c r="M769">
        <v>0.99996620000000003</v>
      </c>
      <c r="N769">
        <v>0</v>
      </c>
      <c r="O769">
        <v>2.4700270000000001E-3</v>
      </c>
      <c r="P769">
        <v>0.99546840000000003</v>
      </c>
      <c r="Q769">
        <v>6.2532019999999994E-2</v>
      </c>
      <c r="R769">
        <v>-7.1640699999999904E-2</v>
      </c>
      <c r="S769">
        <v>2.9943240000000002</v>
      </c>
      <c r="T769">
        <v>-0.29509170000000001</v>
      </c>
      <c r="U769">
        <v>-0.53506469999999995</v>
      </c>
      <c r="V769">
        <v>7.4105389999999993E-2</v>
      </c>
      <c r="W769">
        <v>7.0337650000000002E-2</v>
      </c>
      <c r="X769">
        <v>0.99476679999999995</v>
      </c>
      <c r="Y769">
        <v>0.1774927</v>
      </c>
      <c r="Z769">
        <v>-8.8977409999999903E-3</v>
      </c>
      <c r="AA769">
        <v>0.98408189999999995</v>
      </c>
      <c r="AB769">
        <v>33</v>
      </c>
      <c r="AC769">
        <v>0.68670000000000098</v>
      </c>
      <c r="AD769">
        <v>-9.8954999999999904E-2</v>
      </c>
      <c r="AE769">
        <v>-0.180099999999981</v>
      </c>
      <c r="AF769">
        <v>0.178330874756851</v>
      </c>
      <c r="AG769">
        <v>-9.8954999999999904E-2</v>
      </c>
      <c r="AH769">
        <v>0.67317392469259696</v>
      </c>
      <c r="AI769">
        <v>98.087372179387302</v>
      </c>
      <c r="AJ769">
        <v>75.162561851612196</v>
      </c>
      <c r="AK769">
        <v>0.70338973961991902</v>
      </c>
      <c r="AL769">
        <v>85.966619018932604</v>
      </c>
      <c r="AM769">
        <v>85.739606687074399</v>
      </c>
      <c r="AN769">
        <v>0.99999999010840701</v>
      </c>
    </row>
    <row r="770" spans="1:40" x14ac:dyDescent="0.25">
      <c r="A770" t="str">
        <f>"20190312154519527"</f>
        <v>20190312154519527</v>
      </c>
      <c r="B770" t="str">
        <f>"1552376719517205"</f>
        <v>1552376719517205</v>
      </c>
      <c r="C770" t="s">
        <v>40</v>
      </c>
      <c r="D770">
        <v>4.3881319999999997</v>
      </c>
      <c r="E770">
        <v>0.54197680000000004</v>
      </c>
      <c r="F770" t="s">
        <v>41</v>
      </c>
      <c r="G770">
        <v>-251.1842</v>
      </c>
      <c r="H770">
        <v>1.0127889999999999</v>
      </c>
      <c r="I770">
        <v>368.61799999999999</v>
      </c>
      <c r="J770">
        <v>-251.83609999999999</v>
      </c>
      <c r="K770">
        <v>1.1093299999999999</v>
      </c>
      <c r="L770">
        <v>368.79450000000003</v>
      </c>
      <c r="M770">
        <v>0.99996260000000003</v>
      </c>
      <c r="N770">
        <v>0</v>
      </c>
      <c r="O770">
        <v>2.4514860000000001E-3</v>
      </c>
      <c r="P770">
        <v>0.99546460000000003</v>
      </c>
      <c r="Q770">
        <v>6.2479699999999999E-2</v>
      </c>
      <c r="R770">
        <v>-7.1742669999999995E-2</v>
      </c>
      <c r="S770">
        <v>2.9936069999999999</v>
      </c>
      <c r="T770">
        <v>-0.29436469999999998</v>
      </c>
      <c r="U770">
        <v>-0.53527829999999998</v>
      </c>
      <c r="V770">
        <v>7.4188859999999995E-2</v>
      </c>
      <c r="W770">
        <v>7.0748140000000001E-2</v>
      </c>
      <c r="X770">
        <v>0.99473149999999999</v>
      </c>
      <c r="Y770">
        <v>0.17758669999999999</v>
      </c>
      <c r="Z770">
        <v>-8.8807239999999996E-3</v>
      </c>
      <c r="AA770">
        <v>0.98406510000000003</v>
      </c>
      <c r="AB770">
        <v>33</v>
      </c>
      <c r="AC770">
        <v>0.65189999999998305</v>
      </c>
      <c r="AD770">
        <v>-9.6541000000000002E-2</v>
      </c>
      <c r="AE770">
        <v>-0.17649999999997501</v>
      </c>
      <c r="AF770">
        <v>0.17453139286529001</v>
      </c>
      <c r="AG770">
        <v>-9.6541000000000002E-2</v>
      </c>
      <c r="AH770">
        <v>0.63842029401637401</v>
      </c>
      <c r="AI770">
        <v>98.298977683354806</v>
      </c>
      <c r="AJ770">
        <v>74.710073261826295</v>
      </c>
      <c r="AK770">
        <v>0.66885113709139499</v>
      </c>
      <c r="AL770">
        <v>85.943041063307902</v>
      </c>
      <c r="AM770">
        <v>85.734674812188302</v>
      </c>
      <c r="AN770">
        <v>1.0000000216769001</v>
      </c>
    </row>
    <row r="771" spans="1:40" x14ac:dyDescent="0.25">
      <c r="A771" t="str">
        <f>"20190312154519550"</f>
        <v>20190312154519550</v>
      </c>
      <c r="B771" t="str">
        <f>"1552376719536724"</f>
        <v>1552376719536724</v>
      </c>
      <c r="C771" t="s">
        <v>40</v>
      </c>
      <c r="D771">
        <v>4.3979589999999904</v>
      </c>
      <c r="E771">
        <v>0.54198930000000001</v>
      </c>
      <c r="F771" t="s">
        <v>41</v>
      </c>
      <c r="G771">
        <v>-250.8887</v>
      </c>
      <c r="H771">
        <v>1.0172110000000001</v>
      </c>
      <c r="I771">
        <v>368.62520000000001</v>
      </c>
      <c r="J771">
        <v>-251.50739999999999</v>
      </c>
      <c r="K771">
        <v>1.1094109999999999</v>
      </c>
      <c r="L771">
        <v>368.7953</v>
      </c>
      <c r="M771">
        <v>0.99995820000000002</v>
      </c>
      <c r="N771">
        <v>0</v>
      </c>
      <c r="O771">
        <v>2.4331180000000002E-3</v>
      </c>
      <c r="P771">
        <v>0.99540910000000005</v>
      </c>
      <c r="Q771">
        <v>6.3549060000000004E-2</v>
      </c>
      <c r="R771">
        <v>-7.1570149999999999E-2</v>
      </c>
      <c r="S771">
        <v>2.9933779999999999</v>
      </c>
      <c r="T771">
        <v>-0.29113840000000002</v>
      </c>
      <c r="U771">
        <v>-0.53494259999999905</v>
      </c>
      <c r="V771">
        <v>7.3998190000000005E-2</v>
      </c>
      <c r="W771">
        <v>7.2311959999999995E-2</v>
      </c>
      <c r="X771">
        <v>0.9946332</v>
      </c>
      <c r="Y771">
        <v>0.1774935</v>
      </c>
      <c r="Z771">
        <v>-8.7783229999999993E-3</v>
      </c>
      <c r="AA771">
        <v>0.98408280000000004</v>
      </c>
      <c r="AB771">
        <v>33</v>
      </c>
      <c r="AC771">
        <v>0.61869999999998904</v>
      </c>
      <c r="AD771">
        <v>-9.2200000000000004E-2</v>
      </c>
      <c r="AE771">
        <v>-0.17009999999999001</v>
      </c>
      <c r="AF771">
        <v>0.16813348091007199</v>
      </c>
      <c r="AG771">
        <v>-9.2200000000000004E-2</v>
      </c>
      <c r="AH771">
        <v>0.60577683306319796</v>
      </c>
      <c r="AI771">
        <v>98.343363293854196</v>
      </c>
      <c r="AJ771">
        <v>74.487994939295504</v>
      </c>
      <c r="AK771">
        <v>0.63540166735618098</v>
      </c>
      <c r="AL771">
        <v>85.853210479410095</v>
      </c>
      <c r="AM771">
        <v>85.745177742941905</v>
      </c>
      <c r="AN771">
        <v>0.99999997711227795</v>
      </c>
    </row>
    <row r="772" spans="1:40" x14ac:dyDescent="0.25">
      <c r="A772" t="str">
        <f>"20190312154519573"</f>
        <v>20190312154519573</v>
      </c>
      <c r="B772" t="str">
        <f>"1552376719566980"</f>
        <v>1552376719566980</v>
      </c>
      <c r="C772" t="s">
        <v>40</v>
      </c>
      <c r="D772">
        <v>4.2520989999999896</v>
      </c>
      <c r="E772">
        <v>0.54983789999999999</v>
      </c>
      <c r="F772" t="s">
        <v>41</v>
      </c>
      <c r="G772">
        <v>-250.59209999999999</v>
      </c>
      <c r="H772">
        <v>1.022729</v>
      </c>
      <c r="I772">
        <v>368.63150000000002</v>
      </c>
      <c r="J772">
        <v>-251.1636</v>
      </c>
      <c r="K772">
        <v>1.1094980000000001</v>
      </c>
      <c r="L772">
        <v>368.79610000000002</v>
      </c>
      <c r="M772">
        <v>0.99995310000000004</v>
      </c>
      <c r="N772">
        <v>0</v>
      </c>
      <c r="O772">
        <v>2.4133129999999998E-3</v>
      </c>
      <c r="P772">
        <v>0.99538649999999995</v>
      </c>
      <c r="Q772">
        <v>6.3626459999999996E-2</v>
      </c>
      <c r="R772">
        <v>-7.1817160000000005E-2</v>
      </c>
      <c r="S772">
        <v>2.993484</v>
      </c>
      <c r="T772">
        <v>-0.28376770000000001</v>
      </c>
      <c r="U772">
        <v>-0.53475950000000005</v>
      </c>
      <c r="V772">
        <v>7.4225490000000005E-2</v>
      </c>
      <c r="W772">
        <v>7.2961109999999996E-2</v>
      </c>
      <c r="X772">
        <v>0.99456889999999998</v>
      </c>
      <c r="Y772">
        <v>0.17745089999999999</v>
      </c>
      <c r="Z772">
        <v>-8.5529590000000006E-3</v>
      </c>
      <c r="AA772">
        <v>0.98409250000000004</v>
      </c>
      <c r="AB772">
        <v>33</v>
      </c>
      <c r="AC772">
        <v>0.571500000000014</v>
      </c>
      <c r="AD772">
        <v>-8.6768999999999805E-2</v>
      </c>
      <c r="AE772">
        <v>-0.16460000000000699</v>
      </c>
      <c r="AF772">
        <v>0.162519452988269</v>
      </c>
      <c r="AG772">
        <v>-8.6768999999999805E-2</v>
      </c>
      <c r="AH772">
        <v>0.559198174704579</v>
      </c>
      <c r="AI772">
        <v>98.474813069386002</v>
      </c>
      <c r="AJ772">
        <v>73.794579989811297</v>
      </c>
      <c r="AK772">
        <v>0.58876483467810803</v>
      </c>
      <c r="AL772">
        <v>85.815918602508702</v>
      </c>
      <c r="AM772">
        <v>85.731881534536299</v>
      </c>
      <c r="AN772">
        <v>1.0000000218926901</v>
      </c>
    </row>
    <row r="773" spans="1:40" x14ac:dyDescent="0.25">
      <c r="A773" t="str">
        <f>"20190312154519595"</f>
        <v>20190312154519595</v>
      </c>
      <c r="B773" t="str">
        <f>"1552376719586500"</f>
        <v>1552376719586500</v>
      </c>
      <c r="C773" t="s">
        <v>40</v>
      </c>
      <c r="D773">
        <v>4.2454869999999998</v>
      </c>
      <c r="E773">
        <v>0.55030519999999905</v>
      </c>
      <c r="F773" t="s">
        <v>42</v>
      </c>
      <c r="G773">
        <v>-227.20699999999999</v>
      </c>
      <c r="H773" s="1">
        <v>-2.443553E-6</v>
      </c>
      <c r="I773">
        <v>363.95249999999999</v>
      </c>
      <c r="J773">
        <v>-250.84649999999999</v>
      </c>
      <c r="K773">
        <v>1.1095660000000001</v>
      </c>
      <c r="L773">
        <v>368.79689999999999</v>
      </c>
      <c r="M773">
        <v>0.99994799999999995</v>
      </c>
      <c r="N773">
        <v>0</v>
      </c>
      <c r="O773">
        <v>2.3937009999999998E-3</v>
      </c>
      <c r="P773">
        <v>0.99544319999999997</v>
      </c>
      <c r="Q773">
        <v>6.233466E-2</v>
      </c>
      <c r="R773">
        <v>-7.2161110000000001E-2</v>
      </c>
      <c r="S773">
        <v>2.9793090000000002</v>
      </c>
      <c r="T773">
        <v>-0.13797999999999999</v>
      </c>
      <c r="U773">
        <v>-0.602356</v>
      </c>
      <c r="V773">
        <v>7.4549820000000003E-2</v>
      </c>
      <c r="W773">
        <v>7.2207339999999995E-2</v>
      </c>
      <c r="X773">
        <v>0.99459960000000003</v>
      </c>
      <c r="Y773">
        <v>0.20030709999999999</v>
      </c>
      <c r="Z773">
        <v>-4.6992470000000001E-3</v>
      </c>
      <c r="AA773">
        <v>0.97972190000000003</v>
      </c>
      <c r="AB773">
        <v>33</v>
      </c>
      <c r="AC773">
        <v>23.639500000000002</v>
      </c>
      <c r="AD773">
        <v>-1.109568443553</v>
      </c>
      <c r="AE773">
        <v>-4.8444000000000003</v>
      </c>
      <c r="AF773">
        <v>4.8906345469930699</v>
      </c>
      <c r="AG773">
        <v>-1.109568443553</v>
      </c>
      <c r="AH773">
        <v>23.577984818806399</v>
      </c>
      <c r="AI773">
        <v>92.6382483574871</v>
      </c>
      <c r="AJ773">
        <v>78.281666349221595</v>
      </c>
      <c r="AK773">
        <v>24.105410523760799</v>
      </c>
      <c r="AL773">
        <v>85.859220445362993</v>
      </c>
      <c r="AM773">
        <v>85.713433082042599</v>
      </c>
      <c r="AN773">
        <v>0.99999996996603302</v>
      </c>
    </row>
    <row r="774" spans="1:40" x14ac:dyDescent="0.25">
      <c r="A774" t="str">
        <f>"20190312154519617"</f>
        <v>20190312154519617</v>
      </c>
      <c r="B774" t="str">
        <f>"1552376719606997"</f>
        <v>1552376719606997</v>
      </c>
      <c r="C774" t="s">
        <v>40</v>
      </c>
      <c r="D774">
        <v>4.203945</v>
      </c>
      <c r="E774">
        <v>0.55073149999999904</v>
      </c>
      <c r="F774" t="s">
        <v>42</v>
      </c>
      <c r="G774">
        <v>-226.2381</v>
      </c>
      <c r="H774" s="1">
        <v>-2.819605E-6</v>
      </c>
      <c r="I774">
        <v>363.77839999999998</v>
      </c>
      <c r="J774">
        <v>-250.52279999999999</v>
      </c>
      <c r="K774">
        <v>1.109626</v>
      </c>
      <c r="L774">
        <v>368.79759999999999</v>
      </c>
      <c r="M774">
        <v>0.99994280000000002</v>
      </c>
      <c r="N774">
        <v>0</v>
      </c>
      <c r="O774">
        <v>2.373025E-3</v>
      </c>
      <c r="P774">
        <v>0.99550720000000004</v>
      </c>
      <c r="Q774">
        <v>6.0971129999999998E-2</v>
      </c>
      <c r="R774">
        <v>-7.244478E-2</v>
      </c>
      <c r="S774">
        <v>2.9781040000000001</v>
      </c>
      <c r="T774">
        <v>-0.13427939999999999</v>
      </c>
      <c r="U774">
        <v>-0.60733029999999999</v>
      </c>
      <c r="V774">
        <v>7.4812779999999995E-2</v>
      </c>
      <c r="W774">
        <v>7.1364070000000002E-2</v>
      </c>
      <c r="X774">
        <v>0.99464079999999999</v>
      </c>
      <c r="Y774">
        <v>0.2019446</v>
      </c>
      <c r="Z774">
        <v>-4.6100000000000004E-3</v>
      </c>
      <c r="AA774">
        <v>0.97938610000000004</v>
      </c>
      <c r="AB774">
        <v>33</v>
      </c>
      <c r="AC774">
        <v>24.284699999999901</v>
      </c>
      <c r="AD774">
        <v>-1.1096288196049999</v>
      </c>
      <c r="AE774">
        <v>-5.0192000000000103</v>
      </c>
      <c r="AF774">
        <v>5.0666723368973399</v>
      </c>
      <c r="AG774">
        <v>-1.1096288196049999</v>
      </c>
      <c r="AH774">
        <v>24.2242167733997</v>
      </c>
      <c r="AI774">
        <v>92.567215185533698</v>
      </c>
      <c r="AJ774">
        <v>78.186471236595594</v>
      </c>
      <c r="AK774">
        <v>24.773274369195502</v>
      </c>
      <c r="AL774">
        <v>85.907661569102004</v>
      </c>
      <c r="AM774">
        <v>85.698547218084698</v>
      </c>
      <c r="AN774">
        <v>1.00000005178146</v>
      </c>
    </row>
    <row r="775" spans="1:40" x14ac:dyDescent="0.25">
      <c r="A775" t="str">
        <f>"20190312154519639"</f>
        <v>20190312154519639</v>
      </c>
      <c r="B775" t="str">
        <f>"1552376719626516"</f>
        <v>1552376719626516</v>
      </c>
      <c r="C775" t="s">
        <v>40</v>
      </c>
      <c r="D775">
        <v>4.1455169999999999</v>
      </c>
      <c r="E775">
        <v>0.55112740000000005</v>
      </c>
      <c r="F775" t="s">
        <v>42</v>
      </c>
      <c r="G775">
        <v>-226.1121</v>
      </c>
      <c r="H775" s="1">
        <v>-2.8608819999999999E-6</v>
      </c>
      <c r="I775">
        <v>363.78440000000001</v>
      </c>
      <c r="J775">
        <v>-250.20679999999999</v>
      </c>
      <c r="K775">
        <v>1.109669</v>
      </c>
      <c r="L775">
        <v>368.79829999999998</v>
      </c>
      <c r="M775">
        <v>0.99993779999999999</v>
      </c>
      <c r="N775">
        <v>0</v>
      </c>
      <c r="O775">
        <v>2.353993E-3</v>
      </c>
      <c r="P775">
        <v>0.99550609999999995</v>
      </c>
      <c r="Q775">
        <v>6.0736369999999998E-2</v>
      </c>
      <c r="R775">
        <v>-7.2656830000000006E-2</v>
      </c>
      <c r="S775">
        <v>2.977325</v>
      </c>
      <c r="T775">
        <v>-0.13533909999999999</v>
      </c>
      <c r="U775">
        <v>-0.61145019999999894</v>
      </c>
      <c r="V775">
        <v>7.5005840000000004E-2</v>
      </c>
      <c r="W775">
        <v>7.1594270000000002E-2</v>
      </c>
      <c r="X775">
        <v>0.99460970000000004</v>
      </c>
      <c r="Y775">
        <v>0.20327210000000001</v>
      </c>
      <c r="Z775">
        <v>-4.6758900000000003E-3</v>
      </c>
      <c r="AA775">
        <v>0.97911110000000001</v>
      </c>
      <c r="AB775">
        <v>33</v>
      </c>
      <c r="AC775">
        <v>24.0946999999999</v>
      </c>
      <c r="AD775">
        <v>-1.109671860882</v>
      </c>
      <c r="AE775">
        <v>-5.0138999999999703</v>
      </c>
      <c r="AF775">
        <v>5.06032063241401</v>
      </c>
      <c r="AG775">
        <v>-1.109671860882</v>
      </c>
      <c r="AH775">
        <v>24.033968938282701</v>
      </c>
      <c r="AI775">
        <v>92.586886857528896</v>
      </c>
      <c r="AJ775">
        <v>78.110114522604405</v>
      </c>
      <c r="AK775">
        <v>24.5859691586076</v>
      </c>
      <c r="AL775">
        <v>85.894438190072094</v>
      </c>
      <c r="AM775">
        <v>85.687354481028706</v>
      </c>
      <c r="AN775">
        <v>1.00000003543251</v>
      </c>
    </row>
    <row r="776" spans="1:40" x14ac:dyDescent="0.25">
      <c r="A776" t="str">
        <f>"20190312154519662"</f>
        <v>20190312154519662</v>
      </c>
      <c r="B776" t="str">
        <f>"1552376719656772"</f>
        <v>1552376719656772</v>
      </c>
      <c r="C776" t="s">
        <v>40</v>
      </c>
      <c r="D776">
        <v>4.1179389999999998</v>
      </c>
      <c r="E776">
        <v>0.55134099999999997</v>
      </c>
      <c r="F776" t="s">
        <v>42</v>
      </c>
      <c r="G776">
        <v>-225.4708</v>
      </c>
      <c r="H776" s="1">
        <v>-3.106361E-6</v>
      </c>
      <c r="I776">
        <v>363.68200000000002</v>
      </c>
      <c r="J776">
        <v>-249.86590000000001</v>
      </c>
      <c r="K776">
        <v>1.1097109999999999</v>
      </c>
      <c r="L776">
        <v>368.79910000000001</v>
      </c>
      <c r="M776">
        <v>0.99993259999999995</v>
      </c>
      <c r="N776">
        <v>0</v>
      </c>
      <c r="O776">
        <v>2.3343629999999999E-3</v>
      </c>
      <c r="P776">
        <v>0.99544889999999997</v>
      </c>
      <c r="Q776">
        <v>6.1198219999999998E-2</v>
      </c>
      <c r="R776">
        <v>-7.3050149999999994E-2</v>
      </c>
      <c r="S776">
        <v>2.9767459999999999</v>
      </c>
      <c r="T776">
        <v>-0.13353809999999999</v>
      </c>
      <c r="U776">
        <v>-0.61569209999999996</v>
      </c>
      <c r="V776">
        <v>7.5379740000000001E-2</v>
      </c>
      <c r="W776">
        <v>7.2511229999999996E-2</v>
      </c>
      <c r="X776">
        <v>0.99451489999999998</v>
      </c>
      <c r="Y776">
        <v>0.2046328</v>
      </c>
      <c r="Z776">
        <v>-4.6432660000000001E-3</v>
      </c>
      <c r="AA776">
        <v>0.97882780000000003</v>
      </c>
      <c r="AB776">
        <v>33</v>
      </c>
      <c r="AC776">
        <v>24.395099999999999</v>
      </c>
      <c r="AD776">
        <v>-1.1097141063609901</v>
      </c>
      <c r="AE776">
        <v>-5.1171000000000504</v>
      </c>
      <c r="AF776">
        <v>5.1638017899177298</v>
      </c>
      <c r="AG776">
        <v>-1.1097141063609901</v>
      </c>
      <c r="AH776">
        <v>24.334854425539898</v>
      </c>
      <c r="AI776">
        <v>92.554190129468196</v>
      </c>
      <c r="AJ776">
        <v>78.019670167339399</v>
      </c>
      <c r="AK776">
        <v>24.901434782671299</v>
      </c>
      <c r="AL776">
        <v>85.841762922456098</v>
      </c>
      <c r="AM776">
        <v>85.6655263313679</v>
      </c>
      <c r="AN776">
        <v>0.99999993500029305</v>
      </c>
    </row>
    <row r="777" spans="1:40" x14ac:dyDescent="0.25">
      <c r="A777" t="str">
        <f>"20190312154519685"</f>
        <v>20190312154519685</v>
      </c>
      <c r="B777" t="str">
        <f>"1552376719677268"</f>
        <v>1552376719677268</v>
      </c>
      <c r="C777" t="s">
        <v>40</v>
      </c>
      <c r="D777">
        <v>4.0191650000000001</v>
      </c>
      <c r="E777">
        <v>0.55198789999999998</v>
      </c>
      <c r="F777" t="s">
        <v>42</v>
      </c>
      <c r="G777">
        <v>-224.12039999999999</v>
      </c>
      <c r="H777" s="1">
        <v>-3.628031E-6</v>
      </c>
      <c r="I777">
        <v>363.44850000000002</v>
      </c>
      <c r="J777">
        <v>-249.5453</v>
      </c>
      <c r="K777">
        <v>1.109745</v>
      </c>
      <c r="L777">
        <v>368.79989999999998</v>
      </c>
      <c r="M777">
        <v>0.99992809999999999</v>
      </c>
      <c r="N777">
        <v>0</v>
      </c>
      <c r="O777">
        <v>2.3164969999999998E-3</v>
      </c>
      <c r="P777">
        <v>0.99541710000000005</v>
      </c>
      <c r="Q777">
        <v>6.1593960000000003E-2</v>
      </c>
      <c r="R777">
        <v>-7.3150209999999993E-2</v>
      </c>
      <c r="S777">
        <v>2.9762119999999999</v>
      </c>
      <c r="T777">
        <v>-0.12828410000000001</v>
      </c>
      <c r="U777">
        <v>-0.61853029999999998</v>
      </c>
      <c r="V777">
        <v>7.5462100000000004E-2</v>
      </c>
      <c r="W777">
        <v>7.3288779999999998E-2</v>
      </c>
      <c r="X777">
        <v>0.99445170000000005</v>
      </c>
      <c r="Y777">
        <v>0.20555950000000001</v>
      </c>
      <c r="Z777">
        <v>-4.4800930000000001E-3</v>
      </c>
      <c r="AA777">
        <v>0.97863440000000002</v>
      </c>
      <c r="AB777">
        <v>33</v>
      </c>
      <c r="AC777">
        <v>25.424900000000001</v>
      </c>
      <c r="AD777">
        <v>-1.1097486280310001</v>
      </c>
      <c r="AE777">
        <v>-5.3513999999999502</v>
      </c>
      <c r="AF777">
        <v>5.4004342127545204</v>
      </c>
      <c r="AG777">
        <v>-1.1097486280310001</v>
      </c>
      <c r="AH777">
        <v>25.366158008881499</v>
      </c>
      <c r="AI777">
        <v>92.4502015643547</v>
      </c>
      <c r="AJ777">
        <v>77.9812193600971</v>
      </c>
      <c r="AK777">
        <v>25.9583937067618</v>
      </c>
      <c r="AL777">
        <v>85.797093915792502</v>
      </c>
      <c r="AM777">
        <v>85.660533844101707</v>
      </c>
      <c r="AN777">
        <v>0.99999997872159396</v>
      </c>
    </row>
    <row r="778" spans="1:40" x14ac:dyDescent="0.25">
      <c r="A778" t="str">
        <f>"20190312154519706"</f>
        <v>20190312154519706</v>
      </c>
      <c r="B778" t="str">
        <f>"1552376719696789"</f>
        <v>1552376719696789</v>
      </c>
      <c r="C778" t="s">
        <v>40</v>
      </c>
      <c r="D778">
        <v>4.0949269999999904</v>
      </c>
      <c r="E778">
        <v>0.55221629999999999</v>
      </c>
      <c r="F778" t="s">
        <v>51</v>
      </c>
      <c r="G778">
        <v>-205.84780000000001</v>
      </c>
      <c r="H778">
        <v>2.3921649999999999E-2</v>
      </c>
      <c r="I778">
        <v>359.6</v>
      </c>
      <c r="J778">
        <v>-249.22399999999999</v>
      </c>
      <c r="K778">
        <v>1.1097680000000001</v>
      </c>
      <c r="L778">
        <v>368.80059999999997</v>
      </c>
      <c r="M778">
        <v>0.99992429999999999</v>
      </c>
      <c r="N778">
        <v>0</v>
      </c>
      <c r="O778">
        <v>2.2979229999999999E-3</v>
      </c>
      <c r="P778">
        <v>0.99539719999999998</v>
      </c>
      <c r="Q778">
        <v>6.1715329999999999E-2</v>
      </c>
      <c r="R778">
        <v>-7.3320220000000005E-2</v>
      </c>
      <c r="S778">
        <v>2.9723820000000001</v>
      </c>
      <c r="T778">
        <v>-7.3859690000000006E-2</v>
      </c>
      <c r="U778">
        <v>-0.6257935</v>
      </c>
      <c r="V778">
        <v>7.5613609999999998E-2</v>
      </c>
      <c r="W778">
        <v>7.3750540000000003E-2</v>
      </c>
      <c r="X778">
        <v>0.99440600000000001</v>
      </c>
      <c r="Y778">
        <v>0.20820569999999999</v>
      </c>
      <c r="Z778">
        <v>-2.6148669999999999E-3</v>
      </c>
      <c r="AA778">
        <v>0.9780816</v>
      </c>
      <c r="AB778">
        <v>33</v>
      </c>
      <c r="AC778">
        <v>43.376199999999997</v>
      </c>
      <c r="AD778">
        <v>-1.08584635</v>
      </c>
      <c r="AE778">
        <v>-9.2005999999999499</v>
      </c>
      <c r="AF778">
        <v>9.29468429995209</v>
      </c>
      <c r="AG778">
        <v>-1.08584635</v>
      </c>
      <c r="AH778">
        <v>43.3289580473066</v>
      </c>
      <c r="AI778">
        <v>91.403642851058294</v>
      </c>
      <c r="AJ778">
        <v>77.892717464351904</v>
      </c>
      <c r="AK778">
        <v>44.327968868388702</v>
      </c>
      <c r="AL778">
        <v>85.7705650017773</v>
      </c>
      <c r="AM778">
        <v>85.651655543623207</v>
      </c>
      <c r="AN778">
        <v>0.99999992650175895</v>
      </c>
    </row>
    <row r="779" spans="1:40" x14ac:dyDescent="0.25">
      <c r="A779" t="str">
        <f>"20190312154519728"</f>
        <v>20190312154519728</v>
      </c>
      <c r="B779" t="str">
        <f>"1552376719717285"</f>
        <v>1552376719717285</v>
      </c>
      <c r="C779" t="s">
        <v>40</v>
      </c>
      <c r="D779">
        <v>4.0806440000000004</v>
      </c>
      <c r="E779">
        <v>0.52303639999999996</v>
      </c>
      <c r="F779" t="s">
        <v>51</v>
      </c>
      <c r="G779">
        <v>-205.6703</v>
      </c>
      <c r="H779">
        <v>2.287602E-2</v>
      </c>
      <c r="I779">
        <v>359.6</v>
      </c>
      <c r="J779">
        <v>-248.90020000000001</v>
      </c>
      <c r="K779">
        <v>1.1097889999999999</v>
      </c>
      <c r="L779">
        <v>368.80130000000003</v>
      </c>
      <c r="M779">
        <v>0.99992049999999999</v>
      </c>
      <c r="N779">
        <v>0</v>
      </c>
      <c r="O779">
        <v>2.279049E-3</v>
      </c>
      <c r="P779">
        <v>0.99542249999999999</v>
      </c>
      <c r="Q779">
        <v>6.1499529999999997E-2</v>
      </c>
      <c r="R779">
        <v>-7.3157159999999999E-2</v>
      </c>
      <c r="S779">
        <v>2.9721980000000001</v>
      </c>
      <c r="T779">
        <v>-7.4171899999999999E-2</v>
      </c>
      <c r="U779">
        <v>-0.62786869999999995</v>
      </c>
      <c r="V779">
        <v>7.543176E-2</v>
      </c>
      <c r="W779">
        <v>7.3838509999999996E-2</v>
      </c>
      <c r="X779">
        <v>0.9944134</v>
      </c>
      <c r="Y779">
        <v>0.20885239999999999</v>
      </c>
      <c r="Z779">
        <v>-2.633402E-3</v>
      </c>
      <c r="AA779">
        <v>0.97794369999999997</v>
      </c>
      <c r="AB779">
        <v>33</v>
      </c>
      <c r="AC779">
        <v>43.229900000000001</v>
      </c>
      <c r="AD779">
        <v>-1.0869129799999999</v>
      </c>
      <c r="AE779">
        <v>-9.2012999999999998</v>
      </c>
      <c r="AF779">
        <v>9.2941860414990192</v>
      </c>
      <c r="AG779">
        <v>-1.0869129799999999</v>
      </c>
      <c r="AH779">
        <v>43.182700974805499</v>
      </c>
      <c r="AI779">
        <v>91.409570967301704</v>
      </c>
      <c r="AJ779">
        <v>77.853558480122601</v>
      </c>
      <c r="AK779">
        <v>44.184940166074199</v>
      </c>
      <c r="AL779">
        <v>85.765511405906096</v>
      </c>
      <c r="AM779">
        <v>85.662105462040103</v>
      </c>
      <c r="AN779">
        <v>1.0000000430376299</v>
      </c>
    </row>
    <row r="780" spans="1:40" x14ac:dyDescent="0.25">
      <c r="A780" t="str">
        <f>"20190312154519752"</f>
        <v>20190312154519752</v>
      </c>
      <c r="B780" t="str">
        <f>"1552376719746565"</f>
        <v>1552376719746565</v>
      </c>
      <c r="C780" t="s">
        <v>40</v>
      </c>
      <c r="D780">
        <v>4.0711779999999997</v>
      </c>
      <c r="E780">
        <v>0.49862709999999999</v>
      </c>
      <c r="F780" t="s">
        <v>51</v>
      </c>
      <c r="G780">
        <v>-203.59180000000001</v>
      </c>
      <c r="H780" s="1">
        <v>-3.754423E-6</v>
      </c>
      <c r="I780">
        <v>362.81450000000001</v>
      </c>
      <c r="J780">
        <v>-248.5675</v>
      </c>
      <c r="K780">
        <v>1.109804</v>
      </c>
      <c r="L780">
        <v>368.8021</v>
      </c>
      <c r="M780">
        <v>0.9999171</v>
      </c>
      <c r="N780">
        <v>0</v>
      </c>
      <c r="O780">
        <v>2.2592480000000002E-3</v>
      </c>
      <c r="P780">
        <v>0.99544140000000003</v>
      </c>
      <c r="Q780">
        <v>6.0618480000000002E-2</v>
      </c>
      <c r="R780">
        <v>-7.3635000000000006E-2</v>
      </c>
      <c r="S780">
        <v>2.989258</v>
      </c>
      <c r="T780">
        <v>-7.3219419999999993E-2</v>
      </c>
      <c r="U780">
        <v>-0.39498899999999998</v>
      </c>
      <c r="V780">
        <v>7.5889830000000005E-2</v>
      </c>
      <c r="W780">
        <v>7.3231699999999997E-2</v>
      </c>
      <c r="X780">
        <v>0.99442339999999996</v>
      </c>
      <c r="Y780">
        <v>0.13319719999999999</v>
      </c>
      <c r="Z780">
        <v>-1.679076E-3</v>
      </c>
      <c r="AA780">
        <v>0.99108819999999997</v>
      </c>
      <c r="AB780">
        <v>32</v>
      </c>
      <c r="AC780">
        <v>44.975699999999897</v>
      </c>
      <c r="AD780">
        <v>-1.1098077544230001</v>
      </c>
      <c r="AE780">
        <v>-5.98759999999998</v>
      </c>
      <c r="AF780">
        <v>6.0855632260593699</v>
      </c>
      <c r="AG780">
        <v>-1.1098077544230001</v>
      </c>
      <c r="AH780">
        <v>44.935172492042099</v>
      </c>
      <c r="AI780">
        <v>91.402008400541206</v>
      </c>
      <c r="AJ780">
        <v>82.287366397469398</v>
      </c>
      <c r="AK780">
        <v>45.358962509295999</v>
      </c>
      <c r="AL780">
        <v>85.800373358434101</v>
      </c>
      <c r="AM780">
        <v>85.635908165344304</v>
      </c>
      <c r="AN780">
        <v>1.00000002332493</v>
      </c>
    </row>
    <row r="781" spans="1:40" x14ac:dyDescent="0.25">
      <c r="A781" t="str">
        <f>"20190312154519774"</f>
        <v>20190312154519774</v>
      </c>
      <c r="B781" t="str">
        <f>"1552376719767062"</f>
        <v>1552376719767062</v>
      </c>
      <c r="C781" t="s">
        <v>40</v>
      </c>
      <c r="D781">
        <v>3.991889</v>
      </c>
      <c r="E781">
        <v>0.49220370000000002</v>
      </c>
      <c r="F781" t="s">
        <v>51</v>
      </c>
      <c r="G781">
        <v>-196.3229</v>
      </c>
      <c r="H781" s="1">
        <v>-8.2073220000000004E-6</v>
      </c>
      <c r="I781">
        <v>365.27940000000001</v>
      </c>
      <c r="J781">
        <v>-248.24199999999999</v>
      </c>
      <c r="K781">
        <v>1.109815</v>
      </c>
      <c r="L781">
        <v>368.80279999999999</v>
      </c>
      <c r="M781">
        <v>0.99991419999999998</v>
      </c>
      <c r="N781">
        <v>0</v>
      </c>
      <c r="O781">
        <v>2.2400829999999999E-3</v>
      </c>
      <c r="P781">
        <v>0.99548950000000003</v>
      </c>
      <c r="Q781">
        <v>5.9541360000000002E-2</v>
      </c>
      <c r="R781">
        <v>-7.386392E-2</v>
      </c>
      <c r="S781">
        <v>3.00264</v>
      </c>
      <c r="T781">
        <v>-6.3783999999999993E-2</v>
      </c>
      <c r="U781">
        <v>-0.20245360000000001</v>
      </c>
      <c r="V781">
        <v>7.6099799999999995E-2</v>
      </c>
      <c r="W781">
        <v>7.2389480000000006E-2</v>
      </c>
      <c r="X781">
        <v>0.99446900000000005</v>
      </c>
      <c r="Y781">
        <v>6.9491380000000005E-2</v>
      </c>
      <c r="Z781">
        <v>-7.8470129999999995E-4</v>
      </c>
      <c r="AA781">
        <v>0.99758230000000003</v>
      </c>
      <c r="AB781">
        <v>32</v>
      </c>
      <c r="AC781">
        <v>51.9191</v>
      </c>
      <c r="AD781">
        <v>-1.109823207322</v>
      </c>
      <c r="AE781">
        <v>-3.5233999999999801</v>
      </c>
      <c r="AF781">
        <v>3.6380492124603299</v>
      </c>
      <c r="AG781">
        <v>-1.109823207322</v>
      </c>
      <c r="AH781">
        <v>51.887475896040797</v>
      </c>
      <c r="AI781">
        <v>91.222314932144499</v>
      </c>
      <c r="AJ781">
        <v>85.989315453752198</v>
      </c>
      <c r="AK781">
        <v>52.026697612725798</v>
      </c>
      <c r="AL781">
        <v>85.848757352173195</v>
      </c>
      <c r="AM781">
        <v>85.624080430413997</v>
      </c>
      <c r="AN781">
        <v>1.0000000041678501</v>
      </c>
    </row>
    <row r="782" spans="1:40" x14ac:dyDescent="0.25">
      <c r="A782" t="str">
        <f>"20190312154519808"</f>
        <v>20190312154519808</v>
      </c>
      <c r="B782" t="str">
        <f>"1552376719797316"</f>
        <v>1552376719797316</v>
      </c>
      <c r="C782" t="s">
        <v>40</v>
      </c>
      <c r="D782">
        <v>3.9971860000000001</v>
      </c>
      <c r="E782">
        <v>0.48743059999999999</v>
      </c>
      <c r="F782" t="s">
        <v>51</v>
      </c>
      <c r="G782">
        <v>-197.3032</v>
      </c>
      <c r="H782" s="1">
        <v>-8.4282559999999999E-6</v>
      </c>
      <c r="I782">
        <v>366.22289999999998</v>
      </c>
      <c r="J782">
        <v>-247.76390000000001</v>
      </c>
      <c r="K782">
        <v>1.1098220000000001</v>
      </c>
      <c r="L782">
        <v>368.80380000000002</v>
      </c>
      <c r="M782">
        <v>0.99991039999999998</v>
      </c>
      <c r="N782">
        <v>0</v>
      </c>
      <c r="O782">
        <v>2.208804E-3</v>
      </c>
      <c r="P782">
        <v>0.99551049999999996</v>
      </c>
      <c r="Q782">
        <v>5.8251669999999998E-2</v>
      </c>
      <c r="R782">
        <v>-7.4604589999999998E-2</v>
      </c>
      <c r="S782">
        <v>3.0062099999999998</v>
      </c>
      <c r="T782">
        <v>-6.5497520000000004E-2</v>
      </c>
      <c r="U782">
        <v>-0.1522522</v>
      </c>
      <c r="V782">
        <v>7.6809619999999995E-2</v>
      </c>
      <c r="W782">
        <v>7.1390729999999999E-2</v>
      </c>
      <c r="X782">
        <v>0.9944866</v>
      </c>
      <c r="Y782">
        <v>5.2774090000000003E-2</v>
      </c>
      <c r="Z782">
        <v>-6.2256129999999999E-4</v>
      </c>
      <c r="AA782">
        <v>0.99860629999999995</v>
      </c>
      <c r="AB782">
        <v>32</v>
      </c>
      <c r="AC782">
        <v>50.460700000000003</v>
      </c>
      <c r="AD782">
        <v>-1.1098304282560001</v>
      </c>
      <c r="AE782">
        <v>-2.5809000000000402</v>
      </c>
      <c r="AF782">
        <v>2.6910628521837099</v>
      </c>
      <c r="AG782">
        <v>-1.1098304282560001</v>
      </c>
      <c r="AH782">
        <v>50.430544360900399</v>
      </c>
      <c r="AI782">
        <v>91.258920376508996</v>
      </c>
      <c r="AJ782">
        <v>86.945493099124107</v>
      </c>
      <c r="AK782">
        <v>50.514486510214397</v>
      </c>
      <c r="AL782">
        <v>85.906129846132899</v>
      </c>
      <c r="AM782">
        <v>85.583502695991797</v>
      </c>
      <c r="AN782">
        <v>0.99999997581701805</v>
      </c>
    </row>
    <row r="783" spans="1:40" x14ac:dyDescent="0.25">
      <c r="A783" t="str">
        <f>"20190312154519829"</f>
        <v>20190312154519829</v>
      </c>
      <c r="B783" t="str">
        <f>"1552376719816837"</f>
        <v>1552376719816837</v>
      </c>
      <c r="C783" t="s">
        <v>40</v>
      </c>
      <c r="D783">
        <v>3.9706239999999999</v>
      </c>
      <c r="E783">
        <v>0.48544809999999999</v>
      </c>
      <c r="F783" t="s">
        <v>51</v>
      </c>
      <c r="G783">
        <v>-198.3484</v>
      </c>
      <c r="H783" s="1">
        <v>-8.7119409999999992E-6</v>
      </c>
      <c r="I783">
        <v>366.89370000000002</v>
      </c>
      <c r="J783">
        <v>-247.45</v>
      </c>
      <c r="K783">
        <v>1.109826</v>
      </c>
      <c r="L783">
        <v>368.80450000000002</v>
      </c>
      <c r="M783">
        <v>0.99990820000000002</v>
      </c>
      <c r="N783">
        <v>0</v>
      </c>
      <c r="O783">
        <v>2.1825859999999998E-3</v>
      </c>
      <c r="P783">
        <v>0.9955676</v>
      </c>
      <c r="Q783">
        <v>5.7446219999999999E-2</v>
      </c>
      <c r="R783">
        <v>-7.4467409999999998E-2</v>
      </c>
      <c r="S783">
        <v>3.0087739999999998</v>
      </c>
      <c r="T783">
        <v>-6.7574499999999996E-2</v>
      </c>
      <c r="U783">
        <v>-0.1163025</v>
      </c>
      <c r="V783">
        <v>7.6646829999999999E-2</v>
      </c>
      <c r="W783">
        <v>7.0745269999999999E-2</v>
      </c>
      <c r="X783">
        <v>0.99454529999999997</v>
      </c>
      <c r="Y783">
        <v>4.079584E-2</v>
      </c>
      <c r="Z783">
        <v>-5.0689069999999999E-4</v>
      </c>
      <c r="AA783">
        <v>0.99916740000000004</v>
      </c>
      <c r="AB783">
        <v>32</v>
      </c>
      <c r="AC783">
        <v>49.101599999999898</v>
      </c>
      <c r="AD783">
        <v>-1.1098347119409999</v>
      </c>
      <c r="AE783">
        <v>-1.9107999999999901</v>
      </c>
      <c r="AF783">
        <v>2.0169446225607599</v>
      </c>
      <c r="AG783">
        <v>-1.1098347119409999</v>
      </c>
      <c r="AH783">
        <v>49.072279660815703</v>
      </c>
      <c r="AI783">
        <v>91.294506609845399</v>
      </c>
      <c r="AJ783">
        <v>87.646381896996203</v>
      </c>
      <c r="AK783">
        <v>49.126249905804997</v>
      </c>
      <c r="AL783">
        <v>85.943205793706298</v>
      </c>
      <c r="AM783">
        <v>85.593085181606796</v>
      </c>
      <c r="AN783">
        <v>0.99999999176425602</v>
      </c>
    </row>
    <row r="784" spans="1:40" x14ac:dyDescent="0.25">
      <c r="A784" t="str">
        <f>"20190312154519851"</f>
        <v>20190312154519851</v>
      </c>
      <c r="B784" t="str">
        <f>"1552376719847093"</f>
        <v>1552376719847093</v>
      </c>
      <c r="C784" t="s">
        <v>40</v>
      </c>
      <c r="D784">
        <v>3.920992</v>
      </c>
      <c r="E784">
        <v>0.48365409999999998</v>
      </c>
      <c r="F784" t="s">
        <v>51</v>
      </c>
      <c r="G784">
        <v>-198.8083</v>
      </c>
      <c r="H784" s="1">
        <v>-8.8377869999999998E-6</v>
      </c>
      <c r="I784">
        <v>367.18189999999998</v>
      </c>
      <c r="J784">
        <v>-247.1183</v>
      </c>
      <c r="K784">
        <v>1.1098220000000001</v>
      </c>
      <c r="L784">
        <v>368.80509999999998</v>
      </c>
      <c r="M784">
        <v>0.99990639999999997</v>
      </c>
      <c r="N784">
        <v>0</v>
      </c>
      <c r="O784">
        <v>2.1471670000000002E-3</v>
      </c>
      <c r="P784">
        <v>0.99560470000000001</v>
      </c>
      <c r="Q784">
        <v>5.6993469999999997E-2</v>
      </c>
      <c r="R784">
        <v>-7.4319689999999994E-2</v>
      </c>
      <c r="S784">
        <v>3.0097809999999998</v>
      </c>
      <c r="T784">
        <v>-6.8672659999999996E-2</v>
      </c>
      <c r="U784">
        <v>-0.1004028</v>
      </c>
      <c r="V784">
        <v>7.6464879999999999E-2</v>
      </c>
      <c r="W784">
        <v>7.0438009999999995E-2</v>
      </c>
      <c r="X784">
        <v>0.9945811</v>
      </c>
      <c r="Y784">
        <v>3.547662E-2</v>
      </c>
      <c r="Z784">
        <v>-4.5353670000000001E-4</v>
      </c>
      <c r="AA784">
        <v>0.99937039999999999</v>
      </c>
      <c r="AB784">
        <v>32</v>
      </c>
      <c r="AC784">
        <v>48.31</v>
      </c>
      <c r="AD784">
        <v>-1.1098308377870001</v>
      </c>
      <c r="AE784">
        <v>-1.62319999999999</v>
      </c>
      <c r="AF784">
        <v>1.7260254598403399</v>
      </c>
      <c r="AG784">
        <v>-1.1098308377870001</v>
      </c>
      <c r="AH784">
        <v>48.2809508189914</v>
      </c>
      <c r="AI784">
        <v>91.315981799962799</v>
      </c>
      <c r="AJ784">
        <v>87.952569806678497</v>
      </c>
      <c r="AK784">
        <v>48.324539318677303</v>
      </c>
      <c r="AL784">
        <v>85.960854466959503</v>
      </c>
      <c r="AM784">
        <v>85.603663213616301</v>
      </c>
      <c r="AN784">
        <v>0.99999997780169203</v>
      </c>
    </row>
    <row r="785" spans="1:40" x14ac:dyDescent="0.25">
      <c r="A785" t="str">
        <f>"20190312154519874"</f>
        <v>20190312154519874</v>
      </c>
      <c r="B785" t="str">
        <f>"1552376719866612"</f>
        <v>1552376719866612</v>
      </c>
      <c r="C785" t="s">
        <v>40</v>
      </c>
      <c r="D785">
        <v>3.930323</v>
      </c>
      <c r="E785">
        <v>0.48273969999999999</v>
      </c>
      <c r="F785" t="s">
        <v>51</v>
      </c>
      <c r="G785">
        <v>-199.1464</v>
      </c>
      <c r="H785" s="1">
        <v>-8.9238159999999996E-6</v>
      </c>
      <c r="I785">
        <v>367.43880000000001</v>
      </c>
      <c r="J785">
        <v>-246.8014</v>
      </c>
      <c r="K785">
        <v>1.1098209999999999</v>
      </c>
      <c r="L785">
        <v>368.80579999999998</v>
      </c>
      <c r="M785">
        <v>0.99990480000000004</v>
      </c>
      <c r="N785">
        <v>0</v>
      </c>
      <c r="O785">
        <v>2.0983210000000002E-3</v>
      </c>
      <c r="P785">
        <v>0.99566120000000002</v>
      </c>
      <c r="Q785">
        <v>5.6922779999999999E-2</v>
      </c>
      <c r="R785">
        <v>-7.3611739999999995E-2</v>
      </c>
      <c r="S785">
        <v>3.0108489999999999</v>
      </c>
      <c r="T785">
        <v>-6.9656010000000004E-2</v>
      </c>
      <c r="U785">
        <v>-8.575439E-2</v>
      </c>
      <c r="V785">
        <v>7.5710100000000002E-2</v>
      </c>
      <c r="W785">
        <v>7.0487480000000005E-2</v>
      </c>
      <c r="X785">
        <v>0.9946353</v>
      </c>
      <c r="Y785">
        <v>3.0559119999999999E-2</v>
      </c>
      <c r="Z785">
        <v>-4.0190700000000001E-4</v>
      </c>
      <c r="AA785">
        <v>0.99953289999999995</v>
      </c>
      <c r="AB785">
        <v>32</v>
      </c>
      <c r="AC785">
        <v>47.655000000000001</v>
      </c>
      <c r="AD785">
        <v>-1.1098299238160001</v>
      </c>
      <c r="AE785">
        <v>-1.36699999999996</v>
      </c>
      <c r="AF785">
        <v>1.4662072041004</v>
      </c>
      <c r="AG785">
        <v>-1.1098299238160001</v>
      </c>
      <c r="AH785">
        <v>47.626216588875003</v>
      </c>
      <c r="AI785">
        <v>91.3342854671765</v>
      </c>
      <c r="AJ785">
        <v>88.236665304759796</v>
      </c>
      <c r="AK785">
        <v>47.661703626660099</v>
      </c>
      <c r="AL785">
        <v>85.958012837142803</v>
      </c>
      <c r="AM785">
        <v>85.647127843815198</v>
      </c>
      <c r="AN785">
        <v>0.99999994204242304</v>
      </c>
    </row>
    <row r="786" spans="1:40" x14ac:dyDescent="0.25">
      <c r="A786" t="str">
        <f>"20190312154519896"</f>
        <v>20190312154519896</v>
      </c>
      <c r="B786" t="str">
        <f>"1552376719887109"</f>
        <v>1552376719887109</v>
      </c>
      <c r="C786" t="s">
        <v>40</v>
      </c>
      <c r="D786">
        <v>3.9335070000000001</v>
      </c>
      <c r="E786">
        <v>0.48203649999999998</v>
      </c>
      <c r="F786" t="s">
        <v>51</v>
      </c>
      <c r="G786">
        <v>-198.5899</v>
      </c>
      <c r="H786" s="1">
        <v>-8.7002800000000007E-6</v>
      </c>
      <c r="I786">
        <v>367.58629999999999</v>
      </c>
      <c r="J786">
        <v>-246.4804</v>
      </c>
      <c r="K786">
        <v>1.1098079999999999</v>
      </c>
      <c r="L786">
        <v>368.80650000000003</v>
      </c>
      <c r="M786">
        <v>0.9999036</v>
      </c>
      <c r="N786">
        <v>0</v>
      </c>
      <c r="O786">
        <v>2.0277799999999999E-3</v>
      </c>
      <c r="P786">
        <v>0.99576469999999995</v>
      </c>
      <c r="Q786">
        <v>5.6083580000000001E-2</v>
      </c>
      <c r="R786">
        <v>-7.2854210000000003E-2</v>
      </c>
      <c r="S786">
        <v>3.0114139999999998</v>
      </c>
      <c r="T786">
        <v>-6.9322709999999996E-2</v>
      </c>
      <c r="U786">
        <v>-7.6171879999999997E-2</v>
      </c>
      <c r="V786">
        <v>7.4884820000000005E-2</v>
      </c>
      <c r="W786">
        <v>6.9753519999999999E-2</v>
      </c>
      <c r="X786">
        <v>0.99474949999999995</v>
      </c>
      <c r="Y786">
        <v>2.730581E-2</v>
      </c>
      <c r="Z786">
        <v>-3.608684E-4</v>
      </c>
      <c r="AA786">
        <v>0.99962709999999999</v>
      </c>
      <c r="AB786">
        <v>32</v>
      </c>
      <c r="AC786">
        <v>47.890500000000003</v>
      </c>
      <c r="AD786">
        <v>-1.1098167002799999</v>
      </c>
      <c r="AE786">
        <v>-1.2202000000000299</v>
      </c>
      <c r="AF786">
        <v>1.31661144204849</v>
      </c>
      <c r="AG786">
        <v>-1.1098167002799999</v>
      </c>
      <c r="AH786">
        <v>47.862239898180803</v>
      </c>
      <c r="AI786">
        <v>91.327818926605204</v>
      </c>
      <c r="AJ786">
        <v>88.4242847827677</v>
      </c>
      <c r="AK786">
        <v>47.8932058529033</v>
      </c>
      <c r="AL786">
        <v>86.000169365000801</v>
      </c>
      <c r="AM786">
        <v>85.6948894758264</v>
      </c>
      <c r="AN786">
        <v>0.99999992878453303</v>
      </c>
    </row>
    <row r="787" spans="1:40" x14ac:dyDescent="0.25">
      <c r="A787" t="str">
        <f>"20190312154519919"</f>
        <v>20190312154519919</v>
      </c>
      <c r="B787" t="str">
        <f>"1552376719906628"</f>
        <v>1552376719906628</v>
      </c>
      <c r="C787" t="s">
        <v>40</v>
      </c>
      <c r="D787">
        <v>3.9212739999999999</v>
      </c>
      <c r="E787">
        <v>0.48146420000000001</v>
      </c>
      <c r="F787" t="s">
        <v>51</v>
      </c>
      <c r="G787">
        <v>-199.40020000000001</v>
      </c>
      <c r="H787" s="1">
        <v>-8.9725930000000003E-6</v>
      </c>
      <c r="I787">
        <v>367.74169999999998</v>
      </c>
      <c r="J787">
        <v>-246.16050000000001</v>
      </c>
      <c r="K787">
        <v>1.109802</v>
      </c>
      <c r="L787">
        <v>368.80700000000002</v>
      </c>
      <c r="M787">
        <v>0.99990239999999997</v>
      </c>
      <c r="N787">
        <v>0</v>
      </c>
      <c r="O787">
        <v>1.9308420000000001E-3</v>
      </c>
      <c r="P787">
        <v>0.99582979999999999</v>
      </c>
      <c r="Q787">
        <v>5.5664739999999997E-2</v>
      </c>
      <c r="R787">
        <v>-7.2281639999999994E-2</v>
      </c>
      <c r="S787">
        <v>3.011765</v>
      </c>
      <c r="T787">
        <v>-7.0996050000000005E-2</v>
      </c>
      <c r="U787">
        <v>-6.8115229999999999E-2</v>
      </c>
      <c r="V787">
        <v>7.4219309999999997E-2</v>
      </c>
      <c r="W787">
        <v>6.9422929999999994E-2</v>
      </c>
      <c r="X787">
        <v>0.9948226</v>
      </c>
      <c r="Y787">
        <v>2.453375E-2</v>
      </c>
      <c r="Z787">
        <v>-3.3459689999999997E-4</v>
      </c>
      <c r="AA787">
        <v>0.99969889999999995</v>
      </c>
      <c r="AB787">
        <v>32</v>
      </c>
      <c r="AC787">
        <v>46.760300000000001</v>
      </c>
      <c r="AD787">
        <v>-1.1098109725930001</v>
      </c>
      <c r="AE787">
        <v>-1.0652999999999699</v>
      </c>
      <c r="AF787">
        <v>1.1549431619577899</v>
      </c>
      <c r="AG787">
        <v>-1.1098109725930001</v>
      </c>
      <c r="AH787">
        <v>46.731845078885399</v>
      </c>
      <c r="AI787">
        <v>91.360017667654205</v>
      </c>
      <c r="AJ787">
        <v>88.584265166568798</v>
      </c>
      <c r="AK787">
        <v>46.759286976804802</v>
      </c>
      <c r="AL787">
        <v>86.019157200452099</v>
      </c>
      <c r="AM787">
        <v>85.733319931289699</v>
      </c>
      <c r="AN787">
        <v>1.00000002732871</v>
      </c>
    </row>
    <row r="788" spans="1:40" x14ac:dyDescent="0.25">
      <c r="A788" t="str">
        <f>"20190312154519941"</f>
        <v>20190312154519941</v>
      </c>
      <c r="B788" t="str">
        <f>"1552376719936885"</f>
        <v>1552376719936885</v>
      </c>
      <c r="C788" t="s">
        <v>40</v>
      </c>
      <c r="D788">
        <v>3.9407649999999999</v>
      </c>
      <c r="E788">
        <v>0.4808345</v>
      </c>
      <c r="F788" t="s">
        <v>51</v>
      </c>
      <c r="G788">
        <v>-199.1054</v>
      </c>
      <c r="H788" s="1">
        <v>-8.8511409999999995E-6</v>
      </c>
      <c r="I788">
        <v>367.84109999999998</v>
      </c>
      <c r="J788">
        <v>-245.83789999999999</v>
      </c>
      <c r="K788">
        <v>1.109788</v>
      </c>
      <c r="L788">
        <v>368.8075</v>
      </c>
      <c r="M788">
        <v>0.9999017</v>
      </c>
      <c r="N788">
        <v>0</v>
      </c>
      <c r="O788">
        <v>1.7993289999999999E-3</v>
      </c>
      <c r="P788">
        <v>0.99585650000000003</v>
      </c>
      <c r="Q788">
        <v>5.5628919999999998E-2</v>
      </c>
      <c r="R788">
        <v>-7.1944560000000005E-2</v>
      </c>
      <c r="S788">
        <v>3.012054</v>
      </c>
      <c r="T788">
        <v>-7.1040389999999995E-2</v>
      </c>
      <c r="U788">
        <v>-6.1828609999999999E-2</v>
      </c>
      <c r="V788">
        <v>7.3755319999999999E-2</v>
      </c>
      <c r="W788">
        <v>6.946194E-2</v>
      </c>
      <c r="X788">
        <v>0.99485429999999997</v>
      </c>
      <c r="Y788">
        <v>2.2315120000000001E-2</v>
      </c>
      <c r="Z788">
        <v>-3.0552260000000001E-4</v>
      </c>
      <c r="AA788">
        <v>0.9997509</v>
      </c>
      <c r="AB788">
        <v>32</v>
      </c>
      <c r="AC788">
        <v>46.732499999999902</v>
      </c>
      <c r="AD788">
        <v>-1.1097968511409999</v>
      </c>
      <c r="AE788">
        <v>-0.96640000000002102</v>
      </c>
      <c r="AF788">
        <v>1.0499018577729</v>
      </c>
      <c r="AG788">
        <v>-1.1097968511409999</v>
      </c>
      <c r="AH788">
        <v>46.704357125944099</v>
      </c>
      <c r="AI788">
        <v>91.360872186622203</v>
      </c>
      <c r="AJ788">
        <v>88.712222600834195</v>
      </c>
      <c r="AK788">
        <v>46.729336797235597</v>
      </c>
      <c r="AL788">
        <v>86.016916348154894</v>
      </c>
      <c r="AM788">
        <v>85.7600305705148</v>
      </c>
      <c r="AN788">
        <v>0.99999994328267605</v>
      </c>
    </row>
    <row r="789" spans="1:40" x14ac:dyDescent="0.25">
      <c r="A789" t="str">
        <f>"20190312154519965"</f>
        <v>20190312154519965</v>
      </c>
      <c r="B789" t="str">
        <f>"1552376719957381"</f>
        <v>1552376719957381</v>
      </c>
      <c r="C789" t="s">
        <v>40</v>
      </c>
      <c r="D789">
        <v>3.934952</v>
      </c>
      <c r="E789">
        <v>0.4805953</v>
      </c>
      <c r="F789" t="s">
        <v>51</v>
      </c>
      <c r="G789">
        <v>-198.09819999999999</v>
      </c>
      <c r="H789" s="1">
        <v>-8.4738000000000001E-6</v>
      </c>
      <c r="I789">
        <v>367.91849999999999</v>
      </c>
      <c r="J789">
        <v>-245.51339999999999</v>
      </c>
      <c r="K789">
        <v>1.1097699999999999</v>
      </c>
      <c r="L789">
        <v>368.80790000000002</v>
      </c>
      <c r="M789">
        <v>0.99990089999999998</v>
      </c>
      <c r="N789">
        <v>0</v>
      </c>
      <c r="O789">
        <v>1.62853E-3</v>
      </c>
      <c r="P789">
        <v>0.99581090000000005</v>
      </c>
      <c r="Q789">
        <v>5.606365E-2</v>
      </c>
      <c r="R789">
        <v>-7.2236910000000001E-2</v>
      </c>
      <c r="S789">
        <v>3.0123600000000001</v>
      </c>
      <c r="T789">
        <v>-7.0027710000000007E-2</v>
      </c>
      <c r="U789">
        <v>-5.6091309999999998E-2</v>
      </c>
      <c r="V789">
        <v>7.3882600000000007E-2</v>
      </c>
      <c r="W789">
        <v>6.9959010000000002E-2</v>
      </c>
      <c r="X789">
        <v>0.99481010000000003</v>
      </c>
      <c r="Y789">
        <v>2.023964E-2</v>
      </c>
      <c r="Z789">
        <v>-2.7305480000000001E-4</v>
      </c>
      <c r="AA789">
        <v>0.99979510000000005</v>
      </c>
      <c r="AB789">
        <v>32</v>
      </c>
      <c r="AC789">
        <v>47.415199999999999</v>
      </c>
      <c r="AD789">
        <v>-1.1097784738000001</v>
      </c>
      <c r="AE789">
        <v>-0.88940000000002295</v>
      </c>
      <c r="AF789">
        <v>0.96609438746563703</v>
      </c>
      <c r="AG789">
        <v>-1.1097784738000001</v>
      </c>
      <c r="AH789">
        <v>47.387737764332101</v>
      </c>
      <c r="AI789">
        <v>91.3412921202913</v>
      </c>
      <c r="AJ789">
        <v>88.832072035428695</v>
      </c>
      <c r="AK789">
        <v>47.410575160479802</v>
      </c>
      <c r="AL789">
        <v>85.988367181526201</v>
      </c>
      <c r="AM789">
        <v>85.752552364381899</v>
      </c>
      <c r="AN789">
        <v>1.00000001836247</v>
      </c>
    </row>
    <row r="790" spans="1:40" x14ac:dyDescent="0.25">
      <c r="A790" t="str">
        <f>"20190312154519987"</f>
        <v>20190312154519987</v>
      </c>
      <c r="B790" t="str">
        <f>"1552376719976900"</f>
        <v>1552376719976900</v>
      </c>
      <c r="C790" t="s">
        <v>40</v>
      </c>
      <c r="D790">
        <v>3.918256</v>
      </c>
      <c r="E790">
        <v>0.48038180000000003</v>
      </c>
      <c r="F790" t="s">
        <v>51</v>
      </c>
      <c r="G790">
        <v>-196.0411</v>
      </c>
      <c r="H790" s="1">
        <v>-7.7280469999999998E-6</v>
      </c>
      <c r="I790">
        <v>367.9033</v>
      </c>
      <c r="J790">
        <v>-245.18889999999999</v>
      </c>
      <c r="K790">
        <v>1.109742</v>
      </c>
      <c r="L790">
        <v>368.8082</v>
      </c>
      <c r="M790">
        <v>0.99990049999999997</v>
      </c>
      <c r="N790">
        <v>0</v>
      </c>
      <c r="O790">
        <v>1.41366E-3</v>
      </c>
      <c r="P790">
        <v>0.99581109999999995</v>
      </c>
      <c r="Q790">
        <v>5.566832E-2</v>
      </c>
      <c r="R790">
        <v>-7.2537480000000001E-2</v>
      </c>
      <c r="S790">
        <v>3.0124209999999998</v>
      </c>
      <c r="T790">
        <v>-6.7575449999999995E-2</v>
      </c>
      <c r="U790">
        <v>-5.5084229999999998E-2</v>
      </c>
      <c r="V790">
        <v>7.3974650000000003E-2</v>
      </c>
      <c r="W790">
        <v>6.9615590000000005E-2</v>
      </c>
      <c r="X790">
        <v>0.99482729999999997</v>
      </c>
      <c r="Y790">
        <v>1.9690880000000001E-2</v>
      </c>
      <c r="Z790">
        <v>-2.525176E-4</v>
      </c>
      <c r="AA790">
        <v>0.99980610000000003</v>
      </c>
      <c r="AB790">
        <v>32</v>
      </c>
      <c r="AC790">
        <v>49.147799999999897</v>
      </c>
      <c r="AD790">
        <v>-1.1097497280469999</v>
      </c>
      <c r="AE790">
        <v>-0.90489999999999704</v>
      </c>
      <c r="AF790">
        <v>0.97388785101956299</v>
      </c>
      <c r="AG790">
        <v>-1.1097497280469999</v>
      </c>
      <c r="AH790">
        <v>49.121435485695102</v>
      </c>
      <c r="AI790">
        <v>91.293949863988203</v>
      </c>
      <c r="AJ790">
        <v>88.864195364051596</v>
      </c>
      <c r="AK790">
        <v>49.143620401640803</v>
      </c>
      <c r="AL790">
        <v>86.008091587250505</v>
      </c>
      <c r="AM790">
        <v>85.747353148375197</v>
      </c>
      <c r="AN790">
        <v>0.99999996801947899</v>
      </c>
    </row>
    <row r="791" spans="1:40" x14ac:dyDescent="0.25">
      <c r="A791" t="str">
        <f>"20190312154520009"</f>
        <v>20190312154520009</v>
      </c>
      <c r="B791" t="str">
        <f>"1552376719997396"</f>
        <v>1552376719997396</v>
      </c>
      <c r="C791" t="s">
        <v>40</v>
      </c>
      <c r="D791">
        <v>3.936871</v>
      </c>
      <c r="E791">
        <v>0.48017219999999999</v>
      </c>
      <c r="F791" t="s">
        <v>51</v>
      </c>
      <c r="G791">
        <v>-196.6748</v>
      </c>
      <c r="H791" s="1">
        <v>-7.9539899999999997E-6</v>
      </c>
      <c r="I791">
        <v>367.93439999999998</v>
      </c>
      <c r="J791">
        <v>-244.87639999999999</v>
      </c>
      <c r="K791">
        <v>1.1097189999999999</v>
      </c>
      <c r="L791">
        <v>368.80840000000001</v>
      </c>
      <c r="M791">
        <v>0.99990009999999996</v>
      </c>
      <c r="N791">
        <v>0</v>
      </c>
      <c r="O791">
        <v>1.1767990000000001E-3</v>
      </c>
      <c r="P791">
        <v>0.99578909999999998</v>
      </c>
      <c r="Q791">
        <v>5.460723E-2</v>
      </c>
      <c r="R791">
        <v>-7.36396E-2</v>
      </c>
      <c r="S791">
        <v>3.012527</v>
      </c>
      <c r="T791">
        <v>-6.8910959999999993E-2</v>
      </c>
      <c r="U791">
        <v>-5.4260250000000003E-2</v>
      </c>
      <c r="V791">
        <v>7.4844759999999996E-2</v>
      </c>
      <c r="W791">
        <v>6.859664E-2</v>
      </c>
      <c r="X791">
        <v>0.99483310000000003</v>
      </c>
      <c r="Y791">
        <v>1.9180010000000001E-2</v>
      </c>
      <c r="Z791">
        <v>-2.4623899999999998E-4</v>
      </c>
      <c r="AA791">
        <v>0.99981600000000004</v>
      </c>
      <c r="AB791">
        <v>32</v>
      </c>
      <c r="AC791">
        <v>48.2015999999999</v>
      </c>
      <c r="AD791">
        <v>-1.1097269539899901</v>
      </c>
      <c r="AE791">
        <v>-0.87400000000002298</v>
      </c>
      <c r="AF791">
        <v>0.93023571644341296</v>
      </c>
      <c r="AG791">
        <v>-1.1097269539899901</v>
      </c>
      <c r="AH791">
        <v>48.175011660067597</v>
      </c>
      <c r="AI791">
        <v>91.319347562767703</v>
      </c>
      <c r="AJ791">
        <v>88.893784227566897</v>
      </c>
      <c r="AK791">
        <v>48.196769402608403</v>
      </c>
      <c r="AL791">
        <v>86.066613422482902</v>
      </c>
      <c r="AM791">
        <v>85.697544090024707</v>
      </c>
      <c r="AN791">
        <v>1.00000006698717</v>
      </c>
    </row>
    <row r="792" spans="1:40" x14ac:dyDescent="0.25">
      <c r="A792" t="str">
        <f>"20190312154520030"</f>
        <v>20190312154520030</v>
      </c>
      <c r="B792" t="str">
        <f>"1552376720026677"</f>
        <v>1552376720026677</v>
      </c>
      <c r="C792" t="s">
        <v>40</v>
      </c>
      <c r="D792">
        <v>3.9545249999999998</v>
      </c>
      <c r="E792">
        <v>0.47992669999999998</v>
      </c>
      <c r="F792" t="s">
        <v>51</v>
      </c>
      <c r="G792">
        <v>-198.13939999999999</v>
      </c>
      <c r="H792" s="1">
        <v>-8.485626E-6</v>
      </c>
      <c r="I792">
        <v>367.94049999999999</v>
      </c>
      <c r="J792">
        <v>-244.56819999999999</v>
      </c>
      <c r="K792">
        <v>1.1097049999999999</v>
      </c>
      <c r="L792">
        <v>368.80849999999998</v>
      </c>
      <c r="M792">
        <v>0.99989989999999995</v>
      </c>
      <c r="N792">
        <v>0</v>
      </c>
      <c r="O792">
        <v>9.1460079999999995E-4</v>
      </c>
      <c r="P792">
        <v>0.99580000000000002</v>
      </c>
      <c r="Q792">
        <v>5.3222369999999998E-2</v>
      </c>
      <c r="R792">
        <v>-7.4499300000000004E-2</v>
      </c>
      <c r="S792">
        <v>3.0124659999999999</v>
      </c>
      <c r="T792">
        <v>-7.1528199999999903E-2</v>
      </c>
      <c r="U792">
        <v>-5.5938719999999997E-2</v>
      </c>
      <c r="V792">
        <v>7.5446810000000003E-2</v>
      </c>
      <c r="W792">
        <v>6.7247929999999997E-2</v>
      </c>
      <c r="X792">
        <v>0.99487969999999903</v>
      </c>
      <c r="Y792">
        <v>1.9474660000000001E-2</v>
      </c>
      <c r="Z792">
        <v>-2.5286500000000001E-4</v>
      </c>
      <c r="AA792">
        <v>0.99981030000000004</v>
      </c>
      <c r="AB792">
        <v>32</v>
      </c>
      <c r="AC792">
        <v>46.428800000000003</v>
      </c>
      <c r="AD792">
        <v>-1.109713485626</v>
      </c>
      <c r="AE792">
        <v>-0.867999999999994</v>
      </c>
      <c r="AF792">
        <v>0.90994803695653703</v>
      </c>
      <c r="AG792">
        <v>-1.109713485626</v>
      </c>
      <c r="AH792">
        <v>46.401487779472198</v>
      </c>
      <c r="AI792">
        <v>91.369731216481497</v>
      </c>
      <c r="AJ792">
        <v>88.876555410489701</v>
      </c>
      <c r="AK792">
        <v>46.423674322468798</v>
      </c>
      <c r="AL792">
        <v>86.144067663983094</v>
      </c>
      <c r="AM792">
        <v>85.663269093154</v>
      </c>
      <c r="AN792">
        <v>1.00000006135027</v>
      </c>
    </row>
    <row r="793" spans="1:40" x14ac:dyDescent="0.25">
      <c r="A793" t="str">
        <f>"20190312154520053"</f>
        <v>20190312154520053</v>
      </c>
      <c r="B793" t="str">
        <f>"1552376720047173"</f>
        <v>1552376720047173</v>
      </c>
      <c r="C793" t="s">
        <v>40</v>
      </c>
      <c r="D793">
        <v>3.9621219999999999</v>
      </c>
      <c r="E793">
        <v>0.47980279999999997</v>
      </c>
      <c r="F793" t="s">
        <v>51</v>
      </c>
      <c r="G793">
        <v>-200.31720000000001</v>
      </c>
      <c r="H793" s="1">
        <v>-6.1752009999999998E-7</v>
      </c>
      <c r="I793">
        <v>367.98099999999999</v>
      </c>
      <c r="J793">
        <v>-244.24250000000001</v>
      </c>
      <c r="K793">
        <v>1.109686</v>
      </c>
      <c r="L793">
        <v>368.80849999999998</v>
      </c>
      <c r="M793">
        <v>0.99989950000000005</v>
      </c>
      <c r="N793">
        <v>0</v>
      </c>
      <c r="O793">
        <v>6.1025979999999999E-4</v>
      </c>
      <c r="P793">
        <v>0.99571449999999995</v>
      </c>
      <c r="Q793">
        <v>5.2939439999999997E-2</v>
      </c>
      <c r="R793">
        <v>-7.5829359999999998E-2</v>
      </c>
      <c r="S793">
        <v>3.0124659999999999</v>
      </c>
      <c r="T793">
        <v>-7.5545310000000004E-2</v>
      </c>
      <c r="U793">
        <v>-5.6335450000000002E-2</v>
      </c>
      <c r="V793">
        <v>7.6477329999999996E-2</v>
      </c>
      <c r="W793">
        <v>6.6995289999999999E-2</v>
      </c>
      <c r="X793">
        <v>0.99481799999999998</v>
      </c>
      <c r="Y793">
        <v>1.9301459999999999E-2</v>
      </c>
      <c r="Z793">
        <v>-2.5725919999999998E-4</v>
      </c>
      <c r="AA793">
        <v>0.99981370000000003</v>
      </c>
      <c r="AB793">
        <v>32</v>
      </c>
      <c r="AC793">
        <v>43.925299999999901</v>
      </c>
      <c r="AD793">
        <v>-1.1096866175200999</v>
      </c>
      <c r="AE793">
        <v>-0.82749999999998602</v>
      </c>
      <c r="AF793">
        <v>0.85376368317238605</v>
      </c>
      <c r="AG793">
        <v>-1.1096866175200999</v>
      </c>
      <c r="AH793">
        <v>43.896780861704002</v>
      </c>
      <c r="AI793">
        <v>91.447823863344695</v>
      </c>
      <c r="AJ793">
        <v>88.885775035890404</v>
      </c>
      <c r="AK793">
        <v>43.919103893821301</v>
      </c>
      <c r="AL793">
        <v>86.158575358796497</v>
      </c>
      <c r="AM793">
        <v>85.603993191903498</v>
      </c>
      <c r="AN793">
        <v>1.0000000020050499</v>
      </c>
    </row>
    <row r="794" spans="1:40" x14ac:dyDescent="0.25">
      <c r="A794" t="str">
        <f>"20190312154520087"</f>
        <v>20190312154520087</v>
      </c>
      <c r="B794" t="str">
        <f>"1552376720077434"</f>
        <v>1552376720077434</v>
      </c>
      <c r="C794" t="s">
        <v>40</v>
      </c>
      <c r="D794">
        <v>3.9346779999999999</v>
      </c>
      <c r="E794">
        <v>0.47966550000000002</v>
      </c>
      <c r="F794" t="s">
        <v>51</v>
      </c>
      <c r="G794">
        <v>-200.2381</v>
      </c>
      <c r="H794" s="1">
        <v>-5.8156269999999902E-7</v>
      </c>
      <c r="I794">
        <v>367.94009999999997</v>
      </c>
      <c r="J794">
        <v>-243.76570000000001</v>
      </c>
      <c r="K794">
        <v>1.1096699999999999</v>
      </c>
      <c r="L794">
        <v>368.8082</v>
      </c>
      <c r="M794">
        <v>0.99989910000000004</v>
      </c>
      <c r="N794">
        <v>0</v>
      </c>
      <c r="O794">
        <v>1.294384E-4</v>
      </c>
      <c r="P794">
        <v>0.99560570000000004</v>
      </c>
      <c r="Q794">
        <v>5.2223289999999999E-2</v>
      </c>
      <c r="R794">
        <v>-7.7732289999999996E-2</v>
      </c>
      <c r="S794">
        <v>3.0124209999999998</v>
      </c>
      <c r="T794">
        <v>-7.5966119999999998E-2</v>
      </c>
      <c r="U794">
        <v>-5.9448239999999999E-2</v>
      </c>
      <c r="V794">
        <v>7.7905189999999999E-2</v>
      </c>
      <c r="W794">
        <v>6.6316369999999999E-2</v>
      </c>
      <c r="X794">
        <v>0.99475270000000005</v>
      </c>
      <c r="Y794">
        <v>1.9853610000000001E-2</v>
      </c>
      <c r="Z794">
        <v>-2.5353000000000002E-4</v>
      </c>
      <c r="AA794">
        <v>0.99980290000000005</v>
      </c>
      <c r="AB794">
        <v>32</v>
      </c>
      <c r="AC794">
        <v>43.5276</v>
      </c>
      <c r="AD794">
        <v>-1.1096705815626999</v>
      </c>
      <c r="AE794">
        <v>-0.86810000000002596</v>
      </c>
      <c r="AF794">
        <v>0.87316744233404697</v>
      </c>
      <c r="AG794">
        <v>-1.1096705815626999</v>
      </c>
      <c r="AH794">
        <v>43.499227558932098</v>
      </c>
      <c r="AI794">
        <v>91.461011177213805</v>
      </c>
      <c r="AJ794">
        <v>88.850046442684103</v>
      </c>
      <c r="AK794">
        <v>43.522139060548199</v>
      </c>
      <c r="AL794">
        <v>86.197561332292196</v>
      </c>
      <c r="AM794">
        <v>85.521956120629099</v>
      </c>
      <c r="AN794">
        <v>1.0000000068581001</v>
      </c>
    </row>
    <row r="795" spans="1:40" x14ac:dyDescent="0.25">
      <c r="A795" t="str">
        <f>"20190312154520108"</f>
        <v>20190312154520108</v>
      </c>
      <c r="B795" t="str">
        <f>"1552376720096949"</f>
        <v>1552376720096949</v>
      </c>
      <c r="C795" t="s">
        <v>40</v>
      </c>
      <c r="D795">
        <v>3.9707710000000001</v>
      </c>
      <c r="E795">
        <v>0.47951440000000001</v>
      </c>
      <c r="F795" t="s">
        <v>51</v>
      </c>
      <c r="G795">
        <v>-200.39940000000001</v>
      </c>
      <c r="H795" s="1">
        <v>-6.9106269999999899E-7</v>
      </c>
      <c r="I795">
        <v>367.88740000000001</v>
      </c>
      <c r="J795">
        <v>-243.44829999999999</v>
      </c>
      <c r="K795">
        <v>1.1096619999999999</v>
      </c>
      <c r="L795">
        <v>368.80799999999999</v>
      </c>
      <c r="M795">
        <v>0.99989870000000003</v>
      </c>
      <c r="N795">
        <v>0</v>
      </c>
      <c r="O795">
        <v>-2.045948E-4</v>
      </c>
      <c r="P795">
        <v>0.99556049999999996</v>
      </c>
      <c r="Q795">
        <v>5.1827520000000002E-2</v>
      </c>
      <c r="R795">
        <v>-7.8570100000000004E-2</v>
      </c>
      <c r="S795">
        <v>3.012283</v>
      </c>
      <c r="T795">
        <v>-7.7079300000000003E-2</v>
      </c>
      <c r="U795">
        <v>-6.3964839999999995E-2</v>
      </c>
      <c r="V795">
        <v>7.841215E-2</v>
      </c>
      <c r="W795">
        <v>6.5940960000000007E-2</v>
      </c>
      <c r="X795">
        <v>0.99473780000000001</v>
      </c>
      <c r="Y795">
        <v>2.1018510000000001E-2</v>
      </c>
      <c r="Z795">
        <v>-2.636057E-4</v>
      </c>
      <c r="AA795">
        <v>0.99977899999999997</v>
      </c>
      <c r="AB795">
        <v>32</v>
      </c>
      <c r="AC795">
        <v>43.048899999999897</v>
      </c>
      <c r="AD795">
        <v>-1.1096626910627001</v>
      </c>
      <c r="AE795">
        <v>-0.92060000000003495</v>
      </c>
      <c r="AF795">
        <v>0.91118635271396997</v>
      </c>
      <c r="AG795">
        <v>-1.1096626910627001</v>
      </c>
      <c r="AH795">
        <v>43.020515845593899</v>
      </c>
      <c r="AI795">
        <v>91.477217241710207</v>
      </c>
      <c r="AJ795">
        <v>88.786641055828596</v>
      </c>
      <c r="AK795">
        <v>43.044469975576497</v>
      </c>
      <c r="AL795">
        <v>86.219117836081793</v>
      </c>
      <c r="AM795">
        <v>85.492868156368004</v>
      </c>
      <c r="AN795">
        <v>0.99999998311109195</v>
      </c>
    </row>
    <row r="796" spans="1:40" x14ac:dyDescent="0.25">
      <c r="A796" t="str">
        <f>"20190312154520131"</f>
        <v>20190312154520131</v>
      </c>
      <c r="B796" t="str">
        <f>"1552376720127205"</f>
        <v>1552376720127205</v>
      </c>
      <c r="C796" t="s">
        <v>40</v>
      </c>
      <c r="D796">
        <v>3.9580690000000001</v>
      </c>
      <c r="E796">
        <v>0.47932599999999997</v>
      </c>
      <c r="F796" t="s">
        <v>51</v>
      </c>
      <c r="G796">
        <v>-200.2285</v>
      </c>
      <c r="H796" s="1">
        <v>-5.9299590000000003E-7</v>
      </c>
      <c r="I796">
        <v>367.87569999999999</v>
      </c>
      <c r="J796">
        <v>-243.1403</v>
      </c>
      <c r="K796">
        <v>1.1096629999999901</v>
      </c>
      <c r="L796">
        <v>368.8075</v>
      </c>
      <c r="M796">
        <v>0.99989830000000002</v>
      </c>
      <c r="N796">
        <v>0</v>
      </c>
      <c r="O796">
        <v>-5.337556E-4</v>
      </c>
      <c r="P796">
        <v>0.99549180000000004</v>
      </c>
      <c r="Q796">
        <v>5.1940420000000001E-2</v>
      </c>
      <c r="R796">
        <v>-7.9364249999999997E-2</v>
      </c>
      <c r="S796">
        <v>3.0122680000000002</v>
      </c>
      <c r="T796">
        <v>-7.7339530000000004E-2</v>
      </c>
      <c r="U796">
        <v>-6.4971920000000002E-2</v>
      </c>
      <c r="V796">
        <v>7.8879469999999993E-2</v>
      </c>
      <c r="W796">
        <v>6.6070859999999995E-2</v>
      </c>
      <c r="X796">
        <v>0.99469229999999997</v>
      </c>
      <c r="Y796">
        <v>2.1023650000000001E-2</v>
      </c>
      <c r="Z796">
        <v>-2.561121E-4</v>
      </c>
      <c r="AA796">
        <v>0.99977890000000003</v>
      </c>
      <c r="AB796">
        <v>32</v>
      </c>
      <c r="AC796">
        <v>42.911799999999999</v>
      </c>
      <c r="AD796">
        <v>-1.10966359299589</v>
      </c>
      <c r="AE796">
        <v>-0.93180000000000895</v>
      </c>
      <c r="AF796">
        <v>0.90828604565343296</v>
      </c>
      <c r="AG796">
        <v>-1.10966359299589</v>
      </c>
      <c r="AH796">
        <v>42.883628661800003</v>
      </c>
      <c r="AI796">
        <v>91.481931715475795</v>
      </c>
      <c r="AJ796">
        <v>88.786642389803006</v>
      </c>
      <c r="AK796">
        <v>42.9075977425153</v>
      </c>
      <c r="AL796">
        <v>86.211659103548897</v>
      </c>
      <c r="AM796">
        <v>85.465911729929303</v>
      </c>
      <c r="AN796">
        <v>1.0000000505039499</v>
      </c>
    </row>
    <row r="797" spans="1:40" x14ac:dyDescent="0.25">
      <c r="A797" t="str">
        <f>"20190312154520153"</f>
        <v>20190312154520153</v>
      </c>
      <c r="B797" t="str">
        <f>"1552376720146725"</f>
        <v>1552376720146725</v>
      </c>
      <c r="C797" t="s">
        <v>40</v>
      </c>
      <c r="D797">
        <v>3.9530310000000002</v>
      </c>
      <c r="E797">
        <v>0.47918569999999999</v>
      </c>
      <c r="F797" t="s">
        <v>51</v>
      </c>
      <c r="G797">
        <v>-199.4539</v>
      </c>
      <c r="H797" s="1">
        <v>-8.9768119999999997E-6</v>
      </c>
      <c r="I797">
        <v>367.84840000000003</v>
      </c>
      <c r="J797">
        <v>-242.8134</v>
      </c>
      <c r="K797">
        <v>1.109666</v>
      </c>
      <c r="L797">
        <v>368.80700000000002</v>
      </c>
      <c r="M797">
        <v>0.99989779999999995</v>
      </c>
      <c r="N797">
        <v>0</v>
      </c>
      <c r="O797">
        <v>-8.85617E-4</v>
      </c>
      <c r="P797">
        <v>0.99546749999999995</v>
      </c>
      <c r="Q797">
        <v>5.2373469999999998E-2</v>
      </c>
      <c r="R797">
        <v>-7.9383190000000006E-2</v>
      </c>
      <c r="S797">
        <v>3.0123139999999999</v>
      </c>
      <c r="T797">
        <v>-7.6515440000000004E-2</v>
      </c>
      <c r="U797">
        <v>-6.6131590000000004E-2</v>
      </c>
      <c r="V797">
        <v>7.8549510000000003E-2</v>
      </c>
      <c r="W797">
        <v>6.6520469999999998E-2</v>
      </c>
      <c r="X797">
        <v>0.99468840000000003</v>
      </c>
      <c r="Y797">
        <v>2.1056459999999999E-2</v>
      </c>
      <c r="Z797">
        <v>-2.4485970000000002E-4</v>
      </c>
      <c r="AA797">
        <v>0.99977830000000001</v>
      </c>
      <c r="AB797">
        <v>32</v>
      </c>
      <c r="AC797">
        <v>43.359499999999997</v>
      </c>
      <c r="AD797">
        <v>-1.109674976812</v>
      </c>
      <c r="AE797">
        <v>-0.95859999999993295</v>
      </c>
      <c r="AF797">
        <v>0.91959378950005</v>
      </c>
      <c r="AG797">
        <v>-1.109674976812</v>
      </c>
      <c r="AH797">
        <v>43.331964652320501</v>
      </c>
      <c r="AI797">
        <v>91.466619318447002</v>
      </c>
      <c r="AJ797">
        <v>88.784247711058896</v>
      </c>
      <c r="AK797">
        <v>43.355924530815898</v>
      </c>
      <c r="AL797">
        <v>86.185841380306698</v>
      </c>
      <c r="AM797">
        <v>85.484782013005798</v>
      </c>
      <c r="AN797">
        <v>1.0000000057724101</v>
      </c>
    </row>
    <row r="798" spans="1:40" x14ac:dyDescent="0.25">
      <c r="A798" t="str">
        <f>"20190312154520176"</f>
        <v>20190312154520176</v>
      </c>
      <c r="B798" t="str">
        <f>"1552376720167221"</f>
        <v>1552376720167221</v>
      </c>
      <c r="C798" t="s">
        <v>40</v>
      </c>
      <c r="D798">
        <v>3.9714119999999999</v>
      </c>
      <c r="E798">
        <v>0.47907430000000001</v>
      </c>
      <c r="F798" t="s">
        <v>51</v>
      </c>
      <c r="G798">
        <v>-198.31610000000001</v>
      </c>
      <c r="H798" s="1">
        <v>-8.5639829999999998E-6</v>
      </c>
      <c r="I798">
        <v>367.84230000000002</v>
      </c>
      <c r="J798">
        <v>-242.48519999999999</v>
      </c>
      <c r="K798">
        <v>1.1096699999999999</v>
      </c>
      <c r="L798">
        <v>368.80630000000002</v>
      </c>
      <c r="M798">
        <v>0.99989720000000004</v>
      </c>
      <c r="N798">
        <v>0</v>
      </c>
      <c r="O798">
        <v>-1.239087E-3</v>
      </c>
      <c r="P798">
        <v>0.99541939999999995</v>
      </c>
      <c r="Q798">
        <v>5.2805369999999997E-2</v>
      </c>
      <c r="R798">
        <v>-7.9698350000000001E-2</v>
      </c>
      <c r="S798">
        <v>3.0123899999999999</v>
      </c>
      <c r="T798">
        <v>-7.512307E-2</v>
      </c>
      <c r="U798">
        <v>-6.5307619999999997E-2</v>
      </c>
      <c r="V798">
        <v>7.8513470000000002E-2</v>
      </c>
      <c r="W798">
        <v>6.6965800000000006E-2</v>
      </c>
      <c r="X798">
        <v>0.99466129999999997</v>
      </c>
      <c r="Y798">
        <v>2.0429679999999999E-2</v>
      </c>
      <c r="Z798">
        <v>-2.237734E-4</v>
      </c>
      <c r="AA798">
        <v>0.99979130000000005</v>
      </c>
      <c r="AB798">
        <v>32</v>
      </c>
      <c r="AC798">
        <v>44.169099999999901</v>
      </c>
      <c r="AD798">
        <v>-1.109678563983</v>
      </c>
      <c r="AE798">
        <v>-0.96399999999999797</v>
      </c>
      <c r="AF798">
        <v>0.90869103757483005</v>
      </c>
      <c r="AG798">
        <v>-1.109678563983</v>
      </c>
      <c r="AH798">
        <v>44.142411884828903</v>
      </c>
      <c r="AI798">
        <v>91.439727669249805</v>
      </c>
      <c r="AJ798">
        <v>88.820707642885196</v>
      </c>
      <c r="AK798">
        <v>44.165706525844399</v>
      </c>
      <c r="AL798">
        <v>86.1602685856421</v>
      </c>
      <c r="AM798">
        <v>85.486722664827994</v>
      </c>
      <c r="AN798">
        <v>0.99999994252938296</v>
      </c>
    </row>
    <row r="799" spans="1:40" x14ac:dyDescent="0.25">
      <c r="A799" t="str">
        <f>"20190312154520199"</f>
        <v>20190312154520199</v>
      </c>
      <c r="B799" t="str">
        <f>"1552376720186741"</f>
        <v>1552376720186741</v>
      </c>
      <c r="C799" t="s">
        <v>40</v>
      </c>
      <c r="D799">
        <v>3.9555669999999998</v>
      </c>
      <c r="E799">
        <v>0.47896179999999999</v>
      </c>
      <c r="F799" t="s">
        <v>51</v>
      </c>
      <c r="G799">
        <v>-197.0617</v>
      </c>
      <c r="H799" s="1">
        <v>-8.1108629999999993E-6</v>
      </c>
      <c r="I799">
        <v>367.82159999999999</v>
      </c>
      <c r="J799">
        <v>-242.17400000000001</v>
      </c>
      <c r="K799">
        <v>1.109686</v>
      </c>
      <c r="L799">
        <v>368.80560000000003</v>
      </c>
      <c r="M799">
        <v>0.99989649999999997</v>
      </c>
      <c r="N799">
        <v>0</v>
      </c>
      <c r="O799">
        <v>-1.5727269999999999E-3</v>
      </c>
      <c r="P799">
        <v>0.99538380000000004</v>
      </c>
      <c r="Q799">
        <v>5.3452189999999997E-2</v>
      </c>
      <c r="R799">
        <v>-7.9713450000000005E-2</v>
      </c>
      <c r="S799">
        <v>3.0124970000000002</v>
      </c>
      <c r="T799">
        <v>-7.3594090000000001E-2</v>
      </c>
      <c r="U799">
        <v>-6.5307619999999997E-2</v>
      </c>
      <c r="V799">
        <v>7.8196979999999999E-2</v>
      </c>
      <c r="W799">
        <v>6.7623779999999994E-2</v>
      </c>
      <c r="X799">
        <v>0.99464180000000002</v>
      </c>
      <c r="Y799">
        <v>2.0095740000000001E-2</v>
      </c>
      <c r="Z799">
        <v>-2.069854E-4</v>
      </c>
      <c r="AA799">
        <v>0.99979810000000002</v>
      </c>
      <c r="AB799">
        <v>32</v>
      </c>
      <c r="AC799">
        <v>45.112299999999998</v>
      </c>
      <c r="AD799">
        <v>-1.1096941108629901</v>
      </c>
      <c r="AE799">
        <v>-0.98400000000003696</v>
      </c>
      <c r="AF799">
        <v>0.912490322376593</v>
      </c>
      <c r="AG799">
        <v>-1.1096941108629901</v>
      </c>
      <c r="AH799">
        <v>45.086523697699398</v>
      </c>
      <c r="AI799">
        <v>91.409621775944501</v>
      </c>
      <c r="AJ799">
        <v>88.840569120878698</v>
      </c>
      <c r="AK799">
        <v>45.109407874093399</v>
      </c>
      <c r="AL799">
        <v>86.122483779300296</v>
      </c>
      <c r="AM799">
        <v>85.504753332281695</v>
      </c>
      <c r="AN799">
        <v>1.0000000268049201</v>
      </c>
    </row>
    <row r="800" spans="1:40" x14ac:dyDescent="0.25">
      <c r="A800" t="str">
        <f>"20190312154520219"</f>
        <v>20190312154520219</v>
      </c>
      <c r="B800" t="str">
        <f>"1552376720207237"</f>
        <v>1552376720207237</v>
      </c>
      <c r="C800" t="s">
        <v>40</v>
      </c>
      <c r="D800">
        <v>3.9860989999999998</v>
      </c>
      <c r="E800">
        <v>0.4788869</v>
      </c>
      <c r="F800" t="s">
        <v>51</v>
      </c>
      <c r="G800">
        <v>-194.97210000000001</v>
      </c>
      <c r="H800" s="1">
        <v>-7.355089E-6</v>
      </c>
      <c r="I800">
        <v>367.79379999999998</v>
      </c>
      <c r="J800">
        <v>-241.87700000000001</v>
      </c>
      <c r="K800">
        <v>1.1096969999999999</v>
      </c>
      <c r="L800">
        <v>368.80470000000003</v>
      </c>
      <c r="M800">
        <v>0.99989600000000001</v>
      </c>
      <c r="N800">
        <v>0</v>
      </c>
      <c r="O800">
        <v>-1.890486E-3</v>
      </c>
      <c r="P800">
        <v>0.99523340000000005</v>
      </c>
      <c r="Q800">
        <v>5.5007859999999999E-2</v>
      </c>
      <c r="R800">
        <v>-8.0529690000000001E-2</v>
      </c>
      <c r="S800">
        <v>3.0125579999999998</v>
      </c>
      <c r="T800">
        <v>-7.0823670000000005E-2</v>
      </c>
      <c r="U800">
        <v>-6.4575199999999999E-2</v>
      </c>
      <c r="V800">
        <v>7.8698450000000003E-2</v>
      </c>
      <c r="W800">
        <v>6.9186040000000004E-2</v>
      </c>
      <c r="X800">
        <v>0.99449480000000001</v>
      </c>
      <c r="Y800">
        <v>1.9535259999999999E-2</v>
      </c>
      <c r="Z800">
        <v>-1.851364E-4</v>
      </c>
      <c r="AA800">
        <v>0.99980910000000001</v>
      </c>
      <c r="AB800">
        <v>32</v>
      </c>
      <c r="AC800">
        <v>46.904899999999998</v>
      </c>
      <c r="AD800">
        <v>-1.109704355089</v>
      </c>
      <c r="AE800">
        <v>-1.0109000000000401</v>
      </c>
      <c r="AF800">
        <v>0.92170040861539204</v>
      </c>
      <c r="AG800">
        <v>-1.109704355089</v>
      </c>
      <c r="AH800">
        <v>46.880499239988502</v>
      </c>
      <c r="AI800">
        <v>91.3557284581358</v>
      </c>
      <c r="AJ800">
        <v>88.873673670741098</v>
      </c>
      <c r="AK800">
        <v>46.902688455881801</v>
      </c>
      <c r="AL800">
        <v>86.032762724419797</v>
      </c>
      <c r="AM800">
        <v>85.475379091113396</v>
      </c>
      <c r="AN800">
        <v>1.00000003069516</v>
      </c>
    </row>
    <row r="801" spans="1:40" x14ac:dyDescent="0.25">
      <c r="A801" t="str">
        <f>"20190312154520243"</f>
        <v>20190312154520243</v>
      </c>
      <c r="B801" t="str">
        <f>"1552376720237496"</f>
        <v>1552376720237496</v>
      </c>
      <c r="C801" t="s">
        <v>40</v>
      </c>
      <c r="D801">
        <v>3.9941409999999999</v>
      </c>
      <c r="E801">
        <v>0.50078089999999997</v>
      </c>
      <c r="F801" t="s">
        <v>51</v>
      </c>
      <c r="G801">
        <v>-190.96979999999999</v>
      </c>
      <c r="H801" s="1">
        <v>-5.928181E-6</v>
      </c>
      <c r="I801">
        <v>367.68</v>
      </c>
      <c r="J801">
        <v>-241.5513</v>
      </c>
      <c r="K801">
        <v>1.109707</v>
      </c>
      <c r="L801">
        <v>368.80380000000002</v>
      </c>
      <c r="M801">
        <v>0.99989499999999998</v>
      </c>
      <c r="N801">
        <v>0</v>
      </c>
      <c r="O801">
        <v>-2.2381530000000001E-3</v>
      </c>
      <c r="P801">
        <v>0.99516859999999996</v>
      </c>
      <c r="Q801">
        <v>5.5663740000000003E-2</v>
      </c>
      <c r="R801">
        <v>-8.0877180000000007E-2</v>
      </c>
      <c r="S801">
        <v>3.0126189999999999</v>
      </c>
      <c r="T801">
        <v>-6.5670610000000004E-2</v>
      </c>
      <c r="U801">
        <v>-6.6558839999999994E-2</v>
      </c>
      <c r="V801">
        <v>7.8700419999999993E-2</v>
      </c>
      <c r="W801">
        <v>6.9849140000000004E-2</v>
      </c>
      <c r="X801">
        <v>0.9944482</v>
      </c>
      <c r="Y801">
        <v>1.984588E-2</v>
      </c>
      <c r="Z801">
        <v>-1.67472E-4</v>
      </c>
      <c r="AA801">
        <v>0.99980309999999994</v>
      </c>
      <c r="AB801">
        <v>32</v>
      </c>
      <c r="AC801">
        <v>50.581499999999998</v>
      </c>
      <c r="AD801">
        <v>-1.1097129281810001</v>
      </c>
      <c r="AE801">
        <v>-1.1238000000000099</v>
      </c>
      <c r="AF801">
        <v>1.0100905028007301</v>
      </c>
      <c r="AG801">
        <v>-1.1097129281810001</v>
      </c>
      <c r="AH801">
        <v>50.559565232335402</v>
      </c>
      <c r="AI801">
        <v>91.257110916486994</v>
      </c>
      <c r="AJ801">
        <v>88.855484128814496</v>
      </c>
      <c r="AK801">
        <v>50.581828575977703</v>
      </c>
      <c r="AL801">
        <v>85.994677393557595</v>
      </c>
      <c r="AM801">
        <v>85.475055150714695</v>
      </c>
      <c r="AN801">
        <v>0.99999994047507601</v>
      </c>
    </row>
    <row r="802" spans="1:40" x14ac:dyDescent="0.25">
      <c r="A802" t="str">
        <f>"20190312154520266"</f>
        <v>20190312154520266</v>
      </c>
      <c r="B802" t="str">
        <f>"1552376720257018"</f>
        <v>1552376720257018</v>
      </c>
      <c r="C802" t="s">
        <v>40</v>
      </c>
      <c r="D802">
        <v>3.9659040000000001</v>
      </c>
      <c r="E802">
        <v>0.50620039999999999</v>
      </c>
      <c r="F802" t="s">
        <v>46</v>
      </c>
      <c r="G802">
        <v>-158.19499999999999</v>
      </c>
      <c r="H802">
        <v>0.20137169999999999</v>
      </c>
      <c r="I802">
        <v>362.05849999999998</v>
      </c>
      <c r="J802">
        <v>-241.23939999999999</v>
      </c>
      <c r="K802">
        <v>1.1097140000000001</v>
      </c>
      <c r="L802">
        <v>368.80270000000002</v>
      </c>
      <c r="M802">
        <v>0.99989430000000001</v>
      </c>
      <c r="N802">
        <v>0</v>
      </c>
      <c r="O802">
        <v>-2.5709000000000001E-3</v>
      </c>
      <c r="P802">
        <v>0.99513130000000005</v>
      </c>
      <c r="Q802">
        <v>5.5992889999999997E-2</v>
      </c>
      <c r="R802">
        <v>-8.1108470000000002E-2</v>
      </c>
      <c r="S802">
        <v>2.9966740000000001</v>
      </c>
      <c r="T802">
        <v>-3.2651659999999999E-2</v>
      </c>
      <c r="U802">
        <v>-0.24249270000000001</v>
      </c>
      <c r="V802">
        <v>7.8601180000000007E-2</v>
      </c>
      <c r="W802">
        <v>7.0183540000000003E-2</v>
      </c>
      <c r="X802">
        <v>0.9944326</v>
      </c>
      <c r="Y802">
        <v>7.8089469999999994E-2</v>
      </c>
      <c r="Z802">
        <v>-3.9675559999999998E-4</v>
      </c>
      <c r="AA802">
        <v>0.99694629999999995</v>
      </c>
      <c r="AB802">
        <v>32</v>
      </c>
      <c r="AC802">
        <v>83.044399999999996</v>
      </c>
      <c r="AD802">
        <v>-0.90834229999999905</v>
      </c>
      <c r="AE802">
        <v>-6.7442000000000304</v>
      </c>
      <c r="AF802">
        <v>6.5298808763383098</v>
      </c>
      <c r="AG802">
        <v>-0.90834229999999905</v>
      </c>
      <c r="AH802">
        <v>83.051594707308396</v>
      </c>
      <c r="AI802">
        <v>90.624696048017199</v>
      </c>
      <c r="AJ802">
        <v>85.504402750328595</v>
      </c>
      <c r="AK802">
        <v>83.312855031022394</v>
      </c>
      <c r="AL802">
        <v>85.975470929576403</v>
      </c>
      <c r="AM802">
        <v>85.480666782743398</v>
      </c>
      <c r="AN802">
        <v>1.0000000353635401</v>
      </c>
    </row>
    <row r="803" spans="1:40" x14ac:dyDescent="0.25">
      <c r="A803" t="str">
        <f>"20190312154520287"</f>
        <v>20190312154520287</v>
      </c>
      <c r="B803" t="str">
        <f>"1552376720276533"</f>
        <v>1552376720276533</v>
      </c>
      <c r="C803" t="s">
        <v>40</v>
      </c>
      <c r="D803">
        <v>3.9617879999999999</v>
      </c>
      <c r="E803">
        <v>0.50877620000000001</v>
      </c>
      <c r="F803" t="s">
        <v>46</v>
      </c>
      <c r="G803">
        <v>-158.19499999999999</v>
      </c>
      <c r="H803">
        <v>0.29955340000000003</v>
      </c>
      <c r="I803">
        <v>360.85419999999999</v>
      </c>
      <c r="J803">
        <v>-240.9237</v>
      </c>
      <c r="K803">
        <v>1.1097269999999999</v>
      </c>
      <c r="L803">
        <v>368.80149999999998</v>
      </c>
      <c r="M803">
        <v>0.99989329999999998</v>
      </c>
      <c r="N803">
        <v>0</v>
      </c>
      <c r="O803">
        <v>-2.9078049999999999E-3</v>
      </c>
      <c r="P803">
        <v>0.99505189999999999</v>
      </c>
      <c r="Q803">
        <v>5.6585780000000002E-2</v>
      </c>
      <c r="R803">
        <v>-8.1671759999999996E-2</v>
      </c>
      <c r="S803">
        <v>2.99295</v>
      </c>
      <c r="T803">
        <v>-2.9195309999999999E-2</v>
      </c>
      <c r="U803">
        <v>-0.28646850000000001</v>
      </c>
      <c r="V803">
        <v>7.8829590000000005E-2</v>
      </c>
      <c r="W803">
        <v>7.0780949999999995E-2</v>
      </c>
      <c r="X803">
        <v>0.99437209999999998</v>
      </c>
      <c r="Y803">
        <v>9.2379470000000005E-2</v>
      </c>
      <c r="Z803">
        <v>-4.2122749999999999E-4</v>
      </c>
      <c r="AA803">
        <v>0.99572380000000005</v>
      </c>
      <c r="AB803">
        <v>31</v>
      </c>
      <c r="AC803">
        <v>82.728700000000003</v>
      </c>
      <c r="AD803">
        <v>-0.81017360000000005</v>
      </c>
      <c r="AE803">
        <v>-7.9472999999999798</v>
      </c>
      <c r="AF803">
        <v>7.7059505283105096</v>
      </c>
      <c r="AG803">
        <v>-0.81017360000000005</v>
      </c>
      <c r="AH803">
        <v>82.743598737377994</v>
      </c>
      <c r="AI803">
        <v>90.558569600458895</v>
      </c>
      <c r="AJ803">
        <v>84.679363972599404</v>
      </c>
      <c r="AK803">
        <v>83.105602619914393</v>
      </c>
      <c r="AL803">
        <v>85.941156214280298</v>
      </c>
      <c r="AM803">
        <v>85.467313916158702</v>
      </c>
      <c r="AN803">
        <v>0.99999996020043902</v>
      </c>
    </row>
    <row r="804" spans="1:40" x14ac:dyDescent="0.25">
      <c r="A804" t="str">
        <f>"20190312154520309"</f>
        <v>20190312154520309</v>
      </c>
      <c r="B804" t="str">
        <f>"1552376720297029"</f>
        <v>1552376720297029</v>
      </c>
      <c r="C804" t="s">
        <v>40</v>
      </c>
      <c r="D804">
        <v>3.9813499999999999</v>
      </c>
      <c r="E804">
        <v>0.50995579999999996</v>
      </c>
      <c r="F804" t="s">
        <v>46</v>
      </c>
      <c r="G804">
        <v>-158.19499999999999</v>
      </c>
      <c r="H804">
        <v>0.43860149999999998</v>
      </c>
      <c r="I804">
        <v>360.26690000000002</v>
      </c>
      <c r="J804">
        <v>-240.62039999999999</v>
      </c>
      <c r="K804">
        <v>1.109726</v>
      </c>
      <c r="L804">
        <v>368.80020000000002</v>
      </c>
      <c r="M804">
        <v>0.99989209999999995</v>
      </c>
      <c r="N804">
        <v>0</v>
      </c>
      <c r="O804">
        <v>-3.2314639999999999E-3</v>
      </c>
      <c r="P804">
        <v>0.99491850000000004</v>
      </c>
      <c r="Q804">
        <v>5.6847889999999998E-2</v>
      </c>
      <c r="R804">
        <v>-8.3099339999999994E-2</v>
      </c>
      <c r="S804">
        <v>2.9910130000000001</v>
      </c>
      <c r="T804">
        <v>-2.4261000000000001E-2</v>
      </c>
      <c r="U804">
        <v>-0.30856319999999998</v>
      </c>
      <c r="V804">
        <v>7.9935679999999995E-2</v>
      </c>
      <c r="W804">
        <v>7.1044449999999995E-2</v>
      </c>
      <c r="X804">
        <v>0.99426499999999995</v>
      </c>
      <c r="Y804">
        <v>9.9400450000000001E-2</v>
      </c>
      <c r="Z804">
        <v>-3.7591680000000001E-4</v>
      </c>
      <c r="AA804">
        <v>0.99504749999999997</v>
      </c>
      <c r="AB804">
        <v>31</v>
      </c>
      <c r="AC804">
        <v>82.425399999999996</v>
      </c>
      <c r="AD804">
        <v>-0.67112449999999901</v>
      </c>
      <c r="AE804">
        <v>-8.5332999999999899</v>
      </c>
      <c r="AF804">
        <v>8.2663311632076404</v>
      </c>
      <c r="AG804">
        <v>-0.67112449999999901</v>
      </c>
      <c r="AH804">
        <v>82.447139523355105</v>
      </c>
      <c r="AI804">
        <v>90.464054150351004</v>
      </c>
      <c r="AJ804">
        <v>84.274533332927504</v>
      </c>
      <c r="AK804">
        <v>82.863221362543598</v>
      </c>
      <c r="AL804">
        <v>85.926020665529705</v>
      </c>
      <c r="AM804">
        <v>85.403491606387206</v>
      </c>
      <c r="AN804">
        <v>0.99999995851893098</v>
      </c>
    </row>
    <row r="805" spans="1:40" x14ac:dyDescent="0.25">
      <c r="A805" t="str">
        <f>"20190312154520332"</f>
        <v>20190312154520332</v>
      </c>
      <c r="B805" t="str">
        <f>"1552376720327285"</f>
        <v>1552376720327285</v>
      </c>
      <c r="C805" t="s">
        <v>40</v>
      </c>
      <c r="D805">
        <v>3.9820869999999999</v>
      </c>
      <c r="E805">
        <v>0.51085190000000003</v>
      </c>
      <c r="F805" t="s">
        <v>46</v>
      </c>
      <c r="G805">
        <v>-158.19499999999999</v>
      </c>
      <c r="H805">
        <v>0.44600010000000001</v>
      </c>
      <c r="I805">
        <v>359.91559999999998</v>
      </c>
      <c r="J805">
        <v>-240.29759999999999</v>
      </c>
      <c r="K805">
        <v>1.109728</v>
      </c>
      <c r="L805">
        <v>368.7989</v>
      </c>
      <c r="M805">
        <v>0.99989090000000003</v>
      </c>
      <c r="N805">
        <v>0</v>
      </c>
      <c r="O805">
        <v>-3.5765689999999999E-3</v>
      </c>
      <c r="P805">
        <v>0.99488069999999895</v>
      </c>
      <c r="Q805">
        <v>5.6509179999999999E-2</v>
      </c>
      <c r="R805">
        <v>-8.378273E-2</v>
      </c>
      <c r="S805">
        <v>2.9897610000000001</v>
      </c>
      <c r="T805">
        <v>-2.407169E-2</v>
      </c>
      <c r="U805">
        <v>-0.32226559999999999</v>
      </c>
      <c r="V805">
        <v>8.0275219999999994E-2</v>
      </c>
      <c r="W805">
        <v>7.0708170000000001E-2</v>
      </c>
      <c r="X805">
        <v>0.99426170000000003</v>
      </c>
      <c r="Y805">
        <v>0.1036087</v>
      </c>
      <c r="Z805">
        <v>-3.8717100000000001E-4</v>
      </c>
      <c r="AA805">
        <v>0.99461809999999995</v>
      </c>
      <c r="AB805">
        <v>31</v>
      </c>
      <c r="AC805">
        <v>82.102599999999995</v>
      </c>
      <c r="AD805">
        <v>-0.66372790000000004</v>
      </c>
      <c r="AE805">
        <v>-8.8833000000000197</v>
      </c>
      <c r="AF805">
        <v>8.5890125721525905</v>
      </c>
      <c r="AG805">
        <v>-0.66372790000000004</v>
      </c>
      <c r="AH805">
        <v>82.128544517719902</v>
      </c>
      <c r="AI805">
        <v>90.460518606124495</v>
      </c>
      <c r="AJ805">
        <v>84.029703422691796</v>
      </c>
      <c r="AK805">
        <v>82.579110532197802</v>
      </c>
      <c r="AL805">
        <v>85.945337008484302</v>
      </c>
      <c r="AM805">
        <v>85.384036118766204</v>
      </c>
      <c r="AN805">
        <v>1.00000004216884</v>
      </c>
    </row>
    <row r="806" spans="1:40" x14ac:dyDescent="0.25">
      <c r="A806" t="str">
        <f>"20190312154520354"</f>
        <v>20190312154520354</v>
      </c>
      <c r="B806" t="str">
        <f>"1552376720346805"</f>
        <v>1552376720346805</v>
      </c>
      <c r="C806" t="s">
        <v>40</v>
      </c>
      <c r="D806">
        <v>4.0222749999999996</v>
      </c>
      <c r="E806">
        <v>0.51118469999999905</v>
      </c>
      <c r="F806" t="s">
        <v>46</v>
      </c>
      <c r="G806">
        <v>-158.19499999999999</v>
      </c>
      <c r="H806">
        <v>0.36097620000000002</v>
      </c>
      <c r="I806">
        <v>359.69299999999998</v>
      </c>
      <c r="J806">
        <v>-239.99180000000001</v>
      </c>
      <c r="K806">
        <v>1.109728</v>
      </c>
      <c r="L806">
        <v>368.79739999999998</v>
      </c>
      <c r="M806">
        <v>0.99988969999999999</v>
      </c>
      <c r="N806">
        <v>0</v>
      </c>
      <c r="O806">
        <v>-3.9035469999999998E-3</v>
      </c>
      <c r="P806">
        <v>0.99486280000000005</v>
      </c>
      <c r="Q806">
        <v>5.6288789999999998E-2</v>
      </c>
      <c r="R806">
        <v>-8.4141369999999993E-2</v>
      </c>
      <c r="S806">
        <v>2.9890750000000001</v>
      </c>
      <c r="T806">
        <v>-2.7256249999999999E-2</v>
      </c>
      <c r="U806">
        <v>-0.33151249999999999</v>
      </c>
      <c r="V806">
        <v>8.0308350000000001E-2</v>
      </c>
      <c r="W806">
        <v>7.0489850000000007E-2</v>
      </c>
      <c r="X806">
        <v>0.99427449999999995</v>
      </c>
      <c r="Y806">
        <v>0.106347</v>
      </c>
      <c r="Z806">
        <v>-4.4789009999999998E-4</v>
      </c>
      <c r="AA806">
        <v>0.99432900000000002</v>
      </c>
      <c r="AB806">
        <v>31</v>
      </c>
      <c r="AC806">
        <v>81.796800000000005</v>
      </c>
      <c r="AD806">
        <v>-0.74875179999999997</v>
      </c>
      <c r="AE806">
        <v>-9.1043999999999397</v>
      </c>
      <c r="AF806">
        <v>8.78427313276452</v>
      </c>
      <c r="AG806">
        <v>-0.74875179999999997</v>
      </c>
      <c r="AH806">
        <v>81.824947392601302</v>
      </c>
      <c r="AI806">
        <v>90.521284110984396</v>
      </c>
      <c r="AJ806">
        <v>83.872510287406996</v>
      </c>
      <c r="AK806">
        <v>82.298518209813395</v>
      </c>
      <c r="AL806">
        <v>85.957877005719496</v>
      </c>
      <c r="AM806">
        <v>85.382198515871707</v>
      </c>
      <c r="AN806">
        <v>1.0000000156914901</v>
      </c>
    </row>
    <row r="807" spans="1:40" x14ac:dyDescent="0.25">
      <c r="A807" t="str">
        <f>"20190312154520378"</f>
        <v>20190312154520378</v>
      </c>
      <c r="B807" t="str">
        <f>"1552376720367301"</f>
        <v>1552376720367301</v>
      </c>
      <c r="C807" t="s">
        <v>40</v>
      </c>
      <c r="D807">
        <v>4.0771610000000003</v>
      </c>
      <c r="E807">
        <v>0.51134579999999996</v>
      </c>
      <c r="F807" t="s">
        <v>46</v>
      </c>
      <c r="G807">
        <v>-158.19499999999999</v>
      </c>
      <c r="H807">
        <v>0.282198</v>
      </c>
      <c r="I807">
        <v>359.62540000000001</v>
      </c>
      <c r="J807">
        <v>-239.66630000000001</v>
      </c>
      <c r="K807">
        <v>1.109734</v>
      </c>
      <c r="L807">
        <v>368.79570000000001</v>
      </c>
      <c r="M807">
        <v>0.99988840000000001</v>
      </c>
      <c r="N807">
        <v>0</v>
      </c>
      <c r="O807">
        <v>-4.2517370000000002E-3</v>
      </c>
      <c r="P807">
        <v>0.99482999999999999</v>
      </c>
      <c r="Q807">
        <v>5.6557000000000003E-2</v>
      </c>
      <c r="R807">
        <v>-8.4349950000000007E-2</v>
      </c>
      <c r="S807">
        <v>2.9888309999999998</v>
      </c>
      <c r="T807">
        <v>-3.0234460000000001E-2</v>
      </c>
      <c r="U807">
        <v>-0.335144</v>
      </c>
      <c r="V807">
        <v>8.0170539999999998E-2</v>
      </c>
      <c r="W807">
        <v>7.0759069999999993E-2</v>
      </c>
      <c r="X807">
        <v>0.99426650000000005</v>
      </c>
      <c r="Y807">
        <v>0.1072019</v>
      </c>
      <c r="Z807">
        <v>-4.9763349999999999E-4</v>
      </c>
      <c r="AA807">
        <v>0.99423709999999998</v>
      </c>
      <c r="AB807">
        <v>31</v>
      </c>
      <c r="AC807">
        <v>81.471299999999999</v>
      </c>
      <c r="AD807">
        <v>-0.82753600000000005</v>
      </c>
      <c r="AE807">
        <v>-9.1702999999999903</v>
      </c>
      <c r="AF807">
        <v>8.8228881328845503</v>
      </c>
      <c r="AG807">
        <v>-0.82753600000000005</v>
      </c>
      <c r="AH807">
        <v>81.501253661489599</v>
      </c>
      <c r="AI807">
        <v>90.578363025330603</v>
      </c>
      <c r="AJ807">
        <v>83.821526881002498</v>
      </c>
      <c r="AK807">
        <v>81.981598662328906</v>
      </c>
      <c r="AL807">
        <v>85.942413229026897</v>
      </c>
      <c r="AM807">
        <v>85.390051598080902</v>
      </c>
      <c r="AN807">
        <v>1.0000000172467001</v>
      </c>
    </row>
    <row r="808" spans="1:40" x14ac:dyDescent="0.25">
      <c r="A808" t="str">
        <f>"20190312154520400"</f>
        <v>20190312154520400</v>
      </c>
      <c r="B808" t="str">
        <f>"1552376720386821"</f>
        <v>1552376720386821</v>
      </c>
      <c r="C808" t="s">
        <v>40</v>
      </c>
      <c r="D808">
        <v>4.0886180000000003</v>
      </c>
      <c r="E808">
        <v>0.51155609999999996</v>
      </c>
      <c r="F808" t="s">
        <v>46</v>
      </c>
      <c r="G808">
        <v>-158.19499999999999</v>
      </c>
      <c r="H808">
        <v>0.25903419999999999</v>
      </c>
      <c r="I808">
        <v>359.61110000000002</v>
      </c>
      <c r="J808">
        <v>-239.35489999999999</v>
      </c>
      <c r="K808">
        <v>1.109742</v>
      </c>
      <c r="L808">
        <v>368.79410000000001</v>
      </c>
      <c r="M808">
        <v>0.99988690000000002</v>
      </c>
      <c r="N808">
        <v>0</v>
      </c>
      <c r="O808">
        <v>-4.5849020000000001E-3</v>
      </c>
      <c r="P808">
        <v>0.99482499999999996</v>
      </c>
      <c r="Q808">
        <v>5.6463529999999998E-2</v>
      </c>
      <c r="R808">
        <v>-8.4470829999999997E-2</v>
      </c>
      <c r="S808">
        <v>2.9887999999999999</v>
      </c>
      <c r="T808">
        <v>-3.120494E-2</v>
      </c>
      <c r="U808">
        <v>-0.33694459999999998</v>
      </c>
      <c r="V808">
        <v>7.9959699999999995E-2</v>
      </c>
      <c r="W808">
        <v>7.0666800000000002E-2</v>
      </c>
      <c r="X808">
        <v>0.99429000000000001</v>
      </c>
      <c r="Y808">
        <v>0.1074629</v>
      </c>
      <c r="Z808">
        <v>-5.11485E-4</v>
      </c>
      <c r="AA808">
        <v>0.99420900000000001</v>
      </c>
      <c r="AB808">
        <v>31</v>
      </c>
      <c r="AC808">
        <v>81.159899999999993</v>
      </c>
      <c r="AD808">
        <v>-0.85070780000000001</v>
      </c>
      <c r="AE808">
        <v>-9.1829999999999892</v>
      </c>
      <c r="AF808">
        <v>8.8097993996833104</v>
      </c>
      <c r="AG808">
        <v>-0.85070780000000001</v>
      </c>
      <c r="AH808">
        <v>81.192346434349105</v>
      </c>
      <c r="AI808">
        <v>90.596802480196601</v>
      </c>
      <c r="AJ808">
        <v>83.807331697593597</v>
      </c>
      <c r="AK808">
        <v>81.6733334004374</v>
      </c>
      <c r="AL808">
        <v>85.947713015175793</v>
      </c>
      <c r="AM808">
        <v>85.402231427072195</v>
      </c>
      <c r="AN808">
        <v>0.99999997717316402</v>
      </c>
    </row>
    <row r="809" spans="1:40" x14ac:dyDescent="0.25">
      <c r="A809" t="str">
        <f>"20190312154520422"</f>
        <v>20190312154520422</v>
      </c>
      <c r="B809" t="str">
        <f>"1552376720416608"</f>
        <v>1552376720416608</v>
      </c>
      <c r="C809" t="s">
        <v>40</v>
      </c>
      <c r="D809">
        <v>4.080311</v>
      </c>
      <c r="E809">
        <v>0.51178230000000002</v>
      </c>
      <c r="F809" t="s">
        <v>46</v>
      </c>
      <c r="G809">
        <v>-158.19499999999999</v>
      </c>
      <c r="H809">
        <v>0.2263107</v>
      </c>
      <c r="I809">
        <v>359.59030000000001</v>
      </c>
      <c r="J809">
        <v>-239.04910000000001</v>
      </c>
      <c r="K809">
        <v>1.1097429999999999</v>
      </c>
      <c r="L809">
        <v>368.79230000000001</v>
      </c>
      <c r="M809">
        <v>0.99988529999999998</v>
      </c>
      <c r="N809">
        <v>0</v>
      </c>
      <c r="O809">
        <v>-4.9122230000000003E-3</v>
      </c>
      <c r="P809">
        <v>0.99478940000000005</v>
      </c>
      <c r="Q809">
        <v>5.6839130000000002E-2</v>
      </c>
      <c r="R809">
        <v>-8.4638829999999998E-2</v>
      </c>
      <c r="S809">
        <v>2.988693</v>
      </c>
      <c r="T809">
        <v>-3.2528880000000003E-2</v>
      </c>
      <c r="U809">
        <v>-0.33892820000000001</v>
      </c>
      <c r="V809">
        <v>7.9802120000000004E-2</v>
      </c>
      <c r="W809">
        <v>7.1042060000000004E-2</v>
      </c>
      <c r="X809">
        <v>0.99427589999999999</v>
      </c>
      <c r="Y809">
        <v>0.1077924</v>
      </c>
      <c r="Z809">
        <v>-5.3142040000000003E-4</v>
      </c>
      <c r="AA809">
        <v>0.99417330000000004</v>
      </c>
      <c r="AB809">
        <v>31</v>
      </c>
      <c r="AC809">
        <v>80.854100000000003</v>
      </c>
      <c r="AD809">
        <v>-0.88343229999999995</v>
      </c>
      <c r="AE809">
        <v>-9.2019999999999893</v>
      </c>
      <c r="AF809">
        <v>8.8036372522098798</v>
      </c>
      <c r="AG809">
        <v>-0.88343229999999995</v>
      </c>
      <c r="AH809">
        <v>80.888797942514003</v>
      </c>
      <c r="AI809">
        <v>90.622061598761704</v>
      </c>
      <c r="AJ809">
        <v>83.788587948678497</v>
      </c>
      <c r="AK809">
        <v>81.371260983728405</v>
      </c>
      <c r="AL809">
        <v>85.926157951226699</v>
      </c>
      <c r="AM809">
        <v>85.411188915883997</v>
      </c>
      <c r="AN809">
        <v>0.99999995898317295</v>
      </c>
    </row>
    <row r="810" spans="1:40" x14ac:dyDescent="0.25">
      <c r="A810" t="str">
        <f>"20190312154520444"</f>
        <v>20190312154520444</v>
      </c>
      <c r="B810" t="str">
        <f>"1552376720437107"</f>
        <v>1552376720437107</v>
      </c>
      <c r="C810" t="s">
        <v>40</v>
      </c>
      <c r="D810">
        <v>4.099437</v>
      </c>
      <c r="E810">
        <v>0.51196649999999999</v>
      </c>
      <c r="F810" t="s">
        <v>46</v>
      </c>
      <c r="G810">
        <v>-158.19499999999999</v>
      </c>
      <c r="H810">
        <v>0.2048798</v>
      </c>
      <c r="I810">
        <v>359.56189999999998</v>
      </c>
      <c r="J810">
        <v>-238.7353</v>
      </c>
      <c r="K810">
        <v>1.109742</v>
      </c>
      <c r="L810">
        <v>368.79039999999998</v>
      </c>
      <c r="M810">
        <v>0.99988350000000004</v>
      </c>
      <c r="N810">
        <v>0</v>
      </c>
      <c r="O810">
        <v>-5.2480039999999997E-3</v>
      </c>
      <c r="P810">
        <v>0.99476900000000001</v>
      </c>
      <c r="Q810">
        <v>5.6933739999999997E-2</v>
      </c>
      <c r="R810">
        <v>-8.4813070000000004E-2</v>
      </c>
      <c r="S810">
        <v>2.9886170000000001</v>
      </c>
      <c r="T810">
        <v>-3.344333E-2</v>
      </c>
      <c r="U810">
        <v>-0.3411865</v>
      </c>
      <c r="V810">
        <v>7.9642359999999995E-2</v>
      </c>
      <c r="W810">
        <v>7.1136249999999998E-2</v>
      </c>
      <c r="X810">
        <v>0.994282</v>
      </c>
      <c r="Y810">
        <v>0.1082027</v>
      </c>
      <c r="Z810">
        <v>-5.4489230000000005E-4</v>
      </c>
      <c r="AA810">
        <v>0.99412869999999998</v>
      </c>
      <c r="AB810">
        <v>31</v>
      </c>
      <c r="AC810">
        <v>80.540300000000002</v>
      </c>
      <c r="AD810">
        <v>-0.90486219999999995</v>
      </c>
      <c r="AE810">
        <v>-9.2284999999999897</v>
      </c>
      <c r="AF810">
        <v>8.8045567123626292</v>
      </c>
      <c r="AG810">
        <v>-0.90486219999999995</v>
      </c>
      <c r="AH810">
        <v>80.577587902672903</v>
      </c>
      <c r="AI810">
        <v>90.639580921674707</v>
      </c>
      <c r="AJ810">
        <v>83.764140498621998</v>
      </c>
      <c r="AK810">
        <v>81.062239462743506</v>
      </c>
      <c r="AL810">
        <v>85.920747673459005</v>
      </c>
      <c r="AM810">
        <v>85.420364355037805</v>
      </c>
      <c r="AN810">
        <v>0.99999998354721598</v>
      </c>
    </row>
    <row r="811" spans="1:40" x14ac:dyDescent="0.25">
      <c r="A811" t="str">
        <f>"20190312154520466"</f>
        <v>20190312154520466</v>
      </c>
      <c r="B811" t="str">
        <f>"1552376720456624"</f>
        <v>1552376720456624</v>
      </c>
      <c r="C811" t="s">
        <v>40</v>
      </c>
      <c r="D811">
        <v>4.1217709999999999</v>
      </c>
      <c r="E811">
        <v>0.51212550000000001</v>
      </c>
      <c r="F811" t="s">
        <v>46</v>
      </c>
      <c r="G811">
        <v>-158.19499999999999</v>
      </c>
      <c r="H811">
        <v>0.18295</v>
      </c>
      <c r="I811">
        <v>359.5444</v>
      </c>
      <c r="J811">
        <v>-238.428</v>
      </c>
      <c r="K811">
        <v>1.109742</v>
      </c>
      <c r="L811">
        <v>368.7885</v>
      </c>
      <c r="M811">
        <v>0.99988169999999998</v>
      </c>
      <c r="N811">
        <v>0</v>
      </c>
      <c r="O811">
        <v>-5.5771070000000004E-3</v>
      </c>
      <c r="P811">
        <v>0.99474899999999999</v>
      </c>
      <c r="Q811">
        <v>5.6711739999999997E-2</v>
      </c>
      <c r="R811">
        <v>-8.519438E-2</v>
      </c>
      <c r="S811">
        <v>2.98848</v>
      </c>
      <c r="T811">
        <v>-3.4385680000000002E-2</v>
      </c>
      <c r="U811">
        <v>-0.34307860000000001</v>
      </c>
      <c r="V811">
        <v>7.9696039999999996E-2</v>
      </c>
      <c r="W811">
        <v>7.0914130000000006E-2</v>
      </c>
      <c r="X811">
        <v>0.9942936</v>
      </c>
      <c r="Y811">
        <v>0.1085015</v>
      </c>
      <c r="Z811">
        <v>-5.5819029999999996E-4</v>
      </c>
      <c r="AA811">
        <v>0.99409610000000004</v>
      </c>
      <c r="AB811">
        <v>31</v>
      </c>
      <c r="AC811">
        <v>80.233000000000004</v>
      </c>
      <c r="AD811">
        <v>-0.92679199999999995</v>
      </c>
      <c r="AE811">
        <v>-9.2440999999999995</v>
      </c>
      <c r="AF811">
        <v>8.7952840045744907</v>
      </c>
      <c r="AG811">
        <v>-0.92679199999999995</v>
      </c>
      <c r="AH811">
        <v>80.272741983395306</v>
      </c>
      <c r="AI811">
        <v>90.657546403046197</v>
      </c>
      <c r="AJ811">
        <v>83.747186581146494</v>
      </c>
      <c r="AK811">
        <v>80.758461288369901</v>
      </c>
      <c r="AL811">
        <v>85.933506573785607</v>
      </c>
      <c r="AM811">
        <v>85.417344000425103</v>
      </c>
      <c r="AN811">
        <v>1.0000000178131401</v>
      </c>
    </row>
    <row r="812" spans="1:40" x14ac:dyDescent="0.25">
      <c r="A812" t="str">
        <f>"20190312154520489"</f>
        <v>20190312154520489</v>
      </c>
      <c r="B812" t="str">
        <f>"1552376720477121"</f>
        <v>1552376720477121</v>
      </c>
      <c r="C812" t="s">
        <v>40</v>
      </c>
      <c r="D812">
        <v>4.1086619999999998</v>
      </c>
      <c r="E812">
        <v>0.5122428</v>
      </c>
      <c r="F812" t="s">
        <v>46</v>
      </c>
      <c r="G812">
        <v>-158.19499999999999</v>
      </c>
      <c r="H812">
        <v>0.1188145</v>
      </c>
      <c r="I812">
        <v>359.51089999999999</v>
      </c>
      <c r="J812">
        <v>-238.11080000000001</v>
      </c>
      <c r="K812">
        <v>1.109745</v>
      </c>
      <c r="L812">
        <v>368.78629999999998</v>
      </c>
      <c r="M812">
        <v>0.99987979999999999</v>
      </c>
      <c r="N812">
        <v>0</v>
      </c>
      <c r="O812">
        <v>-5.9174070000000004E-3</v>
      </c>
      <c r="P812">
        <v>0.99476949999999997</v>
      </c>
      <c r="Q812">
        <v>5.683742E-2</v>
      </c>
      <c r="R812">
        <v>-8.4872669999999997E-2</v>
      </c>
      <c r="S812">
        <v>2.9883419999999998</v>
      </c>
      <c r="T812">
        <v>-3.6904569999999998E-2</v>
      </c>
      <c r="U812">
        <v>-0.34555049999999998</v>
      </c>
      <c r="V812">
        <v>7.9035359999999999E-2</v>
      </c>
      <c r="W812">
        <v>7.1040179999999994E-2</v>
      </c>
      <c r="X812">
        <v>0.99433729999999998</v>
      </c>
      <c r="Y812">
        <v>0.1089789</v>
      </c>
      <c r="Z812">
        <v>-5.9782559999999995E-4</v>
      </c>
      <c r="AA812">
        <v>0.99404389999999998</v>
      </c>
      <c r="AB812">
        <v>31</v>
      </c>
      <c r="AC812">
        <v>79.915800000000004</v>
      </c>
      <c r="AD812">
        <v>-0.99093050000000005</v>
      </c>
      <c r="AE812">
        <v>-9.2753999999999905</v>
      </c>
      <c r="AF812">
        <v>8.8009595120606896</v>
      </c>
      <c r="AG812">
        <v>-0.99093050000000005</v>
      </c>
      <c r="AH812">
        <v>79.957162323160802</v>
      </c>
      <c r="AI812">
        <v>90.705783379125805</v>
      </c>
      <c r="AJ812">
        <v>83.718685929248807</v>
      </c>
      <c r="AK812">
        <v>80.446172303976297</v>
      </c>
      <c r="AL812">
        <v>85.926266028915904</v>
      </c>
      <c r="AM812">
        <v>85.455373295262802</v>
      </c>
      <c r="AN812">
        <v>0.99999998073802498</v>
      </c>
    </row>
    <row r="813" spans="1:40" x14ac:dyDescent="0.25">
      <c r="A813" t="str">
        <f>"20190312154520511"</f>
        <v>20190312154520511</v>
      </c>
      <c r="B813" t="str">
        <f>"1552376720496641"</f>
        <v>1552376720496641</v>
      </c>
      <c r="C813" t="s">
        <v>40</v>
      </c>
      <c r="D813">
        <v>4.1557700000000004</v>
      </c>
      <c r="E813">
        <v>0.51240339999999995</v>
      </c>
      <c r="F813" t="s">
        <v>46</v>
      </c>
      <c r="G813">
        <v>-158.19499999999999</v>
      </c>
      <c r="H813">
        <v>9.6626279999999995E-2</v>
      </c>
      <c r="I813">
        <v>359.54579999999999</v>
      </c>
      <c r="J813">
        <v>-237.8126</v>
      </c>
      <c r="K813">
        <v>1.1097539999999999</v>
      </c>
      <c r="L813">
        <v>368.7842</v>
      </c>
      <c r="M813">
        <v>0.99987789999999999</v>
      </c>
      <c r="N813">
        <v>0</v>
      </c>
      <c r="O813">
        <v>-6.2369679999999999E-3</v>
      </c>
      <c r="P813">
        <v>0.99473880000000003</v>
      </c>
      <c r="Q813">
        <v>5.7436000000000001E-2</v>
      </c>
      <c r="R813">
        <v>-8.4830829999999996E-2</v>
      </c>
      <c r="S813">
        <v>2.988464</v>
      </c>
      <c r="T813">
        <v>-3.7882449999999998E-2</v>
      </c>
      <c r="U813">
        <v>-0.34555049999999998</v>
      </c>
      <c r="V813">
        <v>7.867586E-2</v>
      </c>
      <c r="W813">
        <v>7.1637549999999994E-2</v>
      </c>
      <c r="X813">
        <v>0.99432299999999996</v>
      </c>
      <c r="Y813">
        <v>0.10865610000000001</v>
      </c>
      <c r="Z813">
        <v>-6.0756479999999995E-4</v>
      </c>
      <c r="AA813">
        <v>0.99407920000000005</v>
      </c>
      <c r="AB813">
        <v>31</v>
      </c>
      <c r="AC813">
        <v>79.617599999999996</v>
      </c>
      <c r="AD813">
        <v>-1.01312772</v>
      </c>
      <c r="AE813">
        <v>-9.2384000000000093</v>
      </c>
      <c r="AF813">
        <v>8.7402004315219699</v>
      </c>
      <c r="AG813">
        <v>-1.01312772</v>
      </c>
      <c r="AH813">
        <v>79.660949009302001</v>
      </c>
      <c r="AI813">
        <v>90.724302233664304</v>
      </c>
      <c r="AJ813">
        <v>83.738694365132005</v>
      </c>
      <c r="AK813">
        <v>80.145394929607903</v>
      </c>
      <c r="AL813">
        <v>85.891952018321106</v>
      </c>
      <c r="AM813">
        <v>85.475894170252104</v>
      </c>
      <c r="AN813">
        <v>1.0000000289228701</v>
      </c>
    </row>
    <row r="814" spans="1:40" x14ac:dyDescent="0.25">
      <c r="A814" t="str">
        <f>"20190312154520534"</f>
        <v>20190312154520534</v>
      </c>
      <c r="B814" t="str">
        <f>"1552376720527406"</f>
        <v>1552376720527406</v>
      </c>
      <c r="C814" t="s">
        <v>40</v>
      </c>
      <c r="D814">
        <v>4.1853759999999998</v>
      </c>
      <c r="E814">
        <v>0.51265039999999995</v>
      </c>
      <c r="F814" t="s">
        <v>46</v>
      </c>
      <c r="G814">
        <v>-158.19499999999999</v>
      </c>
      <c r="H814">
        <v>0.1065035</v>
      </c>
      <c r="I814">
        <v>359.55470000000003</v>
      </c>
      <c r="J814">
        <v>-237.49770000000001</v>
      </c>
      <c r="K814">
        <v>1.109761</v>
      </c>
      <c r="L814">
        <v>368.78179999999998</v>
      </c>
      <c r="M814">
        <v>0.99987590000000004</v>
      </c>
      <c r="N814">
        <v>0</v>
      </c>
      <c r="O814">
        <v>-6.5746449999999996E-3</v>
      </c>
      <c r="P814">
        <v>0.99471529999999997</v>
      </c>
      <c r="Q814">
        <v>5.7139769999999999E-2</v>
      </c>
      <c r="R814">
        <v>-8.5304550000000007E-2</v>
      </c>
      <c r="S814">
        <v>2.9884949999999999</v>
      </c>
      <c r="T814">
        <v>-3.7654279999999998E-2</v>
      </c>
      <c r="U814">
        <v>-0.34643550000000001</v>
      </c>
      <c r="V814">
        <v>7.8813369999999994E-2</v>
      </c>
      <c r="W814">
        <v>7.1339819999999998E-2</v>
      </c>
      <c r="X814">
        <v>0.99433349999999998</v>
      </c>
      <c r="Y814">
        <v>0.1086099</v>
      </c>
      <c r="Z814">
        <v>-5.9935909999999997E-4</v>
      </c>
      <c r="AA814">
        <v>0.99408419999999997</v>
      </c>
      <c r="AB814">
        <v>31</v>
      </c>
      <c r="AC814">
        <v>79.302700000000002</v>
      </c>
      <c r="AD814">
        <v>-1.0032574999999999</v>
      </c>
      <c r="AE814">
        <v>-9.2270999999999397</v>
      </c>
      <c r="AF814">
        <v>8.7040855325410202</v>
      </c>
      <c r="AG814">
        <v>-1.0032574999999999</v>
      </c>
      <c r="AH814">
        <v>79.349126789396607</v>
      </c>
      <c r="AI814">
        <v>90.720066761171793</v>
      </c>
      <c r="AJ814">
        <v>83.7400518013349</v>
      </c>
      <c r="AK814">
        <v>79.831394531279699</v>
      </c>
      <c r="AL814">
        <v>85.909054384049298</v>
      </c>
      <c r="AM814">
        <v>85.468067487914396</v>
      </c>
      <c r="AN814">
        <v>1.00000001321531</v>
      </c>
    </row>
    <row r="815" spans="1:40" x14ac:dyDescent="0.25">
      <c r="A815" t="str">
        <f>"20190312154520555"</f>
        <v>20190312154520555</v>
      </c>
      <c r="B815" t="str">
        <f>"1552376720546922"</f>
        <v>1552376720546922</v>
      </c>
      <c r="C815" t="s">
        <v>40</v>
      </c>
      <c r="D815">
        <v>4.1924239999999999</v>
      </c>
      <c r="E815">
        <v>0.51348509999999903</v>
      </c>
      <c r="F815" t="s">
        <v>43</v>
      </c>
      <c r="G815">
        <v>-154.19829999999999</v>
      </c>
      <c r="H815">
        <v>-0.05</v>
      </c>
      <c r="I815">
        <v>359.03919999999999</v>
      </c>
      <c r="J815">
        <v>-237.19399999999999</v>
      </c>
      <c r="K815">
        <v>1.1097570000000001</v>
      </c>
      <c r="L815">
        <v>368.77949999999998</v>
      </c>
      <c r="M815">
        <v>0.99987349999999997</v>
      </c>
      <c r="N815">
        <v>0</v>
      </c>
      <c r="O815">
        <v>-6.9000440000000001E-3</v>
      </c>
      <c r="P815">
        <v>0.99466339999999998</v>
      </c>
      <c r="Q815">
        <v>5.7222969999999998E-2</v>
      </c>
      <c r="R815">
        <v>-8.5850770000000007E-2</v>
      </c>
      <c r="S815">
        <v>2.9883730000000002</v>
      </c>
      <c r="T815">
        <v>-4.1606549999999999E-2</v>
      </c>
      <c r="U815">
        <v>-0.34951779999999999</v>
      </c>
      <c r="V815">
        <v>7.9035899999999895E-2</v>
      </c>
      <c r="W815">
        <v>7.1420670000000006E-2</v>
      </c>
      <c r="X815">
        <v>0.99431000000000003</v>
      </c>
      <c r="Y815">
        <v>0.1093008</v>
      </c>
      <c r="Z815">
        <v>-6.6252949999999998E-4</v>
      </c>
      <c r="AA815">
        <v>0.99400849999999996</v>
      </c>
      <c r="AB815">
        <v>31</v>
      </c>
      <c r="AC815">
        <v>82.995699999999999</v>
      </c>
      <c r="AD815">
        <v>-1.1597569999999999</v>
      </c>
      <c r="AE815">
        <v>-9.7402999999999906</v>
      </c>
      <c r="AF815">
        <v>9.1655698885096708</v>
      </c>
      <c r="AG815">
        <v>-1.1597569999999999</v>
      </c>
      <c r="AH815">
        <v>83.044943829285899</v>
      </c>
      <c r="AI815">
        <v>90.795278788551698</v>
      </c>
      <c r="AJ815">
        <v>83.701824908097905</v>
      </c>
      <c r="AK815">
        <v>83.557258232241296</v>
      </c>
      <c r="AL815">
        <v>85.904410040979698</v>
      </c>
      <c r="AM815">
        <v>85.4552181182829</v>
      </c>
      <c r="AN815">
        <v>0.99999998084602904</v>
      </c>
    </row>
    <row r="816" spans="1:40" x14ac:dyDescent="0.25">
      <c r="A816" t="str">
        <f>"20190312154520579"</f>
        <v>20190312154520579</v>
      </c>
      <c r="B816" t="str">
        <f>"1552376720567419"</f>
        <v>1552376720567419</v>
      </c>
      <c r="C816" t="s">
        <v>40</v>
      </c>
      <c r="D816">
        <v>4.2075149999999999</v>
      </c>
      <c r="E816">
        <v>0.5441608</v>
      </c>
      <c r="F816" t="s">
        <v>43</v>
      </c>
      <c r="G816">
        <v>-156.227</v>
      </c>
      <c r="H816">
        <v>-0.05</v>
      </c>
      <c r="I816">
        <v>359.07920000000001</v>
      </c>
      <c r="J816">
        <v>-236.87629999999999</v>
      </c>
      <c r="K816">
        <v>1.109756</v>
      </c>
      <c r="L816">
        <v>368.77690000000001</v>
      </c>
      <c r="M816">
        <v>0.99987119999999996</v>
      </c>
      <c r="N816">
        <v>0</v>
      </c>
      <c r="O816">
        <v>-7.2409369999999898E-3</v>
      </c>
      <c r="P816">
        <v>0.99462159999999999</v>
      </c>
      <c r="Q816">
        <v>5.6535960000000003E-2</v>
      </c>
      <c r="R816">
        <v>-8.6784910000000007E-2</v>
      </c>
      <c r="S816">
        <v>2.9876860000000001</v>
      </c>
      <c r="T816">
        <v>-4.2795060000000003E-2</v>
      </c>
      <c r="U816">
        <v>-0.3579407</v>
      </c>
      <c r="V816">
        <v>7.9630469999999995E-2</v>
      </c>
      <c r="W816">
        <v>7.0731009999999997E-2</v>
      </c>
      <c r="X816">
        <v>0.99431190000000003</v>
      </c>
      <c r="Y816">
        <v>0.11175069999999999</v>
      </c>
      <c r="Z816">
        <v>-6.9411449999999997E-4</v>
      </c>
      <c r="AA816">
        <v>0.99373599999999995</v>
      </c>
      <c r="AB816">
        <v>31</v>
      </c>
      <c r="AC816">
        <v>80.649299999999897</v>
      </c>
      <c r="AD816">
        <v>-1.159756</v>
      </c>
      <c r="AE816">
        <v>-9.6976999999999904</v>
      </c>
      <c r="AF816">
        <v>9.1115519682794606</v>
      </c>
      <c r="AG816">
        <v>-1.159756</v>
      </c>
      <c r="AH816">
        <v>80.700962515061804</v>
      </c>
      <c r="AI816">
        <v>90.8181452680832</v>
      </c>
      <c r="AJ816">
        <v>83.558292659320202</v>
      </c>
      <c r="AK816">
        <v>81.221984487622606</v>
      </c>
      <c r="AL816">
        <v>85.944025002211703</v>
      </c>
      <c r="AM816">
        <v>85.4211822606906</v>
      </c>
      <c r="AN816">
        <v>1.0000000210048201</v>
      </c>
    </row>
    <row r="817" spans="1:40" x14ac:dyDescent="0.25">
      <c r="A817" t="str">
        <f>"20190312154520600"</f>
        <v>20190312154520600</v>
      </c>
      <c r="B817" t="str">
        <f>"1552376720596699"</f>
        <v>1552376720596699</v>
      </c>
      <c r="C817" t="s">
        <v>40</v>
      </c>
      <c r="D817">
        <v>4.2278479999999998</v>
      </c>
      <c r="E817">
        <v>0.54801449999999996</v>
      </c>
      <c r="F817" t="s">
        <v>51</v>
      </c>
      <c r="G817">
        <v>-198.8724</v>
      </c>
      <c r="H817" s="1">
        <v>-9.7413290000000004E-6</v>
      </c>
      <c r="I817">
        <v>361.05250000000001</v>
      </c>
      <c r="J817">
        <v>-236.57040000000001</v>
      </c>
      <c r="K817">
        <v>1.109758</v>
      </c>
      <c r="L817">
        <v>368.77440000000001</v>
      </c>
      <c r="M817">
        <v>0.9998688</v>
      </c>
      <c r="N817">
        <v>0</v>
      </c>
      <c r="O817">
        <v>-7.5689559999999999E-3</v>
      </c>
      <c r="P817">
        <v>0.99455450000000001</v>
      </c>
      <c r="Q817">
        <v>5.6254520000000002E-2</v>
      </c>
      <c r="R817">
        <v>-8.7731589999999998E-2</v>
      </c>
      <c r="S817">
        <v>2.9685060000000001</v>
      </c>
      <c r="T817">
        <v>-8.668447E-2</v>
      </c>
      <c r="U817">
        <v>-0.60336299999999998</v>
      </c>
      <c r="V817">
        <v>8.0250970000000005E-2</v>
      </c>
      <c r="W817">
        <v>7.0446579999999995E-2</v>
      </c>
      <c r="X817">
        <v>0.9942822</v>
      </c>
      <c r="Y817">
        <v>0.19168299999999999</v>
      </c>
      <c r="Z817">
        <v>-2.5510870000000001E-3</v>
      </c>
      <c r="AA817">
        <v>0.98145360000000004</v>
      </c>
      <c r="AB817">
        <v>31</v>
      </c>
      <c r="AC817">
        <v>37.698</v>
      </c>
      <c r="AD817">
        <v>-1.1097677413289999</v>
      </c>
      <c r="AE817">
        <v>-7.7218999999999998</v>
      </c>
      <c r="AF817">
        <v>7.4301351963333797</v>
      </c>
      <c r="AG817">
        <v>-1.1097677413289999</v>
      </c>
      <c r="AH817">
        <v>37.723996809632098</v>
      </c>
      <c r="AI817">
        <v>91.653300794562298</v>
      </c>
      <c r="AJ817">
        <v>78.857620446817805</v>
      </c>
      <c r="AK817">
        <v>38.464768669116197</v>
      </c>
      <c r="AL817">
        <v>85.960362373981894</v>
      </c>
      <c r="AM817">
        <v>85.385519244471695</v>
      </c>
      <c r="AN817">
        <v>1.0000000160282301</v>
      </c>
    </row>
    <row r="818" spans="1:40" x14ac:dyDescent="0.25">
      <c r="A818" t="str">
        <f>"20190312154520623"</f>
        <v>20190312154520623</v>
      </c>
      <c r="B818" t="str">
        <f>"1552376720617195"</f>
        <v>1552376720617195</v>
      </c>
      <c r="C818" t="s">
        <v>40</v>
      </c>
      <c r="D818">
        <v>4.1990610000000004</v>
      </c>
      <c r="E818">
        <v>0.54845449999999996</v>
      </c>
      <c r="F818" t="s">
        <v>51</v>
      </c>
      <c r="G818">
        <v>-202.1867</v>
      </c>
      <c r="H818" s="1">
        <v>-3.3617279999999999E-6</v>
      </c>
      <c r="I818">
        <v>361.39670000000001</v>
      </c>
      <c r="J818">
        <v>-236.26750000000001</v>
      </c>
      <c r="K818">
        <v>1.109766</v>
      </c>
      <c r="L818">
        <v>368.77170000000001</v>
      </c>
      <c r="M818">
        <v>0.99986640000000004</v>
      </c>
      <c r="N818">
        <v>0</v>
      </c>
      <c r="O818">
        <v>-7.8939939999999997E-3</v>
      </c>
      <c r="P818">
        <v>0.99446730000000005</v>
      </c>
      <c r="Q818">
        <v>5.6325220000000002E-2</v>
      </c>
      <c r="R818">
        <v>-8.8670650000000004E-2</v>
      </c>
      <c r="S818">
        <v>2.9657140000000002</v>
      </c>
      <c r="T818">
        <v>-9.5720769999999997E-2</v>
      </c>
      <c r="U818">
        <v>-0.63635249999999999</v>
      </c>
      <c r="V818">
        <v>8.086699E-2</v>
      </c>
      <c r="W818">
        <v>7.0514110000000005E-2</v>
      </c>
      <c r="X818">
        <v>0.99422750000000004</v>
      </c>
      <c r="Y818">
        <v>0.2019724</v>
      </c>
      <c r="Z818">
        <v>-2.970098E-3</v>
      </c>
      <c r="AA818">
        <v>0.97938670000000005</v>
      </c>
      <c r="AB818">
        <v>31</v>
      </c>
      <c r="AC818">
        <v>34.080800000000004</v>
      </c>
      <c r="AD818">
        <v>-1.109769361728</v>
      </c>
      <c r="AE818">
        <v>-7.375</v>
      </c>
      <c r="AF818">
        <v>7.0985188125059597</v>
      </c>
      <c r="AG818">
        <v>-1.109769361728</v>
      </c>
      <c r="AH818">
        <v>34.1034183865711</v>
      </c>
      <c r="AI818">
        <v>91.824739000513802</v>
      </c>
      <c r="AJ818">
        <v>78.241952183022306</v>
      </c>
      <c r="AK818">
        <v>34.8520258093737</v>
      </c>
      <c r="AL818">
        <v>85.956483543003799</v>
      </c>
      <c r="AM818">
        <v>85.349997743729304</v>
      </c>
      <c r="AN818">
        <v>1.0000000157685001</v>
      </c>
    </row>
    <row r="819" spans="1:40" x14ac:dyDescent="0.25">
      <c r="A819" t="str">
        <f>"20190312154520645"</f>
        <v>20190312154520645</v>
      </c>
      <c r="B819" t="str">
        <f>"1552376720636714"</f>
        <v>1552376720636714</v>
      </c>
      <c r="C819" t="s">
        <v>40</v>
      </c>
      <c r="D819">
        <v>4.1511149999999999</v>
      </c>
      <c r="E819">
        <v>0.54851450000000002</v>
      </c>
      <c r="F819" t="s">
        <v>51</v>
      </c>
      <c r="G819">
        <v>-202.01820000000001</v>
      </c>
      <c r="H819" s="1">
        <v>-3.2877030000000002E-6</v>
      </c>
      <c r="I819">
        <v>361.34800000000001</v>
      </c>
      <c r="J819">
        <v>-235.96539999999999</v>
      </c>
      <c r="K819">
        <v>1.109764</v>
      </c>
      <c r="L819">
        <v>368.76900000000001</v>
      </c>
      <c r="M819">
        <v>0.99986390000000003</v>
      </c>
      <c r="N819">
        <v>0</v>
      </c>
      <c r="O819">
        <v>-8.2181990000000007E-3</v>
      </c>
      <c r="P819">
        <v>0.99445430000000001</v>
      </c>
      <c r="Q819">
        <v>5.5946419999999997E-2</v>
      </c>
      <c r="R819">
        <v>-8.9055839999999997E-2</v>
      </c>
      <c r="S819">
        <v>2.9648279999999998</v>
      </c>
      <c r="T819">
        <v>-9.6068260000000003E-2</v>
      </c>
      <c r="U819">
        <v>-0.64263919999999997</v>
      </c>
      <c r="V819">
        <v>8.0929299999999996E-2</v>
      </c>
      <c r="W819">
        <v>7.0133109999999999E-2</v>
      </c>
      <c r="X819">
        <v>0.9942493</v>
      </c>
      <c r="Y819">
        <v>0.2036975</v>
      </c>
      <c r="Z819">
        <v>-2.9983280000000002E-3</v>
      </c>
      <c r="AA819">
        <v>0.97902929999999999</v>
      </c>
      <c r="AB819">
        <v>31</v>
      </c>
      <c r="AC819">
        <v>33.947199999999903</v>
      </c>
      <c r="AD819">
        <v>-1.109767287703</v>
      </c>
      <c r="AE819">
        <v>-7.4209999999999896</v>
      </c>
      <c r="AF819">
        <v>7.1344590925715199</v>
      </c>
      <c r="AG819">
        <v>-1.109767287703</v>
      </c>
      <c r="AH819">
        <v>33.972396424229501</v>
      </c>
      <c r="AI819">
        <v>91.831086128160607</v>
      </c>
      <c r="AJ819">
        <v>78.139807614595199</v>
      </c>
      <c r="AK819">
        <v>34.731193598571203</v>
      </c>
      <c r="AL819">
        <v>85.978367099467206</v>
      </c>
      <c r="AM819">
        <v>85.346532119638695</v>
      </c>
      <c r="AN819">
        <v>0.99999993763362405</v>
      </c>
    </row>
    <row r="820" spans="1:40" x14ac:dyDescent="0.25">
      <c r="A820" t="str">
        <f>"20190312154520667"</f>
        <v>20190312154520667</v>
      </c>
      <c r="B820" t="str">
        <f>"1552376720657211"</f>
        <v>1552376720657211</v>
      </c>
      <c r="C820" t="s">
        <v>40</v>
      </c>
      <c r="D820">
        <v>4.166849</v>
      </c>
      <c r="E820">
        <v>0.54882909999999996</v>
      </c>
      <c r="F820" t="s">
        <v>51</v>
      </c>
      <c r="G820">
        <v>-202.55840000000001</v>
      </c>
      <c r="H820" s="1">
        <v>-3.524534E-6</v>
      </c>
      <c r="I820">
        <v>361.5059</v>
      </c>
      <c r="J820">
        <v>-235.65280000000001</v>
      </c>
      <c r="K820">
        <v>1.1097669999999999</v>
      </c>
      <c r="L820">
        <v>368.76609999999999</v>
      </c>
      <c r="M820">
        <v>0.999861</v>
      </c>
      <c r="N820">
        <v>0</v>
      </c>
      <c r="O820">
        <v>-8.5540770000000002E-3</v>
      </c>
      <c r="P820">
        <v>0.99442030000000003</v>
      </c>
      <c r="Q820">
        <v>5.6034680000000003E-2</v>
      </c>
      <c r="R820">
        <v>-8.9379479999999997E-2</v>
      </c>
      <c r="S820">
        <v>2.964569</v>
      </c>
      <c r="T820">
        <v>-9.8481769999999996E-2</v>
      </c>
      <c r="U820">
        <v>-0.64453130000000003</v>
      </c>
      <c r="V820">
        <v>8.091864E-2</v>
      </c>
      <c r="W820">
        <v>7.0219199999999996E-2</v>
      </c>
      <c r="X820">
        <v>0.99424420000000002</v>
      </c>
      <c r="Y820">
        <v>0.2039781</v>
      </c>
      <c r="Z820">
        <v>-3.0672569999999999E-3</v>
      </c>
      <c r="AA820">
        <v>0.97897060000000002</v>
      </c>
      <c r="AB820">
        <v>31</v>
      </c>
      <c r="AC820">
        <v>33.0944</v>
      </c>
      <c r="AD820">
        <v>-1.1097705245339999</v>
      </c>
      <c r="AE820">
        <v>-7.2601999999999904</v>
      </c>
      <c r="AF820">
        <v>6.9693361489246097</v>
      </c>
      <c r="AG820">
        <v>-1.1097705245339999</v>
      </c>
      <c r="AH820">
        <v>33.119766697894498</v>
      </c>
      <c r="AI820">
        <v>91.878038457465294</v>
      </c>
      <c r="AJ820">
        <v>78.116719706448393</v>
      </c>
      <c r="AK820">
        <v>33.863286655267103</v>
      </c>
      <c r="AL820">
        <v>85.973422750919795</v>
      </c>
      <c r="AM820">
        <v>85.347118620395406</v>
      </c>
      <c r="AN820">
        <v>1.00000004579086</v>
      </c>
    </row>
    <row r="821" spans="1:40" x14ac:dyDescent="0.25">
      <c r="A821" t="str">
        <f>"20190312154520689"</f>
        <v>20190312154520689</v>
      </c>
      <c r="B821" t="str">
        <f>"1552376720676731"</f>
        <v>1552376720676731</v>
      </c>
      <c r="C821" t="s">
        <v>40</v>
      </c>
      <c r="D821">
        <v>4.146102</v>
      </c>
      <c r="E821">
        <v>0.54925869999999999</v>
      </c>
      <c r="F821" t="s">
        <v>51</v>
      </c>
      <c r="G821">
        <v>-199.23480000000001</v>
      </c>
      <c r="H821" s="1">
        <v>-9.9092410000000004E-6</v>
      </c>
      <c r="I821">
        <v>360.80059999999997</v>
      </c>
      <c r="J821">
        <v>-235.35040000000001</v>
      </c>
      <c r="K821">
        <v>1.109764</v>
      </c>
      <c r="L821">
        <v>368.76310000000001</v>
      </c>
      <c r="M821">
        <v>0.99985809999999997</v>
      </c>
      <c r="N821">
        <v>0</v>
      </c>
      <c r="O821">
        <v>-8.8788730000000007E-3</v>
      </c>
      <c r="P821">
        <v>0.99443930000000003</v>
      </c>
      <c r="Q821">
        <v>5.5732080000000003E-2</v>
      </c>
      <c r="R821">
        <v>-8.9356270000000002E-2</v>
      </c>
      <c r="S821">
        <v>2.9636689999999999</v>
      </c>
      <c r="T821">
        <v>-9.0312719999999999E-2</v>
      </c>
      <c r="U821">
        <v>-0.64822389999999996</v>
      </c>
      <c r="V821">
        <v>8.0571690000000001E-2</v>
      </c>
      <c r="W821">
        <v>6.9914799999999999E-2</v>
      </c>
      <c r="X821">
        <v>0.99429380000000001</v>
      </c>
      <c r="Y821">
        <v>0.20490220000000001</v>
      </c>
      <c r="Z821">
        <v>-2.8175499999999998E-3</v>
      </c>
      <c r="AA821">
        <v>0.97877840000000005</v>
      </c>
      <c r="AB821">
        <v>31</v>
      </c>
      <c r="AC821">
        <v>36.115600000000001</v>
      </c>
      <c r="AD821">
        <v>-1.1097739092409999</v>
      </c>
      <c r="AE821">
        <v>-7.9625000000000297</v>
      </c>
      <c r="AF821">
        <v>7.63461268967803</v>
      </c>
      <c r="AG821">
        <v>-1.1097739092409999</v>
      </c>
      <c r="AH821">
        <v>36.152327524889202</v>
      </c>
      <c r="AI821">
        <v>91.720346951002597</v>
      </c>
      <c r="AJ821">
        <v>78.075537247303402</v>
      </c>
      <c r="AK821">
        <v>36.966331905098201</v>
      </c>
      <c r="AL821">
        <v>85.990906446458595</v>
      </c>
      <c r="AM821">
        <v>85.367211576812807</v>
      </c>
      <c r="AN821">
        <v>1.0000000186034601</v>
      </c>
    </row>
    <row r="822" spans="1:40" x14ac:dyDescent="0.25">
      <c r="A822" t="str">
        <f>"20190312154520711"</f>
        <v>20190312154520711</v>
      </c>
      <c r="B822" t="str">
        <f>"1552376720706992"</f>
        <v>1552376720706992</v>
      </c>
      <c r="C822" t="s">
        <v>40</v>
      </c>
      <c r="D822">
        <v>4.137982</v>
      </c>
      <c r="E822">
        <v>0.54977489999999996</v>
      </c>
      <c r="F822" t="s">
        <v>51</v>
      </c>
      <c r="G822">
        <v>-198.874</v>
      </c>
      <c r="H822" s="1">
        <v>-9.7865000000000002E-6</v>
      </c>
      <c r="I822">
        <v>360.74180000000001</v>
      </c>
      <c r="J822">
        <v>-235.0369</v>
      </c>
      <c r="K822">
        <v>1.109769</v>
      </c>
      <c r="L822">
        <v>368.75990000000002</v>
      </c>
      <c r="M822">
        <v>0.99985520000000006</v>
      </c>
      <c r="N822">
        <v>0</v>
      </c>
      <c r="O822">
        <v>-9.2155889999999997E-3</v>
      </c>
      <c r="P822">
        <v>0.99440189999999995</v>
      </c>
      <c r="Q822">
        <v>5.540585E-2</v>
      </c>
      <c r="R822">
        <v>-8.9974970000000001E-2</v>
      </c>
      <c r="S822">
        <v>2.9633029999999998</v>
      </c>
      <c r="T822">
        <v>-9.0156790000000001E-2</v>
      </c>
      <c r="U822">
        <v>-0.65164180000000005</v>
      </c>
      <c r="V822">
        <v>8.0855319999999994E-2</v>
      </c>
      <c r="W822">
        <v>6.9586090000000003E-2</v>
      </c>
      <c r="X822">
        <v>0.99429380000000001</v>
      </c>
      <c r="Y822">
        <v>0.205675</v>
      </c>
      <c r="Z822">
        <v>-2.8141820000000001E-3</v>
      </c>
      <c r="AA822">
        <v>0.97861629999999999</v>
      </c>
      <c r="AB822">
        <v>31</v>
      </c>
      <c r="AC822">
        <v>36.162899999999901</v>
      </c>
      <c r="AD822">
        <v>-1.1097787864999999</v>
      </c>
      <c r="AE822">
        <v>-8.0181000000000004</v>
      </c>
      <c r="AF822">
        <v>7.6775711861356397</v>
      </c>
      <c r="AG822">
        <v>-1.1097787864999999</v>
      </c>
      <c r="AH822">
        <v>36.202765909084597</v>
      </c>
      <c r="AI822">
        <v>91.717648794888802</v>
      </c>
      <c r="AJ822">
        <v>78.026598816199893</v>
      </c>
      <c r="AK822">
        <v>37.024545476496101</v>
      </c>
      <c r="AL822">
        <v>86.009785984389694</v>
      </c>
      <c r="AM822">
        <v>85.350974509217295</v>
      </c>
      <c r="AN822">
        <v>0.99999998370611498</v>
      </c>
    </row>
    <row r="823" spans="1:40" x14ac:dyDescent="0.25">
      <c r="A823" t="str">
        <f>"20190312154520735"</f>
        <v>20190312154520735</v>
      </c>
      <c r="B823" t="str">
        <f>"1552376720727483"</f>
        <v>1552376720727483</v>
      </c>
      <c r="C823" t="s">
        <v>40</v>
      </c>
      <c r="D823">
        <v>4.1373110000000004</v>
      </c>
      <c r="E823">
        <v>0.5501395</v>
      </c>
      <c r="F823" t="s">
        <v>51</v>
      </c>
      <c r="G823">
        <v>-198.26159999999999</v>
      </c>
      <c r="H823" s="1">
        <v>-9.5938540000000006E-6</v>
      </c>
      <c r="I823">
        <v>360.59769999999997</v>
      </c>
      <c r="J823">
        <v>-234.7311</v>
      </c>
      <c r="K823">
        <v>1.1097709999999901</v>
      </c>
      <c r="L823">
        <v>368.7568</v>
      </c>
      <c r="M823">
        <v>0.99985210000000002</v>
      </c>
      <c r="N823">
        <v>0</v>
      </c>
      <c r="O823">
        <v>-9.5440809999999994E-3</v>
      </c>
      <c r="P823">
        <v>0.99437500000000001</v>
      </c>
      <c r="Q823">
        <v>5.5076140000000003E-2</v>
      </c>
      <c r="R823">
        <v>-9.0470629999999996E-2</v>
      </c>
      <c r="S823">
        <v>2.9623870000000001</v>
      </c>
      <c r="T823">
        <v>-8.9396719999999999E-2</v>
      </c>
      <c r="U823">
        <v>-0.65750120000000001</v>
      </c>
      <c r="V823">
        <v>8.1023949999999997E-2</v>
      </c>
      <c r="W823">
        <v>6.9254079999999996E-2</v>
      </c>
      <c r="X823">
        <v>0.9943033</v>
      </c>
      <c r="Y823">
        <v>0.20726310000000001</v>
      </c>
      <c r="Z823">
        <v>-2.804604E-3</v>
      </c>
      <c r="AA823">
        <v>0.97828119999999996</v>
      </c>
      <c r="AB823">
        <v>31</v>
      </c>
      <c r="AC823">
        <v>36.469499999999996</v>
      </c>
      <c r="AD823">
        <v>-1.10978059385399</v>
      </c>
      <c r="AE823">
        <v>-8.15910000000002</v>
      </c>
      <c r="AF823">
        <v>7.8037429486488596</v>
      </c>
      <c r="AG823">
        <v>-1.10978059385399</v>
      </c>
      <c r="AH823">
        <v>36.513517601734399</v>
      </c>
      <c r="AI823">
        <v>91.702469913854301</v>
      </c>
      <c r="AJ823">
        <v>77.936125545351999</v>
      </c>
      <c r="AK823">
        <v>37.354611290003398</v>
      </c>
      <c r="AL823">
        <v>86.028854944716102</v>
      </c>
      <c r="AM823">
        <v>85.341365557218296</v>
      </c>
      <c r="AN823">
        <v>1.0000000302305601</v>
      </c>
    </row>
    <row r="824" spans="1:40" x14ac:dyDescent="0.25">
      <c r="A824" t="str">
        <f>"20190312154520756"</f>
        <v>20190312154520756</v>
      </c>
      <c r="B824" t="str">
        <f>"1552376720747002"</f>
        <v>1552376720747002</v>
      </c>
      <c r="C824" t="s">
        <v>40</v>
      </c>
      <c r="D824">
        <v>4.121651</v>
      </c>
      <c r="E824">
        <v>0.5503924</v>
      </c>
      <c r="F824" t="s">
        <v>51</v>
      </c>
      <c r="G824">
        <v>-198.7534</v>
      </c>
      <c r="H824" s="1">
        <v>-9.7481049999999994E-6</v>
      </c>
      <c r="I824">
        <v>360.71539999999999</v>
      </c>
      <c r="J824">
        <v>-234.42449999999999</v>
      </c>
      <c r="K824">
        <v>1.1097779999999999</v>
      </c>
      <c r="L824">
        <v>368.75349999999997</v>
      </c>
      <c r="M824">
        <v>0.99984899999999999</v>
      </c>
      <c r="N824">
        <v>0</v>
      </c>
      <c r="O824">
        <v>-9.8732890000000004E-3</v>
      </c>
      <c r="P824">
        <v>0.994336</v>
      </c>
      <c r="Q824">
        <v>5.4925229999999998E-2</v>
      </c>
      <c r="R824">
        <v>-9.0991619999999995E-2</v>
      </c>
      <c r="S824">
        <v>2.961792</v>
      </c>
      <c r="T824">
        <v>-9.1360449999999996E-2</v>
      </c>
      <c r="U824">
        <v>-0.66198729999999995</v>
      </c>
      <c r="V824">
        <v>8.1217269999999994E-2</v>
      </c>
      <c r="W824">
        <v>6.9099939999999999E-2</v>
      </c>
      <c r="X824">
        <v>0.99429820000000002</v>
      </c>
      <c r="Y824">
        <v>0.20838999999999999</v>
      </c>
      <c r="Z824">
        <v>-2.8734189999999999E-3</v>
      </c>
      <c r="AA824">
        <v>0.97804159999999996</v>
      </c>
      <c r="AB824">
        <v>31</v>
      </c>
      <c r="AC824">
        <v>35.671100000000003</v>
      </c>
      <c r="AD824">
        <v>-1.109787748105</v>
      </c>
      <c r="AE824">
        <v>-8.0380999999999805</v>
      </c>
      <c r="AF824">
        <v>7.6784079736379498</v>
      </c>
      <c r="AG824">
        <v>-1.109787748105</v>
      </c>
      <c r="AH824">
        <v>35.715831497136101</v>
      </c>
      <c r="AI824">
        <v>91.740030820826902</v>
      </c>
      <c r="AJ824">
        <v>77.866880055857195</v>
      </c>
      <c r="AK824">
        <v>36.548737288547898</v>
      </c>
      <c r="AL824">
        <v>86.037707518670601</v>
      </c>
      <c r="AM824">
        <v>85.330275489179897</v>
      </c>
      <c r="AN824">
        <v>0.99999997858874801</v>
      </c>
    </row>
    <row r="825" spans="1:40" x14ac:dyDescent="0.25">
      <c r="A825" t="str">
        <f>"20190312154520779"</f>
        <v>20190312154520779</v>
      </c>
      <c r="B825" t="str">
        <f>"1552376720766523"</f>
        <v>1552376720766523</v>
      </c>
      <c r="C825" t="s">
        <v>40</v>
      </c>
      <c r="D825">
        <v>4.1466409999999998</v>
      </c>
      <c r="E825">
        <v>0.55066879999999996</v>
      </c>
      <c r="F825" t="s">
        <v>51</v>
      </c>
      <c r="G825">
        <v>-197.9238</v>
      </c>
      <c r="H825" s="1">
        <v>-9.4831379999999997E-6</v>
      </c>
      <c r="I825">
        <v>360.54750000000001</v>
      </c>
      <c r="J825">
        <v>-234.1199</v>
      </c>
      <c r="K825">
        <v>1.109782</v>
      </c>
      <c r="L825">
        <v>368.75020000000001</v>
      </c>
      <c r="M825">
        <v>0.99984569999999995</v>
      </c>
      <c r="N825">
        <v>0</v>
      </c>
      <c r="O825">
        <v>-1.0200590000000001E-2</v>
      </c>
      <c r="P825">
        <v>0.99436709999999995</v>
      </c>
      <c r="Q825">
        <v>5.4699030000000003E-2</v>
      </c>
      <c r="R825">
        <v>-9.0788259999999996E-2</v>
      </c>
      <c r="S825">
        <v>2.9611209999999999</v>
      </c>
      <c r="T825">
        <v>-9.0031739999999999E-2</v>
      </c>
      <c r="U825">
        <v>-0.66571040000000004</v>
      </c>
      <c r="V825">
        <v>8.0687510000000004E-2</v>
      </c>
      <c r="W825">
        <v>6.8871600000000005E-2</v>
      </c>
      <c r="X825">
        <v>0.99435720000000005</v>
      </c>
      <c r="Y825">
        <v>0.20929020000000001</v>
      </c>
      <c r="Z825">
        <v>-2.835583E-3</v>
      </c>
      <c r="AA825">
        <v>0.97784950000000004</v>
      </c>
      <c r="AB825">
        <v>31</v>
      </c>
      <c r="AC825">
        <v>36.196100000000001</v>
      </c>
      <c r="AD825">
        <v>-1.109791483138</v>
      </c>
      <c r="AE825">
        <v>-8.2026999999999894</v>
      </c>
      <c r="AF825">
        <v>7.8260161911811199</v>
      </c>
      <c r="AG825">
        <v>-1.109791483138</v>
      </c>
      <c r="AH825">
        <v>36.245488528464001</v>
      </c>
      <c r="AI825">
        <v>91.7142963329906</v>
      </c>
      <c r="AJ825">
        <v>77.815911884035003</v>
      </c>
      <c r="AK825">
        <v>37.097353075761198</v>
      </c>
      <c r="AL825">
        <v>86.050821789780002</v>
      </c>
      <c r="AM825">
        <v>85.360875614955802</v>
      </c>
      <c r="AN825">
        <v>1.0000000063742001</v>
      </c>
    </row>
    <row r="826" spans="1:40" x14ac:dyDescent="0.25">
      <c r="A826" t="str">
        <f>"20190312154520802"</f>
        <v>20190312154520802</v>
      </c>
      <c r="B826" t="str">
        <f>"1552376720796779"</f>
        <v>1552376720796779</v>
      </c>
      <c r="C826" t="s">
        <v>40</v>
      </c>
      <c r="D826">
        <v>4.1484610000000002</v>
      </c>
      <c r="E826">
        <v>0.55096219999999996</v>
      </c>
      <c r="F826" t="s">
        <v>51</v>
      </c>
      <c r="G826">
        <v>-197.98050000000001</v>
      </c>
      <c r="H826" s="1">
        <v>-9.4938319999999997E-6</v>
      </c>
      <c r="I826">
        <v>360.60629999999998</v>
      </c>
      <c r="J826">
        <v>-233.8107</v>
      </c>
      <c r="K826">
        <v>1.1097859999999999</v>
      </c>
      <c r="L826">
        <v>368.7466</v>
      </c>
      <c r="M826">
        <v>0.99984229999999996</v>
      </c>
      <c r="N826">
        <v>0</v>
      </c>
      <c r="O826">
        <v>-1.0533010000000001E-2</v>
      </c>
      <c r="P826">
        <v>0.99433320000000003</v>
      </c>
      <c r="Q826">
        <v>5.4766679999999998E-2</v>
      </c>
      <c r="R826">
        <v>-9.1115730000000006E-2</v>
      </c>
      <c r="S826">
        <v>2.96109</v>
      </c>
      <c r="T826">
        <v>-9.0930940000000002E-2</v>
      </c>
      <c r="U826">
        <v>-0.66726680000000005</v>
      </c>
      <c r="V826">
        <v>8.0684510000000001E-2</v>
      </c>
      <c r="W826">
        <v>6.8936780000000003E-2</v>
      </c>
      <c r="X826">
        <v>0.99435289999999998</v>
      </c>
      <c r="Y826">
        <v>0.2094548</v>
      </c>
      <c r="Z826">
        <v>-2.8561770000000001E-3</v>
      </c>
      <c r="AA826">
        <v>0.97781410000000002</v>
      </c>
      <c r="AB826">
        <v>31</v>
      </c>
      <c r="AC826">
        <v>35.830199999999898</v>
      </c>
      <c r="AD826">
        <v>-1.109795493832</v>
      </c>
      <c r="AE826">
        <v>-8.1403000000000194</v>
      </c>
      <c r="AF826">
        <v>7.7553348254698102</v>
      </c>
      <c r="AG826">
        <v>-1.109795493832</v>
      </c>
      <c r="AH826">
        <v>35.881228693264198</v>
      </c>
      <c r="AI826">
        <v>91.731615950275994</v>
      </c>
      <c r="AJ826">
        <v>77.8037549584446</v>
      </c>
      <c r="AK826">
        <v>36.726549481697901</v>
      </c>
      <c r="AL826">
        <v>86.047078248449594</v>
      </c>
      <c r="AM826">
        <v>85.361027373758105</v>
      </c>
      <c r="AN826">
        <v>0.99999997976455901</v>
      </c>
    </row>
    <row r="827" spans="1:40" x14ac:dyDescent="0.25">
      <c r="A827" t="str">
        <f>"20190312154520824"</f>
        <v>20190312154520824</v>
      </c>
      <c r="B827" t="str">
        <f>"1552376720817275"</f>
        <v>1552376720817275</v>
      </c>
      <c r="C827" t="s">
        <v>40</v>
      </c>
      <c r="D827">
        <v>4.172479</v>
      </c>
      <c r="E827">
        <v>0.55126299999999995</v>
      </c>
      <c r="F827" t="s">
        <v>51</v>
      </c>
      <c r="G827">
        <v>-196.52099999999999</v>
      </c>
      <c r="H827" s="1">
        <v>-9.0289810000000008E-6</v>
      </c>
      <c r="I827">
        <v>360.30270000000002</v>
      </c>
      <c r="J827">
        <v>-233.51580000000001</v>
      </c>
      <c r="K827">
        <v>1.1097779999999999</v>
      </c>
      <c r="L827">
        <v>368.7432</v>
      </c>
      <c r="M827">
        <v>0.99983889999999997</v>
      </c>
      <c r="N827">
        <v>0</v>
      </c>
      <c r="O827">
        <v>-1.085006E-2</v>
      </c>
      <c r="P827">
        <v>0.99430099999999999</v>
      </c>
      <c r="Q827">
        <v>5.470962E-2</v>
      </c>
      <c r="R827">
        <v>-9.1500010000000007E-2</v>
      </c>
      <c r="S827">
        <v>2.9605100000000002</v>
      </c>
      <c r="T827">
        <v>-8.8109019999999996E-2</v>
      </c>
      <c r="U827">
        <v>-0.67037959999999996</v>
      </c>
      <c r="V827">
        <v>8.07533E-2</v>
      </c>
      <c r="W827">
        <v>6.8877320000000006E-2</v>
      </c>
      <c r="X827">
        <v>0.9943514</v>
      </c>
      <c r="Y827">
        <v>0.2101692</v>
      </c>
      <c r="Z827">
        <v>-2.7689749999999999E-3</v>
      </c>
      <c r="AA827">
        <v>0.97766109999999995</v>
      </c>
      <c r="AB827">
        <v>31</v>
      </c>
      <c r="AC827">
        <v>36.994799999999998</v>
      </c>
      <c r="AD827">
        <v>-1.1097870289809999</v>
      </c>
      <c r="AE827">
        <v>-8.4404999999999806</v>
      </c>
      <c r="AF827">
        <v>8.0316960570708105</v>
      </c>
      <c r="AG827">
        <v>-1.1097870289809999</v>
      </c>
      <c r="AH827">
        <v>37.052517163751801</v>
      </c>
      <c r="AI827">
        <v>91.676678862052896</v>
      </c>
      <c r="AJ827">
        <v>77.769485382558102</v>
      </c>
      <c r="AK827">
        <v>37.9292604327185</v>
      </c>
      <c r="AL827">
        <v>86.050493029799895</v>
      </c>
      <c r="AM827">
        <v>85.357082589249103</v>
      </c>
      <c r="AN827">
        <v>0.99999994367661404</v>
      </c>
    </row>
    <row r="828" spans="1:40" x14ac:dyDescent="0.25">
      <c r="A828" t="str">
        <f>"20190312154520845"</f>
        <v>20190312154520845</v>
      </c>
      <c r="B828" t="str">
        <f>"1552376720836795"</f>
        <v>1552376720836795</v>
      </c>
      <c r="C828" t="s">
        <v>40</v>
      </c>
      <c r="D828">
        <v>4.177314</v>
      </c>
      <c r="E828">
        <v>0.55162719999999998</v>
      </c>
      <c r="F828" t="s">
        <v>51</v>
      </c>
      <c r="G828">
        <v>-196.48689999999999</v>
      </c>
      <c r="H828" s="1">
        <v>-9.0157499999999992E-6</v>
      </c>
      <c r="I828">
        <v>360.31079999999997</v>
      </c>
      <c r="J828">
        <v>-233.21809999999999</v>
      </c>
      <c r="K828">
        <v>1.1097779999999999</v>
      </c>
      <c r="L828">
        <v>368.7396</v>
      </c>
      <c r="M828">
        <v>0.99983540000000004</v>
      </c>
      <c r="N828">
        <v>0</v>
      </c>
      <c r="O828">
        <v>-1.1169729999999999E-2</v>
      </c>
      <c r="P828">
        <v>0.99430890000000005</v>
      </c>
      <c r="Q828">
        <v>5.4674819999999999E-2</v>
      </c>
      <c r="R828">
        <v>-9.1435459999999996E-2</v>
      </c>
      <c r="S828">
        <v>2.9600369999999998</v>
      </c>
      <c r="T828">
        <v>-8.8714959999999995E-2</v>
      </c>
      <c r="U828">
        <v>-0.67407229999999996</v>
      </c>
      <c r="V828">
        <v>8.0370280000000002E-2</v>
      </c>
      <c r="W828">
        <v>6.8839730000000002E-2</v>
      </c>
      <c r="X828">
        <v>0.99438510000000002</v>
      </c>
      <c r="Y828">
        <v>0.2110486</v>
      </c>
      <c r="Z828">
        <v>-2.7916199999999999E-3</v>
      </c>
      <c r="AA828">
        <v>0.9774716</v>
      </c>
      <c r="AB828">
        <v>30</v>
      </c>
      <c r="AC828">
        <v>36.731200000000001</v>
      </c>
      <c r="AD828">
        <v>-1.10978701575</v>
      </c>
      <c r="AE828">
        <v>-8.4288000000000203</v>
      </c>
      <c r="AF828">
        <v>8.0110073622852198</v>
      </c>
      <c r="AG828">
        <v>-1.10978701575</v>
      </c>
      <c r="AH828">
        <v>36.791159671864499</v>
      </c>
      <c r="AI828">
        <v>91.688240569991194</v>
      </c>
      <c r="AJ828">
        <v>77.716001371440299</v>
      </c>
      <c r="AK828">
        <v>37.669580515046199</v>
      </c>
      <c r="AL828">
        <v>86.0526521596463</v>
      </c>
      <c r="AM828">
        <v>85.379164685494004</v>
      </c>
      <c r="AN828">
        <v>1.00000000871788</v>
      </c>
    </row>
    <row r="829" spans="1:40" x14ac:dyDescent="0.25">
      <c r="A829" t="str">
        <f>"20190312154520868"</f>
        <v>20190312154520868</v>
      </c>
      <c r="B829" t="str">
        <f>"1552376720857291"</f>
        <v>1552376720857291</v>
      </c>
      <c r="C829" t="s">
        <v>40</v>
      </c>
      <c r="D829">
        <v>4.1990589999999903</v>
      </c>
      <c r="E829">
        <v>0.55189790000000005</v>
      </c>
      <c r="F829" t="s">
        <v>51</v>
      </c>
      <c r="G829">
        <v>-196.73609999999999</v>
      </c>
      <c r="H829" s="1">
        <v>-9.0893880000000003E-6</v>
      </c>
      <c r="I829">
        <v>360.39940000000001</v>
      </c>
      <c r="J829">
        <v>-232.90770000000001</v>
      </c>
      <c r="K829">
        <v>1.1097790000000001</v>
      </c>
      <c r="L829">
        <v>368.73570000000001</v>
      </c>
      <c r="M829">
        <v>0.99983169999999999</v>
      </c>
      <c r="N829">
        <v>0</v>
      </c>
      <c r="O829">
        <v>-1.150347E-2</v>
      </c>
      <c r="P829">
        <v>0.99425319999999995</v>
      </c>
      <c r="Q829">
        <v>5.5093999999999997E-2</v>
      </c>
      <c r="R829">
        <v>-9.1792380000000007E-2</v>
      </c>
      <c r="S829">
        <v>2.9598849999999999</v>
      </c>
      <c r="T829">
        <v>-9.0040209999999996E-2</v>
      </c>
      <c r="U829">
        <v>-0.67666630000000005</v>
      </c>
      <c r="V829">
        <v>8.0395620000000001E-2</v>
      </c>
      <c r="W829">
        <v>6.925597E-2</v>
      </c>
      <c r="X829">
        <v>0.99435410000000002</v>
      </c>
      <c r="Y829">
        <v>0.21154480000000001</v>
      </c>
      <c r="Z829">
        <v>-2.8306099999999999E-3</v>
      </c>
      <c r="AA829">
        <v>0.97736420000000002</v>
      </c>
      <c r="AB829">
        <v>30</v>
      </c>
      <c r="AC829">
        <v>36.171599999999998</v>
      </c>
      <c r="AD829">
        <v>-1.1097880893880001</v>
      </c>
      <c r="AE829">
        <v>-8.3362999999999907</v>
      </c>
      <c r="AF829">
        <v>7.9125341915765102</v>
      </c>
      <c r="AG829">
        <v>-1.1097880893880001</v>
      </c>
      <c r="AH829">
        <v>36.232725352773002</v>
      </c>
      <c r="AI829">
        <v>91.714019140462199</v>
      </c>
      <c r="AJ829">
        <v>77.681097881803794</v>
      </c>
      <c r="AK829">
        <v>37.103237236468999</v>
      </c>
      <c r="AL829">
        <v>86.028746118267193</v>
      </c>
      <c r="AM829">
        <v>85.377570611325595</v>
      </c>
      <c r="AN829">
        <v>0.99999996064131602</v>
      </c>
    </row>
    <row r="830" spans="1:40" x14ac:dyDescent="0.25">
      <c r="A830" t="str">
        <f>"20190312154520890"</f>
        <v>20190312154520890</v>
      </c>
      <c r="B830" t="str">
        <f>"1552376720876811"</f>
        <v>1552376720876811</v>
      </c>
      <c r="C830" t="s">
        <v>40</v>
      </c>
      <c r="D830">
        <v>4.2328939999999999</v>
      </c>
      <c r="E830">
        <v>0.55223129999999998</v>
      </c>
      <c r="F830" t="s">
        <v>51</v>
      </c>
      <c r="G830">
        <v>-196.28720000000001</v>
      </c>
      <c r="H830" s="1">
        <v>-8.9430949999999903E-6</v>
      </c>
      <c r="I830">
        <v>360.32709999999997</v>
      </c>
      <c r="J830">
        <v>-232.61080000000001</v>
      </c>
      <c r="K830">
        <v>1.1097790000000001</v>
      </c>
      <c r="L830">
        <v>368.73200000000003</v>
      </c>
      <c r="M830">
        <v>0.9998281</v>
      </c>
      <c r="N830">
        <v>0</v>
      </c>
      <c r="O830">
        <v>-1.1822539999999999E-2</v>
      </c>
      <c r="P830">
        <v>0.99417080000000002</v>
      </c>
      <c r="Q830">
        <v>5.5210889999999999E-2</v>
      </c>
      <c r="R830">
        <v>-9.2610629999999999E-2</v>
      </c>
      <c r="S830">
        <v>2.9595639999999999</v>
      </c>
      <c r="T830">
        <v>-8.9689729999999995E-2</v>
      </c>
      <c r="U830">
        <v>-0.67956539999999999</v>
      </c>
      <c r="V830">
        <v>8.0897410000000003E-2</v>
      </c>
      <c r="W830">
        <v>6.936871E-2</v>
      </c>
      <c r="X830">
        <v>0.99430560000000001</v>
      </c>
      <c r="Y830">
        <v>0.2121661</v>
      </c>
      <c r="Z830">
        <v>-2.8193430000000002E-3</v>
      </c>
      <c r="AA830">
        <v>0.97722949999999997</v>
      </c>
      <c r="AB830">
        <v>30</v>
      </c>
      <c r="AC830">
        <v>36.323599999999999</v>
      </c>
      <c r="AD830">
        <v>-1.109787943095</v>
      </c>
      <c r="AE830">
        <v>-8.4048999999999907</v>
      </c>
      <c r="AF830">
        <v>7.9677717275030302</v>
      </c>
      <c r="AG830">
        <v>-1.109787943095</v>
      </c>
      <c r="AH830">
        <v>36.388197070572097</v>
      </c>
      <c r="AI830">
        <v>91.706491748640104</v>
      </c>
      <c r="AJ830">
        <v>77.649111891884701</v>
      </c>
      <c r="AK830">
        <v>37.266847218768397</v>
      </c>
      <c r="AL830">
        <v>86.022271245921303</v>
      </c>
      <c r="AM830">
        <v>85.348619990757697</v>
      </c>
      <c r="AN830">
        <v>1.00000001753156</v>
      </c>
    </row>
    <row r="831" spans="1:40" x14ac:dyDescent="0.25">
      <c r="A831" t="str">
        <f>"20190312154520912"</f>
        <v>20190312154520912</v>
      </c>
      <c r="B831" t="str">
        <f>"1552376720907070"</f>
        <v>1552376720907070</v>
      </c>
      <c r="C831" t="s">
        <v>40</v>
      </c>
      <c r="D831">
        <v>4.2064309999999896</v>
      </c>
      <c r="E831">
        <v>0.55264340000000001</v>
      </c>
      <c r="F831" t="s">
        <v>51</v>
      </c>
      <c r="G831">
        <v>-196.26769999999999</v>
      </c>
      <c r="H831" s="1">
        <v>-8.9373739999999906E-6</v>
      </c>
      <c r="I831">
        <v>360.32</v>
      </c>
      <c r="J831">
        <v>-232.30269999999999</v>
      </c>
      <c r="K831">
        <v>1.1097809999999999</v>
      </c>
      <c r="L831">
        <v>368.72800000000001</v>
      </c>
      <c r="M831">
        <v>0.99982420000000005</v>
      </c>
      <c r="N831">
        <v>0</v>
      </c>
      <c r="O831">
        <v>-1.2154369999999999E-2</v>
      </c>
      <c r="P831">
        <v>0.9940544</v>
      </c>
      <c r="Q831">
        <v>5.5568960000000001E-2</v>
      </c>
      <c r="R831">
        <v>-9.3639159999999999E-2</v>
      </c>
      <c r="S831">
        <v>2.9587859999999999</v>
      </c>
      <c r="T831">
        <v>-9.0350749999999994E-2</v>
      </c>
      <c r="U831">
        <v>-0.68484500000000004</v>
      </c>
      <c r="V831">
        <v>8.1597020000000006E-2</v>
      </c>
      <c r="W831">
        <v>6.9722610000000004E-2</v>
      </c>
      <c r="X831">
        <v>0.99422370000000004</v>
      </c>
      <c r="Y831">
        <v>0.21355160000000001</v>
      </c>
      <c r="Z831">
        <v>-2.851162E-3</v>
      </c>
      <c r="AA831">
        <v>0.97692760000000001</v>
      </c>
      <c r="AB831">
        <v>30</v>
      </c>
      <c r="AC831">
        <v>36.034999999999997</v>
      </c>
      <c r="AD831">
        <v>-1.1097899373739999</v>
      </c>
      <c r="AE831">
        <v>-8.4080000000000101</v>
      </c>
      <c r="AF831">
        <v>7.9621892999146597</v>
      </c>
      <c r="AG831">
        <v>-1.1097899373739999</v>
      </c>
      <c r="AH831">
        <v>36.1020675694513</v>
      </c>
      <c r="AI831">
        <v>91.719442114166796</v>
      </c>
      <c r="AJ831">
        <v>77.562711255337206</v>
      </c>
      <c r="AK831">
        <v>36.986313346182499</v>
      </c>
      <c r="AL831">
        <v>86.001945148706199</v>
      </c>
      <c r="AM831">
        <v>85.308188381974901</v>
      </c>
      <c r="AN831">
        <v>1.0000000408298899</v>
      </c>
    </row>
    <row r="832" spans="1:40" x14ac:dyDescent="0.25">
      <c r="A832" t="str">
        <f>"20190312154520935"</f>
        <v>20190312154520935</v>
      </c>
      <c r="B832" t="str">
        <f>"1552376720926586"</f>
        <v>1552376720926586</v>
      </c>
      <c r="C832" t="s">
        <v>40</v>
      </c>
      <c r="D832">
        <v>4.2171120000000002</v>
      </c>
      <c r="E832">
        <v>0.55278899999999997</v>
      </c>
      <c r="F832" t="s">
        <v>51</v>
      </c>
      <c r="G832">
        <v>-196.06270000000001</v>
      </c>
      <c r="H832" s="1">
        <v>-8.8747199999999996E-6</v>
      </c>
      <c r="I832">
        <v>360.26029999999997</v>
      </c>
      <c r="J832">
        <v>-232.00360000000001</v>
      </c>
      <c r="K832">
        <v>1.1097859999999999</v>
      </c>
      <c r="L832">
        <v>368.72399999999999</v>
      </c>
      <c r="M832">
        <v>0.99982020000000005</v>
      </c>
      <c r="N832">
        <v>0</v>
      </c>
      <c r="O832">
        <v>-1.247701E-2</v>
      </c>
      <c r="P832">
        <v>0.9939829</v>
      </c>
      <c r="Q832">
        <v>5.5572870000000003E-2</v>
      </c>
      <c r="R832">
        <v>-9.4393560000000001E-2</v>
      </c>
      <c r="S832">
        <v>2.9579010000000001</v>
      </c>
      <c r="T832">
        <v>-9.0580579999999994E-2</v>
      </c>
      <c r="U832">
        <v>-0.69113159999999996</v>
      </c>
      <c r="V832">
        <v>8.2030909999999999E-2</v>
      </c>
      <c r="W832">
        <v>6.9722619999999999E-2</v>
      </c>
      <c r="X832">
        <v>0.99418799999999996</v>
      </c>
      <c r="Y832">
        <v>0.21526890000000001</v>
      </c>
      <c r="Z832">
        <v>-2.874766E-3</v>
      </c>
      <c r="AA832">
        <v>0.97655060000000005</v>
      </c>
      <c r="AB832">
        <v>30</v>
      </c>
      <c r="AC832">
        <v>35.940899999999999</v>
      </c>
      <c r="AD832">
        <v>-1.1097948747199999</v>
      </c>
      <c r="AE832">
        <v>-8.46370000000001</v>
      </c>
      <c r="AF832">
        <v>8.0073267387731804</v>
      </c>
      <c r="AG832">
        <v>-1.1097948747199999</v>
      </c>
      <c r="AH832">
        <v>36.011182618221497</v>
      </c>
      <c r="AI832">
        <v>91.723128554971694</v>
      </c>
      <c r="AJ832">
        <v>77.463851582459995</v>
      </c>
      <c r="AK832">
        <v>36.907373243409303</v>
      </c>
      <c r="AL832">
        <v>86.001944597615804</v>
      </c>
      <c r="AM832">
        <v>85.2831834584007</v>
      </c>
      <c r="AN832">
        <v>1.00000004663954</v>
      </c>
    </row>
    <row r="833" spans="1:40" x14ac:dyDescent="0.25">
      <c r="A833" t="str">
        <f>"20190312154520957"</f>
        <v>20190312154520957</v>
      </c>
      <c r="B833" t="str">
        <f>"1552376720947082"</f>
        <v>1552376720947082</v>
      </c>
      <c r="C833" t="s">
        <v>40</v>
      </c>
      <c r="D833">
        <v>4.260116</v>
      </c>
      <c r="E833">
        <v>0.55328909999999998</v>
      </c>
      <c r="F833" t="s">
        <v>51</v>
      </c>
      <c r="G833">
        <v>-196.02109999999999</v>
      </c>
      <c r="H833" s="1">
        <v>-8.8580200000000003E-6</v>
      </c>
      <c r="I833">
        <v>360.27390000000003</v>
      </c>
      <c r="J833">
        <v>-231.70050000000001</v>
      </c>
      <c r="K833">
        <v>1.1097900000000001</v>
      </c>
      <c r="L833">
        <v>368.71980000000002</v>
      </c>
      <c r="M833">
        <v>0.99981609999999999</v>
      </c>
      <c r="N833">
        <v>0</v>
      </c>
      <c r="O833">
        <v>-1.280359E-2</v>
      </c>
      <c r="P833">
        <v>0.99393370000000003</v>
      </c>
      <c r="Q833">
        <v>5.6127940000000001E-2</v>
      </c>
      <c r="R833">
        <v>-9.4582040000000006E-2</v>
      </c>
      <c r="S833">
        <v>2.9572910000000001</v>
      </c>
      <c r="T833">
        <v>-9.1210719999999995E-2</v>
      </c>
      <c r="U833">
        <v>-0.69448849999999995</v>
      </c>
      <c r="V833">
        <v>8.1895309999999999E-2</v>
      </c>
      <c r="W833">
        <v>7.0273909999999995E-2</v>
      </c>
      <c r="X833">
        <v>0.9941603</v>
      </c>
      <c r="Y833">
        <v>0.21604390000000001</v>
      </c>
      <c r="Z833">
        <v>-2.8968280000000002E-3</v>
      </c>
      <c r="AA833">
        <v>0.97637929999999995</v>
      </c>
      <c r="AB833">
        <v>30</v>
      </c>
      <c r="AC833">
        <v>35.679400000000001</v>
      </c>
      <c r="AD833">
        <v>-1.10979885802</v>
      </c>
      <c r="AE833">
        <v>-8.4458999999999893</v>
      </c>
      <c r="AF833">
        <v>7.9810246175840396</v>
      </c>
      <c r="AG833">
        <v>-1.10979885802</v>
      </c>
      <c r="AH833">
        <v>35.751868920217298</v>
      </c>
      <c r="AI833">
        <v>91.735302376721407</v>
      </c>
      <c r="AJ833">
        <v>77.415973921200603</v>
      </c>
      <c r="AK833">
        <v>36.648663532796697</v>
      </c>
      <c r="AL833">
        <v>85.970280083335595</v>
      </c>
      <c r="AM833">
        <v>85.290814812356999</v>
      </c>
      <c r="AN833">
        <v>0.99999998316138605</v>
      </c>
    </row>
    <row r="834" spans="1:40" x14ac:dyDescent="0.25">
      <c r="A834" t="str">
        <f>"20190312154520979"</f>
        <v>20190312154520979</v>
      </c>
      <c r="B834" t="str">
        <f>"1552376720967580"</f>
        <v>1552376720967580</v>
      </c>
      <c r="C834" t="s">
        <v>40</v>
      </c>
      <c r="D834">
        <v>4.2597809999999896</v>
      </c>
      <c r="E834">
        <v>0.55357749999999994</v>
      </c>
      <c r="F834" t="s">
        <v>51</v>
      </c>
      <c r="G834">
        <v>-195.7988</v>
      </c>
      <c r="H834" s="1">
        <v>-8.7862609999999992E-6</v>
      </c>
      <c r="I834">
        <v>360.2337</v>
      </c>
      <c r="J834">
        <v>-231.4074</v>
      </c>
      <c r="K834">
        <v>1.1097950000000001</v>
      </c>
      <c r="L834">
        <v>368.7158</v>
      </c>
      <c r="M834">
        <v>0.99981209999999998</v>
      </c>
      <c r="N834">
        <v>0</v>
      </c>
      <c r="O834">
        <v>-1.311933E-2</v>
      </c>
      <c r="P834">
        <v>0.99386560000000002</v>
      </c>
      <c r="Q834">
        <v>5.7080619999999999E-2</v>
      </c>
      <c r="R834">
        <v>-9.4726480000000002E-2</v>
      </c>
      <c r="S834">
        <v>2.9569549999999998</v>
      </c>
      <c r="T834">
        <v>-9.140587E-2</v>
      </c>
      <c r="U834">
        <v>-0.69894409999999996</v>
      </c>
      <c r="V834">
        <v>8.1727010000000003E-2</v>
      </c>
      <c r="W834">
        <v>7.1223289999999995E-2</v>
      </c>
      <c r="X834">
        <v>0.99410659999999895</v>
      </c>
      <c r="Y834">
        <v>0.21715319999999999</v>
      </c>
      <c r="Z834">
        <v>-2.9101399999999999E-3</v>
      </c>
      <c r="AA834">
        <v>0.97613320000000003</v>
      </c>
      <c r="AB834">
        <v>30</v>
      </c>
      <c r="AC834">
        <v>35.608600000000003</v>
      </c>
      <c r="AD834">
        <v>-1.109803786261</v>
      </c>
      <c r="AE834">
        <v>-8.4821000000000009</v>
      </c>
      <c r="AF834">
        <v>8.0068013939914096</v>
      </c>
      <c r="AG834">
        <v>-1.109803786261</v>
      </c>
      <c r="AH834">
        <v>35.684024566052102</v>
      </c>
      <c r="AI834">
        <v>91.738182687244802</v>
      </c>
      <c r="AJ834">
        <v>77.353402146653096</v>
      </c>
      <c r="AK834">
        <v>36.588114767468298</v>
      </c>
      <c r="AL834">
        <v>85.915748020726895</v>
      </c>
      <c r="AM834">
        <v>85.300196366862394</v>
      </c>
      <c r="AN834">
        <v>0.99999999668276196</v>
      </c>
    </row>
    <row r="835" spans="1:40" x14ac:dyDescent="0.25">
      <c r="A835" t="str">
        <f>"20190312154521002"</f>
        <v>20190312154521002</v>
      </c>
      <c r="B835" t="str">
        <f>"1552376720996859"</f>
        <v>1552376720996859</v>
      </c>
      <c r="C835" t="s">
        <v>40</v>
      </c>
      <c r="D835">
        <v>4.252014</v>
      </c>
      <c r="E835">
        <v>0.55398919999999996</v>
      </c>
      <c r="F835" t="s">
        <v>51</v>
      </c>
      <c r="G835">
        <v>-194.85929999999999</v>
      </c>
      <c r="H835" s="1">
        <v>-8.4861330000000002E-6</v>
      </c>
      <c r="I835">
        <v>360.04390000000001</v>
      </c>
      <c r="J835">
        <v>-231.0907</v>
      </c>
      <c r="K835">
        <v>1.1097999999999999</v>
      </c>
      <c r="L835">
        <v>368.71129999999999</v>
      </c>
      <c r="M835">
        <v>0.99980760000000002</v>
      </c>
      <c r="N835">
        <v>0</v>
      </c>
      <c r="O835">
        <v>-1.346033E-2</v>
      </c>
      <c r="P835">
        <v>0.9938188</v>
      </c>
      <c r="Q835">
        <v>5.7624889999999998E-2</v>
      </c>
      <c r="R835">
        <v>-9.4889769999999998E-2</v>
      </c>
      <c r="S835">
        <v>2.9568020000000002</v>
      </c>
      <c r="T835">
        <v>-8.978498E-2</v>
      </c>
      <c r="U835">
        <v>-0.70156859999999999</v>
      </c>
      <c r="V835">
        <v>8.1551670000000007E-2</v>
      </c>
      <c r="W835">
        <v>7.1764069999999999E-2</v>
      </c>
      <c r="X835">
        <v>0.99408209999999997</v>
      </c>
      <c r="Y835">
        <v>0.21765509999999999</v>
      </c>
      <c r="Z835">
        <v>-2.8557249999999999E-3</v>
      </c>
      <c r="AA835">
        <v>0.97602160000000004</v>
      </c>
      <c r="AB835">
        <v>30</v>
      </c>
      <c r="AC835">
        <v>36.231400000000001</v>
      </c>
      <c r="AD835">
        <v>-1.109808486133</v>
      </c>
      <c r="AE835">
        <v>-8.6673999999999793</v>
      </c>
      <c r="AF835">
        <v>8.1716262396802595</v>
      </c>
      <c r="AG835">
        <v>-1.109808486133</v>
      </c>
      <c r="AH835">
        <v>36.312568333039003</v>
      </c>
      <c r="AI835">
        <v>91.707882000564297</v>
      </c>
      <c r="AJ835">
        <v>77.317666612739103</v>
      </c>
      <c r="AK835">
        <v>37.237209471421899</v>
      </c>
      <c r="AL835">
        <v>85.884684086368907</v>
      </c>
      <c r="AM835">
        <v>85.310119399285895</v>
      </c>
      <c r="AN835">
        <v>0.99999998908158105</v>
      </c>
    </row>
    <row r="836" spans="1:40" x14ac:dyDescent="0.25">
      <c r="A836" t="str">
        <f>"20190312154521026"</f>
        <v>20190312154521026</v>
      </c>
      <c r="B836" t="str">
        <f>"1552376721017355"</f>
        <v>1552376721017355</v>
      </c>
      <c r="C836" t="s">
        <v>40</v>
      </c>
      <c r="D836">
        <v>4.2590199999999996</v>
      </c>
      <c r="E836">
        <v>0.55424249999999997</v>
      </c>
      <c r="F836" t="s">
        <v>51</v>
      </c>
      <c r="G836">
        <v>-194.9092</v>
      </c>
      <c r="H836" s="1">
        <v>-8.4981570000000001E-6</v>
      </c>
      <c r="I836">
        <v>360.07900000000001</v>
      </c>
      <c r="J836">
        <v>-230.7859</v>
      </c>
      <c r="K836">
        <v>1.109796</v>
      </c>
      <c r="L836">
        <v>368.70679999999999</v>
      </c>
      <c r="M836">
        <v>0.9998032</v>
      </c>
      <c r="N836">
        <v>0</v>
      </c>
      <c r="O836">
        <v>-1.378942E-2</v>
      </c>
      <c r="P836">
        <v>0.99373429999999996</v>
      </c>
      <c r="Q836">
        <v>5.8219149999999997E-2</v>
      </c>
      <c r="R836">
        <v>-9.5408950000000006E-2</v>
      </c>
      <c r="S836">
        <v>2.9565730000000001</v>
      </c>
      <c r="T836">
        <v>-9.0687989999999996E-2</v>
      </c>
      <c r="U836">
        <v>-0.70538330000000005</v>
      </c>
      <c r="V836">
        <v>8.1744830000000004E-2</v>
      </c>
      <c r="W836">
        <v>7.2355230000000006E-2</v>
      </c>
      <c r="X836">
        <v>0.9940234</v>
      </c>
      <c r="Y836">
        <v>0.2185405</v>
      </c>
      <c r="Z836">
        <v>-2.8876710000000001E-3</v>
      </c>
      <c r="AA836">
        <v>0.97582360000000001</v>
      </c>
      <c r="AB836">
        <v>30</v>
      </c>
      <c r="AC836">
        <v>35.8767</v>
      </c>
      <c r="AD836">
        <v>-1.1098044981569899</v>
      </c>
      <c r="AE836">
        <v>-8.6277999999999793</v>
      </c>
      <c r="AF836">
        <v>8.1248606530188496</v>
      </c>
      <c r="AG836">
        <v>-1.1098044981569899</v>
      </c>
      <c r="AH836">
        <v>35.959743901694601</v>
      </c>
      <c r="AI836">
        <v>91.724287285605399</v>
      </c>
      <c r="AJ836">
        <v>77.268187963497496</v>
      </c>
      <c r="AK836">
        <v>36.882898586344403</v>
      </c>
      <c r="AL836">
        <v>85.850724908653405</v>
      </c>
      <c r="AM836">
        <v>85.298784503146805</v>
      </c>
      <c r="AN836">
        <v>1.0000000081438201</v>
      </c>
    </row>
    <row r="837" spans="1:40" x14ac:dyDescent="0.25">
      <c r="A837" t="str">
        <f>"20190312154521047"</f>
        <v>20190312154521047</v>
      </c>
      <c r="B837" t="str">
        <f>"1552376721036875"</f>
        <v>1552376721036875</v>
      </c>
      <c r="C837" t="s">
        <v>40</v>
      </c>
      <c r="D837">
        <v>4.2999989999999997</v>
      </c>
      <c r="E837">
        <v>0.55447570000000002</v>
      </c>
      <c r="F837" t="s">
        <v>51</v>
      </c>
      <c r="G837">
        <v>-194.45439999999999</v>
      </c>
      <c r="H837" s="1">
        <v>-8.3516240000000005E-6</v>
      </c>
      <c r="I837">
        <v>359.99509999999998</v>
      </c>
      <c r="J837">
        <v>-230.4932</v>
      </c>
      <c r="K837">
        <v>1.1098059999999901</v>
      </c>
      <c r="L837">
        <v>368.70240000000001</v>
      </c>
      <c r="M837">
        <v>0.99979879999999999</v>
      </c>
      <c r="N837">
        <v>0</v>
      </c>
      <c r="O837">
        <v>-1.410756E-2</v>
      </c>
      <c r="P837">
        <v>0.9936256</v>
      </c>
      <c r="Q837">
        <v>5.8846320000000001E-2</v>
      </c>
      <c r="R837">
        <v>-9.6155459999999998E-2</v>
      </c>
      <c r="S837">
        <v>2.9561310000000001</v>
      </c>
      <c r="T837">
        <v>-9.0299840000000006E-2</v>
      </c>
      <c r="U837">
        <v>-0.70883180000000001</v>
      </c>
      <c r="V837">
        <v>8.2176719999999995E-2</v>
      </c>
      <c r="W837">
        <v>7.297729E-2</v>
      </c>
      <c r="X837">
        <v>0.99394229999999995</v>
      </c>
      <c r="Y837">
        <v>0.21934029999999999</v>
      </c>
      <c r="Z837">
        <v>-2.877821E-3</v>
      </c>
      <c r="AA837">
        <v>0.97564419999999996</v>
      </c>
      <c r="AB837">
        <v>30</v>
      </c>
      <c r="AC837">
        <v>36.038800000000002</v>
      </c>
      <c r="AD837">
        <v>-1.10981435162399</v>
      </c>
      <c r="AE837">
        <v>-8.7073000000000302</v>
      </c>
      <c r="AF837">
        <v>8.1906230627040202</v>
      </c>
      <c r="AG837">
        <v>-1.10981435162399</v>
      </c>
      <c r="AH837">
        <v>36.1256945082812</v>
      </c>
      <c r="AI837">
        <v>91.716097446551302</v>
      </c>
      <c r="AJ837">
        <v>77.225540873000099</v>
      </c>
      <c r="AK837">
        <v>37.059193161158099</v>
      </c>
      <c r="AL837">
        <v>85.814988974305606</v>
      </c>
      <c r="AM837">
        <v>85.2736744863452</v>
      </c>
      <c r="AN837">
        <v>0.99999999694749597</v>
      </c>
    </row>
    <row r="838" spans="1:40" x14ac:dyDescent="0.25">
      <c r="A838" t="str">
        <f>"20190312154521069"</f>
        <v>20190312154521069</v>
      </c>
      <c r="B838" t="str">
        <f>"1552376721057370"</f>
        <v>1552376721057370</v>
      </c>
      <c r="C838" t="s">
        <v>40</v>
      </c>
      <c r="D838">
        <v>4.3430309999999999</v>
      </c>
      <c r="E838">
        <v>0.55801009999999995</v>
      </c>
      <c r="F838" t="s">
        <v>51</v>
      </c>
      <c r="G838">
        <v>-193.91309999999999</v>
      </c>
      <c r="H838" s="1">
        <v>-8.1794580000000003E-6</v>
      </c>
      <c r="I838">
        <v>359.88099999999997</v>
      </c>
      <c r="J838">
        <v>-230.19730000000001</v>
      </c>
      <c r="K838">
        <v>1.1098110000000001</v>
      </c>
      <c r="L838">
        <v>368.6979</v>
      </c>
      <c r="M838">
        <v>0.99979410000000002</v>
      </c>
      <c r="N838">
        <v>0</v>
      </c>
      <c r="O838">
        <v>-1.443143E-2</v>
      </c>
      <c r="P838">
        <v>0.99344149999999998</v>
      </c>
      <c r="Q838">
        <v>6.0561980000000001E-2</v>
      </c>
      <c r="R838">
        <v>-9.6987450000000003E-2</v>
      </c>
      <c r="S838">
        <v>2.9555509999999998</v>
      </c>
      <c r="T838">
        <v>-8.9669349999999995E-2</v>
      </c>
      <c r="U838">
        <v>-0.71273799999999998</v>
      </c>
      <c r="V838">
        <v>8.2690189999999997E-2</v>
      </c>
      <c r="W838">
        <v>7.4686359999999993E-2</v>
      </c>
      <c r="X838">
        <v>0.99377269999999895</v>
      </c>
      <c r="Y838">
        <v>0.2202875</v>
      </c>
      <c r="Z838">
        <v>-2.862332E-3</v>
      </c>
      <c r="AA838">
        <v>0.97543080000000004</v>
      </c>
      <c r="AB838">
        <v>30</v>
      </c>
      <c r="AC838">
        <v>36.284199999999998</v>
      </c>
      <c r="AD838">
        <v>-1.1098191794579999</v>
      </c>
      <c r="AE838">
        <v>-8.8169000000000306</v>
      </c>
      <c r="AF838">
        <v>8.2849765623210594</v>
      </c>
      <c r="AG838">
        <v>-1.1098191794579999</v>
      </c>
      <c r="AH838">
        <v>36.375540157810903</v>
      </c>
      <c r="AI838">
        <v>91.703943312002195</v>
      </c>
      <c r="AJ838">
        <v>77.169064222167407</v>
      </c>
      <c r="AK838">
        <v>37.323617951932498</v>
      </c>
      <c r="AL838">
        <v>85.716798269946693</v>
      </c>
      <c r="AM838">
        <v>85.243469821707606</v>
      </c>
      <c r="AN838">
        <v>0.99999994957878602</v>
      </c>
    </row>
    <row r="839" spans="1:40" x14ac:dyDescent="0.25">
      <c r="A839" t="str">
        <f>"20190312154521091"</f>
        <v>20190312154521091</v>
      </c>
      <c r="B839" t="str">
        <f>"1552376721086651"</f>
        <v>1552376721086651</v>
      </c>
      <c r="C839" t="s">
        <v>40</v>
      </c>
      <c r="D839">
        <v>4.3262720000000003</v>
      </c>
      <c r="E839">
        <v>0.55971490000000002</v>
      </c>
      <c r="F839" t="s">
        <v>51</v>
      </c>
      <c r="G839">
        <v>-208.69550000000001</v>
      </c>
      <c r="H839" s="1">
        <v>-5.8339059999999999E-6</v>
      </c>
      <c r="I839">
        <v>363.3066</v>
      </c>
      <c r="J839">
        <v>-229.90190000000001</v>
      </c>
      <c r="K839">
        <v>1.1098079999999999</v>
      </c>
      <c r="L839">
        <v>368.69330000000002</v>
      </c>
      <c r="M839">
        <v>0.9997895</v>
      </c>
      <c r="N839">
        <v>0</v>
      </c>
      <c r="O839">
        <v>-1.47595E-2</v>
      </c>
      <c r="P839">
        <v>0.99326999999999999</v>
      </c>
      <c r="Q839">
        <v>6.1770560000000002E-2</v>
      </c>
      <c r="R839">
        <v>-9.7976820000000006E-2</v>
      </c>
      <c r="S839">
        <v>2.9567410000000001</v>
      </c>
      <c r="T839">
        <v>-0.15261240000000001</v>
      </c>
      <c r="U839">
        <v>-0.74136349999999995</v>
      </c>
      <c r="V839">
        <v>8.3356979999999997E-2</v>
      </c>
      <c r="W839">
        <v>7.5888860000000002E-2</v>
      </c>
      <c r="X839">
        <v>0.99362589999999995</v>
      </c>
      <c r="Y839">
        <v>0.2285963</v>
      </c>
      <c r="Z839">
        <v>-5.0564590000000001E-3</v>
      </c>
      <c r="AA839">
        <v>0.97350820000000005</v>
      </c>
      <c r="AB839">
        <v>30</v>
      </c>
      <c r="AC839">
        <v>21.206399999999999</v>
      </c>
      <c r="AD839">
        <v>-1.109813833906</v>
      </c>
      <c r="AE839">
        <v>-5.38670000000001</v>
      </c>
      <c r="AF839">
        <v>5.0600667657509497</v>
      </c>
      <c r="AG839">
        <v>-1.109813833906</v>
      </c>
      <c r="AH839">
        <v>21.228984030025501</v>
      </c>
      <c r="AI839">
        <v>92.911188695375102</v>
      </c>
      <c r="AJ839">
        <v>76.593335836986498</v>
      </c>
      <c r="AK839">
        <v>21.851904387647</v>
      </c>
      <c r="AL839">
        <v>85.647704064827593</v>
      </c>
      <c r="AM839">
        <v>85.204587555528406</v>
      </c>
      <c r="AN839">
        <v>0.99999996716881401</v>
      </c>
    </row>
    <row r="840" spans="1:40" x14ac:dyDescent="0.25">
      <c r="A840" t="str">
        <f>"20190312154521113"</f>
        <v>20190312154521113</v>
      </c>
      <c r="B840" t="str">
        <f>"1552376721107147"</f>
        <v>1552376721107147</v>
      </c>
      <c r="C840" t="s">
        <v>40</v>
      </c>
      <c r="D840">
        <v>4.3855629999999897</v>
      </c>
      <c r="E840">
        <v>0.55810150000000003</v>
      </c>
      <c r="F840" t="s">
        <v>51</v>
      </c>
      <c r="G840">
        <v>-208.11449999999999</v>
      </c>
      <c r="H840" s="1">
        <v>-5.6710479999999899E-6</v>
      </c>
      <c r="I840">
        <v>363.10410000000002</v>
      </c>
      <c r="J840">
        <v>-229.60069999999999</v>
      </c>
      <c r="K840">
        <v>1.1098110000000001</v>
      </c>
      <c r="L840">
        <v>368.68849999999998</v>
      </c>
      <c r="M840">
        <v>0.99978440000000002</v>
      </c>
      <c r="N840">
        <v>0</v>
      </c>
      <c r="O840">
        <v>-1.5103109999999999E-2</v>
      </c>
      <c r="P840">
        <v>0.99316479999999996</v>
      </c>
      <c r="Q840">
        <v>6.2571119999999994E-2</v>
      </c>
      <c r="R840">
        <v>-9.8533060000000006E-2</v>
      </c>
      <c r="S840">
        <v>2.9549099999999999</v>
      </c>
      <c r="T840">
        <v>-0.1505177</v>
      </c>
      <c r="U840">
        <v>-0.75802609999999904</v>
      </c>
      <c r="V840">
        <v>8.3574499999999996E-2</v>
      </c>
      <c r="W840">
        <v>7.6683799999999996E-2</v>
      </c>
      <c r="X840">
        <v>0.99354659999999995</v>
      </c>
      <c r="Y840">
        <v>0.2335604</v>
      </c>
      <c r="Z840">
        <v>-5.0938859999999997E-3</v>
      </c>
      <c r="AA840">
        <v>0.972329</v>
      </c>
      <c r="AB840">
        <v>30</v>
      </c>
      <c r="AC840">
        <v>21.4862</v>
      </c>
      <c r="AD840">
        <v>-1.109816671048</v>
      </c>
      <c r="AE840">
        <v>-5.5843999999999596</v>
      </c>
      <c r="AF840">
        <v>5.2461106466084901</v>
      </c>
      <c r="AG840">
        <v>-1.109816671048</v>
      </c>
      <c r="AH840">
        <v>21.514331379903801</v>
      </c>
      <c r="AI840">
        <v>92.869067030967003</v>
      </c>
      <c r="AJ840">
        <v>76.296274692338102</v>
      </c>
      <c r="AK840">
        <v>22.172501543220299</v>
      </c>
      <c r="AL840">
        <v>85.602024273371399</v>
      </c>
      <c r="AM840">
        <v>85.191750571712902</v>
      </c>
      <c r="AN840">
        <v>0.99999997430212395</v>
      </c>
    </row>
    <row r="841" spans="1:40" x14ac:dyDescent="0.25">
      <c r="A841" t="str">
        <f>"20190312154521136"</f>
        <v>20190312154521136</v>
      </c>
      <c r="B841" t="str">
        <f>"1552376721126667"</f>
        <v>1552376721126667</v>
      </c>
      <c r="C841" t="s">
        <v>40</v>
      </c>
      <c r="D841">
        <v>4.3975530000000003</v>
      </c>
      <c r="E841">
        <v>0.54592180000000001</v>
      </c>
      <c r="F841" t="s">
        <v>51</v>
      </c>
      <c r="G841">
        <v>-207.0026</v>
      </c>
      <c r="H841" s="1">
        <v>-5.3187329999999999E-6</v>
      </c>
      <c r="I841">
        <v>362.9769</v>
      </c>
      <c r="J841">
        <v>-229.30279999999999</v>
      </c>
      <c r="K841">
        <v>1.1098030000000001</v>
      </c>
      <c r="L841">
        <v>368.68360000000001</v>
      </c>
      <c r="M841">
        <v>0.99977890000000003</v>
      </c>
      <c r="N841">
        <v>0</v>
      </c>
      <c r="O841">
        <v>-1.545763E-2</v>
      </c>
      <c r="P841">
        <v>0.99306110000000003</v>
      </c>
      <c r="Q841">
        <v>6.3206650000000003E-2</v>
      </c>
      <c r="R841">
        <v>-9.9170330000000001E-2</v>
      </c>
      <c r="S841">
        <v>2.955673</v>
      </c>
      <c r="T841">
        <v>-0.14515639999999999</v>
      </c>
      <c r="U841">
        <v>-0.74703980000000003</v>
      </c>
      <c r="V841">
        <v>8.3862720000000002E-2</v>
      </c>
      <c r="W841">
        <v>7.7313740000000006E-2</v>
      </c>
      <c r="X841">
        <v>0.99347350000000001</v>
      </c>
      <c r="Y841">
        <v>0.2297824</v>
      </c>
      <c r="Z841">
        <v>-4.8052399999999997E-3</v>
      </c>
      <c r="AA841">
        <v>0.97323020000000005</v>
      </c>
      <c r="AB841">
        <v>30</v>
      </c>
      <c r="AC841">
        <v>22.300199999999901</v>
      </c>
      <c r="AD841">
        <v>-1.1098083187329999</v>
      </c>
      <c r="AE841">
        <v>-5.7067000000000103</v>
      </c>
      <c r="AF841">
        <v>5.3488413684835701</v>
      </c>
      <c r="AG841">
        <v>-1.1098083187329999</v>
      </c>
      <c r="AH841">
        <v>22.333841015203699</v>
      </c>
      <c r="AI841">
        <v>92.766677047281405</v>
      </c>
      <c r="AJ841">
        <v>76.531632945358297</v>
      </c>
      <c r="AK841">
        <v>22.992221140679899</v>
      </c>
      <c r="AL841">
        <v>85.5658239336734</v>
      </c>
      <c r="AM841">
        <v>85.174893369540001</v>
      </c>
      <c r="AN841">
        <v>0.99999998270041701</v>
      </c>
    </row>
    <row r="842" spans="1:40" x14ac:dyDescent="0.25">
      <c r="A842" t="str">
        <f>"20190312154521158"</f>
        <v>20190312154521158</v>
      </c>
      <c r="B842" t="str">
        <f>"1552376721147163"</f>
        <v>1552376721147163</v>
      </c>
      <c r="C842" t="s">
        <v>40</v>
      </c>
      <c r="D842">
        <v>4.4313770000000003</v>
      </c>
      <c r="E842">
        <v>0.54584840000000001</v>
      </c>
      <c r="F842" t="s">
        <v>42</v>
      </c>
      <c r="G842">
        <v>-211.11959999999999</v>
      </c>
      <c r="H842" s="1">
        <v>-4.6652489999999997E-6</v>
      </c>
      <c r="I842">
        <v>364.6934</v>
      </c>
      <c r="J842">
        <v>-229.00389999999999</v>
      </c>
      <c r="K842">
        <v>1.1097870000000001</v>
      </c>
      <c r="L842">
        <v>368.67860000000002</v>
      </c>
      <c r="M842">
        <v>0.99977309999999997</v>
      </c>
      <c r="N842">
        <v>0</v>
      </c>
      <c r="O842">
        <v>-1.583383E-2</v>
      </c>
      <c r="P842">
        <v>0.99296249999999997</v>
      </c>
      <c r="Q842">
        <v>6.3580659999999997E-2</v>
      </c>
      <c r="R842">
        <v>-9.991556E-2</v>
      </c>
      <c r="S842">
        <v>2.9674529999999999</v>
      </c>
      <c r="T842">
        <v>-0.18111730000000001</v>
      </c>
      <c r="U842">
        <v>-0.65118409999999904</v>
      </c>
      <c r="V842">
        <v>8.4238010000000002E-2</v>
      </c>
      <c r="W842">
        <v>7.7680760000000001E-2</v>
      </c>
      <c r="X842">
        <v>0.9934132</v>
      </c>
      <c r="Y842">
        <v>0.19852359999999999</v>
      </c>
      <c r="Z842">
        <v>-5.0279519999999996E-3</v>
      </c>
      <c r="AA842">
        <v>0.98008320000000004</v>
      </c>
      <c r="AB842">
        <v>30</v>
      </c>
      <c r="AC842">
        <v>17.8842999999999</v>
      </c>
      <c r="AD842">
        <v>-1.1097916652490001</v>
      </c>
      <c r="AE842">
        <v>-3.9852000000000198</v>
      </c>
      <c r="AF842">
        <v>3.68796515184924</v>
      </c>
      <c r="AG842">
        <v>-1.1097916652490001</v>
      </c>
      <c r="AH842">
        <v>17.879573048813199</v>
      </c>
      <c r="AI842">
        <v>93.478765850693307</v>
      </c>
      <c r="AJ842">
        <v>78.345227414027406</v>
      </c>
      <c r="AK842">
        <v>18.289665303371599</v>
      </c>
      <c r="AL842">
        <v>85.544732167583007</v>
      </c>
      <c r="AM842">
        <v>85.153110608779201</v>
      </c>
      <c r="AN842">
        <v>1.00000006436858</v>
      </c>
    </row>
    <row r="843" spans="1:40" x14ac:dyDescent="0.25">
      <c r="A843" t="str">
        <f>"20190312154521181"</f>
        <v>20190312154521181</v>
      </c>
      <c r="B843" t="str">
        <f>"1552376721177418"</f>
        <v>1552376721177418</v>
      </c>
      <c r="C843" t="s">
        <v>40</v>
      </c>
      <c r="D843">
        <v>4.4523650000000004</v>
      </c>
      <c r="E843">
        <v>0.54683110000000001</v>
      </c>
      <c r="F843" t="s">
        <v>42</v>
      </c>
      <c r="G843">
        <v>-211.3289</v>
      </c>
      <c r="H843" s="1">
        <v>-4.5575080000000002E-6</v>
      </c>
      <c r="I843">
        <v>364.7946</v>
      </c>
      <c r="J843">
        <v>-228.70519999999999</v>
      </c>
      <c r="K843">
        <v>1.109766</v>
      </c>
      <c r="L843">
        <v>368.67340000000002</v>
      </c>
      <c r="M843">
        <v>0.99976659999999995</v>
      </c>
      <c r="N843">
        <v>0</v>
      </c>
      <c r="O843">
        <v>-1.623958E-2</v>
      </c>
      <c r="P843">
        <v>0.99279729999999999</v>
      </c>
      <c r="Q843">
        <v>6.4205219999999993E-2</v>
      </c>
      <c r="R843">
        <v>-0.1011505</v>
      </c>
      <c r="S843">
        <v>2.9675750000000001</v>
      </c>
      <c r="T843">
        <v>-0.18632950000000001</v>
      </c>
      <c r="U843">
        <v>-0.6520996</v>
      </c>
      <c r="V843">
        <v>8.5076170000000007E-2</v>
      </c>
      <c r="W843">
        <v>7.8295420000000004E-2</v>
      </c>
      <c r="X843">
        <v>0.99329350000000005</v>
      </c>
      <c r="Y843">
        <v>0.19838810000000001</v>
      </c>
      <c r="Z843">
        <v>-5.1426680000000004E-3</v>
      </c>
      <c r="AA843">
        <v>0.98011000000000004</v>
      </c>
      <c r="AB843">
        <v>30</v>
      </c>
      <c r="AC843">
        <v>17.376299999999901</v>
      </c>
      <c r="AD843">
        <v>-1.1097705575079999</v>
      </c>
      <c r="AE843">
        <v>-3.8788000000000098</v>
      </c>
      <c r="AF843">
        <v>3.5821578944261998</v>
      </c>
      <c r="AG843">
        <v>-1.1097705575079999</v>
      </c>
      <c r="AH843">
        <v>17.369517441382801</v>
      </c>
      <c r="AI843">
        <v>93.5806142271271</v>
      </c>
      <c r="AJ843">
        <v>78.347124697352697</v>
      </c>
      <c r="AK843">
        <v>17.769737815100498</v>
      </c>
      <c r="AL843">
        <v>85.509407101521504</v>
      </c>
      <c r="AM843">
        <v>85.104530691646801</v>
      </c>
      <c r="AN843">
        <v>1.0000000523185399</v>
      </c>
    </row>
    <row r="844" spans="1:40" x14ac:dyDescent="0.25">
      <c r="A844" t="str">
        <f>"20190312154521204"</f>
        <v>20190312154521204</v>
      </c>
      <c r="B844" t="str">
        <f>"1552376721196939"</f>
        <v>1552376721196939</v>
      </c>
      <c r="C844" t="s">
        <v>40</v>
      </c>
      <c r="D844">
        <v>4.3957790000000001</v>
      </c>
      <c r="E844">
        <v>0.54732639999999999</v>
      </c>
      <c r="F844" t="s">
        <v>42</v>
      </c>
      <c r="G844">
        <v>-211.88659999999999</v>
      </c>
      <c r="H844" s="1">
        <v>-4.2965869999999999E-6</v>
      </c>
      <c r="I844">
        <v>364.91680000000002</v>
      </c>
      <c r="J844">
        <v>-228.39519999999999</v>
      </c>
      <c r="K844">
        <v>1.109739</v>
      </c>
      <c r="L844">
        <v>368.66789999999997</v>
      </c>
      <c r="M844">
        <v>0.99975899999999995</v>
      </c>
      <c r="N844">
        <v>0</v>
      </c>
      <c r="O844">
        <v>-1.670512E-2</v>
      </c>
      <c r="P844">
        <v>0.99257879999999998</v>
      </c>
      <c r="Q844">
        <v>6.3950049999999994E-2</v>
      </c>
      <c r="R844">
        <v>-0.10342990000000001</v>
      </c>
      <c r="S844">
        <v>2.9669189999999999</v>
      </c>
      <c r="T844">
        <v>-0.1957701</v>
      </c>
      <c r="U844">
        <v>-0.66268919999999998</v>
      </c>
      <c r="V844">
        <v>8.6901480000000003E-2</v>
      </c>
      <c r="W844">
        <v>7.8027799999999994E-2</v>
      </c>
      <c r="X844">
        <v>0.9931565</v>
      </c>
      <c r="Y844">
        <v>0.20127049999999999</v>
      </c>
      <c r="Z844">
        <v>-5.4653719999999996E-3</v>
      </c>
      <c r="AA844">
        <v>0.97952039999999996</v>
      </c>
      <c r="AB844">
        <v>30</v>
      </c>
      <c r="AC844">
        <v>16.508600000000001</v>
      </c>
      <c r="AD844">
        <v>-1.109743296587</v>
      </c>
      <c r="AE844">
        <v>-3.7510999999999499</v>
      </c>
      <c r="AF844">
        <v>3.4599032560898602</v>
      </c>
      <c r="AG844">
        <v>-1.109743296587</v>
      </c>
      <c r="AH844">
        <v>16.498073200181398</v>
      </c>
      <c r="AI844">
        <v>93.766513117388001</v>
      </c>
      <c r="AJ844">
        <v>78.155828649843201</v>
      </c>
      <c r="AK844">
        <v>16.893456722777799</v>
      </c>
      <c r="AL844">
        <v>85.524787502204703</v>
      </c>
      <c r="AM844">
        <v>84.999339013986102</v>
      </c>
      <c r="AN844">
        <v>1.00000001914564</v>
      </c>
    </row>
    <row r="845" spans="1:40" x14ac:dyDescent="0.25">
      <c r="A845" t="str">
        <f>"20190312154521226"</f>
        <v>20190312154521226</v>
      </c>
      <c r="B845" t="str">
        <f>"1552376721217435"</f>
        <v>1552376721217435</v>
      </c>
      <c r="C845" t="s">
        <v>40</v>
      </c>
      <c r="D845">
        <v>4.4478479999999996</v>
      </c>
      <c r="E845">
        <v>0.5476683</v>
      </c>
      <c r="F845" t="s">
        <v>42</v>
      </c>
      <c r="G845">
        <v>-212.00190000000001</v>
      </c>
      <c r="H845" s="1">
        <v>-4.2417460000000004E-6</v>
      </c>
      <c r="I845">
        <v>364.947</v>
      </c>
      <c r="J845">
        <v>-228.10589999999999</v>
      </c>
      <c r="K845">
        <v>1.1097049999999999</v>
      </c>
      <c r="L845">
        <v>368.66250000000002</v>
      </c>
      <c r="M845">
        <v>0.99975060000000004</v>
      </c>
      <c r="N845">
        <v>0</v>
      </c>
      <c r="O845">
        <v>-1.720147E-2</v>
      </c>
      <c r="P845">
        <v>0.9923305</v>
      </c>
      <c r="Q845">
        <v>6.3463610000000004E-2</v>
      </c>
      <c r="R845">
        <v>-0.1060773</v>
      </c>
      <c r="S845">
        <v>2.9652400000000001</v>
      </c>
      <c r="T845">
        <v>-0.20073089999999999</v>
      </c>
      <c r="U845">
        <v>-0.67303469999999999</v>
      </c>
      <c r="V845">
        <v>8.9066179999999995E-2</v>
      </c>
      <c r="W845">
        <v>7.752626E-2</v>
      </c>
      <c r="X845">
        <v>0.993004</v>
      </c>
      <c r="Y845">
        <v>0.20412910000000001</v>
      </c>
      <c r="Z845">
        <v>-5.6668659999999996E-3</v>
      </c>
      <c r="AA845">
        <v>0.97892760000000001</v>
      </c>
      <c r="AB845">
        <v>30</v>
      </c>
      <c r="AC845">
        <v>16.1039999999999</v>
      </c>
      <c r="AD845">
        <v>-1.1097092417459999</v>
      </c>
      <c r="AE845">
        <v>-3.7155000000000702</v>
      </c>
      <c r="AF845">
        <v>3.4224795111635</v>
      </c>
      <c r="AG845">
        <v>-1.1097092417459999</v>
      </c>
      <c r="AH845">
        <v>16.092980995802201</v>
      </c>
      <c r="AI845">
        <v>93.858624539593393</v>
      </c>
      <c r="AJ845">
        <v>77.993831829790196</v>
      </c>
      <c r="AK845">
        <v>16.490265550827299</v>
      </c>
      <c r="AL845">
        <v>85.553610964590604</v>
      </c>
      <c r="AM845">
        <v>84.874645913872996</v>
      </c>
      <c r="AN845">
        <v>1.0000000247126799</v>
      </c>
    </row>
    <row r="846" spans="1:40" x14ac:dyDescent="0.25">
      <c r="A846" t="str">
        <f>"20190312154521248"</f>
        <v>20190312154521248</v>
      </c>
      <c r="B846" t="str">
        <f>"1552376721236955"</f>
        <v>1552376721236955</v>
      </c>
      <c r="C846" t="s">
        <v>40</v>
      </c>
      <c r="D846">
        <v>4.449865</v>
      </c>
      <c r="E846">
        <v>0.54796519999999904</v>
      </c>
      <c r="F846" t="s">
        <v>42</v>
      </c>
      <c r="G846">
        <v>-212.0164</v>
      </c>
      <c r="H846" s="1">
        <v>-4.2351929999999997E-6</v>
      </c>
      <c r="I846">
        <v>364.94889999999998</v>
      </c>
      <c r="J846">
        <v>-227.80850000000001</v>
      </c>
      <c r="K846">
        <v>1.109656</v>
      </c>
      <c r="L846">
        <v>368.65690000000001</v>
      </c>
      <c r="M846">
        <v>0.99974079999999999</v>
      </c>
      <c r="N846">
        <v>0</v>
      </c>
      <c r="O846">
        <v>-1.7769839999999999E-2</v>
      </c>
      <c r="P846">
        <v>0.99217500000000003</v>
      </c>
      <c r="Q846">
        <v>6.3099619999999995E-2</v>
      </c>
      <c r="R846">
        <v>-0.10774019999999999</v>
      </c>
      <c r="S846">
        <v>2.963165</v>
      </c>
      <c r="T846">
        <v>-0.20437169999999999</v>
      </c>
      <c r="U846">
        <v>-0.68392940000000002</v>
      </c>
      <c r="V846">
        <v>9.0174480000000001E-2</v>
      </c>
      <c r="W846">
        <v>7.7146870000000006E-2</v>
      </c>
      <c r="X846">
        <v>0.99293350000000002</v>
      </c>
      <c r="Y846">
        <v>0.2071191</v>
      </c>
      <c r="Z846">
        <v>-5.8340780000000004E-3</v>
      </c>
      <c r="AA846">
        <v>0.97829840000000001</v>
      </c>
      <c r="AB846">
        <v>30</v>
      </c>
      <c r="AC846">
        <v>15.7921</v>
      </c>
      <c r="AD846">
        <v>-1.1096602351930001</v>
      </c>
      <c r="AE846">
        <v>-3.7080000000000202</v>
      </c>
      <c r="AF846">
        <v>3.4108022483394902</v>
      </c>
      <c r="AG846">
        <v>-1.1096602351930001</v>
      </c>
      <c r="AH846">
        <v>15.7816539549084</v>
      </c>
      <c r="AI846">
        <v>93.931557358241406</v>
      </c>
      <c r="AJ846">
        <v>77.804551007558999</v>
      </c>
      <c r="AK846">
        <v>16.184113178278299</v>
      </c>
      <c r="AL846">
        <v>85.5754136248854</v>
      </c>
      <c r="AM846">
        <v>84.810847898277999</v>
      </c>
      <c r="AN846">
        <v>1.00000000590815</v>
      </c>
    </row>
    <row r="847" spans="1:40" x14ac:dyDescent="0.25">
      <c r="A847" t="str">
        <f>"20190312154521270"</f>
        <v>20190312154521270</v>
      </c>
      <c r="B847" t="str">
        <f>"1552376721257451"</f>
        <v>1552376721257451</v>
      </c>
      <c r="C847" t="s">
        <v>40</v>
      </c>
      <c r="D847">
        <v>4.4638269999999904</v>
      </c>
      <c r="E847">
        <v>0.54814949999999996</v>
      </c>
      <c r="F847" t="s">
        <v>42</v>
      </c>
      <c r="G847">
        <v>-211.90350000000001</v>
      </c>
      <c r="H847" s="1">
        <v>-4.28511199999999E-6</v>
      </c>
      <c r="I847">
        <v>364.94060000000002</v>
      </c>
      <c r="J847">
        <v>-227.5222</v>
      </c>
      <c r="K847">
        <v>1.109602</v>
      </c>
      <c r="L847">
        <v>368.65109999999999</v>
      </c>
      <c r="M847">
        <v>0.99972939999999999</v>
      </c>
      <c r="N847">
        <v>0</v>
      </c>
      <c r="O847">
        <v>-1.839969E-2</v>
      </c>
      <c r="P847">
        <v>0.99203969999999997</v>
      </c>
      <c r="Q847">
        <v>6.3368740000000007E-2</v>
      </c>
      <c r="R847">
        <v>-0.1088192</v>
      </c>
      <c r="S847">
        <v>2.9616549999999999</v>
      </c>
      <c r="T847">
        <v>-0.20662739999999999</v>
      </c>
      <c r="U847">
        <v>-0.69198609999999905</v>
      </c>
      <c r="V847">
        <v>9.064113E-2</v>
      </c>
      <c r="W847">
        <v>7.7399800000000005E-2</v>
      </c>
      <c r="X847">
        <v>0.99287130000000001</v>
      </c>
      <c r="Y847">
        <v>0.209124</v>
      </c>
      <c r="Z847">
        <v>-5.9251310000000001E-3</v>
      </c>
      <c r="AA847">
        <v>0.97787120000000005</v>
      </c>
      <c r="AB847">
        <v>30</v>
      </c>
      <c r="AC847">
        <v>15.618699999999899</v>
      </c>
      <c r="AD847">
        <v>-1.1096062851120001</v>
      </c>
      <c r="AE847">
        <v>-3.7104999999999602</v>
      </c>
      <c r="AF847">
        <v>3.4061901845050402</v>
      </c>
      <c r="AG847">
        <v>-1.1096062851120001</v>
      </c>
      <c r="AH847">
        <v>15.609758200712401</v>
      </c>
      <c r="AI847">
        <v>93.972808990750593</v>
      </c>
      <c r="AJ847">
        <v>77.690495954070798</v>
      </c>
      <c r="AK847">
        <v>16.015552090567599</v>
      </c>
      <c r="AL847">
        <v>85.5608782310115</v>
      </c>
      <c r="AM847">
        <v>84.783816988827397</v>
      </c>
      <c r="AN847">
        <v>0.99999998092570297</v>
      </c>
    </row>
    <row r="848" spans="1:40" x14ac:dyDescent="0.25">
      <c r="A848" t="str">
        <f>"20190312154521293"</f>
        <v>20190312154521293</v>
      </c>
      <c r="B848" t="str">
        <f>"1552376721286731"</f>
        <v>1552376721286731</v>
      </c>
      <c r="C848" t="s">
        <v>40</v>
      </c>
      <c r="D848">
        <v>4.4662379999999997</v>
      </c>
      <c r="E848">
        <v>0.54845859999999902</v>
      </c>
      <c r="F848" t="s">
        <v>42</v>
      </c>
      <c r="G848">
        <v>-211.5453</v>
      </c>
      <c r="H848" s="1">
        <v>-4.4484639999999997E-6</v>
      </c>
      <c r="I848">
        <v>364.8861</v>
      </c>
      <c r="J848">
        <v>-227.21530000000001</v>
      </c>
      <c r="K848">
        <v>1.109523</v>
      </c>
      <c r="L848">
        <v>368.6447</v>
      </c>
      <c r="M848">
        <v>0.9997144</v>
      </c>
      <c r="N848">
        <v>0</v>
      </c>
      <c r="O848">
        <v>-1.920881E-2</v>
      </c>
      <c r="P848">
        <v>0.99201669999999997</v>
      </c>
      <c r="Q848">
        <v>6.3758579999999995E-2</v>
      </c>
      <c r="R848">
        <v>-0.10880339999999999</v>
      </c>
      <c r="S848">
        <v>2.9606780000000001</v>
      </c>
      <c r="T848">
        <v>-0.20561989999999999</v>
      </c>
      <c r="U848">
        <v>-0.69769289999999995</v>
      </c>
      <c r="V848">
        <v>8.983795E-2</v>
      </c>
      <c r="W848">
        <v>7.7770119999999998E-2</v>
      </c>
      <c r="X848">
        <v>0.9929154</v>
      </c>
      <c r="Y848">
        <v>0.21019409999999999</v>
      </c>
      <c r="Z848">
        <v>-5.8782369999999997E-3</v>
      </c>
      <c r="AA848">
        <v>0.97764200000000001</v>
      </c>
      <c r="AB848">
        <v>30</v>
      </c>
      <c r="AC848">
        <v>15.67</v>
      </c>
      <c r="AD848">
        <v>-1.1095274484639901</v>
      </c>
      <c r="AE848">
        <v>-3.7585999999999999</v>
      </c>
      <c r="AF848">
        <v>3.44056314760372</v>
      </c>
      <c r="AG848">
        <v>-1.1095274484639901</v>
      </c>
      <c r="AH848">
        <v>15.6650501135681</v>
      </c>
      <c r="AI848">
        <v>93.957376977004699</v>
      </c>
      <c r="AJ848">
        <v>77.6126356452301</v>
      </c>
      <c r="AK848">
        <v>16.0767633867064</v>
      </c>
      <c r="AL848">
        <v>85.539596483744205</v>
      </c>
      <c r="AM848">
        <v>84.830014876841005</v>
      </c>
      <c r="AN848">
        <v>1.0000000201910799</v>
      </c>
    </row>
    <row r="849" spans="1:40" x14ac:dyDescent="0.25">
      <c r="A849" t="str">
        <f>"20190312154521315"</f>
        <v>20190312154521315</v>
      </c>
      <c r="B849" t="str">
        <f>"1552376721307227"</f>
        <v>1552376721307227</v>
      </c>
      <c r="C849" t="s">
        <v>40</v>
      </c>
      <c r="D849">
        <v>4.4488859999999999</v>
      </c>
      <c r="E849">
        <v>0.54873530000000004</v>
      </c>
      <c r="F849" t="s">
        <v>42</v>
      </c>
      <c r="G849">
        <v>-211.18989999999999</v>
      </c>
      <c r="H849" s="1">
        <v>-4.606713E-6</v>
      </c>
      <c r="I849">
        <v>364.85329999999999</v>
      </c>
      <c r="J849">
        <v>-226.92769999999999</v>
      </c>
      <c r="K849">
        <v>1.1094079999999999</v>
      </c>
      <c r="L849">
        <v>368.63819999999998</v>
      </c>
      <c r="M849">
        <v>0.99969629999999998</v>
      </c>
      <c r="N849">
        <v>0</v>
      </c>
      <c r="O849">
        <v>-2.0130410000000001E-2</v>
      </c>
      <c r="P849">
        <v>0.99200549999999998</v>
      </c>
      <c r="Q849">
        <v>6.434629E-2</v>
      </c>
      <c r="R849">
        <v>-0.1085603</v>
      </c>
      <c r="S849">
        <v>2.9604949999999999</v>
      </c>
      <c r="T849">
        <v>-0.20497109999999999</v>
      </c>
      <c r="U849">
        <v>-0.7004089</v>
      </c>
      <c r="V849">
        <v>8.8701379999999996E-2</v>
      </c>
      <c r="W849">
        <v>7.8334409999999993E-2</v>
      </c>
      <c r="X849">
        <v>0.9929732</v>
      </c>
      <c r="Y849">
        <v>0.21016099999999999</v>
      </c>
      <c r="Z849">
        <v>-5.7955539999999996E-3</v>
      </c>
      <c r="AA849">
        <v>0.97764960000000001</v>
      </c>
      <c r="AB849">
        <v>30</v>
      </c>
      <c r="AC849">
        <v>15.737799999999901</v>
      </c>
      <c r="AD849">
        <v>-1.1094126067129999</v>
      </c>
      <c r="AE849">
        <v>-3.7848999999999902</v>
      </c>
      <c r="AF849">
        <v>3.4510806113850898</v>
      </c>
      <c r="AG849">
        <v>-1.1094126067129999</v>
      </c>
      <c r="AH849">
        <v>15.7368835624745</v>
      </c>
      <c r="AI849">
        <v>93.939238244330397</v>
      </c>
      <c r="AJ849">
        <v>77.630904935590095</v>
      </c>
      <c r="AK849">
        <v>16.149001764105801</v>
      </c>
      <c r="AL849">
        <v>85.507165999947006</v>
      </c>
      <c r="AM849">
        <v>84.895369874276895</v>
      </c>
      <c r="AN849">
        <v>0.99999999526109595</v>
      </c>
    </row>
    <row r="850" spans="1:40" x14ac:dyDescent="0.25">
      <c r="A850" t="str">
        <f>"20190312154521337"</f>
        <v>20190312154521337</v>
      </c>
      <c r="B850" t="str">
        <f>"1552376721326747"</f>
        <v>1552376721326747</v>
      </c>
      <c r="C850" t="s">
        <v>40</v>
      </c>
      <c r="D850">
        <v>4.4377040000000001</v>
      </c>
      <c r="E850">
        <v>0.54883219999999899</v>
      </c>
      <c r="F850" t="s">
        <v>42</v>
      </c>
      <c r="G850">
        <v>-210.81479999999999</v>
      </c>
      <c r="H850" s="1">
        <v>-4.7743110000000003E-6</v>
      </c>
      <c r="I850">
        <v>364.81580000000002</v>
      </c>
      <c r="J850">
        <v>-226.62450000000001</v>
      </c>
      <c r="K850">
        <v>1.1092470000000001</v>
      </c>
      <c r="L850">
        <v>368.63099999999997</v>
      </c>
      <c r="M850">
        <v>0.99967150000000005</v>
      </c>
      <c r="N850">
        <v>0</v>
      </c>
      <c r="O850">
        <v>-2.1316870000000002E-2</v>
      </c>
      <c r="P850">
        <v>0.99190129999999999</v>
      </c>
      <c r="Q850">
        <v>6.4027550000000003E-2</v>
      </c>
      <c r="R850">
        <v>-0.10969279999999999</v>
      </c>
      <c r="S850">
        <v>2.9605709999999998</v>
      </c>
      <c r="T850">
        <v>-0.2038411</v>
      </c>
      <c r="U850">
        <v>-0.7023315</v>
      </c>
      <c r="V850">
        <v>8.8685899999999998E-2</v>
      </c>
      <c r="W850">
        <v>7.7980729999999998E-2</v>
      </c>
      <c r="X850">
        <v>0.99300239999999995</v>
      </c>
      <c r="Y850">
        <v>0.20960490000000001</v>
      </c>
      <c r="Z850">
        <v>-5.6638740000000002E-3</v>
      </c>
      <c r="AA850">
        <v>0.97776969999999996</v>
      </c>
      <c r="AB850">
        <v>30</v>
      </c>
      <c r="AC850">
        <v>15.809699999999999</v>
      </c>
      <c r="AD850">
        <v>-1.109251774311</v>
      </c>
      <c r="AE850">
        <v>-3.81519999999994</v>
      </c>
      <c r="AF850">
        <v>3.46118435493814</v>
      </c>
      <c r="AG850">
        <v>-1.109251774311</v>
      </c>
      <c r="AH850">
        <v>15.813878548896801</v>
      </c>
      <c r="AI850">
        <v>93.919902482474498</v>
      </c>
      <c r="AJ850">
        <v>77.654348754139903</v>
      </c>
      <c r="AK850">
        <v>16.2261822804053</v>
      </c>
      <c r="AL850">
        <v>85.527492458104604</v>
      </c>
      <c r="AM850">
        <v>84.896405306383002</v>
      </c>
      <c r="AN850">
        <v>0.99999997475795099</v>
      </c>
    </row>
    <row r="851" spans="1:40" x14ac:dyDescent="0.25">
      <c r="A851" t="str">
        <f>"20190312154521359"</f>
        <v>20190312154521359</v>
      </c>
      <c r="B851" t="str">
        <f>"1552376721347244"</f>
        <v>1552376721347244</v>
      </c>
      <c r="C851" t="s">
        <v>40</v>
      </c>
      <c r="D851">
        <v>4.4616959999999999</v>
      </c>
      <c r="E851">
        <v>0.55317280000000002</v>
      </c>
      <c r="F851" t="s">
        <v>42</v>
      </c>
      <c r="G851">
        <v>-210.6283</v>
      </c>
      <c r="H851" s="1">
        <v>-4.8552550000000002E-6</v>
      </c>
      <c r="I851">
        <v>364.81029999999998</v>
      </c>
      <c r="J851">
        <v>-226.33580000000001</v>
      </c>
      <c r="K851">
        <v>1.1090530000000001</v>
      </c>
      <c r="L851">
        <v>368.6234</v>
      </c>
      <c r="M851">
        <v>0.999641</v>
      </c>
      <c r="N851">
        <v>0</v>
      </c>
      <c r="O851">
        <v>-2.2701780000000001E-2</v>
      </c>
      <c r="P851">
        <v>0.99184669999999997</v>
      </c>
      <c r="Q851">
        <v>6.2816280000000002E-2</v>
      </c>
      <c r="R851">
        <v>-0.11087859999999999</v>
      </c>
      <c r="S851">
        <v>2.959549</v>
      </c>
      <c r="T851">
        <v>-0.20522860000000001</v>
      </c>
      <c r="U851">
        <v>-0.70687869999999997</v>
      </c>
      <c r="V851">
        <v>8.852844E-2</v>
      </c>
      <c r="W851">
        <v>7.6731830000000001E-2</v>
      </c>
      <c r="X851">
        <v>0.99311380000000005</v>
      </c>
      <c r="Y851">
        <v>0.20974499999999999</v>
      </c>
      <c r="Z851">
        <v>-5.6135760000000003E-3</v>
      </c>
      <c r="AA851">
        <v>0.97774000000000005</v>
      </c>
      <c r="AB851">
        <v>30</v>
      </c>
      <c r="AC851">
        <v>15.7075</v>
      </c>
      <c r="AD851">
        <v>-1.1090578552549999</v>
      </c>
      <c r="AE851">
        <v>-3.8131000000000199</v>
      </c>
      <c r="AF851">
        <v>3.4393009099195999</v>
      </c>
      <c r="AG851">
        <v>-1.1090578552549999</v>
      </c>
      <c r="AH851">
        <v>15.7160345605611</v>
      </c>
      <c r="AI851">
        <v>93.943567109590703</v>
      </c>
      <c r="AJ851">
        <v>77.655978086392906</v>
      </c>
      <c r="AK851">
        <v>16.126144684456499</v>
      </c>
      <c r="AL851">
        <v>85.599264510508206</v>
      </c>
      <c r="AM851">
        <v>84.905987371551404</v>
      </c>
      <c r="AN851">
        <v>1.0000000390872099</v>
      </c>
    </row>
    <row r="852" spans="1:40" x14ac:dyDescent="0.25">
      <c r="A852" t="str">
        <f>"20190312154521381"</f>
        <v>20190312154521381</v>
      </c>
      <c r="B852" t="str">
        <f>"1552376721376524"</f>
        <v>1552376721376524</v>
      </c>
      <c r="C852" t="s">
        <v>40</v>
      </c>
      <c r="D852">
        <v>4.4224930000000002</v>
      </c>
      <c r="E852">
        <v>0.55718420000000002</v>
      </c>
      <c r="F852" t="s">
        <v>42</v>
      </c>
      <c r="G852">
        <v>-212.61160000000001</v>
      </c>
      <c r="H852" s="1">
        <v>-3.9409720000000001E-6</v>
      </c>
      <c r="I852">
        <v>365.16820000000001</v>
      </c>
      <c r="J852">
        <v>-226.0455</v>
      </c>
      <c r="K852">
        <v>1.108824</v>
      </c>
      <c r="L852">
        <v>368.61509999999998</v>
      </c>
      <c r="M852">
        <v>0.99960110000000002</v>
      </c>
      <c r="N852">
        <v>0</v>
      </c>
      <c r="O852">
        <v>-2.439293E-2</v>
      </c>
      <c r="P852">
        <v>0.99157289999999998</v>
      </c>
      <c r="Q852">
        <v>6.2241749999999998E-2</v>
      </c>
      <c r="R852">
        <v>-0.11362070000000001</v>
      </c>
      <c r="S852">
        <v>2.9565890000000001</v>
      </c>
      <c r="T852">
        <v>-0.2389221</v>
      </c>
      <c r="U852">
        <v>-0.74435419999999997</v>
      </c>
      <c r="V852">
        <v>8.9633779999999996E-2</v>
      </c>
      <c r="W852">
        <v>7.6107110000000006E-2</v>
      </c>
      <c r="X852">
        <v>0.99306269999999996</v>
      </c>
      <c r="Y852">
        <v>0.2198147</v>
      </c>
      <c r="Z852">
        <v>-6.7950939999999998E-3</v>
      </c>
      <c r="AA852">
        <v>0.975518</v>
      </c>
      <c r="AB852">
        <v>30</v>
      </c>
      <c r="AC852">
        <v>13.4338999999999</v>
      </c>
      <c r="AD852">
        <v>-1.1088279409720001</v>
      </c>
      <c r="AE852">
        <v>-3.4468999999999701</v>
      </c>
      <c r="AF852">
        <v>3.0983442676419002</v>
      </c>
      <c r="AG852">
        <v>-1.1088279409720001</v>
      </c>
      <c r="AH852">
        <v>13.4281581097627</v>
      </c>
      <c r="AI852">
        <v>94.600154182585896</v>
      </c>
      <c r="AJ852">
        <v>77.007252601911603</v>
      </c>
      <c r="AK852">
        <v>13.8255078324196</v>
      </c>
      <c r="AL852">
        <v>85.635163206757397</v>
      </c>
      <c r="AM852">
        <v>84.842461971990403</v>
      </c>
      <c r="AN852">
        <v>1.0000000164204601</v>
      </c>
    </row>
    <row r="853" spans="1:40" x14ac:dyDescent="0.25">
      <c r="A853" t="str">
        <f>"20190312154521405"</f>
        <v>20190312154521405</v>
      </c>
      <c r="B853" t="str">
        <f>"1552376721397019"</f>
        <v>1552376721397019</v>
      </c>
      <c r="C853" t="s">
        <v>40</v>
      </c>
      <c r="D853">
        <v>4.4379080000000002</v>
      </c>
      <c r="E853">
        <v>0.55720269999999905</v>
      </c>
      <c r="F853" t="s">
        <v>51</v>
      </c>
      <c r="G853">
        <v>-209.23859999999999</v>
      </c>
      <c r="H853" s="1">
        <v>-5.886552E-6</v>
      </c>
      <c r="I853">
        <v>364.1336</v>
      </c>
      <c r="J853">
        <v>-225.73679999999999</v>
      </c>
      <c r="K853">
        <v>1.108555</v>
      </c>
      <c r="L853">
        <v>368.60539999999997</v>
      </c>
      <c r="M853">
        <v>0.99954540000000003</v>
      </c>
      <c r="N853">
        <v>0</v>
      </c>
      <c r="O853">
        <v>-2.6574449999999999E-2</v>
      </c>
      <c r="P853">
        <v>0.99113779999999996</v>
      </c>
      <c r="Q853">
        <v>6.1968330000000002E-2</v>
      </c>
      <c r="R853">
        <v>-0.1174975</v>
      </c>
      <c r="S853">
        <v>2.947632</v>
      </c>
      <c r="T853">
        <v>-0.1944689</v>
      </c>
      <c r="U853">
        <v>-0.78598020000000002</v>
      </c>
      <c r="V853">
        <v>9.1399679999999997E-2</v>
      </c>
      <c r="W853">
        <v>7.5771420000000006E-2</v>
      </c>
      <c r="X853">
        <v>0.99292740000000002</v>
      </c>
      <c r="Y853">
        <v>0.2314599</v>
      </c>
      <c r="Z853">
        <v>-5.7765129999999996E-3</v>
      </c>
      <c r="AA853">
        <v>0.97282729999999995</v>
      </c>
      <c r="AB853">
        <v>29</v>
      </c>
      <c r="AC853">
        <v>16.498199999999901</v>
      </c>
      <c r="AD853">
        <v>-1.108560886552</v>
      </c>
      <c r="AE853">
        <v>-4.4717999999999698</v>
      </c>
      <c r="AF853">
        <v>4.0148593183430696</v>
      </c>
      <c r="AG853">
        <v>-1.108560886552</v>
      </c>
      <c r="AH853">
        <v>16.5416476833662</v>
      </c>
      <c r="AI853">
        <v>93.726157303501594</v>
      </c>
      <c r="AJ853">
        <v>76.3574244677596</v>
      </c>
      <c r="AK853">
        <v>17.057963262531999</v>
      </c>
      <c r="AL853">
        <v>85.654452522292203</v>
      </c>
      <c r="AM853">
        <v>84.740703539138906</v>
      </c>
      <c r="AN853">
        <v>1.0000000156318301</v>
      </c>
    </row>
    <row r="854" spans="1:40" x14ac:dyDescent="0.25">
      <c r="A854" t="str">
        <f>"20190312154521429"</f>
        <v>20190312154521429</v>
      </c>
      <c r="B854" t="str">
        <f>"1552376721417515"</f>
        <v>1552376721417515</v>
      </c>
      <c r="C854" t="s">
        <v>40</v>
      </c>
      <c r="D854">
        <v>4.4106110000000003</v>
      </c>
      <c r="E854">
        <v>0.55765229999999999</v>
      </c>
      <c r="F854" t="s">
        <v>51</v>
      </c>
      <c r="G854">
        <v>-209.17490000000001</v>
      </c>
      <c r="H854" s="1">
        <v>-5.8683299999999998E-6</v>
      </c>
      <c r="I854">
        <v>364.11369999999999</v>
      </c>
      <c r="J854">
        <v>-225.42580000000001</v>
      </c>
      <c r="K854">
        <v>1.1082780000000001</v>
      </c>
      <c r="L854">
        <v>368.59440000000001</v>
      </c>
      <c r="M854">
        <v>0.99947220000000003</v>
      </c>
      <c r="N854">
        <v>0</v>
      </c>
      <c r="O854">
        <v>-2.9196199999999999E-2</v>
      </c>
      <c r="P854">
        <v>0.99061569999999999</v>
      </c>
      <c r="Q854">
        <v>6.1707999999999999E-2</v>
      </c>
      <c r="R854">
        <v>-0.12195449999999999</v>
      </c>
      <c r="S854">
        <v>2.9444729999999999</v>
      </c>
      <c r="T854">
        <v>-0.19708609999999999</v>
      </c>
      <c r="U854">
        <v>-0.79855350000000003</v>
      </c>
      <c r="V854">
        <v>9.3313690000000005E-2</v>
      </c>
      <c r="W854">
        <v>7.5444769999999994E-2</v>
      </c>
      <c r="X854">
        <v>0.99277420000000005</v>
      </c>
      <c r="Y854">
        <v>0.23303209999999999</v>
      </c>
      <c r="Z854">
        <v>-5.7367819999999898E-3</v>
      </c>
      <c r="AA854">
        <v>0.97245210000000004</v>
      </c>
      <c r="AB854">
        <v>29</v>
      </c>
      <c r="AC854">
        <v>16.250900000000001</v>
      </c>
      <c r="AD854">
        <v>-1.10828386832999</v>
      </c>
      <c r="AE854">
        <v>-4.4807000000000103</v>
      </c>
      <c r="AF854">
        <v>3.9870431760337701</v>
      </c>
      <c r="AG854">
        <v>-1.10828386832999</v>
      </c>
      <c r="AH854">
        <v>16.304329486821299</v>
      </c>
      <c r="AI854">
        <v>93.777712689017406</v>
      </c>
      <c r="AJ854">
        <v>76.258623791948807</v>
      </c>
      <c r="AK854">
        <v>16.821295028480701</v>
      </c>
      <c r="AL854">
        <v>85.6732217815007</v>
      </c>
      <c r="AM854">
        <v>84.6303814423067</v>
      </c>
      <c r="AN854">
        <v>0.99999998512370403</v>
      </c>
    </row>
    <row r="855" spans="1:40" x14ac:dyDescent="0.25">
      <c r="A855" t="str">
        <f>"20190312154521451"</f>
        <v>20190312154521451</v>
      </c>
      <c r="B855" t="str">
        <f>"1552376721438011"</f>
        <v>1552376721438011</v>
      </c>
      <c r="C855" t="s">
        <v>40</v>
      </c>
      <c r="D855">
        <v>4.413729</v>
      </c>
      <c r="E855">
        <v>0.55755250000000001</v>
      </c>
      <c r="F855" t="s">
        <v>51</v>
      </c>
      <c r="G855">
        <v>-209.18170000000001</v>
      </c>
      <c r="H855" s="1">
        <v>-5.8746020000000001E-6</v>
      </c>
      <c r="I855">
        <v>364.08819999999997</v>
      </c>
      <c r="J855">
        <v>-225.12520000000001</v>
      </c>
      <c r="K855">
        <v>1.108025</v>
      </c>
      <c r="L855">
        <v>368.58260000000001</v>
      </c>
      <c r="M855">
        <v>0.99938479999999996</v>
      </c>
      <c r="N855">
        <v>0</v>
      </c>
      <c r="O855">
        <v>-3.2048229999999997E-2</v>
      </c>
      <c r="P855">
        <v>0.99006490000000003</v>
      </c>
      <c r="Q855">
        <v>6.147379E-2</v>
      </c>
      <c r="R855">
        <v>-0.1264614</v>
      </c>
      <c r="S855">
        <v>2.9404910000000002</v>
      </c>
      <c r="T855">
        <v>-0.20062160000000001</v>
      </c>
      <c r="U855">
        <v>-0.81570430000000005</v>
      </c>
      <c r="V855">
        <v>9.5044669999999998E-2</v>
      </c>
      <c r="W855">
        <v>7.5151399999999993E-2</v>
      </c>
      <c r="X855">
        <v>0.99263230000000002</v>
      </c>
      <c r="Y855">
        <v>0.2358481</v>
      </c>
      <c r="Z855">
        <v>-5.7465669999999898E-3</v>
      </c>
      <c r="AA855">
        <v>0.97177290000000005</v>
      </c>
      <c r="AB855">
        <v>29</v>
      </c>
      <c r="AC855">
        <v>15.9435</v>
      </c>
      <c r="AD855">
        <v>-1.108030874602</v>
      </c>
      <c r="AE855">
        <v>-4.4944000000000397</v>
      </c>
      <c r="AF855">
        <v>3.9633447515779499</v>
      </c>
      <c r="AG855">
        <v>-1.108030874602</v>
      </c>
      <c r="AH855">
        <v>16.007736854918999</v>
      </c>
      <c r="AI855">
        <v>93.843909190660497</v>
      </c>
      <c r="AJ855">
        <v>76.093826833338198</v>
      </c>
      <c r="AK855">
        <v>16.528262862601899</v>
      </c>
      <c r="AL855">
        <v>85.690078791114004</v>
      </c>
      <c r="AM855">
        <v>84.530595753963894</v>
      </c>
      <c r="AN855">
        <v>1.0000000526103201</v>
      </c>
    </row>
    <row r="856" spans="1:40" x14ac:dyDescent="0.25">
      <c r="A856" t="str">
        <f>"20190312154521472"</f>
        <v>20190312154521472</v>
      </c>
      <c r="B856" t="str">
        <f>"1552376721457531"</f>
        <v>1552376721457531</v>
      </c>
      <c r="C856" t="s">
        <v>40</v>
      </c>
      <c r="D856">
        <v>4.3901320000000004</v>
      </c>
      <c r="E856">
        <v>0.55764919999999996</v>
      </c>
      <c r="F856" t="s">
        <v>51</v>
      </c>
      <c r="G856">
        <v>-208.9383</v>
      </c>
      <c r="H856" s="1">
        <v>-5.8042009999999997E-6</v>
      </c>
      <c r="I856">
        <v>364.0172</v>
      </c>
      <c r="J856">
        <v>-224.85990000000001</v>
      </c>
      <c r="K856">
        <v>1.10782</v>
      </c>
      <c r="L856">
        <v>368.57130000000001</v>
      </c>
      <c r="M856">
        <v>0.99929159999999995</v>
      </c>
      <c r="N856">
        <v>0</v>
      </c>
      <c r="O856">
        <v>-3.4829140000000001E-2</v>
      </c>
      <c r="P856">
        <v>0.98939619999999995</v>
      </c>
      <c r="Q856">
        <v>6.185819E-2</v>
      </c>
      <c r="R856">
        <v>-0.1314118</v>
      </c>
      <c r="S856">
        <v>2.9367679999999998</v>
      </c>
      <c r="T856">
        <v>-0.20102829999999999</v>
      </c>
      <c r="U856">
        <v>-0.82830809999999999</v>
      </c>
      <c r="V856">
        <v>9.7289790000000001E-2</v>
      </c>
      <c r="W856">
        <v>7.5478539999999997E-2</v>
      </c>
      <c r="X856">
        <v>0.99238990000000005</v>
      </c>
      <c r="Y856">
        <v>0.2373294</v>
      </c>
      <c r="Z856">
        <v>-5.6256400000000003E-3</v>
      </c>
      <c r="AA856">
        <v>0.97141299999999997</v>
      </c>
      <c r="AB856">
        <v>29</v>
      </c>
      <c r="AC856">
        <v>15.9216</v>
      </c>
      <c r="AD856">
        <v>-1.1078258042010001</v>
      </c>
      <c r="AE856">
        <v>-4.5541</v>
      </c>
      <c r="AF856">
        <v>3.9789376750107199</v>
      </c>
      <c r="AG856">
        <v>-1.1078258042010001</v>
      </c>
      <c r="AH856">
        <v>15.998970331059301</v>
      </c>
      <c r="AI856">
        <v>93.844304594475503</v>
      </c>
      <c r="AJ856">
        <v>76.033902084762701</v>
      </c>
      <c r="AK856">
        <v>16.523506730963302</v>
      </c>
      <c r="AL856">
        <v>85.671281493076904</v>
      </c>
      <c r="AM856">
        <v>84.400851517346794</v>
      </c>
      <c r="AN856">
        <v>1.0000000134303899</v>
      </c>
    </row>
    <row r="857" spans="1:40" x14ac:dyDescent="0.25">
      <c r="A857" t="str">
        <f>"20190312154521494"</f>
        <v>20190312154521494</v>
      </c>
      <c r="B857" t="str">
        <f>"1552376721486811"</f>
        <v>1552376721486811</v>
      </c>
      <c r="C857" t="s">
        <v>40</v>
      </c>
      <c r="D857">
        <v>4.3952669999999996</v>
      </c>
      <c r="E857">
        <v>0.55776389999999998</v>
      </c>
      <c r="F857" t="s">
        <v>51</v>
      </c>
      <c r="G857">
        <v>-208.68299999999999</v>
      </c>
      <c r="H857" s="1">
        <v>-5.7347320000000004E-6</v>
      </c>
      <c r="I857">
        <v>363.91489999999999</v>
      </c>
      <c r="J857">
        <v>-224.56139999999999</v>
      </c>
      <c r="K857">
        <v>1.1076029999999999</v>
      </c>
      <c r="L857">
        <v>368.5573</v>
      </c>
      <c r="M857">
        <v>0.99916579999999999</v>
      </c>
      <c r="N857">
        <v>0</v>
      </c>
      <c r="O857">
        <v>-3.8267049999999997E-2</v>
      </c>
      <c r="P857">
        <v>0.98862830000000002</v>
      </c>
      <c r="Q857">
        <v>6.2741859999999997E-2</v>
      </c>
      <c r="R857">
        <v>-0.13666739999999999</v>
      </c>
      <c r="S857">
        <v>2.9326020000000002</v>
      </c>
      <c r="T857">
        <v>-0.20083029999999999</v>
      </c>
      <c r="U857">
        <v>-0.84411619999999998</v>
      </c>
      <c r="V857">
        <v>9.9199380000000004E-2</v>
      </c>
      <c r="W857">
        <v>7.6301079999999993E-2</v>
      </c>
      <c r="X857">
        <v>0.99213790000000002</v>
      </c>
      <c r="Y857">
        <v>0.2391942</v>
      </c>
      <c r="Z857">
        <v>-5.4564679999999999E-3</v>
      </c>
      <c r="AA857">
        <v>0.97095640000000005</v>
      </c>
      <c r="AB857">
        <v>29</v>
      </c>
      <c r="AC857">
        <v>15.878399999999999</v>
      </c>
      <c r="AD857">
        <v>-1.1076087347319901</v>
      </c>
      <c r="AE857">
        <v>-4.6424000000000003</v>
      </c>
      <c r="AF857">
        <v>4.0133272358174201</v>
      </c>
      <c r="AG857">
        <v>-1.1076087347319901</v>
      </c>
      <c r="AH857">
        <v>15.972835519300499</v>
      </c>
      <c r="AI857">
        <v>93.847512479983394</v>
      </c>
      <c r="AJ857">
        <v>75.895855672758302</v>
      </c>
      <c r="AK857">
        <v>16.5065158994149</v>
      </c>
      <c r="AL857">
        <v>85.624017028316999</v>
      </c>
      <c r="AM857">
        <v>84.290230799154898</v>
      </c>
      <c r="AN857">
        <v>0.99999999220897995</v>
      </c>
    </row>
    <row r="858" spans="1:40" x14ac:dyDescent="0.25">
      <c r="A858" t="str">
        <f>"20190312154521516"</f>
        <v>20190312154521516</v>
      </c>
      <c r="B858" t="str">
        <f>"1552376721507307"</f>
        <v>1552376721507307</v>
      </c>
      <c r="C858" t="s">
        <v>40</v>
      </c>
      <c r="D858">
        <v>4.4123330000000003</v>
      </c>
      <c r="E858">
        <v>0.56660129999999997</v>
      </c>
      <c r="F858" t="s">
        <v>51</v>
      </c>
      <c r="G858">
        <v>-208.31110000000001</v>
      </c>
      <c r="H858" s="1">
        <v>-5.6308789999999998E-6</v>
      </c>
      <c r="I858">
        <v>363.78280000000001</v>
      </c>
      <c r="J858">
        <v>-224.27699999999999</v>
      </c>
      <c r="K858">
        <v>1.1073949999999999</v>
      </c>
      <c r="L858">
        <v>368.5428</v>
      </c>
      <c r="M858">
        <v>0.99902299999999999</v>
      </c>
      <c r="N858">
        <v>0</v>
      </c>
      <c r="O858">
        <v>-4.1825250000000001E-2</v>
      </c>
      <c r="P858">
        <v>0.98791200000000001</v>
      </c>
      <c r="Q858">
        <v>6.2534210000000007E-2</v>
      </c>
      <c r="R858">
        <v>-0.1418449</v>
      </c>
      <c r="S858">
        <v>2.9282379999999999</v>
      </c>
      <c r="T858">
        <v>-0.19958709999999999</v>
      </c>
      <c r="U858">
        <v>-0.86035159999999999</v>
      </c>
      <c r="V858">
        <v>0.1009033</v>
      </c>
      <c r="W858">
        <v>7.6036729999999997E-2</v>
      </c>
      <c r="X858">
        <v>0.99198640000000005</v>
      </c>
      <c r="Y858">
        <v>0.24109230000000001</v>
      </c>
      <c r="Z858">
        <v>-5.2533060000000001E-3</v>
      </c>
      <c r="AA858">
        <v>0.97048800000000002</v>
      </c>
      <c r="AB858">
        <v>29</v>
      </c>
      <c r="AC858">
        <v>15.9659</v>
      </c>
      <c r="AD858">
        <v>-1.1074006308789901</v>
      </c>
      <c r="AE858">
        <v>-4.75999999999999</v>
      </c>
      <c r="AF858">
        <v>4.0700061785207904</v>
      </c>
      <c r="AG858">
        <v>-1.1074006308789901</v>
      </c>
      <c r="AH858">
        <v>16.0799906529972</v>
      </c>
      <c r="AI858">
        <v>93.819562158159698</v>
      </c>
      <c r="AJ858">
        <v>75.7961723822566</v>
      </c>
      <c r="AK858">
        <v>16.624000296286901</v>
      </c>
      <c r="AL858">
        <v>85.639207501138401</v>
      </c>
      <c r="AM858">
        <v>84.191939546507896</v>
      </c>
      <c r="AN858">
        <v>1.0000000390224699</v>
      </c>
    </row>
    <row r="859" spans="1:40" x14ac:dyDescent="0.25">
      <c r="A859" t="str">
        <f>"20190312154521538"</f>
        <v>20190312154521538</v>
      </c>
      <c r="B859" t="str">
        <f>"1552376721526827"</f>
        <v>1552376721526827</v>
      </c>
      <c r="C859" t="s">
        <v>40</v>
      </c>
      <c r="D859">
        <v>4.2597690000000004</v>
      </c>
      <c r="E859">
        <v>0.57601749999999996</v>
      </c>
      <c r="F859" t="s">
        <v>51</v>
      </c>
      <c r="G859">
        <v>-208.45240000000001</v>
      </c>
      <c r="H859" s="1">
        <v>-5.7372150000000001E-6</v>
      </c>
      <c r="I859">
        <v>363.40469999999999</v>
      </c>
      <c r="J859">
        <v>-223.9872</v>
      </c>
      <c r="K859">
        <v>1.107175</v>
      </c>
      <c r="L859">
        <v>368.52659999999997</v>
      </c>
      <c r="M859">
        <v>0.99885259999999998</v>
      </c>
      <c r="N859">
        <v>0</v>
      </c>
      <c r="O859">
        <v>-4.571099E-2</v>
      </c>
      <c r="P859">
        <v>0.98715359999999996</v>
      </c>
      <c r="Q859">
        <v>6.168763E-2</v>
      </c>
      <c r="R859">
        <v>-0.14738660000000001</v>
      </c>
      <c r="S859">
        <v>2.9137729999999999</v>
      </c>
      <c r="T859">
        <v>-0.2039039</v>
      </c>
      <c r="U859">
        <v>-0.94607540000000001</v>
      </c>
      <c r="V859">
        <v>0.1026446</v>
      </c>
      <c r="W859">
        <v>7.5132379999999999E-2</v>
      </c>
      <c r="X859">
        <v>0.9918766</v>
      </c>
      <c r="Y859">
        <v>0.26453379999999999</v>
      </c>
      <c r="Z859">
        <v>-5.9048010000000003E-3</v>
      </c>
      <c r="AA859">
        <v>0.9643583</v>
      </c>
      <c r="AB859">
        <v>29</v>
      </c>
      <c r="AC859">
        <v>15.534799999999899</v>
      </c>
      <c r="AD859">
        <v>-1.107180737215</v>
      </c>
      <c r="AE859">
        <v>-5.1218999999999797</v>
      </c>
      <c r="AF859">
        <v>4.3862657282458501</v>
      </c>
      <c r="AG859">
        <v>-1.107180737215</v>
      </c>
      <c r="AH859">
        <v>15.6808670570522</v>
      </c>
      <c r="AI859">
        <v>93.889955261326605</v>
      </c>
      <c r="AJ859">
        <v>74.372585054866803</v>
      </c>
      <c r="AK859">
        <v>16.320378913633899</v>
      </c>
      <c r="AL859">
        <v>85.691171371974903</v>
      </c>
      <c r="AM859">
        <v>84.091762744013096</v>
      </c>
      <c r="AN859">
        <v>0.99999998903059195</v>
      </c>
    </row>
    <row r="860" spans="1:40" x14ac:dyDescent="0.25">
      <c r="A860" t="str">
        <f>"20190312154521560"</f>
        <v>20190312154521560</v>
      </c>
      <c r="B860" t="str">
        <f>"1552376721557084"</f>
        <v>1552376721557084</v>
      </c>
      <c r="C860" t="s">
        <v>40</v>
      </c>
      <c r="D860">
        <v>4.2534140000000003</v>
      </c>
      <c r="E860">
        <v>0.57519259999999905</v>
      </c>
      <c r="F860" t="s">
        <v>51</v>
      </c>
      <c r="G860">
        <v>-205.7757</v>
      </c>
      <c r="H860" s="1">
        <v>-5.0044459999999999E-6</v>
      </c>
      <c r="I860">
        <v>362.0025</v>
      </c>
      <c r="J860">
        <v>-223.69749999999999</v>
      </c>
      <c r="K860">
        <v>1.106967</v>
      </c>
      <c r="L860">
        <v>368.50909999999999</v>
      </c>
      <c r="M860">
        <v>0.99865519999999997</v>
      </c>
      <c r="N860">
        <v>0</v>
      </c>
      <c r="O860">
        <v>-4.9833660000000002E-2</v>
      </c>
      <c r="P860">
        <v>0.98627949999999998</v>
      </c>
      <c r="Q860">
        <v>6.063528E-2</v>
      </c>
      <c r="R860">
        <v>-0.15354609999999999</v>
      </c>
      <c r="S860">
        <v>2.8951720000000001</v>
      </c>
      <c r="T860">
        <v>-0.17601359999999999</v>
      </c>
      <c r="U860">
        <v>-1.0371699999999999</v>
      </c>
      <c r="V860">
        <v>0.10477019999999999</v>
      </c>
      <c r="W860">
        <v>7.4021589999999998E-2</v>
      </c>
      <c r="X860">
        <v>0.99173789999999995</v>
      </c>
      <c r="Y860">
        <v>0.28952480000000003</v>
      </c>
      <c r="Z860">
        <v>-5.5993060000000001E-3</v>
      </c>
      <c r="AA860">
        <v>0.95715419999999996</v>
      </c>
      <c r="AB860">
        <v>29</v>
      </c>
      <c r="AC860">
        <v>17.921799999999902</v>
      </c>
      <c r="AD860">
        <v>-1.1069720044460001</v>
      </c>
      <c r="AE860">
        <v>-6.5065999999999899</v>
      </c>
      <c r="AF860">
        <v>5.5864828371500899</v>
      </c>
      <c r="AG860">
        <v>-1.1069720044460001</v>
      </c>
      <c r="AH860">
        <v>18.162586008825802</v>
      </c>
      <c r="AI860">
        <v>93.333972375371502</v>
      </c>
      <c r="AJ860">
        <v>72.903049644319594</v>
      </c>
      <c r="AK860">
        <v>19.0345398693111</v>
      </c>
      <c r="AL860">
        <v>85.754992839862993</v>
      </c>
      <c r="AM860">
        <v>83.969468160435198</v>
      </c>
      <c r="AN860">
        <v>1.00000002644528</v>
      </c>
    </row>
    <row r="861" spans="1:40" x14ac:dyDescent="0.25">
      <c r="A861" t="str">
        <f>"20190312154521582"</f>
        <v>20190312154521582</v>
      </c>
      <c r="B861" t="str">
        <f>"1552376721577579"</f>
        <v>1552376721577579</v>
      </c>
      <c r="C861" t="s">
        <v>40</v>
      </c>
      <c r="D861">
        <v>4.2334160000000001</v>
      </c>
      <c r="E861">
        <v>0.57510539999999999</v>
      </c>
      <c r="F861" t="s">
        <v>51</v>
      </c>
      <c r="G861">
        <v>-205.15369999999999</v>
      </c>
      <c r="H861" s="1">
        <v>-4.7644149999999999E-6</v>
      </c>
      <c r="I861">
        <v>361.7783</v>
      </c>
      <c r="J861">
        <v>-223.40209999999999</v>
      </c>
      <c r="K861">
        <v>1.106773</v>
      </c>
      <c r="L861">
        <v>368.48970000000003</v>
      </c>
      <c r="M861">
        <v>0.99842470000000005</v>
      </c>
      <c r="N861">
        <v>0</v>
      </c>
      <c r="O861">
        <v>-5.42558E-2</v>
      </c>
      <c r="P861">
        <v>0.98527149999999997</v>
      </c>
      <c r="Q861">
        <v>5.9140489999999997E-2</v>
      </c>
      <c r="R861">
        <v>-0.16044549999999999</v>
      </c>
      <c r="S861">
        <v>2.8890690000000001</v>
      </c>
      <c r="T861">
        <v>-0.1724628</v>
      </c>
      <c r="U861">
        <v>-1.048645</v>
      </c>
      <c r="V861">
        <v>0.10733819999999999</v>
      </c>
      <c r="W861">
        <v>7.2465580000000002E-2</v>
      </c>
      <c r="X861">
        <v>0.99157819999999997</v>
      </c>
      <c r="Y861">
        <v>0.28931370000000001</v>
      </c>
      <c r="Z861">
        <v>-5.2336070000000004E-3</v>
      </c>
      <c r="AA861">
        <v>0.95721999999999996</v>
      </c>
      <c r="AB861">
        <v>29</v>
      </c>
      <c r="AC861">
        <v>18.2484</v>
      </c>
      <c r="AD861">
        <v>-1.1067777644149901</v>
      </c>
      <c r="AE861">
        <v>-6.7114000000000198</v>
      </c>
      <c r="AF861">
        <v>5.6928835753353599</v>
      </c>
      <c r="AG861">
        <v>-1.1067777644149901</v>
      </c>
      <c r="AH861">
        <v>18.525658186641099</v>
      </c>
      <c r="AI861">
        <v>93.268463589540403</v>
      </c>
      <c r="AJ861">
        <v>72.917951509065404</v>
      </c>
      <c r="AK861">
        <v>19.412209860559098</v>
      </c>
      <c r="AL861">
        <v>85.844385803115003</v>
      </c>
      <c r="AM861">
        <v>83.821797143064202</v>
      </c>
      <c r="AN861">
        <v>1.0000000380895999</v>
      </c>
    </row>
    <row r="862" spans="1:40" x14ac:dyDescent="0.25">
      <c r="A862" t="str">
        <f>"20190312154521605"</f>
        <v>20190312154521605</v>
      </c>
      <c r="B862" t="str">
        <f>"1552376721597099"</f>
        <v>1552376721597099</v>
      </c>
      <c r="C862" t="s">
        <v>40</v>
      </c>
      <c r="D862">
        <v>4.33162</v>
      </c>
      <c r="E862">
        <v>0.57335729999999996</v>
      </c>
      <c r="F862" t="s">
        <v>51</v>
      </c>
      <c r="G862">
        <v>-204.797</v>
      </c>
      <c r="H862" s="1">
        <v>-4.6328799999999996E-6</v>
      </c>
      <c r="I862">
        <v>361.58789999999999</v>
      </c>
      <c r="J862">
        <v>-223.107</v>
      </c>
      <c r="K862">
        <v>1.106614</v>
      </c>
      <c r="L862">
        <v>368.46879999999999</v>
      </c>
      <c r="M862">
        <v>0.99816240000000001</v>
      </c>
      <c r="N862">
        <v>0</v>
      </c>
      <c r="O862">
        <v>-5.8882190000000001E-2</v>
      </c>
      <c r="P862">
        <v>0.98425390000000001</v>
      </c>
      <c r="Q862">
        <v>5.7310390000000003E-2</v>
      </c>
      <c r="R862">
        <v>-0.16721249999999999</v>
      </c>
      <c r="S862">
        <v>2.8811040000000001</v>
      </c>
      <c r="T862">
        <v>-0.17139070000000001</v>
      </c>
      <c r="U862">
        <v>-1.0687869999999999</v>
      </c>
      <c r="V862">
        <v>0.1095647</v>
      </c>
      <c r="W862">
        <v>7.0583080000000006E-2</v>
      </c>
      <c r="X862">
        <v>0.99147050000000003</v>
      </c>
      <c r="Y862">
        <v>0.29162890000000002</v>
      </c>
      <c r="Z862">
        <v>-5.010792E-3</v>
      </c>
      <c r="AA862">
        <v>0.95651839999999999</v>
      </c>
      <c r="AB862">
        <v>29</v>
      </c>
      <c r="AC862">
        <v>18.309999999999999</v>
      </c>
      <c r="AD862">
        <v>-1.1066186328799901</v>
      </c>
      <c r="AE862">
        <v>-6.8808999999999898</v>
      </c>
      <c r="AF862">
        <v>5.7722401749874601</v>
      </c>
      <c r="AG862">
        <v>-1.1066186328799901</v>
      </c>
      <c r="AH862">
        <v>18.623818820121301</v>
      </c>
      <c r="AI862">
        <v>93.248393651650204</v>
      </c>
      <c r="AJ862">
        <v>72.779773830107501</v>
      </c>
      <c r="AK862">
        <v>19.529208608673301</v>
      </c>
      <c r="AL862">
        <v>85.952522216439604</v>
      </c>
      <c r="AM862">
        <v>83.693986040590005</v>
      </c>
      <c r="AN862">
        <v>1.00000007351931</v>
      </c>
    </row>
    <row r="863" spans="1:40" x14ac:dyDescent="0.25">
      <c r="A863" t="str">
        <f>"20190312154521628"</f>
        <v>20190312154521628</v>
      </c>
      <c r="B863" t="str">
        <f>"1552376721616619"</f>
        <v>1552376721616619</v>
      </c>
      <c r="C863" t="s">
        <v>40</v>
      </c>
      <c r="D863">
        <v>4.2511780000000003</v>
      </c>
      <c r="E863">
        <v>0.57309829999999995</v>
      </c>
      <c r="F863" t="s">
        <v>51</v>
      </c>
      <c r="G863">
        <v>-205.6627</v>
      </c>
      <c r="H863" s="1">
        <v>-4.9641859999999999E-6</v>
      </c>
      <c r="I863">
        <v>361.94670000000002</v>
      </c>
      <c r="J863">
        <v>-222.8134</v>
      </c>
      <c r="K863">
        <v>1.106479</v>
      </c>
      <c r="L863">
        <v>368.44639999999998</v>
      </c>
      <c r="M863">
        <v>0.99787009999999998</v>
      </c>
      <c r="N863">
        <v>0</v>
      </c>
      <c r="O863">
        <v>-6.3639290000000001E-2</v>
      </c>
      <c r="P863">
        <v>0.98318989999999995</v>
      </c>
      <c r="Q863">
        <v>5.6360779999999999E-2</v>
      </c>
      <c r="R863">
        <v>-0.1736695</v>
      </c>
      <c r="S863">
        <v>2.8759459999999999</v>
      </c>
      <c r="T863">
        <v>-0.1824421</v>
      </c>
      <c r="U863">
        <v>-1.075256</v>
      </c>
      <c r="V863">
        <v>0.1113575</v>
      </c>
      <c r="W863">
        <v>6.9591790000000001E-2</v>
      </c>
      <c r="X863">
        <v>0.99134080000000002</v>
      </c>
      <c r="Y863">
        <v>0.2894814</v>
      </c>
      <c r="Z863">
        <v>-4.984825E-3</v>
      </c>
      <c r="AA863">
        <v>0.95717070000000004</v>
      </c>
      <c r="AB863">
        <v>29</v>
      </c>
      <c r="AC863">
        <v>17.150700000000001</v>
      </c>
      <c r="AD863">
        <v>-1.106483964186</v>
      </c>
      <c r="AE863">
        <v>-6.4996999999999598</v>
      </c>
      <c r="AF863">
        <v>5.3753879318087696</v>
      </c>
      <c r="AG863">
        <v>-1.106483964186</v>
      </c>
      <c r="AH863">
        <v>17.4660386097889</v>
      </c>
      <c r="AI863">
        <v>93.4649136106285</v>
      </c>
      <c r="AJ863">
        <v>72.893608519742898</v>
      </c>
      <c r="AK863">
        <v>18.307965667956498</v>
      </c>
      <c r="AL863">
        <v>86.009458853353493</v>
      </c>
      <c r="AM863">
        <v>83.590821272455401</v>
      </c>
      <c r="AN863">
        <v>1.00000004589314</v>
      </c>
    </row>
    <row r="864" spans="1:40" x14ac:dyDescent="0.25">
      <c r="A864" t="str">
        <f>"20190312154521649"</f>
        <v>20190312154521649</v>
      </c>
      <c r="B864" t="str">
        <f>"1552376721646876"</f>
        <v>1552376721646876</v>
      </c>
      <c r="C864" t="s">
        <v>40</v>
      </c>
      <c r="D864">
        <v>4.2280800000000003</v>
      </c>
      <c r="E864">
        <v>0.57254700000000003</v>
      </c>
      <c r="F864" t="s">
        <v>51</v>
      </c>
      <c r="G864">
        <v>-205.8468</v>
      </c>
      <c r="H864" s="1">
        <v>-5.0407979999999996E-6</v>
      </c>
      <c r="I864">
        <v>361.98779999999999</v>
      </c>
      <c r="J864">
        <v>-222.53020000000001</v>
      </c>
      <c r="K864">
        <v>1.106387</v>
      </c>
      <c r="L864">
        <v>368.42320000000001</v>
      </c>
      <c r="M864">
        <v>0.99756020000000001</v>
      </c>
      <c r="N864">
        <v>0</v>
      </c>
      <c r="O864">
        <v>-6.8324930000000006E-2</v>
      </c>
      <c r="P864">
        <v>0.98201320000000003</v>
      </c>
      <c r="Q864">
        <v>5.6507929999999998E-2</v>
      </c>
      <c r="R864">
        <v>-0.1801595</v>
      </c>
      <c r="S864">
        <v>2.8691249999999999</v>
      </c>
      <c r="T864">
        <v>-0.18711130000000001</v>
      </c>
      <c r="U864">
        <v>-1.092163</v>
      </c>
      <c r="V864">
        <v>0.11326700000000001</v>
      </c>
      <c r="W864">
        <v>6.9701669999999993E-2</v>
      </c>
      <c r="X864">
        <v>0.99111669999999996</v>
      </c>
      <c r="Y864">
        <v>0.29065410000000003</v>
      </c>
      <c r="Z864">
        <v>-4.8627490000000004E-3</v>
      </c>
      <c r="AA864">
        <v>0.95681579999999999</v>
      </c>
      <c r="AB864">
        <v>29</v>
      </c>
      <c r="AC864">
        <v>16.683399999999999</v>
      </c>
      <c r="AD864">
        <v>-1.1063920407979999</v>
      </c>
      <c r="AE864">
        <v>-6.4354000000000102</v>
      </c>
      <c r="AF864">
        <v>5.2602112387579201</v>
      </c>
      <c r="AG864">
        <v>-1.1063920407979999</v>
      </c>
      <c r="AH864">
        <v>17.018994302663199</v>
      </c>
      <c r="AI864">
        <v>93.554087961308497</v>
      </c>
      <c r="AJ864">
        <v>72.824726909511298</v>
      </c>
      <c r="AK864">
        <v>17.847691522949901</v>
      </c>
      <c r="AL864">
        <v>86.003147783111601</v>
      </c>
      <c r="AM864">
        <v>83.480396831111804</v>
      </c>
      <c r="AN864">
        <v>1.0000000245543299</v>
      </c>
    </row>
    <row r="865" spans="1:40" x14ac:dyDescent="0.25">
      <c r="A865" t="str">
        <f>"20190312154521672"</f>
        <v>20190312154521672</v>
      </c>
      <c r="B865" t="str">
        <f>"1552376721667371"</f>
        <v>1552376721667371</v>
      </c>
      <c r="C865" t="s">
        <v>40</v>
      </c>
      <c r="D865">
        <v>4.2822180000000003</v>
      </c>
      <c r="E865">
        <v>0.57210819999999996</v>
      </c>
      <c r="F865" t="s">
        <v>51</v>
      </c>
      <c r="G865">
        <v>-205.7867</v>
      </c>
      <c r="H865" s="1">
        <v>-5.0206830000000002E-6</v>
      </c>
      <c r="I865">
        <v>361.95240000000001</v>
      </c>
      <c r="J865">
        <v>-222.2363</v>
      </c>
      <c r="K865">
        <v>1.106322</v>
      </c>
      <c r="L865">
        <v>368.39780000000002</v>
      </c>
      <c r="M865">
        <v>0.99721000000000004</v>
      </c>
      <c r="N865">
        <v>0</v>
      </c>
      <c r="O865">
        <v>-7.3257420000000004E-2</v>
      </c>
      <c r="P865">
        <v>0.98062059999999995</v>
      </c>
      <c r="Q865">
        <v>5.5993189999999998E-2</v>
      </c>
      <c r="R865">
        <v>-0.1877443</v>
      </c>
      <c r="S865">
        <v>2.862854</v>
      </c>
      <c r="T865">
        <v>-0.18917429999999999</v>
      </c>
      <c r="U865">
        <v>-1.1064149999999999</v>
      </c>
      <c r="V865">
        <v>0.1160316</v>
      </c>
      <c r="W865">
        <v>6.9146070000000004E-2</v>
      </c>
      <c r="X865">
        <v>0.99083569999999999</v>
      </c>
      <c r="Y865">
        <v>0.29076999999999997</v>
      </c>
      <c r="Z865">
        <v>-4.6142880000000002E-3</v>
      </c>
      <c r="AA865">
        <v>0.95678189999999996</v>
      </c>
      <c r="AB865">
        <v>29</v>
      </c>
      <c r="AC865">
        <v>16.4496</v>
      </c>
      <c r="AD865">
        <v>-1.106327020683</v>
      </c>
      <c r="AE865">
        <v>-6.4454000000000002</v>
      </c>
      <c r="AF865">
        <v>5.2024984706741497</v>
      </c>
      <c r="AG865">
        <v>-1.106327020683</v>
      </c>
      <c r="AH865">
        <v>16.811690443998099</v>
      </c>
      <c r="AI865">
        <v>93.597204728282904</v>
      </c>
      <c r="AJ865">
        <v>72.8049421867955</v>
      </c>
      <c r="AK865">
        <v>17.633005569070601</v>
      </c>
      <c r="AL865">
        <v>86.035058005051894</v>
      </c>
      <c r="AM865">
        <v>83.3208110477905</v>
      </c>
      <c r="AN865">
        <v>0.99999994779474599</v>
      </c>
    </row>
    <row r="866" spans="1:40" x14ac:dyDescent="0.25">
      <c r="A866" t="str">
        <f>"20190312154521694"</f>
        <v>20190312154521694</v>
      </c>
      <c r="B866" t="str">
        <f>"1552376721686891"</f>
        <v>1552376721686891</v>
      </c>
      <c r="C866" t="s">
        <v>40</v>
      </c>
      <c r="D866">
        <v>4.2856459999999998</v>
      </c>
      <c r="E866">
        <v>0.57187449999999995</v>
      </c>
      <c r="F866" t="s">
        <v>51</v>
      </c>
      <c r="G866">
        <v>-206.01840000000001</v>
      </c>
      <c r="H866" s="1">
        <v>-5.1149650000000002E-6</v>
      </c>
      <c r="I866">
        <v>362.01389999999998</v>
      </c>
      <c r="J866">
        <v>-221.95490000000001</v>
      </c>
      <c r="K866">
        <v>1.1062809999999901</v>
      </c>
      <c r="L866">
        <v>368.37200000000001</v>
      </c>
      <c r="M866">
        <v>0.99684899999999999</v>
      </c>
      <c r="N866">
        <v>0</v>
      </c>
      <c r="O866">
        <v>-7.8016940000000007E-2</v>
      </c>
      <c r="P866">
        <v>0.9792748</v>
      </c>
      <c r="Q866">
        <v>5.5094820000000003E-2</v>
      </c>
      <c r="R866">
        <v>-0.1948995</v>
      </c>
      <c r="S866">
        <v>2.8552089999999999</v>
      </c>
      <c r="T866">
        <v>-0.19477240000000001</v>
      </c>
      <c r="U866">
        <v>-1.123901</v>
      </c>
      <c r="V866">
        <v>0.1185319</v>
      </c>
      <c r="W866">
        <v>6.8214629999999998E-2</v>
      </c>
      <c r="X866">
        <v>0.99060429999999999</v>
      </c>
      <c r="Y866">
        <v>0.29212959999999999</v>
      </c>
      <c r="Z866">
        <v>-4.4924270000000002E-3</v>
      </c>
      <c r="AA866">
        <v>0.9563682</v>
      </c>
      <c r="AB866">
        <v>29</v>
      </c>
      <c r="AC866">
        <v>15.936499999999899</v>
      </c>
      <c r="AD866">
        <v>-1.1062861149649901</v>
      </c>
      <c r="AE866">
        <v>-6.3580999999999701</v>
      </c>
      <c r="AF866">
        <v>5.0741776776875502</v>
      </c>
      <c r="AG866">
        <v>-1.1062861149649901</v>
      </c>
      <c r="AH866">
        <v>16.3161769496777</v>
      </c>
      <c r="AI866">
        <v>93.704409883404793</v>
      </c>
      <c r="AJ866">
        <v>72.724797225939795</v>
      </c>
      <c r="AK866">
        <v>17.122756154489299</v>
      </c>
      <c r="AL866">
        <v>86.088551964968104</v>
      </c>
      <c r="AM866">
        <v>83.176648673538097</v>
      </c>
      <c r="AN866">
        <v>0.99999996312106698</v>
      </c>
    </row>
    <row r="867" spans="1:40" x14ac:dyDescent="0.25">
      <c r="A867" t="str">
        <f>"20190312154521718"</f>
        <v>20190312154521718</v>
      </c>
      <c r="B867" t="str">
        <f>"1552376721707388"</f>
        <v>1552376721707388</v>
      </c>
      <c r="C867" t="s">
        <v>40</v>
      </c>
      <c r="D867">
        <v>4.2874860000000004</v>
      </c>
      <c r="E867">
        <v>0.57161770000000001</v>
      </c>
      <c r="F867" t="s">
        <v>51</v>
      </c>
      <c r="G867">
        <v>-206.03550000000001</v>
      </c>
      <c r="H867" s="1">
        <v>-5.1286089999999999E-6</v>
      </c>
      <c r="I867">
        <v>361.98829999999998</v>
      </c>
      <c r="J867">
        <v>-221.65110000000001</v>
      </c>
      <c r="K867">
        <v>1.106252</v>
      </c>
      <c r="L867">
        <v>368.34269999999998</v>
      </c>
      <c r="M867">
        <v>0.99643190000000004</v>
      </c>
      <c r="N867">
        <v>0</v>
      </c>
      <c r="O867">
        <v>-8.3172689999999994E-2</v>
      </c>
      <c r="P867">
        <v>0.97778969999999998</v>
      </c>
      <c r="Q867">
        <v>5.4263249999999999E-2</v>
      </c>
      <c r="R867">
        <v>-0.20244319999999999</v>
      </c>
      <c r="S867">
        <v>2.847397</v>
      </c>
      <c r="T867">
        <v>-0.19787370000000001</v>
      </c>
      <c r="U867">
        <v>-1.141815</v>
      </c>
      <c r="V867">
        <v>0.1210378</v>
      </c>
      <c r="W867">
        <v>6.7352590000000004E-2</v>
      </c>
      <c r="X867">
        <v>0.99036029999999997</v>
      </c>
      <c r="Y867">
        <v>0.293265</v>
      </c>
      <c r="Z867">
        <v>-4.2674799999999997E-3</v>
      </c>
      <c r="AA867">
        <v>0.95602169999999997</v>
      </c>
      <c r="AB867">
        <v>29</v>
      </c>
      <c r="AC867">
        <v>15.615600000000001</v>
      </c>
      <c r="AD867">
        <v>-1.1062571286089999</v>
      </c>
      <c r="AE867">
        <v>-6.3543999999999903</v>
      </c>
      <c r="AF867">
        <v>5.0118734066712003</v>
      </c>
      <c r="AG867">
        <v>-1.1062571286089999</v>
      </c>
      <c r="AH867">
        <v>16.021067253753799</v>
      </c>
      <c r="AI867">
        <v>93.770385271477494</v>
      </c>
      <c r="AJ867">
        <v>72.628741977198501</v>
      </c>
      <c r="AK867">
        <v>16.823117304126502</v>
      </c>
      <c r="AL867">
        <v>86.138057309774098</v>
      </c>
      <c r="AM867">
        <v>83.032098761107804</v>
      </c>
      <c r="AN867">
        <v>1.00000002211231</v>
      </c>
    </row>
    <row r="868" spans="1:40" x14ac:dyDescent="0.25">
      <c r="A868" t="str">
        <f>"20190312154521738"</f>
        <v>20190312154521738</v>
      </c>
      <c r="B868" t="str">
        <f>"1552376721726908"</f>
        <v>1552376721726908</v>
      </c>
      <c r="C868" t="s">
        <v>40</v>
      </c>
      <c r="D868">
        <v>4.3058100000000001</v>
      </c>
      <c r="E868">
        <v>0.5713954</v>
      </c>
      <c r="F868" t="s">
        <v>51</v>
      </c>
      <c r="G868">
        <v>-205.9435</v>
      </c>
      <c r="H868" s="1">
        <v>-5.1015500000000003E-6</v>
      </c>
      <c r="I868">
        <v>361.9171</v>
      </c>
      <c r="J868">
        <v>-221.38059999999999</v>
      </c>
      <c r="K868">
        <v>1.1062419999999999</v>
      </c>
      <c r="L868">
        <v>368.31509999999997</v>
      </c>
      <c r="M868">
        <v>0.99603799999999998</v>
      </c>
      <c r="N868">
        <v>0</v>
      </c>
      <c r="O868">
        <v>-8.7765280000000001E-2</v>
      </c>
      <c r="P868">
        <v>0.97631619999999997</v>
      </c>
      <c r="Q868">
        <v>5.371828E-2</v>
      </c>
      <c r="R868">
        <v>-0.2095737</v>
      </c>
      <c r="S868">
        <v>2.8388059999999999</v>
      </c>
      <c r="T868">
        <v>-0.19993169999999999</v>
      </c>
      <c r="U868">
        <v>-1.1612849999999999</v>
      </c>
      <c r="V868">
        <v>0.1236954</v>
      </c>
      <c r="W868">
        <v>6.6777870000000003E-2</v>
      </c>
      <c r="X868">
        <v>0.99007080000000003</v>
      </c>
      <c r="Y868">
        <v>0.29548200000000002</v>
      </c>
      <c r="Z868">
        <v>-4.0866950000000004E-3</v>
      </c>
      <c r="AA868">
        <v>0.95533959999999996</v>
      </c>
      <c r="AB868">
        <v>29</v>
      </c>
      <c r="AC868">
        <v>15.4370999999999</v>
      </c>
      <c r="AD868">
        <v>-1.1062471015499999</v>
      </c>
      <c r="AE868">
        <v>-6.3979999999999597</v>
      </c>
      <c r="AF868">
        <v>4.9964283188545098</v>
      </c>
      <c r="AG868">
        <v>-1.1062471015499999</v>
      </c>
      <c r="AH868">
        <v>15.8695493194889</v>
      </c>
      <c r="AI868">
        <v>93.804061560475205</v>
      </c>
      <c r="AJ868">
        <v>72.523717712021707</v>
      </c>
      <c r="AK868">
        <v>16.6742518332556</v>
      </c>
      <c r="AL868">
        <v>86.171060606819793</v>
      </c>
      <c r="AM868">
        <v>82.878599065211404</v>
      </c>
      <c r="AN868">
        <v>1.0000000124577599</v>
      </c>
    </row>
    <row r="869" spans="1:40" x14ac:dyDescent="0.25">
      <c r="A869" t="str">
        <f>"20190312154521762"</f>
        <v>20190312154521762</v>
      </c>
      <c r="B869" t="str">
        <f>"1552376721757164"</f>
        <v>1552376721757164</v>
      </c>
      <c r="C869" t="s">
        <v>40</v>
      </c>
      <c r="D869">
        <v>4.3320879999999997</v>
      </c>
      <c r="E869">
        <v>0.57091510000000001</v>
      </c>
      <c r="F869" t="s">
        <v>51</v>
      </c>
      <c r="G869">
        <v>-205.8587</v>
      </c>
      <c r="H869" s="1">
        <v>-5.0779150000000003E-6</v>
      </c>
      <c r="I869">
        <v>361.84559999999999</v>
      </c>
      <c r="J869">
        <v>-221.08879999999999</v>
      </c>
      <c r="K869">
        <v>1.106244</v>
      </c>
      <c r="L869">
        <v>368.28410000000002</v>
      </c>
      <c r="M869">
        <v>0.99558950000000002</v>
      </c>
      <c r="N869">
        <v>0</v>
      </c>
      <c r="O869">
        <v>-9.2713619999999997E-2</v>
      </c>
      <c r="P869">
        <v>0.97486479999999998</v>
      </c>
      <c r="Q869">
        <v>5.3543479999999997E-2</v>
      </c>
      <c r="R869">
        <v>-0.2162676</v>
      </c>
      <c r="S869">
        <v>2.8306429999999998</v>
      </c>
      <c r="T869">
        <v>-0.201741</v>
      </c>
      <c r="U869">
        <v>-1.17981</v>
      </c>
      <c r="V869">
        <v>0.1255676</v>
      </c>
      <c r="W869">
        <v>6.6583279999999995E-2</v>
      </c>
      <c r="X869">
        <v>0.98984819999999996</v>
      </c>
      <c r="Y869">
        <v>0.29703780000000002</v>
      </c>
      <c r="Z869">
        <v>-3.8490719999999998E-3</v>
      </c>
      <c r="AA869">
        <v>0.95485790000000004</v>
      </c>
      <c r="AB869">
        <v>29</v>
      </c>
      <c r="AC869">
        <v>15.230099999999901</v>
      </c>
      <c r="AD869">
        <v>-1.106249077915</v>
      </c>
      <c r="AE869">
        <v>-6.4385000000000296</v>
      </c>
      <c r="AF869">
        <v>4.9763055073523503</v>
      </c>
      <c r="AG869">
        <v>-1.106249077915</v>
      </c>
      <c r="AH869">
        <v>15.6912514872496</v>
      </c>
      <c r="AI869">
        <v>93.844636085704806</v>
      </c>
      <c r="AJ869">
        <v>72.404155941469199</v>
      </c>
      <c r="AK869">
        <v>16.498568930698401</v>
      </c>
      <c r="AL869">
        <v>86.182234641578901</v>
      </c>
      <c r="AM869">
        <v>82.770335954377003</v>
      </c>
      <c r="AN869">
        <v>1.0000000071942701</v>
      </c>
    </row>
    <row r="870" spans="1:40" x14ac:dyDescent="0.25">
      <c r="A870" t="str">
        <f>"20190312154521784"</f>
        <v>20190312154521784</v>
      </c>
      <c r="B870" t="str">
        <f>"1552376721776695"</f>
        <v>1552376721776695</v>
      </c>
      <c r="C870" t="s">
        <v>40</v>
      </c>
      <c r="D870">
        <v>4.3207940000000002</v>
      </c>
      <c r="E870">
        <v>0.57053290000000001</v>
      </c>
      <c r="F870" t="s">
        <v>51</v>
      </c>
      <c r="G870">
        <v>-205.6131</v>
      </c>
      <c r="H870" s="1">
        <v>-4.9889580000000001E-6</v>
      </c>
      <c r="I870">
        <v>361.73070000000001</v>
      </c>
      <c r="J870">
        <v>-220.79929999999999</v>
      </c>
      <c r="K870">
        <v>1.106252</v>
      </c>
      <c r="L870">
        <v>368.2518</v>
      </c>
      <c r="M870">
        <v>0.99512089999999997</v>
      </c>
      <c r="N870">
        <v>0</v>
      </c>
      <c r="O870">
        <v>-9.7614240000000005E-2</v>
      </c>
      <c r="P870">
        <v>0.9733868</v>
      </c>
      <c r="Q870">
        <v>5.3843389999999998E-2</v>
      </c>
      <c r="R870">
        <v>-0.22275310000000001</v>
      </c>
      <c r="S870">
        <v>2.8232119999999998</v>
      </c>
      <c r="T870">
        <v>-0.2018113</v>
      </c>
      <c r="U870">
        <v>-1.1955260000000001</v>
      </c>
      <c r="V870">
        <v>0.12728929999999999</v>
      </c>
      <c r="W870">
        <v>6.686541E-2</v>
      </c>
      <c r="X870">
        <v>0.98960919999999997</v>
      </c>
      <c r="Y870">
        <v>0.2977535</v>
      </c>
      <c r="Z870">
        <v>-3.5494939999999998E-3</v>
      </c>
      <c r="AA870">
        <v>0.95463620000000005</v>
      </c>
      <c r="AB870">
        <v>29</v>
      </c>
      <c r="AC870">
        <v>15.1861999999999</v>
      </c>
      <c r="AD870">
        <v>-1.1062569889579901</v>
      </c>
      <c r="AE870">
        <v>-6.5210999999999899</v>
      </c>
      <c r="AF870">
        <v>4.9850737610148501</v>
      </c>
      <c r="AG870">
        <v>-1.1062569889579901</v>
      </c>
      <c r="AH870">
        <v>15.6800254441376</v>
      </c>
      <c r="AI870">
        <v>93.846537953268495</v>
      </c>
      <c r="AJ870">
        <v>72.363233072446704</v>
      </c>
      <c r="AK870">
        <v>16.490541618066398</v>
      </c>
      <c r="AL870">
        <v>86.166033492995297</v>
      </c>
      <c r="AM870">
        <v>82.6705273453871</v>
      </c>
      <c r="AN870">
        <v>0.99999995883679804</v>
      </c>
    </row>
    <row r="871" spans="1:40" x14ac:dyDescent="0.25">
      <c r="A871" t="str">
        <f>"20190312154521806"</f>
        <v>20190312154521806</v>
      </c>
      <c r="B871" t="str">
        <f>"1552376721797180"</f>
        <v>1552376721797180</v>
      </c>
      <c r="C871" t="s">
        <v>40</v>
      </c>
      <c r="D871">
        <v>4.4176970000000004</v>
      </c>
      <c r="E871">
        <v>0.57062400000000002</v>
      </c>
      <c r="F871" t="s">
        <v>51</v>
      </c>
      <c r="G871">
        <v>-205.29859999999999</v>
      </c>
      <c r="H871" s="1">
        <v>-4.8755320000000002E-6</v>
      </c>
      <c r="I871">
        <v>361.58159999999998</v>
      </c>
      <c r="J871">
        <v>-220.50380000000001</v>
      </c>
      <c r="K871">
        <v>1.106263</v>
      </c>
      <c r="L871">
        <v>368.21730000000002</v>
      </c>
      <c r="M871">
        <v>0.99461829999999996</v>
      </c>
      <c r="N871">
        <v>0</v>
      </c>
      <c r="O871">
        <v>-0.1026098</v>
      </c>
      <c r="P871">
        <v>0.97190679999999996</v>
      </c>
      <c r="Q871">
        <v>5.4971649999999997E-2</v>
      </c>
      <c r="R871">
        <v>-0.2288567</v>
      </c>
      <c r="S871">
        <v>2.8158259999999999</v>
      </c>
      <c r="T871">
        <v>-0.20096059999999999</v>
      </c>
      <c r="U871">
        <v>-1.2117</v>
      </c>
      <c r="V871">
        <v>0.12854660000000001</v>
      </c>
      <c r="W871">
        <v>6.7980579999999999E-2</v>
      </c>
      <c r="X871">
        <v>0.98937070000000005</v>
      </c>
      <c r="Y871">
        <v>0.29850759999999998</v>
      </c>
      <c r="Z871">
        <v>-3.2291960000000001E-3</v>
      </c>
      <c r="AA871">
        <v>0.95440179999999997</v>
      </c>
      <c r="AB871">
        <v>29</v>
      </c>
      <c r="AC871">
        <v>15.2052</v>
      </c>
      <c r="AD871">
        <v>-1.1062678755319999</v>
      </c>
      <c r="AE871">
        <v>-6.6357000000000399</v>
      </c>
      <c r="AF871">
        <v>5.0179916738813901</v>
      </c>
      <c r="AG871">
        <v>-1.1062678755319999</v>
      </c>
      <c r="AH871">
        <v>15.735912845532299</v>
      </c>
      <c r="AI871">
        <v>93.831891551759</v>
      </c>
      <c r="AJ871">
        <v>72.313148689310495</v>
      </c>
      <c r="AK871">
        <v>16.553640751622101</v>
      </c>
      <c r="AL871">
        <v>86.101993329147206</v>
      </c>
      <c r="AM871">
        <v>82.597164937917697</v>
      </c>
      <c r="AN871">
        <v>0.99999998482359298</v>
      </c>
    </row>
    <row r="872" spans="1:40" x14ac:dyDescent="0.25">
      <c r="A872" t="str">
        <f>"20190312154521829"</f>
        <v>20190312154521829</v>
      </c>
      <c r="B872" t="str">
        <f>"1552376721816699"</f>
        <v>1552376721816699</v>
      </c>
      <c r="C872" t="s">
        <v>40</v>
      </c>
      <c r="D872">
        <v>4.3647489999999998</v>
      </c>
      <c r="E872">
        <v>0.57431199999999905</v>
      </c>
      <c r="F872" t="s">
        <v>51</v>
      </c>
      <c r="G872">
        <v>-204.81530000000001</v>
      </c>
      <c r="H872" s="1">
        <v>-4.6958580000000003E-6</v>
      </c>
      <c r="I872">
        <v>361.34550000000002</v>
      </c>
      <c r="J872">
        <v>-220.21879999999999</v>
      </c>
      <c r="K872">
        <v>1.106284</v>
      </c>
      <c r="L872">
        <v>368.18259999999998</v>
      </c>
      <c r="M872">
        <v>0.9941103</v>
      </c>
      <c r="N872">
        <v>0</v>
      </c>
      <c r="O872">
        <v>-0.107421</v>
      </c>
      <c r="P872">
        <v>0.97071470000000004</v>
      </c>
      <c r="Q872">
        <v>5.6123300000000001E-2</v>
      </c>
      <c r="R872">
        <v>-0.23358870000000001</v>
      </c>
      <c r="S872">
        <v>2.8082729999999998</v>
      </c>
      <c r="T872">
        <v>-0.19802510000000001</v>
      </c>
      <c r="U872">
        <v>-1.2300719999999901</v>
      </c>
      <c r="V872">
        <v>0.1285955</v>
      </c>
      <c r="W872">
        <v>6.9132280000000004E-2</v>
      </c>
      <c r="X872">
        <v>0.98928459999999996</v>
      </c>
      <c r="Y872">
        <v>0.30009089999999999</v>
      </c>
      <c r="Z872">
        <v>-2.9207009999999999E-3</v>
      </c>
      <c r="AA872">
        <v>0.95390609999999998</v>
      </c>
      <c r="AB872">
        <v>29</v>
      </c>
      <c r="AC872">
        <v>15.4034999999999</v>
      </c>
      <c r="AD872">
        <v>-1.106288695858</v>
      </c>
      <c r="AE872">
        <v>-6.8370999999999604</v>
      </c>
      <c r="AF872">
        <v>5.1206345585409796</v>
      </c>
      <c r="AG872">
        <v>-1.106288695858</v>
      </c>
      <c r="AH872">
        <v>15.9800135293521</v>
      </c>
      <c r="AI872">
        <v>93.771905836464796</v>
      </c>
      <c r="AJ872">
        <v>72.232466055656204</v>
      </c>
      <c r="AK872">
        <v>16.8168250677404</v>
      </c>
      <c r="AL872">
        <v>86.035850404135402</v>
      </c>
      <c r="AM872">
        <v>82.593742727919505</v>
      </c>
      <c r="AN872">
        <v>1.0000000472777</v>
      </c>
    </row>
    <row r="873" spans="1:40" x14ac:dyDescent="0.25">
      <c r="A873" t="str">
        <f>"20190312154521851"</f>
        <v>20190312154521851</v>
      </c>
      <c r="B873" t="str">
        <f>"1552376721836759"</f>
        <v>1552376721836759</v>
      </c>
      <c r="C873" t="s">
        <v>40</v>
      </c>
      <c r="D873">
        <v>4.4759989999999998</v>
      </c>
      <c r="E873">
        <v>0.57545740000000001</v>
      </c>
      <c r="F873" t="s">
        <v>42</v>
      </c>
      <c r="G873">
        <v>-210.1198</v>
      </c>
      <c r="H873" s="1">
        <v>-5.2875200000000003E-6</v>
      </c>
      <c r="I873">
        <v>363.60329999999999</v>
      </c>
      <c r="J873">
        <v>-219.9376</v>
      </c>
      <c r="K873">
        <v>1.1062959999999999</v>
      </c>
      <c r="L873">
        <v>368.14699999999999</v>
      </c>
      <c r="M873">
        <v>0.99358590000000002</v>
      </c>
      <c r="N873">
        <v>0</v>
      </c>
      <c r="O873">
        <v>-0.11216660000000001</v>
      </c>
      <c r="P873">
        <v>0.96958370000000005</v>
      </c>
      <c r="Q873">
        <v>5.6342599999999902E-2</v>
      </c>
      <c r="R873">
        <v>-0.23818729999999999</v>
      </c>
      <c r="S873">
        <v>2.8024439999999999</v>
      </c>
      <c r="T873">
        <v>-0.30698930000000002</v>
      </c>
      <c r="U873">
        <v>-1.270721</v>
      </c>
      <c r="V873">
        <v>0.12856300000000001</v>
      </c>
      <c r="W873">
        <v>6.9353010000000007E-2</v>
      </c>
      <c r="X873">
        <v>0.98927330000000002</v>
      </c>
      <c r="Y873">
        <v>0.30723260000000002</v>
      </c>
      <c r="Z873">
        <v>-4.4043620000000002E-3</v>
      </c>
      <c r="AA873">
        <v>0.95162429999999998</v>
      </c>
      <c r="AB873">
        <v>29</v>
      </c>
      <c r="AC873">
        <v>9.8178000000000001</v>
      </c>
      <c r="AD873">
        <v>-1.10630128752</v>
      </c>
      <c r="AE873">
        <v>-4.5437000000000003</v>
      </c>
      <c r="AF873">
        <v>3.3783486252247799</v>
      </c>
      <c r="AG873">
        <v>-1.10630128752</v>
      </c>
      <c r="AH873">
        <v>10.159292834506299</v>
      </c>
      <c r="AI873">
        <v>95.899548267193595</v>
      </c>
      <c r="AJ873">
        <v>71.606084933269997</v>
      </c>
      <c r="AK873">
        <v>10.763288199689599</v>
      </c>
      <c r="AL873">
        <v>86.023172786030997</v>
      </c>
      <c r="AM873">
        <v>82.595510103045299</v>
      </c>
      <c r="AN873">
        <v>0.99999997352897396</v>
      </c>
    </row>
    <row r="874" spans="1:40" x14ac:dyDescent="0.25">
      <c r="A874" t="str">
        <f>"20190312154521873"</f>
        <v>20190312154521873</v>
      </c>
      <c r="B874" t="str">
        <f>"1552376721867020"</f>
        <v>1552376721867020</v>
      </c>
      <c r="C874" t="s">
        <v>40</v>
      </c>
      <c r="D874">
        <v>4.6517900000000001</v>
      </c>
      <c r="E874">
        <v>0.57419580000000003</v>
      </c>
      <c r="F874" t="s">
        <v>51</v>
      </c>
      <c r="G874">
        <v>-208.43109999999999</v>
      </c>
      <c r="H874" s="1">
        <v>-5.8215990000000001E-6</v>
      </c>
      <c r="I874">
        <v>362.81880000000001</v>
      </c>
      <c r="J874">
        <v>-219.65629999999999</v>
      </c>
      <c r="K874">
        <v>1.106301</v>
      </c>
      <c r="L874">
        <v>368.11</v>
      </c>
      <c r="M874">
        <v>0.99303869999999905</v>
      </c>
      <c r="N874">
        <v>0</v>
      </c>
      <c r="O874">
        <v>-0.11691260000000001</v>
      </c>
      <c r="P874">
        <v>0.96867630000000005</v>
      </c>
      <c r="Q874">
        <v>5.6200479999999997E-2</v>
      </c>
      <c r="R874">
        <v>-0.2418836</v>
      </c>
      <c r="S874">
        <v>2.7920989999999999</v>
      </c>
      <c r="T874">
        <v>-0.26844780000000001</v>
      </c>
      <c r="U874">
        <v>-1.2929079999999999</v>
      </c>
      <c r="V874">
        <v>0.12760479999999999</v>
      </c>
      <c r="W874">
        <v>6.922362E-2</v>
      </c>
      <c r="X874">
        <v>0.98940649999999997</v>
      </c>
      <c r="Y874">
        <v>0.31048510000000001</v>
      </c>
      <c r="Z874">
        <v>-3.5844760000000001E-3</v>
      </c>
      <c r="AA874">
        <v>0.95057150000000001</v>
      </c>
      <c r="AB874">
        <v>29</v>
      </c>
      <c r="AC874">
        <v>11.225199999999999</v>
      </c>
      <c r="AD874">
        <v>-1.106306821599</v>
      </c>
      <c r="AE874">
        <v>-5.2911999999999999</v>
      </c>
      <c r="AF874">
        <v>3.9113195006943799</v>
      </c>
      <c r="AG874">
        <v>-1.106306821599</v>
      </c>
      <c r="AH874">
        <v>11.674096852621799</v>
      </c>
      <c r="AI874">
        <v>95.134619199143003</v>
      </c>
      <c r="AJ874">
        <v>71.4769571842278</v>
      </c>
      <c r="AK874">
        <v>12.361507688968301</v>
      </c>
      <c r="AL874">
        <v>86.0306044845169</v>
      </c>
      <c r="AM874">
        <v>82.651069923853697</v>
      </c>
      <c r="AN874">
        <v>1.0000000583955899</v>
      </c>
    </row>
    <row r="875" spans="1:40" x14ac:dyDescent="0.25">
      <c r="A875" t="str">
        <f>"20190312154521896"</f>
        <v>20190312154521896</v>
      </c>
      <c r="B875" t="str">
        <f>"1552376721887525"</f>
        <v>1552376721887525</v>
      </c>
      <c r="C875" t="s">
        <v>40</v>
      </c>
      <c r="D875">
        <v>4.505719</v>
      </c>
      <c r="E875">
        <v>0.57318309999999995</v>
      </c>
      <c r="F875" t="s">
        <v>51</v>
      </c>
      <c r="G875">
        <v>-206.70599999999999</v>
      </c>
      <c r="H875" s="1">
        <v>-5.3562940000000001E-6</v>
      </c>
      <c r="I875">
        <v>362.10070000000002</v>
      </c>
      <c r="J875">
        <v>-219.36879999999999</v>
      </c>
      <c r="K875">
        <v>1.106311</v>
      </c>
      <c r="L875">
        <v>368.07080000000002</v>
      </c>
      <c r="M875">
        <v>0.99245539999999999</v>
      </c>
      <c r="N875">
        <v>0</v>
      </c>
      <c r="O875">
        <v>-0.1217647</v>
      </c>
      <c r="P875">
        <v>0.96777139999999995</v>
      </c>
      <c r="Q875">
        <v>5.6674870000000002E-2</v>
      </c>
      <c r="R875">
        <v>-0.2453699</v>
      </c>
      <c r="S875">
        <v>2.787811</v>
      </c>
      <c r="T875">
        <v>-0.2381537</v>
      </c>
      <c r="U875">
        <v>-1.2936099999999999</v>
      </c>
      <c r="V875">
        <v>0.12633639999999999</v>
      </c>
      <c r="W875">
        <v>6.9713090000000005E-2</v>
      </c>
      <c r="X875">
        <v>0.9895349</v>
      </c>
      <c r="Y875">
        <v>0.3067704</v>
      </c>
      <c r="Z875">
        <v>-2.6484870000000002E-3</v>
      </c>
      <c r="AA875">
        <v>0.95177990000000001</v>
      </c>
      <c r="AB875">
        <v>29</v>
      </c>
      <c r="AC875">
        <v>12.662800000000001</v>
      </c>
      <c r="AD875">
        <v>-1.1063163562939999</v>
      </c>
      <c r="AE875">
        <v>-5.9701000000000004</v>
      </c>
      <c r="AF875">
        <v>4.35642111828684</v>
      </c>
      <c r="AG875">
        <v>-1.1063163562939999</v>
      </c>
      <c r="AH875">
        <v>13.2130640608367</v>
      </c>
      <c r="AI875">
        <v>94.546502085804804</v>
      </c>
      <c r="AJ875">
        <v>71.7523231250088</v>
      </c>
      <c r="AK875">
        <v>13.9566257639816</v>
      </c>
      <c r="AL875">
        <v>86.002492010128506</v>
      </c>
      <c r="AM875">
        <v>82.724266028314304</v>
      </c>
      <c r="AN875">
        <v>1.0000000596001499</v>
      </c>
    </row>
    <row r="876" spans="1:40" x14ac:dyDescent="0.25">
      <c r="A876" t="str">
        <f>"20190312154521917"</f>
        <v>20190312154521917</v>
      </c>
      <c r="B876" t="str">
        <f>"1552376721907032"</f>
        <v>1552376721907032</v>
      </c>
      <c r="C876" t="s">
        <v>40</v>
      </c>
      <c r="D876">
        <v>4.4796389999999997</v>
      </c>
      <c r="E876">
        <v>0.57213040000000004</v>
      </c>
      <c r="F876" t="s">
        <v>51</v>
      </c>
      <c r="G876">
        <v>-206.12129999999999</v>
      </c>
      <c r="H876" s="1">
        <v>-5.1870230000000001E-6</v>
      </c>
      <c r="I876">
        <v>361.9051</v>
      </c>
      <c r="J876">
        <v>-219.0855</v>
      </c>
      <c r="K876">
        <v>1.1063179999999999</v>
      </c>
      <c r="L876">
        <v>368.03070000000002</v>
      </c>
      <c r="M876">
        <v>0.99185690000000004</v>
      </c>
      <c r="N876">
        <v>0</v>
      </c>
      <c r="O876">
        <v>-0.12654789999999999</v>
      </c>
      <c r="P876">
        <v>0.96691760000000004</v>
      </c>
      <c r="Q876">
        <v>5.6540529999999999E-2</v>
      </c>
      <c r="R876">
        <v>-0.24874379999999999</v>
      </c>
      <c r="S876">
        <v>2.784897</v>
      </c>
      <c r="T876">
        <v>-0.23256959999999999</v>
      </c>
      <c r="U876">
        <v>-1.296143</v>
      </c>
      <c r="V876">
        <v>0.12501209999999999</v>
      </c>
      <c r="W876">
        <v>6.9593710000000003E-2</v>
      </c>
      <c r="X876">
        <v>0.98971140000000002</v>
      </c>
      <c r="Y876">
        <v>0.3033207</v>
      </c>
      <c r="Z876">
        <v>-2.079918E-3</v>
      </c>
      <c r="AA876">
        <v>0.95288629999999996</v>
      </c>
      <c r="AB876">
        <v>29</v>
      </c>
      <c r="AC876">
        <v>12.9642</v>
      </c>
      <c r="AD876">
        <v>-1.1063231870229999</v>
      </c>
      <c r="AE876">
        <v>-6.1256000000000101</v>
      </c>
      <c r="AF876">
        <v>4.4093322681496199</v>
      </c>
      <c r="AG876">
        <v>-1.1063231870229999</v>
      </c>
      <c r="AH876">
        <v>13.554520693081701</v>
      </c>
      <c r="AI876">
        <v>94.438211131362195</v>
      </c>
      <c r="AJ876">
        <v>71.980114681055994</v>
      </c>
      <c r="AK876">
        <v>14.296544801604</v>
      </c>
      <c r="AL876">
        <v>86.009348324524197</v>
      </c>
      <c r="AM876">
        <v>82.800998669228903</v>
      </c>
      <c r="AN876">
        <v>0.99999998245396704</v>
      </c>
    </row>
    <row r="877" spans="1:40" x14ac:dyDescent="0.25">
      <c r="A877" t="str">
        <f>"20190312154521939"</f>
        <v>20190312154521939</v>
      </c>
      <c r="B877" t="str">
        <f>"1552376721927120"</f>
        <v>1552376721927120</v>
      </c>
      <c r="C877" t="s">
        <v>40</v>
      </c>
      <c r="D877">
        <v>4.5118280000000004</v>
      </c>
      <c r="E877">
        <v>0.57155009999999995</v>
      </c>
      <c r="F877" t="s">
        <v>51</v>
      </c>
      <c r="G877">
        <v>-205.64830000000001</v>
      </c>
      <c r="H877" s="1">
        <v>-4.9979729999999997E-6</v>
      </c>
      <c r="I877">
        <v>361.76409999999998</v>
      </c>
      <c r="J877">
        <v>-218.8081</v>
      </c>
      <c r="K877">
        <v>1.1063270000000001</v>
      </c>
      <c r="L877">
        <v>367.99020000000002</v>
      </c>
      <c r="M877">
        <v>0.99124809999999997</v>
      </c>
      <c r="N877">
        <v>0</v>
      </c>
      <c r="O877">
        <v>-0.13123209999999999</v>
      </c>
      <c r="P877">
        <v>0.96598139999999999</v>
      </c>
      <c r="Q877">
        <v>5.6643930000000002E-2</v>
      </c>
      <c r="R877">
        <v>-0.25233230000000001</v>
      </c>
      <c r="S877">
        <v>2.782257</v>
      </c>
      <c r="T877">
        <v>-0.2290722</v>
      </c>
      <c r="U877">
        <v>-1.2975460000000001</v>
      </c>
      <c r="V877">
        <v>0.1240106</v>
      </c>
      <c r="W877">
        <v>6.9709289999999993E-2</v>
      </c>
      <c r="X877">
        <v>0.98982919999999996</v>
      </c>
      <c r="Y877">
        <v>0.29959570000000002</v>
      </c>
      <c r="Z877">
        <v>-1.54603799999999E-3</v>
      </c>
      <c r="AA877">
        <v>0.95406500000000005</v>
      </c>
      <c r="AB877">
        <v>29</v>
      </c>
      <c r="AC877">
        <v>13.159799999999899</v>
      </c>
      <c r="AD877">
        <v>-1.106331997973</v>
      </c>
      <c r="AE877">
        <v>-6.2261000000000299</v>
      </c>
      <c r="AF877">
        <v>4.4195552806262999</v>
      </c>
      <c r="AG877">
        <v>-1.106331997973</v>
      </c>
      <c r="AH877">
        <v>13.783515168547799</v>
      </c>
      <c r="AI877">
        <v>94.370731468453002</v>
      </c>
      <c r="AJ877">
        <v>72.222037567896905</v>
      </c>
      <c r="AK877">
        <v>14.5169462963062</v>
      </c>
      <c r="AL877">
        <v>86.002709744546294</v>
      </c>
      <c r="AM877">
        <v>82.858914762102501</v>
      </c>
      <c r="AN877">
        <v>0.99999992959864903</v>
      </c>
    </row>
    <row r="878" spans="1:40" x14ac:dyDescent="0.25">
      <c r="A878" t="str">
        <f>"20190312154521963"</f>
        <v>20190312154521963</v>
      </c>
      <c r="B878" t="str">
        <f>"1552376721957376"</f>
        <v>1552376721957376</v>
      </c>
      <c r="C878" t="s">
        <v>40</v>
      </c>
      <c r="D878">
        <v>4.5306300000000004</v>
      </c>
      <c r="E878">
        <v>0.57082500000000003</v>
      </c>
      <c r="F878" t="s">
        <v>51</v>
      </c>
      <c r="G878">
        <v>-205.31020000000001</v>
      </c>
      <c r="H878" s="1">
        <v>-4.8639750000000003E-6</v>
      </c>
      <c r="I878">
        <v>361.65800000000002</v>
      </c>
      <c r="J878">
        <v>-218.5136</v>
      </c>
      <c r="K878">
        <v>1.1063419999999999</v>
      </c>
      <c r="L878">
        <v>367.94569999999999</v>
      </c>
      <c r="M878">
        <v>0.99057669999999998</v>
      </c>
      <c r="N878">
        <v>0</v>
      </c>
      <c r="O878">
        <v>-0.136207299999999</v>
      </c>
      <c r="P878">
        <v>0.96478839999999999</v>
      </c>
      <c r="Q878">
        <v>5.6358070000000003E-2</v>
      </c>
      <c r="R878">
        <v>-0.25691890000000001</v>
      </c>
      <c r="S878">
        <v>2.7785190000000002</v>
      </c>
      <c r="T878">
        <v>-0.22773489999999999</v>
      </c>
      <c r="U878">
        <v>-1.3034669999999999</v>
      </c>
      <c r="V878">
        <v>0.1237366</v>
      </c>
      <c r="W878">
        <v>6.9427680000000006E-2</v>
      </c>
      <c r="X878">
        <v>0.98988339999999997</v>
      </c>
      <c r="Y878">
        <v>0.29698960000000002</v>
      </c>
      <c r="Z878">
        <v>-1.0585569999999999E-3</v>
      </c>
      <c r="AA878">
        <v>0.95488010000000001</v>
      </c>
      <c r="AB878">
        <v>28</v>
      </c>
      <c r="AC878">
        <v>13.203399999999901</v>
      </c>
      <c r="AD878">
        <v>-1.106346863975</v>
      </c>
      <c r="AE878">
        <v>-6.2876999999999699</v>
      </c>
      <c r="AF878">
        <v>4.4052920227359804</v>
      </c>
      <c r="AG878">
        <v>-1.106346863975</v>
      </c>
      <c r="AH878">
        <v>13.8575320635272</v>
      </c>
      <c r="AI878">
        <v>94.350976037554403</v>
      </c>
      <c r="AJ878">
        <v>72.364604948924196</v>
      </c>
      <c r="AK878">
        <v>14.5829282409498</v>
      </c>
      <c r="AL878">
        <v>86.018884466737504</v>
      </c>
      <c r="AM878">
        <v>82.874916686847797</v>
      </c>
      <c r="AN878">
        <v>1.00000004726265</v>
      </c>
    </row>
    <row r="879" spans="1:40" x14ac:dyDescent="0.25">
      <c r="A879" t="str">
        <f>"20190312154521986"</f>
        <v>20190312154521986</v>
      </c>
      <c r="B879" t="str">
        <f>"1552376721976897"</f>
        <v>1552376721976897</v>
      </c>
      <c r="C879" t="s">
        <v>40</v>
      </c>
      <c r="D879">
        <v>4.4235220000000002</v>
      </c>
      <c r="E879">
        <v>0.57025789999999998</v>
      </c>
      <c r="F879" t="s">
        <v>51</v>
      </c>
      <c r="G879">
        <v>-205.0284</v>
      </c>
      <c r="H879" s="1">
        <v>-4.7513609999999999E-6</v>
      </c>
      <c r="I879">
        <v>361.57389999999998</v>
      </c>
      <c r="J879">
        <v>-218.23230000000001</v>
      </c>
      <c r="K879">
        <v>1.1063499999999999</v>
      </c>
      <c r="L879">
        <v>367.90170000000001</v>
      </c>
      <c r="M879">
        <v>0.98991180000000001</v>
      </c>
      <c r="N879">
        <v>0</v>
      </c>
      <c r="O879">
        <v>-0.14095940000000001</v>
      </c>
      <c r="P879">
        <v>0.96341520000000003</v>
      </c>
      <c r="Q879">
        <v>5.6202639999999998E-2</v>
      </c>
      <c r="R879">
        <v>-0.26205499999999998</v>
      </c>
      <c r="S879">
        <v>2.7737880000000001</v>
      </c>
      <c r="T879">
        <v>-0.22756589999999999</v>
      </c>
      <c r="U879">
        <v>-1.310608</v>
      </c>
      <c r="V879">
        <v>0.1242559</v>
      </c>
      <c r="W879">
        <v>6.9267380000000003E-2</v>
      </c>
      <c r="X879">
        <v>0.98982950000000003</v>
      </c>
      <c r="Y879">
        <v>0.29506310000000002</v>
      </c>
      <c r="Z879">
        <v>-6.2298400000000004E-4</v>
      </c>
      <c r="AA879">
        <v>0.95547760000000004</v>
      </c>
      <c r="AB879">
        <v>28</v>
      </c>
      <c r="AC879">
        <v>13.203900000000001</v>
      </c>
      <c r="AD879">
        <v>-1.1063547513609999</v>
      </c>
      <c r="AE879">
        <v>-6.3278000000000203</v>
      </c>
      <c r="AF879">
        <v>4.3782043243839297</v>
      </c>
      <c r="AG879">
        <v>-1.1063547513609999</v>
      </c>
      <c r="AH879">
        <v>13.8848161802558</v>
      </c>
      <c r="AI879">
        <v>94.345697131442193</v>
      </c>
      <c r="AJ879">
        <v>72.498729121418805</v>
      </c>
      <c r="AK879">
        <v>14.6007128011411</v>
      </c>
      <c r="AL879">
        <v>86.028090832297806</v>
      </c>
      <c r="AM879">
        <v>82.844937693735403</v>
      </c>
      <c r="AN879">
        <v>0.99999996884356102</v>
      </c>
    </row>
    <row r="880" spans="1:40" x14ac:dyDescent="0.25">
      <c r="A880" t="str">
        <f>"20190312154522008"</f>
        <v>20190312154522008</v>
      </c>
      <c r="B880" t="str">
        <f>"1552376721997393"</f>
        <v>1552376721997393</v>
      </c>
      <c r="C880" t="s">
        <v>40</v>
      </c>
      <c r="D880">
        <v>4.4502259999999998</v>
      </c>
      <c r="E880">
        <v>0.56988729999999999</v>
      </c>
      <c r="F880" t="s">
        <v>51</v>
      </c>
      <c r="G880">
        <v>-204.637</v>
      </c>
      <c r="H880" s="1">
        <v>-4.5912610000000004E-6</v>
      </c>
      <c r="I880">
        <v>361.41239999999999</v>
      </c>
      <c r="J880">
        <v>-217.9522</v>
      </c>
      <c r="K880">
        <v>1.106365</v>
      </c>
      <c r="L880">
        <v>367.85649999999998</v>
      </c>
      <c r="M880">
        <v>0.98922690000000002</v>
      </c>
      <c r="N880">
        <v>0</v>
      </c>
      <c r="O880">
        <v>-0.1456884</v>
      </c>
      <c r="P880">
        <v>0.9619394</v>
      </c>
      <c r="Q880">
        <v>5.6194260000000003E-2</v>
      </c>
      <c r="R880">
        <v>-0.26742290000000002</v>
      </c>
      <c r="S880">
        <v>2.7677149999999999</v>
      </c>
      <c r="T880">
        <v>-0.22523000000000001</v>
      </c>
      <c r="U880">
        <v>-1.321075</v>
      </c>
      <c r="V880">
        <v>0.1250434</v>
      </c>
      <c r="W880">
        <v>6.9251199999999999E-2</v>
      </c>
      <c r="X880">
        <v>0.98973149999999999</v>
      </c>
      <c r="Y880">
        <v>0.29427690000000001</v>
      </c>
      <c r="Z880">
        <v>-2.3181920000000001E-4</v>
      </c>
      <c r="AA880">
        <v>0.95572020000000002</v>
      </c>
      <c r="AB880">
        <v>28</v>
      </c>
      <c r="AC880">
        <v>13.315200000000001</v>
      </c>
      <c r="AD880">
        <v>-1.1063695912610001</v>
      </c>
      <c r="AE880">
        <v>-6.4440999999999899</v>
      </c>
      <c r="AF880">
        <v>4.4105893728921304</v>
      </c>
      <c r="AG880">
        <v>-1.1063695912610001</v>
      </c>
      <c r="AH880">
        <v>14.0335298230689</v>
      </c>
      <c r="AI880">
        <v>94.301145373964999</v>
      </c>
      <c r="AJ880">
        <v>72.552620481361501</v>
      </c>
      <c r="AK880">
        <v>14.7518579027762</v>
      </c>
      <c r="AL880">
        <v>86.029020278537701</v>
      </c>
      <c r="AM880">
        <v>82.799359833663502</v>
      </c>
      <c r="AN880">
        <v>1.00000001133862</v>
      </c>
    </row>
    <row r="881" spans="1:40" x14ac:dyDescent="0.25">
      <c r="A881" t="str">
        <f>"20190312154522031"</f>
        <v>20190312154522031</v>
      </c>
      <c r="B881" t="str">
        <f>"1552376722026672"</f>
        <v>1552376722026672</v>
      </c>
      <c r="C881" t="s">
        <v>40</v>
      </c>
      <c r="D881">
        <v>4.5679040000000004</v>
      </c>
      <c r="E881">
        <v>0.56979499999999905</v>
      </c>
      <c r="F881" t="s">
        <v>51</v>
      </c>
      <c r="G881">
        <v>-204.37119999999999</v>
      </c>
      <c r="H881" s="1">
        <v>-4.4833080000000001E-6</v>
      </c>
      <c r="I881">
        <v>361.29610000000002</v>
      </c>
      <c r="J881">
        <v>-217.655</v>
      </c>
      <c r="K881">
        <v>1.1063799999999999</v>
      </c>
      <c r="L881">
        <v>367.80700000000002</v>
      </c>
      <c r="M881">
        <v>0.9884752</v>
      </c>
      <c r="N881">
        <v>0</v>
      </c>
      <c r="O881">
        <v>-0.15070430000000001</v>
      </c>
      <c r="P881">
        <v>0.96036940000000004</v>
      </c>
      <c r="Q881">
        <v>5.6437250000000001E-2</v>
      </c>
      <c r="R881">
        <v>-0.27295710000000001</v>
      </c>
      <c r="S881">
        <v>2.761047</v>
      </c>
      <c r="T881">
        <v>-0.22492619999999999</v>
      </c>
      <c r="U881">
        <v>-1.3337399999999999</v>
      </c>
      <c r="V881">
        <v>0.12572429999999901</v>
      </c>
      <c r="W881">
        <v>6.948762E-2</v>
      </c>
      <c r="X881">
        <v>0.98962870000000003</v>
      </c>
      <c r="Y881">
        <v>0.293902</v>
      </c>
      <c r="Z881">
        <v>1.5875789999999999E-4</v>
      </c>
      <c r="AA881">
        <v>0.95583560000000001</v>
      </c>
      <c r="AB881">
        <v>28</v>
      </c>
      <c r="AC881">
        <v>13.283799999999999</v>
      </c>
      <c r="AD881">
        <v>-1.1063844833080001</v>
      </c>
      <c r="AE881">
        <v>-6.5108999999999302</v>
      </c>
      <c r="AF881">
        <v>4.4097272781193402</v>
      </c>
      <c r="AG881">
        <v>-1.1063844833080001</v>
      </c>
      <c r="AH881">
        <v>14.0348737451092</v>
      </c>
      <c r="AI881">
        <v>94.300904883086403</v>
      </c>
      <c r="AJ881">
        <v>72.557392930744996</v>
      </c>
      <c r="AK881">
        <v>14.7528797979733</v>
      </c>
      <c r="AL881">
        <v>86.015441840172699</v>
      </c>
      <c r="AM881">
        <v>82.759820965893397</v>
      </c>
      <c r="AN881">
        <v>1.00000004640372</v>
      </c>
    </row>
    <row r="882" spans="1:40" x14ac:dyDescent="0.25">
      <c r="A882" t="str">
        <f>"20190312154522053"</f>
        <v>20190312154522053</v>
      </c>
      <c r="B882" t="str">
        <f>"1552376722047170"</f>
        <v>1552376722047170</v>
      </c>
      <c r="C882" t="s">
        <v>40</v>
      </c>
      <c r="D882">
        <v>4.5623180000000003</v>
      </c>
      <c r="E882">
        <v>0.56960089999999997</v>
      </c>
      <c r="F882" t="s">
        <v>51</v>
      </c>
      <c r="G882">
        <v>-204.43510000000001</v>
      </c>
      <c r="H882" s="1">
        <v>-4.5071009999999998E-6</v>
      </c>
      <c r="I882">
        <v>361.33370000000002</v>
      </c>
      <c r="J882">
        <v>-217.3913</v>
      </c>
      <c r="K882">
        <v>1.10639</v>
      </c>
      <c r="L882">
        <v>367.76190000000003</v>
      </c>
      <c r="M882">
        <v>0.98778759999999999</v>
      </c>
      <c r="N882">
        <v>0</v>
      </c>
      <c r="O882">
        <v>-0.15514700000000001</v>
      </c>
      <c r="P882">
        <v>0.95887489999999997</v>
      </c>
      <c r="Q882">
        <v>5.6900199999999998E-2</v>
      </c>
      <c r="R882">
        <v>-0.2780667</v>
      </c>
      <c r="S882">
        <v>2.7540439999999999</v>
      </c>
      <c r="T882">
        <v>-0.23048689999999999</v>
      </c>
      <c r="U882">
        <v>-1.348541</v>
      </c>
      <c r="V882">
        <v>0.12655089999999999</v>
      </c>
      <c r="W882">
        <v>6.9942850000000001E-2</v>
      </c>
      <c r="X882">
        <v>0.98949120000000002</v>
      </c>
      <c r="Y882">
        <v>0.2946993</v>
      </c>
      <c r="Z882">
        <v>4.7228210000000001E-4</v>
      </c>
      <c r="AA882">
        <v>0.95558989999999999</v>
      </c>
      <c r="AB882">
        <v>28</v>
      </c>
      <c r="AC882">
        <v>12.9561999999999</v>
      </c>
      <c r="AD882">
        <v>-1.106394507101</v>
      </c>
      <c r="AE882">
        <v>-6.4282000000000004</v>
      </c>
      <c r="AF882">
        <v>4.3147764821646799</v>
      </c>
      <c r="AG882">
        <v>-1.106394507101</v>
      </c>
      <c r="AH882">
        <v>13.7164384319577</v>
      </c>
      <c r="AI882">
        <v>94.399938597813701</v>
      </c>
      <c r="AJ882">
        <v>72.538002184132694</v>
      </c>
      <c r="AK882">
        <v>14.4215841069582</v>
      </c>
      <c r="AL882">
        <v>85.989295215749095</v>
      </c>
      <c r="AM882">
        <v>82.711727236613797</v>
      </c>
      <c r="AN882">
        <v>0.99999998371718601</v>
      </c>
    </row>
    <row r="883" spans="1:40" x14ac:dyDescent="0.25">
      <c r="A883" t="str">
        <f>"20190312154522074"</f>
        <v>20190312154522074</v>
      </c>
      <c r="B883" t="str">
        <f>"1552376722067665"</f>
        <v>1552376722067665</v>
      </c>
      <c r="C883" t="s">
        <v>40</v>
      </c>
      <c r="D883">
        <v>4.5607749999999996</v>
      </c>
      <c r="E883">
        <v>0.56929589999999997</v>
      </c>
      <c r="F883" t="s">
        <v>51</v>
      </c>
      <c r="G883">
        <v>-204.13069999999999</v>
      </c>
      <c r="H883" s="1">
        <v>-4.3856799999999997E-6</v>
      </c>
      <c r="I883">
        <v>361.19060000000002</v>
      </c>
      <c r="J883">
        <v>-217.11770000000001</v>
      </c>
      <c r="K883">
        <v>1.1064080000000001</v>
      </c>
      <c r="L883">
        <v>367.71379999999999</v>
      </c>
      <c r="M883">
        <v>0.98705540000000003</v>
      </c>
      <c r="N883">
        <v>0</v>
      </c>
      <c r="O883">
        <v>-0.1597402</v>
      </c>
      <c r="P883">
        <v>0.95748029999999995</v>
      </c>
      <c r="Q883">
        <v>5.7003619999999998E-2</v>
      </c>
      <c r="R883">
        <v>-0.2828118</v>
      </c>
      <c r="S883">
        <v>2.747452</v>
      </c>
      <c r="T883">
        <v>-0.22923270000000001</v>
      </c>
      <c r="U883">
        <v>-1.3615109999999999</v>
      </c>
      <c r="V883">
        <v>0.1268466</v>
      </c>
      <c r="W883">
        <v>7.0045590000000005E-2</v>
      </c>
      <c r="X883">
        <v>0.9894461</v>
      </c>
      <c r="Y883">
        <v>0.29480430000000002</v>
      </c>
      <c r="Z883">
        <v>8.1679970000000002E-4</v>
      </c>
      <c r="AA883">
        <v>0.95555730000000005</v>
      </c>
      <c r="AB883">
        <v>28</v>
      </c>
      <c r="AC883">
        <v>12.987</v>
      </c>
      <c r="AD883">
        <v>-1.1064123856799899</v>
      </c>
      <c r="AE883">
        <v>-6.5231999999999699</v>
      </c>
      <c r="AF883">
        <v>4.3395097900397896</v>
      </c>
      <c r="AG883">
        <v>-1.1064123856799899</v>
      </c>
      <c r="AH883">
        <v>13.7824448708097</v>
      </c>
      <c r="AI883">
        <v>94.378659449835396</v>
      </c>
      <c r="AJ883">
        <v>72.522986800304693</v>
      </c>
      <c r="AK883">
        <v>14.4917659449063</v>
      </c>
      <c r="AL883">
        <v>85.983394299031502</v>
      </c>
      <c r="AM883">
        <v>82.694551759693596</v>
      </c>
      <c r="AN883">
        <v>1.0000000147076</v>
      </c>
    </row>
    <row r="884" spans="1:40" x14ac:dyDescent="0.25">
      <c r="A884" t="str">
        <f>"20190312154522090"</f>
        <v>20190312154522090</v>
      </c>
      <c r="B884" t="str">
        <f>"1552376722077425"</f>
        <v>1552376722077425</v>
      </c>
      <c r="C884" t="s">
        <v>40</v>
      </c>
      <c r="D884">
        <v>4.5826830000000003</v>
      </c>
      <c r="E884">
        <v>0.56921239999999995</v>
      </c>
      <c r="F884" t="s">
        <v>51</v>
      </c>
      <c r="G884">
        <v>-203.8468</v>
      </c>
      <c r="H884" s="1">
        <v>-4.2703289999999998E-6</v>
      </c>
      <c r="I884">
        <v>361.06650000000002</v>
      </c>
      <c r="J884">
        <v>-216.9248</v>
      </c>
      <c r="K884">
        <v>1.1064259999999999</v>
      </c>
      <c r="L884">
        <v>367.67910000000001</v>
      </c>
      <c r="M884">
        <v>0.98652790000000001</v>
      </c>
      <c r="N884">
        <v>0</v>
      </c>
      <c r="O884">
        <v>-0.16296579999999999</v>
      </c>
      <c r="P884">
        <v>0.95655849999999998</v>
      </c>
      <c r="Q884">
        <v>5.6959919999999997E-2</v>
      </c>
      <c r="R884">
        <v>-0.28592279999999998</v>
      </c>
      <c r="S884">
        <v>2.7412719999999999</v>
      </c>
      <c r="T884">
        <v>-0.22854289999999999</v>
      </c>
      <c r="U884">
        <v>-1.3730770000000001</v>
      </c>
      <c r="V884">
        <v>0.12682499999999999</v>
      </c>
      <c r="W884">
        <v>7.0005159999999997E-2</v>
      </c>
      <c r="X884">
        <v>0.98945170000000005</v>
      </c>
      <c r="Y884">
        <v>0.29577409999999998</v>
      </c>
      <c r="Z884">
        <v>1.0223809999999999E-3</v>
      </c>
      <c r="AA884">
        <v>0.95525740000000003</v>
      </c>
      <c r="AB884">
        <v>28</v>
      </c>
      <c r="AC884">
        <v>13.077999999999999</v>
      </c>
      <c r="AD884">
        <v>-1.1064302703290001</v>
      </c>
      <c r="AE884">
        <v>-6.61259999999998</v>
      </c>
      <c r="AF884">
        <v>4.3678000725034796</v>
      </c>
      <c r="AG884">
        <v>-1.1064302703290001</v>
      </c>
      <c r="AH884">
        <v>13.9016288949498</v>
      </c>
      <c r="AI884">
        <v>94.342155969651301</v>
      </c>
      <c r="AJ884">
        <v>72.557625351453396</v>
      </c>
      <c r="AK884">
        <v>14.6135947442566</v>
      </c>
      <c r="AL884">
        <v>85.985716347714202</v>
      </c>
      <c r="AM884">
        <v>82.695823221362303</v>
      </c>
      <c r="AN884">
        <v>0.99999998484225705</v>
      </c>
    </row>
    <row r="885" spans="1:40" x14ac:dyDescent="0.25">
      <c r="A885" t="str">
        <f>"20190312154522108"</f>
        <v>20190312154522108</v>
      </c>
      <c r="B885" t="str">
        <f>"1552376722096945"</f>
        <v>1552376722096945</v>
      </c>
      <c r="C885" t="s">
        <v>40</v>
      </c>
      <c r="D885">
        <v>4.4609209999999999</v>
      </c>
      <c r="E885">
        <v>0.56905130000000004</v>
      </c>
      <c r="F885" t="s">
        <v>51</v>
      </c>
      <c r="G885">
        <v>-203.6995</v>
      </c>
      <c r="H885" s="1">
        <v>-4.2098010000000002E-6</v>
      </c>
      <c r="I885">
        <v>361.0052</v>
      </c>
      <c r="J885">
        <v>-216.6952</v>
      </c>
      <c r="K885">
        <v>1.106452</v>
      </c>
      <c r="L885">
        <v>367.637</v>
      </c>
      <c r="M885">
        <v>0.98588889999999996</v>
      </c>
      <c r="N885">
        <v>0</v>
      </c>
      <c r="O885">
        <v>-0.16678789999999999</v>
      </c>
      <c r="P885">
        <v>0.95553489999999996</v>
      </c>
      <c r="Q885">
        <v>5.6510530000000003E-2</v>
      </c>
      <c r="R885">
        <v>-0.28941270000000002</v>
      </c>
      <c r="S885">
        <v>2.7370450000000002</v>
      </c>
      <c r="T885">
        <v>-0.22898109999999999</v>
      </c>
      <c r="U885">
        <v>-1.381195</v>
      </c>
      <c r="V885">
        <v>0.12658939999999999</v>
      </c>
      <c r="W885">
        <v>6.9562780000000005E-2</v>
      </c>
      <c r="X885">
        <v>0.98951310000000003</v>
      </c>
      <c r="Y885">
        <v>0.29493449999999999</v>
      </c>
      <c r="Z885">
        <v>1.3497439999999999E-3</v>
      </c>
      <c r="AA885">
        <v>0.95551649999999999</v>
      </c>
      <c r="AB885">
        <v>28</v>
      </c>
      <c r="AC885">
        <v>12.995699999999999</v>
      </c>
      <c r="AD885">
        <v>-1.106456209801</v>
      </c>
      <c r="AE885">
        <v>-6.6317999999999397</v>
      </c>
      <c r="AF885">
        <v>4.3461448730564003</v>
      </c>
      <c r="AG885">
        <v>-1.106456209801</v>
      </c>
      <c r="AH885">
        <v>13.8402487510344</v>
      </c>
      <c r="AI885">
        <v>94.361653424601101</v>
      </c>
      <c r="AJ885">
        <v>72.566555435957298</v>
      </c>
      <c r="AK885">
        <v>14.548735549604</v>
      </c>
      <c r="AL885">
        <v>86.011124921559698</v>
      </c>
      <c r="AM885">
        <v>82.709693428084293</v>
      </c>
      <c r="AN885">
        <v>1.0000000158126401</v>
      </c>
    </row>
    <row r="886" spans="1:40" x14ac:dyDescent="0.25">
      <c r="A886" t="str">
        <f>"20190312154522130"</f>
        <v>20190312154522130</v>
      </c>
      <c r="B886" t="str">
        <f>"1552376722117441"</f>
        <v>1552376722117441</v>
      </c>
      <c r="C886" t="s">
        <v>40</v>
      </c>
      <c r="D886">
        <v>4.6155780000000002</v>
      </c>
      <c r="E886">
        <v>0.56882319999999997</v>
      </c>
      <c r="F886" t="s">
        <v>51</v>
      </c>
      <c r="G886">
        <v>-203.59219999999999</v>
      </c>
      <c r="H886" s="1">
        <v>-4.1634980000000004E-6</v>
      </c>
      <c r="I886">
        <v>360.97050000000002</v>
      </c>
      <c r="J886">
        <v>-216.42080000000001</v>
      </c>
      <c r="K886">
        <v>1.1064909999999999</v>
      </c>
      <c r="L886">
        <v>367.58539999999999</v>
      </c>
      <c r="M886">
        <v>0.98511059999999995</v>
      </c>
      <c r="N886">
        <v>0</v>
      </c>
      <c r="O886">
        <v>-0.17132510000000001</v>
      </c>
      <c r="P886">
        <v>0.95413210000000004</v>
      </c>
      <c r="Q886">
        <v>5.6154330000000002E-2</v>
      </c>
      <c r="R886">
        <v>-0.29407260000000002</v>
      </c>
      <c r="S886">
        <v>2.732208</v>
      </c>
      <c r="T886">
        <v>-0.2307158</v>
      </c>
      <c r="U886">
        <v>-1.3900760000000001</v>
      </c>
      <c r="V886">
        <v>0.12685060000000001</v>
      </c>
      <c r="W886">
        <v>6.9209809999999997E-2</v>
      </c>
      <c r="X886">
        <v>0.98950439999999995</v>
      </c>
      <c r="Y886">
        <v>0.29369630000000002</v>
      </c>
      <c r="Z886">
        <v>1.758976E-3</v>
      </c>
      <c r="AA886">
        <v>0.9558972</v>
      </c>
      <c r="AB886">
        <v>28</v>
      </c>
      <c r="AC886">
        <v>12.8286</v>
      </c>
      <c r="AD886">
        <v>-1.10649516349799</v>
      </c>
      <c r="AE886">
        <v>-6.6148999999999702</v>
      </c>
      <c r="AF886">
        <v>4.2937553287392598</v>
      </c>
      <c r="AG886">
        <v>-1.10649516349799</v>
      </c>
      <c r="AH886">
        <v>13.691833329591301</v>
      </c>
      <c r="AI886">
        <v>94.409431643814301</v>
      </c>
      <c r="AJ886">
        <v>72.588588968479399</v>
      </c>
      <c r="AK886">
        <v>14.391906277322301</v>
      </c>
      <c r="AL886">
        <v>86.031397469238101</v>
      </c>
      <c r="AM886">
        <v>82.694749666106105</v>
      </c>
      <c r="AN886">
        <v>1.0000000150699699</v>
      </c>
    </row>
    <row r="887" spans="1:40" x14ac:dyDescent="0.25">
      <c r="A887" t="str">
        <f>"20190312154522153"</f>
        <v>20190312154522153</v>
      </c>
      <c r="B887" t="str">
        <f>"1552376722146721"</f>
        <v>1552376722146721</v>
      </c>
      <c r="C887" t="s">
        <v>40</v>
      </c>
      <c r="D887">
        <v>4.6165120000000002</v>
      </c>
      <c r="E887">
        <v>0.56852259999999999</v>
      </c>
      <c r="F887" t="s">
        <v>51</v>
      </c>
      <c r="G887">
        <v>-203.4117</v>
      </c>
      <c r="H887" s="1">
        <v>-4.0890540000000004E-6</v>
      </c>
      <c r="I887">
        <v>360.8965</v>
      </c>
      <c r="J887">
        <v>-216.13650000000001</v>
      </c>
      <c r="K887">
        <v>1.1065339999999999</v>
      </c>
      <c r="L887">
        <v>367.53059999999999</v>
      </c>
      <c r="M887">
        <v>0.98428819999999995</v>
      </c>
      <c r="N887">
        <v>0</v>
      </c>
      <c r="O887">
        <v>-0.17598929999999999</v>
      </c>
      <c r="P887">
        <v>0.95252809999999999</v>
      </c>
      <c r="Q887">
        <v>5.5891049999999998E-2</v>
      </c>
      <c r="R887">
        <v>-0.29927730000000002</v>
      </c>
      <c r="S887">
        <v>2.7258909999999998</v>
      </c>
      <c r="T887">
        <v>-0.2318509</v>
      </c>
      <c r="U887">
        <v>-1.401581</v>
      </c>
      <c r="V887">
        <v>0.1275548</v>
      </c>
      <c r="W887">
        <v>6.8946279999999999E-2</v>
      </c>
      <c r="X887">
        <v>0.98943230000000004</v>
      </c>
      <c r="Y887">
        <v>0.29327059999999999</v>
      </c>
      <c r="Z887">
        <v>2.14643E-3</v>
      </c>
      <c r="AA887">
        <v>0.95602710000000002</v>
      </c>
      <c r="AB887">
        <v>28</v>
      </c>
      <c r="AC887">
        <v>12.7248</v>
      </c>
      <c r="AD887">
        <v>-1.106538089054</v>
      </c>
      <c r="AE887">
        <v>-6.6340999999999797</v>
      </c>
      <c r="AF887">
        <v>4.2655146418881102</v>
      </c>
      <c r="AG887">
        <v>-1.106538089054</v>
      </c>
      <c r="AH887">
        <v>13.6128622365755</v>
      </c>
      <c r="AI887">
        <v>94.435403196647698</v>
      </c>
      <c r="AJ887">
        <v>72.601907843486103</v>
      </c>
      <c r="AK887">
        <v>14.3083562988441</v>
      </c>
      <c r="AL887">
        <v>86.046532904252999</v>
      </c>
      <c r="AM887">
        <v>82.654107491304998</v>
      </c>
      <c r="AN887">
        <v>1.0000000464060801</v>
      </c>
    </row>
    <row r="888" spans="1:40" x14ac:dyDescent="0.25">
      <c r="A888" t="str">
        <f>"20190312154522167"</f>
        <v>20190312154522167</v>
      </c>
      <c r="B888" t="str">
        <f>"1552376722157460"</f>
        <v>1552376722157460</v>
      </c>
      <c r="C888" t="s">
        <v>40</v>
      </c>
      <c r="D888">
        <v>4.6291859999999998</v>
      </c>
      <c r="E888">
        <v>0.56844280000000003</v>
      </c>
      <c r="F888" t="s">
        <v>51</v>
      </c>
      <c r="G888">
        <v>-203.24279999999999</v>
      </c>
      <c r="H888" s="1">
        <v>-4.020143E-6</v>
      </c>
      <c r="I888">
        <v>360.82400000000001</v>
      </c>
      <c r="J888">
        <v>-215.96109999999999</v>
      </c>
      <c r="K888">
        <v>1.1065609999999999</v>
      </c>
      <c r="L888">
        <v>367.49619999999999</v>
      </c>
      <c r="M888">
        <v>0.98377270000000006</v>
      </c>
      <c r="N888">
        <v>0</v>
      </c>
      <c r="O888">
        <v>-0.17884900000000001</v>
      </c>
      <c r="P888">
        <v>0.95160429999999996</v>
      </c>
      <c r="Q888">
        <v>5.600252E-2</v>
      </c>
      <c r="R888">
        <v>-0.30218040000000002</v>
      </c>
      <c r="S888">
        <v>2.7188569999999999</v>
      </c>
      <c r="T888">
        <v>-0.23333219999999999</v>
      </c>
      <c r="U888">
        <v>-1.414215</v>
      </c>
      <c r="V888">
        <v>0.127695</v>
      </c>
      <c r="W888">
        <v>6.9060449999999995E-2</v>
      </c>
      <c r="X888">
        <v>0.98940620000000001</v>
      </c>
      <c r="Y888">
        <v>0.29499900000000001</v>
      </c>
      <c r="Z888">
        <v>2.3145599999999998E-3</v>
      </c>
      <c r="AA888">
        <v>0.95549479999999998</v>
      </c>
      <c r="AB888">
        <v>28</v>
      </c>
      <c r="AC888">
        <v>12.718299999999999</v>
      </c>
      <c r="AD888">
        <v>-1.106565020143</v>
      </c>
      <c r="AE888">
        <v>-6.6721999999999699</v>
      </c>
      <c r="AF888">
        <v>4.2643967749780396</v>
      </c>
      <c r="AG888">
        <v>-1.106565020143</v>
      </c>
      <c r="AH888">
        <v>13.6257473465348</v>
      </c>
      <c r="AI888">
        <v>94.431809283909502</v>
      </c>
      <c r="AJ888">
        <v>72.621649857366293</v>
      </c>
      <c r="AK888">
        <v>14.3202847998861</v>
      </c>
      <c r="AL888">
        <v>86.039975607015094</v>
      </c>
      <c r="AM888">
        <v>82.645929826594298</v>
      </c>
      <c r="AN888">
        <v>0.99999999368882098</v>
      </c>
    </row>
    <row r="889" spans="1:40" x14ac:dyDescent="0.25">
      <c r="A889" t="str">
        <f>"20190312154522186"</f>
        <v>20190312154522186</v>
      </c>
      <c r="B889" t="str">
        <f>"1552376722176977"</f>
        <v>1552376722176977</v>
      </c>
      <c r="C889" t="s">
        <v>40</v>
      </c>
      <c r="D889">
        <v>4.6567629999999998</v>
      </c>
      <c r="E889">
        <v>0.56831719999999997</v>
      </c>
      <c r="F889" t="s">
        <v>51</v>
      </c>
      <c r="G889">
        <v>-203.11250000000001</v>
      </c>
      <c r="H889" s="1">
        <v>-3.9674399999999997E-6</v>
      </c>
      <c r="I889">
        <v>360.76600000000002</v>
      </c>
      <c r="J889">
        <v>-215.72569999999999</v>
      </c>
      <c r="K889">
        <v>1.10659</v>
      </c>
      <c r="L889">
        <v>367.44920000000002</v>
      </c>
      <c r="M889">
        <v>0.9830719</v>
      </c>
      <c r="N889">
        <v>0</v>
      </c>
      <c r="O889">
        <v>-0.18266170000000001</v>
      </c>
      <c r="P889">
        <v>0.95034019999999997</v>
      </c>
      <c r="Q889">
        <v>5.6843900000000003E-2</v>
      </c>
      <c r="R889">
        <v>-0.30597829999999998</v>
      </c>
      <c r="S889">
        <v>2.7147830000000002</v>
      </c>
      <c r="T889">
        <v>-0.2338065</v>
      </c>
      <c r="U889">
        <v>-1.4220280000000001</v>
      </c>
      <c r="V889">
        <v>0.1278212</v>
      </c>
      <c r="W889">
        <v>6.9905289999999995E-2</v>
      </c>
      <c r="X889">
        <v>0.98933059999999995</v>
      </c>
      <c r="Y889">
        <v>0.29405360000000003</v>
      </c>
      <c r="Z889">
        <v>2.6556679999999999E-3</v>
      </c>
      <c r="AA889">
        <v>0.9557852</v>
      </c>
      <c r="AB889">
        <v>28</v>
      </c>
      <c r="AC889">
        <v>12.6131999999999</v>
      </c>
      <c r="AD889">
        <v>-1.10659396744</v>
      </c>
      <c r="AE889">
        <v>-6.68320000000005</v>
      </c>
      <c r="AF889">
        <v>4.2410654396122096</v>
      </c>
      <c r="AG889">
        <v>-1.10659396744</v>
      </c>
      <c r="AH889">
        <v>13.5404631534761</v>
      </c>
      <c r="AI889">
        <v>94.459412595678998</v>
      </c>
      <c r="AJ889">
        <v>72.608702522731605</v>
      </c>
      <c r="AK889">
        <v>14.2321933897236</v>
      </c>
      <c r="AL889">
        <v>85.991452681061801</v>
      </c>
      <c r="AM889">
        <v>82.638185190039806</v>
      </c>
      <c r="AN889">
        <v>1.00000002241789</v>
      </c>
    </row>
    <row r="890" spans="1:40" x14ac:dyDescent="0.25">
      <c r="A890" t="str">
        <f>"20190312154522208"</f>
        <v>20190312154522208</v>
      </c>
      <c r="B890" t="str">
        <f>"1552376722197473"</f>
        <v>1552376722197473</v>
      </c>
      <c r="C890" t="s">
        <v>40</v>
      </c>
      <c r="D890">
        <v>4.589486</v>
      </c>
      <c r="E890">
        <v>0.56813979999999997</v>
      </c>
      <c r="F890" t="s">
        <v>51</v>
      </c>
      <c r="G890">
        <v>-202.78100000000001</v>
      </c>
      <c r="H890" s="1">
        <v>-3.8359440000000004E-6</v>
      </c>
      <c r="I890">
        <v>360.60660000000001</v>
      </c>
      <c r="J890">
        <v>-215.4546</v>
      </c>
      <c r="K890">
        <v>1.1066260000000001</v>
      </c>
      <c r="L890">
        <v>367.39389999999997</v>
      </c>
      <c r="M890">
        <v>0.98225169999999995</v>
      </c>
      <c r="N890">
        <v>0</v>
      </c>
      <c r="O890">
        <v>-0.18702299999999999</v>
      </c>
      <c r="P890">
        <v>0.94908519999999996</v>
      </c>
      <c r="Q890">
        <v>5.7181570000000001E-2</v>
      </c>
      <c r="R890">
        <v>-0.30978699999999998</v>
      </c>
      <c r="S890">
        <v>2.709457</v>
      </c>
      <c r="T890">
        <v>-0.23162070000000001</v>
      </c>
      <c r="U890">
        <v>-1.43222</v>
      </c>
      <c r="V890">
        <v>0.1273986</v>
      </c>
      <c r="W890">
        <v>7.0252029999999993E-2</v>
      </c>
      <c r="X890">
        <v>0.98936049999999998</v>
      </c>
      <c r="Y890">
        <v>0.29341800000000001</v>
      </c>
      <c r="Z890">
        <v>2.9945570000000001E-3</v>
      </c>
      <c r="AA890">
        <v>0.95597949999999998</v>
      </c>
      <c r="AB890">
        <v>28</v>
      </c>
      <c r="AC890">
        <v>12.6736</v>
      </c>
      <c r="AD890">
        <v>-1.1066298359440001</v>
      </c>
      <c r="AE890">
        <v>-6.7872999999999504</v>
      </c>
      <c r="AF890">
        <v>4.2717105761872398</v>
      </c>
      <c r="AG890">
        <v>-1.1066298359440001</v>
      </c>
      <c r="AH890">
        <v>13.6386364789666</v>
      </c>
      <c r="AI890">
        <v>94.427593584420407</v>
      </c>
      <c r="AJ890">
        <v>72.609100944340696</v>
      </c>
      <c r="AK890">
        <v>14.3347321511743</v>
      </c>
      <c r="AL890">
        <v>85.971536788025404</v>
      </c>
      <c r="AM890">
        <v>82.662478327857599</v>
      </c>
      <c r="AN890">
        <v>0.99999997498066495</v>
      </c>
    </row>
    <row r="891" spans="1:40" x14ac:dyDescent="0.25">
      <c r="A891" t="str">
        <f>"20190312154522234"</f>
        <v>20190312154522234</v>
      </c>
      <c r="B891" t="str">
        <f>"1552376722227259"</f>
        <v>1552376722227259</v>
      </c>
      <c r="C891" t="s">
        <v>40</v>
      </c>
      <c r="D891">
        <v>4.7166649999999999</v>
      </c>
      <c r="E891">
        <v>0.56786530000000002</v>
      </c>
      <c r="F891" t="s">
        <v>51</v>
      </c>
      <c r="G891">
        <v>-202.49590000000001</v>
      </c>
      <c r="H891" s="1">
        <v>-3.7201939999999998E-6</v>
      </c>
      <c r="I891">
        <v>360.48169999999999</v>
      </c>
      <c r="J891">
        <v>-215.13800000000001</v>
      </c>
      <c r="K891">
        <v>1.1066549999999999</v>
      </c>
      <c r="L891">
        <v>367.32769999999999</v>
      </c>
      <c r="M891">
        <v>0.98127489999999995</v>
      </c>
      <c r="N891">
        <v>0</v>
      </c>
      <c r="O891">
        <v>-0.1920827</v>
      </c>
      <c r="P891">
        <v>0.94773070000000004</v>
      </c>
      <c r="Q891">
        <v>5.7368559999999999E-2</v>
      </c>
      <c r="R891">
        <v>-0.31387219999999999</v>
      </c>
      <c r="S891">
        <v>2.7040709999999999</v>
      </c>
      <c r="T891">
        <v>-0.2309196</v>
      </c>
      <c r="U891">
        <v>-1.4423520000000001</v>
      </c>
      <c r="V891">
        <v>0.12655839999999999</v>
      </c>
      <c r="W891">
        <v>7.0452760000000003E-2</v>
      </c>
      <c r="X891">
        <v>0.9894541</v>
      </c>
      <c r="Y891">
        <v>0.29208970000000001</v>
      </c>
      <c r="Z891">
        <v>3.429718E-3</v>
      </c>
      <c r="AA891">
        <v>0.95638480000000003</v>
      </c>
      <c r="AB891">
        <v>28</v>
      </c>
      <c r="AC891">
        <v>12.642099999999999</v>
      </c>
      <c r="AD891">
        <v>-1.1066587201939999</v>
      </c>
      <c r="AE891">
        <v>-6.8460000000000001</v>
      </c>
      <c r="AF891">
        <v>4.2646473176095796</v>
      </c>
      <c r="AG891">
        <v>-1.1066587201939999</v>
      </c>
      <c r="AH891">
        <v>13.6409458529386</v>
      </c>
      <c r="AI891">
        <v>94.427679496920504</v>
      </c>
      <c r="AJ891">
        <v>72.638889795607398</v>
      </c>
      <c r="AK891">
        <v>14.3348287059657</v>
      </c>
      <c r="AL891">
        <v>85.960007412086298</v>
      </c>
      <c r="AM891">
        <v>82.7110295903489</v>
      </c>
      <c r="AN891">
        <v>1.0000000180044899</v>
      </c>
    </row>
    <row r="892" spans="1:40" x14ac:dyDescent="0.25">
      <c r="A892" t="str">
        <f>"20190312154522254"</f>
        <v>20190312154522254</v>
      </c>
      <c r="B892" t="str">
        <f>"1552376722246781"</f>
        <v>1552376722246781</v>
      </c>
      <c r="C892" t="s">
        <v>40</v>
      </c>
      <c r="D892">
        <v>4.6183620000000003</v>
      </c>
      <c r="E892">
        <v>0.56813089999999999</v>
      </c>
      <c r="F892" t="s">
        <v>51</v>
      </c>
      <c r="G892">
        <v>-202.2842</v>
      </c>
      <c r="H892" s="1">
        <v>-3.6283710000000001E-6</v>
      </c>
      <c r="I892">
        <v>360.4153</v>
      </c>
      <c r="J892">
        <v>-214.8964</v>
      </c>
      <c r="K892">
        <v>1.1066750000000001</v>
      </c>
      <c r="L892">
        <v>367.27609999999999</v>
      </c>
      <c r="M892">
        <v>0.9805142</v>
      </c>
      <c r="N892">
        <v>0</v>
      </c>
      <c r="O892">
        <v>-0.19592879999999999</v>
      </c>
      <c r="P892">
        <v>0.94682509999999998</v>
      </c>
      <c r="Q892">
        <v>5.700185E-2</v>
      </c>
      <c r="R892">
        <v>-0.31665979999999999</v>
      </c>
      <c r="S892">
        <v>2.6988530000000002</v>
      </c>
      <c r="T892">
        <v>-0.2323588</v>
      </c>
      <c r="U892">
        <v>-1.451355</v>
      </c>
      <c r="V892">
        <v>0.12557860000000001</v>
      </c>
      <c r="W892">
        <v>7.0098389999999997E-2</v>
      </c>
      <c r="X892">
        <v>0.98960409999999999</v>
      </c>
      <c r="Y892">
        <v>0.29159380000000001</v>
      </c>
      <c r="Z892">
        <v>3.7709290000000001E-3</v>
      </c>
      <c r="AA892">
        <v>0.95653480000000002</v>
      </c>
      <c r="AB892">
        <v>28</v>
      </c>
      <c r="AC892">
        <v>12.6122</v>
      </c>
      <c r="AD892">
        <v>-1.106678628371</v>
      </c>
      <c r="AE892">
        <v>-6.8607999999999798</v>
      </c>
      <c r="AF892">
        <v>4.2313127046642496</v>
      </c>
      <c r="AG892">
        <v>-1.106678628371</v>
      </c>
      <c r="AH892">
        <v>13.631079972098799</v>
      </c>
      <c r="AI892">
        <v>94.433732841756395</v>
      </c>
      <c r="AJ892">
        <v>72.754792739281399</v>
      </c>
      <c r="AK892">
        <v>14.3155539884735</v>
      </c>
      <c r="AL892">
        <v>85.980361656368899</v>
      </c>
      <c r="AM892">
        <v>82.767944747696205</v>
      </c>
      <c r="AN892">
        <v>1.0000000218976799</v>
      </c>
    </row>
    <row r="893" spans="1:40" x14ac:dyDescent="0.25">
      <c r="A893" t="str">
        <f>"20190312154522276"</f>
        <v>20190312154522276</v>
      </c>
      <c r="B893" t="str">
        <f>"1552376722267274"</f>
        <v>1552376722267274</v>
      </c>
      <c r="C893" t="s">
        <v>40</v>
      </c>
      <c r="D893">
        <v>4.7332869999999998</v>
      </c>
      <c r="E893">
        <v>0.56809189999999998</v>
      </c>
      <c r="F893" t="s">
        <v>51</v>
      </c>
      <c r="G893">
        <v>-202.22450000000001</v>
      </c>
      <c r="H893" s="1">
        <v>-3.6003730000000002E-6</v>
      </c>
      <c r="I893">
        <v>360.40600000000001</v>
      </c>
      <c r="J893">
        <v>-214.63040000000001</v>
      </c>
      <c r="K893">
        <v>1.106695</v>
      </c>
      <c r="L893">
        <v>367.21800000000002</v>
      </c>
      <c r="M893">
        <v>0.97966089999999995</v>
      </c>
      <c r="N893">
        <v>0</v>
      </c>
      <c r="O893">
        <v>-0.20015169999999999</v>
      </c>
      <c r="P893">
        <v>0.94601049999999998</v>
      </c>
      <c r="Q893">
        <v>5.6542179999999997E-2</v>
      </c>
      <c r="R893">
        <v>-0.31916600000000001</v>
      </c>
      <c r="S893">
        <v>2.6941679999999999</v>
      </c>
      <c r="T893">
        <v>-0.23529030000000001</v>
      </c>
      <c r="U893">
        <v>-1.4606319999999999</v>
      </c>
      <c r="V893">
        <v>0.12392110000000001</v>
      </c>
      <c r="W893">
        <v>6.9656969999999999E-2</v>
      </c>
      <c r="X893">
        <v>0.9898441</v>
      </c>
      <c r="Y893">
        <v>0.290722599999999</v>
      </c>
      <c r="Z893">
        <v>4.1864750000000003E-3</v>
      </c>
      <c r="AA893">
        <v>0.95679820000000004</v>
      </c>
      <c r="AB893">
        <v>28</v>
      </c>
      <c r="AC893">
        <v>12.405900000000001</v>
      </c>
      <c r="AD893">
        <v>-1.1066986003729999</v>
      </c>
      <c r="AE893">
        <v>-6.81200000000001</v>
      </c>
      <c r="AF893">
        <v>4.1653464153084201</v>
      </c>
      <c r="AG893">
        <v>-1.1066986003729999</v>
      </c>
      <c r="AH893">
        <v>13.436231214987901</v>
      </c>
      <c r="AI893">
        <v>94.498365784832998</v>
      </c>
      <c r="AJ893">
        <v>72.776117429905696</v>
      </c>
      <c r="AK893">
        <v>14.110535135642699</v>
      </c>
      <c r="AL893">
        <v>86.0057147958276</v>
      </c>
      <c r="AM893">
        <v>82.864121731907701</v>
      </c>
      <c r="AN893">
        <v>0.99999993739979798</v>
      </c>
    </row>
    <row r="894" spans="1:40" x14ac:dyDescent="0.25">
      <c r="A894" t="str">
        <f>"20190312154522298"</f>
        <v>20190312154522298</v>
      </c>
      <c r="B894" t="str">
        <f>"1552376722286795"</f>
        <v>1552376722286795</v>
      </c>
      <c r="C894" t="s">
        <v>40</v>
      </c>
      <c r="D894">
        <v>4.7660229999999997</v>
      </c>
      <c r="E894">
        <v>0.56808890000000001</v>
      </c>
      <c r="F894" t="s">
        <v>51</v>
      </c>
      <c r="G894">
        <v>-202.2433</v>
      </c>
      <c r="H894" s="1">
        <v>-3.597092E-6</v>
      </c>
      <c r="I894">
        <v>360.46350000000001</v>
      </c>
      <c r="J894">
        <v>-214.35419999999999</v>
      </c>
      <c r="K894">
        <v>1.106706</v>
      </c>
      <c r="L894">
        <v>367.15660000000003</v>
      </c>
      <c r="M894">
        <v>0.97875579999999995</v>
      </c>
      <c r="N894">
        <v>0</v>
      </c>
      <c r="O894">
        <v>-0.2045331</v>
      </c>
      <c r="P894">
        <v>0.94513449999999999</v>
      </c>
      <c r="Q894">
        <v>5.6064139999999998E-2</v>
      </c>
      <c r="R894">
        <v>-0.3218355</v>
      </c>
      <c r="S894">
        <v>2.690582</v>
      </c>
      <c r="T894">
        <v>-0.24038300000000001</v>
      </c>
      <c r="U894">
        <v>-1.467133</v>
      </c>
      <c r="V894">
        <v>0.1222726</v>
      </c>
      <c r="W894">
        <v>6.9196510000000003E-2</v>
      </c>
      <c r="X894">
        <v>0.9900814</v>
      </c>
      <c r="Y894">
        <v>0.28876590000000002</v>
      </c>
      <c r="Z894">
        <v>4.7106479999999996E-3</v>
      </c>
      <c r="AA894">
        <v>0.95738820000000002</v>
      </c>
      <c r="AB894">
        <v>28</v>
      </c>
      <c r="AC894">
        <v>12.1108999999999</v>
      </c>
      <c r="AD894">
        <v>-1.106709597092</v>
      </c>
      <c r="AE894">
        <v>-6.69310000000001</v>
      </c>
      <c r="AF894">
        <v>4.04834818024983</v>
      </c>
      <c r="AG894">
        <v>-1.106709597092</v>
      </c>
      <c r="AH894">
        <v>13.1398651755136</v>
      </c>
      <c r="AI894">
        <v>94.601910936153402</v>
      </c>
      <c r="AJ894">
        <v>72.876111013476006</v>
      </c>
      <c r="AK894">
        <v>13.793838695283499</v>
      </c>
      <c r="AL894">
        <v>86.032161124145105</v>
      </c>
      <c r="AM894">
        <v>82.959760490097196</v>
      </c>
      <c r="AN894">
        <v>0.99999996216644904</v>
      </c>
    </row>
    <row r="895" spans="1:40" x14ac:dyDescent="0.25">
      <c r="A895" t="str">
        <f>"20190312154522319"</f>
        <v>20190312154522319</v>
      </c>
      <c r="B895" t="str">
        <f>"1552376722307290"</f>
        <v>1552376722307290</v>
      </c>
      <c r="C895" t="s">
        <v>40</v>
      </c>
      <c r="D895">
        <v>4.7398439999999997</v>
      </c>
      <c r="E895">
        <v>0.56810649999999996</v>
      </c>
      <c r="F895" t="s">
        <v>51</v>
      </c>
      <c r="G895">
        <v>-202.22219999999999</v>
      </c>
      <c r="H895" s="1">
        <v>-3.579209E-6</v>
      </c>
      <c r="I895">
        <v>360.49639999999999</v>
      </c>
      <c r="J895">
        <v>-214.0882</v>
      </c>
      <c r="K895">
        <v>1.106722</v>
      </c>
      <c r="L895">
        <v>367.09620000000001</v>
      </c>
      <c r="M895">
        <v>0.97786490000000004</v>
      </c>
      <c r="N895">
        <v>0</v>
      </c>
      <c r="O895">
        <v>-0.20875050000000001</v>
      </c>
      <c r="P895">
        <v>0.94391340000000001</v>
      </c>
      <c r="Q895">
        <v>5.6244530000000001E-2</v>
      </c>
      <c r="R895">
        <v>-0.32536779999999998</v>
      </c>
      <c r="S895">
        <v>2.6864780000000001</v>
      </c>
      <c r="T895">
        <v>-0.2450677</v>
      </c>
      <c r="U895">
        <v>-1.474823</v>
      </c>
      <c r="V895">
        <v>0.12170830000000001</v>
      </c>
      <c r="W895">
        <v>6.9382020000000003E-2</v>
      </c>
      <c r="X895">
        <v>0.99013799999999996</v>
      </c>
      <c r="Y895">
        <v>0.28736859999999997</v>
      </c>
      <c r="Z895">
        <v>5.2074209999999899E-3</v>
      </c>
      <c r="AA895">
        <v>0.95780589999999999</v>
      </c>
      <c r="AB895">
        <v>28</v>
      </c>
      <c r="AC895">
        <v>11.866</v>
      </c>
      <c r="AD895">
        <v>-1.1067255792090001</v>
      </c>
      <c r="AE895">
        <v>-6.5998000000000099</v>
      </c>
      <c r="AF895">
        <v>3.95083549993989</v>
      </c>
      <c r="AG895">
        <v>-1.1067255792090001</v>
      </c>
      <c r="AH895">
        <v>12.8966945420204</v>
      </c>
      <c r="AI895">
        <v>94.690661271239193</v>
      </c>
      <c r="AJ895">
        <v>72.967826132471501</v>
      </c>
      <c r="AK895">
        <v>13.533612701915199</v>
      </c>
      <c r="AL895">
        <v>86.021506795213199</v>
      </c>
      <c r="AM895">
        <v>82.9923246764981</v>
      </c>
      <c r="AN895">
        <v>1.0000000170160801</v>
      </c>
    </row>
    <row r="896" spans="1:40" x14ac:dyDescent="0.25">
      <c r="A896" t="str">
        <f>"20190312154522342"</f>
        <v>20190312154522342</v>
      </c>
      <c r="B896" t="str">
        <f>"1552376722337081"</f>
        <v>1552376722337081</v>
      </c>
      <c r="C896" t="s">
        <v>40</v>
      </c>
      <c r="D896">
        <v>4.505636</v>
      </c>
      <c r="E896">
        <v>0.56815990000000005</v>
      </c>
      <c r="F896" t="s">
        <v>51</v>
      </c>
      <c r="G896">
        <v>-202.11699999999999</v>
      </c>
      <c r="H896" s="1">
        <v>-3.5330450000000001E-6</v>
      </c>
      <c r="I896">
        <v>360.4658</v>
      </c>
      <c r="J896">
        <v>-213.8056</v>
      </c>
      <c r="K896">
        <v>1.106738</v>
      </c>
      <c r="L896">
        <v>367.03070000000002</v>
      </c>
      <c r="M896">
        <v>0.97689709999999996</v>
      </c>
      <c r="N896">
        <v>0</v>
      </c>
      <c r="O896">
        <v>-0.2132348</v>
      </c>
      <c r="P896">
        <v>0.9423513</v>
      </c>
      <c r="Q896">
        <v>5.6502919999999998E-2</v>
      </c>
      <c r="R896">
        <v>-0.32982070000000002</v>
      </c>
      <c r="S896">
        <v>2.6811370000000001</v>
      </c>
      <c r="T896">
        <v>-0.24786839999999999</v>
      </c>
      <c r="U896">
        <v>-1.484985</v>
      </c>
      <c r="V896">
        <v>0.12184399999999999</v>
      </c>
      <c r="W896">
        <v>6.9637459999999998E-2</v>
      </c>
      <c r="X896">
        <v>0.99010339999999997</v>
      </c>
      <c r="Y896">
        <v>0.28657199999999999</v>
      </c>
      <c r="Z896">
        <v>5.6733850000000004E-3</v>
      </c>
      <c r="AA896">
        <v>0.9580419</v>
      </c>
      <c r="AB896">
        <v>28</v>
      </c>
      <c r="AC896">
        <v>11.6885999999999</v>
      </c>
      <c r="AD896">
        <v>-1.1067415330449999</v>
      </c>
      <c r="AE896">
        <v>-6.5649000000000202</v>
      </c>
      <c r="AF896">
        <v>3.8946696382631401</v>
      </c>
      <c r="AG896">
        <v>-1.1067415330449999</v>
      </c>
      <c r="AH896">
        <v>12.732945269816099</v>
      </c>
      <c r="AI896">
        <v>94.751402264052004</v>
      </c>
      <c r="AJ896">
        <v>72.992520573259398</v>
      </c>
      <c r="AK896">
        <v>13.361183467653801</v>
      </c>
      <c r="AL896">
        <v>86.006835765723906</v>
      </c>
      <c r="AM896">
        <v>82.984346490827207</v>
      </c>
      <c r="AN896">
        <v>1.0000000394313999</v>
      </c>
    </row>
    <row r="897" spans="1:40" x14ac:dyDescent="0.25">
      <c r="A897" t="str">
        <f>"20190312154522365"</f>
        <v>20190312154522365</v>
      </c>
      <c r="B897" t="str">
        <f>"1552376722357575"</f>
        <v>1552376722357575</v>
      </c>
      <c r="C897" t="s">
        <v>40</v>
      </c>
      <c r="D897">
        <v>4.672428</v>
      </c>
      <c r="E897">
        <v>0.56821299999999997</v>
      </c>
      <c r="F897" t="s">
        <v>51</v>
      </c>
      <c r="G897">
        <v>-201.99959999999999</v>
      </c>
      <c r="H897" s="1">
        <v>-3.4844839999999998E-6</v>
      </c>
      <c r="I897">
        <v>360.41829999999999</v>
      </c>
      <c r="J897">
        <v>-213.54679999999999</v>
      </c>
      <c r="K897">
        <v>1.1067480000000001</v>
      </c>
      <c r="L897">
        <v>366.96949999999998</v>
      </c>
      <c r="M897">
        <v>0.97599009999999997</v>
      </c>
      <c r="N897">
        <v>0</v>
      </c>
      <c r="O897">
        <v>-0.21734790000000001</v>
      </c>
      <c r="P897">
        <v>0.94068759999999996</v>
      </c>
      <c r="Q897">
        <v>5.645004E-2</v>
      </c>
      <c r="R897">
        <v>-0.33454489999999998</v>
      </c>
      <c r="S897">
        <v>2.6743160000000001</v>
      </c>
      <c r="T897">
        <v>-0.25070100000000001</v>
      </c>
      <c r="U897">
        <v>-1.4978640000000001</v>
      </c>
      <c r="V897">
        <v>0.1226397</v>
      </c>
      <c r="W897">
        <v>6.9574689999999995E-2</v>
      </c>
      <c r="X897">
        <v>0.99000949999999999</v>
      </c>
      <c r="Y897">
        <v>0.28709620000000002</v>
      </c>
      <c r="Z897">
        <v>6.0618390000000003E-3</v>
      </c>
      <c r="AA897">
        <v>0.95788260000000003</v>
      </c>
      <c r="AB897">
        <v>28</v>
      </c>
      <c r="AC897">
        <v>11.5472</v>
      </c>
      <c r="AD897">
        <v>-1.1067514844840001</v>
      </c>
      <c r="AE897">
        <v>-6.5511999999999899</v>
      </c>
      <c r="AF897">
        <v>3.8577319202776499</v>
      </c>
      <c r="AG897">
        <v>-1.1067514844840001</v>
      </c>
      <c r="AH897">
        <v>12.6075159678722</v>
      </c>
      <c r="AI897">
        <v>94.798344874439493</v>
      </c>
      <c r="AJ897">
        <v>72.986587272000904</v>
      </c>
      <c r="AK897">
        <v>13.2308901173461</v>
      </c>
      <c r="AL897">
        <v>86.0104406956074</v>
      </c>
      <c r="AM897">
        <v>82.938328938098095</v>
      </c>
      <c r="AN897">
        <v>0.99999997179746702</v>
      </c>
    </row>
    <row r="898" spans="1:40" x14ac:dyDescent="0.25">
      <c r="A898" t="str">
        <f>"20190312154522378"</f>
        <v>20190312154522378</v>
      </c>
      <c r="B898" t="str">
        <f>"1552376722367334"</f>
        <v>1552376722367334</v>
      </c>
      <c r="C898" t="s">
        <v>40</v>
      </c>
      <c r="D898">
        <v>4.6594449999999998</v>
      </c>
      <c r="E898">
        <v>0.58198289999999997</v>
      </c>
      <c r="F898" t="s">
        <v>51</v>
      </c>
      <c r="G898">
        <v>-201.82929999999999</v>
      </c>
      <c r="H898" s="1">
        <v>-3.418914E-6</v>
      </c>
      <c r="I898">
        <v>360.32760000000002</v>
      </c>
      <c r="J898">
        <v>-213.37289999999999</v>
      </c>
      <c r="K898">
        <v>1.1067530000000001</v>
      </c>
      <c r="L898">
        <v>366.92770000000002</v>
      </c>
      <c r="M898">
        <v>0.97536929999999999</v>
      </c>
      <c r="N898">
        <v>0</v>
      </c>
      <c r="O898">
        <v>-0.22011710000000001</v>
      </c>
      <c r="P898">
        <v>0.9396061</v>
      </c>
      <c r="Q898">
        <v>5.6275480000000003E-2</v>
      </c>
      <c r="R898">
        <v>-0.33760010000000001</v>
      </c>
      <c r="S898">
        <v>2.6667179999999999</v>
      </c>
      <c r="T898">
        <v>-0.2518802</v>
      </c>
      <c r="U898">
        <v>-1.5115970000000001</v>
      </c>
      <c r="V898">
        <v>0.123043</v>
      </c>
      <c r="W898">
        <v>6.9395330000000005E-2</v>
      </c>
      <c r="X898">
        <v>0.98997210000000002</v>
      </c>
      <c r="Y898">
        <v>0.289280599999999</v>
      </c>
      <c r="Z898">
        <v>6.2314069999999996E-3</v>
      </c>
      <c r="AA898">
        <v>0.95722410000000002</v>
      </c>
      <c r="AB898">
        <v>28</v>
      </c>
      <c r="AC898">
        <v>11.5435999999999</v>
      </c>
      <c r="AD898">
        <v>-1.106756418914</v>
      </c>
      <c r="AE898">
        <v>-6.6000999999999896</v>
      </c>
      <c r="AF898">
        <v>3.87017608541532</v>
      </c>
      <c r="AG898">
        <v>-1.106756418914</v>
      </c>
      <c r="AH898">
        <v>12.625892539161701</v>
      </c>
      <c r="AI898">
        <v>94.790693481070093</v>
      </c>
      <c r="AJ898">
        <v>72.958287381039</v>
      </c>
      <c r="AK898">
        <v>13.2520313579989</v>
      </c>
      <c r="AL898">
        <v>86.0207423785739</v>
      </c>
      <c r="AM898">
        <v>82.915077341130001</v>
      </c>
      <c r="AN898">
        <v>1.0000000252265999</v>
      </c>
    </row>
    <row r="899" spans="1:40" x14ac:dyDescent="0.25">
      <c r="A899" t="str">
        <f>"20190312154522398"</f>
        <v>20190312154522398</v>
      </c>
      <c r="B899" t="str">
        <f>"1552376722386854"</f>
        <v>1552376722386854</v>
      </c>
      <c r="C899" t="s">
        <v>40</v>
      </c>
      <c r="D899">
        <v>4.6149909999999998</v>
      </c>
      <c r="E899">
        <v>0.58478569999999996</v>
      </c>
      <c r="F899" t="s">
        <v>51</v>
      </c>
      <c r="G899">
        <v>-203.88239999999999</v>
      </c>
      <c r="H899" s="1">
        <v>-4.288795E-6</v>
      </c>
      <c r="I899">
        <v>361.06400000000002</v>
      </c>
      <c r="J899">
        <v>-213.13489999999999</v>
      </c>
      <c r="K899">
        <v>1.1067579999999999</v>
      </c>
      <c r="L899">
        <v>366.86959999999999</v>
      </c>
      <c r="M899">
        <v>0.97450490000000001</v>
      </c>
      <c r="N899">
        <v>0</v>
      </c>
      <c r="O899">
        <v>-0.2239129</v>
      </c>
      <c r="P899">
        <v>0.93792529999999996</v>
      </c>
      <c r="Q899">
        <v>5.6439410000000002E-2</v>
      </c>
      <c r="R899">
        <v>-0.34221459999999998</v>
      </c>
      <c r="S899">
        <v>2.6278229999999998</v>
      </c>
      <c r="T899">
        <v>-0.30644969999999999</v>
      </c>
      <c r="U899">
        <v>-1.62359599999999</v>
      </c>
      <c r="V899">
        <v>0.1240586</v>
      </c>
      <c r="W899">
        <v>6.9547090000000006E-2</v>
      </c>
      <c r="X899">
        <v>0.98983469999999996</v>
      </c>
      <c r="Y899">
        <v>0.32128479999999998</v>
      </c>
      <c r="Z899">
        <v>6.2455719999999996E-3</v>
      </c>
      <c r="AA899">
        <v>0.94696199999999997</v>
      </c>
      <c r="AB899">
        <v>28</v>
      </c>
      <c r="AC899">
        <v>9.2524999999999906</v>
      </c>
      <c r="AD899">
        <v>-1.1067622887949999</v>
      </c>
      <c r="AE899">
        <v>-5.8055999999999699</v>
      </c>
      <c r="AF899">
        <v>3.54975275486259</v>
      </c>
      <c r="AG899">
        <v>-1.1067622887949999</v>
      </c>
      <c r="AH899">
        <v>10.212755467065699</v>
      </c>
      <c r="AI899">
        <v>95.844637879756803</v>
      </c>
      <c r="AJ899">
        <v>70.833554886590093</v>
      </c>
      <c r="AK899">
        <v>10.8685804783621</v>
      </c>
      <c r="AL899">
        <v>86.012026146029498</v>
      </c>
      <c r="AM899">
        <v>82.8562185438429</v>
      </c>
      <c r="AN899">
        <v>1.0000000336427499</v>
      </c>
    </row>
    <row r="900" spans="1:40" x14ac:dyDescent="0.25">
      <c r="A900" t="str">
        <f>"20190312154522422"</f>
        <v>20190312154522422</v>
      </c>
      <c r="B900" t="str">
        <f>"1552376722407350"</f>
        <v>1552376722407350</v>
      </c>
      <c r="C900" t="s">
        <v>40</v>
      </c>
      <c r="D900">
        <v>4.6353049999999998</v>
      </c>
      <c r="E900">
        <v>0.58614569999999999</v>
      </c>
      <c r="F900" t="s">
        <v>51</v>
      </c>
      <c r="G900">
        <v>-203.60290000000001</v>
      </c>
      <c r="H900" s="1">
        <v>-4.2027020000000001E-6</v>
      </c>
      <c r="I900">
        <v>360.81810000000002</v>
      </c>
      <c r="J900">
        <v>-212.85409999999999</v>
      </c>
      <c r="K900">
        <v>1.1067579999999999</v>
      </c>
      <c r="L900">
        <v>366.79989999999998</v>
      </c>
      <c r="M900">
        <v>0.9734623</v>
      </c>
      <c r="N900">
        <v>0</v>
      </c>
      <c r="O900">
        <v>-0.22840369999999999</v>
      </c>
      <c r="P900">
        <v>0.93592569999999997</v>
      </c>
      <c r="Q900">
        <v>5.629559E-2</v>
      </c>
      <c r="R900">
        <v>-0.34766950000000002</v>
      </c>
      <c r="S900">
        <v>2.6117859999999999</v>
      </c>
      <c r="T900">
        <v>-0.30325760000000002</v>
      </c>
      <c r="U900">
        <v>-1.65814199999999</v>
      </c>
      <c r="V900">
        <v>0.12525530000000001</v>
      </c>
      <c r="W900">
        <v>6.9388679999999994E-2</v>
      </c>
      <c r="X900">
        <v>0.98969510000000005</v>
      </c>
      <c r="Y900">
        <v>0.32848300000000002</v>
      </c>
      <c r="Z900">
        <v>6.2550139999999997E-3</v>
      </c>
      <c r="AA900">
        <v>0.94448920000000003</v>
      </c>
      <c r="AB900">
        <v>28</v>
      </c>
      <c r="AC900">
        <v>9.2511999999999794</v>
      </c>
      <c r="AD900">
        <v>-1.1067622027020001</v>
      </c>
      <c r="AE900">
        <v>-5.9817999999999598</v>
      </c>
      <c r="AF900">
        <v>3.6733507238469199</v>
      </c>
      <c r="AG900">
        <v>-1.1067622027020001</v>
      </c>
      <c r="AH900">
        <v>10.2693659790175</v>
      </c>
      <c r="AI900">
        <v>95.794346290446498</v>
      </c>
      <c r="AJ900">
        <v>70.317877438188802</v>
      </c>
      <c r="AK900">
        <v>10.9625866347646</v>
      </c>
      <c r="AL900">
        <v>86.021124355228096</v>
      </c>
      <c r="AM900">
        <v>82.7870234623025</v>
      </c>
      <c r="AN900">
        <v>1.0000000350271201</v>
      </c>
    </row>
    <row r="901" spans="1:40" x14ac:dyDescent="0.25">
      <c r="A901" t="str">
        <f>"20190312154522444"</f>
        <v>20190312154522444</v>
      </c>
      <c r="B901" t="str">
        <f>"1552376722437137"</f>
        <v>1552376722437137</v>
      </c>
      <c r="C901" t="s">
        <v>40</v>
      </c>
      <c r="D901">
        <v>4.6017799999999998</v>
      </c>
      <c r="E901">
        <v>0.58693050000000002</v>
      </c>
      <c r="F901" t="s">
        <v>51</v>
      </c>
      <c r="G901">
        <v>-203.1482</v>
      </c>
      <c r="H901" s="1">
        <v>-4.0423199999999999E-6</v>
      </c>
      <c r="I901">
        <v>360.50920000000002</v>
      </c>
      <c r="J901">
        <v>-212.58529999999999</v>
      </c>
      <c r="K901">
        <v>1.1067499999999999</v>
      </c>
      <c r="L901">
        <v>366.73180000000002</v>
      </c>
      <c r="M901">
        <v>0.97243829999999998</v>
      </c>
      <c r="N901">
        <v>0</v>
      </c>
      <c r="O901">
        <v>-0.23272490000000001</v>
      </c>
      <c r="P901">
        <v>0.93436379999999997</v>
      </c>
      <c r="Q901">
        <v>5.6124220000000002E-2</v>
      </c>
      <c r="R901">
        <v>-0.3518732</v>
      </c>
      <c r="S901">
        <v>2.5977779999999999</v>
      </c>
      <c r="T901">
        <v>-0.296222599999999</v>
      </c>
      <c r="U901">
        <v>-1.6836850000000001</v>
      </c>
      <c r="V901">
        <v>0.12530569999999999</v>
      </c>
      <c r="W901">
        <v>6.9212200000000001E-2</v>
      </c>
      <c r="X901">
        <v>0.98970100000000005</v>
      </c>
      <c r="Y901">
        <v>0.33317400000000003</v>
      </c>
      <c r="Z901">
        <v>6.2982810000000002E-3</v>
      </c>
      <c r="AA901">
        <v>0.94284429999999997</v>
      </c>
      <c r="AB901">
        <v>28</v>
      </c>
      <c r="AC901">
        <v>9.4370999999999796</v>
      </c>
      <c r="AD901">
        <v>-1.10675404232</v>
      </c>
      <c r="AE901">
        <v>-6.2225999999999999</v>
      </c>
      <c r="AF901">
        <v>3.8186318152115901</v>
      </c>
      <c r="AG901">
        <v>-1.10675404232</v>
      </c>
      <c r="AH901">
        <v>10.5253327915078</v>
      </c>
      <c r="AI901">
        <v>95.645180327061297</v>
      </c>
      <c r="AJ901">
        <v>70.059030834696898</v>
      </c>
      <c r="AK901">
        <v>11.251199217075801</v>
      </c>
      <c r="AL901">
        <v>86.031259977268903</v>
      </c>
      <c r="AM901">
        <v>82.784194267093497</v>
      </c>
      <c r="AN901">
        <v>0.99999995824116406</v>
      </c>
    </row>
    <row r="902" spans="1:40" x14ac:dyDescent="0.25">
      <c r="A902" t="str">
        <f>"20190312154522467"</f>
        <v>20190312154522467</v>
      </c>
      <c r="B902" t="str">
        <f>"1552376722456657"</f>
        <v>1552376722456657</v>
      </c>
      <c r="C902" t="s">
        <v>40</v>
      </c>
      <c r="D902">
        <v>4.6005050000000001</v>
      </c>
      <c r="E902">
        <v>0.58706579999999997</v>
      </c>
      <c r="F902" t="s">
        <v>51</v>
      </c>
      <c r="G902">
        <v>-202.87219999999999</v>
      </c>
      <c r="H902" s="1">
        <v>-3.9401179999999998E-6</v>
      </c>
      <c r="I902">
        <v>360.34390000000002</v>
      </c>
      <c r="J902">
        <v>-212.30959999999999</v>
      </c>
      <c r="K902">
        <v>1.106738</v>
      </c>
      <c r="L902">
        <v>366.66059999999999</v>
      </c>
      <c r="M902">
        <v>0.9713598</v>
      </c>
      <c r="N902">
        <v>0</v>
      </c>
      <c r="O902">
        <v>-0.23718610000000001</v>
      </c>
      <c r="P902">
        <v>0.93294069999999996</v>
      </c>
      <c r="Q902">
        <v>5.5038179999999999E-2</v>
      </c>
      <c r="R902">
        <v>-0.35579860000000002</v>
      </c>
      <c r="S902">
        <v>2.5875699999999999</v>
      </c>
      <c r="T902">
        <v>-0.29484009999999999</v>
      </c>
      <c r="U902">
        <v>-1.7017519999999999</v>
      </c>
      <c r="V902">
        <v>0.1249009</v>
      </c>
      <c r="W902">
        <v>6.8125669999999999E-2</v>
      </c>
      <c r="X902">
        <v>0.98982760000000003</v>
      </c>
      <c r="Y902">
        <v>0.33516590000000002</v>
      </c>
      <c r="Z902">
        <v>6.6072750000000001E-3</v>
      </c>
      <c r="AA902">
        <v>0.94213590000000003</v>
      </c>
      <c r="AB902">
        <v>28</v>
      </c>
      <c r="AC902">
        <v>9.4373999999999896</v>
      </c>
      <c r="AD902">
        <v>-1.1067419401180001</v>
      </c>
      <c r="AE902">
        <v>-6.31669999999996</v>
      </c>
      <c r="AF902">
        <v>3.8610921450928002</v>
      </c>
      <c r="AG902">
        <v>-1.1067419401180001</v>
      </c>
      <c r="AH902">
        <v>10.5660727600327</v>
      </c>
      <c r="AI902">
        <v>95.618788885645003</v>
      </c>
      <c r="AJ902">
        <v>69.926504549495306</v>
      </c>
      <c r="AK902">
        <v>11.3037517597131</v>
      </c>
      <c r="AL902">
        <v>86.093661064874695</v>
      </c>
      <c r="AM902">
        <v>82.808170721392301</v>
      </c>
      <c r="AN902">
        <v>1.0000000097277499</v>
      </c>
    </row>
    <row r="903" spans="1:40" x14ac:dyDescent="0.25">
      <c r="A903" t="str">
        <f>"20190312154522499"</f>
        <v>20190312154522499</v>
      </c>
      <c r="B903" t="str">
        <f>"1552376722486913"</f>
        <v>1552376722486913</v>
      </c>
      <c r="C903" t="s">
        <v>40</v>
      </c>
      <c r="D903">
        <v>4.5536640000000004</v>
      </c>
      <c r="E903">
        <v>0.58709160000000005</v>
      </c>
      <c r="F903" t="s">
        <v>51</v>
      </c>
      <c r="G903">
        <v>-202.74209999999999</v>
      </c>
      <c r="H903" s="1">
        <v>-3.8830279999999998E-6</v>
      </c>
      <c r="I903">
        <v>360.30610000000001</v>
      </c>
      <c r="J903">
        <v>-211.92400000000001</v>
      </c>
      <c r="K903">
        <v>1.106714</v>
      </c>
      <c r="L903">
        <v>366.55869999999999</v>
      </c>
      <c r="M903">
        <v>0.96980409999999995</v>
      </c>
      <c r="N903">
        <v>0</v>
      </c>
      <c r="O903">
        <v>-0.2434692</v>
      </c>
      <c r="P903">
        <v>0.93085370000000001</v>
      </c>
      <c r="Q903">
        <v>5.5209599999999998E-2</v>
      </c>
      <c r="R903">
        <v>-0.3611974</v>
      </c>
      <c r="S903">
        <v>2.5797880000000002</v>
      </c>
      <c r="T903">
        <v>-0.2984232</v>
      </c>
      <c r="U903">
        <v>-1.7134400000000001</v>
      </c>
      <c r="V903">
        <v>0.12423380000000001</v>
      </c>
      <c r="W903">
        <v>6.8295499999999995E-2</v>
      </c>
      <c r="X903">
        <v>0.9898998</v>
      </c>
      <c r="Y903">
        <v>0.33336280000000001</v>
      </c>
      <c r="Z903">
        <v>7.4089469999999999E-3</v>
      </c>
      <c r="AA903">
        <v>0.94276950000000004</v>
      </c>
      <c r="AB903">
        <v>28</v>
      </c>
      <c r="AC903">
        <v>9.1819000000000095</v>
      </c>
      <c r="AD903">
        <v>-1.106717883028</v>
      </c>
      <c r="AE903">
        <v>-6.25259999999997</v>
      </c>
      <c r="AF903">
        <v>3.7910475430614801</v>
      </c>
      <c r="AG903">
        <v>-1.106717883028</v>
      </c>
      <c r="AH903">
        <v>10.325531369021199</v>
      </c>
      <c r="AI903">
        <v>95.745503993524196</v>
      </c>
      <c r="AJ903">
        <v>69.839149011999496</v>
      </c>
      <c r="AK903">
        <v>11.0550198552063</v>
      </c>
      <c r="AL903">
        <v>86.083907624409903</v>
      </c>
      <c r="AM903">
        <v>82.846699878947305</v>
      </c>
      <c r="AN903">
        <v>0.99999996321136397</v>
      </c>
    </row>
    <row r="904" spans="1:40" x14ac:dyDescent="0.25">
      <c r="A904" t="str">
        <f>"20190312154522521"</f>
        <v>20190312154522521</v>
      </c>
      <c r="B904" t="str">
        <f>"1552376722507409"</f>
        <v>1552376722507409</v>
      </c>
      <c r="C904" t="s">
        <v>40</v>
      </c>
      <c r="D904">
        <v>4.5865010000000002</v>
      </c>
      <c r="E904">
        <v>0.58723619999999899</v>
      </c>
      <c r="F904" t="s">
        <v>51</v>
      </c>
      <c r="G904">
        <v>-202.49440000000001</v>
      </c>
      <c r="H904" s="1">
        <v>-3.778182E-6</v>
      </c>
      <c r="I904">
        <v>360.21679999999998</v>
      </c>
      <c r="J904">
        <v>-211.66059999999999</v>
      </c>
      <c r="K904">
        <v>1.106703</v>
      </c>
      <c r="L904">
        <v>366.48750000000001</v>
      </c>
      <c r="M904">
        <v>0.96870809999999996</v>
      </c>
      <c r="N904">
        <v>0</v>
      </c>
      <c r="O904">
        <v>-0.24779380000000001</v>
      </c>
      <c r="P904">
        <v>0.92903720000000001</v>
      </c>
      <c r="Q904">
        <v>5.5582359999999997E-2</v>
      </c>
      <c r="R904">
        <v>-0.3657879</v>
      </c>
      <c r="S904">
        <v>2.5700229999999999</v>
      </c>
      <c r="T904">
        <v>-0.30163649999999997</v>
      </c>
      <c r="U904">
        <v>-1.7284849999999901</v>
      </c>
      <c r="V904">
        <v>0.1247143</v>
      </c>
      <c r="W904">
        <v>6.8657049999999997E-2</v>
      </c>
      <c r="X904">
        <v>0.98981439999999998</v>
      </c>
      <c r="Y904">
        <v>0.33461990000000003</v>
      </c>
      <c r="Z904">
        <v>7.8615619999999903E-3</v>
      </c>
      <c r="AA904">
        <v>0.94232039999999995</v>
      </c>
      <c r="AB904">
        <v>28</v>
      </c>
      <c r="AC904">
        <v>9.1661999999999697</v>
      </c>
      <c r="AD904">
        <v>-1.1067067781819999</v>
      </c>
      <c r="AE904">
        <v>-6.2707000000000299</v>
      </c>
      <c r="AF904">
        <v>3.7661376432917</v>
      </c>
      <c r="AG904">
        <v>-1.1067067781819999</v>
      </c>
      <c r="AH904">
        <v>10.331675505138101</v>
      </c>
      <c r="AI904">
        <v>95.746893690313797</v>
      </c>
      <c r="AJ904">
        <v>69.972017630447894</v>
      </c>
      <c r="AK904">
        <v>11.052244631049501</v>
      </c>
      <c r="AL904">
        <v>86.063143728393996</v>
      </c>
      <c r="AM904">
        <v>82.818708182071703</v>
      </c>
      <c r="AN904">
        <v>0.999999996793276</v>
      </c>
    </row>
    <row r="905" spans="1:40" x14ac:dyDescent="0.25">
      <c r="A905" t="str">
        <f>"20190312154522544"</f>
        <v>20190312154522544</v>
      </c>
      <c r="B905" t="str">
        <f>"1552376722537197"</f>
        <v>1552376722537197</v>
      </c>
      <c r="C905" t="s">
        <v>40</v>
      </c>
      <c r="D905">
        <v>4.537439</v>
      </c>
      <c r="E905">
        <v>0.58721650000000003</v>
      </c>
      <c r="F905" t="s">
        <v>51</v>
      </c>
      <c r="G905">
        <v>-202.3021</v>
      </c>
      <c r="H905" s="1">
        <v>-3.7015710000000001E-6</v>
      </c>
      <c r="I905">
        <v>360.12580000000003</v>
      </c>
      <c r="J905">
        <v>-211.38980000000001</v>
      </c>
      <c r="K905">
        <v>1.106679</v>
      </c>
      <c r="L905">
        <v>366.41300000000001</v>
      </c>
      <c r="M905">
        <v>0.96755009999999997</v>
      </c>
      <c r="N905">
        <v>0</v>
      </c>
      <c r="O905">
        <v>-0.25227709999999998</v>
      </c>
      <c r="P905">
        <v>0.92740040000000001</v>
      </c>
      <c r="Q905">
        <v>5.5575680000000002E-2</v>
      </c>
      <c r="R905">
        <v>-0.36991819999999997</v>
      </c>
      <c r="S905">
        <v>2.5616460000000001</v>
      </c>
      <c r="T905">
        <v>-0.30293229999999999</v>
      </c>
      <c r="U905">
        <v>-1.7413639999999999</v>
      </c>
      <c r="V905">
        <v>0.1245372</v>
      </c>
      <c r="W905">
        <v>6.8646100000000002E-2</v>
      </c>
      <c r="X905">
        <v>0.98983750000000004</v>
      </c>
      <c r="Y905">
        <v>0.33494429999999997</v>
      </c>
      <c r="Z905">
        <v>8.3345989999999998E-3</v>
      </c>
      <c r="AA905">
        <v>0.94220110000000001</v>
      </c>
      <c r="AB905">
        <v>27</v>
      </c>
      <c r="AC905">
        <v>9.0877000000000105</v>
      </c>
      <c r="AD905">
        <v>-1.1066827015709999</v>
      </c>
      <c r="AE905">
        <v>-6.2871999999999799</v>
      </c>
      <c r="AF905">
        <v>3.75330378976847</v>
      </c>
      <c r="AG905">
        <v>-1.1066827015709999</v>
      </c>
      <c r="AH905">
        <v>10.276904031180701</v>
      </c>
      <c r="AI905">
        <v>95.775908626133102</v>
      </c>
      <c r="AJ905">
        <v>69.936928766269901</v>
      </c>
      <c r="AK905">
        <v>10.996671878634301</v>
      </c>
      <c r="AL905">
        <v>86.063772766560405</v>
      </c>
      <c r="AM905">
        <v>82.828965315888198</v>
      </c>
      <c r="AN905">
        <v>1.00000003881764</v>
      </c>
    </row>
    <row r="906" spans="1:40" x14ac:dyDescent="0.25">
      <c r="A906" t="str">
        <f>"20190312154522566"</f>
        <v>20190312154522566</v>
      </c>
      <c r="B906" t="str">
        <f>"1552376722556716"</f>
        <v>1552376722556716</v>
      </c>
      <c r="C906" t="s">
        <v>40</v>
      </c>
      <c r="D906">
        <v>4.4921139999999999</v>
      </c>
      <c r="E906">
        <v>0.58716190000000001</v>
      </c>
      <c r="F906" t="s">
        <v>51</v>
      </c>
      <c r="G906">
        <v>-202.15989999999999</v>
      </c>
      <c r="H906" s="1">
        <v>-3.638401E-6</v>
      </c>
      <c r="I906">
        <v>360.08800000000002</v>
      </c>
      <c r="J906">
        <v>-211.1283</v>
      </c>
      <c r="K906">
        <v>1.1066560000000001</v>
      </c>
      <c r="L906">
        <v>366.33969999999999</v>
      </c>
      <c r="M906">
        <v>0.96639960000000003</v>
      </c>
      <c r="N906">
        <v>0</v>
      </c>
      <c r="O906">
        <v>-0.25664959999999998</v>
      </c>
      <c r="P906">
        <v>0.92548319999999995</v>
      </c>
      <c r="Q906">
        <v>5.445589E-2</v>
      </c>
      <c r="R906">
        <v>-0.37485420000000003</v>
      </c>
      <c r="S906">
        <v>2.5548549999999999</v>
      </c>
      <c r="T906">
        <v>-0.30633199999999999</v>
      </c>
      <c r="U906">
        <v>-1.7507630000000001</v>
      </c>
      <c r="V906">
        <v>0.12531249999999999</v>
      </c>
      <c r="W906">
        <v>6.7511970000000004E-2</v>
      </c>
      <c r="X906">
        <v>0.98981759999999996</v>
      </c>
      <c r="Y906">
        <v>0.33422400000000002</v>
      </c>
      <c r="Z906">
        <v>8.9169760000000001E-3</v>
      </c>
      <c r="AA906">
        <v>0.9424515</v>
      </c>
      <c r="AB906">
        <v>27</v>
      </c>
      <c r="AC906">
        <v>8.9684000000000008</v>
      </c>
      <c r="AD906">
        <v>-1.1066596384009999</v>
      </c>
      <c r="AE906">
        <v>-6.2516999999999703</v>
      </c>
      <c r="AF906">
        <v>3.7023449708575198</v>
      </c>
      <c r="AG906">
        <v>-1.1066596384009999</v>
      </c>
      <c r="AH906">
        <v>10.1683992358887</v>
      </c>
      <c r="AI906">
        <v>95.839077348175707</v>
      </c>
      <c r="AJ906">
        <v>69.993281698778404</v>
      </c>
      <c r="AK906">
        <v>10.877885679621899</v>
      </c>
      <c r="AL906">
        <v>86.1289045320447</v>
      </c>
      <c r="AM906">
        <v>82.784647917105403</v>
      </c>
      <c r="AN906">
        <v>0.99999998500964504</v>
      </c>
    </row>
    <row r="907" spans="1:40" x14ac:dyDescent="0.25">
      <c r="A907" t="str">
        <f>"20190312154522588"</f>
        <v>20190312154522588</v>
      </c>
      <c r="B907" t="str">
        <f>"1552376722577212"</f>
        <v>1552376722577212</v>
      </c>
      <c r="C907" t="s">
        <v>40</v>
      </c>
      <c r="D907">
        <v>4.5488939999999998</v>
      </c>
      <c r="E907">
        <v>0.58726650000000002</v>
      </c>
      <c r="F907" t="s">
        <v>51</v>
      </c>
      <c r="G907">
        <v>-202.03790000000001</v>
      </c>
      <c r="H907" s="1">
        <v>-3.58758E-6</v>
      </c>
      <c r="I907">
        <v>360.04039999999998</v>
      </c>
      <c r="J907">
        <v>-210.8629</v>
      </c>
      <c r="K907">
        <v>1.1066309999999999</v>
      </c>
      <c r="L907">
        <v>366.26389999999998</v>
      </c>
      <c r="M907">
        <v>0.96520050000000002</v>
      </c>
      <c r="N907">
        <v>0</v>
      </c>
      <c r="O907">
        <v>-0.26112340000000001</v>
      </c>
      <c r="P907">
        <v>0.92318730000000004</v>
      </c>
      <c r="Q907">
        <v>5.31832E-2</v>
      </c>
      <c r="R907">
        <v>-0.38065290000000002</v>
      </c>
      <c r="S907">
        <v>2.5453489999999999</v>
      </c>
      <c r="T907">
        <v>-0.30986989999999998</v>
      </c>
      <c r="U907">
        <v>-1.7638240000000001</v>
      </c>
      <c r="V907">
        <v>0.12691169999999999</v>
      </c>
      <c r="W907">
        <v>6.6216919999999999E-2</v>
      </c>
      <c r="X907">
        <v>0.98970130000000001</v>
      </c>
      <c r="Y907">
        <v>0.33478170000000002</v>
      </c>
      <c r="Z907">
        <v>9.4583779999999999E-3</v>
      </c>
      <c r="AA907">
        <v>0.94224819999999998</v>
      </c>
      <c r="AB907">
        <v>27</v>
      </c>
      <c r="AC907">
        <v>8.8249999999999797</v>
      </c>
      <c r="AD907">
        <v>-1.1066345875800001</v>
      </c>
      <c r="AE907">
        <v>-6.2234999999999996</v>
      </c>
      <c r="AF907">
        <v>3.6644035875535002</v>
      </c>
      <c r="AG907">
        <v>-1.1066345875800001</v>
      </c>
      <c r="AH907">
        <v>10.038600143878099</v>
      </c>
      <c r="AI907">
        <v>95.912158090634705</v>
      </c>
      <c r="AJ907">
        <v>69.946333697786997</v>
      </c>
      <c r="AK907">
        <v>10.7436486638187</v>
      </c>
      <c r="AL907">
        <v>86.203271777879607</v>
      </c>
      <c r="AM907">
        <v>82.692707337728194</v>
      </c>
      <c r="AN907">
        <v>0.99999996165643201</v>
      </c>
    </row>
    <row r="908" spans="1:40" x14ac:dyDescent="0.25">
      <c r="A908" t="str">
        <f>"20190312154522610"</f>
        <v>20190312154522610</v>
      </c>
      <c r="B908" t="str">
        <f>"1552376722607468"</f>
        <v>1552376722607468</v>
      </c>
      <c r="C908" t="s">
        <v>40</v>
      </c>
      <c r="D908">
        <v>4.5169629999999996</v>
      </c>
      <c r="E908">
        <v>0.58746730000000003</v>
      </c>
      <c r="F908" t="s">
        <v>51</v>
      </c>
      <c r="G908">
        <v>-201.9263</v>
      </c>
      <c r="H908" s="1">
        <v>-3.5438109999999999E-6</v>
      </c>
      <c r="I908">
        <v>359.98439999999999</v>
      </c>
      <c r="J908">
        <v>-210.60230000000001</v>
      </c>
      <c r="K908">
        <v>1.1066119999999999</v>
      </c>
      <c r="L908">
        <v>366.18810000000002</v>
      </c>
      <c r="M908">
        <v>0.9639913</v>
      </c>
      <c r="N908">
        <v>0</v>
      </c>
      <c r="O908">
        <v>-0.26555260000000003</v>
      </c>
      <c r="P908">
        <v>0.920516</v>
      </c>
      <c r="Q908">
        <v>5.1029249999999998E-2</v>
      </c>
      <c r="R908">
        <v>-0.38735779999999997</v>
      </c>
      <c r="S908">
        <v>2.53363</v>
      </c>
      <c r="T908">
        <v>-0.31374340000000001</v>
      </c>
      <c r="U908">
        <v>-1.7803040000000001</v>
      </c>
      <c r="V908">
        <v>0.12952060000000001</v>
      </c>
      <c r="W908">
        <v>6.4030509999999999E-2</v>
      </c>
      <c r="X908">
        <v>0.98950720000000003</v>
      </c>
      <c r="Y908">
        <v>0.33660950000000001</v>
      </c>
      <c r="Z908">
        <v>9.9478199999999996E-3</v>
      </c>
      <c r="AA908">
        <v>0.94159179999999998</v>
      </c>
      <c r="AB908">
        <v>27</v>
      </c>
      <c r="AC908">
        <v>8.6760000000000108</v>
      </c>
      <c r="AD908">
        <v>-1.1066155438109999</v>
      </c>
      <c r="AE908">
        <v>-6.20370000000002</v>
      </c>
      <c r="AF908">
        <v>3.63759276005579</v>
      </c>
      <c r="AG908">
        <v>-1.1066155438109999</v>
      </c>
      <c r="AH908">
        <v>9.90538138834963</v>
      </c>
      <c r="AI908">
        <v>95.986766644386194</v>
      </c>
      <c r="AJ908">
        <v>69.835048676086302</v>
      </c>
      <c r="AK908">
        <v>10.6100546416348</v>
      </c>
      <c r="AL908">
        <v>86.328810491178203</v>
      </c>
      <c r="AM908">
        <v>82.542719949395405</v>
      </c>
      <c r="AN908">
        <v>0.99999999544353002</v>
      </c>
    </row>
    <row r="909" spans="1:40" x14ac:dyDescent="0.25">
      <c r="A909" t="str">
        <f>"20190312154522634"</f>
        <v>20190312154522634</v>
      </c>
      <c r="B909" t="str">
        <f>"1552376722626988"</f>
        <v>1552376722626988</v>
      </c>
      <c r="C909" t="s">
        <v>40</v>
      </c>
      <c r="D909">
        <v>4.4947860000000004</v>
      </c>
      <c r="E909">
        <v>0.5876266</v>
      </c>
      <c r="F909" t="s">
        <v>51</v>
      </c>
      <c r="G909">
        <v>-201.89699999999999</v>
      </c>
      <c r="H909" s="1">
        <v>-3.5325660000000002E-6</v>
      </c>
      <c r="I909">
        <v>359.96859999999998</v>
      </c>
      <c r="J909">
        <v>-210.3262</v>
      </c>
      <c r="K909">
        <v>1.1065769999999999</v>
      </c>
      <c r="L909">
        <v>366.10640000000001</v>
      </c>
      <c r="M909">
        <v>0.96267040000000004</v>
      </c>
      <c r="N909">
        <v>0</v>
      </c>
      <c r="O909">
        <v>-0.27030189999999998</v>
      </c>
      <c r="P909">
        <v>0.91750419999999999</v>
      </c>
      <c r="Q909">
        <v>4.9368820000000001E-2</v>
      </c>
      <c r="R909">
        <v>-0.39465030000000001</v>
      </c>
      <c r="S909">
        <v>2.5193629999999998</v>
      </c>
      <c r="T909">
        <v>-0.32026019999999999</v>
      </c>
      <c r="U909">
        <v>-1.799957</v>
      </c>
      <c r="V909">
        <v>0.13246179999999999</v>
      </c>
      <c r="W909">
        <v>6.2331610000000003E-2</v>
      </c>
      <c r="X909">
        <v>0.9892263</v>
      </c>
      <c r="Y909">
        <v>0.33934389999999998</v>
      </c>
      <c r="Z909">
        <v>1.05191E-2</v>
      </c>
      <c r="AA909">
        <v>0.94060359999999998</v>
      </c>
      <c r="AB909">
        <v>27</v>
      </c>
      <c r="AC909">
        <v>8.4291999999999803</v>
      </c>
      <c r="AD909">
        <v>-1.1065805325660001</v>
      </c>
      <c r="AE909">
        <v>-6.1378000000000199</v>
      </c>
      <c r="AF909">
        <v>3.5901824052742501</v>
      </c>
      <c r="AG909">
        <v>-1.1065805325660001</v>
      </c>
      <c r="AH909">
        <v>9.6657287458581198</v>
      </c>
      <c r="AI909">
        <v>96.125588332526505</v>
      </c>
      <c r="AJ909">
        <v>69.623280446847602</v>
      </c>
      <c r="AK909">
        <v>10.3701611543265</v>
      </c>
      <c r="AL909">
        <v>86.426345240909797</v>
      </c>
      <c r="AM909">
        <v>82.373208245223694</v>
      </c>
      <c r="AN909">
        <v>1.0000000153380599</v>
      </c>
    </row>
    <row r="910" spans="1:40" x14ac:dyDescent="0.25">
      <c r="A910" t="str">
        <f>"20190312154522656"</f>
        <v>20190312154522656</v>
      </c>
      <c r="B910" t="str">
        <f>"1552376722647484"</f>
        <v>1552376722647484</v>
      </c>
      <c r="C910" t="s">
        <v>40</v>
      </c>
      <c r="D910">
        <v>4.4795369999999997</v>
      </c>
      <c r="E910">
        <v>0.58758580000000005</v>
      </c>
      <c r="F910" t="s">
        <v>51</v>
      </c>
      <c r="G910">
        <v>-201.7705</v>
      </c>
      <c r="H910" s="1">
        <v>-3.4883460000000001E-6</v>
      </c>
      <c r="I910">
        <v>359.88099999999997</v>
      </c>
      <c r="J910">
        <v>-210.0659</v>
      </c>
      <c r="K910">
        <v>1.106538</v>
      </c>
      <c r="L910">
        <v>366.02789999999999</v>
      </c>
      <c r="M910">
        <v>0.96138259999999998</v>
      </c>
      <c r="N910">
        <v>0</v>
      </c>
      <c r="O910">
        <v>-0.27484740000000002</v>
      </c>
      <c r="P910">
        <v>0.91424039999999995</v>
      </c>
      <c r="Q910">
        <v>4.9536999999999998E-2</v>
      </c>
      <c r="R910">
        <v>-0.40213290000000002</v>
      </c>
      <c r="S910">
        <v>2.5035859999999999</v>
      </c>
      <c r="T910">
        <v>-0.32380910000000002</v>
      </c>
      <c r="U910">
        <v>-1.8216859999999999</v>
      </c>
      <c r="V910">
        <v>0.135881</v>
      </c>
      <c r="W910">
        <v>6.2451529999999998E-2</v>
      </c>
      <c r="X910">
        <v>0.98875489999999999</v>
      </c>
      <c r="Y910">
        <v>0.34304899999999999</v>
      </c>
      <c r="Z910">
        <v>1.0929110000000001E-2</v>
      </c>
      <c r="AA910">
        <v>0.93925389999999997</v>
      </c>
      <c r="AB910">
        <v>27</v>
      </c>
      <c r="AC910">
        <v>8.2954000000000008</v>
      </c>
      <c r="AD910">
        <v>-1.1065414883460001</v>
      </c>
      <c r="AE910">
        <v>-6.1469000000000102</v>
      </c>
      <c r="AF910">
        <v>3.5886995031776001</v>
      </c>
      <c r="AG910">
        <v>-1.1065414883460001</v>
      </c>
      <c r="AH910">
        <v>9.5557294175963392</v>
      </c>
      <c r="AI910">
        <v>96.187043124408802</v>
      </c>
      <c r="AJ910">
        <v>69.416094072694804</v>
      </c>
      <c r="AK910">
        <v>10.2671886557058</v>
      </c>
      <c r="AL910">
        <v>86.419461028729799</v>
      </c>
      <c r="AM910">
        <v>82.175063753555705</v>
      </c>
      <c r="AN910">
        <v>1.0000000460171701</v>
      </c>
    </row>
    <row r="911" spans="1:40" x14ac:dyDescent="0.25">
      <c r="A911" t="str">
        <f>"20190312154522677"</f>
        <v>20190312154522677</v>
      </c>
      <c r="B911" t="str">
        <f>"1552376722667004"</f>
        <v>1552376722667004</v>
      </c>
      <c r="C911" t="s">
        <v>40</v>
      </c>
      <c r="D911">
        <v>4.5044259999999996</v>
      </c>
      <c r="E911">
        <v>0.58751759999999997</v>
      </c>
      <c r="F911" t="s">
        <v>51</v>
      </c>
      <c r="G911">
        <v>-201.5027</v>
      </c>
      <c r="H911" s="1">
        <v>-3.3966359999999999E-6</v>
      </c>
      <c r="I911">
        <v>359.68689999999998</v>
      </c>
      <c r="J911">
        <v>-209.81229999999999</v>
      </c>
      <c r="K911">
        <v>1.1064959999999999</v>
      </c>
      <c r="L911">
        <v>365.95010000000002</v>
      </c>
      <c r="M911">
        <v>0.96008159999999998</v>
      </c>
      <c r="N911">
        <v>0</v>
      </c>
      <c r="O911">
        <v>-0.2793583</v>
      </c>
      <c r="P911">
        <v>0.91102369999999999</v>
      </c>
      <c r="Q911">
        <v>5.1686919999999997E-2</v>
      </c>
      <c r="R911">
        <v>-0.40910200000000002</v>
      </c>
      <c r="S911">
        <v>2.4883419999999998</v>
      </c>
      <c r="T911">
        <v>-0.32154690000000002</v>
      </c>
      <c r="U911">
        <v>-1.8426210000000001</v>
      </c>
      <c r="V911">
        <v>0.13885</v>
      </c>
      <c r="W911">
        <v>6.4552040000000005E-2</v>
      </c>
      <c r="X911">
        <v>0.98820730000000001</v>
      </c>
      <c r="Y911">
        <v>0.34650209999999998</v>
      </c>
      <c r="Z911">
        <v>1.1155119999999999E-2</v>
      </c>
      <c r="AA911">
        <v>0.93798289999999995</v>
      </c>
      <c r="AB911">
        <v>27</v>
      </c>
      <c r="AC911">
        <v>8.3095999999999801</v>
      </c>
      <c r="AD911">
        <v>-1.1064993966359999</v>
      </c>
      <c r="AE911">
        <v>-6.2632000000000403</v>
      </c>
      <c r="AF911">
        <v>3.6509180958714</v>
      </c>
      <c r="AG911">
        <v>-1.1064993966359999</v>
      </c>
      <c r="AH911">
        <v>9.6197794569885797</v>
      </c>
      <c r="AI911">
        <v>96.1379429619722</v>
      </c>
      <c r="AJ911">
        <v>69.217143620693705</v>
      </c>
      <c r="AK911">
        <v>10.348608633947601</v>
      </c>
      <c r="AL911">
        <v>86.298867010760304</v>
      </c>
      <c r="AM911">
        <v>82.001903496352497</v>
      </c>
      <c r="AN911">
        <v>0.99999997807072505</v>
      </c>
    </row>
    <row r="912" spans="1:40" x14ac:dyDescent="0.25">
      <c r="A912" t="str">
        <f>"20190312154522700"</f>
        <v>20190312154522700</v>
      </c>
      <c r="B912" t="str">
        <f>"1552376722687500"</f>
        <v>1552376722687500</v>
      </c>
      <c r="C912" t="s">
        <v>40</v>
      </c>
      <c r="D912">
        <v>4.4572190000000003</v>
      </c>
      <c r="E912">
        <v>0.5873604</v>
      </c>
      <c r="F912" t="s">
        <v>51</v>
      </c>
      <c r="G912">
        <v>-201.05160000000001</v>
      </c>
      <c r="H912" s="1">
        <v>-6.3570009999999997E-6</v>
      </c>
      <c r="I912">
        <v>359.35789999999997</v>
      </c>
      <c r="J912">
        <v>-209.5547</v>
      </c>
      <c r="K912">
        <v>1.1064339999999999</v>
      </c>
      <c r="L912">
        <v>365.86959999999999</v>
      </c>
      <c r="M912">
        <v>0.95870520000000004</v>
      </c>
      <c r="N912">
        <v>0</v>
      </c>
      <c r="O912">
        <v>-0.2840454</v>
      </c>
      <c r="P912">
        <v>0.90790459999999995</v>
      </c>
      <c r="Q912">
        <v>5.4296240000000003E-2</v>
      </c>
      <c r="R912">
        <v>-0.4156453</v>
      </c>
      <c r="S912">
        <v>2.474564</v>
      </c>
      <c r="T912">
        <v>-0.31254219999999999</v>
      </c>
      <c r="U912">
        <v>-1.8620300000000001</v>
      </c>
      <c r="V912">
        <v>0.14121</v>
      </c>
      <c r="W912">
        <v>6.71128E-2</v>
      </c>
      <c r="X912">
        <v>0.98770219999999997</v>
      </c>
      <c r="Y912">
        <v>0.34915559999999901</v>
      </c>
      <c r="Z912">
        <v>1.119797E-2</v>
      </c>
      <c r="AA912">
        <v>0.93699790000000005</v>
      </c>
      <c r="AB912">
        <v>27</v>
      </c>
      <c r="AC912">
        <v>8.5030999999999892</v>
      </c>
      <c r="AD912">
        <v>-1.106440357001</v>
      </c>
      <c r="AE912">
        <v>-6.51170000000001</v>
      </c>
      <c r="AF912">
        <v>3.7874991015538502</v>
      </c>
      <c r="AG912">
        <v>-1.106440357001</v>
      </c>
      <c r="AH912">
        <v>9.8969703921075194</v>
      </c>
      <c r="AI912">
        <v>95.960728187345396</v>
      </c>
      <c r="AJ912">
        <v>69.058512421416097</v>
      </c>
      <c r="AK912">
        <v>10.6545475103415</v>
      </c>
      <c r="AL912">
        <v>86.151827390353802</v>
      </c>
      <c r="AM912">
        <v>81.863662221688898</v>
      </c>
      <c r="AN912">
        <v>1.0000000139543399</v>
      </c>
    </row>
    <row r="913" spans="1:40" x14ac:dyDescent="0.25">
      <c r="A913" t="str">
        <f>"20190312154522723"</f>
        <v>20190312154522723</v>
      </c>
      <c r="B913" t="str">
        <f>"1552376722716780"</f>
        <v>1552376722716780</v>
      </c>
      <c r="C913" t="s">
        <v>40</v>
      </c>
      <c r="D913">
        <v>4.4893789999999996</v>
      </c>
      <c r="E913">
        <v>0.58714650000000002</v>
      </c>
      <c r="F913" t="s">
        <v>51</v>
      </c>
      <c r="G913">
        <v>-200.5761</v>
      </c>
      <c r="H913" s="1">
        <v>-6.44895999999999E-6</v>
      </c>
      <c r="I913">
        <v>359.0154</v>
      </c>
      <c r="J913">
        <v>-209.28620000000001</v>
      </c>
      <c r="K913">
        <v>1.1063449999999999</v>
      </c>
      <c r="L913">
        <v>365.78410000000002</v>
      </c>
      <c r="M913">
        <v>0.95720369999999999</v>
      </c>
      <c r="N913">
        <v>0</v>
      </c>
      <c r="O913">
        <v>-0.28906500000000002</v>
      </c>
      <c r="P913">
        <v>0.90433810000000003</v>
      </c>
      <c r="Q913">
        <v>5.6421520000000003E-2</v>
      </c>
      <c r="R913">
        <v>-0.42307210000000001</v>
      </c>
      <c r="S913">
        <v>2.4620359999999999</v>
      </c>
      <c r="T913">
        <v>-0.30339769999999999</v>
      </c>
      <c r="U913">
        <v>-1.879486</v>
      </c>
      <c r="V913">
        <v>0.14420250000000001</v>
      </c>
      <c r="W913">
        <v>6.9176520000000005E-2</v>
      </c>
      <c r="X913">
        <v>0.98712719999999998</v>
      </c>
      <c r="Y913">
        <v>0.35077760000000002</v>
      </c>
      <c r="Z913">
        <v>1.1303260000000001E-2</v>
      </c>
      <c r="AA913">
        <v>0.93639059999999996</v>
      </c>
      <c r="AB913">
        <v>27</v>
      </c>
      <c r="AC913">
        <v>8.7101000000000095</v>
      </c>
      <c r="AD913">
        <v>-1.1063514489599999</v>
      </c>
      <c r="AE913">
        <v>-6.7687000000000204</v>
      </c>
      <c r="AF913">
        <v>3.9221867535630901</v>
      </c>
      <c r="AG913">
        <v>-1.1063514489599999</v>
      </c>
      <c r="AH913">
        <v>10.192448881289399</v>
      </c>
      <c r="AI913">
        <v>95.784580004890699</v>
      </c>
      <c r="AJ913">
        <v>68.952626569693294</v>
      </c>
      <c r="AK913">
        <v>10.976956620855301</v>
      </c>
      <c r="AL913">
        <v>86.033309091950002</v>
      </c>
      <c r="AM913">
        <v>81.688848731199798</v>
      </c>
      <c r="AN913">
        <v>0.99999993045269697</v>
      </c>
    </row>
    <row r="914" spans="1:40" x14ac:dyDescent="0.25">
      <c r="A914" t="str">
        <f>"20190312154522745"</f>
        <v>20190312154522745</v>
      </c>
      <c r="B914" t="str">
        <f>"1552376722737276"</f>
        <v>1552376722737276</v>
      </c>
      <c r="C914" t="s">
        <v>40</v>
      </c>
      <c r="D914">
        <v>4.6412500000000003</v>
      </c>
      <c r="E914">
        <v>0.59577049999999998</v>
      </c>
      <c r="F914" t="s">
        <v>51</v>
      </c>
      <c r="G914">
        <v>-200.1157</v>
      </c>
      <c r="H914" s="1">
        <v>-6.496208E-6</v>
      </c>
      <c r="I914">
        <v>358.6687</v>
      </c>
      <c r="J914">
        <v>-209.0307</v>
      </c>
      <c r="K914">
        <v>1.1062529999999999</v>
      </c>
      <c r="L914">
        <v>365.7011</v>
      </c>
      <c r="M914">
        <v>0.95569970000000004</v>
      </c>
      <c r="N914">
        <v>0</v>
      </c>
      <c r="O914">
        <v>-0.29399920000000002</v>
      </c>
      <c r="P914">
        <v>0.90074529999999997</v>
      </c>
      <c r="Q914">
        <v>5.8213149999999998E-2</v>
      </c>
      <c r="R914">
        <v>-0.43042920000000001</v>
      </c>
      <c r="S914">
        <v>2.4473880000000001</v>
      </c>
      <c r="T914">
        <v>-0.29526049999999998</v>
      </c>
      <c r="U914">
        <v>-1.8989560000000001</v>
      </c>
      <c r="V914">
        <v>0.14722579999999999</v>
      </c>
      <c r="W914">
        <v>7.0901279999999997E-2</v>
      </c>
      <c r="X914">
        <v>0.98655839999999995</v>
      </c>
      <c r="Y914">
        <v>0.35333619999999999</v>
      </c>
      <c r="Z914">
        <v>1.136736E-2</v>
      </c>
      <c r="AA914">
        <v>0.93542740000000002</v>
      </c>
      <c r="AB914">
        <v>27</v>
      </c>
      <c r="AC914">
        <v>8.9149999999999903</v>
      </c>
      <c r="AD914">
        <v>-1.1062594962079999</v>
      </c>
      <c r="AE914">
        <v>-7.0323999999999902</v>
      </c>
      <c r="AF914">
        <v>4.0617214816099603</v>
      </c>
      <c r="AG914">
        <v>-1.1062594962079999</v>
      </c>
      <c r="AH914">
        <v>10.4890936808064</v>
      </c>
      <c r="AI914">
        <v>95.617044568410805</v>
      </c>
      <c r="AJ914">
        <v>68.831960699995903</v>
      </c>
      <c r="AK914">
        <v>11.3023217841227</v>
      </c>
      <c r="AL914">
        <v>85.934244415031102</v>
      </c>
      <c r="AM914">
        <v>81.512290191059606</v>
      </c>
      <c r="AN914">
        <v>0.99999995215091797</v>
      </c>
    </row>
    <row r="915" spans="1:40" x14ac:dyDescent="0.25">
      <c r="A915" t="str">
        <f>"20190312154522767"</f>
        <v>20190312154522767</v>
      </c>
      <c r="B915" t="str">
        <f>"1552376722756796"</f>
        <v>1552376722756796</v>
      </c>
      <c r="C915" t="s">
        <v>40</v>
      </c>
      <c r="D915">
        <v>4.5849549999999999</v>
      </c>
      <c r="E915">
        <v>0.6072187</v>
      </c>
      <c r="F915" t="s">
        <v>51</v>
      </c>
      <c r="G915">
        <v>-203.19649999999999</v>
      </c>
      <c r="H915" s="1">
        <v>-3.9783319999999997E-6</v>
      </c>
      <c r="I915">
        <v>360.9076</v>
      </c>
      <c r="J915">
        <v>-208.768</v>
      </c>
      <c r="K915">
        <v>1.106144</v>
      </c>
      <c r="L915">
        <v>365.6139</v>
      </c>
      <c r="M915">
        <v>0.95407019999999998</v>
      </c>
      <c r="N915">
        <v>0</v>
      </c>
      <c r="O915">
        <v>-0.29924400000000001</v>
      </c>
      <c r="P915">
        <v>0.89680040000000005</v>
      </c>
      <c r="Q915">
        <v>6.0716489999999998E-2</v>
      </c>
      <c r="R915">
        <v>-0.43824970000000002</v>
      </c>
      <c r="S915">
        <v>2.4128419999999999</v>
      </c>
      <c r="T915">
        <v>-0.45751330000000001</v>
      </c>
      <c r="U915">
        <v>-1.9824219999999999</v>
      </c>
      <c r="V915">
        <v>0.15048590000000001</v>
      </c>
      <c r="W915">
        <v>7.3331099999999996E-2</v>
      </c>
      <c r="X915">
        <v>0.98588869999999895</v>
      </c>
      <c r="Y915">
        <v>0.37366630000000001</v>
      </c>
      <c r="Z915">
        <v>1.6653859999999999E-2</v>
      </c>
      <c r="AA915">
        <v>0.92741370000000001</v>
      </c>
      <c r="AB915">
        <v>27</v>
      </c>
      <c r="AC915">
        <v>5.5715000000000101</v>
      </c>
      <c r="AD915">
        <v>-1.1061479783319901</v>
      </c>
      <c r="AE915">
        <v>-4.7062999999999899</v>
      </c>
      <c r="AF915">
        <v>2.7597070665622301</v>
      </c>
      <c r="AG915">
        <v>-1.1061479783319901</v>
      </c>
      <c r="AH915">
        <v>6.5734072328391804</v>
      </c>
      <c r="AI915">
        <v>98.819523528415999</v>
      </c>
      <c r="AJ915">
        <v>67.225922615966894</v>
      </c>
      <c r="AK915">
        <v>7.2145151667969998</v>
      </c>
      <c r="AL915">
        <v>85.794662674512196</v>
      </c>
      <c r="AM915">
        <v>81.321368194210095</v>
      </c>
      <c r="AN915">
        <v>0.99999999255685401</v>
      </c>
    </row>
    <row r="916" spans="1:40" x14ac:dyDescent="0.25">
      <c r="A916" t="str">
        <f>"20190312154522789"</f>
        <v>20190312154522789</v>
      </c>
      <c r="B916" t="str">
        <f>"1552376722787052"</f>
        <v>1552376722787052</v>
      </c>
      <c r="C916" t="s">
        <v>40</v>
      </c>
      <c r="D916">
        <v>4.583189</v>
      </c>
      <c r="E916">
        <v>0.62198719999999996</v>
      </c>
      <c r="F916" t="s">
        <v>51</v>
      </c>
      <c r="G916">
        <v>-202.86089999999999</v>
      </c>
      <c r="H916" s="1">
        <v>-3.9267099999999999E-6</v>
      </c>
      <c r="I916">
        <v>360.37869999999998</v>
      </c>
      <c r="J916">
        <v>-208.51570000000001</v>
      </c>
      <c r="K916">
        <v>1.106055</v>
      </c>
      <c r="L916">
        <v>365.52850000000001</v>
      </c>
      <c r="M916">
        <v>0.95243080000000002</v>
      </c>
      <c r="N916">
        <v>0</v>
      </c>
      <c r="O916">
        <v>-0.30442129999999901</v>
      </c>
      <c r="P916">
        <v>0.89286030000000005</v>
      </c>
      <c r="Q916">
        <v>6.2979380000000001E-2</v>
      </c>
      <c r="R916">
        <v>-0.44590849999999999</v>
      </c>
      <c r="S916">
        <v>2.3550719999999998</v>
      </c>
      <c r="T916">
        <v>-0.44100309999999998</v>
      </c>
      <c r="U916">
        <v>-2.0872190000000002</v>
      </c>
      <c r="V916">
        <v>0.153659299999999</v>
      </c>
      <c r="W916">
        <v>7.5523709999999994E-2</v>
      </c>
      <c r="X916">
        <v>0.98523349999999998</v>
      </c>
      <c r="Y916">
        <v>0.40295429999999999</v>
      </c>
      <c r="Z916">
        <v>1.450745E-2</v>
      </c>
      <c r="AA916">
        <v>0.9151051</v>
      </c>
      <c r="AB916">
        <v>27</v>
      </c>
      <c r="AC916">
        <v>5.6548000000000203</v>
      </c>
      <c r="AD916">
        <v>-1.1060589267100001</v>
      </c>
      <c r="AE916">
        <v>-5.1498000000000204</v>
      </c>
      <c r="AF916">
        <v>3.1184923224657601</v>
      </c>
      <c r="AG916">
        <v>-1.1060589267100001</v>
      </c>
      <c r="AH916">
        <v>6.8117651200419704</v>
      </c>
      <c r="AI916">
        <v>98.398391990830902</v>
      </c>
      <c r="AJ916">
        <v>65.401232505957907</v>
      </c>
      <c r="AK916">
        <v>7.5728795557075301</v>
      </c>
      <c r="AL916">
        <v>85.668686108154802</v>
      </c>
      <c r="AM916">
        <v>81.135431718379294</v>
      </c>
      <c r="AN916">
        <v>1.0000000303854499</v>
      </c>
    </row>
    <row r="917" spans="1:40" x14ac:dyDescent="0.25">
      <c r="A917" t="str">
        <f>"20190312154522811"</f>
        <v>20190312154522811</v>
      </c>
      <c r="B917" t="str">
        <f>"1552376722807548"</f>
        <v>1552376722807548</v>
      </c>
      <c r="C917" t="s">
        <v>40</v>
      </c>
      <c r="D917">
        <v>4.5607550000000003</v>
      </c>
      <c r="E917">
        <v>0.62638119999999997</v>
      </c>
      <c r="F917" t="s">
        <v>51</v>
      </c>
      <c r="G917">
        <v>-203.21440000000001</v>
      </c>
      <c r="H917" s="1">
        <v>-4.1003189999999998E-6</v>
      </c>
      <c r="I917">
        <v>360.39789999999999</v>
      </c>
      <c r="J917">
        <v>-208.2628</v>
      </c>
      <c r="K917">
        <v>1.1059730000000001</v>
      </c>
      <c r="L917">
        <v>365.44130000000001</v>
      </c>
      <c r="M917">
        <v>0.950708</v>
      </c>
      <c r="N917">
        <v>0</v>
      </c>
      <c r="O917">
        <v>-0.30975960000000002</v>
      </c>
      <c r="P917">
        <v>0.88873649999999904</v>
      </c>
      <c r="Q917">
        <v>6.5590389999999998E-2</v>
      </c>
      <c r="R917">
        <v>-0.4537021</v>
      </c>
      <c r="S917">
        <v>2.2878720000000001</v>
      </c>
      <c r="T917">
        <v>-0.47734140000000003</v>
      </c>
      <c r="U917">
        <v>-2.2142029999999999</v>
      </c>
      <c r="V917">
        <v>0.15685650000000001</v>
      </c>
      <c r="W917">
        <v>7.8062969999999995E-2</v>
      </c>
      <c r="X917">
        <v>0.9845315</v>
      </c>
      <c r="Y917">
        <v>0.4372008</v>
      </c>
      <c r="Z917">
        <v>1.3555680000000001E-2</v>
      </c>
      <c r="AA917">
        <v>0.8992618</v>
      </c>
      <c r="AB917">
        <v>27</v>
      </c>
      <c r="AC917">
        <v>5.0483999999999796</v>
      </c>
      <c r="AD917">
        <v>-1.105977100319</v>
      </c>
      <c r="AE917">
        <v>-5.0434000000000196</v>
      </c>
      <c r="AF917">
        <v>3.1555406658146001</v>
      </c>
      <c r="AG917">
        <v>-1.105977100319</v>
      </c>
      <c r="AH917">
        <v>6.2131974858124899</v>
      </c>
      <c r="AI917">
        <v>99.018131883409495</v>
      </c>
      <c r="AJ917">
        <v>63.075028360661499</v>
      </c>
      <c r="AK917">
        <v>7.0558093254952903</v>
      </c>
      <c r="AL917">
        <v>85.522766300707502</v>
      </c>
      <c r="AM917">
        <v>80.947662294760207</v>
      </c>
      <c r="AN917">
        <v>1.0000000316848501</v>
      </c>
    </row>
    <row r="918" spans="1:40" x14ac:dyDescent="0.25">
      <c r="A918" t="str">
        <f>"20190312154522834"</f>
        <v>20190312154522834</v>
      </c>
      <c r="B918" t="str">
        <f>"1552376722827068"</f>
        <v>1552376722827068</v>
      </c>
      <c r="C918" t="s">
        <v>40</v>
      </c>
      <c r="D918">
        <v>4.5806579999999997</v>
      </c>
      <c r="E918">
        <v>0.62898330000000002</v>
      </c>
      <c r="F918" t="s">
        <v>51</v>
      </c>
      <c r="G918">
        <v>-202.8125</v>
      </c>
      <c r="H918" s="1">
        <v>-3.9968609999999998E-6</v>
      </c>
      <c r="I918">
        <v>359.95240000000001</v>
      </c>
      <c r="J918">
        <v>-207.99700000000001</v>
      </c>
      <c r="K918">
        <v>1.1058749999999999</v>
      </c>
      <c r="L918">
        <v>365.34769999999997</v>
      </c>
      <c r="M918">
        <v>0.94879910000000001</v>
      </c>
      <c r="N918">
        <v>0</v>
      </c>
      <c r="O918">
        <v>-0.3155577</v>
      </c>
      <c r="P918">
        <v>0.88429570000000002</v>
      </c>
      <c r="Q918">
        <v>6.8812680000000001E-2</v>
      </c>
      <c r="R918">
        <v>-0.46182899999999999</v>
      </c>
      <c r="S918">
        <v>2.2517239999999998</v>
      </c>
      <c r="T918">
        <v>-0.45691470000000001</v>
      </c>
      <c r="U918">
        <v>-2.267639</v>
      </c>
      <c r="V918">
        <v>0.160004799999999</v>
      </c>
      <c r="W918">
        <v>8.1207710000000002E-2</v>
      </c>
      <c r="X918">
        <v>0.98377020000000004</v>
      </c>
      <c r="Y918">
        <v>0.4496059</v>
      </c>
      <c r="Z918">
        <v>1.283655E-2</v>
      </c>
      <c r="AA918">
        <v>0.89313480000000001</v>
      </c>
      <c r="AB918">
        <v>27</v>
      </c>
      <c r="AC918">
        <v>5.1845000000000097</v>
      </c>
      <c r="AD918">
        <v>-1.1058789968610001</v>
      </c>
      <c r="AE918">
        <v>-5.3952999999999598</v>
      </c>
      <c r="AF918">
        <v>3.4089391040474202</v>
      </c>
      <c r="AG918">
        <v>-1.1058789968610001</v>
      </c>
      <c r="AH918">
        <v>6.4806919994863303</v>
      </c>
      <c r="AI918">
        <v>98.588083940452407</v>
      </c>
      <c r="AJ918">
        <v>62.254971180519703</v>
      </c>
      <c r="AK918">
        <v>7.4056196879807503</v>
      </c>
      <c r="AL918">
        <v>85.342011768683804</v>
      </c>
      <c r="AM918">
        <v>80.762048397446407</v>
      </c>
      <c r="AN918">
        <v>1.0000000172972601</v>
      </c>
    </row>
    <row r="919" spans="1:40" x14ac:dyDescent="0.25">
      <c r="A919" t="str">
        <f>"20190312154522857"</f>
        <v>20190312154522857</v>
      </c>
      <c r="B919" t="str">
        <f>"1552376722847565"</f>
        <v>1552376722847565</v>
      </c>
      <c r="C919" t="s">
        <v>40</v>
      </c>
      <c r="D919">
        <v>4.6266939999999996</v>
      </c>
      <c r="E919">
        <v>0.63095649999999903</v>
      </c>
      <c r="F919" t="s">
        <v>51</v>
      </c>
      <c r="G919">
        <v>-202.4425</v>
      </c>
      <c r="H919" s="1">
        <v>-5.8606869999999999E-6</v>
      </c>
      <c r="I919">
        <v>359.57420000000002</v>
      </c>
      <c r="J919">
        <v>-207.7423</v>
      </c>
      <c r="K919">
        <v>1.105761</v>
      </c>
      <c r="L919">
        <v>365.25599999999997</v>
      </c>
      <c r="M919">
        <v>0.94686760000000003</v>
      </c>
      <c r="N919">
        <v>0</v>
      </c>
      <c r="O919">
        <v>-0.32130589999999998</v>
      </c>
      <c r="P919">
        <v>0.8800287</v>
      </c>
      <c r="Q919">
        <v>7.3019619999999993E-2</v>
      </c>
      <c r="R919">
        <v>-0.46927350000000001</v>
      </c>
      <c r="S919">
        <v>2.2212070000000002</v>
      </c>
      <c r="T919">
        <v>-0.44223119999999999</v>
      </c>
      <c r="U919">
        <v>-2.3087460000000002</v>
      </c>
      <c r="V919">
        <v>0.16251940000000001</v>
      </c>
      <c r="W919">
        <v>8.5339869999999998E-2</v>
      </c>
      <c r="X919">
        <v>0.98300790000000005</v>
      </c>
      <c r="Y919">
        <v>0.45833859999999899</v>
      </c>
      <c r="Z919">
        <v>1.2575569999999999E-2</v>
      </c>
      <c r="AA919">
        <v>0.888688699999999</v>
      </c>
      <c r="AB919">
        <v>27</v>
      </c>
      <c r="AC919">
        <v>5.2998000000000003</v>
      </c>
      <c r="AD919">
        <v>-1.1057668606869999</v>
      </c>
      <c r="AE919">
        <v>-5.6817999999999502</v>
      </c>
      <c r="AF919">
        <v>3.60442853098326</v>
      </c>
      <c r="AG919">
        <v>-1.1057668606869999</v>
      </c>
      <c r="AH919">
        <v>6.70863041692128</v>
      </c>
      <c r="AI919">
        <v>98.261457035897195</v>
      </c>
      <c r="AJ919">
        <v>61.751647688058597</v>
      </c>
      <c r="AK919">
        <v>7.6954757784038996</v>
      </c>
      <c r="AL919">
        <v>85.104430950466593</v>
      </c>
      <c r="AM919">
        <v>80.612282924367406</v>
      </c>
      <c r="AN919">
        <v>0.99999999012519303</v>
      </c>
    </row>
    <row r="920" spans="1:40" x14ac:dyDescent="0.25">
      <c r="A920" t="str">
        <f>"20190312154522878"</f>
        <v>20190312154522878</v>
      </c>
      <c r="B920" t="str">
        <f>"1552376722867084"</f>
        <v>1552376722867084</v>
      </c>
      <c r="C920" t="s">
        <v>40</v>
      </c>
      <c r="D920">
        <v>4.5868099999999998</v>
      </c>
      <c r="E920">
        <v>0.63192899999999996</v>
      </c>
      <c r="F920" t="s">
        <v>51</v>
      </c>
      <c r="G920">
        <v>-202.2329</v>
      </c>
      <c r="H920">
        <v>3.8345169999999998E-2</v>
      </c>
      <c r="I920">
        <v>359.375</v>
      </c>
      <c r="J920">
        <v>-207.4956</v>
      </c>
      <c r="K920">
        <v>1.1056319999999999</v>
      </c>
      <c r="L920">
        <v>365.1653</v>
      </c>
      <c r="M920">
        <v>0.94489259999999997</v>
      </c>
      <c r="N920">
        <v>0</v>
      </c>
      <c r="O920">
        <v>-0.32706809999999997</v>
      </c>
      <c r="P920">
        <v>0.87587780000000004</v>
      </c>
      <c r="Q920">
        <v>7.6978229999999995E-2</v>
      </c>
      <c r="R920">
        <v>-0.47635379999999999</v>
      </c>
      <c r="S920">
        <v>2.1948699999999999</v>
      </c>
      <c r="T920">
        <v>-0.42524580000000001</v>
      </c>
      <c r="U920">
        <v>-2.3429259999999998</v>
      </c>
      <c r="V920">
        <v>0.16464189999999901</v>
      </c>
      <c r="W920">
        <v>8.9224090000000006E-2</v>
      </c>
      <c r="X920">
        <v>0.9823096</v>
      </c>
      <c r="Y920">
        <v>0.46481729999999999</v>
      </c>
      <c r="Z920">
        <v>1.241285E-2</v>
      </c>
      <c r="AA920">
        <v>0.88531970000000004</v>
      </c>
      <c r="AB920">
        <v>27</v>
      </c>
      <c r="AC920">
        <v>5.2626999999999899</v>
      </c>
      <c r="AD920">
        <v>-1.06728683</v>
      </c>
      <c r="AE920">
        <v>-5.7903000000000002</v>
      </c>
      <c r="AF920">
        <v>3.6818310425783598</v>
      </c>
      <c r="AG920">
        <v>-1.06728683</v>
      </c>
      <c r="AH920">
        <v>6.7417759351984703</v>
      </c>
      <c r="AI920">
        <v>97.910045301491095</v>
      </c>
      <c r="AJ920">
        <v>61.360082514313603</v>
      </c>
      <c r="AK920">
        <v>7.7554189934526603</v>
      </c>
      <c r="AL920">
        <v>84.881028972502804</v>
      </c>
      <c r="AM920">
        <v>80.485268501134499</v>
      </c>
      <c r="AN920">
        <v>1.00000002186204</v>
      </c>
    </row>
    <row r="921" spans="1:40" x14ac:dyDescent="0.25">
      <c r="A921" t="str">
        <f>"20190312154522901"</f>
        <v>20190312154522901</v>
      </c>
      <c r="B921" t="str">
        <f>"1552376722897341"</f>
        <v>1552376722897341</v>
      </c>
      <c r="C921" t="s">
        <v>40</v>
      </c>
      <c r="D921">
        <v>4.6052730000000004</v>
      </c>
      <c r="E921">
        <v>0.63328989999999996</v>
      </c>
      <c r="F921" t="s">
        <v>51</v>
      </c>
      <c r="G921">
        <v>-202.1463</v>
      </c>
      <c r="H921">
        <v>6.7969989999999994E-2</v>
      </c>
      <c r="I921">
        <v>359.33260000000001</v>
      </c>
      <c r="J921">
        <v>-207.2431</v>
      </c>
      <c r="K921">
        <v>1.1054839999999999</v>
      </c>
      <c r="L921">
        <v>365.07060000000001</v>
      </c>
      <c r="M921">
        <v>0.94275799999999998</v>
      </c>
      <c r="N921">
        <v>0</v>
      </c>
      <c r="O921">
        <v>-0.33317069999999999</v>
      </c>
      <c r="P921">
        <v>0.87164920000000001</v>
      </c>
      <c r="Q921">
        <v>8.0691490000000005E-2</v>
      </c>
      <c r="R921">
        <v>-0.4834426</v>
      </c>
      <c r="S921">
        <v>2.1733549999999999</v>
      </c>
      <c r="T921">
        <v>-0.42159489999999999</v>
      </c>
      <c r="U921">
        <v>-2.3697810000000001</v>
      </c>
      <c r="V921">
        <v>0.16644879999999901</v>
      </c>
      <c r="W921">
        <v>9.2860540000000005E-2</v>
      </c>
      <c r="X921">
        <v>0.98166779999999998</v>
      </c>
      <c r="Y921">
        <v>0.46850639999999999</v>
      </c>
      <c r="Z921">
        <v>1.288076E-2</v>
      </c>
      <c r="AA921">
        <v>0.88336619999999999</v>
      </c>
      <c r="AB921">
        <v>27</v>
      </c>
      <c r="AC921">
        <v>5.0968</v>
      </c>
      <c r="AD921">
        <v>-1.03751401</v>
      </c>
      <c r="AE921">
        <v>-5.7380000000000004</v>
      </c>
      <c r="AF921">
        <v>3.6452046127966198</v>
      </c>
      <c r="AG921">
        <v>-1.03751401</v>
      </c>
      <c r="AH921">
        <v>6.5969111468811104</v>
      </c>
      <c r="AI921">
        <v>97.837827936128704</v>
      </c>
      <c r="AJ921">
        <v>61.076613556116797</v>
      </c>
      <c r="AK921">
        <v>7.6081002010978001</v>
      </c>
      <c r="AL921">
        <v>84.671806482410702</v>
      </c>
      <c r="AM921">
        <v>80.376616910613606</v>
      </c>
      <c r="AN921">
        <v>0.99999997623368497</v>
      </c>
    </row>
    <row r="922" spans="1:40" x14ac:dyDescent="0.25">
      <c r="A922" t="str">
        <f>"20190312154522924"</f>
        <v>20190312154522924</v>
      </c>
      <c r="B922" t="str">
        <f>"1552376722916861"</f>
        <v>1552376722916861</v>
      </c>
      <c r="C922" t="s">
        <v>40</v>
      </c>
      <c r="D922">
        <v>4.5950290000000003</v>
      </c>
      <c r="E922">
        <v>0.63370519999999997</v>
      </c>
      <c r="F922" t="s">
        <v>51</v>
      </c>
      <c r="G922">
        <v>-202.08770000000001</v>
      </c>
      <c r="H922">
        <v>6.4031939999999996E-2</v>
      </c>
      <c r="I922">
        <v>359.32060000000001</v>
      </c>
      <c r="J922">
        <v>-206.9838</v>
      </c>
      <c r="K922">
        <v>1.105318</v>
      </c>
      <c r="L922">
        <v>364.971</v>
      </c>
      <c r="M922">
        <v>0.94043149999999998</v>
      </c>
      <c r="N922">
        <v>0</v>
      </c>
      <c r="O922">
        <v>-0.33968110000000001</v>
      </c>
      <c r="P922">
        <v>0.86736159999999995</v>
      </c>
      <c r="Q922">
        <v>8.2687090000000005E-2</v>
      </c>
      <c r="R922">
        <v>-0.49076140000000001</v>
      </c>
      <c r="S922">
        <v>2.1512449999999999</v>
      </c>
      <c r="T922">
        <v>-0.43457459999999998</v>
      </c>
      <c r="U922">
        <v>-2.3993229999999999</v>
      </c>
      <c r="V922">
        <v>0.16805149999999999</v>
      </c>
      <c r="W922">
        <v>9.4778940000000006E-2</v>
      </c>
      <c r="X922">
        <v>0.98121130000000001</v>
      </c>
      <c r="Y922">
        <v>0.47228619999999999</v>
      </c>
      <c r="Z922">
        <v>1.390916E-2</v>
      </c>
      <c r="AA922">
        <v>0.8813356</v>
      </c>
      <c r="AB922">
        <v>27</v>
      </c>
      <c r="AC922">
        <v>4.8960999999999899</v>
      </c>
      <c r="AD922">
        <v>-1.04128606</v>
      </c>
      <c r="AE922">
        <v>-5.6503999999999897</v>
      </c>
      <c r="AF922">
        <v>3.58160356225194</v>
      </c>
      <c r="AG922">
        <v>-1.04128606</v>
      </c>
      <c r="AH922">
        <v>6.4003031475156202</v>
      </c>
      <c r="AI922">
        <v>98.080569224918605</v>
      </c>
      <c r="AJ922">
        <v>60.768665029772301</v>
      </c>
      <c r="AK922">
        <v>7.4078364666064598</v>
      </c>
      <c r="AL922">
        <v>84.561403318584297</v>
      </c>
      <c r="AM922">
        <v>80.281279507460496</v>
      </c>
      <c r="AN922">
        <v>0.99999998468373097</v>
      </c>
    </row>
    <row r="923" spans="1:40" x14ac:dyDescent="0.25">
      <c r="A923" t="str">
        <f>"20190312154522946"</f>
        <v>20190312154522946</v>
      </c>
      <c r="B923" t="str">
        <f>"1552376722937356"</f>
        <v>1552376722937356</v>
      </c>
      <c r="C923" t="s">
        <v>40</v>
      </c>
      <c r="D923">
        <v>4.6568019999999999</v>
      </c>
      <c r="E923">
        <v>0.63383040000000002</v>
      </c>
      <c r="F923" t="s">
        <v>51</v>
      </c>
      <c r="G923">
        <v>-201.92500000000001</v>
      </c>
      <c r="H923">
        <v>7.9987150000000007E-2</v>
      </c>
      <c r="I923">
        <v>359.2192</v>
      </c>
      <c r="J923">
        <v>-206.73570000000001</v>
      </c>
      <c r="K923">
        <v>1.1051580000000001</v>
      </c>
      <c r="L923">
        <v>364.87329999999997</v>
      </c>
      <c r="M923">
        <v>0.93806469999999997</v>
      </c>
      <c r="N923">
        <v>0</v>
      </c>
      <c r="O923">
        <v>-0.346163</v>
      </c>
      <c r="P923">
        <v>0.86304110000000001</v>
      </c>
      <c r="Q923">
        <v>8.360186E-2</v>
      </c>
      <c r="R923">
        <v>-0.49816769999999999</v>
      </c>
      <c r="S923">
        <v>2.1297760000000001</v>
      </c>
      <c r="T923">
        <v>-0.43167499999999998</v>
      </c>
      <c r="U923">
        <v>-2.42157</v>
      </c>
      <c r="V923">
        <v>0.1697612</v>
      </c>
      <c r="W923">
        <v>9.5617690000000005E-2</v>
      </c>
      <c r="X923">
        <v>0.98083560000000003</v>
      </c>
      <c r="Y923">
        <v>0.4746765</v>
      </c>
      <c r="Z923">
        <v>1.456932E-2</v>
      </c>
      <c r="AA923">
        <v>0.88003980000000004</v>
      </c>
      <c r="AB923">
        <v>27</v>
      </c>
      <c r="AC923">
        <v>4.81069999999999</v>
      </c>
      <c r="AD923">
        <v>-1.0251708500000001</v>
      </c>
      <c r="AE923">
        <v>-5.6540999999999704</v>
      </c>
      <c r="AF923">
        <v>3.5709029137195101</v>
      </c>
      <c r="AG923">
        <v>-1.0251708500000001</v>
      </c>
      <c r="AH923">
        <v>6.3495681746374499</v>
      </c>
      <c r="AI923">
        <v>98.010477297179705</v>
      </c>
      <c r="AJ923">
        <v>60.647245044191401</v>
      </c>
      <c r="AK923">
        <v>7.3565847303806002</v>
      </c>
      <c r="AL923">
        <v>84.513127536749593</v>
      </c>
      <c r="AM923">
        <v>80.180631737973798</v>
      </c>
      <c r="AN923">
        <v>1.0000000409468599</v>
      </c>
    </row>
    <row r="924" spans="1:40" x14ac:dyDescent="0.25">
      <c r="A924" t="str">
        <f>"20190312154522968"</f>
        <v>20190312154522968</v>
      </c>
      <c r="B924" t="str">
        <f>"1552376722956877"</f>
        <v>1552376722956877</v>
      </c>
      <c r="C924" t="s">
        <v>40</v>
      </c>
      <c r="D924">
        <v>4.7350490000000001</v>
      </c>
      <c r="E924">
        <v>0.63382740000000004</v>
      </c>
      <c r="F924" t="s">
        <v>51</v>
      </c>
      <c r="G924">
        <v>-201.73859999999999</v>
      </c>
      <c r="H924">
        <v>7.9987150000000007E-2</v>
      </c>
      <c r="I924">
        <v>359.0849</v>
      </c>
      <c r="J924">
        <v>-206.48240000000001</v>
      </c>
      <c r="K924">
        <v>1.1050009999999999</v>
      </c>
      <c r="L924">
        <v>364.7713</v>
      </c>
      <c r="M924">
        <v>0.93551779999999995</v>
      </c>
      <c r="N924">
        <v>0</v>
      </c>
      <c r="O924">
        <v>-0.3529873</v>
      </c>
      <c r="P924">
        <v>0.85870389999999996</v>
      </c>
      <c r="Q924">
        <v>8.4102880000000005E-2</v>
      </c>
      <c r="R924">
        <v>-0.50552419999999998</v>
      </c>
      <c r="S924">
        <v>2.1082920000000001</v>
      </c>
      <c r="T924">
        <v>-0.43252639999999998</v>
      </c>
      <c r="U924">
        <v>-2.4421689999999998</v>
      </c>
      <c r="V924">
        <v>0.17105860000000001</v>
      </c>
      <c r="W924">
        <v>9.6054829999999994E-2</v>
      </c>
      <c r="X924">
        <v>0.98056739999999998</v>
      </c>
      <c r="Y924">
        <v>0.47641020000000001</v>
      </c>
      <c r="Z924">
        <v>1.545667E-2</v>
      </c>
      <c r="AA924">
        <v>0.87908729999999902</v>
      </c>
      <c r="AB924">
        <v>27</v>
      </c>
      <c r="AC924">
        <v>4.7438000000000198</v>
      </c>
      <c r="AD924">
        <v>-1.0250138499999999</v>
      </c>
      <c r="AE924">
        <v>-5.6863999999999901</v>
      </c>
      <c r="AF924">
        <v>3.5770706220205</v>
      </c>
      <c r="AG924">
        <v>-1.0250138499999999</v>
      </c>
      <c r="AH924">
        <v>6.3246283764470803</v>
      </c>
      <c r="AI924">
        <v>98.029603301766699</v>
      </c>
      <c r="AJ924">
        <v>60.508454908870803</v>
      </c>
      <c r="AK924">
        <v>7.3380523115997001</v>
      </c>
      <c r="AL924">
        <v>84.487965218434994</v>
      </c>
      <c r="AM924">
        <v>80.104412046194895</v>
      </c>
      <c r="AN924">
        <v>1.0000000004715199</v>
      </c>
    </row>
    <row r="925" spans="1:40" x14ac:dyDescent="0.25">
      <c r="A925" t="str">
        <f>"20190312154522992"</f>
        <v>20190312154522992</v>
      </c>
      <c r="B925" t="str">
        <f>"1552376722977372"</f>
        <v>1552376722977372</v>
      </c>
      <c r="C925" t="s">
        <v>40</v>
      </c>
      <c r="D925">
        <v>4.5915489999999997</v>
      </c>
      <c r="E925">
        <v>0.63391519999999901</v>
      </c>
      <c r="F925" t="s">
        <v>51</v>
      </c>
      <c r="G925">
        <v>-201.51480000000001</v>
      </c>
      <c r="H925">
        <v>7.9987180000000005E-2</v>
      </c>
      <c r="I925">
        <v>358.9126</v>
      </c>
      <c r="J925">
        <v>-206.2312</v>
      </c>
      <c r="K925">
        <v>1.104857</v>
      </c>
      <c r="L925">
        <v>364.66770000000002</v>
      </c>
      <c r="M925">
        <v>0.93285260000000003</v>
      </c>
      <c r="N925">
        <v>0</v>
      </c>
      <c r="O925">
        <v>-0.35997109999999999</v>
      </c>
      <c r="P925">
        <v>0.85459300000000005</v>
      </c>
      <c r="Q925">
        <v>8.3786330000000006E-2</v>
      </c>
      <c r="R925">
        <v>-0.51249529999999999</v>
      </c>
      <c r="S925">
        <v>2.086884</v>
      </c>
      <c r="T925">
        <v>-0.43060619999999999</v>
      </c>
      <c r="U925">
        <v>-2.4612430000000001</v>
      </c>
      <c r="V925">
        <v>0.1717264</v>
      </c>
      <c r="W925">
        <v>9.5688400000000007E-2</v>
      </c>
      <c r="X925">
        <v>0.98048650000000004</v>
      </c>
      <c r="Y925">
        <v>0.47769980000000001</v>
      </c>
      <c r="Z925">
        <v>1.63062E-2</v>
      </c>
      <c r="AA925">
        <v>0.87837180000000004</v>
      </c>
      <c r="AB925">
        <v>27</v>
      </c>
      <c r="AC925">
        <v>4.7163999999999904</v>
      </c>
      <c r="AD925">
        <v>-1.0248698199999999</v>
      </c>
      <c r="AE925">
        <v>-5.7551000000000201</v>
      </c>
      <c r="AF925">
        <v>3.6029198775564599</v>
      </c>
      <c r="AG925">
        <v>-1.0248698199999999</v>
      </c>
      <c r="AH925">
        <v>6.3515478401280197</v>
      </c>
      <c r="AI925">
        <v>97.989245146697698</v>
      </c>
      <c r="AJ925">
        <v>60.4358954695739</v>
      </c>
      <c r="AK925">
        <v>7.37384226556774</v>
      </c>
      <c r="AL925">
        <v>84.509057272931997</v>
      </c>
      <c r="AM925">
        <v>80.065745155713302</v>
      </c>
      <c r="AN925">
        <v>1.00000000151688</v>
      </c>
    </row>
    <row r="926" spans="1:40" x14ac:dyDescent="0.25">
      <c r="A926" t="str">
        <f>"20190312154523014"</f>
        <v>20190312154523014</v>
      </c>
      <c r="B926" t="str">
        <f>"1552376723007637"</f>
        <v>1552376723007637</v>
      </c>
      <c r="C926" t="s">
        <v>40</v>
      </c>
      <c r="D926">
        <v>4.6033280000000003</v>
      </c>
      <c r="E926">
        <v>0.63383279999999997</v>
      </c>
      <c r="F926" t="s">
        <v>51</v>
      </c>
      <c r="G926">
        <v>-201.35300000000001</v>
      </c>
      <c r="H926">
        <v>7.9987169999999996E-2</v>
      </c>
      <c r="I926">
        <v>358.8143</v>
      </c>
      <c r="J926">
        <v>-205.982</v>
      </c>
      <c r="K926">
        <v>1.1047209999999901</v>
      </c>
      <c r="L926">
        <v>364.56259999999997</v>
      </c>
      <c r="M926">
        <v>0.93006529999999998</v>
      </c>
      <c r="N926">
        <v>0</v>
      </c>
      <c r="O926">
        <v>-0.3671121</v>
      </c>
      <c r="P926">
        <v>0.85005129999999995</v>
      </c>
      <c r="Q926">
        <v>8.4846000000000005E-2</v>
      </c>
      <c r="R926">
        <v>-0.51982159999999999</v>
      </c>
      <c r="S926">
        <v>2.0661930000000002</v>
      </c>
      <c r="T926">
        <v>-0.43408989999999997</v>
      </c>
      <c r="U926">
        <v>-2.4792480000000001</v>
      </c>
      <c r="V926">
        <v>0.1727235</v>
      </c>
      <c r="W926">
        <v>9.6691760000000002E-2</v>
      </c>
      <c r="X926">
        <v>0.98021290000000005</v>
      </c>
      <c r="Y926">
        <v>0.47846070000000002</v>
      </c>
      <c r="Z926">
        <v>1.742747E-2</v>
      </c>
      <c r="AA926">
        <v>0.87793600000000005</v>
      </c>
      <c r="AB926">
        <v>27</v>
      </c>
      <c r="AC926">
        <v>4.6290000000000102</v>
      </c>
      <c r="AD926">
        <v>-1.02473382999999</v>
      </c>
      <c r="AE926">
        <v>-5.7482999999999702</v>
      </c>
      <c r="AF926">
        <v>3.5783277199479802</v>
      </c>
      <c r="AG926">
        <v>-1.02473382999999</v>
      </c>
      <c r="AH926">
        <v>6.29485596051477</v>
      </c>
      <c r="AI926">
        <v>98.055096043365396</v>
      </c>
      <c r="AJ926">
        <v>60.383818921738303</v>
      </c>
      <c r="AK926">
        <v>7.3129829930968002</v>
      </c>
      <c r="AL926">
        <v>84.451301245169603</v>
      </c>
      <c r="AM926">
        <v>80.006490043904904</v>
      </c>
      <c r="AN926">
        <v>1.00000001661527</v>
      </c>
    </row>
    <row r="927" spans="1:40" x14ac:dyDescent="0.25">
      <c r="A927" t="str">
        <f>"20190312154523026"</f>
        <v>20190312154523026</v>
      </c>
      <c r="B927" t="str">
        <f>"1552376723017388"</f>
        <v>1552376723017388</v>
      </c>
      <c r="C927" t="s">
        <v>40</v>
      </c>
      <c r="D927">
        <v>4.6024099999999999</v>
      </c>
      <c r="E927">
        <v>0.63373990000000002</v>
      </c>
      <c r="F927" t="s">
        <v>51</v>
      </c>
      <c r="G927">
        <v>-201.1447</v>
      </c>
      <c r="H927">
        <v>7.9987210000000003E-2</v>
      </c>
      <c r="I927">
        <v>358.65460000000002</v>
      </c>
      <c r="J927">
        <v>-205.85040000000001</v>
      </c>
      <c r="K927">
        <v>1.104646</v>
      </c>
      <c r="L927">
        <v>364.50619999999998</v>
      </c>
      <c r="M927">
        <v>0.92853719999999995</v>
      </c>
      <c r="N927">
        <v>0</v>
      </c>
      <c r="O927">
        <v>-0.37095909999999999</v>
      </c>
      <c r="P927">
        <v>0.84774179999999999</v>
      </c>
      <c r="Q927">
        <v>8.5162940000000006E-2</v>
      </c>
      <c r="R927">
        <v>-0.52352749999999904</v>
      </c>
      <c r="S927">
        <v>2.0450439999999999</v>
      </c>
      <c r="T927">
        <v>-0.4332242</v>
      </c>
      <c r="U927">
        <v>-2.4977109999999998</v>
      </c>
      <c r="V927">
        <v>0.17297939999999901</v>
      </c>
      <c r="W927">
        <v>9.6983659999999999E-2</v>
      </c>
      <c r="X927">
        <v>0.98013890000000004</v>
      </c>
      <c r="Y927">
        <v>0.4824541</v>
      </c>
      <c r="Z927">
        <v>1.7653809999999999E-2</v>
      </c>
      <c r="AA927">
        <v>0.8757433</v>
      </c>
      <c r="AB927">
        <v>27</v>
      </c>
      <c r="AC927">
        <v>4.7057000000000002</v>
      </c>
      <c r="AD927">
        <v>-1.0246587899999999</v>
      </c>
      <c r="AE927">
        <v>-5.8515999999999604</v>
      </c>
      <c r="AF927">
        <v>3.6207683843787701</v>
      </c>
      <c r="AG927">
        <v>-1.0246587899999999</v>
      </c>
      <c r="AH927">
        <v>6.4212341611058497</v>
      </c>
      <c r="AI927">
        <v>97.913333020471697</v>
      </c>
      <c r="AJ927">
        <v>60.582469625483697</v>
      </c>
      <c r="AK927">
        <v>7.44258943385928</v>
      </c>
      <c r="AL927">
        <v>84.434497446988004</v>
      </c>
      <c r="AM927">
        <v>79.991242862350504</v>
      </c>
      <c r="AN927">
        <v>0.99999998321228201</v>
      </c>
    </row>
    <row r="928" spans="1:40" x14ac:dyDescent="0.25">
      <c r="A928" t="str">
        <f>"20190312154523038"</f>
        <v>20190312154523038</v>
      </c>
      <c r="B928" t="str">
        <f>"1552376723027148"</f>
        <v>1552376723027148</v>
      </c>
      <c r="C928" t="s">
        <v>40</v>
      </c>
      <c r="D928">
        <v>4.5939249999999996</v>
      </c>
      <c r="E928">
        <v>0.63364140000000002</v>
      </c>
      <c r="F928" t="s">
        <v>51</v>
      </c>
      <c r="G928">
        <v>-201.0258</v>
      </c>
      <c r="H928">
        <v>7.9987249999999996E-2</v>
      </c>
      <c r="I928">
        <v>358.56310000000002</v>
      </c>
      <c r="J928">
        <v>-205.70179999999999</v>
      </c>
      <c r="K928">
        <v>1.104555</v>
      </c>
      <c r="L928">
        <v>364.44150000000002</v>
      </c>
      <c r="M928">
        <v>0.92674979999999996</v>
      </c>
      <c r="N928">
        <v>0</v>
      </c>
      <c r="O928">
        <v>-0.37540190000000001</v>
      </c>
      <c r="P928">
        <v>0.84505219999999903</v>
      </c>
      <c r="Q928">
        <v>8.5070679999999996E-2</v>
      </c>
      <c r="R928">
        <v>-0.52787280000000003</v>
      </c>
      <c r="S928">
        <v>2.0345</v>
      </c>
      <c r="T928">
        <v>-0.43209120000000001</v>
      </c>
      <c r="U928">
        <v>-2.5061650000000002</v>
      </c>
      <c r="V928">
        <v>0.17333399999999999</v>
      </c>
      <c r="W928">
        <v>9.6861680000000006E-2</v>
      </c>
      <c r="X928">
        <v>0.98008839999999997</v>
      </c>
      <c r="Y928">
        <v>0.48196810000000001</v>
      </c>
      <c r="Z928">
        <v>1.8297979999999998E-2</v>
      </c>
      <c r="AA928">
        <v>0.87599769999999899</v>
      </c>
      <c r="AB928">
        <v>27</v>
      </c>
      <c r="AC928">
        <v>4.6759999999999797</v>
      </c>
      <c r="AD928">
        <v>-1.0245677500000001</v>
      </c>
      <c r="AE928">
        <v>-5.8783999999999903</v>
      </c>
      <c r="AF928">
        <v>3.6253591964174898</v>
      </c>
      <c r="AG928">
        <v>-1.0245677500000001</v>
      </c>
      <c r="AH928">
        <v>6.4214505946626499</v>
      </c>
      <c r="AI928">
        <v>97.910049117908002</v>
      </c>
      <c r="AJ928">
        <v>60.552225019067698</v>
      </c>
      <c r="AK928">
        <v>7.44499806024705</v>
      </c>
      <c r="AL928">
        <v>84.441519909268806</v>
      </c>
      <c r="AM928">
        <v>79.9706352056795</v>
      </c>
      <c r="AN928">
        <v>1.0000000662114801</v>
      </c>
    </row>
    <row r="929" spans="1:40" x14ac:dyDescent="0.25">
      <c r="A929" t="str">
        <f>"20190312154523059"</f>
        <v>20190312154523059</v>
      </c>
      <c r="B929" t="str">
        <f>"1552376723046668"</f>
        <v>1552376723046668</v>
      </c>
      <c r="C929" t="s">
        <v>40</v>
      </c>
      <c r="D929">
        <v>4.5949010000000001</v>
      </c>
      <c r="E929">
        <v>0.63347949999999997</v>
      </c>
      <c r="F929" t="s">
        <v>51</v>
      </c>
      <c r="G929">
        <v>-200.91419999999999</v>
      </c>
      <c r="H929">
        <v>7.9987269999999999E-2</v>
      </c>
      <c r="I929">
        <v>358.48180000000002</v>
      </c>
      <c r="J929">
        <v>-205.48480000000001</v>
      </c>
      <c r="K929">
        <v>1.1044160000000001</v>
      </c>
      <c r="L929">
        <v>364.34530000000001</v>
      </c>
      <c r="M929">
        <v>0.92403919999999995</v>
      </c>
      <c r="N929">
        <v>0</v>
      </c>
      <c r="O929">
        <v>-0.38202469999999999</v>
      </c>
      <c r="P929">
        <v>0.840900599999999</v>
      </c>
      <c r="Q929">
        <v>8.4334640000000002E-2</v>
      </c>
      <c r="R929">
        <v>-0.53457869999999996</v>
      </c>
      <c r="S929">
        <v>2.0216219999999998</v>
      </c>
      <c r="T929">
        <v>-0.43264029999999998</v>
      </c>
      <c r="U929">
        <v>-2.5165709999999999</v>
      </c>
      <c r="V929">
        <v>0.1741113</v>
      </c>
      <c r="W929">
        <v>9.607665E-2</v>
      </c>
      <c r="X929">
        <v>0.98002789999999995</v>
      </c>
      <c r="Y929">
        <v>0.4802515</v>
      </c>
      <c r="Z929">
        <v>1.942528E-2</v>
      </c>
      <c r="AA929">
        <v>0.87691569999999996</v>
      </c>
      <c r="AB929">
        <v>27</v>
      </c>
      <c r="AC929">
        <v>4.5706000000000104</v>
      </c>
      <c r="AD929">
        <v>-1.0244287299999999</v>
      </c>
      <c r="AE929">
        <v>-5.8634999999999797</v>
      </c>
      <c r="AF929">
        <v>3.60397476741581</v>
      </c>
      <c r="AG929">
        <v>-1.0244287299999999</v>
      </c>
      <c r="AH929">
        <v>6.3436405201777797</v>
      </c>
      <c r="AI929">
        <v>97.992717965632707</v>
      </c>
      <c r="AJ929">
        <v>60.398051270727997</v>
      </c>
      <c r="AK929">
        <v>7.3674869118486201</v>
      </c>
      <c r="AL929">
        <v>84.486709633869907</v>
      </c>
      <c r="AM929">
        <v>79.925969457437802</v>
      </c>
      <c r="AN929">
        <v>1.00000007612065</v>
      </c>
    </row>
    <row r="930" spans="1:40" x14ac:dyDescent="0.25">
      <c r="A930" t="str">
        <f>"20190312154523080"</f>
        <v>20190312154523080</v>
      </c>
      <c r="B930" t="str">
        <f>"1552376723067165"</f>
        <v>1552376723067165</v>
      </c>
      <c r="C930" t="s">
        <v>40</v>
      </c>
      <c r="D930">
        <v>4.6089669999999998</v>
      </c>
      <c r="E930">
        <v>0.63340090000000004</v>
      </c>
      <c r="F930" t="s">
        <v>51</v>
      </c>
      <c r="G930">
        <v>-200.78540000000001</v>
      </c>
      <c r="H930">
        <v>7.9987290000000003E-2</v>
      </c>
      <c r="I930">
        <v>358.40320000000003</v>
      </c>
      <c r="J930">
        <v>-205.2518</v>
      </c>
      <c r="K930">
        <v>1.10426</v>
      </c>
      <c r="L930">
        <v>364.2398</v>
      </c>
      <c r="M930">
        <v>0.92098610000000003</v>
      </c>
      <c r="N930">
        <v>0</v>
      </c>
      <c r="O930">
        <v>-0.38932620000000001</v>
      </c>
      <c r="P930">
        <v>0.836207699999999</v>
      </c>
      <c r="Q930">
        <v>8.3077709999999999E-2</v>
      </c>
      <c r="R930">
        <v>-0.54208400000000001</v>
      </c>
      <c r="S930">
        <v>2.0020449999999999</v>
      </c>
      <c r="T930">
        <v>-0.43642570000000003</v>
      </c>
      <c r="U930">
        <v>-2.5314640000000002</v>
      </c>
      <c r="V930">
        <v>0.17509720000000001</v>
      </c>
      <c r="W930">
        <v>9.4762780000000005E-2</v>
      </c>
      <c r="X930">
        <v>0.97998010000000002</v>
      </c>
      <c r="Y930">
        <v>0.48003079999999998</v>
      </c>
      <c r="Z930">
        <v>2.070052E-2</v>
      </c>
      <c r="AA930">
        <v>0.87700739999999999</v>
      </c>
      <c r="AB930">
        <v>27</v>
      </c>
      <c r="AC930">
        <v>4.4663999999999904</v>
      </c>
      <c r="AD930">
        <v>-1.02427271</v>
      </c>
      <c r="AE930">
        <v>-5.8365999999999696</v>
      </c>
      <c r="AF930">
        <v>3.5676277160553198</v>
      </c>
      <c r="AG930">
        <v>-1.02427271</v>
      </c>
      <c r="AH930">
        <v>6.2648207258094404</v>
      </c>
      <c r="AI930">
        <v>98.086120347646002</v>
      </c>
      <c r="AJ930">
        <v>60.339783311507801</v>
      </c>
      <c r="AK930">
        <v>7.2818322441092</v>
      </c>
      <c r="AL930">
        <v>84.562333516278599</v>
      </c>
      <c r="AM930">
        <v>79.869619796853698</v>
      </c>
      <c r="AN930">
        <v>1.00000000515858</v>
      </c>
    </row>
    <row r="931" spans="1:40" x14ac:dyDescent="0.25">
      <c r="A931" t="str">
        <f>"20190312154523093"</f>
        <v>20190312154523093</v>
      </c>
      <c r="B931" t="str">
        <f>"1552376723076925"</f>
        <v>1552376723076925</v>
      </c>
      <c r="C931" t="s">
        <v>40</v>
      </c>
      <c r="D931">
        <v>4.617623</v>
      </c>
      <c r="E931">
        <v>0.6333415</v>
      </c>
      <c r="F931" t="s">
        <v>51</v>
      </c>
      <c r="G931">
        <v>-200.30500000000001</v>
      </c>
      <c r="H931" s="1">
        <v>-6.1610620000000004E-6</v>
      </c>
      <c r="I931">
        <v>357.86810000000003</v>
      </c>
      <c r="J931">
        <v>-205.10900000000001</v>
      </c>
      <c r="K931">
        <v>1.10416</v>
      </c>
      <c r="L931">
        <v>364.1737</v>
      </c>
      <c r="M931">
        <v>0.91903170000000001</v>
      </c>
      <c r="N931">
        <v>0</v>
      </c>
      <c r="O931">
        <v>-0.39391720000000002</v>
      </c>
      <c r="P931">
        <v>0.83348799999999901</v>
      </c>
      <c r="Q931">
        <v>8.2399699999999895E-2</v>
      </c>
      <c r="R931">
        <v>-0.54635940000000005</v>
      </c>
      <c r="S931">
        <v>1.979034</v>
      </c>
      <c r="T931">
        <v>-0.4417741</v>
      </c>
      <c r="U931">
        <v>-2.5490719999999998</v>
      </c>
      <c r="V931">
        <v>0.1752118</v>
      </c>
      <c r="W931">
        <v>9.4058329999999996E-2</v>
      </c>
      <c r="X931">
        <v>0.98002750000000005</v>
      </c>
      <c r="Y931">
        <v>0.48350650000000001</v>
      </c>
      <c r="Z931">
        <v>2.13823E-2</v>
      </c>
      <c r="AA931">
        <v>0.87507959999999996</v>
      </c>
      <c r="AB931">
        <v>26</v>
      </c>
      <c r="AC931">
        <v>4.8040000000000003</v>
      </c>
      <c r="AD931">
        <v>-1.1041661610619999</v>
      </c>
      <c r="AE931">
        <v>-6.3055999999999699</v>
      </c>
      <c r="AF931">
        <v>3.8287928033004599</v>
      </c>
      <c r="AG931">
        <v>-1.1041661610619999</v>
      </c>
      <c r="AH931">
        <v>6.7683201469900203</v>
      </c>
      <c r="AI931">
        <v>98.081541743611993</v>
      </c>
      <c r="AJ931">
        <v>60.503453247314901</v>
      </c>
      <c r="AK931">
        <v>7.8542341990795501</v>
      </c>
      <c r="AL931">
        <v>84.602876714775604</v>
      </c>
      <c r="AM931">
        <v>79.863607091614696</v>
      </c>
      <c r="AN931">
        <v>1.0000000225289301</v>
      </c>
    </row>
    <row r="932" spans="1:40" x14ac:dyDescent="0.25">
      <c r="A932" t="str">
        <f>"20190312154523108"</f>
        <v>20190312154523108</v>
      </c>
      <c r="B932" t="str">
        <f>"1552376723097421"</f>
        <v>1552376723097421</v>
      </c>
      <c r="C932" t="s">
        <v>40</v>
      </c>
      <c r="D932">
        <v>4.558103</v>
      </c>
      <c r="E932">
        <v>0.63311490000000004</v>
      </c>
      <c r="F932" t="s">
        <v>51</v>
      </c>
      <c r="G932">
        <v>-200.22909999999999</v>
      </c>
      <c r="H932" s="1">
        <v>-6.1729669999999997E-6</v>
      </c>
      <c r="I932">
        <v>357.82319999999999</v>
      </c>
      <c r="J932">
        <v>-204.95179999999999</v>
      </c>
      <c r="K932">
        <v>1.104052</v>
      </c>
      <c r="L932">
        <v>364.1001</v>
      </c>
      <c r="M932">
        <v>0.91681979999999996</v>
      </c>
      <c r="N932">
        <v>0</v>
      </c>
      <c r="O932">
        <v>-0.3990377</v>
      </c>
      <c r="P932">
        <v>0.83021929999999999</v>
      </c>
      <c r="Q932">
        <v>8.1873150000000006E-2</v>
      </c>
      <c r="R932">
        <v>-0.55139179999999999</v>
      </c>
      <c r="S932">
        <v>1.9661249999999999</v>
      </c>
      <c r="T932">
        <v>-0.44487349999999998</v>
      </c>
      <c r="U932">
        <v>-2.558624</v>
      </c>
      <c r="V932">
        <v>0.17566999999999999</v>
      </c>
      <c r="W932">
        <v>9.349673E-2</v>
      </c>
      <c r="X932">
        <v>0.97999919999999996</v>
      </c>
      <c r="Y932">
        <v>0.48300850000000001</v>
      </c>
      <c r="Z932">
        <v>2.2351119999999999E-2</v>
      </c>
      <c r="AA932">
        <v>0.87533030000000001</v>
      </c>
      <c r="AB932">
        <v>26</v>
      </c>
      <c r="AC932">
        <v>4.7226999999999997</v>
      </c>
      <c r="AD932">
        <v>-1.104058172967</v>
      </c>
      <c r="AE932">
        <v>-6.2769000000000101</v>
      </c>
      <c r="AF932">
        <v>3.7956747991601798</v>
      </c>
      <c r="AG932">
        <v>-1.104058172967</v>
      </c>
      <c r="AH932">
        <v>6.7028886553367304</v>
      </c>
      <c r="AI932">
        <v>98.156581470363193</v>
      </c>
      <c r="AJ932">
        <v>60.478229423607601</v>
      </c>
      <c r="AK932">
        <v>7.7816969843419601</v>
      </c>
      <c r="AL932">
        <v>84.635196382634504</v>
      </c>
      <c r="AM932">
        <v>79.837363607961294</v>
      </c>
      <c r="AN932">
        <v>1.0000000097106601</v>
      </c>
    </row>
    <row r="933" spans="1:40" x14ac:dyDescent="0.25">
      <c r="A933" t="str">
        <f>"20190312154523125"</f>
        <v>20190312154523125</v>
      </c>
      <c r="B933" t="str">
        <f>"1552376723116950"</f>
        <v>1552376723116950</v>
      </c>
      <c r="C933" t="s">
        <v>40</v>
      </c>
      <c r="D933">
        <v>4.5929869999999999</v>
      </c>
      <c r="E933">
        <v>0.63294019999999995</v>
      </c>
      <c r="F933" t="s">
        <v>51</v>
      </c>
      <c r="G933">
        <v>-200.13730000000001</v>
      </c>
      <c r="H933" s="1">
        <v>-6.1846510000000004E-6</v>
      </c>
      <c r="I933">
        <v>357.76080000000002</v>
      </c>
      <c r="J933">
        <v>-204.7628</v>
      </c>
      <c r="K933">
        <v>1.1039219999999901</v>
      </c>
      <c r="L933">
        <v>364.00990000000002</v>
      </c>
      <c r="M933">
        <v>0.9140604</v>
      </c>
      <c r="N933">
        <v>0</v>
      </c>
      <c r="O933">
        <v>-0.40531729999999999</v>
      </c>
      <c r="P933">
        <v>0.82620439999999995</v>
      </c>
      <c r="Q933">
        <v>8.0634590000000006E-2</v>
      </c>
      <c r="R933">
        <v>-0.55757009999999996</v>
      </c>
      <c r="S933">
        <v>1.951279</v>
      </c>
      <c r="T933">
        <v>-0.44746469999999999</v>
      </c>
      <c r="U933">
        <v>-2.5692439999999999</v>
      </c>
      <c r="V933">
        <v>0.17621889999999901</v>
      </c>
      <c r="W933">
        <v>9.2218620000000001E-2</v>
      </c>
      <c r="X933">
        <v>0.98002180000000005</v>
      </c>
      <c r="Y933">
        <v>0.48199890000000001</v>
      </c>
      <c r="Z933">
        <v>2.35251E-2</v>
      </c>
      <c r="AA933">
        <v>0.87585590000000002</v>
      </c>
      <c r="AB933">
        <v>26</v>
      </c>
      <c r="AC933">
        <v>4.6254999999999802</v>
      </c>
      <c r="AD933">
        <v>-1.1039281846509901</v>
      </c>
      <c r="AE933">
        <v>-6.2490999999999897</v>
      </c>
      <c r="AF933">
        <v>3.7618236264448202</v>
      </c>
      <c r="AG933">
        <v>-1.1039281846509901</v>
      </c>
      <c r="AH933">
        <v>6.6279442041266803</v>
      </c>
      <c r="AI933">
        <v>98.242071178243407</v>
      </c>
      <c r="AJ933">
        <v>60.422047181800899</v>
      </c>
      <c r="AK933">
        <v>7.7006245724851299</v>
      </c>
      <c r="AL933">
        <v>84.708744690183806</v>
      </c>
      <c r="AM933">
        <v>79.806504347333302</v>
      </c>
      <c r="AN933">
        <v>1.0000000515335701</v>
      </c>
    </row>
    <row r="934" spans="1:40" x14ac:dyDescent="0.25">
      <c r="A934" t="str">
        <f>"20190312154523148"</f>
        <v>20190312154523148</v>
      </c>
      <c r="B934" t="str">
        <f>"1552376723137436"</f>
        <v>1552376723137436</v>
      </c>
      <c r="C934" t="s">
        <v>40</v>
      </c>
      <c r="D934">
        <v>4.6030720000000001</v>
      </c>
      <c r="E934">
        <v>0.63276580000000004</v>
      </c>
      <c r="F934" t="s">
        <v>51</v>
      </c>
      <c r="G934">
        <v>-200.04679999999999</v>
      </c>
      <c r="H934" s="1">
        <v>-6.1985619999999996E-6</v>
      </c>
      <c r="I934">
        <v>357.70650000000001</v>
      </c>
      <c r="J934">
        <v>-204.5172</v>
      </c>
      <c r="K934">
        <v>1.1037790000000001</v>
      </c>
      <c r="L934">
        <v>363.89</v>
      </c>
      <c r="M934">
        <v>0.91030949999999999</v>
      </c>
      <c r="N934">
        <v>0</v>
      </c>
      <c r="O934">
        <v>-0.41367219999999999</v>
      </c>
      <c r="P934">
        <v>0.82073600000000002</v>
      </c>
      <c r="Q934">
        <v>7.9795240000000003E-2</v>
      </c>
      <c r="R934">
        <v>-0.56570759999999998</v>
      </c>
      <c r="S934">
        <v>1.9322509999999999</v>
      </c>
      <c r="T934">
        <v>-0.45231009999999999</v>
      </c>
      <c r="U934">
        <v>-2.5826720000000001</v>
      </c>
      <c r="V934">
        <v>0.1769135</v>
      </c>
      <c r="W934">
        <v>9.1334490000000004E-2</v>
      </c>
      <c r="X934">
        <v>0.97997939999999994</v>
      </c>
      <c r="Y934">
        <v>0.48035529999999999</v>
      </c>
      <c r="Z934">
        <v>2.520787E-2</v>
      </c>
      <c r="AA934">
        <v>0.87671169999999998</v>
      </c>
      <c r="AB934">
        <v>26</v>
      </c>
      <c r="AC934">
        <v>4.4704000000000104</v>
      </c>
      <c r="AD934">
        <v>-1.103785198562</v>
      </c>
      <c r="AE934">
        <v>-6.18349999999998</v>
      </c>
      <c r="AF934">
        <v>3.7025381261470498</v>
      </c>
      <c r="AG934">
        <v>-1.103785198562</v>
      </c>
      <c r="AH934">
        <v>6.4922325422454001</v>
      </c>
      <c r="AI934">
        <v>98.401114889149099</v>
      </c>
      <c r="AJ934">
        <v>60.303768635594999</v>
      </c>
      <c r="AK934">
        <v>7.5548801262976504</v>
      </c>
      <c r="AL934">
        <v>84.759616033134904</v>
      </c>
      <c r="AM934">
        <v>79.766738736237002</v>
      </c>
      <c r="AN934">
        <v>0.99999999998508404</v>
      </c>
    </row>
    <row r="935" spans="1:40" x14ac:dyDescent="0.25">
      <c r="A935" t="str">
        <f>"20190312154523159"</f>
        <v>20190312154523159</v>
      </c>
      <c r="B935" t="str">
        <f>"1552376723147197"</f>
        <v>1552376723147197</v>
      </c>
      <c r="C935" t="s">
        <v>40</v>
      </c>
      <c r="D935">
        <v>4.6001770000000004</v>
      </c>
      <c r="E935">
        <v>0.63261230000000002</v>
      </c>
      <c r="F935" t="s">
        <v>51</v>
      </c>
      <c r="G935">
        <v>-199.91480000000001</v>
      </c>
      <c r="H935" s="1">
        <v>-6.1717279999999996E-6</v>
      </c>
      <c r="I935">
        <v>357.6164</v>
      </c>
      <c r="J935">
        <v>-204.38390000000001</v>
      </c>
      <c r="K935">
        <v>1.1037090000000001</v>
      </c>
      <c r="L935">
        <v>363.8236</v>
      </c>
      <c r="M935">
        <v>0.90820089999999998</v>
      </c>
      <c r="N935">
        <v>0</v>
      </c>
      <c r="O935">
        <v>-0.41828100000000001</v>
      </c>
      <c r="P935">
        <v>0.81771050000000001</v>
      </c>
      <c r="Q935">
        <v>7.9472860000000006E-2</v>
      </c>
      <c r="R935">
        <v>-0.57011780000000001</v>
      </c>
      <c r="S935">
        <v>1.907516</v>
      </c>
      <c r="T935">
        <v>-0.45747529999999997</v>
      </c>
      <c r="U935">
        <v>-2.6001280000000002</v>
      </c>
      <c r="V935">
        <v>0.17721909999999999</v>
      </c>
      <c r="W935">
        <v>9.0991180000000005E-2</v>
      </c>
      <c r="X935">
        <v>0.9799561</v>
      </c>
      <c r="Y935">
        <v>0.48411799999999999</v>
      </c>
      <c r="Z935">
        <v>2.5930600000000002E-2</v>
      </c>
      <c r="AA935">
        <v>0.87461840000000002</v>
      </c>
      <c r="AB935">
        <v>26</v>
      </c>
      <c r="AC935">
        <v>4.4690999999999903</v>
      </c>
      <c r="AD935">
        <v>-1.103715171728</v>
      </c>
      <c r="AE935">
        <v>-6.2072000000000003</v>
      </c>
      <c r="AF935">
        <v>3.6915753017717199</v>
      </c>
      <c r="AG935">
        <v>-1.103715171728</v>
      </c>
      <c r="AH935">
        <v>6.52013217882556</v>
      </c>
      <c r="AI935">
        <v>98.379765976070104</v>
      </c>
      <c r="AJ935">
        <v>60.482282900697498</v>
      </c>
      <c r="AK935">
        <v>7.5735090293938496</v>
      </c>
      <c r="AL935">
        <v>84.7793683976263</v>
      </c>
      <c r="AM935">
        <v>79.749197742060701</v>
      </c>
      <c r="AN935">
        <v>0.99999998108490595</v>
      </c>
    </row>
    <row r="936" spans="1:40" x14ac:dyDescent="0.25">
      <c r="A936" t="str">
        <f>"20190312154523173"</f>
        <v>20190312154523173</v>
      </c>
      <c r="B936" t="str">
        <f>"1552376723156957"</f>
        <v>1552376723156957</v>
      </c>
      <c r="C936" t="s">
        <v>40</v>
      </c>
      <c r="D936">
        <v>4.5544799999999999</v>
      </c>
      <c r="E936">
        <v>0.63247919999999902</v>
      </c>
      <c r="F936" t="s">
        <v>51</v>
      </c>
      <c r="G936">
        <v>-199.83240000000001</v>
      </c>
      <c r="H936" s="1">
        <v>-6.1390290000000002E-6</v>
      </c>
      <c r="I936">
        <v>357.55720000000002</v>
      </c>
      <c r="J936">
        <v>-204.24889999999999</v>
      </c>
      <c r="K936">
        <v>1.1036490000000001</v>
      </c>
      <c r="L936">
        <v>363.75529999999998</v>
      </c>
      <c r="M936">
        <v>0.90600709999999995</v>
      </c>
      <c r="N936">
        <v>0</v>
      </c>
      <c r="O936">
        <v>-0.42301139999999998</v>
      </c>
      <c r="P936">
        <v>0.81443809999999905</v>
      </c>
      <c r="Q936">
        <v>7.9058409999999996E-2</v>
      </c>
      <c r="R936">
        <v>-0.57483969999999995</v>
      </c>
      <c r="S936">
        <v>1.8946989999999999</v>
      </c>
      <c r="T936">
        <v>-0.45945659999999999</v>
      </c>
      <c r="U936">
        <v>-2.6085820000000002</v>
      </c>
      <c r="V936">
        <v>0.17777000000000001</v>
      </c>
      <c r="W936">
        <v>9.0554300000000004E-2</v>
      </c>
      <c r="X936">
        <v>0.97989680000000001</v>
      </c>
      <c r="Y936">
        <v>0.4837494</v>
      </c>
      <c r="Z936">
        <v>2.682621E-2</v>
      </c>
      <c r="AA936">
        <v>0.87479530000000005</v>
      </c>
      <c r="AB936">
        <v>26</v>
      </c>
      <c r="AC936">
        <v>4.4164999999999797</v>
      </c>
      <c r="AD936">
        <v>-1.1036551390289999</v>
      </c>
      <c r="AE936">
        <v>-6.1980999999999504</v>
      </c>
      <c r="AF936">
        <v>3.67050301415179</v>
      </c>
      <c r="AG936">
        <v>-1.1036551390289999</v>
      </c>
      <c r="AH936">
        <v>6.4875233407955202</v>
      </c>
      <c r="AI936">
        <v>98.422263374242206</v>
      </c>
      <c r="AJ936">
        <v>60.499739685615097</v>
      </c>
      <c r="AK936">
        <v>7.5351580036631702</v>
      </c>
      <c r="AL936">
        <v>84.804503625360198</v>
      </c>
      <c r="AM936">
        <v>79.717402050512803</v>
      </c>
      <c r="AN936">
        <v>0.99999999639936499</v>
      </c>
    </row>
    <row r="937" spans="1:40" x14ac:dyDescent="0.25">
      <c r="A937" t="str">
        <f>"20190312154523193"</f>
        <v>20190312154523193</v>
      </c>
      <c r="B937" t="str">
        <f>"1552376723177452"</f>
        <v>1552376723177452</v>
      </c>
      <c r="C937" t="s">
        <v>40</v>
      </c>
      <c r="D937">
        <v>4.5399419999999999</v>
      </c>
      <c r="E937">
        <v>0.6321601</v>
      </c>
      <c r="F937" t="s">
        <v>51</v>
      </c>
      <c r="G937">
        <v>-199.74979999999999</v>
      </c>
      <c r="H937" s="1">
        <v>-6.1028939999999999E-6</v>
      </c>
      <c r="I937">
        <v>357.48779999999999</v>
      </c>
      <c r="J937">
        <v>-204.0472</v>
      </c>
      <c r="K937">
        <v>1.1035569999999999</v>
      </c>
      <c r="L937">
        <v>363.65170000000001</v>
      </c>
      <c r="M937">
        <v>0.90263099999999996</v>
      </c>
      <c r="N937">
        <v>0</v>
      </c>
      <c r="O937">
        <v>-0.43016749999999998</v>
      </c>
      <c r="P937">
        <v>0.80935029999999997</v>
      </c>
      <c r="Q937">
        <v>7.8217720000000004E-2</v>
      </c>
      <c r="R937">
        <v>-0.58209469999999996</v>
      </c>
      <c r="S937">
        <v>1.8798980000000001</v>
      </c>
      <c r="T937">
        <v>-0.4611517</v>
      </c>
      <c r="U937">
        <v>-2.6188349999999998</v>
      </c>
      <c r="V937">
        <v>0.1787445</v>
      </c>
      <c r="W937">
        <v>8.967812E-2</v>
      </c>
      <c r="X937">
        <v>0.97980009999999995</v>
      </c>
      <c r="Y937">
        <v>0.48177700000000001</v>
      </c>
      <c r="Z937">
        <v>2.8221610000000001E-2</v>
      </c>
      <c r="AA937">
        <v>0.87583929999999999</v>
      </c>
      <c r="AB937">
        <v>26</v>
      </c>
      <c r="AC937">
        <v>4.2973999999999997</v>
      </c>
      <c r="AD937">
        <v>-1.1035631028939901</v>
      </c>
      <c r="AE937">
        <v>-6.1639000000000097</v>
      </c>
      <c r="AF937">
        <v>3.6370710977934699</v>
      </c>
      <c r="AG937">
        <v>-1.1035631028939901</v>
      </c>
      <c r="AH937">
        <v>6.3932714507614898</v>
      </c>
      <c r="AI937">
        <v>98.532670727088103</v>
      </c>
      <c r="AJ937">
        <v>60.3648654456046</v>
      </c>
      <c r="AK937">
        <v>7.4377454605273696</v>
      </c>
      <c r="AL937">
        <v>84.854910146415307</v>
      </c>
      <c r="AM937">
        <v>79.6612487983991</v>
      </c>
      <c r="AN937">
        <v>0.99999999872349699</v>
      </c>
    </row>
    <row r="938" spans="1:40" x14ac:dyDescent="0.25">
      <c r="A938" t="str">
        <f>"20190312154523205"</f>
        <v>20190312154523205</v>
      </c>
      <c r="B938" t="str">
        <f>"1552376723196973"</f>
        <v>1552376723196973</v>
      </c>
      <c r="C938" t="s">
        <v>40</v>
      </c>
      <c r="D938">
        <v>4.533741</v>
      </c>
      <c r="E938">
        <v>0.63182859999999996</v>
      </c>
      <c r="F938" t="s">
        <v>51</v>
      </c>
      <c r="G938">
        <v>-199.6225</v>
      </c>
      <c r="H938" s="1">
        <v>-6.0464559999999899E-6</v>
      </c>
      <c r="I938">
        <v>357.37860000000001</v>
      </c>
      <c r="J938">
        <v>-203.9092</v>
      </c>
      <c r="K938">
        <v>1.10349599999999</v>
      </c>
      <c r="L938">
        <v>363.57990000000001</v>
      </c>
      <c r="M938">
        <v>0.90025540000000004</v>
      </c>
      <c r="N938">
        <v>0</v>
      </c>
      <c r="O938">
        <v>-0.43511630000000001</v>
      </c>
      <c r="P938">
        <v>0.80617240000000001</v>
      </c>
      <c r="Q938">
        <v>7.7335479999999998E-2</v>
      </c>
      <c r="R938">
        <v>-0.58660469999999998</v>
      </c>
      <c r="S938">
        <v>1.8574679999999999</v>
      </c>
      <c r="T938">
        <v>-0.46327420000000002</v>
      </c>
      <c r="U938">
        <v>-2.6334529999999998</v>
      </c>
      <c r="V938">
        <v>0.1787977</v>
      </c>
      <c r="W938">
        <v>8.8784290000000002E-2</v>
      </c>
      <c r="X938">
        <v>0.97987179999999996</v>
      </c>
      <c r="Y938">
        <v>0.48424440000000002</v>
      </c>
      <c r="Z938">
        <v>2.8960039999999999E-2</v>
      </c>
      <c r="AA938">
        <v>0.87445339999999905</v>
      </c>
      <c r="AB938">
        <v>26</v>
      </c>
      <c r="AC938">
        <v>4.28669999999999</v>
      </c>
      <c r="AD938">
        <v>-1.1035020464559999</v>
      </c>
      <c r="AE938">
        <v>-6.2012999999999998</v>
      </c>
      <c r="AF938">
        <v>3.6399468354976001</v>
      </c>
      <c r="AG938">
        <v>-1.1035020464559999</v>
      </c>
      <c r="AH938">
        <v>6.4205427318624899</v>
      </c>
      <c r="AI938">
        <v>98.503575079009096</v>
      </c>
      <c r="AJ938">
        <v>60.4501459184673</v>
      </c>
      <c r="AK938">
        <v>7.4625932961306303</v>
      </c>
      <c r="AL938">
        <v>84.906327980981501</v>
      </c>
      <c r="AM938">
        <v>79.658978459199005</v>
      </c>
      <c r="AN938">
        <v>1.00000000605566</v>
      </c>
    </row>
    <row r="939" spans="1:40" x14ac:dyDescent="0.25">
      <c r="A939" t="str">
        <f>"20190312154523219"</f>
        <v>20190312154523219</v>
      </c>
      <c r="B939" t="str">
        <f>"1552376723206733"</f>
        <v>1552376723206733</v>
      </c>
      <c r="C939" t="s">
        <v>40</v>
      </c>
      <c r="D939">
        <v>4.5316890000000001</v>
      </c>
      <c r="E939">
        <v>0.63164900000000002</v>
      </c>
      <c r="F939" t="s">
        <v>51</v>
      </c>
      <c r="G939">
        <v>-199.54589999999999</v>
      </c>
      <c r="H939" s="1">
        <v>-6.0179289999999998E-6</v>
      </c>
      <c r="I939">
        <v>357.32909999999998</v>
      </c>
      <c r="J939">
        <v>-203.75980000000001</v>
      </c>
      <c r="K939">
        <v>1.1034280000000001</v>
      </c>
      <c r="L939">
        <v>363.50060000000002</v>
      </c>
      <c r="M939">
        <v>0.89760779999999996</v>
      </c>
      <c r="N939">
        <v>0</v>
      </c>
      <c r="O939">
        <v>-0.4405521</v>
      </c>
      <c r="P939">
        <v>0.80246960000000001</v>
      </c>
      <c r="Q939">
        <v>7.6348050000000001E-2</v>
      </c>
      <c r="R939">
        <v>-0.59178839999999999</v>
      </c>
      <c r="S939">
        <v>1.8439179999999999</v>
      </c>
      <c r="T939">
        <v>-0.46633930000000001</v>
      </c>
      <c r="U939">
        <v>-2.6415709999999999</v>
      </c>
      <c r="V939">
        <v>0.17914349999999901</v>
      </c>
      <c r="W939">
        <v>8.7779720000000006E-2</v>
      </c>
      <c r="X939">
        <v>0.97989919999999997</v>
      </c>
      <c r="Y939">
        <v>0.4832726</v>
      </c>
      <c r="Z939">
        <v>3.0115679999999999E-2</v>
      </c>
      <c r="AA939">
        <v>0.87495179999999995</v>
      </c>
      <c r="AB939">
        <v>26</v>
      </c>
      <c r="AC939">
        <v>4.2139000000000202</v>
      </c>
      <c r="AD939">
        <v>-1.1034340179289901</v>
      </c>
      <c r="AE939">
        <v>-6.1715000000000302</v>
      </c>
      <c r="AF939">
        <v>3.6049403650193601</v>
      </c>
      <c r="AG939">
        <v>-1.1034340179289901</v>
      </c>
      <c r="AH939">
        <v>6.3632556748381797</v>
      </c>
      <c r="AI939">
        <v>98.579916763656996</v>
      </c>
      <c r="AJ939">
        <v>60.467382942472597</v>
      </c>
      <c r="AK939">
        <v>7.3962277176023496</v>
      </c>
      <c r="AL939">
        <v>84.964111477495905</v>
      </c>
      <c r="AM939">
        <v>79.639694775996006</v>
      </c>
      <c r="AN939">
        <v>1.0000000574980801</v>
      </c>
    </row>
    <row r="940" spans="1:40" x14ac:dyDescent="0.25">
      <c r="A940" t="str">
        <f>"20190312154523233"</f>
        <v>20190312154523233</v>
      </c>
      <c r="B940" t="str">
        <f>"1552376723227229"</f>
        <v>1552376723227229</v>
      </c>
      <c r="C940" t="s">
        <v>40</v>
      </c>
      <c r="D940">
        <v>4.5439559999999997</v>
      </c>
      <c r="E940">
        <v>0.63139869999999898</v>
      </c>
      <c r="F940" t="s">
        <v>51</v>
      </c>
      <c r="G940">
        <v>-199.46260000000001</v>
      </c>
      <c r="H940" s="1">
        <v>-5.9834000000000002E-6</v>
      </c>
      <c r="I940">
        <v>357.26490000000001</v>
      </c>
      <c r="J940">
        <v>-203.62540000000001</v>
      </c>
      <c r="K940">
        <v>1.1033740000000001</v>
      </c>
      <c r="L940">
        <v>363.42809999999997</v>
      </c>
      <c r="M940">
        <v>0.89516450000000003</v>
      </c>
      <c r="N940">
        <v>0</v>
      </c>
      <c r="O940">
        <v>-0.44549490000000003</v>
      </c>
      <c r="P940">
        <v>0.79915309999999995</v>
      </c>
      <c r="Q940">
        <v>7.5439049999999994E-2</v>
      </c>
      <c r="R940">
        <v>-0.59637489999999904</v>
      </c>
      <c r="S940">
        <v>1.8274840000000001</v>
      </c>
      <c r="T940">
        <v>-0.46925289999999997</v>
      </c>
      <c r="U940">
        <v>-2.6518549999999999</v>
      </c>
      <c r="V940">
        <v>0.1793109</v>
      </c>
      <c r="W940">
        <v>8.6858660000000004E-2</v>
      </c>
      <c r="X940">
        <v>0.9799506</v>
      </c>
      <c r="Y940">
        <v>0.48373329999999998</v>
      </c>
      <c r="Z940">
        <v>3.1079869999999999E-2</v>
      </c>
      <c r="AA940">
        <v>0.87466350000000004</v>
      </c>
      <c r="AB940">
        <v>26</v>
      </c>
      <c r="AC940">
        <v>4.1627999999999998</v>
      </c>
      <c r="AD940">
        <v>-1.1033799834</v>
      </c>
      <c r="AE940">
        <v>-6.1631999999999598</v>
      </c>
      <c r="AF940">
        <v>3.5840803172570501</v>
      </c>
      <c r="AG940">
        <v>-1.1033799834</v>
      </c>
      <c r="AH940">
        <v>6.3333642699292101</v>
      </c>
      <c r="AI940">
        <v>98.621645194789593</v>
      </c>
      <c r="AJ940">
        <v>60.494276554832702</v>
      </c>
      <c r="AK940">
        <v>7.3603384490071697</v>
      </c>
      <c r="AL940">
        <v>85.017086394946205</v>
      </c>
      <c r="AM940">
        <v>79.630755674871693</v>
      </c>
      <c r="AN940">
        <v>1.0000000020580799</v>
      </c>
    </row>
    <row r="941" spans="1:40" x14ac:dyDescent="0.25">
      <c r="A941" t="str">
        <f>"20190312154523252"</f>
        <v>20190312154523252</v>
      </c>
      <c r="B941" t="str">
        <f>"1552376723246748"</f>
        <v>1552376723246748</v>
      </c>
      <c r="C941" t="s">
        <v>40</v>
      </c>
      <c r="D941">
        <v>4.4978020000000001</v>
      </c>
      <c r="E941">
        <v>0.63150890000000004</v>
      </c>
      <c r="F941" t="s">
        <v>51</v>
      </c>
      <c r="G941">
        <v>-199.3956</v>
      </c>
      <c r="H941" s="1">
        <v>-5.9586939999999996E-6</v>
      </c>
      <c r="I941">
        <v>357.22230000000002</v>
      </c>
      <c r="J941">
        <v>-203.42609999999999</v>
      </c>
      <c r="K941">
        <v>1.103294</v>
      </c>
      <c r="L941">
        <v>363.31900000000002</v>
      </c>
      <c r="M941">
        <v>0.8914472</v>
      </c>
      <c r="N941">
        <v>0</v>
      </c>
      <c r="O941">
        <v>-0.4528874</v>
      </c>
      <c r="P941">
        <v>0.79401709999999903</v>
      </c>
      <c r="Q941">
        <v>7.4712879999999995E-2</v>
      </c>
      <c r="R941">
        <v>-0.60328660000000001</v>
      </c>
      <c r="S941">
        <v>1.8132779999999999</v>
      </c>
      <c r="T941">
        <v>-0.4730124</v>
      </c>
      <c r="U941">
        <v>-2.6604000000000001</v>
      </c>
      <c r="V941">
        <v>0.179677799999999</v>
      </c>
      <c r="W941">
        <v>8.6112369999999994E-2</v>
      </c>
      <c r="X941">
        <v>0.97994919999999996</v>
      </c>
      <c r="Y941">
        <v>0.4810584</v>
      </c>
      <c r="Z941">
        <v>3.2764880000000003E-2</v>
      </c>
      <c r="AA941">
        <v>0.87607610000000002</v>
      </c>
      <c r="AB941">
        <v>26</v>
      </c>
      <c r="AC941">
        <v>4.0304999999999804</v>
      </c>
      <c r="AD941">
        <v>-1.103299958694</v>
      </c>
      <c r="AE941">
        <v>-6.0966999999999896</v>
      </c>
      <c r="AF941">
        <v>3.5294778600446</v>
      </c>
      <c r="AG941">
        <v>-1.103299958694</v>
      </c>
      <c r="AH941">
        <v>6.2131866522854002</v>
      </c>
      <c r="AI941">
        <v>98.777200064034204</v>
      </c>
      <c r="AJ941">
        <v>60.400720913699402</v>
      </c>
      <c r="AK941">
        <v>7.2303646615877302</v>
      </c>
      <c r="AL941">
        <v>85.060006189249506</v>
      </c>
      <c r="AM941">
        <v>79.609985585536805</v>
      </c>
      <c r="AN941">
        <v>0.999999943330246</v>
      </c>
    </row>
    <row r="942" spans="1:40" x14ac:dyDescent="0.25">
      <c r="A942" t="str">
        <f>"20190312154523272"</f>
        <v>20190312154523272</v>
      </c>
      <c r="B942" t="str">
        <f>"1552376723267245"</f>
        <v>1552376723267245</v>
      </c>
      <c r="C942" t="s">
        <v>40</v>
      </c>
      <c r="D942">
        <v>4.4801250000000001</v>
      </c>
      <c r="E942">
        <v>0.66237800000000002</v>
      </c>
      <c r="F942" t="s">
        <v>51</v>
      </c>
      <c r="G942">
        <v>-199.2705</v>
      </c>
      <c r="H942" s="1">
        <v>-5.8986669999999997E-6</v>
      </c>
      <c r="I942">
        <v>357.10129999999998</v>
      </c>
      <c r="J942">
        <v>-203.2158</v>
      </c>
      <c r="K942">
        <v>1.1032150000000001</v>
      </c>
      <c r="L942">
        <v>363.20139999999998</v>
      </c>
      <c r="M942">
        <v>0.88738779999999995</v>
      </c>
      <c r="N942">
        <v>0</v>
      </c>
      <c r="O942">
        <v>-0.46078999999999998</v>
      </c>
      <c r="P942">
        <v>0.78835719999999898</v>
      </c>
      <c r="Q942">
        <v>7.4211180000000002E-2</v>
      </c>
      <c r="R942">
        <v>-0.61072590000000004</v>
      </c>
      <c r="S942">
        <v>1.7891079999999999</v>
      </c>
      <c r="T942">
        <v>-0.4750006</v>
      </c>
      <c r="U942">
        <v>-2.6768800000000001</v>
      </c>
      <c r="V942">
        <v>0.1801711</v>
      </c>
      <c r="W942">
        <v>8.5587880000000005E-2</v>
      </c>
      <c r="X942">
        <v>0.97990469999999996</v>
      </c>
      <c r="Y942">
        <v>0.48128700000000002</v>
      </c>
      <c r="Z942">
        <v>3.4190829999999998E-2</v>
      </c>
      <c r="AA942">
        <v>0.87589599999999901</v>
      </c>
      <c r="AB942">
        <v>26</v>
      </c>
      <c r="AC942">
        <v>3.9453</v>
      </c>
      <c r="AD942">
        <v>-1.103220898667</v>
      </c>
      <c r="AE942">
        <v>-6.1000999999999896</v>
      </c>
      <c r="AF942">
        <v>3.5145371859189898</v>
      </c>
      <c r="AG942">
        <v>-1.103220898667</v>
      </c>
      <c r="AH942">
        <v>6.1702621240982198</v>
      </c>
      <c r="AI942">
        <v>98.830957754894698</v>
      </c>
      <c r="AJ942">
        <v>60.334470272180297</v>
      </c>
      <c r="AK942">
        <v>7.1861813686090699</v>
      </c>
      <c r="AL942">
        <v>85.090169215172494</v>
      </c>
      <c r="AM942">
        <v>79.581621119879301</v>
      </c>
      <c r="AN942">
        <v>1.00000006578009</v>
      </c>
    </row>
    <row r="943" spans="1:40" x14ac:dyDescent="0.25">
      <c r="A943" t="str">
        <f>"20190312154523294"</f>
        <v>20190312154523294</v>
      </c>
      <c r="B943" t="str">
        <f>"1552376723286764"</f>
        <v>1552376723286764</v>
      </c>
      <c r="C943" t="s">
        <v>40</v>
      </c>
      <c r="D943">
        <v>4.5347339999999896</v>
      </c>
      <c r="E943">
        <v>0.66647609999999902</v>
      </c>
      <c r="F943" t="s">
        <v>51</v>
      </c>
      <c r="G943">
        <v>-200.0795</v>
      </c>
      <c r="H943" s="1">
        <v>-6.1503469999999996E-6</v>
      </c>
      <c r="I943">
        <v>357.59699999999998</v>
      </c>
      <c r="J943">
        <v>-202.9837</v>
      </c>
      <c r="K943">
        <v>1.1031439999999999</v>
      </c>
      <c r="L943">
        <v>363.06849999999997</v>
      </c>
      <c r="M943">
        <v>0.88274449999999904</v>
      </c>
      <c r="N943">
        <v>0</v>
      </c>
      <c r="O943">
        <v>-0.46962310000000002</v>
      </c>
      <c r="P943">
        <v>0.78195669999999995</v>
      </c>
      <c r="Q943">
        <v>7.3486910000000003E-2</v>
      </c>
      <c r="R943">
        <v>-0.61898580000000003</v>
      </c>
      <c r="S943">
        <v>1.6185</v>
      </c>
      <c r="T943">
        <v>-0.56930859999999905</v>
      </c>
      <c r="U943">
        <v>-2.89209</v>
      </c>
      <c r="V943">
        <v>0.18067259999999999</v>
      </c>
      <c r="W943">
        <v>8.4841490000000006E-2</v>
      </c>
      <c r="X943">
        <v>0.9798772</v>
      </c>
      <c r="Y943">
        <v>0.53972430000000005</v>
      </c>
      <c r="Z943">
        <v>3.5937620000000003E-2</v>
      </c>
      <c r="AA943">
        <v>0.84107430000000005</v>
      </c>
      <c r="AB943">
        <v>26</v>
      </c>
      <c r="AC943">
        <v>2.9041999999999999</v>
      </c>
      <c r="AD943">
        <v>-1.103150150347</v>
      </c>
      <c r="AE943">
        <v>-5.47149999999999</v>
      </c>
      <c r="AF943">
        <v>3.3598751512877798</v>
      </c>
      <c r="AG943">
        <v>-1.103150150347</v>
      </c>
      <c r="AH943">
        <v>4.9759545163562002</v>
      </c>
      <c r="AI943">
        <v>100.411047109123</v>
      </c>
      <c r="AJ943">
        <v>55.971903208731199</v>
      </c>
      <c r="AK943">
        <v>6.1045740748472701</v>
      </c>
      <c r="AL943">
        <v>85.133089995113494</v>
      </c>
      <c r="AM943">
        <v>79.552972783205107</v>
      </c>
      <c r="AN943">
        <v>0.99999999694801001</v>
      </c>
    </row>
    <row r="944" spans="1:40" x14ac:dyDescent="0.25">
      <c r="A944" t="str">
        <f>"20190312154523308"</f>
        <v>20190312154523308</v>
      </c>
      <c r="B944" t="str">
        <f>"1552376723297501"</f>
        <v>1552376723297501</v>
      </c>
      <c r="C944" t="s">
        <v>40</v>
      </c>
      <c r="D944">
        <v>4.4918620000000002</v>
      </c>
      <c r="E944">
        <v>0.66717850000000001</v>
      </c>
      <c r="F944" t="s">
        <v>51</v>
      </c>
      <c r="G944">
        <v>-200.078</v>
      </c>
      <c r="H944" s="1">
        <v>-6.1624109999999997E-6</v>
      </c>
      <c r="I944">
        <v>357.63150000000002</v>
      </c>
      <c r="J944">
        <v>-202.84360000000001</v>
      </c>
      <c r="K944">
        <v>1.1031010000000001</v>
      </c>
      <c r="L944">
        <v>362.98680000000002</v>
      </c>
      <c r="M944">
        <v>0.87986279999999994</v>
      </c>
      <c r="N944">
        <v>0</v>
      </c>
      <c r="O944">
        <v>-0.47499960000000002</v>
      </c>
      <c r="P944">
        <v>0.77796509999999996</v>
      </c>
      <c r="Q944">
        <v>7.3356359999999995E-2</v>
      </c>
      <c r="R944">
        <v>-0.62401059999999997</v>
      </c>
      <c r="S944">
        <v>1.5688169999999999</v>
      </c>
      <c r="T944">
        <v>-0.59560990000000003</v>
      </c>
      <c r="U944">
        <v>-2.935486</v>
      </c>
      <c r="V944">
        <v>0.181008</v>
      </c>
      <c r="W944">
        <v>8.4698469999999998E-2</v>
      </c>
      <c r="X944">
        <v>0.97982769999999997</v>
      </c>
      <c r="Y944">
        <v>0.55065790000000003</v>
      </c>
      <c r="Z944">
        <v>3.7406509999999997E-2</v>
      </c>
      <c r="AA944">
        <v>0.83389249999999904</v>
      </c>
      <c r="AB944">
        <v>26</v>
      </c>
      <c r="AC944">
        <v>2.7656000000000001</v>
      </c>
      <c r="AD944">
        <v>-1.103107162411</v>
      </c>
      <c r="AE944">
        <v>-5.3552999999999997</v>
      </c>
      <c r="AF944">
        <v>3.2884867852862301</v>
      </c>
      <c r="AG944">
        <v>-1.103107162411</v>
      </c>
      <c r="AH944">
        <v>4.8163246644070101</v>
      </c>
      <c r="AI944">
        <v>100.71097538831199</v>
      </c>
      <c r="AJ944">
        <v>55.675547548327202</v>
      </c>
      <c r="AK944">
        <v>5.9353158316756804</v>
      </c>
      <c r="AL944">
        <v>85.141314172736699</v>
      </c>
      <c r="AM944">
        <v>79.533490063811598</v>
      </c>
      <c r="AN944">
        <v>1.00000002428581</v>
      </c>
    </row>
    <row r="945" spans="1:40" x14ac:dyDescent="0.25">
      <c r="A945" t="str">
        <f>"20190312154523321"</f>
        <v>20190312154523321</v>
      </c>
      <c r="B945" t="str">
        <f>"1552376723317021"</f>
        <v>1552376723317021</v>
      </c>
      <c r="C945" t="s">
        <v>40</v>
      </c>
      <c r="D945">
        <v>4.4571480000000001</v>
      </c>
      <c r="E945">
        <v>0.66771759999999902</v>
      </c>
      <c r="F945" t="s">
        <v>51</v>
      </c>
      <c r="G945">
        <v>-199.97640000000001</v>
      </c>
      <c r="H945" s="1">
        <v>-6.1481480000000001E-6</v>
      </c>
      <c r="I945">
        <v>357.5172</v>
      </c>
      <c r="J945">
        <v>-202.7071</v>
      </c>
      <c r="K945">
        <v>1.1030629999999999</v>
      </c>
      <c r="L945">
        <v>362.90600000000001</v>
      </c>
      <c r="M945">
        <v>0.8769962</v>
      </c>
      <c r="N945">
        <v>0</v>
      </c>
      <c r="O945">
        <v>-0.48027160000000002</v>
      </c>
      <c r="P945">
        <v>0.77418640000000005</v>
      </c>
      <c r="Q945">
        <v>7.3142170000000006E-2</v>
      </c>
      <c r="R945">
        <v>-0.62871750000000004</v>
      </c>
      <c r="S945">
        <v>1.5462800000000001</v>
      </c>
      <c r="T945">
        <v>-0.59490940000000003</v>
      </c>
      <c r="U945">
        <v>-2.949738</v>
      </c>
      <c r="V945">
        <v>0.18106420000000001</v>
      </c>
      <c r="W945">
        <v>8.4478490000000003E-2</v>
      </c>
      <c r="X945">
        <v>0.97983629999999999</v>
      </c>
      <c r="Y945">
        <v>0.55234969999999906</v>
      </c>
      <c r="Z945">
        <v>3.8252580000000001E-2</v>
      </c>
      <c r="AA945">
        <v>0.83273439999999999</v>
      </c>
      <c r="AB945">
        <v>26</v>
      </c>
      <c r="AC945">
        <v>2.7306999999999801</v>
      </c>
      <c r="AD945">
        <v>-1.1030691481479999</v>
      </c>
      <c r="AE945">
        <v>-5.3887999999999998</v>
      </c>
      <c r="AF945">
        <v>3.30467298015075</v>
      </c>
      <c r="AG945">
        <v>-1.1030691481479999</v>
      </c>
      <c r="AH945">
        <v>4.8226556551922801</v>
      </c>
      <c r="AI945">
        <v>100.68490640484001</v>
      </c>
      <c r="AJ945">
        <v>55.579527266525098</v>
      </c>
      <c r="AK945">
        <v>5.94942288124592</v>
      </c>
      <c r="AL945">
        <v>85.1539633993835</v>
      </c>
      <c r="AM945">
        <v>79.530402091819397</v>
      </c>
      <c r="AN945">
        <v>1.000000017296</v>
      </c>
    </row>
    <row r="946" spans="1:40" x14ac:dyDescent="0.25">
      <c r="A946" t="str">
        <f>"20190312154523337"</f>
        <v>20190312154523337</v>
      </c>
      <c r="B946" t="str">
        <f>"1552376723326782"</f>
        <v>1552376723326782</v>
      </c>
      <c r="C946" t="s">
        <v>40</v>
      </c>
      <c r="D946">
        <v>4.4695460000000002</v>
      </c>
      <c r="E946">
        <v>0.66790780000000005</v>
      </c>
      <c r="F946" t="s">
        <v>51</v>
      </c>
      <c r="G946">
        <v>-199.8777</v>
      </c>
      <c r="H946" s="1">
        <v>-6.09763299999999E-6</v>
      </c>
      <c r="I946">
        <v>357.41239999999999</v>
      </c>
      <c r="J946">
        <v>-202.5445</v>
      </c>
      <c r="K946">
        <v>1.1030260000000001</v>
      </c>
      <c r="L946">
        <v>362.80810000000002</v>
      </c>
      <c r="M946">
        <v>0.87349580000000004</v>
      </c>
      <c r="N946">
        <v>0</v>
      </c>
      <c r="O946">
        <v>-0.4866084</v>
      </c>
      <c r="P946">
        <v>0.76938030000000002</v>
      </c>
      <c r="Q946">
        <v>7.270517E-2</v>
      </c>
      <c r="R946">
        <v>-0.63463999999999998</v>
      </c>
      <c r="S946">
        <v>1.5256350000000001</v>
      </c>
      <c r="T946">
        <v>-0.59477519999999995</v>
      </c>
      <c r="U946">
        <v>-2.9621580000000001</v>
      </c>
      <c r="V946">
        <v>0.1814694</v>
      </c>
      <c r="W946">
        <v>8.4029960000000001E-2</v>
      </c>
      <c r="X946">
        <v>0.97979989999999995</v>
      </c>
      <c r="Y946">
        <v>0.55239930000000004</v>
      </c>
      <c r="Z946">
        <v>3.9526779999999997E-2</v>
      </c>
      <c r="AA946">
        <v>0.83264189999999905</v>
      </c>
      <c r="AB946">
        <v>26</v>
      </c>
      <c r="AC946">
        <v>2.6667999999999901</v>
      </c>
      <c r="AD946">
        <v>-1.1030320976329999</v>
      </c>
      <c r="AE946">
        <v>-5.3957000000000299</v>
      </c>
      <c r="AF946">
        <v>3.3048087071186498</v>
      </c>
      <c r="AG946">
        <v>-1.1030320976329999</v>
      </c>
      <c r="AH946">
        <v>4.7945389532157003</v>
      </c>
      <c r="AI946">
        <v>100.725950144854</v>
      </c>
      <c r="AJ946">
        <v>55.422047017696102</v>
      </c>
      <c r="AK946">
        <v>5.9267228864658899</v>
      </c>
      <c r="AL946">
        <v>85.179753946950996</v>
      </c>
      <c r="AM946">
        <v>79.507111006717906</v>
      </c>
      <c r="AN946">
        <v>1.00000001067698</v>
      </c>
    </row>
    <row r="947" spans="1:40" x14ac:dyDescent="0.25">
      <c r="A947" t="str">
        <f>"20190312154523361"</f>
        <v>20190312154523361</v>
      </c>
      <c r="B947" t="str">
        <f>"1552376723357037"</f>
        <v>1552376723357037</v>
      </c>
      <c r="C947" t="s">
        <v>40</v>
      </c>
      <c r="D947">
        <v>4.5053400000000003</v>
      </c>
      <c r="E947">
        <v>0.6676493</v>
      </c>
      <c r="F947" t="s">
        <v>51</v>
      </c>
      <c r="G947">
        <v>-199.75739999999999</v>
      </c>
      <c r="H947" s="1">
        <v>-6.0367360000000003E-6</v>
      </c>
      <c r="I947">
        <v>357.28660000000002</v>
      </c>
      <c r="J947">
        <v>-202.3075</v>
      </c>
      <c r="K947">
        <v>1.1029789999999999</v>
      </c>
      <c r="L947">
        <v>362.6626</v>
      </c>
      <c r="M947">
        <v>0.86824999999999997</v>
      </c>
      <c r="N947">
        <v>0</v>
      </c>
      <c r="O947">
        <v>-0.49590770000000001</v>
      </c>
      <c r="P947">
        <v>0.76219550000000003</v>
      </c>
      <c r="Q947">
        <v>7.2216500000000003E-2</v>
      </c>
      <c r="R947">
        <v>-0.64330669999999901</v>
      </c>
      <c r="S947">
        <v>1.501617</v>
      </c>
      <c r="T947">
        <v>-0.59427569999999996</v>
      </c>
      <c r="U947">
        <v>-2.9747620000000001</v>
      </c>
      <c r="V947">
        <v>0.18207409999999999</v>
      </c>
      <c r="W947">
        <v>8.3525810000000006E-2</v>
      </c>
      <c r="X947">
        <v>0.97973080000000001</v>
      </c>
      <c r="Y947">
        <v>0.55040739999999999</v>
      </c>
      <c r="Z947">
        <v>4.1608039999999999E-2</v>
      </c>
      <c r="AA947">
        <v>0.83385880000000001</v>
      </c>
      <c r="AB947">
        <v>26</v>
      </c>
      <c r="AC947">
        <v>2.5501000000000098</v>
      </c>
      <c r="AD947">
        <v>-1.1029850367359999</v>
      </c>
      <c r="AE947">
        <v>-5.3759999999999701</v>
      </c>
      <c r="AF947">
        <v>3.29040213344078</v>
      </c>
      <c r="AG947">
        <v>-1.1029850367359999</v>
      </c>
      <c r="AH947">
        <v>4.7185158587444</v>
      </c>
      <c r="AI947">
        <v>100.854182893794</v>
      </c>
      <c r="AJ947">
        <v>55.110457135909002</v>
      </c>
      <c r="AK947">
        <v>5.8572787282352801</v>
      </c>
      <c r="AL947">
        <v>85.208741420371695</v>
      </c>
      <c r="AM947">
        <v>79.472200623277701</v>
      </c>
      <c r="AN947">
        <v>0.99999998964780301</v>
      </c>
    </row>
    <row r="948" spans="1:40" x14ac:dyDescent="0.25">
      <c r="A948" t="str">
        <f>"20190312154523383"</f>
        <v>20190312154523383</v>
      </c>
      <c r="B948" t="str">
        <f>"1552376723377533"</f>
        <v>1552376723377533</v>
      </c>
      <c r="C948" t="s">
        <v>40</v>
      </c>
      <c r="D948">
        <v>4.5108329999999999</v>
      </c>
      <c r="E948">
        <v>0.66718659999999996</v>
      </c>
      <c r="F948" t="s">
        <v>51</v>
      </c>
      <c r="G948">
        <v>-199.57900000000001</v>
      </c>
      <c r="H948" s="1">
        <v>-5.9483899999999998E-6</v>
      </c>
      <c r="I948">
        <v>357.10599999999999</v>
      </c>
      <c r="J948">
        <v>-202.08879999999999</v>
      </c>
      <c r="K948">
        <v>1.1029519999999999</v>
      </c>
      <c r="L948">
        <v>362.52510000000001</v>
      </c>
      <c r="M948">
        <v>0.86325090000000004</v>
      </c>
      <c r="N948">
        <v>0</v>
      </c>
      <c r="O948">
        <v>-0.50455899999999998</v>
      </c>
      <c r="P948">
        <v>0.75485259999999998</v>
      </c>
      <c r="Q948">
        <v>7.2956149999999997E-2</v>
      </c>
      <c r="R948">
        <v>-0.65182479999999998</v>
      </c>
      <c r="S948">
        <v>1.468353</v>
      </c>
      <c r="T948">
        <v>-0.59357439999999995</v>
      </c>
      <c r="U948">
        <v>-2.990326</v>
      </c>
      <c r="V948">
        <v>0.183342</v>
      </c>
      <c r="W948">
        <v>8.4238069999999998E-2</v>
      </c>
      <c r="X948">
        <v>0.97943340000000001</v>
      </c>
      <c r="Y948">
        <v>0.55133859999999901</v>
      </c>
      <c r="Z948">
        <v>4.3265919999999999E-2</v>
      </c>
      <c r="AA948">
        <v>0.83315890000000004</v>
      </c>
      <c r="AB948">
        <v>26</v>
      </c>
      <c r="AC948">
        <v>2.5097999999999798</v>
      </c>
      <c r="AD948">
        <v>-1.1029579483900001</v>
      </c>
      <c r="AE948">
        <v>-5.41910000000001</v>
      </c>
      <c r="AF948">
        <v>3.2995298198483898</v>
      </c>
      <c r="AG948">
        <v>-1.1029579483900001</v>
      </c>
      <c r="AH948">
        <v>4.7397113595517499</v>
      </c>
      <c r="AI948">
        <v>100.812434797072</v>
      </c>
      <c r="AJ948">
        <v>55.156458700186299</v>
      </c>
      <c r="AK948">
        <v>5.8794793170696096</v>
      </c>
      <c r="AL948">
        <v>85.1677879499141</v>
      </c>
      <c r="AM948">
        <v>79.397398922095306</v>
      </c>
      <c r="AN948">
        <v>1.00000006321844</v>
      </c>
    </row>
    <row r="949" spans="1:40" x14ac:dyDescent="0.25">
      <c r="A949" t="str">
        <f>"20190312154523395"</f>
        <v>20190312154523395</v>
      </c>
      <c r="B949" t="str">
        <f>"1552376723387293"</f>
        <v>1552376723387293</v>
      </c>
      <c r="C949" t="s">
        <v>40</v>
      </c>
      <c r="D949">
        <v>4.5031400000000001</v>
      </c>
      <c r="E949">
        <v>0.66696580000000005</v>
      </c>
      <c r="F949" t="s">
        <v>51</v>
      </c>
      <c r="G949">
        <v>-199.42240000000001</v>
      </c>
      <c r="H949" s="1">
        <v>-5.8729369999999997E-6</v>
      </c>
      <c r="I949">
        <v>356.95359999999999</v>
      </c>
      <c r="J949">
        <v>-201.96789999999999</v>
      </c>
      <c r="K949">
        <v>1.1029409999999999</v>
      </c>
      <c r="L949">
        <v>362.44740000000002</v>
      </c>
      <c r="M949">
        <v>0.86041489999999998</v>
      </c>
      <c r="N949">
        <v>0</v>
      </c>
      <c r="O949">
        <v>-0.5093799</v>
      </c>
      <c r="P949">
        <v>0.75089319999999904</v>
      </c>
      <c r="Q949">
        <v>7.3693480000000006E-2</v>
      </c>
      <c r="R949">
        <v>-0.65629950000000004</v>
      </c>
      <c r="S949">
        <v>1.4377139999999999</v>
      </c>
      <c r="T949">
        <v>-0.59469349999999999</v>
      </c>
      <c r="U949">
        <v>-3.0040589999999998</v>
      </c>
      <c r="V949">
        <v>0.18373719999999999</v>
      </c>
      <c r="W949">
        <v>8.4967399999999998E-2</v>
      </c>
      <c r="X949">
        <v>0.97929630000000001</v>
      </c>
      <c r="Y949">
        <v>0.55506180000000005</v>
      </c>
      <c r="Z949">
        <v>4.3989559999999997E-2</v>
      </c>
      <c r="AA949">
        <v>0.83064509999999903</v>
      </c>
      <c r="AB949">
        <v>26</v>
      </c>
      <c r="AC949">
        <v>2.5454999999999699</v>
      </c>
      <c r="AD949">
        <v>-1.102946872937</v>
      </c>
      <c r="AE949">
        <v>-5.4938000000000198</v>
      </c>
      <c r="AF949">
        <v>3.3205146741434302</v>
      </c>
      <c r="AG949">
        <v>-1.102946872937</v>
      </c>
      <c r="AH949">
        <v>4.8289294551387503</v>
      </c>
      <c r="AI949">
        <v>100.658566752881</v>
      </c>
      <c r="AJ949">
        <v>55.486436298515301</v>
      </c>
      <c r="AK949">
        <v>5.96329348501565</v>
      </c>
      <c r="AL949">
        <v>85.125849903375496</v>
      </c>
      <c r="AM949">
        <v>79.373610860434596</v>
      </c>
      <c r="AN949">
        <v>1.00000003046014</v>
      </c>
    </row>
    <row r="950" spans="1:40" x14ac:dyDescent="0.25">
      <c r="A950" t="str">
        <f>"20190312154523408"</f>
        <v>20190312154523408</v>
      </c>
      <c r="B950" t="str">
        <f>"1552376723397053"</f>
        <v>1552376723397053</v>
      </c>
      <c r="C950" t="s">
        <v>40</v>
      </c>
      <c r="D950">
        <v>4.492756</v>
      </c>
      <c r="E950">
        <v>0.66685179999999999</v>
      </c>
      <c r="F950" t="s">
        <v>51</v>
      </c>
      <c r="G950">
        <v>-199.33009999999999</v>
      </c>
      <c r="H950" s="1">
        <v>-5.8269610000000003E-6</v>
      </c>
      <c r="I950">
        <v>356.85930000000002</v>
      </c>
      <c r="J950">
        <v>-201.83949999999999</v>
      </c>
      <c r="K950">
        <v>1.1029310000000001</v>
      </c>
      <c r="L950">
        <v>362.36430000000001</v>
      </c>
      <c r="M950">
        <v>0.85736290000000004</v>
      </c>
      <c r="N950">
        <v>0</v>
      </c>
      <c r="O950">
        <v>-0.51450010000000002</v>
      </c>
      <c r="P950">
        <v>0.746204599999999</v>
      </c>
      <c r="Q950">
        <v>7.434636E-2</v>
      </c>
      <c r="R950">
        <v>-0.66155229999999998</v>
      </c>
      <c r="S950">
        <v>1.421524</v>
      </c>
      <c r="T950">
        <v>-0.59437180000000001</v>
      </c>
      <c r="U950">
        <v>-3.0113829999999999</v>
      </c>
      <c r="V950">
        <v>0.18481919999999999</v>
      </c>
      <c r="W950">
        <v>8.5598800000000003E-2</v>
      </c>
      <c r="X950">
        <v>0.97903759999999995</v>
      </c>
      <c r="Y950">
        <v>0.5545968</v>
      </c>
      <c r="Z950">
        <v>4.5082820000000003E-2</v>
      </c>
      <c r="AA950">
        <v>0.830896999999999</v>
      </c>
      <c r="AB950">
        <v>26</v>
      </c>
      <c r="AC950">
        <v>2.5093999999999901</v>
      </c>
      <c r="AD950">
        <v>-1.10293682696099</v>
      </c>
      <c r="AE950">
        <v>-5.5049999999999901</v>
      </c>
      <c r="AF950">
        <v>3.3187716373507401</v>
      </c>
      <c r="AG950">
        <v>-1.10293682696099</v>
      </c>
      <c r="AH950">
        <v>4.8240083833445704</v>
      </c>
      <c r="AI950">
        <v>100.66743993188599</v>
      </c>
      <c r="AJ950">
        <v>55.4732063759146</v>
      </c>
      <c r="AK950">
        <v>5.9583363204613802</v>
      </c>
      <c r="AL950">
        <v>85.089540703942106</v>
      </c>
      <c r="AM950">
        <v>79.309712134158801</v>
      </c>
      <c r="AN950">
        <v>0.99999995673191899</v>
      </c>
    </row>
    <row r="951" spans="1:40" x14ac:dyDescent="0.25">
      <c r="A951" t="str">
        <f>"20190312154523429"</f>
        <v>20190312154523429</v>
      </c>
      <c r="B951" t="str">
        <f>"1552376723417548"</f>
        <v>1552376723417548</v>
      </c>
      <c r="C951" t="s">
        <v>40</v>
      </c>
      <c r="D951">
        <v>4.4733369999999999</v>
      </c>
      <c r="E951">
        <v>0.66642939999999995</v>
      </c>
      <c r="F951" t="s">
        <v>51</v>
      </c>
      <c r="G951">
        <v>-199.23310000000001</v>
      </c>
      <c r="H951" s="1">
        <v>-5.7743669999999999E-6</v>
      </c>
      <c r="I951">
        <v>356.7475</v>
      </c>
      <c r="J951">
        <v>-201.63910000000001</v>
      </c>
      <c r="K951">
        <v>1.102927</v>
      </c>
      <c r="L951">
        <v>362.23200000000003</v>
      </c>
      <c r="M951">
        <v>0.85249619999999904</v>
      </c>
      <c r="N951">
        <v>0</v>
      </c>
      <c r="O951">
        <v>-0.52252419999999999</v>
      </c>
      <c r="P951">
        <v>0.73942399999999997</v>
      </c>
      <c r="Q951">
        <v>7.5691220000000003E-2</v>
      </c>
      <c r="R951">
        <v>-0.66897200000000001</v>
      </c>
      <c r="S951">
        <v>1.4016420000000001</v>
      </c>
      <c r="T951">
        <v>-0.59310949999999996</v>
      </c>
      <c r="U951">
        <v>-3.0204469999999999</v>
      </c>
      <c r="V951">
        <v>0.18550620000000001</v>
      </c>
      <c r="W951">
        <v>8.6932300000000004E-2</v>
      </c>
      <c r="X951">
        <v>0.97879020000000005</v>
      </c>
      <c r="Y951">
        <v>0.55235480000000003</v>
      </c>
      <c r="Z951">
        <v>4.6883540000000001E-2</v>
      </c>
      <c r="AA951">
        <v>0.83228969999999902</v>
      </c>
      <c r="AB951">
        <v>26</v>
      </c>
      <c r="AC951">
        <v>2.4060000000000001</v>
      </c>
      <c r="AD951">
        <v>-1.1029327743670001</v>
      </c>
      <c r="AE951">
        <v>-5.4844999999999597</v>
      </c>
      <c r="AF951">
        <v>3.30655620038667</v>
      </c>
      <c r="AG951">
        <v>-1.1029327743670001</v>
      </c>
      <c r="AH951">
        <v>4.7561264524664804</v>
      </c>
      <c r="AI951">
        <v>100.78031812776899</v>
      </c>
      <c r="AJ951">
        <v>55.1921848148409</v>
      </c>
      <c r="AK951">
        <v>5.8966527320963804</v>
      </c>
      <c r="AL951">
        <v>85.012851179819606</v>
      </c>
      <c r="AM951">
        <v>79.268246653126297</v>
      </c>
      <c r="AN951">
        <v>1.0000000153188799</v>
      </c>
    </row>
    <row r="952" spans="1:40" x14ac:dyDescent="0.25">
      <c r="A952" t="str">
        <f>"20190312154523452"</f>
        <v>20190312154523452</v>
      </c>
      <c r="B952" t="str">
        <f>"1552376723446829"</f>
        <v>1552376723446829</v>
      </c>
      <c r="C952" t="s">
        <v>40</v>
      </c>
      <c r="D952">
        <v>4.5036849999999999</v>
      </c>
      <c r="E952">
        <v>0.66546890000000003</v>
      </c>
      <c r="F952" t="s">
        <v>51</v>
      </c>
      <c r="G952">
        <v>-199.07839999999999</v>
      </c>
      <c r="H952" s="1">
        <v>-5.6954700000000004E-6</v>
      </c>
      <c r="I952">
        <v>356.584</v>
      </c>
      <c r="J952">
        <v>-201.4126</v>
      </c>
      <c r="K952">
        <v>1.1029180000000001</v>
      </c>
      <c r="L952">
        <v>362.07900000000001</v>
      </c>
      <c r="M952">
        <v>0.84684959999999898</v>
      </c>
      <c r="N952">
        <v>0</v>
      </c>
      <c r="O952">
        <v>-0.5316265</v>
      </c>
      <c r="P952">
        <v>0.73152249999999996</v>
      </c>
      <c r="Q952">
        <v>7.6053109999999993E-2</v>
      </c>
      <c r="R952">
        <v>-0.67756240000000001</v>
      </c>
      <c r="S952">
        <v>1.3746799999999999</v>
      </c>
      <c r="T952">
        <v>-0.59209109999999998</v>
      </c>
      <c r="U952">
        <v>-3.0320429999999998</v>
      </c>
      <c r="V952">
        <v>0.18648039999999999</v>
      </c>
      <c r="W952">
        <v>8.7280969999999999E-2</v>
      </c>
      <c r="X952">
        <v>0.97857400000000005</v>
      </c>
      <c r="Y952">
        <v>0.5508748</v>
      </c>
      <c r="Z952">
        <v>4.8856150000000001E-2</v>
      </c>
      <c r="AA952">
        <v>0.83315669999999897</v>
      </c>
      <c r="AB952">
        <v>26</v>
      </c>
      <c r="AC952">
        <v>2.3342000000000098</v>
      </c>
      <c r="AD952">
        <v>-1.1029236954699999</v>
      </c>
      <c r="AE952">
        <v>-5.4950000000000001</v>
      </c>
      <c r="AF952">
        <v>3.30025862463543</v>
      </c>
      <c r="AG952">
        <v>-1.1029236954699999</v>
      </c>
      <c r="AH952">
        <v>4.7368803273593798</v>
      </c>
      <c r="AI952">
        <v>100.815593519722</v>
      </c>
      <c r="AJ952">
        <v>55.134469920349602</v>
      </c>
      <c r="AK952">
        <v>5.8776000972534703</v>
      </c>
      <c r="AL952">
        <v>84.992797511796994</v>
      </c>
      <c r="AM952">
        <v>79.210879768020405</v>
      </c>
      <c r="AN952">
        <v>0.99999999039215004</v>
      </c>
    </row>
    <row r="953" spans="1:40" x14ac:dyDescent="0.25">
      <c r="A953" t="str">
        <f>"20190312154523475"</f>
        <v>20190312154523475</v>
      </c>
      <c r="B953" t="str">
        <f>"1552376723467326"</f>
        <v>1552376723467326</v>
      </c>
      <c r="C953" t="s">
        <v>40</v>
      </c>
      <c r="D953">
        <v>4.4971579999999998</v>
      </c>
      <c r="E953">
        <v>0.66479540000000004</v>
      </c>
      <c r="F953" t="s">
        <v>51</v>
      </c>
      <c r="G953">
        <v>-198.89429999999999</v>
      </c>
      <c r="H953" s="1">
        <v>-5.6007499999999997E-6</v>
      </c>
      <c r="I953">
        <v>356.38690000000003</v>
      </c>
      <c r="J953">
        <v>-201.2</v>
      </c>
      <c r="K953">
        <v>1.102919</v>
      </c>
      <c r="L953">
        <v>361.93239999999997</v>
      </c>
      <c r="M953">
        <v>0.84141679999999996</v>
      </c>
      <c r="N953">
        <v>0</v>
      </c>
      <c r="O953">
        <v>-0.54018379999999999</v>
      </c>
      <c r="P953">
        <v>0.72379729999999998</v>
      </c>
      <c r="Q953">
        <v>7.4049199999999996E-2</v>
      </c>
      <c r="R953">
        <v>-0.68602790000000002</v>
      </c>
      <c r="S953">
        <v>1.3454280000000001</v>
      </c>
      <c r="T953">
        <v>-0.58926730000000005</v>
      </c>
      <c r="U953">
        <v>-3.0411990000000002</v>
      </c>
      <c r="V953">
        <v>0.18779850000000001</v>
      </c>
      <c r="W953">
        <v>8.5261959999999998E-2</v>
      </c>
      <c r="X953">
        <v>0.97849989999999998</v>
      </c>
      <c r="Y953">
        <v>0.55013880000000004</v>
      </c>
      <c r="Z953">
        <v>5.053303E-2</v>
      </c>
      <c r="AA953">
        <v>0.83354289999999998</v>
      </c>
      <c r="AB953">
        <v>26</v>
      </c>
      <c r="AC953">
        <v>2.3056999999999999</v>
      </c>
      <c r="AD953">
        <v>-1.10292460075</v>
      </c>
      <c r="AE953">
        <v>-5.5454999999999401</v>
      </c>
      <c r="AF953">
        <v>3.3093405904683899</v>
      </c>
      <c r="AG953">
        <v>-1.10292460075</v>
      </c>
      <c r="AH953">
        <v>4.7751406100542404</v>
      </c>
      <c r="AI953">
        <v>100.74905572985099</v>
      </c>
      <c r="AJ953">
        <v>55.276677763578903</v>
      </c>
      <c r="AK953">
        <v>5.9135560929486797</v>
      </c>
      <c r="AL953">
        <v>85.108911077622395</v>
      </c>
      <c r="AM953">
        <v>79.135624391022404</v>
      </c>
      <c r="AN953">
        <v>0.99999996636264998</v>
      </c>
    </row>
    <row r="954" spans="1:40" x14ac:dyDescent="0.25">
      <c r="A954" t="str">
        <f>"20190312154523495"</f>
        <v>20190312154523495</v>
      </c>
      <c r="B954" t="str">
        <f>"1552376723486845"</f>
        <v>1552376723486845</v>
      </c>
      <c r="C954" t="s">
        <v>40</v>
      </c>
      <c r="D954">
        <v>4.5024519999999999</v>
      </c>
      <c r="E954">
        <v>0.66388340000000001</v>
      </c>
      <c r="F954" t="s">
        <v>51</v>
      </c>
      <c r="G954">
        <v>-198.7655</v>
      </c>
      <c r="H954" s="1">
        <v>-5.5450049999999998E-6</v>
      </c>
      <c r="I954">
        <v>356.28050000000002</v>
      </c>
      <c r="J954">
        <v>-201.00290000000001</v>
      </c>
      <c r="K954">
        <v>1.1029249999999999</v>
      </c>
      <c r="L954">
        <v>361.79349999999999</v>
      </c>
      <c r="M954">
        <v>0.83626129999999999</v>
      </c>
      <c r="N954">
        <v>0</v>
      </c>
      <c r="O954">
        <v>-0.54813140000000005</v>
      </c>
      <c r="P954">
        <v>0.71658690000000003</v>
      </c>
      <c r="Q954">
        <v>7.2801729999999995E-2</v>
      </c>
      <c r="R954">
        <v>-0.69368839999999998</v>
      </c>
      <c r="S954">
        <v>1.3140719999999999</v>
      </c>
      <c r="T954">
        <v>-0.59533630000000004</v>
      </c>
      <c r="U954">
        <v>-3.0508120000000001</v>
      </c>
      <c r="V954">
        <v>0.18884239999999999</v>
      </c>
      <c r="W954">
        <v>8.4004300000000004E-2</v>
      </c>
      <c r="X954">
        <v>0.97840780000000005</v>
      </c>
      <c r="Y954">
        <v>0.55045659999999996</v>
      </c>
      <c r="Z954">
        <v>5.2748349999999999E-2</v>
      </c>
      <c r="AA954">
        <v>0.83319569999999998</v>
      </c>
      <c r="AB954">
        <v>26</v>
      </c>
      <c r="AC954">
        <v>2.2374000000000001</v>
      </c>
      <c r="AD954">
        <v>-1.102930545005</v>
      </c>
      <c r="AE954">
        <v>-5.5129999999999697</v>
      </c>
      <c r="AF954">
        <v>3.27185589275151</v>
      </c>
      <c r="AG954">
        <v>-1.102930545005</v>
      </c>
      <c r="AH954">
        <v>4.7308638889609398</v>
      </c>
      <c r="AI954">
        <v>100.854463828606</v>
      </c>
      <c r="AJ954">
        <v>55.332344274579903</v>
      </c>
      <c r="AK954">
        <v>5.8568395834197498</v>
      </c>
      <c r="AL954">
        <v>85.1812293158156</v>
      </c>
      <c r="AM954">
        <v>79.075678856116596</v>
      </c>
      <c r="AN954">
        <v>0.99999999877854495</v>
      </c>
    </row>
    <row r="955" spans="1:40" x14ac:dyDescent="0.25">
      <c r="A955" t="str">
        <f>"20190312154523516"</f>
        <v>20190312154523516</v>
      </c>
      <c r="B955" t="str">
        <f>"1552376723507341"</f>
        <v>1552376723507341</v>
      </c>
      <c r="C955" t="s">
        <v>40</v>
      </c>
      <c r="D955">
        <v>4.5054160000000003</v>
      </c>
      <c r="E955">
        <v>0.6634833</v>
      </c>
      <c r="F955" t="s">
        <v>51</v>
      </c>
      <c r="G955">
        <v>-198.6217</v>
      </c>
      <c r="H955" s="1">
        <v>-5.4737870000000003E-6</v>
      </c>
      <c r="I955">
        <v>356.13479999999998</v>
      </c>
      <c r="J955">
        <v>-200.7988</v>
      </c>
      <c r="K955">
        <v>1.1029409999999999</v>
      </c>
      <c r="L955">
        <v>361.64659999999998</v>
      </c>
      <c r="M955">
        <v>0.83080549999999997</v>
      </c>
      <c r="N955">
        <v>0</v>
      </c>
      <c r="O955">
        <v>-0.55636589999999997</v>
      </c>
      <c r="P955">
        <v>0.70867939999999996</v>
      </c>
      <c r="Q955">
        <v>7.1719210000000005E-2</v>
      </c>
      <c r="R955">
        <v>-0.70187630000000001</v>
      </c>
      <c r="S955">
        <v>1.286789</v>
      </c>
      <c r="T955">
        <v>-0.59603619999999902</v>
      </c>
      <c r="U955">
        <v>-3.058014</v>
      </c>
      <c r="V955">
        <v>0.19033630000000001</v>
      </c>
      <c r="W955">
        <v>8.2902840000000005E-2</v>
      </c>
      <c r="X955">
        <v>0.97821219999999998</v>
      </c>
      <c r="Y955">
        <v>0.54930970000000001</v>
      </c>
      <c r="Z955">
        <v>5.4732820000000001E-2</v>
      </c>
      <c r="AA955">
        <v>0.83382440000000002</v>
      </c>
      <c r="AB955">
        <v>26</v>
      </c>
      <c r="AC955">
        <v>2.17709999999999</v>
      </c>
      <c r="AD955">
        <v>-1.1029464737870001</v>
      </c>
      <c r="AE955">
        <v>-5.5117999999999903</v>
      </c>
      <c r="AF955">
        <v>3.25557093302002</v>
      </c>
      <c r="AG955">
        <v>-1.1029464737870001</v>
      </c>
      <c r="AH955">
        <v>4.7126209339451197</v>
      </c>
      <c r="AI955">
        <v>100.89950468550801</v>
      </c>
      <c r="AJ955">
        <v>55.362523127872002</v>
      </c>
      <c r="AK955">
        <v>5.83301200847571</v>
      </c>
      <c r="AL955">
        <v>85.244559002843403</v>
      </c>
      <c r="AM955">
        <v>78.989214243944602</v>
      </c>
      <c r="AN955">
        <v>0.99999994810329595</v>
      </c>
    </row>
    <row r="956" spans="1:40" x14ac:dyDescent="0.25">
      <c r="A956" t="str">
        <f>"20190312154523551"</f>
        <v>20190312154523551</v>
      </c>
      <c r="B956" t="str">
        <f>"1552376723547365"</f>
        <v>1552376723547365</v>
      </c>
      <c r="C956" t="s">
        <v>40</v>
      </c>
      <c r="D956">
        <v>4.5089949999999996</v>
      </c>
      <c r="E956">
        <v>0.65402169999999904</v>
      </c>
      <c r="F956" t="s">
        <v>51</v>
      </c>
      <c r="G956">
        <v>-198.4879</v>
      </c>
      <c r="H956" s="1">
        <v>-5.4041069999999996E-6</v>
      </c>
      <c r="I956">
        <v>355.98910000000001</v>
      </c>
      <c r="J956">
        <v>-200.4759</v>
      </c>
      <c r="K956">
        <v>1.102983</v>
      </c>
      <c r="L956">
        <v>361.40809999999999</v>
      </c>
      <c r="M956">
        <v>0.82192889999999996</v>
      </c>
      <c r="N956">
        <v>0</v>
      </c>
      <c r="O956">
        <v>-0.56939770000000001</v>
      </c>
      <c r="P956">
        <v>0.6974998</v>
      </c>
      <c r="Q956">
        <v>7.2548580000000001E-2</v>
      </c>
      <c r="R956">
        <v>-0.71290369999999903</v>
      </c>
      <c r="S956">
        <v>1.2537689999999999</v>
      </c>
      <c r="T956">
        <v>-0.59840559999999998</v>
      </c>
      <c r="U956">
        <v>-3.0695190000000001</v>
      </c>
      <c r="V956">
        <v>0.190308</v>
      </c>
      <c r="W956">
        <v>8.3748180000000005E-2</v>
      </c>
      <c r="X956">
        <v>0.97814579999999995</v>
      </c>
      <c r="Y956">
        <v>0.54507289999999997</v>
      </c>
      <c r="Z956">
        <v>5.8175339999999999E-2</v>
      </c>
      <c r="AA956">
        <v>0.83636779999999999</v>
      </c>
      <c r="AB956">
        <v>26</v>
      </c>
      <c r="AC956">
        <v>1.98799999999999</v>
      </c>
      <c r="AD956">
        <v>-1.1029884041069999</v>
      </c>
      <c r="AE956">
        <v>-5.4189999999999801</v>
      </c>
      <c r="AF956">
        <v>3.2053905201338302</v>
      </c>
      <c r="AG956">
        <v>-1.1029884041069999</v>
      </c>
      <c r="AH956">
        <v>4.5537977955684701</v>
      </c>
      <c r="AI956">
        <v>101.203317424934</v>
      </c>
      <c r="AJ956">
        <v>54.8585190518369</v>
      </c>
      <c r="AK956">
        <v>5.67698742019767</v>
      </c>
      <c r="AL956">
        <v>85.195956047643193</v>
      </c>
      <c r="AM956">
        <v>78.990082290369003</v>
      </c>
      <c r="AN956">
        <v>1.0000000492874701</v>
      </c>
    </row>
    <row r="957" spans="1:40" x14ac:dyDescent="0.25">
      <c r="A957" t="str">
        <f>"20190312154523572"</f>
        <v>20190312154523572</v>
      </c>
      <c r="B957" t="str">
        <f>"1552376723567861"</f>
        <v>1552376723567861</v>
      </c>
      <c r="C957" t="s">
        <v>40</v>
      </c>
      <c r="D957">
        <v>4.5394370000000004</v>
      </c>
      <c r="E957">
        <v>0.65361340000000001</v>
      </c>
      <c r="F957" t="s">
        <v>51</v>
      </c>
      <c r="G957">
        <v>-197.67949999999999</v>
      </c>
      <c r="H957" s="1">
        <v>-4.6848210000000004E-6</v>
      </c>
      <c r="I957">
        <v>354.65159999999997</v>
      </c>
      <c r="J957">
        <v>-200.26920000000001</v>
      </c>
      <c r="K957">
        <v>1.10301</v>
      </c>
      <c r="L957">
        <v>361.25099999999998</v>
      </c>
      <c r="M957">
        <v>0.81608499999999995</v>
      </c>
      <c r="N957">
        <v>0</v>
      </c>
      <c r="O957">
        <v>-0.57774190000000003</v>
      </c>
      <c r="P957">
        <v>0.6905133</v>
      </c>
      <c r="Q957">
        <v>7.4514990000000003E-2</v>
      </c>
      <c r="R957">
        <v>-0.71947130000000004</v>
      </c>
      <c r="S957">
        <v>1.254532</v>
      </c>
      <c r="T957">
        <v>-0.4948359</v>
      </c>
      <c r="U957">
        <v>-3.031158</v>
      </c>
      <c r="V957">
        <v>0.18974769999999999</v>
      </c>
      <c r="W957">
        <v>8.5733729999999994E-2</v>
      </c>
      <c r="X957">
        <v>0.97808260000000002</v>
      </c>
      <c r="Y957">
        <v>0.53292090000000003</v>
      </c>
      <c r="Z957">
        <v>5.123573E-2</v>
      </c>
      <c r="AA957">
        <v>0.84461249999999999</v>
      </c>
      <c r="AB957">
        <v>26</v>
      </c>
      <c r="AC957">
        <v>2.5897000000000201</v>
      </c>
      <c r="AD957">
        <v>-1.1030146848209901</v>
      </c>
      <c r="AE957">
        <v>-6.5994000000000002</v>
      </c>
      <c r="AF957">
        <v>3.7979801925530601</v>
      </c>
      <c r="AG957">
        <v>-1.1030146848209901</v>
      </c>
      <c r="AH957">
        <v>5.7867329365595701</v>
      </c>
      <c r="AI957">
        <v>99.054204953200397</v>
      </c>
      <c r="AJ957">
        <v>56.722089819333</v>
      </c>
      <c r="AK957">
        <v>7.0091064349900902</v>
      </c>
      <c r="AL957">
        <v>85.081781557954798</v>
      </c>
      <c r="AM957">
        <v>79.021016581468103</v>
      </c>
      <c r="AN957">
        <v>1.0000000172688801</v>
      </c>
    </row>
    <row r="958" spans="1:40" x14ac:dyDescent="0.25">
      <c r="A958" t="str">
        <f>"20190312154523596"</f>
        <v>20190312154523596</v>
      </c>
      <c r="B958" t="str">
        <f>"1552376723587380"</f>
        <v>1552376723587380</v>
      </c>
      <c r="C958" t="s">
        <v>40</v>
      </c>
      <c r="D958">
        <v>4.5315370000000001</v>
      </c>
      <c r="E958">
        <v>0.65318889999999996</v>
      </c>
      <c r="F958" t="s">
        <v>51</v>
      </c>
      <c r="G958">
        <v>-197.5026</v>
      </c>
      <c r="H958" s="1">
        <v>-4.5216479999999997E-6</v>
      </c>
      <c r="I958">
        <v>354.4015</v>
      </c>
      <c r="J958">
        <v>-200.06200000000001</v>
      </c>
      <c r="K958">
        <v>1.1030390000000001</v>
      </c>
      <c r="L958">
        <v>361.09039999999999</v>
      </c>
      <c r="M958">
        <v>0.81009679999999995</v>
      </c>
      <c r="N958">
        <v>0</v>
      </c>
      <c r="O958">
        <v>-0.5861092</v>
      </c>
      <c r="P958">
        <v>0.68386569999999902</v>
      </c>
      <c r="Q958">
        <v>7.5768070000000007E-2</v>
      </c>
      <c r="R958">
        <v>-0.72566319999999995</v>
      </c>
      <c r="S958">
        <v>1.2284550000000001</v>
      </c>
      <c r="T958">
        <v>-0.48977660000000001</v>
      </c>
      <c r="U958">
        <v>-3.0414430000000001</v>
      </c>
      <c r="V958">
        <v>0.18859100000000001</v>
      </c>
      <c r="W958">
        <v>8.7017800000000006E-2</v>
      </c>
      <c r="X958">
        <v>0.97819290000000003</v>
      </c>
      <c r="Y958">
        <v>0.53150109999999995</v>
      </c>
      <c r="Z958">
        <v>5.2326490000000003E-2</v>
      </c>
      <c r="AA958">
        <v>0.84543989999999902</v>
      </c>
      <c r="AB958">
        <v>26</v>
      </c>
      <c r="AC958">
        <v>2.5594000000000099</v>
      </c>
      <c r="AD958">
        <v>-1.1030435216479999</v>
      </c>
      <c r="AE958">
        <v>-6.6888999999999896</v>
      </c>
      <c r="AF958">
        <v>3.8281889220269201</v>
      </c>
      <c r="AG958">
        <v>-1.1030435216479999</v>
      </c>
      <c r="AH958">
        <v>5.8555440912628001</v>
      </c>
      <c r="AI958">
        <v>98.960079758737393</v>
      </c>
      <c r="AJ958">
        <v>56.8244774137493</v>
      </c>
      <c r="AK958">
        <v>7.0823112073744596</v>
      </c>
      <c r="AL958">
        <v>85.007933710502797</v>
      </c>
      <c r="AM958">
        <v>79.087533517274906</v>
      </c>
      <c r="AN958">
        <v>1.0000000062041201</v>
      </c>
    </row>
    <row r="959" spans="1:40" x14ac:dyDescent="0.25">
      <c r="A959" t="str">
        <f>"20190312154523618"</f>
        <v>20190312154523618</v>
      </c>
      <c r="B959" t="str">
        <f>"1552376723606900"</f>
        <v>1552376723606900</v>
      </c>
      <c r="C959" t="s">
        <v>40</v>
      </c>
      <c r="D959">
        <v>4.5167599999999997</v>
      </c>
      <c r="E959">
        <v>0.64643450000000002</v>
      </c>
      <c r="F959" t="s">
        <v>51</v>
      </c>
      <c r="G959">
        <v>-197.31970000000001</v>
      </c>
      <c r="H959" s="1">
        <v>-4.3471990000000003E-6</v>
      </c>
      <c r="I959">
        <v>354.1354</v>
      </c>
      <c r="J959">
        <v>-199.85769999999999</v>
      </c>
      <c r="K959">
        <v>1.1030610000000001</v>
      </c>
      <c r="L959">
        <v>360.92849999999999</v>
      </c>
      <c r="M959">
        <v>0.80406129999999998</v>
      </c>
      <c r="N959">
        <v>0</v>
      </c>
      <c r="O959">
        <v>-0.5943621</v>
      </c>
      <c r="P959">
        <v>0.67693709999999996</v>
      </c>
      <c r="Q959">
        <v>7.5210810000000003E-2</v>
      </c>
      <c r="R959">
        <v>-0.73218850000000002</v>
      </c>
      <c r="S959">
        <v>1.203033</v>
      </c>
      <c r="T959">
        <v>-0.48389300000000002</v>
      </c>
      <c r="U959">
        <v>-3.051056</v>
      </c>
      <c r="V959">
        <v>0.187918</v>
      </c>
      <c r="W959">
        <v>8.6482900000000001E-2</v>
      </c>
      <c r="X959">
        <v>0.97836979999999996</v>
      </c>
      <c r="Y959">
        <v>0.52991149999999998</v>
      </c>
      <c r="Z959">
        <v>5.3293649999999998E-2</v>
      </c>
      <c r="AA959">
        <v>0.84637680000000004</v>
      </c>
      <c r="AB959">
        <v>26</v>
      </c>
      <c r="AC959">
        <v>2.5379999999999798</v>
      </c>
      <c r="AD959">
        <v>-1.103065347199</v>
      </c>
      <c r="AE959">
        <v>-6.7930999999999804</v>
      </c>
      <c r="AF959">
        <v>3.8645935312358599</v>
      </c>
      <c r="AG959">
        <v>-1.103065347199</v>
      </c>
      <c r="AH959">
        <v>5.9414634743165999</v>
      </c>
      <c r="AI959">
        <v>98.845980888577202</v>
      </c>
      <c r="AJ959">
        <v>56.958223650117503</v>
      </c>
      <c r="AK959">
        <v>7.1730624239929499</v>
      </c>
      <c r="AL959">
        <v>85.038696999673306</v>
      </c>
      <c r="AM959">
        <v>79.127464695376602</v>
      </c>
      <c r="AN959">
        <v>0.99999996613422404</v>
      </c>
    </row>
    <row r="960" spans="1:40" x14ac:dyDescent="0.25">
      <c r="A960" t="str">
        <f>"20190312154523641"</f>
        <v>20190312154523641</v>
      </c>
      <c r="B960" t="str">
        <f>"1552376723637156"</f>
        <v>1552376723637156</v>
      </c>
      <c r="C960" t="s">
        <v>40</v>
      </c>
      <c r="D960">
        <v>4.5498320000000003</v>
      </c>
      <c r="E960">
        <v>0.6457039</v>
      </c>
      <c r="F960" t="s">
        <v>51</v>
      </c>
      <c r="G960">
        <v>-197.3039</v>
      </c>
      <c r="H960" s="1">
        <v>-4.5587750000000002E-6</v>
      </c>
      <c r="I960">
        <v>354.56279999999998</v>
      </c>
      <c r="J960">
        <v>-199.65690000000001</v>
      </c>
      <c r="K960">
        <v>1.1030740000000001</v>
      </c>
      <c r="L960">
        <v>360.76620000000003</v>
      </c>
      <c r="M960">
        <v>0.79799809999999904</v>
      </c>
      <c r="N960">
        <v>0</v>
      </c>
      <c r="O960">
        <v>-0.60247839999999997</v>
      </c>
      <c r="P960">
        <v>0.67013679999999998</v>
      </c>
      <c r="Q960">
        <v>7.3660039999999996E-2</v>
      </c>
      <c r="R960">
        <v>-0.73857390000000001</v>
      </c>
      <c r="S960">
        <v>1.214798</v>
      </c>
      <c r="T960">
        <v>-0.52471080000000003</v>
      </c>
      <c r="U960">
        <v>-3.028076</v>
      </c>
      <c r="V960">
        <v>0.18714600000000001</v>
      </c>
      <c r="W960">
        <v>8.4956939999999995E-2</v>
      </c>
      <c r="X960">
        <v>0.97865150000000001</v>
      </c>
      <c r="Y960">
        <v>0.51637409999999995</v>
      </c>
      <c r="Z960">
        <v>6.0667760000000001E-2</v>
      </c>
      <c r="AA960">
        <v>0.85421150000000001</v>
      </c>
      <c r="AB960">
        <v>26</v>
      </c>
      <c r="AC960">
        <v>2.3530000000000002</v>
      </c>
      <c r="AD960">
        <v>-1.1030785587749901</v>
      </c>
      <c r="AE960">
        <v>-6.2034000000000402</v>
      </c>
      <c r="AF960">
        <v>3.43802132279315</v>
      </c>
      <c r="AG960">
        <v>-1.1030785587749901</v>
      </c>
      <c r="AH960">
        <v>5.4646623757305504</v>
      </c>
      <c r="AI960">
        <v>99.695688552044501</v>
      </c>
      <c r="AJ960">
        <v>57.824482965856497</v>
      </c>
      <c r="AK960">
        <v>6.5497563163475503</v>
      </c>
      <c r="AL960">
        <v>85.126451403084303</v>
      </c>
      <c r="AM960">
        <v>79.174116143956297</v>
      </c>
      <c r="AN960">
        <v>1.0000000327112</v>
      </c>
    </row>
    <row r="961" spans="1:40" x14ac:dyDescent="0.25">
      <c r="A961" t="str">
        <f>"20190312154523663"</f>
        <v>20190312154523663</v>
      </c>
      <c r="B961" t="str">
        <f>"1552376723657653"</f>
        <v>1552376723657653</v>
      </c>
      <c r="C961" t="s">
        <v>40</v>
      </c>
      <c r="D961">
        <v>4.5942439999999998</v>
      </c>
      <c r="E961">
        <v>0.64595930000000001</v>
      </c>
      <c r="F961" t="s">
        <v>51</v>
      </c>
      <c r="G961">
        <v>-197.1788</v>
      </c>
      <c r="H961" s="1">
        <v>-4.4716739999999996E-6</v>
      </c>
      <c r="I961">
        <v>354.44490000000002</v>
      </c>
      <c r="J961">
        <v>-199.4528</v>
      </c>
      <c r="K961">
        <v>1.1030879999999901</v>
      </c>
      <c r="L961">
        <v>360.59769999999997</v>
      </c>
      <c r="M961">
        <v>0.79169789999999995</v>
      </c>
      <c r="N961">
        <v>0</v>
      </c>
      <c r="O961">
        <v>-0.61073359999999999</v>
      </c>
      <c r="P961">
        <v>0.66274759999999999</v>
      </c>
      <c r="Q961">
        <v>7.210577E-2</v>
      </c>
      <c r="R961">
        <v>-0.74536359999999902</v>
      </c>
      <c r="S961">
        <v>1.1898500000000001</v>
      </c>
      <c r="T961">
        <v>-0.5296206</v>
      </c>
      <c r="U961">
        <v>-3.0350649999999999</v>
      </c>
      <c r="V961">
        <v>0.18681780000000001</v>
      </c>
      <c r="W961">
        <v>8.3417939999999996E-2</v>
      </c>
      <c r="X961">
        <v>0.97884649999999995</v>
      </c>
      <c r="Y961">
        <v>0.51430580000000004</v>
      </c>
      <c r="Z961">
        <v>6.304688E-2</v>
      </c>
      <c r="AA961">
        <v>0.85528630000000005</v>
      </c>
      <c r="AB961">
        <v>26</v>
      </c>
      <c r="AC961">
        <v>2.274</v>
      </c>
      <c r="AD961">
        <v>-1.10309247167399</v>
      </c>
      <c r="AE961">
        <v>-6.1527999999999503</v>
      </c>
      <c r="AF961">
        <v>3.3869504251846401</v>
      </c>
      <c r="AG961">
        <v>-1.10309247167399</v>
      </c>
      <c r="AH961">
        <v>5.4057782040529299</v>
      </c>
      <c r="AI961">
        <v>99.810619405999503</v>
      </c>
      <c r="AJ961">
        <v>57.9311027637062</v>
      </c>
      <c r="AK961">
        <v>6.4738461655445603</v>
      </c>
      <c r="AL961">
        <v>85.214943403447506</v>
      </c>
      <c r="AM961">
        <v>79.194756394620995</v>
      </c>
      <c r="AN961">
        <v>0.99999995683646503</v>
      </c>
    </row>
    <row r="962" spans="1:40" x14ac:dyDescent="0.25">
      <c r="A962" t="str">
        <f>"20190312154523686"</f>
        <v>20190312154523686</v>
      </c>
      <c r="B962" t="str">
        <f>"1552376723677172"</f>
        <v>1552376723677172</v>
      </c>
      <c r="C962" t="s">
        <v>40</v>
      </c>
      <c r="D962">
        <v>4.5842029999999996</v>
      </c>
      <c r="E962">
        <v>0.65036640000000001</v>
      </c>
      <c r="F962" t="s">
        <v>51</v>
      </c>
      <c r="G962">
        <v>-197.06800000000001</v>
      </c>
      <c r="H962" s="1">
        <v>-4.3843480000000002E-6</v>
      </c>
      <c r="I962">
        <v>354.32010000000002</v>
      </c>
      <c r="J962">
        <v>-199.24719999999999</v>
      </c>
      <c r="K962">
        <v>1.1031089999999999</v>
      </c>
      <c r="L962">
        <v>360.4239</v>
      </c>
      <c r="M962">
        <v>0.78520040000000002</v>
      </c>
      <c r="N962">
        <v>0</v>
      </c>
      <c r="O962">
        <v>-0.61906490000000003</v>
      </c>
      <c r="P962">
        <v>0.65483309999999995</v>
      </c>
      <c r="Q962">
        <v>7.2045700000000004E-2</v>
      </c>
      <c r="R962">
        <v>-0.752332</v>
      </c>
      <c r="S962">
        <v>1.1576690000000001</v>
      </c>
      <c r="T962">
        <v>-0.53548370000000001</v>
      </c>
      <c r="U962">
        <v>-3.0473940000000002</v>
      </c>
      <c r="V962">
        <v>0.18681890000000001</v>
      </c>
      <c r="W962">
        <v>8.3364729999999998E-2</v>
      </c>
      <c r="X962">
        <v>0.97885089999999997</v>
      </c>
      <c r="Y962">
        <v>0.51434799999999903</v>
      </c>
      <c r="Z962">
        <v>6.5373440000000005E-2</v>
      </c>
      <c r="AA962">
        <v>0.85508619999999902</v>
      </c>
      <c r="AB962">
        <v>25</v>
      </c>
      <c r="AC962">
        <v>2.1791999999999998</v>
      </c>
      <c r="AD962">
        <v>-1.1031133843479899</v>
      </c>
      <c r="AE962">
        <v>-6.1037999999999704</v>
      </c>
      <c r="AF962">
        <v>3.3470555909156801</v>
      </c>
      <c r="AG962">
        <v>-1.1031133843479899</v>
      </c>
      <c r="AH962">
        <v>5.33578485952986</v>
      </c>
      <c r="AI962">
        <v>99.933696613601796</v>
      </c>
      <c r="AJ962">
        <v>57.900585192640598</v>
      </c>
      <c r="AK962">
        <v>6.3945477036765999</v>
      </c>
      <c r="AL962">
        <v>85.218003128508201</v>
      </c>
      <c r="AM962">
        <v>79.1947416972978</v>
      </c>
      <c r="AN962">
        <v>1.00000003201799</v>
      </c>
    </row>
    <row r="963" spans="1:40" x14ac:dyDescent="0.25">
      <c r="A963" t="str">
        <f>"20190312154523706"</f>
        <v>20190312154523706</v>
      </c>
      <c r="B963" t="str">
        <f>"1552376723697677"</f>
        <v>1552376723697677</v>
      </c>
      <c r="C963" t="s">
        <v>40</v>
      </c>
      <c r="D963">
        <v>4.6108719999999996</v>
      </c>
      <c r="E963">
        <v>0.65220480000000003</v>
      </c>
      <c r="F963" t="s">
        <v>51</v>
      </c>
      <c r="G963">
        <v>-197.04570000000001</v>
      </c>
      <c r="H963" s="1">
        <v>-4.3449480000000002E-6</v>
      </c>
      <c r="I963">
        <v>354.25170000000003</v>
      </c>
      <c r="J963">
        <v>-199.0703</v>
      </c>
      <c r="K963">
        <v>1.1031299999999999</v>
      </c>
      <c r="L963">
        <v>360.27159999999998</v>
      </c>
      <c r="M963">
        <v>0.77949309999999905</v>
      </c>
      <c r="N963">
        <v>0</v>
      </c>
      <c r="O963">
        <v>-0.62623629999999997</v>
      </c>
      <c r="P963">
        <v>0.64766809999999997</v>
      </c>
      <c r="Q963">
        <v>7.2750609999999993E-2</v>
      </c>
      <c r="R963">
        <v>-0.75844199999999995</v>
      </c>
      <c r="S963">
        <v>1.099701</v>
      </c>
      <c r="T963">
        <v>-0.55102209999999996</v>
      </c>
      <c r="U963">
        <v>-3.0831300000000001</v>
      </c>
      <c r="V963">
        <v>0.1870869</v>
      </c>
      <c r="W963">
        <v>8.4068920000000005E-2</v>
      </c>
      <c r="X963">
        <v>0.97873940000000004</v>
      </c>
      <c r="Y963">
        <v>0.52390369999999997</v>
      </c>
      <c r="Z963">
        <v>6.7633109999999996E-2</v>
      </c>
      <c r="AA963">
        <v>0.84908809999999901</v>
      </c>
      <c r="AB963">
        <v>25</v>
      </c>
      <c r="AC963">
        <v>2.0245999999999902</v>
      </c>
      <c r="AD963">
        <v>-1.103134344948</v>
      </c>
      <c r="AE963">
        <v>-6.0198999999999501</v>
      </c>
      <c r="AF963">
        <v>3.3246696801949498</v>
      </c>
      <c r="AG963">
        <v>-1.103134344948</v>
      </c>
      <c r="AH963">
        <v>5.1919963808631202</v>
      </c>
      <c r="AI963">
        <v>100.144462445074</v>
      </c>
      <c r="AJ963">
        <v>57.366730037123403</v>
      </c>
      <c r="AK963">
        <v>6.2631589700651196</v>
      </c>
      <c r="AL963">
        <v>85.177513494502605</v>
      </c>
      <c r="AM963">
        <v>79.178403178659593</v>
      </c>
      <c r="AN963">
        <v>0.99999995228696703</v>
      </c>
    </row>
    <row r="964" spans="1:40" x14ac:dyDescent="0.25">
      <c r="A964" t="str">
        <f>"20190312154523729"</f>
        <v>20190312154523729</v>
      </c>
      <c r="B964" t="str">
        <f>"1552376723726948"</f>
        <v>1552376723726948</v>
      </c>
      <c r="C964" t="s">
        <v>40</v>
      </c>
      <c r="D964">
        <v>4.6072989999999896</v>
      </c>
      <c r="E964">
        <v>0.65402740000000004</v>
      </c>
      <c r="F964" t="s">
        <v>51</v>
      </c>
      <c r="G964">
        <v>-196.9435</v>
      </c>
      <c r="H964" s="1">
        <v>-4.2164470000000002E-6</v>
      </c>
      <c r="I964">
        <v>354.04129999999998</v>
      </c>
      <c r="J964">
        <v>-198.87209999999999</v>
      </c>
      <c r="K964">
        <v>1.103148</v>
      </c>
      <c r="L964">
        <v>360.09739999999999</v>
      </c>
      <c r="M964">
        <v>0.77296189999999998</v>
      </c>
      <c r="N964">
        <v>0</v>
      </c>
      <c r="O964">
        <v>-0.63427999999999995</v>
      </c>
      <c r="P964">
        <v>0.63922179999999995</v>
      </c>
      <c r="Q964">
        <v>7.2426969999999993E-2</v>
      </c>
      <c r="R964">
        <v>-0.76560430000000002</v>
      </c>
      <c r="S964">
        <v>1.059418</v>
      </c>
      <c r="T964">
        <v>-0.54950639999999995</v>
      </c>
      <c r="U964">
        <v>-3.103485</v>
      </c>
      <c r="V964">
        <v>0.18780740000000001</v>
      </c>
      <c r="W964">
        <v>8.373775E-2</v>
      </c>
      <c r="X964">
        <v>0.97862979999999999</v>
      </c>
      <c r="Y964">
        <v>0.52670550000000005</v>
      </c>
      <c r="Z964">
        <v>6.8738010000000002E-2</v>
      </c>
      <c r="AA964">
        <v>0.84726409999999996</v>
      </c>
      <c r="AB964">
        <v>25</v>
      </c>
      <c r="AC964">
        <v>1.9285999999999801</v>
      </c>
      <c r="AD964">
        <v>-1.103152216447</v>
      </c>
      <c r="AE964">
        <v>-6.0561000000000096</v>
      </c>
      <c r="AF964">
        <v>3.3571059985695699</v>
      </c>
      <c r="AG964">
        <v>-1.103152216447</v>
      </c>
      <c r="AH964">
        <v>5.1766321937608</v>
      </c>
      <c r="AI964">
        <v>100.13712750451801</v>
      </c>
      <c r="AJ964">
        <v>57.0361235558942</v>
      </c>
      <c r="AK964">
        <v>6.2677449188495604</v>
      </c>
      <c r="AL964">
        <v>85.196555308908302</v>
      </c>
      <c r="AM964">
        <v>79.136529618294205</v>
      </c>
      <c r="AN964">
        <v>0.99999995785893003</v>
      </c>
    </row>
    <row r="965" spans="1:40" x14ac:dyDescent="0.25">
      <c r="A965" t="str">
        <f>"20190312154523752"</f>
        <v>20190312154523752</v>
      </c>
      <c r="B965" t="str">
        <f>"1552376723747445"</f>
        <v>1552376723747445</v>
      </c>
      <c r="C965" t="s">
        <v>40</v>
      </c>
      <c r="D965">
        <v>4.5995359999999996</v>
      </c>
      <c r="E965">
        <v>0.65458019999999995</v>
      </c>
      <c r="F965" t="s">
        <v>51</v>
      </c>
      <c r="G965">
        <v>-196.8648</v>
      </c>
      <c r="H965" s="1">
        <v>-4.1343380000000002E-6</v>
      </c>
      <c r="I965">
        <v>353.9128</v>
      </c>
      <c r="J965">
        <v>-198.6808</v>
      </c>
      <c r="K965">
        <v>1.1031709999999999</v>
      </c>
      <c r="L965">
        <v>359.92579999999998</v>
      </c>
      <c r="M965">
        <v>0.76652159999999903</v>
      </c>
      <c r="N965">
        <v>0</v>
      </c>
      <c r="O965">
        <v>-0.64204819999999996</v>
      </c>
      <c r="P965">
        <v>0.63132919999999904</v>
      </c>
      <c r="Q965">
        <v>7.1927920000000006E-2</v>
      </c>
      <c r="R965">
        <v>-0.77217259999999999</v>
      </c>
      <c r="S965">
        <v>1.01413</v>
      </c>
      <c r="T965">
        <v>-0.55733880000000002</v>
      </c>
      <c r="U965">
        <v>-3.1245729999999998</v>
      </c>
      <c r="V965">
        <v>0.18800049999999999</v>
      </c>
      <c r="W965">
        <v>8.3240699999999904E-2</v>
      </c>
      <c r="X965">
        <v>0.97863520000000004</v>
      </c>
      <c r="Y965">
        <v>0.53095439999999905</v>
      </c>
      <c r="Z965">
        <v>7.0837800000000006E-2</v>
      </c>
      <c r="AA965">
        <v>0.84443440000000003</v>
      </c>
      <c r="AB965">
        <v>25</v>
      </c>
      <c r="AC965">
        <v>1.8160000000000001</v>
      </c>
      <c r="AD965">
        <v>-1.1031751343380001</v>
      </c>
      <c r="AE965">
        <v>-6.0129999999999697</v>
      </c>
      <c r="AF965">
        <v>3.3404716040947098</v>
      </c>
      <c r="AG965">
        <v>-1.1031751343380001</v>
      </c>
      <c r="AH965">
        <v>5.0960221910772798</v>
      </c>
      <c r="AI965">
        <v>100.26209751048501</v>
      </c>
      <c r="AJ965">
        <v>56.754930120081198</v>
      </c>
      <c r="AK965">
        <v>6.19234915736644</v>
      </c>
      <c r="AL965">
        <v>85.225134292467303</v>
      </c>
      <c r="AM965">
        <v>79.125684751795802</v>
      </c>
      <c r="AN965">
        <v>1.00000002840788</v>
      </c>
    </row>
    <row r="966" spans="1:40" x14ac:dyDescent="0.25">
      <c r="A966" t="str">
        <f>"20190312154523774"</f>
        <v>20190312154523774</v>
      </c>
      <c r="B966" t="str">
        <f>"1552376723766968"</f>
        <v>1552376723766968</v>
      </c>
      <c r="C966" t="s">
        <v>40</v>
      </c>
      <c r="D966">
        <v>4.6014609999999996</v>
      </c>
      <c r="E966">
        <v>0.65493179999999995</v>
      </c>
      <c r="F966" t="s">
        <v>51</v>
      </c>
      <c r="G966">
        <v>-196.75129999999999</v>
      </c>
      <c r="H966" s="1">
        <v>-4.0227130000000002E-6</v>
      </c>
      <c r="I966">
        <v>353.74110000000002</v>
      </c>
      <c r="J966">
        <v>-198.4906</v>
      </c>
      <c r="K966">
        <v>1.1031879999999901</v>
      </c>
      <c r="L966">
        <v>359.7516</v>
      </c>
      <c r="M966">
        <v>0.75997559999999997</v>
      </c>
      <c r="N966">
        <v>0</v>
      </c>
      <c r="O966">
        <v>-0.64978329999999995</v>
      </c>
      <c r="P966">
        <v>0.62343590000000004</v>
      </c>
      <c r="Q966">
        <v>7.05654E-2</v>
      </c>
      <c r="R966">
        <v>-0.77868359999999903</v>
      </c>
      <c r="S966">
        <v>0.97872919999999997</v>
      </c>
      <c r="T966">
        <v>-0.55955600000000005</v>
      </c>
      <c r="U966">
        <v>-3.137054</v>
      </c>
      <c r="V966">
        <v>0.18811269999999999</v>
      </c>
      <c r="W966">
        <v>8.1882559999999993E-2</v>
      </c>
      <c r="X966">
        <v>0.97872820000000005</v>
      </c>
      <c r="Y966">
        <v>0.53205590000000003</v>
      </c>
      <c r="Z966">
        <v>7.2613330000000004E-2</v>
      </c>
      <c r="AA966">
        <v>0.84358979999999995</v>
      </c>
      <c r="AB966">
        <v>25</v>
      </c>
      <c r="AC966">
        <v>1.7393000000000101</v>
      </c>
      <c r="AD966">
        <v>-1.1031920227130001</v>
      </c>
      <c r="AE966">
        <v>-6.0104999999999702</v>
      </c>
      <c r="AF966">
        <v>3.33439047920506</v>
      </c>
      <c r="AG966">
        <v>-1.1031920227130001</v>
      </c>
      <c r="AH966">
        <v>5.07030743845442</v>
      </c>
      <c r="AI966">
        <v>100.303348500346</v>
      </c>
      <c r="AJ966">
        <v>56.669847108771499</v>
      </c>
      <c r="AK966">
        <v>6.1679178032166702</v>
      </c>
      <c r="AL966">
        <v>85.303216501564293</v>
      </c>
      <c r="AM966">
        <v>79.120358967813303</v>
      </c>
      <c r="AN966">
        <v>1.00000001550434</v>
      </c>
    </row>
    <row r="967" spans="1:40" x14ac:dyDescent="0.25">
      <c r="A967" t="str">
        <f>"20190312154523796"</f>
        <v>20190312154523796</v>
      </c>
      <c r="B967" t="str">
        <f>"1552376723787478"</f>
        <v>1552376723787478</v>
      </c>
      <c r="C967" t="s">
        <v>40</v>
      </c>
      <c r="D967">
        <v>4.6501599999999996</v>
      </c>
      <c r="E967">
        <v>0.65484039999999999</v>
      </c>
      <c r="F967" t="s">
        <v>51</v>
      </c>
      <c r="G967">
        <v>-196.6437</v>
      </c>
      <c r="H967" s="1">
        <v>-3.924396E-6</v>
      </c>
      <c r="I967">
        <v>353.59309999999999</v>
      </c>
      <c r="J967">
        <v>-198.30709999999999</v>
      </c>
      <c r="K967">
        <v>1.1032029999999999</v>
      </c>
      <c r="L967">
        <v>359.58030000000002</v>
      </c>
      <c r="M967">
        <v>0.753529</v>
      </c>
      <c r="N967">
        <v>0</v>
      </c>
      <c r="O967">
        <v>-0.65724839999999995</v>
      </c>
      <c r="P967">
        <v>0.61596549999999906</v>
      </c>
      <c r="Q967">
        <v>7.0032220000000006E-2</v>
      </c>
      <c r="R967">
        <v>-0.78465410000000002</v>
      </c>
      <c r="S967">
        <v>0.94401550000000001</v>
      </c>
      <c r="T967">
        <v>-0.56389509999999998</v>
      </c>
      <c r="U967">
        <v>-3.1479490000000001</v>
      </c>
      <c r="V967">
        <v>0.1878348</v>
      </c>
      <c r="W967">
        <v>8.1359790000000001E-2</v>
      </c>
      <c r="X967">
        <v>0.97882519999999995</v>
      </c>
      <c r="Y967">
        <v>0.53308769999999905</v>
      </c>
      <c r="Z967">
        <v>7.4650720000000004E-2</v>
      </c>
      <c r="AA967">
        <v>0.84276010000000001</v>
      </c>
      <c r="AB967">
        <v>25</v>
      </c>
      <c r="AC967">
        <v>1.66339999999999</v>
      </c>
      <c r="AD967">
        <v>-1.1032069243960001</v>
      </c>
      <c r="AE967">
        <v>-5.9872000000000298</v>
      </c>
      <c r="AF967">
        <v>3.3141753361554498</v>
      </c>
      <c r="AG967">
        <v>-1.1032069243960001</v>
      </c>
      <c r="AH967">
        <v>5.0305073480366804</v>
      </c>
      <c r="AI967">
        <v>100.37771284627</v>
      </c>
      <c r="AJ967">
        <v>56.622495740982302</v>
      </c>
      <c r="AK967">
        <v>6.12428182364817</v>
      </c>
      <c r="AL967">
        <v>85.3332694500466</v>
      </c>
      <c r="AM967">
        <v>79.137099764714705</v>
      </c>
      <c r="AN967">
        <v>1.0000000498374599</v>
      </c>
    </row>
    <row r="968" spans="1:40" x14ac:dyDescent="0.25">
      <c r="A968" t="str">
        <f>"20190312154523819"</f>
        <v>20190312154523819</v>
      </c>
      <c r="B968" t="str">
        <f>"1552376723816741"</f>
        <v>1552376723816741</v>
      </c>
      <c r="C968" t="s">
        <v>40</v>
      </c>
      <c r="D968">
        <v>4.6523379999999896</v>
      </c>
      <c r="E968">
        <v>0.65485000000000004</v>
      </c>
      <c r="F968" t="s">
        <v>51</v>
      </c>
      <c r="G968">
        <v>-196.51660000000001</v>
      </c>
      <c r="H968" s="1">
        <v>-3.7988430000000001E-6</v>
      </c>
      <c r="I968">
        <v>353.39960000000002</v>
      </c>
      <c r="J968">
        <v>-198.11429999999999</v>
      </c>
      <c r="K968">
        <v>1.103221</v>
      </c>
      <c r="L968">
        <v>359.39659999999998</v>
      </c>
      <c r="M968">
        <v>0.74660979999999999</v>
      </c>
      <c r="N968">
        <v>0</v>
      </c>
      <c r="O968">
        <v>-0.66509810000000003</v>
      </c>
      <c r="P968">
        <v>0.60759529999999995</v>
      </c>
      <c r="Q968">
        <v>6.8821830000000001E-2</v>
      </c>
      <c r="R968">
        <v>-0.7912595</v>
      </c>
      <c r="S968">
        <v>0.91424559999999999</v>
      </c>
      <c r="T968">
        <v>-0.56331009999999904</v>
      </c>
      <c r="U968">
        <v>-3.155945</v>
      </c>
      <c r="V968">
        <v>0.18804480000000001</v>
      </c>
      <c r="W968">
        <v>8.0151159999999999E-2</v>
      </c>
      <c r="X968">
        <v>0.97888459999999999</v>
      </c>
      <c r="Y968">
        <v>0.53219879999999997</v>
      </c>
      <c r="Z968">
        <v>7.6326690000000003E-2</v>
      </c>
      <c r="AA968">
        <v>0.84317180000000003</v>
      </c>
      <c r="AB968">
        <v>25</v>
      </c>
      <c r="AC968">
        <v>1.5976999999999699</v>
      </c>
      <c r="AD968">
        <v>-1.103224798843</v>
      </c>
      <c r="AE968">
        <v>-5.9969999999999501</v>
      </c>
      <c r="AF968">
        <v>3.3105529226573598</v>
      </c>
      <c r="AG968">
        <v>-1.103224798843</v>
      </c>
      <c r="AH968">
        <v>5.0232844838983404</v>
      </c>
      <c r="AI968">
        <v>100.39141819786801</v>
      </c>
      <c r="AJ968">
        <v>56.613460215348198</v>
      </c>
      <c r="AK968">
        <v>6.11639212417509</v>
      </c>
      <c r="AL968">
        <v>85.402745798646805</v>
      </c>
      <c r="AM968">
        <v>79.125888583676698</v>
      </c>
      <c r="AN968">
        <v>1.00000005768677</v>
      </c>
    </row>
    <row r="969" spans="1:40" x14ac:dyDescent="0.25">
      <c r="A969" t="str">
        <f>"20190312154523841"</f>
        <v>20190312154523841</v>
      </c>
      <c r="B969" t="str">
        <f>"1552376723837237"</f>
        <v>1552376723837237</v>
      </c>
      <c r="C969" t="s">
        <v>40</v>
      </c>
      <c r="D969">
        <v>4.6445949999999998</v>
      </c>
      <c r="E969">
        <v>0.65458909999999904</v>
      </c>
      <c r="F969" t="s">
        <v>51</v>
      </c>
      <c r="G969">
        <v>-196.40049999999999</v>
      </c>
      <c r="H969" s="1">
        <v>-3.6897640000000001E-6</v>
      </c>
      <c r="I969">
        <v>353.23399999999998</v>
      </c>
      <c r="J969">
        <v>-197.9427</v>
      </c>
      <c r="K969">
        <v>1.1032329999999999</v>
      </c>
      <c r="L969">
        <v>359.22969999999998</v>
      </c>
      <c r="M969">
        <v>0.74031559999999996</v>
      </c>
      <c r="N969">
        <v>0</v>
      </c>
      <c r="O969">
        <v>-0.67209719999999995</v>
      </c>
      <c r="P969">
        <v>0.60040579999999999</v>
      </c>
      <c r="Q969">
        <v>6.6830089999999995E-2</v>
      </c>
      <c r="R969">
        <v>-0.7968982</v>
      </c>
      <c r="S969">
        <v>0.88015750000000004</v>
      </c>
      <c r="T969">
        <v>-0.56656549999999894</v>
      </c>
      <c r="U969">
        <v>-3.1648559999999999</v>
      </c>
      <c r="V969">
        <v>0.18778139999999999</v>
      </c>
      <c r="W969">
        <v>7.8170409999999996E-2</v>
      </c>
      <c r="X969">
        <v>0.9790953</v>
      </c>
      <c r="Y969">
        <v>0.53330919999999904</v>
      </c>
      <c r="Z969">
        <v>7.8182420000000002E-2</v>
      </c>
      <c r="AA969">
        <v>0.84229979999999904</v>
      </c>
      <c r="AB969">
        <v>25</v>
      </c>
      <c r="AC969">
        <v>1.5422</v>
      </c>
      <c r="AD969">
        <v>-1.10323668976399</v>
      </c>
      <c r="AE969">
        <v>-5.9956999999999399</v>
      </c>
      <c r="AF969">
        <v>3.29784459005633</v>
      </c>
      <c r="AG969">
        <v>-1.10323668976399</v>
      </c>
      <c r="AH969">
        <v>5.0127828572583502</v>
      </c>
      <c r="AI969">
        <v>100.41822430862599</v>
      </c>
      <c r="AJ969">
        <v>56.659602717724397</v>
      </c>
      <c r="AK969">
        <v>6.1008935499505696</v>
      </c>
      <c r="AL969">
        <v>85.516591596890095</v>
      </c>
      <c r="AM969">
        <v>79.143039231879797</v>
      </c>
      <c r="AN969">
        <v>1.0000000368338</v>
      </c>
    </row>
    <row r="970" spans="1:40" x14ac:dyDescent="0.25">
      <c r="A970" t="str">
        <f>"20190312154523864"</f>
        <v>20190312154523864</v>
      </c>
      <c r="B970" t="str">
        <f>"1552376723857733"</f>
        <v>1552376723857733</v>
      </c>
      <c r="C970" t="s">
        <v>40</v>
      </c>
      <c r="D970">
        <v>4.6644920000000001</v>
      </c>
      <c r="E970">
        <v>0.65444199999999997</v>
      </c>
      <c r="F970" t="s">
        <v>51</v>
      </c>
      <c r="G970">
        <v>-196.30009999999999</v>
      </c>
      <c r="H970" s="1">
        <v>-3.6105680000000002E-6</v>
      </c>
      <c r="I970">
        <v>353.12079999999997</v>
      </c>
      <c r="J970">
        <v>-197.7499</v>
      </c>
      <c r="K970">
        <v>1.1032459999999999</v>
      </c>
      <c r="L970">
        <v>359.03859999999997</v>
      </c>
      <c r="M970">
        <v>0.7330989</v>
      </c>
      <c r="N970">
        <v>0</v>
      </c>
      <c r="O970">
        <v>-0.67996219999999996</v>
      </c>
      <c r="P970">
        <v>0.59195390000000003</v>
      </c>
      <c r="Q970">
        <v>6.428789E-2</v>
      </c>
      <c r="R970">
        <v>-0.80340400000000001</v>
      </c>
      <c r="S970">
        <v>0.85243230000000003</v>
      </c>
      <c r="T970">
        <v>-0.57255299999999998</v>
      </c>
      <c r="U970">
        <v>-3.1703800000000002</v>
      </c>
      <c r="V970">
        <v>0.1877781</v>
      </c>
      <c r="W970">
        <v>7.5634960000000001E-2</v>
      </c>
      <c r="X970">
        <v>0.97929500000000003</v>
      </c>
      <c r="Y970">
        <v>0.53157940000000004</v>
      </c>
      <c r="Z970">
        <v>8.0885020000000002E-2</v>
      </c>
      <c r="AA970">
        <v>0.84313760000000004</v>
      </c>
      <c r="AB970">
        <v>25</v>
      </c>
      <c r="AC970">
        <v>1.44980000000001</v>
      </c>
      <c r="AD970">
        <v>-1.1032496105680001</v>
      </c>
      <c r="AE970">
        <v>-5.9177999999999997</v>
      </c>
      <c r="AF970">
        <v>3.2464440420479899</v>
      </c>
      <c r="AG970">
        <v>-1.1032496105680001</v>
      </c>
      <c r="AH970">
        <v>4.9257745684010104</v>
      </c>
      <c r="AI970">
        <v>100.592597472484</v>
      </c>
      <c r="AJ970">
        <v>56.612209739134101</v>
      </c>
      <c r="AK970">
        <v>6.0016509162124301</v>
      </c>
      <c r="AL970">
        <v>85.662293448103597</v>
      </c>
      <c r="AM970">
        <v>79.145386831525499</v>
      </c>
      <c r="AN970">
        <v>0.999999979519405</v>
      </c>
    </row>
    <row r="971" spans="1:40" x14ac:dyDescent="0.25">
      <c r="A971" t="str">
        <f>"20190312154523888"</f>
        <v>20190312154523888</v>
      </c>
      <c r="B971" t="str">
        <f>"1552376723877253"</f>
        <v>1552376723877253</v>
      </c>
      <c r="C971" t="s">
        <v>40</v>
      </c>
      <c r="D971">
        <v>4.652825</v>
      </c>
      <c r="E971">
        <v>0.65430809999999995</v>
      </c>
      <c r="F971" t="s">
        <v>51</v>
      </c>
      <c r="G971">
        <v>-196.18780000000001</v>
      </c>
      <c r="H971" s="1">
        <v>-3.5110450000000001E-6</v>
      </c>
      <c r="I971">
        <v>352.9726</v>
      </c>
      <c r="J971">
        <v>-197.5582</v>
      </c>
      <c r="K971">
        <v>1.103253</v>
      </c>
      <c r="L971">
        <v>358.84410000000003</v>
      </c>
      <c r="M971">
        <v>0.72575290000000003</v>
      </c>
      <c r="N971">
        <v>0</v>
      </c>
      <c r="O971">
        <v>-0.68779729999999994</v>
      </c>
      <c r="P971">
        <v>0.58311159999999995</v>
      </c>
      <c r="Q971">
        <v>6.2684500000000004E-2</v>
      </c>
      <c r="R971">
        <v>-0.80997030000000003</v>
      </c>
      <c r="S971">
        <v>0.8182526</v>
      </c>
      <c r="T971">
        <v>-0.5778913</v>
      </c>
      <c r="U971">
        <v>-3.1774290000000001</v>
      </c>
      <c r="V971">
        <v>0.1880549</v>
      </c>
      <c r="W971">
        <v>7.4032050000000002E-2</v>
      </c>
      <c r="X971">
        <v>0.97936440000000002</v>
      </c>
      <c r="Y971">
        <v>0.53148969999999995</v>
      </c>
      <c r="Z971">
        <v>8.3399029999999999E-2</v>
      </c>
      <c r="AA971">
        <v>0.84294919999999995</v>
      </c>
      <c r="AB971">
        <v>25</v>
      </c>
      <c r="AC971">
        <v>1.3703999999999801</v>
      </c>
      <c r="AD971">
        <v>-1.1032565110449899</v>
      </c>
      <c r="AE971">
        <v>-5.8715000000000197</v>
      </c>
      <c r="AF971">
        <v>3.21153158103975</v>
      </c>
      <c r="AG971">
        <v>-1.1032565110449899</v>
      </c>
      <c r="AH971">
        <v>4.8704463083356897</v>
      </c>
      <c r="AI971">
        <v>100.708693491293</v>
      </c>
      <c r="AJ971">
        <v>56.599475654538999</v>
      </c>
      <c r="AK971">
        <v>5.9373695579405901</v>
      </c>
      <c r="AL971">
        <v>85.754391802567994</v>
      </c>
      <c r="AM971">
        <v>79.130519127332803</v>
      </c>
      <c r="AN971">
        <v>1.00000000891428</v>
      </c>
    </row>
    <row r="972" spans="1:40" x14ac:dyDescent="0.25">
      <c r="A972" t="str">
        <f>"20190312154523909"</f>
        <v>20190312154523909</v>
      </c>
      <c r="B972" t="str">
        <f>"1552376723897748"</f>
        <v>1552376723897748</v>
      </c>
      <c r="C972" t="s">
        <v>40</v>
      </c>
      <c r="D972">
        <v>4.6670489999999996</v>
      </c>
      <c r="E972">
        <v>0.65399479999999999</v>
      </c>
      <c r="F972" t="s">
        <v>51</v>
      </c>
      <c r="G972">
        <v>-196.06829999999999</v>
      </c>
      <c r="H972" s="1">
        <v>-3.3894469999999999E-6</v>
      </c>
      <c r="I972">
        <v>352.7835</v>
      </c>
      <c r="J972">
        <v>-197.39349999999999</v>
      </c>
      <c r="K972">
        <v>1.103261</v>
      </c>
      <c r="L972">
        <v>358.67360000000002</v>
      </c>
      <c r="M972">
        <v>0.71930349999999998</v>
      </c>
      <c r="N972">
        <v>0</v>
      </c>
      <c r="O972">
        <v>-0.69453909999999996</v>
      </c>
      <c r="P972">
        <v>0.57456280000000004</v>
      </c>
      <c r="Q972">
        <v>6.076819E-2</v>
      </c>
      <c r="R972">
        <v>-0.81620130000000002</v>
      </c>
      <c r="S972">
        <v>0.78300479999999995</v>
      </c>
      <c r="T972">
        <v>-0.57980849999999995</v>
      </c>
      <c r="U972">
        <v>-3.1850589999999999</v>
      </c>
      <c r="V972">
        <v>0.18928449999999999</v>
      </c>
      <c r="W972">
        <v>7.2096980000000005E-2</v>
      </c>
      <c r="X972">
        <v>0.97927189999999997</v>
      </c>
      <c r="Y972">
        <v>0.53288259999999998</v>
      </c>
      <c r="Z972">
        <v>8.5082069999999996E-2</v>
      </c>
      <c r="AA972">
        <v>0.84190089999999995</v>
      </c>
      <c r="AB972">
        <v>25</v>
      </c>
      <c r="AC972">
        <v>1.3251999999999899</v>
      </c>
      <c r="AD972">
        <v>-1.103264389447</v>
      </c>
      <c r="AE972">
        <v>-5.8901000000000101</v>
      </c>
      <c r="AF972">
        <v>3.2095480855341201</v>
      </c>
      <c r="AG972">
        <v>-1.103264389447</v>
      </c>
      <c r="AH972">
        <v>4.8816573733342601</v>
      </c>
      <c r="AI972">
        <v>100.69395414606601</v>
      </c>
      <c r="AJ972">
        <v>56.676240894116603</v>
      </c>
      <c r="AK972">
        <v>5.9454999736781096</v>
      </c>
      <c r="AL972">
        <v>85.865560360473793</v>
      </c>
      <c r="AM972">
        <v>79.060149624704096</v>
      </c>
      <c r="AN972">
        <v>1.0000000252974801</v>
      </c>
    </row>
    <row r="973" spans="1:40" x14ac:dyDescent="0.25">
      <c r="A973" t="str">
        <f>"20190312154523931"</f>
        <v>20190312154523931</v>
      </c>
      <c r="B973" t="str">
        <f>"1552376723927030"</f>
        <v>1552376723927030</v>
      </c>
      <c r="C973" t="s">
        <v>40</v>
      </c>
      <c r="D973">
        <v>4.6331810000000004</v>
      </c>
      <c r="E973">
        <v>0.65333459999999999</v>
      </c>
      <c r="F973" t="s">
        <v>51</v>
      </c>
      <c r="G973">
        <v>-195.9769</v>
      </c>
      <c r="H973" s="1">
        <v>-3.3054250000000002E-6</v>
      </c>
      <c r="I973">
        <v>352.65690000000001</v>
      </c>
      <c r="J973">
        <v>-197.21719999999999</v>
      </c>
      <c r="K973">
        <v>1.10327</v>
      </c>
      <c r="L973">
        <v>358.48750000000001</v>
      </c>
      <c r="M973">
        <v>0.71225509999999903</v>
      </c>
      <c r="N973">
        <v>0</v>
      </c>
      <c r="O973">
        <v>-0.7017658</v>
      </c>
      <c r="P973">
        <v>0.56523710000000005</v>
      </c>
      <c r="Q973">
        <v>5.7122520000000003E-2</v>
      </c>
      <c r="R973">
        <v>-0.82294880000000004</v>
      </c>
      <c r="S973">
        <v>0.7511139</v>
      </c>
      <c r="T973">
        <v>-0.58500790000000003</v>
      </c>
      <c r="U973">
        <v>-3.190369</v>
      </c>
      <c r="V973">
        <v>0.19066620000000001</v>
      </c>
      <c r="W973">
        <v>6.843014E-2</v>
      </c>
      <c r="X973">
        <v>0.97926690000000005</v>
      </c>
      <c r="Y973">
        <v>0.53267149999999996</v>
      </c>
      <c r="Z973">
        <v>8.7527560000000004E-2</v>
      </c>
      <c r="AA973">
        <v>0.84178390000000003</v>
      </c>
      <c r="AB973">
        <v>25</v>
      </c>
      <c r="AC973">
        <v>1.24029999999999</v>
      </c>
      <c r="AD973">
        <v>-1.1032733054249999</v>
      </c>
      <c r="AE973">
        <v>-5.8305999999999996</v>
      </c>
      <c r="AF973">
        <v>3.1741036619004199</v>
      </c>
      <c r="AG973">
        <v>-1.1032733054249999</v>
      </c>
      <c r="AH973">
        <v>4.8108720393537796</v>
      </c>
      <c r="AI973">
        <v>100.836465763305</v>
      </c>
      <c r="AJ973">
        <v>56.5840820096155</v>
      </c>
      <c r="AK973">
        <v>5.8682736662487898</v>
      </c>
      <c r="AL973">
        <v>86.076175267759695</v>
      </c>
      <c r="AM973">
        <v>78.982185577398695</v>
      </c>
      <c r="AN973">
        <v>0.99999997265923402</v>
      </c>
    </row>
    <row r="974" spans="1:40" x14ac:dyDescent="0.25">
      <c r="A974" t="str">
        <f>"20190312154523954"</f>
        <v>20190312154523954</v>
      </c>
      <c r="B974" t="str">
        <f>"1552376723947526"</f>
        <v>1552376723947526</v>
      </c>
      <c r="C974" t="s">
        <v>40</v>
      </c>
      <c r="D974">
        <v>4.6337199999999896</v>
      </c>
      <c r="E974">
        <v>0.65309300000000003</v>
      </c>
      <c r="F974" t="s">
        <v>51</v>
      </c>
      <c r="G974">
        <v>-195.8837</v>
      </c>
      <c r="H974" s="1">
        <v>-3.2322149999999999E-6</v>
      </c>
      <c r="I974">
        <v>352.55250000000001</v>
      </c>
      <c r="J974">
        <v>-197.04640000000001</v>
      </c>
      <c r="K974">
        <v>1.1032630000000001</v>
      </c>
      <c r="L974">
        <v>358.30360000000002</v>
      </c>
      <c r="M974">
        <v>0.70526739999999999</v>
      </c>
      <c r="N974">
        <v>0</v>
      </c>
      <c r="O974">
        <v>-0.70878809999999903</v>
      </c>
      <c r="P974">
        <v>0.55573609999999996</v>
      </c>
      <c r="Q974">
        <v>5.4253969999999999E-2</v>
      </c>
      <c r="R974">
        <v>-0.82958670000000001</v>
      </c>
      <c r="S974">
        <v>0.71759030000000001</v>
      </c>
      <c r="T974">
        <v>-0.59369369999999999</v>
      </c>
      <c r="U974">
        <v>-3.193756</v>
      </c>
      <c r="V974">
        <v>0.1923136</v>
      </c>
      <c r="W974">
        <v>6.5531290000000006E-2</v>
      </c>
      <c r="X974">
        <v>0.97914310000000004</v>
      </c>
      <c r="Y974">
        <v>0.53292569999999995</v>
      </c>
      <c r="Z974">
        <v>9.0496499999999994E-2</v>
      </c>
      <c r="AA974">
        <v>0.84130890000000003</v>
      </c>
      <c r="AB974">
        <v>25</v>
      </c>
      <c r="AC974">
        <v>1.1627000000000001</v>
      </c>
      <c r="AD974">
        <v>-1.103266232215</v>
      </c>
      <c r="AE974">
        <v>-5.7511000000000001</v>
      </c>
      <c r="AF974">
        <v>3.12192826447049</v>
      </c>
      <c r="AG974">
        <v>-1.103266232215</v>
      </c>
      <c r="AH974">
        <v>4.72963746230218</v>
      </c>
      <c r="AI974">
        <v>101.016517587133</v>
      </c>
      <c r="AJ974">
        <v>56.572087475409496</v>
      </c>
      <c r="AK974">
        <v>5.7734827437568299</v>
      </c>
      <c r="AL974">
        <v>86.242641294356005</v>
      </c>
      <c r="AM974">
        <v>78.887978156957203</v>
      </c>
      <c r="AN974">
        <v>1.00000004049581</v>
      </c>
    </row>
    <row r="975" spans="1:40" x14ac:dyDescent="0.25">
      <c r="A975" t="str">
        <f>"20190312154523976"</f>
        <v>20190312154523976</v>
      </c>
      <c r="B975" t="str">
        <f>"1552376723967044"</f>
        <v>1552376723967044</v>
      </c>
      <c r="C975" t="s">
        <v>40</v>
      </c>
      <c r="D975">
        <v>4.6243249999999998</v>
      </c>
      <c r="E975">
        <v>0.64284069999999904</v>
      </c>
      <c r="F975" t="s">
        <v>51</v>
      </c>
      <c r="G975">
        <v>-195.79259999999999</v>
      </c>
      <c r="H975" s="1">
        <v>-3.1346960000000001E-6</v>
      </c>
      <c r="I975">
        <v>352.39879999999999</v>
      </c>
      <c r="J975">
        <v>-196.87270000000001</v>
      </c>
      <c r="K975">
        <v>1.103256</v>
      </c>
      <c r="L975">
        <v>358.11279999999999</v>
      </c>
      <c r="M975">
        <v>0.69796829999999999</v>
      </c>
      <c r="N975">
        <v>0</v>
      </c>
      <c r="O975">
        <v>-0.71597659999999996</v>
      </c>
      <c r="P975">
        <v>0.54603359999999901</v>
      </c>
      <c r="Q975">
        <v>5.4292470000000002E-2</v>
      </c>
      <c r="R975">
        <v>-0.83600229999999998</v>
      </c>
      <c r="S975">
        <v>0.67948909999999996</v>
      </c>
      <c r="T975">
        <v>-0.59791399999999995</v>
      </c>
      <c r="U975">
        <v>-3.2001339999999998</v>
      </c>
      <c r="V975">
        <v>0.19369030000000001</v>
      </c>
      <c r="W975">
        <v>6.5536520000000001E-2</v>
      </c>
      <c r="X975">
        <v>0.9788713</v>
      </c>
      <c r="Y975">
        <v>0.53421430000000003</v>
      </c>
      <c r="Z975">
        <v>9.2739160000000001E-2</v>
      </c>
      <c r="AA975">
        <v>0.84024669999999901</v>
      </c>
      <c r="AB975">
        <v>25</v>
      </c>
      <c r="AC975">
        <v>1.0801000000000101</v>
      </c>
      <c r="AD975">
        <v>-1.1032591346959999</v>
      </c>
      <c r="AE975">
        <v>-5.7139999999999898</v>
      </c>
      <c r="AF975">
        <v>3.1035076410690201</v>
      </c>
      <c r="AG975">
        <v>-1.1032591346959999</v>
      </c>
      <c r="AH975">
        <v>4.6771452907599702</v>
      </c>
      <c r="AI975">
        <v>101.119686115223</v>
      </c>
      <c r="AJ975">
        <v>56.433840087898602</v>
      </c>
      <c r="AK975">
        <v>5.7205444205374496</v>
      </c>
      <c r="AL975">
        <v>86.242340820185603</v>
      </c>
      <c r="AM975">
        <v>78.807403264474601</v>
      </c>
      <c r="AN975">
        <v>0.99999999486574498</v>
      </c>
    </row>
    <row r="976" spans="1:40" x14ac:dyDescent="0.25">
      <c r="A976" t="str">
        <f>"20190312154523999"</f>
        <v>20190312154523999</v>
      </c>
      <c r="B976" t="str">
        <f>"1552376723987541"</f>
        <v>1552376723987541</v>
      </c>
      <c r="C976" t="s">
        <v>40</v>
      </c>
      <c r="D976">
        <v>4.6499329999999999</v>
      </c>
      <c r="E976">
        <v>0.64195570000000002</v>
      </c>
      <c r="F976" t="s">
        <v>51</v>
      </c>
      <c r="G976">
        <v>-195.3655</v>
      </c>
      <c r="H976" s="1">
        <v>-2.4742599999999999E-6</v>
      </c>
      <c r="I976">
        <v>351.37090000000001</v>
      </c>
      <c r="J976">
        <v>-196.70429999999999</v>
      </c>
      <c r="K976">
        <v>1.103229</v>
      </c>
      <c r="L976">
        <v>357.9239</v>
      </c>
      <c r="M976">
        <v>0.69067500000000004</v>
      </c>
      <c r="N976">
        <v>0</v>
      </c>
      <c r="O976">
        <v>-0.72301510000000002</v>
      </c>
      <c r="P976">
        <v>0.53756630000000005</v>
      </c>
      <c r="Q976">
        <v>5.5537179999999998E-2</v>
      </c>
      <c r="R976">
        <v>-0.841391</v>
      </c>
      <c r="S976">
        <v>0.70660400000000001</v>
      </c>
      <c r="T976">
        <v>-0.51720730000000004</v>
      </c>
      <c r="U976">
        <v>-3.1606139999999998</v>
      </c>
      <c r="V976">
        <v>0.19361990000000001</v>
      </c>
      <c r="W976">
        <v>6.6766930000000002E-2</v>
      </c>
      <c r="X976">
        <v>0.97880210000000001</v>
      </c>
      <c r="Y976">
        <v>0.51661409999999997</v>
      </c>
      <c r="Z976">
        <v>8.3938890000000002E-2</v>
      </c>
      <c r="AA976">
        <v>0.85209400000000002</v>
      </c>
      <c r="AB976">
        <v>25</v>
      </c>
      <c r="AC976">
        <v>1.33879999999999</v>
      </c>
      <c r="AD976">
        <v>-1.10323147426</v>
      </c>
      <c r="AE976">
        <v>-6.5529999999999902</v>
      </c>
      <c r="AF976">
        <v>3.4641550504204601</v>
      </c>
      <c r="AG976">
        <v>-1.10323147426</v>
      </c>
      <c r="AH976">
        <v>5.5132064248259898</v>
      </c>
      <c r="AI976">
        <v>99.616623451331407</v>
      </c>
      <c r="AJ976">
        <v>57.857307861174803</v>
      </c>
      <c r="AK976">
        <v>6.6040090083141196</v>
      </c>
      <c r="AL976">
        <v>86.171688852791604</v>
      </c>
      <c r="AM976">
        <v>78.810597685807707</v>
      </c>
      <c r="AN976">
        <v>1.0000000197910199</v>
      </c>
    </row>
    <row r="977" spans="1:40" x14ac:dyDescent="0.25">
      <c r="A977" t="str">
        <f>"20190312154524020"</f>
        <v>20190312154524020</v>
      </c>
      <c r="B977" t="str">
        <f>"1552376724007060"</f>
        <v>1552376724007060</v>
      </c>
      <c r="C977" t="s">
        <v>40</v>
      </c>
      <c r="D977">
        <v>4.6567020000000001</v>
      </c>
      <c r="E977">
        <v>0.64135559999999903</v>
      </c>
      <c r="F977" t="s">
        <v>51</v>
      </c>
      <c r="G977">
        <v>-195.2355</v>
      </c>
      <c r="H977" s="1">
        <v>-2.2754190000000002E-6</v>
      </c>
      <c r="I977">
        <v>351.09339999999997</v>
      </c>
      <c r="J977">
        <v>-196.54689999999999</v>
      </c>
      <c r="K977">
        <v>1.1031789999999999</v>
      </c>
      <c r="L977">
        <v>357.74360000000001</v>
      </c>
      <c r="M977">
        <v>0.68362719999999999</v>
      </c>
      <c r="N977">
        <v>0</v>
      </c>
      <c r="O977">
        <v>-0.7296821</v>
      </c>
      <c r="P977">
        <v>0.52982569999999996</v>
      </c>
      <c r="Q977">
        <v>5.743761E-2</v>
      </c>
      <c r="R977">
        <v>-0.84615929999999995</v>
      </c>
      <c r="S977">
        <v>0.6804962</v>
      </c>
      <c r="T977">
        <v>-0.51112479999999905</v>
      </c>
      <c r="U977">
        <v>-3.1645509999999999</v>
      </c>
      <c r="V977">
        <v>0.19305629999999999</v>
      </c>
      <c r="W977">
        <v>6.8654679999999996E-2</v>
      </c>
      <c r="X977">
        <v>0.97878279999999995</v>
      </c>
      <c r="Y977">
        <v>0.51527309999999904</v>
      </c>
      <c r="Z977">
        <v>8.4448129999999996E-2</v>
      </c>
      <c r="AA977">
        <v>0.85285529999999998</v>
      </c>
      <c r="AB977">
        <v>25</v>
      </c>
      <c r="AC977">
        <v>1.3113999999999899</v>
      </c>
      <c r="AD977">
        <v>-1.103181275419</v>
      </c>
      <c r="AE977">
        <v>-6.6502000000000399</v>
      </c>
      <c r="AF977">
        <v>3.4971106353607899</v>
      </c>
      <c r="AG977">
        <v>-1.103181275419</v>
      </c>
      <c r="AH977">
        <v>5.6012974675511202</v>
      </c>
      <c r="AI977">
        <v>99.484455293605095</v>
      </c>
      <c r="AJ977">
        <v>58.021843033839403</v>
      </c>
      <c r="AK977">
        <v>6.6948730415432998</v>
      </c>
      <c r="AL977">
        <v>86.063279793335198</v>
      </c>
      <c r="AM977">
        <v>78.842135583376304</v>
      </c>
      <c r="AN977">
        <v>0.99999998481571595</v>
      </c>
    </row>
    <row r="978" spans="1:40" x14ac:dyDescent="0.25">
      <c r="A978" t="str">
        <f>"20190312154524042"</f>
        <v>20190312154524042</v>
      </c>
      <c r="B978" t="str">
        <f>"1552376724036937"</f>
        <v>1552376724036937</v>
      </c>
      <c r="C978" t="s">
        <v>40</v>
      </c>
      <c r="D978">
        <v>4.7065570000000001</v>
      </c>
      <c r="E978">
        <v>0.63960299999999903</v>
      </c>
      <c r="F978" t="s">
        <v>51</v>
      </c>
      <c r="G978">
        <v>-195.0943</v>
      </c>
      <c r="H978" s="1">
        <v>-2.0144090000000002E-6</v>
      </c>
      <c r="I978">
        <v>350.71589999999998</v>
      </c>
      <c r="J978">
        <v>-196.37979999999999</v>
      </c>
      <c r="K978">
        <v>1.1030869999999999</v>
      </c>
      <c r="L978">
        <v>357.54820000000001</v>
      </c>
      <c r="M978">
        <v>0.67586650000000004</v>
      </c>
      <c r="N978">
        <v>0</v>
      </c>
      <c r="O978">
        <v>-0.73687619999999998</v>
      </c>
      <c r="P978">
        <v>0.52160609999999996</v>
      </c>
      <c r="Q978">
        <v>5.7724999999999999E-2</v>
      </c>
      <c r="R978">
        <v>-0.85123179999999998</v>
      </c>
      <c r="S978">
        <v>0.65499879999999999</v>
      </c>
      <c r="T978">
        <v>-0.49745489999999998</v>
      </c>
      <c r="U978">
        <v>-3.1689759999999998</v>
      </c>
      <c r="V978">
        <v>0.19218399999999999</v>
      </c>
      <c r="W978">
        <v>6.8925840000000002E-2</v>
      </c>
      <c r="X978">
        <v>0.97893540000000001</v>
      </c>
      <c r="Y978">
        <v>0.51304669999999997</v>
      </c>
      <c r="Z978">
        <v>8.3816109999999999E-2</v>
      </c>
      <c r="AA978">
        <v>0.85425869999999904</v>
      </c>
      <c r="AB978">
        <v>25</v>
      </c>
      <c r="AC978">
        <v>1.2854999999999801</v>
      </c>
      <c r="AD978">
        <v>-1.103089014409</v>
      </c>
      <c r="AE978">
        <v>-6.8323000000000302</v>
      </c>
      <c r="AF978">
        <v>3.5807217515357199</v>
      </c>
      <c r="AG978">
        <v>-1.103089014409</v>
      </c>
      <c r="AH978">
        <v>5.7590420287154602</v>
      </c>
      <c r="AI978">
        <v>99.238961761244994</v>
      </c>
      <c r="AJ978">
        <v>58.128449032453901</v>
      </c>
      <c r="AK978">
        <v>6.87058503507102</v>
      </c>
      <c r="AL978">
        <v>86.047706596627293</v>
      </c>
      <c r="AM978">
        <v>78.892982854460399</v>
      </c>
      <c r="AN978">
        <v>0.99999998932443201</v>
      </c>
    </row>
    <row r="979" spans="1:40" x14ac:dyDescent="0.25">
      <c r="A979" t="str">
        <f>"20190312154524067"</f>
        <v>20190312154524067</v>
      </c>
      <c r="B979" t="str">
        <f>"1552376724057433"</f>
        <v>1552376724057433</v>
      </c>
      <c r="C979" t="s">
        <v>40</v>
      </c>
      <c r="D979">
        <v>4.6989299999999998</v>
      </c>
      <c r="E979">
        <v>0.63873959999999996</v>
      </c>
      <c r="F979" t="s">
        <v>51</v>
      </c>
      <c r="G979">
        <v>-195.00030000000001</v>
      </c>
      <c r="H979" s="1">
        <v>-1.9647579999999999E-6</v>
      </c>
      <c r="I979">
        <v>350.67430000000002</v>
      </c>
      <c r="J979">
        <v>-196.20869999999999</v>
      </c>
      <c r="K979">
        <v>1.1029519999999999</v>
      </c>
      <c r="L979">
        <v>357.3426</v>
      </c>
      <c r="M979">
        <v>0.66753039999999997</v>
      </c>
      <c r="N979">
        <v>0</v>
      </c>
      <c r="O979">
        <v>-0.74443549999999903</v>
      </c>
      <c r="P979">
        <v>0.51222539999999905</v>
      </c>
      <c r="Q979">
        <v>5.7672939999999999E-2</v>
      </c>
      <c r="R979">
        <v>-0.85691269999999997</v>
      </c>
      <c r="S979">
        <v>0.63601680000000005</v>
      </c>
      <c r="T979">
        <v>-0.50856689999999904</v>
      </c>
      <c r="U979">
        <v>-3.1691280000000002</v>
      </c>
      <c r="V979">
        <v>0.1919418</v>
      </c>
      <c r="W979">
        <v>6.8837339999999997E-2</v>
      </c>
      <c r="X979">
        <v>0.97898909999999995</v>
      </c>
      <c r="Y979">
        <v>0.50836809999999999</v>
      </c>
      <c r="Z979">
        <v>8.7580809999999995E-2</v>
      </c>
      <c r="AA979">
        <v>0.85667469999999901</v>
      </c>
      <c r="AB979">
        <v>25</v>
      </c>
      <c r="AC979">
        <v>1.2083999999999799</v>
      </c>
      <c r="AD979">
        <v>-1.102953964758</v>
      </c>
      <c r="AE979">
        <v>-6.6682999999999799</v>
      </c>
      <c r="AF979">
        <v>3.4604451624277401</v>
      </c>
      <c r="AG979">
        <v>-1.102953964758</v>
      </c>
      <c r="AH979">
        <v>5.6224660438293999</v>
      </c>
      <c r="AI979">
        <v>99.484406526640299</v>
      </c>
      <c r="AJ979">
        <v>58.389053057204997</v>
      </c>
      <c r="AK979">
        <v>6.6935276636882302</v>
      </c>
      <c r="AL979">
        <v>86.0527891739886</v>
      </c>
      <c r="AM979">
        <v>78.907226468936798</v>
      </c>
      <c r="AN979">
        <v>0.99999994594216102</v>
      </c>
    </row>
    <row r="980" spans="1:40" x14ac:dyDescent="0.25">
      <c r="A980" t="str">
        <f>"20190312154524089"</f>
        <v>20190312154524089</v>
      </c>
      <c r="B980" t="str">
        <f>"1552376724076953"</f>
        <v>1552376724076953</v>
      </c>
      <c r="C980" t="s">
        <v>40</v>
      </c>
      <c r="D980">
        <v>4.7050939999999999</v>
      </c>
      <c r="E980">
        <v>0.6391886</v>
      </c>
      <c r="F980" t="s">
        <v>51</v>
      </c>
      <c r="G980">
        <v>-194.90170000000001</v>
      </c>
      <c r="H980" s="1">
        <v>-1.83464E-6</v>
      </c>
      <c r="I980">
        <v>350.49880000000002</v>
      </c>
      <c r="J980">
        <v>-196.04669999999999</v>
      </c>
      <c r="K980">
        <v>1.102819</v>
      </c>
      <c r="L980">
        <v>357.14330000000001</v>
      </c>
      <c r="M980">
        <v>0.65927080000000005</v>
      </c>
      <c r="N980">
        <v>0</v>
      </c>
      <c r="O980">
        <v>-0.75175970000000003</v>
      </c>
      <c r="P980">
        <v>0.50242319999999996</v>
      </c>
      <c r="Q980">
        <v>5.6746930000000001E-2</v>
      </c>
      <c r="R980">
        <v>-0.86275769999999996</v>
      </c>
      <c r="S980">
        <v>0.60598750000000001</v>
      </c>
      <c r="T980">
        <v>-0.51137920000000003</v>
      </c>
      <c r="U980">
        <v>-3.1730960000000001</v>
      </c>
      <c r="V980">
        <v>0.19234209999999999</v>
      </c>
      <c r="W980">
        <v>6.786259E-2</v>
      </c>
      <c r="X980">
        <v>0.97897860000000003</v>
      </c>
      <c r="Y980">
        <v>0.50691750000000002</v>
      </c>
      <c r="Z980">
        <v>8.9693629999999996E-2</v>
      </c>
      <c r="AA980">
        <v>0.85731539999999995</v>
      </c>
      <c r="AB980">
        <v>25</v>
      </c>
      <c r="AC980">
        <v>1.14499999999998</v>
      </c>
      <c r="AD980">
        <v>-1.1028208346399999</v>
      </c>
      <c r="AE980">
        <v>-6.6444999999999901</v>
      </c>
      <c r="AF980">
        <v>3.4284245795138202</v>
      </c>
      <c r="AG980">
        <v>-1.1028208346399999</v>
      </c>
      <c r="AH980">
        <v>5.6007255297414096</v>
      </c>
      <c r="AI980">
        <v>99.533297732038605</v>
      </c>
      <c r="AJ980">
        <v>58.527558803077802</v>
      </c>
      <c r="AK980">
        <v>6.6587112379369504</v>
      </c>
      <c r="AL980">
        <v>86.108769197494894</v>
      </c>
      <c r="AM980">
        <v>78.884551451116707</v>
      </c>
      <c r="AN980">
        <v>0.99999995690593801</v>
      </c>
    </row>
    <row r="981" spans="1:40" x14ac:dyDescent="0.25">
      <c r="A981" t="str">
        <f>"20190312154524112"</f>
        <v>20190312154524112</v>
      </c>
      <c r="B981" t="str">
        <f>"1552376724107209"</f>
        <v>1552376724107209</v>
      </c>
      <c r="C981" t="s">
        <v>40</v>
      </c>
      <c r="D981">
        <v>4.7359090000000004</v>
      </c>
      <c r="E981">
        <v>0.6407446</v>
      </c>
      <c r="F981" t="s">
        <v>51</v>
      </c>
      <c r="G981">
        <v>-194.81989999999999</v>
      </c>
      <c r="H981" s="1">
        <v>-1.658942E-6</v>
      </c>
      <c r="I981">
        <v>350.23869999999999</v>
      </c>
      <c r="J981">
        <v>-195.89250000000001</v>
      </c>
      <c r="K981">
        <v>1.102695</v>
      </c>
      <c r="L981">
        <v>356.94909999999999</v>
      </c>
      <c r="M981">
        <v>0.65106799999999998</v>
      </c>
      <c r="N981">
        <v>0</v>
      </c>
      <c r="O981">
        <v>-0.75887439999999995</v>
      </c>
      <c r="P981">
        <v>0.49321510000000002</v>
      </c>
      <c r="Q981">
        <v>5.577588E-2</v>
      </c>
      <c r="R981">
        <v>-0.86811749999999899</v>
      </c>
      <c r="S981">
        <v>0.56527709999999998</v>
      </c>
      <c r="T981">
        <v>-0.50815370000000004</v>
      </c>
      <c r="U981">
        <v>-3.1814580000000001</v>
      </c>
      <c r="V981">
        <v>0.19217190000000001</v>
      </c>
      <c r="W981">
        <v>6.6861130000000005E-2</v>
      </c>
      <c r="X981">
        <v>0.97908099999999998</v>
      </c>
      <c r="Y981">
        <v>0.50860050000000001</v>
      </c>
      <c r="Z981">
        <v>9.0458380000000005E-2</v>
      </c>
      <c r="AA981">
        <v>0.85623749999999998</v>
      </c>
      <c r="AB981">
        <v>25</v>
      </c>
      <c r="AC981">
        <v>1.07260000000002</v>
      </c>
      <c r="AD981">
        <v>-1.102696658942</v>
      </c>
      <c r="AE981">
        <v>-6.7103999999999902</v>
      </c>
      <c r="AF981">
        <v>3.46413693574197</v>
      </c>
      <c r="AG981">
        <v>-1.102696658942</v>
      </c>
      <c r="AH981">
        <v>5.6427474491539096</v>
      </c>
      <c r="AI981">
        <v>99.455219009636707</v>
      </c>
      <c r="AJ981">
        <v>58.4538358470041</v>
      </c>
      <c r="AK981">
        <v>6.71243498338319</v>
      </c>
      <c r="AL981">
        <v>86.166279531459097</v>
      </c>
      <c r="AM981">
        <v>78.895275349443594</v>
      </c>
      <c r="AN981">
        <v>1.0000000272077401</v>
      </c>
    </row>
    <row r="982" spans="1:40" x14ac:dyDescent="0.25">
      <c r="A982" t="str">
        <f>"20190312154524133"</f>
        <v>20190312154524133</v>
      </c>
      <c r="B982" t="str">
        <f>"1552376724127706"</f>
        <v>1552376724127706</v>
      </c>
      <c r="C982" t="s">
        <v>40</v>
      </c>
      <c r="D982">
        <v>4.7324010000000003</v>
      </c>
      <c r="E982">
        <v>0.64144029999999996</v>
      </c>
      <c r="F982" t="s">
        <v>51</v>
      </c>
      <c r="G982">
        <v>-194.76660000000001</v>
      </c>
      <c r="H982" s="1">
        <v>-1.523679E-6</v>
      </c>
      <c r="I982">
        <v>350.03410000000002</v>
      </c>
      <c r="J982">
        <v>-195.74440000000001</v>
      </c>
      <c r="K982">
        <v>1.102581</v>
      </c>
      <c r="L982">
        <v>356.75799999999998</v>
      </c>
      <c r="M982">
        <v>0.64283480000000004</v>
      </c>
      <c r="N982">
        <v>0</v>
      </c>
      <c r="O982">
        <v>-0.76586069999999995</v>
      </c>
      <c r="P982">
        <v>0.48435129999999998</v>
      </c>
      <c r="Q982">
        <v>5.5347199999999999E-2</v>
      </c>
      <c r="R982">
        <v>-0.87312140000000005</v>
      </c>
      <c r="S982">
        <v>0.51989750000000001</v>
      </c>
      <c r="T982">
        <v>-0.50918629999999998</v>
      </c>
      <c r="U982">
        <v>-3.193085</v>
      </c>
      <c r="V982">
        <v>0.19159570000000001</v>
      </c>
      <c r="W982">
        <v>6.6413429999999996E-2</v>
      </c>
      <c r="X982">
        <v>0.97922439999999999</v>
      </c>
      <c r="Y982">
        <v>0.51167829999999903</v>
      </c>
      <c r="Z982">
        <v>9.1772469999999995E-2</v>
      </c>
      <c r="AA982">
        <v>0.85426179999999996</v>
      </c>
      <c r="AB982">
        <v>25</v>
      </c>
      <c r="AC982">
        <v>0.977800000000002</v>
      </c>
      <c r="AD982">
        <v>-1.1025825236789999</v>
      </c>
      <c r="AE982">
        <v>-6.7239000000000102</v>
      </c>
      <c r="AF982">
        <v>3.48219810562196</v>
      </c>
      <c r="AG982">
        <v>-1.1025825236789999</v>
      </c>
      <c r="AH982">
        <v>5.6305076030954497</v>
      </c>
      <c r="AI982">
        <v>99.455584304911596</v>
      </c>
      <c r="AJ982">
        <v>58.265202530300698</v>
      </c>
      <c r="AK982">
        <v>6.7114832739741797</v>
      </c>
      <c r="AL982">
        <v>86.191988046176107</v>
      </c>
      <c r="AM982">
        <v>78.929328703176395</v>
      </c>
      <c r="AN982">
        <v>1.0000000407491001</v>
      </c>
    </row>
    <row r="983" spans="1:40" x14ac:dyDescent="0.25">
      <c r="A983" t="str">
        <f>"20190312154524156"</f>
        <v>20190312154524156</v>
      </c>
      <c r="B983" t="str">
        <f>"1552376724147227"</f>
        <v>1552376724147227</v>
      </c>
      <c r="C983" t="s">
        <v>40</v>
      </c>
      <c r="D983">
        <v>4.7360600000000002</v>
      </c>
      <c r="E983">
        <v>0.64166889999999999</v>
      </c>
      <c r="F983" t="s">
        <v>51</v>
      </c>
      <c r="G983">
        <v>-194.69560000000001</v>
      </c>
      <c r="H983" s="1">
        <v>-1.3641059999999999E-6</v>
      </c>
      <c r="I983">
        <v>349.79649999999998</v>
      </c>
      <c r="J983">
        <v>-195.5874</v>
      </c>
      <c r="K983">
        <v>1.10244599999999</v>
      </c>
      <c r="L983">
        <v>356.55029999999999</v>
      </c>
      <c r="M983">
        <v>0.63369770000000003</v>
      </c>
      <c r="N983">
        <v>0</v>
      </c>
      <c r="O983">
        <v>-0.77343769999999901</v>
      </c>
      <c r="P983">
        <v>0.4748097</v>
      </c>
      <c r="Q983">
        <v>5.4924389999999997E-2</v>
      </c>
      <c r="R983">
        <v>-0.87837339999999997</v>
      </c>
      <c r="S983">
        <v>0.48222350000000003</v>
      </c>
      <c r="T983">
        <v>-0.50691679999999995</v>
      </c>
      <c r="U983">
        <v>-3.2005620000000001</v>
      </c>
      <c r="V983">
        <v>0.19066959999999999</v>
      </c>
      <c r="W983">
        <v>6.5978560000000006E-2</v>
      </c>
      <c r="X983">
        <v>0.97943449999999999</v>
      </c>
      <c r="Y983">
        <v>0.51163800000000004</v>
      </c>
      <c r="Z983">
        <v>9.2888269999999995E-2</v>
      </c>
      <c r="AA983">
        <v>0.85416530000000002</v>
      </c>
      <c r="AB983">
        <v>25</v>
      </c>
      <c r="AC983">
        <v>0.89179999999998905</v>
      </c>
      <c r="AD983">
        <v>-1.10244736410599</v>
      </c>
      <c r="AE983">
        <v>-6.7538000000000098</v>
      </c>
      <c r="AF983">
        <v>3.49888233601872</v>
      </c>
      <c r="AG983">
        <v>-1.10244736410599</v>
      </c>
      <c r="AH983">
        <v>5.64166849208892</v>
      </c>
      <c r="AI983">
        <v>99.428889980287707</v>
      </c>
      <c r="AJ983">
        <v>58.193400737471897</v>
      </c>
      <c r="AK983">
        <v>6.7294866941362601</v>
      </c>
      <c r="AL983">
        <v>86.216958889357699</v>
      </c>
      <c r="AM983">
        <v>78.983833178648197</v>
      </c>
      <c r="AN983">
        <v>1.00000000326704</v>
      </c>
    </row>
    <row r="984" spans="1:40" x14ac:dyDescent="0.25">
      <c r="A984" t="str">
        <f>"20190312154524177"</f>
        <v>20190312154524177</v>
      </c>
      <c r="B984" t="str">
        <f>"1552376724166745"</f>
        <v>1552376724166745</v>
      </c>
      <c r="C984" t="s">
        <v>40</v>
      </c>
      <c r="D984">
        <v>4.7657579999999999</v>
      </c>
      <c r="E984">
        <v>0.6417313</v>
      </c>
      <c r="F984" t="s">
        <v>42</v>
      </c>
      <c r="G984">
        <v>-194.61320000000001</v>
      </c>
      <c r="H984" s="1">
        <v>-5.0909239999999996E-6</v>
      </c>
      <c r="I984">
        <v>349.5421</v>
      </c>
      <c r="J984">
        <v>-195.4435</v>
      </c>
      <c r="K984">
        <v>1.1023240000000001</v>
      </c>
      <c r="L984">
        <v>356.35489999999999</v>
      </c>
      <c r="M984">
        <v>0.62491669999999999</v>
      </c>
      <c r="N984">
        <v>0</v>
      </c>
      <c r="O984">
        <v>-0.78054899999999905</v>
      </c>
      <c r="P984">
        <v>0.46595439999999999</v>
      </c>
      <c r="Q984">
        <v>5.4362580000000001E-2</v>
      </c>
      <c r="R984">
        <v>-0.88313730000000001</v>
      </c>
      <c r="S984">
        <v>0.44567869999999998</v>
      </c>
      <c r="T984">
        <v>-0.50432359999999998</v>
      </c>
      <c r="U984">
        <v>-3.2059630000000001</v>
      </c>
      <c r="V984">
        <v>0.18947939999999999</v>
      </c>
      <c r="W984">
        <v>6.5414719999999996E-2</v>
      </c>
      <c r="X984">
        <v>0.9797032</v>
      </c>
      <c r="Y984">
        <v>0.51170179999999998</v>
      </c>
      <c r="Z984">
        <v>9.3878320000000001E-2</v>
      </c>
      <c r="AA984">
        <v>0.85401879999999997</v>
      </c>
      <c r="AB984">
        <v>25</v>
      </c>
      <c r="AC984">
        <v>0.83029999999999404</v>
      </c>
      <c r="AD984">
        <v>-1.102329090924</v>
      </c>
      <c r="AE984">
        <v>-6.8127999999999798</v>
      </c>
      <c r="AF984">
        <v>3.5189655300268798</v>
      </c>
      <c r="AG984">
        <v>-1.102329090924</v>
      </c>
      <c r="AH984">
        <v>5.6904455971205099</v>
      </c>
      <c r="AI984">
        <v>99.355863402371995</v>
      </c>
      <c r="AJ984">
        <v>58.267397285679003</v>
      </c>
      <c r="AK984">
        <v>6.7808125560291801</v>
      </c>
      <c r="AL984">
        <v>86.2493342635983</v>
      </c>
      <c r="AM984">
        <v>79.053861887422002</v>
      </c>
      <c r="AN984">
        <v>0.99999994435363704</v>
      </c>
    </row>
    <row r="985" spans="1:40" x14ac:dyDescent="0.25">
      <c r="A985" t="str">
        <f>"20190312154524200"</f>
        <v>20190312154524200</v>
      </c>
      <c r="B985" t="str">
        <f>"1552376724197002"</f>
        <v>1552376724197002</v>
      </c>
      <c r="C985" t="s">
        <v>40</v>
      </c>
      <c r="D985">
        <v>4.7870589999999904</v>
      </c>
      <c r="E985">
        <v>0.64171919999999905</v>
      </c>
      <c r="F985" t="s">
        <v>42</v>
      </c>
      <c r="G985">
        <v>-194.5393</v>
      </c>
      <c r="H985" s="1">
        <v>-5.0016209999999996E-6</v>
      </c>
      <c r="I985">
        <v>349.31819999999999</v>
      </c>
      <c r="J985">
        <v>-195.2955</v>
      </c>
      <c r="K985">
        <v>1.102195</v>
      </c>
      <c r="L985">
        <v>356.14870000000002</v>
      </c>
      <c r="M985">
        <v>0.61545589999999994</v>
      </c>
      <c r="N985">
        <v>0</v>
      </c>
      <c r="O985">
        <v>-0.78802939999999999</v>
      </c>
      <c r="P985">
        <v>0.45558710000000002</v>
      </c>
      <c r="Q985">
        <v>5.410703E-2</v>
      </c>
      <c r="R985">
        <v>-0.88854529999999998</v>
      </c>
      <c r="S985">
        <v>0.41252139999999998</v>
      </c>
      <c r="T985">
        <v>-0.50290170000000001</v>
      </c>
      <c r="U985">
        <v>-3.2102970000000002</v>
      </c>
      <c r="V985">
        <v>0.18915489999999999</v>
      </c>
      <c r="W985">
        <v>6.5136860000000005E-2</v>
      </c>
      <c r="X985">
        <v>0.97978449999999995</v>
      </c>
      <c r="Y985">
        <v>0.51019199999999998</v>
      </c>
      <c r="Z985">
        <v>9.5254900000000003E-2</v>
      </c>
      <c r="AA985">
        <v>0.85476929999999995</v>
      </c>
      <c r="AB985">
        <v>25</v>
      </c>
      <c r="AC985">
        <v>0.75620000000000598</v>
      </c>
      <c r="AD985">
        <v>-1.1022000016210001</v>
      </c>
      <c r="AE985">
        <v>-6.8305000000000202</v>
      </c>
      <c r="AF985">
        <v>3.5178762288053198</v>
      </c>
      <c r="AG985">
        <v>-1.1022000016210001</v>
      </c>
      <c r="AH985">
        <v>5.70202243935816</v>
      </c>
      <c r="AI985">
        <v>99.342062561748406</v>
      </c>
      <c r="AJ985">
        <v>58.327390989550203</v>
      </c>
      <c r="AK985">
        <v>6.7899453535143302</v>
      </c>
      <c r="AL985">
        <v>86.265288803580603</v>
      </c>
      <c r="AM985">
        <v>79.073041346487798</v>
      </c>
      <c r="AN985">
        <v>1.00000002658245</v>
      </c>
    </row>
    <row r="986" spans="1:40" x14ac:dyDescent="0.25">
      <c r="A986" t="str">
        <f>"20190312154524223"</f>
        <v>20190312154524223</v>
      </c>
      <c r="B986" t="str">
        <f>"1552376724217497"</f>
        <v>1552376724217497</v>
      </c>
      <c r="C986" t="s">
        <v>40</v>
      </c>
      <c r="D986">
        <v>4.735017</v>
      </c>
      <c r="E986">
        <v>0.64138009999999901</v>
      </c>
      <c r="F986" t="s">
        <v>42</v>
      </c>
      <c r="G986">
        <v>-194.45830000000001</v>
      </c>
      <c r="H986" s="1">
        <v>-4.8732329999999996E-6</v>
      </c>
      <c r="I986">
        <v>348.98309999999998</v>
      </c>
      <c r="J986">
        <v>-195.1558</v>
      </c>
      <c r="K986">
        <v>1.1020570000000001</v>
      </c>
      <c r="L986">
        <v>355.9486</v>
      </c>
      <c r="M986">
        <v>0.60608240000000002</v>
      </c>
      <c r="N986">
        <v>0</v>
      </c>
      <c r="O986">
        <v>-0.79526070000000004</v>
      </c>
      <c r="P986">
        <v>0.44473079999999998</v>
      </c>
      <c r="Q986">
        <v>5.4909989999999999E-2</v>
      </c>
      <c r="R986">
        <v>-0.89397969999999904</v>
      </c>
      <c r="S986">
        <v>0.37550349999999999</v>
      </c>
      <c r="T986">
        <v>-0.49435519999999999</v>
      </c>
      <c r="U986">
        <v>-3.213867</v>
      </c>
      <c r="V986">
        <v>0.18949830000000001</v>
      </c>
      <c r="W986">
        <v>6.5901940000000006E-2</v>
      </c>
      <c r="X986">
        <v>0.97966690000000001</v>
      </c>
      <c r="Y986">
        <v>0.50985079999999905</v>
      </c>
      <c r="Z986">
        <v>9.5190540000000004E-2</v>
      </c>
      <c r="AA986">
        <v>0.85498009999999902</v>
      </c>
      <c r="AB986">
        <v>25</v>
      </c>
      <c r="AC986">
        <v>0.69749999999999002</v>
      </c>
      <c r="AD986">
        <v>-1.1020618732330001</v>
      </c>
      <c r="AE986">
        <v>-6.9655000000000102</v>
      </c>
      <c r="AF986">
        <v>3.5786895611961902</v>
      </c>
      <c r="AG986">
        <v>-1.1020618732330001</v>
      </c>
      <c r="AH986">
        <v>5.8185914538718704</v>
      </c>
      <c r="AI986">
        <v>99.164653956982804</v>
      </c>
      <c r="AJ986">
        <v>58.406656595912096</v>
      </c>
      <c r="AK986">
        <v>6.9193616652780303</v>
      </c>
      <c r="AL986">
        <v>86.221358277782997</v>
      </c>
      <c r="AM986">
        <v>79.052400590254095</v>
      </c>
      <c r="AN986">
        <v>0.99999995317712997</v>
      </c>
    </row>
    <row r="987" spans="1:40" x14ac:dyDescent="0.25">
      <c r="A987" t="str">
        <f>"20190312154524245"</f>
        <v>20190312154524245</v>
      </c>
      <c r="B987" t="str">
        <f>"1552376724237018"</f>
        <v>1552376724237018</v>
      </c>
      <c r="C987" t="s">
        <v>40</v>
      </c>
      <c r="D987">
        <v>4.7672169999999996</v>
      </c>
      <c r="E987">
        <v>0.6317123</v>
      </c>
      <c r="F987" t="s">
        <v>42</v>
      </c>
      <c r="G987">
        <v>-194.38740000000001</v>
      </c>
      <c r="H987" s="1">
        <v>-4.7489649999999999E-6</v>
      </c>
      <c r="I987">
        <v>348.6549</v>
      </c>
      <c r="J987">
        <v>-195.01300000000001</v>
      </c>
      <c r="K987">
        <v>1.1019060000000001</v>
      </c>
      <c r="L987">
        <v>355.73790000000002</v>
      </c>
      <c r="M987">
        <v>0.59599729999999995</v>
      </c>
      <c r="N987">
        <v>0</v>
      </c>
      <c r="O987">
        <v>-0.80284580000000005</v>
      </c>
      <c r="P987">
        <v>0.43294909999999998</v>
      </c>
      <c r="Q987">
        <v>5.6549919999999997E-2</v>
      </c>
      <c r="R987">
        <v>-0.89964330000000003</v>
      </c>
      <c r="S987">
        <v>0.33892820000000001</v>
      </c>
      <c r="T987">
        <v>-0.48608760000000001</v>
      </c>
      <c r="U987">
        <v>-3.2170100000000001</v>
      </c>
      <c r="V987">
        <v>0.19000210000000001</v>
      </c>
      <c r="W987">
        <v>6.7497219999999997E-2</v>
      </c>
      <c r="X987">
        <v>0.97946069999999996</v>
      </c>
      <c r="Y987">
        <v>0.50871709999999903</v>
      </c>
      <c r="Z987">
        <v>9.5250890000000005E-2</v>
      </c>
      <c r="AA987">
        <v>0.85564839999999998</v>
      </c>
      <c r="AB987">
        <v>24</v>
      </c>
      <c r="AC987">
        <v>0.62559999999999105</v>
      </c>
      <c r="AD987">
        <v>-1.101910748965</v>
      </c>
      <c r="AE987">
        <v>-7.0830000000000197</v>
      </c>
      <c r="AF987">
        <v>3.63237687122772</v>
      </c>
      <c r="AG987">
        <v>-1.101910748965</v>
      </c>
      <c r="AH987">
        <v>5.9179765511617601</v>
      </c>
      <c r="AI987">
        <v>99.017048042742999</v>
      </c>
      <c r="AJ987">
        <v>58.458940037906501</v>
      </c>
      <c r="AK987">
        <v>7.0307051917581598</v>
      </c>
      <c r="AL987">
        <v>86.129751510154705</v>
      </c>
      <c r="AM987">
        <v>79.021746699548899</v>
      </c>
      <c r="AN987">
        <v>0.99999996777831301</v>
      </c>
    </row>
    <row r="988" spans="1:40" x14ac:dyDescent="0.25">
      <c r="A988" t="str">
        <f>"20190312154524268"</f>
        <v>20190312154524268</v>
      </c>
      <c r="B988" t="str">
        <f>"1552376724257513"</f>
        <v>1552376724257513</v>
      </c>
      <c r="C988" t="s">
        <v>40</v>
      </c>
      <c r="D988">
        <v>4.8026519999999904</v>
      </c>
      <c r="E988">
        <v>0.63184110000000004</v>
      </c>
      <c r="F988" t="s">
        <v>42</v>
      </c>
      <c r="G988">
        <v>-194.16229999999999</v>
      </c>
      <c r="H988" s="1">
        <v>-4.5905200000000001E-6</v>
      </c>
      <c r="I988">
        <v>348.3066</v>
      </c>
      <c r="J988">
        <v>-194.8742</v>
      </c>
      <c r="K988">
        <v>1.1017479999999999</v>
      </c>
      <c r="L988">
        <v>355.52679999999998</v>
      </c>
      <c r="M988">
        <v>0.58567729999999996</v>
      </c>
      <c r="N988">
        <v>0</v>
      </c>
      <c r="O988">
        <v>-0.81040409999999996</v>
      </c>
      <c r="P988">
        <v>0.42043259999999999</v>
      </c>
      <c r="Q988">
        <v>5.720795E-2</v>
      </c>
      <c r="R988">
        <v>-0.90551839999999995</v>
      </c>
      <c r="S988">
        <v>0.36502079999999998</v>
      </c>
      <c r="T988">
        <v>-0.47282639999999998</v>
      </c>
      <c r="U988">
        <v>-3.1887210000000001</v>
      </c>
      <c r="V988">
        <v>0.19106980000000001</v>
      </c>
      <c r="W988">
        <v>6.8100939999999999E-2</v>
      </c>
      <c r="X988">
        <v>0.97921119999999995</v>
      </c>
      <c r="Y988">
        <v>0.48995060000000001</v>
      </c>
      <c r="Z988">
        <v>9.5917669999999997E-2</v>
      </c>
      <c r="AA988">
        <v>0.86645729999999999</v>
      </c>
      <c r="AB988">
        <v>24</v>
      </c>
      <c r="AC988">
        <v>0.71190000000001397</v>
      </c>
      <c r="AD988">
        <v>-1.1017525905200001</v>
      </c>
      <c r="AE988">
        <v>-7.22019999999997</v>
      </c>
      <c r="AF988">
        <v>3.5698727276308402</v>
      </c>
      <c r="AG988">
        <v>-1.1017525905200001</v>
      </c>
      <c r="AH988">
        <v>6.1276298543815297</v>
      </c>
      <c r="AI988">
        <v>98.830796587937598</v>
      </c>
      <c r="AJ988">
        <v>59.775511614065401</v>
      </c>
      <c r="AK988">
        <v>7.1767470134112896</v>
      </c>
      <c r="AL988">
        <v>86.095081212051795</v>
      </c>
      <c r="AM988">
        <v>78.958823081944203</v>
      </c>
      <c r="AN988">
        <v>0.99999999035318099</v>
      </c>
    </row>
    <row r="989" spans="1:40" x14ac:dyDescent="0.25">
      <c r="A989" t="str">
        <f>"20190312154524291"</f>
        <v>20190312154524291</v>
      </c>
      <c r="B989" t="str">
        <f>"1552376724286793"</f>
        <v>1552376724286793</v>
      </c>
      <c r="C989" t="s">
        <v>40</v>
      </c>
      <c r="D989">
        <v>4.8350569999999999</v>
      </c>
      <c r="E989">
        <v>0.63167369999999901</v>
      </c>
      <c r="F989" t="s">
        <v>42</v>
      </c>
      <c r="G989">
        <v>-194.11070000000001</v>
      </c>
      <c r="H989" s="1">
        <v>-4.4486930000000003E-6</v>
      </c>
      <c r="I989">
        <v>347.91680000000002</v>
      </c>
      <c r="J989">
        <v>-194.7347</v>
      </c>
      <c r="K989">
        <v>1.1016030000000001</v>
      </c>
      <c r="L989">
        <v>355.30790000000002</v>
      </c>
      <c r="M989">
        <v>0.57477650000000002</v>
      </c>
      <c r="N989">
        <v>0</v>
      </c>
      <c r="O989">
        <v>-0.81817059999999997</v>
      </c>
      <c r="P989">
        <v>0.40683039999999998</v>
      </c>
      <c r="Q989">
        <v>5.6837070000000003E-2</v>
      </c>
      <c r="R989">
        <v>-0.91173389999999999</v>
      </c>
      <c r="S989">
        <v>0.32038879999999997</v>
      </c>
      <c r="T989">
        <v>-0.46233419999999997</v>
      </c>
      <c r="U989">
        <v>-3.1934200000000001</v>
      </c>
      <c r="V989">
        <v>0.19265199999999999</v>
      </c>
      <c r="W989">
        <v>6.7669919999999995E-2</v>
      </c>
      <c r="X989">
        <v>0.97893110000000005</v>
      </c>
      <c r="Y989">
        <v>0.49041089999999998</v>
      </c>
      <c r="Z989">
        <v>9.5316269999999995E-2</v>
      </c>
      <c r="AA989">
        <v>0.86626320000000001</v>
      </c>
      <c r="AB989">
        <v>24</v>
      </c>
      <c r="AC989">
        <v>0.623999999999995</v>
      </c>
      <c r="AD989">
        <v>-1.1016074486929901</v>
      </c>
      <c r="AE989">
        <v>-7.39109999999999</v>
      </c>
      <c r="AF989">
        <v>3.65744673053445</v>
      </c>
      <c r="AG989">
        <v>-1.1016074486929901</v>
      </c>
      <c r="AH989">
        <v>6.2683127233319702</v>
      </c>
      <c r="AI989">
        <v>98.631189878110106</v>
      </c>
      <c r="AJ989">
        <v>59.737214101099902</v>
      </c>
      <c r="AK989">
        <v>7.3404495744605898</v>
      </c>
      <c r="AL989">
        <v>86.119834191551803</v>
      </c>
      <c r="AM989">
        <v>78.866562666151196</v>
      </c>
      <c r="AN989">
        <v>1.0000000548620001</v>
      </c>
    </row>
    <row r="990" spans="1:40" x14ac:dyDescent="0.25">
      <c r="A990" t="str">
        <f>"20190312154524314"</f>
        <v>20190312154524314</v>
      </c>
      <c r="B990" t="str">
        <f>"1552376724307289"</f>
        <v>1552376724307289</v>
      </c>
      <c r="C990" t="s">
        <v>40</v>
      </c>
      <c r="D990">
        <v>4.7859129999999999</v>
      </c>
      <c r="E990">
        <v>0.63117709999999905</v>
      </c>
      <c r="F990" t="s">
        <v>42</v>
      </c>
      <c r="G990">
        <v>-194.0804</v>
      </c>
      <c r="H990" s="1">
        <v>-4.3711660000000001E-6</v>
      </c>
      <c r="I990">
        <v>347.70479999999998</v>
      </c>
      <c r="J990">
        <v>-194.60390000000001</v>
      </c>
      <c r="K990">
        <v>1.1014729999999999</v>
      </c>
      <c r="L990">
        <v>355.09640000000002</v>
      </c>
      <c r="M990">
        <v>0.5640501</v>
      </c>
      <c r="N990">
        <v>0</v>
      </c>
      <c r="O990">
        <v>-0.82560129999999998</v>
      </c>
      <c r="P990">
        <v>0.3934474</v>
      </c>
      <c r="Q990">
        <v>5.6567840000000001E-2</v>
      </c>
      <c r="R990">
        <v>-0.91760509999999995</v>
      </c>
      <c r="S990">
        <v>0.27508539999999998</v>
      </c>
      <c r="T990">
        <v>-0.46315050000000002</v>
      </c>
      <c r="U990">
        <v>-3.1965940000000002</v>
      </c>
      <c r="V990">
        <v>0.19422539999999999</v>
      </c>
      <c r="W990">
        <v>6.7345459999999996E-2</v>
      </c>
      <c r="X990">
        <v>0.97864249999999997</v>
      </c>
      <c r="Y990">
        <v>0.49130980000000002</v>
      </c>
      <c r="Z990">
        <v>9.6926180000000001E-2</v>
      </c>
      <c r="AA990">
        <v>0.86557499999999998</v>
      </c>
      <c r="AB990">
        <v>24</v>
      </c>
      <c r="AC990">
        <v>0.52350000000001196</v>
      </c>
      <c r="AD990">
        <v>-1.101477371166</v>
      </c>
      <c r="AE990">
        <v>-7.3916000000000297</v>
      </c>
      <c r="AF990">
        <v>3.6566648678557998</v>
      </c>
      <c r="AG990">
        <v>-1.101477371166</v>
      </c>
      <c r="AH990">
        <v>6.26020896756678</v>
      </c>
      <c r="AI990">
        <v>98.638853417899597</v>
      </c>
      <c r="AJ990">
        <v>59.710275239068302</v>
      </c>
      <c r="AK990">
        <v>7.3331212094581701</v>
      </c>
      <c r="AL990">
        <v>86.138466788441804</v>
      </c>
      <c r="AM990">
        <v>78.774708582274798</v>
      </c>
      <c r="AN990">
        <v>1.00000002989701</v>
      </c>
    </row>
    <row r="991" spans="1:40" x14ac:dyDescent="0.25">
      <c r="A991" t="str">
        <f>"20190312154524335"</f>
        <v>20190312154524335</v>
      </c>
      <c r="B991" t="str">
        <f>"1552376724326810"</f>
        <v>1552376724326810</v>
      </c>
      <c r="C991" t="s">
        <v>40</v>
      </c>
      <c r="D991">
        <v>4.7632440000000003</v>
      </c>
      <c r="E991">
        <v>0.62958380000000003</v>
      </c>
      <c r="F991" t="s">
        <v>42</v>
      </c>
      <c r="G991">
        <v>-194.05350000000001</v>
      </c>
      <c r="H991" s="1">
        <v>-4.3147920000000004E-6</v>
      </c>
      <c r="I991">
        <v>347.55309999999997</v>
      </c>
      <c r="J991">
        <v>-194.48320000000001</v>
      </c>
      <c r="K991">
        <v>1.1013649999999999</v>
      </c>
      <c r="L991">
        <v>354.89499999999998</v>
      </c>
      <c r="M991">
        <v>0.55365710000000001</v>
      </c>
      <c r="N991">
        <v>0</v>
      </c>
      <c r="O991">
        <v>-0.83260610000000002</v>
      </c>
      <c r="P991">
        <v>0.38100479999999998</v>
      </c>
      <c r="Q991">
        <v>5.64155E-2</v>
      </c>
      <c r="R991">
        <v>-0.92285039999999996</v>
      </c>
      <c r="S991">
        <v>0.2333527</v>
      </c>
      <c r="T991">
        <v>-0.46699449999999998</v>
      </c>
      <c r="U991">
        <v>-3.1981510000000002</v>
      </c>
      <c r="V991">
        <v>0.19521230000000001</v>
      </c>
      <c r="W991">
        <v>6.7154679999999994E-2</v>
      </c>
      <c r="X991">
        <v>0.97845919999999997</v>
      </c>
      <c r="Y991">
        <v>0.49166759999999898</v>
      </c>
      <c r="Z991">
        <v>9.9149130000000002E-2</v>
      </c>
      <c r="AA991">
        <v>0.86511990000000005</v>
      </c>
      <c r="AB991">
        <v>24</v>
      </c>
      <c r="AC991">
        <v>0.42969999999999597</v>
      </c>
      <c r="AD991">
        <v>-1.1013693147919901</v>
      </c>
      <c r="AE991">
        <v>-7.3419000000000096</v>
      </c>
      <c r="AF991">
        <v>3.6262282194473099</v>
      </c>
      <c r="AG991">
        <v>-1.1013693147919901</v>
      </c>
      <c r="AH991">
        <v>6.2122311271676001</v>
      </c>
      <c r="AI991">
        <v>98.705162693372401</v>
      </c>
      <c r="AJ991">
        <v>59.726866254477002</v>
      </c>
      <c r="AK991">
        <v>7.2769747178639701</v>
      </c>
      <c r="AL991">
        <v>86.149422362097098</v>
      </c>
      <c r="AM991">
        <v>78.717070544405701</v>
      </c>
      <c r="AN991">
        <v>0.99999999959091601</v>
      </c>
    </row>
    <row r="992" spans="1:40" x14ac:dyDescent="0.25">
      <c r="A992" t="str">
        <f>"20190312154524358"</f>
        <v>20190312154524358</v>
      </c>
      <c r="B992" t="str">
        <f>"1552376724346837"</f>
        <v>1552376724346837</v>
      </c>
      <c r="C992" t="s">
        <v>40</v>
      </c>
      <c r="D992">
        <v>4.9271750000000001</v>
      </c>
      <c r="E992">
        <v>0.6281871</v>
      </c>
      <c r="F992" t="s">
        <v>42</v>
      </c>
      <c r="G992">
        <v>-194.01050000000001</v>
      </c>
      <c r="H992" s="1">
        <v>-4.2657030000000004E-6</v>
      </c>
      <c r="I992">
        <v>347.43130000000002</v>
      </c>
      <c r="J992">
        <v>-194.3537</v>
      </c>
      <c r="K992">
        <v>1.1012500000000001</v>
      </c>
      <c r="L992">
        <v>354.67200000000003</v>
      </c>
      <c r="M992">
        <v>0.54194059999999999</v>
      </c>
      <c r="N992">
        <v>0</v>
      </c>
      <c r="O992">
        <v>-0.84027859999999999</v>
      </c>
      <c r="P992">
        <v>0.3673768</v>
      </c>
      <c r="Q992">
        <v>5.6800780000000002E-2</v>
      </c>
      <c r="R992">
        <v>-0.92833589999999999</v>
      </c>
      <c r="S992">
        <v>0.2024078</v>
      </c>
      <c r="T992">
        <v>-0.47162159999999897</v>
      </c>
      <c r="U992">
        <v>-3.196075</v>
      </c>
      <c r="V992">
        <v>0.1959301</v>
      </c>
      <c r="W992">
        <v>6.750768E-2</v>
      </c>
      <c r="X992">
        <v>0.97829149999999998</v>
      </c>
      <c r="Y992">
        <v>0.4877881</v>
      </c>
      <c r="Z992">
        <v>0.1019905</v>
      </c>
      <c r="AA992">
        <v>0.86698369999999902</v>
      </c>
      <c r="AB992">
        <v>24</v>
      </c>
      <c r="AC992">
        <v>0.34319999999999501</v>
      </c>
      <c r="AD992">
        <v>-1.101254265703</v>
      </c>
      <c r="AE992">
        <v>-7.24069999999994</v>
      </c>
      <c r="AF992">
        <v>3.55404002875615</v>
      </c>
      <c r="AG992">
        <v>-1.101254265703</v>
      </c>
      <c r="AH992">
        <v>6.1294584575725697</v>
      </c>
      <c r="AI992">
        <v>98.834681988380495</v>
      </c>
      <c r="AJ992">
        <v>59.893582899288099</v>
      </c>
      <c r="AK992">
        <v>7.1703711526557701</v>
      </c>
      <c r="AL992">
        <v>86.129151241697599</v>
      </c>
      <c r="AM992">
        <v>78.674762035494595</v>
      </c>
      <c r="AN992">
        <v>1.00000007495861</v>
      </c>
    </row>
    <row r="993" spans="1:40" x14ac:dyDescent="0.25">
      <c r="A993" t="str">
        <f>"20190312154524380"</f>
        <v>20190312154524380</v>
      </c>
      <c r="B993" t="str">
        <f>"1552376724367333"</f>
        <v>1552376724367333</v>
      </c>
      <c r="C993" t="s">
        <v>40</v>
      </c>
      <c r="D993">
        <v>4.8087309999999999</v>
      </c>
      <c r="E993">
        <v>0.62650289999999997</v>
      </c>
      <c r="F993" t="s">
        <v>42</v>
      </c>
      <c r="G993">
        <v>-193.965</v>
      </c>
      <c r="H993" s="1">
        <v>-4.185376E-6</v>
      </c>
      <c r="I993">
        <v>347.21899999999999</v>
      </c>
      <c r="J993">
        <v>-194.233</v>
      </c>
      <c r="K993">
        <v>1.101135</v>
      </c>
      <c r="L993">
        <v>354.45710000000003</v>
      </c>
      <c r="M993">
        <v>0.53045109999999995</v>
      </c>
      <c r="N993">
        <v>0</v>
      </c>
      <c r="O993">
        <v>-0.84757780000000005</v>
      </c>
      <c r="P993">
        <v>0.35383409999999998</v>
      </c>
      <c r="Q993">
        <v>5.723545E-2</v>
      </c>
      <c r="R993">
        <v>-0.93355560000000004</v>
      </c>
      <c r="S993">
        <v>0.1666107</v>
      </c>
      <c r="T993">
        <v>-0.47203040000000002</v>
      </c>
      <c r="U993">
        <v>-3.1945800000000002</v>
      </c>
      <c r="V993">
        <v>0.1968599</v>
      </c>
      <c r="W993">
        <v>6.7905409999999999E-2</v>
      </c>
      <c r="X993">
        <v>0.97807719999999998</v>
      </c>
      <c r="Y993">
        <v>0.4855797</v>
      </c>
      <c r="Z993">
        <v>0.1037902</v>
      </c>
      <c r="AA993">
        <v>0.86800919999999904</v>
      </c>
      <c r="AB993">
        <v>24</v>
      </c>
      <c r="AC993">
        <v>0.26800000000000002</v>
      </c>
      <c r="AD993">
        <v>-1.101139185376</v>
      </c>
      <c r="AE993">
        <v>-7.2381000000000304</v>
      </c>
      <c r="AF993">
        <v>3.53111736976701</v>
      </c>
      <c r="AG993">
        <v>-1.101139185376</v>
      </c>
      <c r="AH993">
        <v>6.1359321829468003</v>
      </c>
      <c r="AI993">
        <v>98.840970230031999</v>
      </c>
      <c r="AJ993">
        <v>60.080356002318098</v>
      </c>
      <c r="AK993">
        <v>7.16456287140835</v>
      </c>
      <c r="AL993">
        <v>86.106310237102704</v>
      </c>
      <c r="AM993">
        <v>78.619988084551096</v>
      </c>
      <c r="AN993">
        <v>0.99999998704755899</v>
      </c>
    </row>
    <row r="994" spans="1:40" x14ac:dyDescent="0.25">
      <c r="A994" t="str">
        <f>"20190312154524403"</f>
        <v>20190312154524403</v>
      </c>
      <c r="B994" t="str">
        <f>"1552376724386853"</f>
        <v>1552376724386853</v>
      </c>
      <c r="C994" t="s">
        <v>40</v>
      </c>
      <c r="D994">
        <v>4.8251790000000003</v>
      </c>
      <c r="E994">
        <v>0.62459409999999904</v>
      </c>
      <c r="F994" t="s">
        <v>42</v>
      </c>
      <c r="G994">
        <v>-193.917</v>
      </c>
      <c r="H994" s="1">
        <v>-4.0645330000000001E-6</v>
      </c>
      <c r="I994">
        <v>346.88889999999998</v>
      </c>
      <c r="J994">
        <v>-194.11539999999999</v>
      </c>
      <c r="K994">
        <v>1.101019</v>
      </c>
      <c r="L994">
        <v>354.24040000000002</v>
      </c>
      <c r="M994">
        <v>0.51865760000000005</v>
      </c>
      <c r="N994">
        <v>0</v>
      </c>
      <c r="O994">
        <v>-0.85484450000000001</v>
      </c>
      <c r="P994">
        <v>0.34135219999999999</v>
      </c>
      <c r="Q994">
        <v>5.8125830000000003E-2</v>
      </c>
      <c r="R994">
        <v>-0.93813630000000003</v>
      </c>
      <c r="S994">
        <v>0.13327030000000001</v>
      </c>
      <c r="T994">
        <v>-0.4643466</v>
      </c>
      <c r="U994">
        <v>-3.1914980000000002</v>
      </c>
      <c r="V994">
        <v>0.19636680000000001</v>
      </c>
      <c r="W994">
        <v>6.8792629999999994E-2</v>
      </c>
      <c r="X994">
        <v>0.97811440000000005</v>
      </c>
      <c r="Y994">
        <v>0.48249389999999998</v>
      </c>
      <c r="Z994">
        <v>0.1038984</v>
      </c>
      <c r="AA994">
        <v>0.86971529999999997</v>
      </c>
      <c r="AB994">
        <v>24</v>
      </c>
      <c r="AC994">
        <v>0.198399999999992</v>
      </c>
      <c r="AD994">
        <v>-1.1010230645329999</v>
      </c>
      <c r="AE994">
        <v>-7.3515000000000397</v>
      </c>
      <c r="AF994">
        <v>3.5638573975204699</v>
      </c>
      <c r="AG994">
        <v>-1.1010230645329999</v>
      </c>
      <c r="AH994">
        <v>6.2479978591003498</v>
      </c>
      <c r="AI994">
        <v>98.702698888131707</v>
      </c>
      <c r="AJ994">
        <v>60.299568675222702</v>
      </c>
      <c r="AK994">
        <v>7.2767306247941903</v>
      </c>
      <c r="AL994">
        <v>86.055357417148997</v>
      </c>
      <c r="AM994">
        <v>78.648172517631096</v>
      </c>
      <c r="AN994">
        <v>1.00000006278595</v>
      </c>
    </row>
    <row r="995" spans="1:40" x14ac:dyDescent="0.25">
      <c r="A995" t="str">
        <f>"20190312154524426"</f>
        <v>20190312154524426</v>
      </c>
      <c r="B995" t="str">
        <f>"1552376724417111"</f>
        <v>1552376724417111</v>
      </c>
      <c r="C995" t="s">
        <v>40</v>
      </c>
      <c r="D995">
        <v>4.8225470000000001</v>
      </c>
      <c r="E995">
        <v>0.62186339999999996</v>
      </c>
      <c r="F995" t="s">
        <v>42</v>
      </c>
      <c r="G995">
        <v>-193.8604</v>
      </c>
      <c r="H995" s="1">
        <v>-3.9309879999999998E-6</v>
      </c>
      <c r="I995">
        <v>346.52589999999998</v>
      </c>
      <c r="J995">
        <v>-193.99959999999999</v>
      </c>
      <c r="K995">
        <v>1.100892</v>
      </c>
      <c r="L995">
        <v>354.01830000000001</v>
      </c>
      <c r="M995">
        <v>0.50635379999999997</v>
      </c>
      <c r="N995">
        <v>0</v>
      </c>
      <c r="O995">
        <v>-0.86218859999999997</v>
      </c>
      <c r="P995">
        <v>0.32863959999999998</v>
      </c>
      <c r="Q995">
        <v>5.9152860000000002E-2</v>
      </c>
      <c r="R995">
        <v>-0.94260129999999998</v>
      </c>
      <c r="S995">
        <v>0.10536189999999999</v>
      </c>
      <c r="T995">
        <v>-0.45495059999999898</v>
      </c>
      <c r="U995">
        <v>-3.1876530000000001</v>
      </c>
      <c r="V995">
        <v>0.1955856</v>
      </c>
      <c r="W995">
        <v>6.9823460000000004E-2</v>
      </c>
      <c r="X995">
        <v>0.97819780000000001</v>
      </c>
      <c r="Y995">
        <v>0.47752230000000001</v>
      </c>
      <c r="Z995">
        <v>0.10368280000000001</v>
      </c>
      <c r="AA995">
        <v>0.87248060000000005</v>
      </c>
      <c r="AB995">
        <v>24</v>
      </c>
      <c r="AC995">
        <v>0.139199999999988</v>
      </c>
      <c r="AD995">
        <v>-1.100895930988</v>
      </c>
      <c r="AE995">
        <v>-7.4924000000000301</v>
      </c>
      <c r="AF995">
        <v>3.5965998940495001</v>
      </c>
      <c r="AG995">
        <v>-1.100895930988</v>
      </c>
      <c r="AH995">
        <v>6.3931395332070204</v>
      </c>
      <c r="AI995">
        <v>98.535267204629207</v>
      </c>
      <c r="AJ995">
        <v>60.639122324196997</v>
      </c>
      <c r="AK995">
        <v>7.4175289510589302</v>
      </c>
      <c r="AL995">
        <v>85.996152545864803</v>
      </c>
      <c r="AM995">
        <v>78.6931065851726</v>
      </c>
      <c r="AN995">
        <v>0.99999998920928501</v>
      </c>
    </row>
    <row r="996" spans="1:40" x14ac:dyDescent="0.25">
      <c r="A996" t="str">
        <f>"20190312154524449"</f>
        <v>20190312154524449</v>
      </c>
      <c r="B996" t="str">
        <f>"1552376724437137"</f>
        <v>1552376724437137</v>
      </c>
      <c r="C996" t="s">
        <v>40</v>
      </c>
      <c r="D996">
        <v>4.8743639999999999</v>
      </c>
      <c r="E996">
        <v>0.620206699999999</v>
      </c>
      <c r="F996" t="s">
        <v>42</v>
      </c>
      <c r="G996">
        <v>-193.79470000000001</v>
      </c>
      <c r="H996" s="1">
        <v>-3.7742280000000001E-6</v>
      </c>
      <c r="I996">
        <v>346.09949999999998</v>
      </c>
      <c r="J996">
        <v>-193.88310000000001</v>
      </c>
      <c r="K996">
        <v>1.100754</v>
      </c>
      <c r="L996">
        <v>353.78620000000001</v>
      </c>
      <c r="M996">
        <v>0.49325829999999998</v>
      </c>
      <c r="N996">
        <v>0</v>
      </c>
      <c r="O996">
        <v>-0.86974609999999997</v>
      </c>
      <c r="P996">
        <v>0.31531290000000001</v>
      </c>
      <c r="Q996">
        <v>5.9775969999999998E-2</v>
      </c>
      <c r="R996">
        <v>-0.94710349999999999</v>
      </c>
      <c r="S996">
        <v>8.2321169999999999E-2</v>
      </c>
      <c r="T996">
        <v>-0.44233119999999998</v>
      </c>
      <c r="U996">
        <v>-3.181702</v>
      </c>
      <c r="V996">
        <v>0.194609</v>
      </c>
      <c r="W996">
        <v>7.0457530000000004E-2</v>
      </c>
      <c r="X996">
        <v>0.97834710000000003</v>
      </c>
      <c r="Y996">
        <v>0.47051229999999999</v>
      </c>
      <c r="Z996">
        <v>0.10284509999999999</v>
      </c>
      <c r="AA996">
        <v>0.87637949999999998</v>
      </c>
      <c r="AB996">
        <v>24</v>
      </c>
      <c r="AC996">
        <v>8.8400000000007098E-2</v>
      </c>
      <c r="AD996">
        <v>-1.1007577742279999</v>
      </c>
      <c r="AE996">
        <v>-7.6867000000000196</v>
      </c>
      <c r="AF996">
        <v>3.6404401897280398</v>
      </c>
      <c r="AG996">
        <v>-1.1007577742279999</v>
      </c>
      <c r="AH996">
        <v>6.5946628438081101</v>
      </c>
      <c r="AI996">
        <v>98.313761474835502</v>
      </c>
      <c r="AJ996">
        <v>61.100061816860602</v>
      </c>
      <c r="AK996">
        <v>7.6127557740947998</v>
      </c>
      <c r="AL996">
        <v>85.959733305887696</v>
      </c>
      <c r="AM996">
        <v>78.749793689341402</v>
      </c>
      <c r="AN996">
        <v>0.99999998724655503</v>
      </c>
    </row>
    <row r="997" spans="1:40" x14ac:dyDescent="0.25">
      <c r="A997" t="str">
        <f>"20190312154524472"</f>
        <v>20190312154524472</v>
      </c>
      <c r="B997" t="str">
        <f>"1552376724457633"</f>
        <v>1552376724457633</v>
      </c>
      <c r="C997" t="s">
        <v>40</v>
      </c>
      <c r="D997">
        <v>4.9502220000000001</v>
      </c>
      <c r="E997">
        <v>0.61860530000000002</v>
      </c>
      <c r="F997" t="s">
        <v>42</v>
      </c>
      <c r="G997">
        <v>-193.7577</v>
      </c>
      <c r="H997" s="1">
        <v>-3.6711549999999999E-6</v>
      </c>
      <c r="I997">
        <v>345.81599999999997</v>
      </c>
      <c r="J997">
        <v>-193.7765</v>
      </c>
      <c r="K997">
        <v>1.100641</v>
      </c>
      <c r="L997">
        <v>353.56529999999998</v>
      </c>
      <c r="M997">
        <v>0.4805992</v>
      </c>
      <c r="N997">
        <v>0</v>
      </c>
      <c r="O997">
        <v>-0.87680369999999996</v>
      </c>
      <c r="P997">
        <v>0.30237960000000003</v>
      </c>
      <c r="Q997">
        <v>6.0379269999999999E-2</v>
      </c>
      <c r="R997">
        <v>-0.9512737</v>
      </c>
      <c r="S997">
        <v>5.000305E-2</v>
      </c>
      <c r="T997">
        <v>-0.43900060000000002</v>
      </c>
      <c r="U997">
        <v>-3.1786500000000002</v>
      </c>
      <c r="V997">
        <v>0.193774</v>
      </c>
      <c r="W997">
        <v>7.1074899999999996E-2</v>
      </c>
      <c r="X997">
        <v>0.97846820000000001</v>
      </c>
      <c r="Y997">
        <v>0.46662039999999999</v>
      </c>
      <c r="Z997">
        <v>0.1037492</v>
      </c>
      <c r="AA997">
        <v>0.87835160000000001</v>
      </c>
      <c r="AB997">
        <v>24</v>
      </c>
      <c r="AC997">
        <v>1.87999999999988E-2</v>
      </c>
      <c r="AD997">
        <v>-1.100644671155</v>
      </c>
      <c r="AE997">
        <v>-7.7492999999999999</v>
      </c>
      <c r="AF997">
        <v>3.63494086405617</v>
      </c>
      <c r="AG997">
        <v>-1.100644671155</v>
      </c>
      <c r="AH997">
        <v>6.6699146407300001</v>
      </c>
      <c r="AI997">
        <v>98.244564906886296</v>
      </c>
      <c r="AJ997">
        <v>61.410692948476502</v>
      </c>
      <c r="AK997">
        <v>7.6754136756237301</v>
      </c>
      <c r="AL997">
        <v>85.924271803508503</v>
      </c>
      <c r="AM997">
        <v>78.798192430370705</v>
      </c>
      <c r="AN997">
        <v>1.0000000114486201</v>
      </c>
    </row>
    <row r="998" spans="1:40" x14ac:dyDescent="0.25">
      <c r="A998" t="str">
        <f>"20190312154524507"</f>
        <v>20190312154524507</v>
      </c>
      <c r="B998" t="str">
        <f>"1552376724497648"</f>
        <v>1552376724497648</v>
      </c>
      <c r="C998" t="s">
        <v>40</v>
      </c>
      <c r="D998">
        <v>4.8574529999999996</v>
      </c>
      <c r="E998">
        <v>0.59451639999999994</v>
      </c>
      <c r="F998" t="s">
        <v>42</v>
      </c>
      <c r="G998">
        <v>-193.72880000000001</v>
      </c>
      <c r="H998" s="1">
        <v>-3.5932679999999999E-6</v>
      </c>
      <c r="I998">
        <v>345.6524</v>
      </c>
      <c r="J998">
        <v>-193.61760000000001</v>
      </c>
      <c r="K998">
        <v>1.100482</v>
      </c>
      <c r="L998">
        <v>353.21910000000003</v>
      </c>
      <c r="M998">
        <v>0.46038000000000001</v>
      </c>
      <c r="N998">
        <v>0</v>
      </c>
      <c r="O998">
        <v>-0.88758579999999998</v>
      </c>
      <c r="P998">
        <v>0.28064220000000001</v>
      </c>
      <c r="Q998">
        <v>6.3508910000000002E-2</v>
      </c>
      <c r="R998">
        <v>-0.95770940000000004</v>
      </c>
      <c r="S998">
        <v>1.9149780000000002E-2</v>
      </c>
      <c r="T998">
        <v>-0.44171379999999999</v>
      </c>
      <c r="U998">
        <v>-3.1756289999999998</v>
      </c>
      <c r="V998">
        <v>0.19364010000000001</v>
      </c>
      <c r="W998">
        <v>7.4199920000000003E-2</v>
      </c>
      <c r="X998">
        <v>0.97826270000000004</v>
      </c>
      <c r="Y998">
        <v>0.45485720000000002</v>
      </c>
      <c r="Z998">
        <v>0.1071018</v>
      </c>
      <c r="AA998">
        <v>0.88410080000000002</v>
      </c>
      <c r="AB998">
        <v>24</v>
      </c>
      <c r="AC998">
        <v>-0.111199999999996</v>
      </c>
      <c r="AD998">
        <v>-1.100485593268</v>
      </c>
      <c r="AE998">
        <v>-7.5667000000000204</v>
      </c>
      <c r="AF998">
        <v>3.5084935292817598</v>
      </c>
      <c r="AG998">
        <v>-1.100485593268</v>
      </c>
      <c r="AH998">
        <v>6.5276621779348698</v>
      </c>
      <c r="AI998">
        <v>98.446561221932797</v>
      </c>
      <c r="AJ998">
        <v>61.742820895413999</v>
      </c>
      <c r="AK998">
        <v>7.4920603905230099</v>
      </c>
      <c r="AL998">
        <v>85.744747052274107</v>
      </c>
      <c r="AM998">
        <v>78.803445323590097</v>
      </c>
      <c r="AN998">
        <v>1.00000001333365</v>
      </c>
    </row>
    <row r="999" spans="1:40" x14ac:dyDescent="0.25">
      <c r="A999" t="str">
        <f>"20190312154524527"</f>
        <v>20190312154524527</v>
      </c>
      <c r="B999" t="str">
        <f>"1552376724517168"</f>
        <v>1552376724517168</v>
      </c>
      <c r="C999" t="s">
        <v>40</v>
      </c>
      <c r="D999">
        <v>4.8838030000000003</v>
      </c>
      <c r="E999">
        <v>0.59339500000000001</v>
      </c>
      <c r="F999" t="s">
        <v>42</v>
      </c>
      <c r="G999">
        <v>-193.26249999999999</v>
      </c>
      <c r="H999" s="1">
        <v>-3.1385269999999998E-6</v>
      </c>
      <c r="I999">
        <v>344.88159999999999</v>
      </c>
      <c r="J999">
        <v>-193.5249</v>
      </c>
      <c r="K999">
        <v>1.10039</v>
      </c>
      <c r="L999">
        <v>353.0059</v>
      </c>
      <c r="M999">
        <v>0.44769989999999998</v>
      </c>
      <c r="N999">
        <v>0</v>
      </c>
      <c r="O999">
        <v>-0.894047699999999</v>
      </c>
      <c r="P999">
        <v>0.26687110000000003</v>
      </c>
      <c r="Q999">
        <v>6.5197370000000004E-2</v>
      </c>
      <c r="R999">
        <v>-0.9615245</v>
      </c>
      <c r="S999">
        <v>0.13291929999999999</v>
      </c>
      <c r="T999">
        <v>-0.41193150000000001</v>
      </c>
      <c r="U999">
        <v>-3.1208499999999999</v>
      </c>
      <c r="V999">
        <v>0.19376019999999999</v>
      </c>
      <c r="W999">
        <v>7.5885060000000004E-2</v>
      </c>
      <c r="X999">
        <v>0.97810960000000002</v>
      </c>
      <c r="Y999">
        <v>0.40938059999999998</v>
      </c>
      <c r="Z999">
        <v>0.1044311</v>
      </c>
      <c r="AA999">
        <v>0.90636729999999999</v>
      </c>
      <c r="AB999">
        <v>24</v>
      </c>
      <c r="AC999">
        <v>0.26240000000001301</v>
      </c>
      <c r="AD999">
        <v>-1.100393138527</v>
      </c>
      <c r="AE999">
        <v>-8.1242999999999999</v>
      </c>
      <c r="AF999">
        <v>3.3418218457814199</v>
      </c>
      <c r="AG999">
        <v>-1.100393138527</v>
      </c>
      <c r="AH999">
        <v>7.2490400835351601</v>
      </c>
      <c r="AI999">
        <v>97.849036140919907</v>
      </c>
      <c r="AJ999">
        <v>65.250204723540406</v>
      </c>
      <c r="AK999">
        <v>8.0577428874939194</v>
      </c>
      <c r="AL999">
        <v>85.647922446145699</v>
      </c>
      <c r="AM999">
        <v>78.7949673228199</v>
      </c>
      <c r="AN999">
        <v>0.99999997352370096</v>
      </c>
    </row>
    <row r="1000" spans="1:40" x14ac:dyDescent="0.25">
      <c r="A1000" t="str">
        <f>"20190312154524550"</f>
        <v>20190312154524550</v>
      </c>
      <c r="B1000" t="str">
        <f>"1552376724537197"</f>
        <v>1552376724537197</v>
      </c>
      <c r="C1000" t="s">
        <v>40</v>
      </c>
      <c r="D1000">
        <v>4.7823789999999997</v>
      </c>
      <c r="E1000">
        <v>0.59376249999999997</v>
      </c>
      <c r="F1000" t="s">
        <v>42</v>
      </c>
      <c r="G1000">
        <v>-193.24010000000001</v>
      </c>
      <c r="H1000" s="1">
        <v>-2.7139910000000002E-6</v>
      </c>
      <c r="I1000">
        <v>343.90589999999997</v>
      </c>
      <c r="J1000">
        <v>-193.42959999999999</v>
      </c>
      <c r="K1000">
        <v>1.1003069999999999</v>
      </c>
      <c r="L1000">
        <v>352.77690000000001</v>
      </c>
      <c r="M1000">
        <v>0.43391580000000002</v>
      </c>
      <c r="N1000">
        <v>0</v>
      </c>
      <c r="O1000">
        <v>-0.9008176</v>
      </c>
      <c r="P1000">
        <v>0.2515404</v>
      </c>
      <c r="Q1000">
        <v>6.5271040000000002E-2</v>
      </c>
      <c r="R1000">
        <v>-0.96564360000000005</v>
      </c>
      <c r="S1000">
        <v>9.7625729999999994E-2</v>
      </c>
      <c r="T1000">
        <v>-0.3770964</v>
      </c>
      <c r="U1000">
        <v>-3.1185</v>
      </c>
      <c r="V1000">
        <v>0.1943145</v>
      </c>
      <c r="W1000">
        <v>7.5951149999999995E-2</v>
      </c>
      <c r="X1000">
        <v>0.97799460000000005</v>
      </c>
      <c r="Y1000">
        <v>0.40558729999999998</v>
      </c>
      <c r="Z1000">
        <v>9.7110699999999994E-2</v>
      </c>
      <c r="AA1000">
        <v>0.90888310000000005</v>
      </c>
      <c r="AB1000">
        <v>24</v>
      </c>
      <c r="AC1000">
        <v>0.18949999999998099</v>
      </c>
      <c r="AD1000">
        <v>-1.1003097139910001</v>
      </c>
      <c r="AE1000">
        <v>-8.8710000000000306</v>
      </c>
      <c r="AF1000">
        <v>3.6232950064687599</v>
      </c>
      <c r="AG1000">
        <v>-1.1003097139910001</v>
      </c>
      <c r="AH1000">
        <v>7.9520846290746299</v>
      </c>
      <c r="AI1000">
        <v>97.176521356688198</v>
      </c>
      <c r="AJ1000">
        <v>65.504049563622104</v>
      </c>
      <c r="AK1000">
        <v>8.8076443001843305</v>
      </c>
      <c r="AL1000">
        <v>85.644125228658694</v>
      </c>
      <c r="AM1000">
        <v>78.762439324372195</v>
      </c>
      <c r="AN1000">
        <v>1.0000000698628599</v>
      </c>
    </row>
    <row r="1001" spans="1:40" x14ac:dyDescent="0.25">
      <c r="A1001" t="str">
        <f>"20190312154524571"</f>
        <v>20190312154524571</v>
      </c>
      <c r="B1001" t="str">
        <f>"1552376724557691"</f>
        <v>1552376724557691</v>
      </c>
      <c r="C1001" t="s">
        <v>40</v>
      </c>
      <c r="D1001">
        <v>4.8080220000000002</v>
      </c>
      <c r="E1001">
        <v>0.59309239999999996</v>
      </c>
      <c r="F1001" t="s">
        <v>42</v>
      </c>
      <c r="G1001">
        <v>-193.29040000000001</v>
      </c>
      <c r="H1001" s="1">
        <v>-2.4384889999999999E-6</v>
      </c>
      <c r="I1001">
        <v>343.23250000000002</v>
      </c>
      <c r="J1001">
        <v>-193.34399999999999</v>
      </c>
      <c r="K1001">
        <v>1.1002529999999999</v>
      </c>
      <c r="L1001">
        <v>352.56189999999998</v>
      </c>
      <c r="M1001">
        <v>0.42084240000000001</v>
      </c>
      <c r="N1001">
        <v>0</v>
      </c>
      <c r="O1001">
        <v>-0.90699819999999998</v>
      </c>
      <c r="P1001">
        <v>0.23729939999999999</v>
      </c>
      <c r="Q1001">
        <v>6.3230040000000001E-2</v>
      </c>
      <c r="R1001">
        <v>-0.96937669999999998</v>
      </c>
      <c r="S1001">
        <v>4.5501710000000001E-2</v>
      </c>
      <c r="T1001">
        <v>-0.3595933</v>
      </c>
      <c r="U1001">
        <v>-3.119202</v>
      </c>
      <c r="V1001">
        <v>0.19458610000000001</v>
      </c>
      <c r="W1001">
        <v>7.3914129999999995E-2</v>
      </c>
      <c r="X1001">
        <v>0.97809659999999998</v>
      </c>
      <c r="Y1001">
        <v>0.40756199999999998</v>
      </c>
      <c r="Z1001">
        <v>9.3642349999999999E-2</v>
      </c>
      <c r="AA1001">
        <v>0.90836349999999999</v>
      </c>
      <c r="AB1001">
        <v>24</v>
      </c>
      <c r="AC1001">
        <v>5.3600000000017099E-2</v>
      </c>
      <c r="AD1001">
        <v>-1.100255438489</v>
      </c>
      <c r="AE1001">
        <v>-9.3293999999999606</v>
      </c>
      <c r="AF1001">
        <v>3.82487249710264</v>
      </c>
      <c r="AG1001">
        <v>-1.100255438489</v>
      </c>
      <c r="AH1001">
        <v>8.3689540903862891</v>
      </c>
      <c r="AI1001">
        <v>96.818624257852406</v>
      </c>
      <c r="AJ1001">
        <v>65.438124129478595</v>
      </c>
      <c r="AK1001">
        <v>9.2671249163918201</v>
      </c>
      <c r="AL1001">
        <v>85.761166661221594</v>
      </c>
      <c r="AM1001">
        <v>78.748276297362594</v>
      </c>
      <c r="AN1001">
        <v>1.0000000039292101</v>
      </c>
    </row>
    <row r="1002" spans="1:40" x14ac:dyDescent="0.25">
      <c r="A1002" t="str">
        <f>"20190312154524593"</f>
        <v>20190312154524593</v>
      </c>
      <c r="B1002" t="str">
        <f>"1552376724586972"</f>
        <v>1552376724586972</v>
      </c>
      <c r="C1002" t="s">
        <v>40</v>
      </c>
      <c r="D1002">
        <v>4.8112430000000002</v>
      </c>
      <c r="E1002">
        <v>0.590507</v>
      </c>
      <c r="F1002" t="s">
        <v>42</v>
      </c>
      <c r="G1002">
        <v>-193.32980000000001</v>
      </c>
      <c r="H1002" s="1">
        <v>-2.2751290000000002E-6</v>
      </c>
      <c r="I1002">
        <v>342.82729999999998</v>
      </c>
      <c r="J1002">
        <v>-193.25829999999999</v>
      </c>
      <c r="K1002">
        <v>1.1002110000000001</v>
      </c>
      <c r="L1002">
        <v>352.33690000000001</v>
      </c>
      <c r="M1002">
        <v>0.40705000000000002</v>
      </c>
      <c r="N1002">
        <v>0</v>
      </c>
      <c r="O1002">
        <v>-0.91327080000000005</v>
      </c>
      <c r="P1002">
        <v>0.2230375</v>
      </c>
      <c r="Q1002">
        <v>6.0803749999999997E-2</v>
      </c>
      <c r="R1002">
        <v>-0.97291179999999999</v>
      </c>
      <c r="S1002">
        <v>4.5318600000000004E-3</v>
      </c>
      <c r="T1002">
        <v>-0.35225669999999998</v>
      </c>
      <c r="U1002">
        <v>-3.116638</v>
      </c>
      <c r="V1002">
        <v>0.1941416</v>
      </c>
      <c r="W1002">
        <v>7.1515800000000004E-2</v>
      </c>
      <c r="X1002">
        <v>0.97836319999999999</v>
      </c>
      <c r="Y1002">
        <v>0.40566229999999998</v>
      </c>
      <c r="Z1002">
        <v>9.2920569999999994E-2</v>
      </c>
      <c r="AA1002">
        <v>0.90928759999999997</v>
      </c>
      <c r="AB1002">
        <v>24</v>
      </c>
      <c r="AC1002">
        <v>-7.1500000000014496E-2</v>
      </c>
      <c r="AD1002">
        <v>-1.1002132751289999</v>
      </c>
      <c r="AE1002">
        <v>-9.5096000000000291</v>
      </c>
      <c r="AF1002">
        <v>3.8846725393674202</v>
      </c>
      <c r="AG1002">
        <v>-1.1002132751289999</v>
      </c>
      <c r="AH1002">
        <v>8.5424666759213803</v>
      </c>
      <c r="AI1002">
        <v>96.686844144079799</v>
      </c>
      <c r="AJ1002">
        <v>65.546411974496095</v>
      </c>
      <c r="AK1002">
        <v>9.4485388763614004</v>
      </c>
      <c r="AL1002">
        <v>85.898945642993795</v>
      </c>
      <c r="AM1002">
        <v>78.776307002317907</v>
      </c>
      <c r="AN1002">
        <v>1.00000001080722</v>
      </c>
    </row>
    <row r="1003" spans="1:40" x14ac:dyDescent="0.25">
      <c r="A1003" t="str">
        <f>"20190312154524627"</f>
        <v>20190312154524627</v>
      </c>
      <c r="B1003" t="str">
        <f>"1552376724617228"</f>
        <v>1552376724617228</v>
      </c>
      <c r="C1003" t="s">
        <v>40</v>
      </c>
      <c r="D1003">
        <v>4.8009000000000004</v>
      </c>
      <c r="E1003">
        <v>0.58808719999999903</v>
      </c>
      <c r="F1003" t="s">
        <v>42</v>
      </c>
      <c r="G1003">
        <v>-193.327</v>
      </c>
      <c r="H1003" s="1">
        <v>-2.146471E-6</v>
      </c>
      <c r="I1003">
        <v>342.52910000000003</v>
      </c>
      <c r="J1003">
        <v>-193.13390000000001</v>
      </c>
      <c r="K1003">
        <v>1.1001810000000001</v>
      </c>
      <c r="L1003">
        <v>351.99</v>
      </c>
      <c r="M1003">
        <v>0.3856137</v>
      </c>
      <c r="N1003">
        <v>0</v>
      </c>
      <c r="O1003">
        <v>-0.92252559999999995</v>
      </c>
      <c r="P1003">
        <v>0.20305010000000001</v>
      </c>
      <c r="Q1003">
        <v>5.8176390000000001E-2</v>
      </c>
      <c r="R1003">
        <v>-0.97743869999999999</v>
      </c>
      <c r="S1003">
        <v>-2.1789550000000001E-2</v>
      </c>
      <c r="T1003">
        <v>-0.34890559999999998</v>
      </c>
      <c r="U1003">
        <v>-3.1103209999999999</v>
      </c>
      <c r="V1003">
        <v>0.19134880000000001</v>
      </c>
      <c r="W1003">
        <v>6.8996699999999994E-2</v>
      </c>
      <c r="X1003">
        <v>0.97909400000000002</v>
      </c>
      <c r="Y1003">
        <v>0.39198159999999999</v>
      </c>
      <c r="Z1003">
        <v>9.409932E-2</v>
      </c>
      <c r="AA1003">
        <v>0.91514799999999996</v>
      </c>
      <c r="AB1003">
        <v>24</v>
      </c>
      <c r="AC1003">
        <v>-0.19309999999998601</v>
      </c>
      <c r="AD1003">
        <v>-1.1001831464709999</v>
      </c>
      <c r="AE1003">
        <v>-9.4608999999999792</v>
      </c>
      <c r="AF1003">
        <v>3.77582969556265</v>
      </c>
      <c r="AG1003">
        <v>-1.1001831464709999</v>
      </c>
      <c r="AH1003">
        <v>8.5391120259619502</v>
      </c>
      <c r="AI1003">
        <v>96.720440605891199</v>
      </c>
      <c r="AJ1003">
        <v>66.145915361459799</v>
      </c>
      <c r="AK1003">
        <v>9.4012619917540601</v>
      </c>
      <c r="AL1003">
        <v>86.043636909447798</v>
      </c>
      <c r="AM1003">
        <v>78.941806870802296</v>
      </c>
      <c r="AN1003">
        <v>0.99999998435416404</v>
      </c>
    </row>
    <row r="1004" spans="1:40" x14ac:dyDescent="0.25">
      <c r="A1004" t="str">
        <f>"20190312154524650"</f>
        <v>20190312154524650</v>
      </c>
      <c r="B1004" t="str">
        <f>"1552376724637257"</f>
        <v>1552376724637257</v>
      </c>
      <c r="C1004" t="s">
        <v>40</v>
      </c>
      <c r="D1004">
        <v>4.708215</v>
      </c>
      <c r="E1004">
        <v>0.58702140000000003</v>
      </c>
      <c r="F1004" t="s">
        <v>42</v>
      </c>
      <c r="G1004">
        <v>-193.35210000000001</v>
      </c>
      <c r="H1004" s="1">
        <v>-1.9468839999999999E-6</v>
      </c>
      <c r="I1004">
        <v>342.04829999999998</v>
      </c>
      <c r="J1004">
        <v>-193.0549</v>
      </c>
      <c r="K1004">
        <v>1.100185</v>
      </c>
      <c r="L1004">
        <v>351.75450000000001</v>
      </c>
      <c r="M1004">
        <v>0.3709867</v>
      </c>
      <c r="N1004">
        <v>0</v>
      </c>
      <c r="O1004">
        <v>-0.928504</v>
      </c>
      <c r="P1004">
        <v>0.1899757</v>
      </c>
      <c r="Q1004">
        <v>5.8375530000000002E-2</v>
      </c>
      <c r="R1004">
        <v>-0.98005149999999996</v>
      </c>
      <c r="S1004">
        <v>-6.8130490000000002E-2</v>
      </c>
      <c r="T1004">
        <v>-0.34348020000000001</v>
      </c>
      <c r="U1004">
        <v>-3.1038209999999999</v>
      </c>
      <c r="V1004">
        <v>0.18895110000000001</v>
      </c>
      <c r="W1004">
        <v>6.9286410000000007E-2</v>
      </c>
      <c r="X1004">
        <v>0.9795391</v>
      </c>
      <c r="Y1004">
        <v>0.39112520000000001</v>
      </c>
      <c r="Z1004">
        <v>9.3828259999999997E-2</v>
      </c>
      <c r="AA1004">
        <v>0.91554210000000003</v>
      </c>
      <c r="AB1004">
        <v>24</v>
      </c>
      <c r="AC1004">
        <v>-0.29720000000000302</v>
      </c>
      <c r="AD1004">
        <v>-1.100186946884</v>
      </c>
      <c r="AE1004">
        <v>-9.7062000000000204</v>
      </c>
      <c r="AF1004">
        <v>3.8281675098285901</v>
      </c>
      <c r="AG1004">
        <v>-1.100186946884</v>
      </c>
      <c r="AH1004">
        <v>8.7902663403347798</v>
      </c>
      <c r="AI1004">
        <v>96.546061501522004</v>
      </c>
      <c r="AJ1004">
        <v>66.466838921533693</v>
      </c>
      <c r="AK1004">
        <v>9.6505989521595907</v>
      </c>
      <c r="AL1004">
        <v>86.026997938419797</v>
      </c>
      <c r="AM1004">
        <v>79.081862468609401</v>
      </c>
      <c r="AN1004">
        <v>0.99999998661535305</v>
      </c>
    </row>
    <row r="1005" spans="1:40" x14ac:dyDescent="0.25">
      <c r="A1005" t="str">
        <f>"20190312154524672"</f>
        <v>20190312154524672</v>
      </c>
      <c r="B1005" t="str">
        <f>"1552376724667512"</f>
        <v>1552376724667512</v>
      </c>
      <c r="C1005" t="s">
        <v>40</v>
      </c>
      <c r="D1005">
        <v>4.6495009999999999</v>
      </c>
      <c r="E1005">
        <v>0.57070739999999998</v>
      </c>
      <c r="F1005" t="s">
        <v>42</v>
      </c>
      <c r="G1005">
        <v>-193.376</v>
      </c>
      <c r="H1005" s="1">
        <v>-1.9008089999999999E-6</v>
      </c>
      <c r="I1005">
        <v>341.92610000000002</v>
      </c>
      <c r="J1005">
        <v>-192.9829</v>
      </c>
      <c r="K1005">
        <v>1.1002130000000001</v>
      </c>
      <c r="L1005">
        <v>351.52870000000001</v>
      </c>
      <c r="M1005">
        <v>0.3569252</v>
      </c>
      <c r="N1005">
        <v>0</v>
      </c>
      <c r="O1005">
        <v>-0.93399949999999998</v>
      </c>
      <c r="P1005">
        <v>0.176256</v>
      </c>
      <c r="Q1005">
        <v>5.9752260000000001E-2</v>
      </c>
      <c r="R1005">
        <v>-0.98252919999999999</v>
      </c>
      <c r="S1005">
        <v>-0.1013336</v>
      </c>
      <c r="T1005">
        <v>-0.34715859999999998</v>
      </c>
      <c r="U1005">
        <v>-3.101318</v>
      </c>
      <c r="V1005">
        <v>0.1878542</v>
      </c>
      <c r="W1005">
        <v>7.071769E-2</v>
      </c>
      <c r="X1005">
        <v>0.97964779999999996</v>
      </c>
      <c r="Y1005">
        <v>0.38703470000000001</v>
      </c>
      <c r="Z1005">
        <v>9.5888440000000005E-2</v>
      </c>
      <c r="AA1005">
        <v>0.91706569999999998</v>
      </c>
      <c r="AB1005">
        <v>24</v>
      </c>
      <c r="AC1005">
        <v>-0.39309999999997502</v>
      </c>
      <c r="AD1005">
        <v>-1.1002149008090001</v>
      </c>
      <c r="AE1005">
        <v>-9.60259999999999</v>
      </c>
      <c r="AF1005">
        <v>3.7459461665124301</v>
      </c>
      <c r="AG1005">
        <v>-1.1002149008090001</v>
      </c>
      <c r="AH1005">
        <v>8.7153983857484008</v>
      </c>
      <c r="AI1005">
        <v>96.615556049713504</v>
      </c>
      <c r="AJ1005">
        <v>66.741589880206803</v>
      </c>
      <c r="AK1005">
        <v>9.5499086138390403</v>
      </c>
      <c r="AL1005">
        <v>85.944790021027202</v>
      </c>
      <c r="AM1005">
        <v>79.144910082336693</v>
      </c>
      <c r="AN1005">
        <v>1.0000000020907001</v>
      </c>
    </row>
    <row r="1006" spans="1:40" x14ac:dyDescent="0.25">
      <c r="A1006" t="str">
        <f>"20190312154524696"</f>
        <v>20190312154524696</v>
      </c>
      <c r="B1006" t="str">
        <f>"1552376724687032"</f>
        <v>1552376724687032</v>
      </c>
      <c r="C1006" t="s">
        <v>40</v>
      </c>
      <c r="D1006">
        <v>4.7700430000000003</v>
      </c>
      <c r="E1006">
        <v>0.56990569999999996</v>
      </c>
      <c r="F1006" t="s">
        <v>42</v>
      </c>
      <c r="G1006">
        <v>-193.03639999999999</v>
      </c>
      <c r="H1006" s="1">
        <v>-1.745573E-6</v>
      </c>
      <c r="I1006">
        <v>341.7749</v>
      </c>
      <c r="J1006">
        <v>-192.90729999999999</v>
      </c>
      <c r="K1006">
        <v>1.1002609999999999</v>
      </c>
      <c r="L1006">
        <v>351.27769999999998</v>
      </c>
      <c r="M1006">
        <v>0.34129219999999999</v>
      </c>
      <c r="N1006">
        <v>0</v>
      </c>
      <c r="O1006">
        <v>-0.93982429999999995</v>
      </c>
      <c r="P1006">
        <v>0.16023770000000001</v>
      </c>
      <c r="Q1006">
        <v>5.9700999999999997E-2</v>
      </c>
      <c r="R1006">
        <v>-0.98527160000000003</v>
      </c>
      <c r="S1006">
        <v>-1.6860960000000001E-2</v>
      </c>
      <c r="T1006">
        <v>-0.34713129999999998</v>
      </c>
      <c r="U1006">
        <v>-3.0774539999999999</v>
      </c>
      <c r="V1006">
        <v>0.18744910000000001</v>
      </c>
      <c r="W1006">
        <v>7.0708190000000004E-2</v>
      </c>
      <c r="X1006">
        <v>0.97972610000000004</v>
      </c>
      <c r="Y1006">
        <v>0.34638229999999998</v>
      </c>
      <c r="Z1006">
        <v>9.8536579999999999E-2</v>
      </c>
      <c r="AA1006">
        <v>0.93290399999999996</v>
      </c>
      <c r="AB1006">
        <v>24</v>
      </c>
      <c r="AC1006">
        <v>-0.129099999999994</v>
      </c>
      <c r="AD1006">
        <v>-1.1002627455730001</v>
      </c>
      <c r="AE1006">
        <v>-9.5027999999999793</v>
      </c>
      <c r="AF1006">
        <v>3.3204782135316302</v>
      </c>
      <c r="AG1006">
        <v>-1.1002627455730001</v>
      </c>
      <c r="AH1006">
        <v>8.7704597528467101</v>
      </c>
      <c r="AI1006">
        <v>96.691581481383395</v>
      </c>
      <c r="AJ1006">
        <v>69.263436241581402</v>
      </c>
      <c r="AK1006">
        <v>9.4423046949427594</v>
      </c>
      <c r="AL1006">
        <v>85.945335778276402</v>
      </c>
      <c r="AM1006">
        <v>79.168609484855395</v>
      </c>
      <c r="AN1006">
        <v>1.00000002212254</v>
      </c>
    </row>
    <row r="1007" spans="1:40" x14ac:dyDescent="0.25">
      <c r="A1007" t="str">
        <f>"20190312154524720"</f>
        <v>20190312154524720</v>
      </c>
      <c r="B1007" t="str">
        <f>"1552376724707529"</f>
        <v>1552376724707529</v>
      </c>
      <c r="C1007" t="s">
        <v>40</v>
      </c>
      <c r="D1007">
        <v>4.7676119999999997</v>
      </c>
      <c r="E1007">
        <v>0.56889579999999995</v>
      </c>
      <c r="F1007" t="s">
        <v>42</v>
      </c>
      <c r="G1007">
        <v>-193.12039999999999</v>
      </c>
      <c r="H1007" s="1">
        <v>-1.28447E-6</v>
      </c>
      <c r="I1007">
        <v>340.64789999999999</v>
      </c>
      <c r="J1007">
        <v>-192.8398</v>
      </c>
      <c r="K1007">
        <v>1.100322</v>
      </c>
      <c r="L1007">
        <v>351.03980000000001</v>
      </c>
      <c r="M1007">
        <v>0.32648329999999998</v>
      </c>
      <c r="N1007">
        <v>0</v>
      </c>
      <c r="O1007">
        <v>-0.94507070000000004</v>
      </c>
      <c r="P1007">
        <v>0.14448699999999901</v>
      </c>
      <c r="Q1007">
        <v>5.921295E-2</v>
      </c>
      <c r="R1007">
        <v>-0.9877338</v>
      </c>
      <c r="S1007">
        <v>-6.1614990000000001E-2</v>
      </c>
      <c r="T1007">
        <v>-0.31819649999999999</v>
      </c>
      <c r="U1007">
        <v>-3.0741580000000002</v>
      </c>
      <c r="V1007">
        <v>0.18768470000000001</v>
      </c>
      <c r="W1007">
        <v>7.0244420000000002E-2</v>
      </c>
      <c r="X1007">
        <v>0.97971430000000004</v>
      </c>
      <c r="Y1007">
        <v>0.3452557</v>
      </c>
      <c r="Z1007">
        <v>9.1321860000000005E-2</v>
      </c>
      <c r="AA1007">
        <v>0.93405499999999997</v>
      </c>
      <c r="AB1007">
        <v>24</v>
      </c>
      <c r="AC1007">
        <v>-0.28059999999999202</v>
      </c>
      <c r="AD1007">
        <v>-1.1003232844699999</v>
      </c>
      <c r="AE1007">
        <v>-10.3919</v>
      </c>
      <c r="AF1007">
        <v>3.6178947658297198</v>
      </c>
      <c r="AG1007">
        <v>-1.1003232844699999</v>
      </c>
      <c r="AH1007">
        <v>9.6228804492526407</v>
      </c>
      <c r="AI1007">
        <v>96.1091092812418</v>
      </c>
      <c r="AJ1007">
        <v>69.395347597396906</v>
      </c>
      <c r="AK1007">
        <v>10.339231209696999</v>
      </c>
      <c r="AL1007">
        <v>85.971973858131093</v>
      </c>
      <c r="AM1007">
        <v>79.155190891831296</v>
      </c>
      <c r="AN1007">
        <v>0.99999996738985697</v>
      </c>
    </row>
    <row r="1008" spans="1:40" x14ac:dyDescent="0.25">
      <c r="A1008" t="str">
        <f>"20190312154524741"</f>
        <v>20190312154524741</v>
      </c>
      <c r="B1008" t="str">
        <f>"1552376724737316"</f>
        <v>1552376724737316</v>
      </c>
      <c r="C1008" t="s">
        <v>40</v>
      </c>
      <c r="D1008">
        <v>4.7501699999999998</v>
      </c>
      <c r="E1008">
        <v>0.56622989999999995</v>
      </c>
      <c r="F1008" t="s">
        <v>42</v>
      </c>
      <c r="G1008">
        <v>-193.20740000000001</v>
      </c>
      <c r="H1008" s="1">
        <v>-1.0680580000000001E-6</v>
      </c>
      <c r="I1008">
        <v>340.08940000000001</v>
      </c>
      <c r="J1008">
        <v>-192.77930000000001</v>
      </c>
      <c r="K1008">
        <v>1.1003940000000001</v>
      </c>
      <c r="L1008">
        <v>350.81369999999998</v>
      </c>
      <c r="M1008">
        <v>0.31246819999999997</v>
      </c>
      <c r="N1008">
        <v>0</v>
      </c>
      <c r="O1008">
        <v>-0.9497968</v>
      </c>
      <c r="P1008">
        <v>0.129188</v>
      </c>
      <c r="Q1008">
        <v>5.8900019999999997E-2</v>
      </c>
      <c r="R1008">
        <v>-0.98986949999999996</v>
      </c>
      <c r="S1008">
        <v>-0.1031036</v>
      </c>
      <c r="T1008">
        <v>-0.30856739999999999</v>
      </c>
      <c r="U1008">
        <v>-3.0708310000000001</v>
      </c>
      <c r="V1008">
        <v>0.18833620000000001</v>
      </c>
      <c r="W1008">
        <v>6.994475E-2</v>
      </c>
      <c r="X1008">
        <v>0.97961069999999995</v>
      </c>
      <c r="Y1008">
        <v>0.3440165</v>
      </c>
      <c r="Z1008">
        <v>8.9390170000000005E-2</v>
      </c>
      <c r="AA1008">
        <v>0.9346989</v>
      </c>
      <c r="AB1008">
        <v>23</v>
      </c>
      <c r="AC1008">
        <v>-0.42809999999999998</v>
      </c>
      <c r="AD1008">
        <v>-1.1003950680579999</v>
      </c>
      <c r="AE1008">
        <v>-10.7242999999999</v>
      </c>
      <c r="AF1008">
        <v>3.7189874608731599</v>
      </c>
      <c r="AG1008">
        <v>-1.1003950680579999</v>
      </c>
      <c r="AH1008">
        <v>9.9488155055626901</v>
      </c>
      <c r="AI1008">
        <v>95.914951281495206</v>
      </c>
      <c r="AJ1008">
        <v>69.503649352260993</v>
      </c>
      <c r="AK1008">
        <v>10.678046029291201</v>
      </c>
      <c r="AL1008">
        <v>85.989185982859397</v>
      </c>
      <c r="AM1008">
        <v>79.117319776564798</v>
      </c>
      <c r="AN1008">
        <v>0.99999995791874496</v>
      </c>
    </row>
    <row r="1009" spans="1:40" x14ac:dyDescent="0.25">
      <c r="A1009" t="str">
        <f>"20190312154524762"</f>
        <v>20190312154524762</v>
      </c>
      <c r="B1009" t="str">
        <f>"1552376724756835"</f>
        <v>1552376724756835</v>
      </c>
      <c r="C1009" t="s">
        <v>40</v>
      </c>
      <c r="D1009">
        <v>4.6711470000000004</v>
      </c>
      <c r="E1009">
        <v>0.56467239999999996</v>
      </c>
      <c r="F1009" t="s">
        <v>42</v>
      </c>
      <c r="G1009">
        <v>-193.27090000000001</v>
      </c>
      <c r="H1009" s="1">
        <v>-4.740101E-6</v>
      </c>
      <c r="I1009">
        <v>339.21080000000001</v>
      </c>
      <c r="J1009">
        <v>-192.7243</v>
      </c>
      <c r="K1009">
        <v>1.1004769999999999</v>
      </c>
      <c r="L1009">
        <v>350.59620000000001</v>
      </c>
      <c r="M1009">
        <v>0.2990526</v>
      </c>
      <c r="N1009">
        <v>0</v>
      </c>
      <c r="O1009">
        <v>-0.95410609999999996</v>
      </c>
      <c r="P1009">
        <v>0.11549139999999999</v>
      </c>
      <c r="Q1009">
        <v>5.7535639999999999E-2</v>
      </c>
      <c r="R1009">
        <v>-0.99164099999999999</v>
      </c>
      <c r="S1009">
        <v>-0.1298676</v>
      </c>
      <c r="T1009">
        <v>-0.29067419999999999</v>
      </c>
      <c r="U1009">
        <v>-3.0649410000000001</v>
      </c>
      <c r="V1009">
        <v>0.18804940000000001</v>
      </c>
      <c r="W1009">
        <v>6.8620420000000001E-2</v>
      </c>
      <c r="X1009">
        <v>0.97975950000000001</v>
      </c>
      <c r="Y1009">
        <v>0.339016599999999</v>
      </c>
      <c r="Z1009">
        <v>8.5092810000000005E-2</v>
      </c>
      <c r="AA1009">
        <v>0.93692419999999998</v>
      </c>
      <c r="AB1009">
        <v>23</v>
      </c>
      <c r="AC1009">
        <v>-0.54660000000001197</v>
      </c>
      <c r="AD1009">
        <v>-1.1004817401010001</v>
      </c>
      <c r="AE1009">
        <v>-11.385400000000001</v>
      </c>
      <c r="AF1009">
        <v>3.8905723800801102</v>
      </c>
      <c r="AG1009">
        <v>-1.1004817401010001</v>
      </c>
      <c r="AH1009">
        <v>10.6019281509517</v>
      </c>
      <c r="AI1009">
        <v>95.565672055964598</v>
      </c>
      <c r="AJ1009">
        <v>69.848459937173899</v>
      </c>
      <c r="AK1009">
        <v>11.3467393564354</v>
      </c>
      <c r="AL1009">
        <v>86.065247479811305</v>
      </c>
      <c r="AM1009">
        <v>79.135108236487198</v>
      </c>
      <c r="AN1009">
        <v>1.0000000083607901</v>
      </c>
    </row>
    <row r="1010" spans="1:40" x14ac:dyDescent="0.25">
      <c r="A1010" t="str">
        <f>"20190312154524787"</f>
        <v>20190312154524787</v>
      </c>
      <c r="B1010" t="str">
        <f>"1552376724777331"</f>
        <v>1552376724777331</v>
      </c>
      <c r="C1010" t="s">
        <v>40</v>
      </c>
      <c r="D1010">
        <v>4.6750170000000004</v>
      </c>
      <c r="E1010">
        <v>0.55336689999999999</v>
      </c>
      <c r="F1010" t="s">
        <v>42</v>
      </c>
      <c r="G1010">
        <v>-193.35489999999999</v>
      </c>
      <c r="H1010" s="1">
        <v>-4.5438179999999997E-6</v>
      </c>
      <c r="I1010">
        <v>338.59030000000001</v>
      </c>
      <c r="J1010">
        <v>-192.6644</v>
      </c>
      <c r="K1010">
        <v>1.100598</v>
      </c>
      <c r="L1010">
        <v>350.34230000000002</v>
      </c>
      <c r="M1010">
        <v>0.28354059999999998</v>
      </c>
      <c r="N1010">
        <v>0</v>
      </c>
      <c r="O1010">
        <v>-0.95883070000000004</v>
      </c>
      <c r="P1010">
        <v>9.9400799999999997E-2</v>
      </c>
      <c r="Q1010">
        <v>5.544549E-2</v>
      </c>
      <c r="R1010">
        <v>-0.99350179999999999</v>
      </c>
      <c r="S1010">
        <v>-0.1607208</v>
      </c>
      <c r="T1010">
        <v>-0.28051039999999999</v>
      </c>
      <c r="U1010">
        <v>-3.0602719999999999</v>
      </c>
      <c r="V1010">
        <v>0.18800539999999999</v>
      </c>
      <c r="W1010">
        <v>6.6573300000000002E-2</v>
      </c>
      <c r="X1010">
        <v>0.97990920000000004</v>
      </c>
      <c r="Y1010">
        <v>0.333256</v>
      </c>
      <c r="Z1010">
        <v>8.2985219999999998E-2</v>
      </c>
      <c r="AA1010">
        <v>0.93917729999999999</v>
      </c>
      <c r="AB1010">
        <v>23</v>
      </c>
      <c r="AC1010">
        <v>-0.69049999999998501</v>
      </c>
      <c r="AD1010">
        <v>-1.100602543818</v>
      </c>
      <c r="AE1010">
        <v>-11.752000000000001</v>
      </c>
      <c r="AF1010">
        <v>3.9601241197946102</v>
      </c>
      <c r="AG1010">
        <v>-1.100602543818</v>
      </c>
      <c r="AH1010">
        <v>10.9778165510468</v>
      </c>
      <c r="AI1010">
        <v>95.387532330423596</v>
      </c>
      <c r="AJ1010">
        <v>70.163660074185401</v>
      </c>
      <c r="AK1010">
        <v>11.722046119687199</v>
      </c>
      <c r="AL1010">
        <v>86.182807840761797</v>
      </c>
      <c r="AM1010">
        <v>79.139209903453406</v>
      </c>
      <c r="AN1010">
        <v>1.00000003747334</v>
      </c>
    </row>
    <row r="1011" spans="1:40" x14ac:dyDescent="0.25">
      <c r="A1011" t="str">
        <f>"20190312154524807"</f>
        <v>20190312154524807</v>
      </c>
      <c r="B1011" t="str">
        <f>"1552376724796851"</f>
        <v>1552376724796851</v>
      </c>
      <c r="C1011" t="s">
        <v>40</v>
      </c>
      <c r="D1011">
        <v>4.6371409999999997</v>
      </c>
      <c r="E1011">
        <v>0.5539288</v>
      </c>
      <c r="F1011" t="s">
        <v>42</v>
      </c>
      <c r="G1011">
        <v>-193.3528</v>
      </c>
      <c r="H1011" s="1">
        <v>-2.4141759999999999E-6</v>
      </c>
      <c r="I1011">
        <v>333.13709999999998</v>
      </c>
      <c r="J1011">
        <v>-192.61600000000001</v>
      </c>
      <c r="K1011">
        <v>1.1007169999999999</v>
      </c>
      <c r="L1011">
        <v>350.12380000000002</v>
      </c>
      <c r="M1011">
        <v>0.27032309999999998</v>
      </c>
      <c r="N1011">
        <v>0</v>
      </c>
      <c r="O1011">
        <v>-0.96264119999999997</v>
      </c>
      <c r="P1011">
        <v>8.6795289999999997E-2</v>
      </c>
      <c r="Q1011">
        <v>5.4059599999999999E-2</v>
      </c>
      <c r="R1011">
        <v>-0.99475899999999995</v>
      </c>
      <c r="S1011">
        <v>-0.12174989999999999</v>
      </c>
      <c r="T1011">
        <v>-0.1946359</v>
      </c>
      <c r="U1011">
        <v>-3.0426639999999998</v>
      </c>
      <c r="V1011">
        <v>0.18691450000000001</v>
      </c>
      <c r="W1011">
        <v>6.5254380000000001E-2</v>
      </c>
      <c r="X1011">
        <v>0.98020649999999998</v>
      </c>
      <c r="Y1011">
        <v>0.3085485</v>
      </c>
      <c r="Z1011">
        <v>5.8687169999999997E-2</v>
      </c>
      <c r="AA1011">
        <v>0.94939649999999998</v>
      </c>
      <c r="AB1011">
        <v>23</v>
      </c>
      <c r="AC1011">
        <v>-0.736800000000016</v>
      </c>
      <c r="AD1011">
        <v>-1.1007194141759999</v>
      </c>
      <c r="AE1011">
        <v>-16.986699999999999</v>
      </c>
      <c r="AF1011">
        <v>5.27969987528797</v>
      </c>
      <c r="AG1011">
        <v>-1.1007194141759999</v>
      </c>
      <c r="AH1011">
        <v>16.087498329413499</v>
      </c>
      <c r="AI1011">
        <v>93.719527082631203</v>
      </c>
      <c r="AJ1011">
        <v>71.830862006838601</v>
      </c>
      <c r="AK1011">
        <v>16.967451679634799</v>
      </c>
      <c r="AL1011">
        <v>86.258540849141298</v>
      </c>
      <c r="AM1011">
        <v>79.203941883433203</v>
      </c>
      <c r="AN1011">
        <v>0.99999997353084102</v>
      </c>
    </row>
    <row r="1012" spans="1:40" x14ac:dyDescent="0.25">
      <c r="A1012" t="str">
        <f>"20190312154524830"</f>
        <v>20190312154524830</v>
      </c>
      <c r="B1012" t="str">
        <f>"1552376724817347"</f>
        <v>1552376724817347</v>
      </c>
      <c r="C1012" t="s">
        <v>40</v>
      </c>
      <c r="D1012">
        <v>4.7195179999999999</v>
      </c>
      <c r="E1012">
        <v>0.56369029999999998</v>
      </c>
      <c r="F1012" t="s">
        <v>42</v>
      </c>
      <c r="G1012">
        <v>-193.5052</v>
      </c>
      <c r="H1012" s="1">
        <v>-2.634412E-6</v>
      </c>
      <c r="I1012">
        <v>333.55599999999998</v>
      </c>
      <c r="J1012">
        <v>-192.5667</v>
      </c>
      <c r="K1012">
        <v>1.100859</v>
      </c>
      <c r="L1012">
        <v>349.88529999999997</v>
      </c>
      <c r="M1012">
        <v>0.25604379999999999</v>
      </c>
      <c r="N1012">
        <v>0</v>
      </c>
      <c r="O1012">
        <v>-0.96653770000000006</v>
      </c>
      <c r="P1012">
        <v>7.4570410000000004E-2</v>
      </c>
      <c r="Q1012">
        <v>5.1834100000000001E-2</v>
      </c>
      <c r="R1012">
        <v>-0.99586790000000003</v>
      </c>
      <c r="S1012">
        <v>-0.16322329999999999</v>
      </c>
      <c r="T1012">
        <v>-0.2020402</v>
      </c>
      <c r="U1012">
        <v>-3.041077</v>
      </c>
      <c r="V1012">
        <v>0.18439610000000001</v>
      </c>
      <c r="W1012">
        <v>6.3132549999999996E-2</v>
      </c>
      <c r="X1012">
        <v>0.98082230000000004</v>
      </c>
      <c r="Y1012">
        <v>0.3073979</v>
      </c>
      <c r="Z1012">
        <v>6.1320800000000002E-2</v>
      </c>
      <c r="AA1012">
        <v>0.94960330000000004</v>
      </c>
      <c r="AB1012">
        <v>23</v>
      </c>
      <c r="AC1012">
        <v>-0.938500000000004</v>
      </c>
      <c r="AD1012">
        <v>-1.1008616344119999</v>
      </c>
      <c r="AE1012">
        <v>-16.3292999999999</v>
      </c>
      <c r="AF1012">
        <v>5.0657907166065401</v>
      </c>
      <c r="AG1012">
        <v>-1.1008616344119999</v>
      </c>
      <c r="AH1012">
        <v>15.474403485492299</v>
      </c>
      <c r="AI1012">
        <v>93.867890614477204</v>
      </c>
      <c r="AJ1012">
        <v>71.873322318546897</v>
      </c>
      <c r="AK1012">
        <v>16.319659774468199</v>
      </c>
      <c r="AL1012">
        <v>86.380364183861403</v>
      </c>
      <c r="AM1012">
        <v>79.352587228004495</v>
      </c>
      <c r="AN1012">
        <v>1.000000012371</v>
      </c>
    </row>
    <row r="1013" spans="1:40" x14ac:dyDescent="0.25">
      <c r="A1013" t="str">
        <f>"20190312154524852"</f>
        <v>20190312154524852</v>
      </c>
      <c r="B1013" t="str">
        <f>"1552376724847136"</f>
        <v>1552376724847136</v>
      </c>
      <c r="C1013" t="s">
        <v>40</v>
      </c>
      <c r="D1013">
        <v>4.6083470000000002</v>
      </c>
      <c r="E1013">
        <v>0.56139019999999995</v>
      </c>
      <c r="F1013" t="s">
        <v>42</v>
      </c>
      <c r="G1013">
        <v>-193.89449999999999</v>
      </c>
      <c r="H1013" s="1">
        <v>-3.4655760000000001E-6</v>
      </c>
      <c r="I1013">
        <v>335.25199999999899</v>
      </c>
      <c r="J1013">
        <v>-192.52170000000001</v>
      </c>
      <c r="K1013">
        <v>1.1010180000000001</v>
      </c>
      <c r="L1013">
        <v>349.6524</v>
      </c>
      <c r="M1013">
        <v>0.24227799999999999</v>
      </c>
      <c r="N1013">
        <v>0</v>
      </c>
      <c r="O1013">
        <v>-0.97008039999999995</v>
      </c>
      <c r="P1013">
        <v>6.4253660000000004E-2</v>
      </c>
      <c r="Q1013">
        <v>4.968844E-2</v>
      </c>
      <c r="R1013">
        <v>-0.99669600000000003</v>
      </c>
      <c r="S1013">
        <v>-0.2763062</v>
      </c>
      <c r="T1013">
        <v>-0.2290816</v>
      </c>
      <c r="U1013">
        <v>-3.0450740000000001</v>
      </c>
      <c r="V1013">
        <v>0.18055930000000001</v>
      </c>
      <c r="W1013">
        <v>6.1119890000000003E-2</v>
      </c>
      <c r="X1013">
        <v>0.98166319999999996</v>
      </c>
      <c r="Y1013">
        <v>0.32874720000000002</v>
      </c>
      <c r="Z1013">
        <v>6.9427729999999993E-2</v>
      </c>
      <c r="AA1013">
        <v>0.94186259999999999</v>
      </c>
      <c r="AB1013">
        <v>23</v>
      </c>
      <c r="AC1013">
        <v>-1.37279999999998</v>
      </c>
      <c r="AD1013">
        <v>-1.101021465576</v>
      </c>
      <c r="AE1013">
        <v>-14.400399999999999</v>
      </c>
      <c r="AF1013">
        <v>4.7934489717785302</v>
      </c>
      <c r="AG1013">
        <v>-1.101021465576</v>
      </c>
      <c r="AH1013">
        <v>13.5600647859654</v>
      </c>
      <c r="AI1013">
        <v>94.377657508846397</v>
      </c>
      <c r="AJ1013">
        <v>70.531626012344304</v>
      </c>
      <c r="AK1013">
        <v>14.4244500176708</v>
      </c>
      <c r="AL1013">
        <v>86.495904165934206</v>
      </c>
      <c r="AM1013">
        <v>79.577958673768705</v>
      </c>
      <c r="AN1013">
        <v>0.99999997000217</v>
      </c>
    </row>
    <row r="1014" spans="1:40" x14ac:dyDescent="0.25">
      <c r="A1014" t="str">
        <f>"20190312154524874"</f>
        <v>20190312154524874</v>
      </c>
      <c r="B1014" t="str">
        <f>"1552376724867632"</f>
        <v>1552376724867632</v>
      </c>
      <c r="C1014" t="s">
        <v>40</v>
      </c>
      <c r="D1014">
        <v>4.6253699999999904</v>
      </c>
      <c r="E1014">
        <v>0.55924549999999995</v>
      </c>
      <c r="F1014" t="s">
        <v>42</v>
      </c>
      <c r="G1014">
        <v>-193.87219999999999</v>
      </c>
      <c r="H1014" s="1">
        <v>-3.5473490000000002E-6</v>
      </c>
      <c r="I1014">
        <v>335.45639999999997</v>
      </c>
      <c r="J1014">
        <v>-192.4796</v>
      </c>
      <c r="K1014">
        <v>1.101181</v>
      </c>
      <c r="L1014">
        <v>349.41680000000002</v>
      </c>
      <c r="M1014">
        <v>0.22855700000000001</v>
      </c>
      <c r="N1014">
        <v>0</v>
      </c>
      <c r="O1014">
        <v>-0.97340499999999996</v>
      </c>
      <c r="P1014">
        <v>5.5254339999999999E-2</v>
      </c>
      <c r="Q1014">
        <v>4.717068E-2</v>
      </c>
      <c r="R1014">
        <v>-0.99735739999999995</v>
      </c>
      <c r="S1014">
        <v>-0.2892303</v>
      </c>
      <c r="T1014">
        <v>-0.2358025</v>
      </c>
      <c r="U1014">
        <v>-3.040314</v>
      </c>
      <c r="V1014">
        <v>0.1755005</v>
      </c>
      <c r="W1014">
        <v>5.876236E-2</v>
      </c>
      <c r="X1014">
        <v>0.98272409999999999</v>
      </c>
      <c r="Y1014">
        <v>0.31948369999999998</v>
      </c>
      <c r="Z1014">
        <v>7.2058029999999995E-2</v>
      </c>
      <c r="AA1014">
        <v>0.94484809999999997</v>
      </c>
      <c r="AB1014">
        <v>23</v>
      </c>
      <c r="AC1014">
        <v>-1.3925999999999801</v>
      </c>
      <c r="AD1014">
        <v>-1.1011845473490001</v>
      </c>
      <c r="AE1014">
        <v>-13.9604</v>
      </c>
      <c r="AF1014">
        <v>4.5190266183430703</v>
      </c>
      <c r="AG1014">
        <v>-1.1011845473490001</v>
      </c>
      <c r="AH1014">
        <v>13.1911908135377</v>
      </c>
      <c r="AI1014">
        <v>94.515456437821101</v>
      </c>
      <c r="AJ1014">
        <v>71.089610465414907</v>
      </c>
      <c r="AK1014">
        <v>13.987198578120401</v>
      </c>
      <c r="AL1014">
        <v>86.631224302587995</v>
      </c>
      <c r="AM1014">
        <v>79.874534301280704</v>
      </c>
      <c r="AN1014">
        <v>1.0000000485869101</v>
      </c>
    </row>
    <row r="1015" spans="1:40" x14ac:dyDescent="0.25">
      <c r="A1015" t="str">
        <f>"20190312154524899"</f>
        <v>20190312154524899</v>
      </c>
      <c r="B1015" t="str">
        <f>"1552376724887152"</f>
        <v>1552376724887152</v>
      </c>
      <c r="C1015" t="s">
        <v>40</v>
      </c>
      <c r="D1015">
        <v>4.5886990000000001</v>
      </c>
      <c r="E1015">
        <v>0.55771990000000005</v>
      </c>
      <c r="F1015" t="s">
        <v>42</v>
      </c>
      <c r="G1015">
        <v>-193.80189999999999</v>
      </c>
      <c r="H1015" s="1">
        <v>-3.7468260000000001E-6</v>
      </c>
      <c r="I1015">
        <v>336.01530000000002</v>
      </c>
      <c r="J1015">
        <v>-192.43700000000001</v>
      </c>
      <c r="K1015">
        <v>1.101372</v>
      </c>
      <c r="L1015">
        <v>349.15960000000001</v>
      </c>
      <c r="M1015">
        <v>0.2138389</v>
      </c>
      <c r="N1015">
        <v>0</v>
      </c>
      <c r="O1015">
        <v>-0.97674470000000002</v>
      </c>
      <c r="P1015">
        <v>4.4025880000000003E-2</v>
      </c>
      <c r="Q1015">
        <v>4.4118539999999998E-2</v>
      </c>
      <c r="R1015">
        <v>-0.9980559</v>
      </c>
      <c r="S1015">
        <v>-0.29960629999999999</v>
      </c>
      <c r="T1015">
        <v>-0.24948880000000001</v>
      </c>
      <c r="U1015">
        <v>-3.0363159999999998</v>
      </c>
      <c r="V1015">
        <v>0.17165849999999999</v>
      </c>
      <c r="W1015">
        <v>5.583987E-2</v>
      </c>
      <c r="X1015">
        <v>0.98357269999999997</v>
      </c>
      <c r="Y1015">
        <v>0.30844199999999999</v>
      </c>
      <c r="Z1015">
        <v>7.6860059999999994E-2</v>
      </c>
      <c r="AA1015">
        <v>0.94813289999999995</v>
      </c>
      <c r="AB1015">
        <v>23</v>
      </c>
      <c r="AC1015">
        <v>-1.36489999999997</v>
      </c>
      <c r="AD1015">
        <v>-1.1013757468259999</v>
      </c>
      <c r="AE1015">
        <v>-13.1442999999999</v>
      </c>
      <c r="AF1015">
        <v>4.1158356573433599</v>
      </c>
      <c r="AG1015">
        <v>-1.1013757468259999</v>
      </c>
      <c r="AH1015">
        <v>12.461719763996999</v>
      </c>
      <c r="AI1015">
        <v>94.797130397888296</v>
      </c>
      <c r="AJ1015">
        <v>71.722731599763506</v>
      </c>
      <c r="AK1015">
        <v>13.169950310094199</v>
      </c>
      <c r="AL1015">
        <v>86.798946099423205</v>
      </c>
      <c r="AM1015">
        <v>80.100136583172301</v>
      </c>
      <c r="AN1015">
        <v>0.99999999394457795</v>
      </c>
    </row>
    <row r="1016" spans="1:40" x14ac:dyDescent="0.25">
      <c r="A1016" t="str">
        <f>"20190312154524920"</f>
        <v>20190312154524920</v>
      </c>
      <c r="B1016" t="str">
        <f>"1552376724907649"</f>
        <v>1552376724907649</v>
      </c>
      <c r="C1016" t="s">
        <v>40</v>
      </c>
      <c r="D1016">
        <v>4.6174819999999999</v>
      </c>
      <c r="E1016">
        <v>0.55682659999999995</v>
      </c>
      <c r="F1016" t="s">
        <v>42</v>
      </c>
      <c r="G1016">
        <v>-193.82079999999999</v>
      </c>
      <c r="H1016" s="1">
        <v>-3.78895E-6</v>
      </c>
      <c r="I1016">
        <v>336.12920000000003</v>
      </c>
      <c r="J1016">
        <v>-192.4032</v>
      </c>
      <c r="K1016">
        <v>1.101559</v>
      </c>
      <c r="L1016">
        <v>348.93770000000001</v>
      </c>
      <c r="M1016">
        <v>0.2013838</v>
      </c>
      <c r="N1016">
        <v>0</v>
      </c>
      <c r="O1016">
        <v>-0.97938939999999997</v>
      </c>
      <c r="P1016">
        <v>3.395749E-2</v>
      </c>
      <c r="Q1016">
        <v>4.2571980000000002E-2</v>
      </c>
      <c r="R1016">
        <v>-0.99851650000000003</v>
      </c>
      <c r="S1016">
        <v>-0.3219147</v>
      </c>
      <c r="T1016">
        <v>-0.25622240000000002</v>
      </c>
      <c r="U1016">
        <v>-3.0313720000000002</v>
      </c>
      <c r="V1016">
        <v>0.1690055</v>
      </c>
      <c r="W1016">
        <v>5.438631E-2</v>
      </c>
      <c r="X1016">
        <v>0.98411349999999997</v>
      </c>
      <c r="Y1016">
        <v>0.3033613</v>
      </c>
      <c r="Z1016">
        <v>7.9420299999999999E-2</v>
      </c>
      <c r="AA1016">
        <v>0.94956010000000002</v>
      </c>
      <c r="AB1016">
        <v>23</v>
      </c>
      <c r="AC1016">
        <v>-1.41759999999999</v>
      </c>
      <c r="AD1016">
        <v>-1.1015627889499999</v>
      </c>
      <c r="AE1016">
        <v>-12.808499999999899</v>
      </c>
      <c r="AF1016">
        <v>3.9394993443566801</v>
      </c>
      <c r="AG1016">
        <v>-1.1015627889499999</v>
      </c>
      <c r="AH1016">
        <v>12.1715680385248</v>
      </c>
      <c r="AI1016">
        <v>94.921322521062393</v>
      </c>
      <c r="AJ1016">
        <v>72.0650958162325</v>
      </c>
      <c r="AK1016">
        <v>12.8405671283874</v>
      </c>
      <c r="AL1016">
        <v>86.882355924884607</v>
      </c>
      <c r="AM1016">
        <v>80.255436156836595</v>
      </c>
      <c r="AN1016">
        <v>1.0000000553139501</v>
      </c>
    </row>
    <row r="1017" spans="1:40" x14ac:dyDescent="0.25">
      <c r="A1017" t="str">
        <f>"20190312154524964"</f>
        <v>20190312154524964</v>
      </c>
      <c r="B1017" t="str">
        <f>"1552376724956955"</f>
        <v>1552376724956955</v>
      </c>
      <c r="C1017" t="s">
        <v>40</v>
      </c>
      <c r="D1017">
        <v>4.6245949999999896</v>
      </c>
      <c r="E1017">
        <v>0.54221850000000005</v>
      </c>
      <c r="F1017" t="s">
        <v>42</v>
      </c>
      <c r="G1017">
        <v>-193.86869999999999</v>
      </c>
      <c r="H1017" s="1">
        <v>-3.7864120000000002E-6</v>
      </c>
      <c r="I1017">
        <v>336.09679999999997</v>
      </c>
      <c r="J1017">
        <v>-192.3416</v>
      </c>
      <c r="K1017">
        <v>1.1020000000000001</v>
      </c>
      <c r="L1017">
        <v>348.47840000000002</v>
      </c>
      <c r="M1017">
        <v>0.1763517</v>
      </c>
      <c r="N1017">
        <v>0</v>
      </c>
      <c r="O1017">
        <v>-0.98420669999999999</v>
      </c>
      <c r="P1017">
        <v>1.2651890000000001E-2</v>
      </c>
      <c r="Q1017">
        <v>4.3012189999999999E-2</v>
      </c>
      <c r="R1017">
        <v>-0.99899470000000001</v>
      </c>
      <c r="S1017">
        <v>-0.3454895</v>
      </c>
      <c r="T1017">
        <v>-0.25969330000000002</v>
      </c>
      <c r="U1017">
        <v>-3.0272519999999998</v>
      </c>
      <c r="V1017">
        <v>0.16485039999999901</v>
      </c>
      <c r="W1017">
        <v>5.497908E-2</v>
      </c>
      <c r="X1017">
        <v>0.98478509999999997</v>
      </c>
      <c r="Y1017">
        <v>0.28645229999999999</v>
      </c>
      <c r="Z1017">
        <v>8.1402379999999996E-2</v>
      </c>
      <c r="AA1017">
        <v>0.95463010000000004</v>
      </c>
      <c r="AB1017">
        <v>23</v>
      </c>
      <c r="AC1017">
        <v>-1.5270999999999899</v>
      </c>
      <c r="AD1017">
        <v>-1.102003786412</v>
      </c>
      <c r="AE1017">
        <v>-12.381600000000001</v>
      </c>
      <c r="AF1017">
        <v>3.6583896049506301</v>
      </c>
      <c r="AG1017">
        <v>-1.102003786412</v>
      </c>
      <c r="AH1017">
        <v>11.825884689359199</v>
      </c>
      <c r="AI1017">
        <v>95.087247382442698</v>
      </c>
      <c r="AJ1017">
        <v>72.8103164007983</v>
      </c>
      <c r="AK1017">
        <v>12.427782406081</v>
      </c>
      <c r="AL1017">
        <v>86.848341713839204</v>
      </c>
      <c r="AM1017">
        <v>80.496949950889203</v>
      </c>
      <c r="AN1017">
        <v>1.0000000233999</v>
      </c>
    </row>
    <row r="1018" spans="1:40" x14ac:dyDescent="0.25">
      <c r="A1018" t="str">
        <f>"20190312154524987"</f>
        <v>20190312154524987</v>
      </c>
      <c r="B1018" t="str">
        <f>"1552376724977451"</f>
        <v>1552376724977451</v>
      </c>
      <c r="C1018" t="s">
        <v>40</v>
      </c>
      <c r="D1018">
        <v>4.5898019999999997</v>
      </c>
      <c r="E1018">
        <v>0.54049530000000001</v>
      </c>
      <c r="F1018" t="s">
        <v>42</v>
      </c>
      <c r="G1018">
        <v>-193.90289999999999</v>
      </c>
      <c r="H1018" s="1">
        <v>-2.282227E-6</v>
      </c>
      <c r="I1018">
        <v>332.48829999999998</v>
      </c>
      <c r="J1018">
        <v>-192.31360000000001</v>
      </c>
      <c r="K1018">
        <v>1.1022069999999999</v>
      </c>
      <c r="L1018">
        <v>348.23579999999998</v>
      </c>
      <c r="M1018">
        <v>0.1635114</v>
      </c>
      <c r="N1018">
        <v>0</v>
      </c>
      <c r="O1018">
        <v>-0.98642209999999997</v>
      </c>
      <c r="P1018">
        <v>2.5499960000000001E-3</v>
      </c>
      <c r="Q1018">
        <v>4.534813E-2</v>
      </c>
      <c r="R1018">
        <v>-0.99896799999999997</v>
      </c>
      <c r="S1018">
        <v>-0.29446409999999901</v>
      </c>
      <c r="T1018">
        <v>-0.20783509999999999</v>
      </c>
      <c r="U1018">
        <v>-3.0156860000000001</v>
      </c>
      <c r="V1018">
        <v>0.16197210000000001</v>
      </c>
      <c r="W1018">
        <v>5.7394720000000003E-2</v>
      </c>
      <c r="X1018">
        <v>0.98512480000000002</v>
      </c>
      <c r="Y1018">
        <v>0.25840879999999999</v>
      </c>
      <c r="Z1018">
        <v>6.6039410000000007E-2</v>
      </c>
      <c r="AA1018">
        <v>0.96377579999999996</v>
      </c>
      <c r="AB1018">
        <v>23</v>
      </c>
      <c r="AC1018">
        <v>-1.58929999999998</v>
      </c>
      <c r="AD1018">
        <v>-1.102209282227</v>
      </c>
      <c r="AE1018">
        <v>-15.7475</v>
      </c>
      <c r="AF1018">
        <v>4.1231088902296298</v>
      </c>
      <c r="AG1018">
        <v>-1.102209282227</v>
      </c>
      <c r="AH1018">
        <v>15.2018891707525</v>
      </c>
      <c r="AI1018">
        <v>94.0028393672725</v>
      </c>
      <c r="AJ1018">
        <v>74.825109235975305</v>
      </c>
      <c r="AK1018">
        <v>15.7896271831339</v>
      </c>
      <c r="AL1018">
        <v>86.709716616805693</v>
      </c>
      <c r="AM1018">
        <v>80.663088749719904</v>
      </c>
      <c r="AN1018">
        <v>0.99999999331866396</v>
      </c>
    </row>
    <row r="1019" spans="1:40" x14ac:dyDescent="0.25">
      <c r="A1019" t="str">
        <f>"20190312154525008"</f>
        <v>20190312154525008</v>
      </c>
      <c r="B1019" t="str">
        <f>"1552376724996972"</f>
        <v>1552376724996972</v>
      </c>
      <c r="C1019" t="s">
        <v>40</v>
      </c>
      <c r="D1019">
        <v>4.5546030000000002</v>
      </c>
      <c r="E1019">
        <v>0.53176040000000002</v>
      </c>
      <c r="F1019" t="s">
        <v>42</v>
      </c>
      <c r="G1019">
        <v>-194.05029999999999</v>
      </c>
      <c r="H1019" s="1">
        <v>-1.873733E-6</v>
      </c>
      <c r="I1019">
        <v>331.44470000000001</v>
      </c>
      <c r="J1019">
        <v>-192.28960000000001</v>
      </c>
      <c r="K1019">
        <v>1.102374</v>
      </c>
      <c r="L1019">
        <v>348.0052</v>
      </c>
      <c r="M1019">
        <v>0.1514759</v>
      </c>
      <c r="N1019">
        <v>0</v>
      </c>
      <c r="O1019">
        <v>-0.98834259999999996</v>
      </c>
      <c r="P1019">
        <v>-5.8933129999999999E-3</v>
      </c>
      <c r="Q1019">
        <v>4.7580280000000003E-2</v>
      </c>
      <c r="R1019">
        <v>-0.99885020000000002</v>
      </c>
      <c r="S1019">
        <v>-0.31163020000000002</v>
      </c>
      <c r="T1019">
        <v>-0.19777330000000001</v>
      </c>
      <c r="U1019">
        <v>-3.0128780000000002</v>
      </c>
      <c r="V1019">
        <v>0.15829099999999999</v>
      </c>
      <c r="W1019">
        <v>5.9710550000000001E-2</v>
      </c>
      <c r="X1019">
        <v>0.9855855</v>
      </c>
      <c r="Y1019">
        <v>0.25217319999999999</v>
      </c>
      <c r="Z1019">
        <v>6.3138840000000002E-2</v>
      </c>
      <c r="AA1019">
        <v>0.96562009999999998</v>
      </c>
      <c r="AB1019">
        <v>23</v>
      </c>
      <c r="AC1019">
        <v>-1.7606999999999799</v>
      </c>
      <c r="AD1019">
        <v>-1.1023758737330001</v>
      </c>
      <c r="AE1019">
        <v>-16.560499999999902</v>
      </c>
      <c r="AF1019">
        <v>4.2306516059097801</v>
      </c>
      <c r="AG1019">
        <v>-1.1023758737330001</v>
      </c>
      <c r="AH1019">
        <v>16.032380600007201</v>
      </c>
      <c r="AI1019">
        <v>93.803629121673097</v>
      </c>
      <c r="AJ1019">
        <v>75.217659843405897</v>
      </c>
      <c r="AK1019">
        <v>16.617787857625999</v>
      </c>
      <c r="AL1019">
        <v>86.576801572184095</v>
      </c>
      <c r="AM1019">
        <v>80.875868590355097</v>
      </c>
      <c r="AN1019">
        <v>1.00000008413627</v>
      </c>
    </row>
    <row r="1020" spans="1:40" x14ac:dyDescent="0.25">
      <c r="A1020" t="str">
        <f>"20190312154525033"</f>
        <v>20190312154525033</v>
      </c>
      <c r="B1020" t="str">
        <f>"1552376725027228"</f>
        <v>1552376725027228</v>
      </c>
      <c r="C1020" t="s">
        <v>40</v>
      </c>
      <c r="D1020">
        <v>4.5138619999999996</v>
      </c>
      <c r="E1020">
        <v>0.53028369999999903</v>
      </c>
      <c r="F1020" t="s">
        <v>42</v>
      </c>
      <c r="G1020">
        <v>-194.10570000000001</v>
      </c>
      <c r="H1020" s="1">
        <v>-4.3438650000000001E-6</v>
      </c>
      <c r="I1020">
        <v>327.6114</v>
      </c>
      <c r="J1020">
        <v>-192.2663</v>
      </c>
      <c r="K1020">
        <v>1.1025400000000001</v>
      </c>
      <c r="L1020">
        <v>347.75310000000002</v>
      </c>
      <c r="M1020">
        <v>0.13856450000000001</v>
      </c>
      <c r="N1020">
        <v>0</v>
      </c>
      <c r="O1020">
        <v>-0.99023620000000001</v>
      </c>
      <c r="P1020">
        <v>-1.527602E-2</v>
      </c>
      <c r="Q1020">
        <v>4.9601100000000002E-2</v>
      </c>
      <c r="R1020">
        <v>-0.9986524</v>
      </c>
      <c r="S1020">
        <v>-0.2680054</v>
      </c>
      <c r="T1020">
        <v>-0.16268179999999999</v>
      </c>
      <c r="U1020">
        <v>-3.0095830000000001</v>
      </c>
      <c r="V1020">
        <v>0.15468270000000001</v>
      </c>
      <c r="W1020">
        <v>6.1809990000000002E-2</v>
      </c>
      <c r="X1020">
        <v>0.98602880000000004</v>
      </c>
      <c r="Y1020">
        <v>0.2257526</v>
      </c>
      <c r="Z1020">
        <v>5.2393080000000002E-2</v>
      </c>
      <c r="AA1020">
        <v>0.97277469999999999</v>
      </c>
      <c r="AB1020">
        <v>23</v>
      </c>
      <c r="AC1020">
        <v>-1.8394000000000099</v>
      </c>
      <c r="AD1020">
        <v>-1.10254434386499</v>
      </c>
      <c r="AE1020">
        <v>-20.1417</v>
      </c>
      <c r="AF1020">
        <v>4.5992333604606204</v>
      </c>
      <c r="AG1020">
        <v>-1.10254434386499</v>
      </c>
      <c r="AH1020">
        <v>19.634105781480301</v>
      </c>
      <c r="AI1020">
        <v>93.129504341891902</v>
      </c>
      <c r="AJ1020">
        <v>76.816333208375298</v>
      </c>
      <c r="AK1020">
        <v>20.1957089841511</v>
      </c>
      <c r="AL1020">
        <v>86.4562895635069</v>
      </c>
      <c r="AM1020">
        <v>81.084419964603498</v>
      </c>
      <c r="AN1020">
        <v>1.0000000034862599</v>
      </c>
    </row>
    <row r="1021" spans="1:40" x14ac:dyDescent="0.25">
      <c r="A1021" t="str">
        <f>"20190312154525054"</f>
        <v>20190312154525054</v>
      </c>
      <c r="B1021" t="str">
        <f>"1552376725047254"</f>
        <v>1552376725047254</v>
      </c>
      <c r="C1021" t="s">
        <v>40</v>
      </c>
      <c r="D1021">
        <v>4.550103</v>
      </c>
      <c r="E1021">
        <v>0.52906719999999996</v>
      </c>
      <c r="F1021" t="s">
        <v>42</v>
      </c>
      <c r="G1021">
        <v>-194.2841</v>
      </c>
      <c r="H1021" s="1">
        <v>-3.969005E-6</v>
      </c>
      <c r="I1021">
        <v>326.41680000000002</v>
      </c>
      <c r="J1021">
        <v>-192.24860000000001</v>
      </c>
      <c r="K1021">
        <v>1.102708</v>
      </c>
      <c r="L1021">
        <v>347.53339999999997</v>
      </c>
      <c r="M1021">
        <v>0.1275356</v>
      </c>
      <c r="N1021">
        <v>0</v>
      </c>
      <c r="O1021">
        <v>-0.99171779999999998</v>
      </c>
      <c r="P1021">
        <v>-2.266982E-2</v>
      </c>
      <c r="Q1021">
        <v>5.208144E-2</v>
      </c>
      <c r="R1021">
        <v>-0.99838579999999999</v>
      </c>
      <c r="S1021">
        <v>-0.28440860000000001</v>
      </c>
      <c r="T1021">
        <v>-0.1554055</v>
      </c>
      <c r="U1021">
        <v>-3.0073850000000002</v>
      </c>
      <c r="V1021">
        <v>0.1510116</v>
      </c>
      <c r="W1021">
        <v>6.4367889999999997E-2</v>
      </c>
      <c r="X1021">
        <v>0.98643409999999998</v>
      </c>
      <c r="Y1021">
        <v>0.22024289999999999</v>
      </c>
      <c r="Z1021">
        <v>5.0226970000000003E-2</v>
      </c>
      <c r="AA1021">
        <v>0.97415110000000005</v>
      </c>
      <c r="AB1021">
        <v>23</v>
      </c>
      <c r="AC1021">
        <v>-2.0354999999999799</v>
      </c>
      <c r="AD1021">
        <v>-1.102711969005</v>
      </c>
      <c r="AE1021">
        <v>-21.116599999999899</v>
      </c>
      <c r="AF1021">
        <v>4.6996053224209797</v>
      </c>
      <c r="AG1021">
        <v>-1.102711969005</v>
      </c>
      <c r="AH1021">
        <v>20.6287575718897</v>
      </c>
      <c r="AI1021">
        <v>92.9835368551024</v>
      </c>
      <c r="AJ1021">
        <v>77.166022082249995</v>
      </c>
      <c r="AK1021">
        <v>21.186030841875699</v>
      </c>
      <c r="AL1021">
        <v>86.309440028822095</v>
      </c>
      <c r="AM1021">
        <v>81.296255842926897</v>
      </c>
      <c r="AN1021">
        <v>0.99999998112021005</v>
      </c>
    </row>
    <row r="1022" spans="1:40" x14ac:dyDescent="0.25">
      <c r="A1022" t="str">
        <f>"20190312154525077"</f>
        <v>20190312154525077</v>
      </c>
      <c r="B1022" t="str">
        <f>"1552376725067750"</f>
        <v>1552376725067750</v>
      </c>
      <c r="C1022" t="s">
        <v>40</v>
      </c>
      <c r="D1022">
        <v>4.5237669999999897</v>
      </c>
      <c r="E1022">
        <v>0.52788930000000001</v>
      </c>
      <c r="F1022" t="s">
        <v>42</v>
      </c>
      <c r="G1022">
        <v>-194.52070000000001</v>
      </c>
      <c r="H1022" s="1">
        <v>-3.3191230000000001E-6</v>
      </c>
      <c r="I1022">
        <v>324.5222</v>
      </c>
      <c r="J1022">
        <v>-192.23150000000001</v>
      </c>
      <c r="K1022">
        <v>1.1029089999999999</v>
      </c>
      <c r="L1022">
        <v>347.29129999999998</v>
      </c>
      <c r="M1022">
        <v>0.1156225</v>
      </c>
      <c r="N1022">
        <v>0</v>
      </c>
      <c r="O1022">
        <v>-0.99317809999999995</v>
      </c>
      <c r="P1022">
        <v>-3.0333389999999998E-2</v>
      </c>
      <c r="Q1022">
        <v>5.3478230000000002E-2</v>
      </c>
      <c r="R1022">
        <v>-0.99810869999999996</v>
      </c>
      <c r="S1022">
        <v>-0.29678339999999998</v>
      </c>
      <c r="T1022">
        <v>-0.1440321</v>
      </c>
      <c r="U1022">
        <v>-3.005646</v>
      </c>
      <c r="V1022">
        <v>0.1467242</v>
      </c>
      <c r="W1022">
        <v>6.5857230000000003E-2</v>
      </c>
      <c r="X1022">
        <v>0.98698269999999999</v>
      </c>
      <c r="Y1022">
        <v>0.2125715</v>
      </c>
      <c r="Z1022">
        <v>4.6722739999999999E-2</v>
      </c>
      <c r="AA1022">
        <v>0.9760278</v>
      </c>
      <c r="AB1022">
        <v>23</v>
      </c>
      <c r="AC1022">
        <v>-2.2891999999999899</v>
      </c>
      <c r="AD1022">
        <v>-1.1029123191229999</v>
      </c>
      <c r="AE1022">
        <v>-22.769099999999899</v>
      </c>
      <c r="AF1022">
        <v>4.8953933948277903</v>
      </c>
      <c r="AG1022">
        <v>-1.1029123191229999</v>
      </c>
      <c r="AH1022">
        <v>22.299845162929401</v>
      </c>
      <c r="AI1022">
        <v>92.765692810116903</v>
      </c>
      <c r="AJ1022">
        <v>77.618494391219002</v>
      </c>
      <c r="AK1022">
        <v>22.857479877808601</v>
      </c>
      <c r="AL1022">
        <v>86.223925756160497</v>
      </c>
      <c r="AM1022">
        <v>81.544372814153903</v>
      </c>
      <c r="AN1022">
        <v>1.0000000078541</v>
      </c>
    </row>
    <row r="1023" spans="1:40" x14ac:dyDescent="0.25">
      <c r="A1023" t="str">
        <f>"20190312154525100"</f>
        <v>20190312154525100</v>
      </c>
      <c r="B1023" t="str">
        <f>"1552376725087270"</f>
        <v>1552376725087270</v>
      </c>
      <c r="C1023" t="s">
        <v>40</v>
      </c>
      <c r="D1023">
        <v>4.5582419999999999</v>
      </c>
      <c r="E1023">
        <v>0.52735410000000005</v>
      </c>
      <c r="F1023" t="s">
        <v>42</v>
      </c>
      <c r="G1023">
        <v>-194.74369999999999</v>
      </c>
      <c r="H1023" s="1">
        <v>-2.7319040000000002E-6</v>
      </c>
      <c r="I1023">
        <v>323.01510000000002</v>
      </c>
      <c r="J1023">
        <v>-192.21700000000001</v>
      </c>
      <c r="K1023">
        <v>1.1031329999999999</v>
      </c>
      <c r="L1023">
        <v>347.04939999999999</v>
      </c>
      <c r="M1023">
        <v>0.1039988</v>
      </c>
      <c r="N1023">
        <v>0</v>
      </c>
      <c r="O1023">
        <v>-0.9944634</v>
      </c>
      <c r="P1023">
        <v>-3.7415919999999998E-2</v>
      </c>
      <c r="Q1023">
        <v>5.3669420000000002E-2</v>
      </c>
      <c r="R1023">
        <v>-0.99785769999999996</v>
      </c>
      <c r="S1023">
        <v>-0.31082149999999997</v>
      </c>
      <c r="T1023">
        <v>-0.136456299999999</v>
      </c>
      <c r="U1023">
        <v>-3.0035400000000001</v>
      </c>
      <c r="V1023">
        <v>0.14214589999999999</v>
      </c>
      <c r="W1023">
        <v>6.6150310000000004E-2</v>
      </c>
      <c r="X1023">
        <v>0.98763290000000004</v>
      </c>
      <c r="Y1023">
        <v>0.2057319</v>
      </c>
      <c r="Z1023">
        <v>4.4411329999999999E-2</v>
      </c>
      <c r="AA1023">
        <v>0.97760020000000003</v>
      </c>
      <c r="AB1023">
        <v>23</v>
      </c>
      <c r="AC1023">
        <v>-2.5266999999999702</v>
      </c>
      <c r="AD1023">
        <v>-1.1031357319039901</v>
      </c>
      <c r="AE1023">
        <v>-24.034299999999899</v>
      </c>
      <c r="AF1023">
        <v>5.0023943479657298</v>
      </c>
      <c r="AG1023">
        <v>-1.1031357319039901</v>
      </c>
      <c r="AH1023">
        <v>23.591981878987198</v>
      </c>
      <c r="AI1023">
        <v>92.618995121679404</v>
      </c>
      <c r="AJ1023">
        <v>78.0284354071498</v>
      </c>
      <c r="AK1023">
        <v>24.141716315001801</v>
      </c>
      <c r="AL1023">
        <v>86.207096906215597</v>
      </c>
      <c r="AM1023">
        <v>81.809899146696594</v>
      </c>
      <c r="AN1023">
        <v>1.00000003278115</v>
      </c>
    </row>
    <row r="1024" spans="1:40" x14ac:dyDescent="0.25">
      <c r="A1024" t="str">
        <f>"20190312154525125"</f>
        <v>20190312154525125</v>
      </c>
      <c r="B1024" t="str">
        <f>"1552376725117527"</f>
        <v>1552376725117527</v>
      </c>
      <c r="C1024" t="s">
        <v>40</v>
      </c>
      <c r="D1024">
        <v>4.4728940000000001</v>
      </c>
      <c r="E1024">
        <v>0.51946000000000003</v>
      </c>
      <c r="F1024" t="s">
        <v>42</v>
      </c>
      <c r="G1024">
        <v>-194.87739999999999</v>
      </c>
      <c r="H1024" s="1">
        <v>-2.6543659999999999E-6</v>
      </c>
      <c r="I1024">
        <v>322.75139999999999</v>
      </c>
      <c r="J1024">
        <v>-192.20439999999999</v>
      </c>
      <c r="K1024">
        <v>1.1034010000000001</v>
      </c>
      <c r="L1024">
        <v>346.79289999999997</v>
      </c>
      <c r="M1024">
        <v>9.2014310000000002E-2</v>
      </c>
      <c r="N1024">
        <v>0</v>
      </c>
      <c r="O1024">
        <v>-0.99564490000000005</v>
      </c>
      <c r="P1024">
        <v>-4.4772270000000003E-2</v>
      </c>
      <c r="Q1024">
        <v>5.3327819999999998E-2</v>
      </c>
      <c r="R1024">
        <v>-0.99757309999999999</v>
      </c>
      <c r="S1024">
        <v>-0.32862849999999999</v>
      </c>
      <c r="T1024">
        <v>-0.1362659</v>
      </c>
      <c r="U1024">
        <v>-3.0014340000000002</v>
      </c>
      <c r="V1024">
        <v>0.13748070000000001</v>
      </c>
      <c r="W1024">
        <v>6.5917180000000006E-2</v>
      </c>
      <c r="X1024">
        <v>0.98830870000000004</v>
      </c>
      <c r="Y1024">
        <v>0.19974710000000001</v>
      </c>
      <c r="Z1024">
        <v>4.447475E-2</v>
      </c>
      <c r="AA1024">
        <v>0.97883759999999997</v>
      </c>
      <c r="AB1024">
        <v>23</v>
      </c>
      <c r="AC1024">
        <v>-2.673</v>
      </c>
      <c r="AD1024">
        <v>-1.103403654366</v>
      </c>
      <c r="AE1024">
        <v>-24.0414999999999</v>
      </c>
      <c r="AF1024">
        <v>4.8639478100417302</v>
      </c>
      <c r="AG1024">
        <v>-1.103403654366</v>
      </c>
      <c r="AH1024">
        <v>23.644306765852701</v>
      </c>
      <c r="AI1024">
        <v>92.617147274283397</v>
      </c>
      <c r="AJ1024">
        <v>78.375659764123199</v>
      </c>
      <c r="AK1024">
        <v>24.164617322875699</v>
      </c>
      <c r="AL1024">
        <v>86.220483561287494</v>
      </c>
      <c r="AM1024">
        <v>82.080574949137102</v>
      </c>
      <c r="AN1024">
        <v>1.00000005199366</v>
      </c>
    </row>
    <row r="1025" spans="1:40" x14ac:dyDescent="0.25">
      <c r="A1025" t="str">
        <f>"20190312154525149"</f>
        <v>20190312154525149</v>
      </c>
      <c r="B1025" t="str">
        <f>"1552376725137555"</f>
        <v>1552376725137555</v>
      </c>
      <c r="C1025" t="s">
        <v>40</v>
      </c>
      <c r="D1025">
        <v>4.4972909999999997</v>
      </c>
      <c r="E1025">
        <v>0.51891520000000002</v>
      </c>
      <c r="F1025" t="s">
        <v>42</v>
      </c>
      <c r="G1025">
        <v>-194.1859</v>
      </c>
      <c r="H1025" s="1">
        <v>-3.8674969999999999E-6</v>
      </c>
      <c r="I1025">
        <v>326.16969999999998</v>
      </c>
      <c r="J1025">
        <v>-192.19479999999999</v>
      </c>
      <c r="K1025">
        <v>1.1036699999999999</v>
      </c>
      <c r="L1025">
        <v>346.54640000000001</v>
      </c>
      <c r="M1025">
        <v>8.0892759999999994E-2</v>
      </c>
      <c r="N1025">
        <v>0</v>
      </c>
      <c r="O1025">
        <v>-0.99661109999999997</v>
      </c>
      <c r="P1025">
        <v>-5.1753159999999999E-2</v>
      </c>
      <c r="Q1025">
        <v>5.3427490000000001E-2</v>
      </c>
      <c r="R1025">
        <v>-0.9972299</v>
      </c>
      <c r="S1025">
        <v>-0.28852840000000002</v>
      </c>
      <c r="T1025">
        <v>-0.16066920000000001</v>
      </c>
      <c r="U1025">
        <v>-3.0029910000000002</v>
      </c>
      <c r="V1025">
        <v>0.1333162</v>
      </c>
      <c r="W1025">
        <v>6.611272E-2</v>
      </c>
      <c r="X1025">
        <v>0.98886600000000002</v>
      </c>
      <c r="Y1025">
        <v>0.17572349999999901</v>
      </c>
      <c r="Z1025">
        <v>5.2627090000000001E-2</v>
      </c>
      <c r="AA1025">
        <v>0.98303189999999996</v>
      </c>
      <c r="AB1025">
        <v>23</v>
      </c>
      <c r="AC1025">
        <v>-1.9911000000000101</v>
      </c>
      <c r="AD1025">
        <v>-1.1036738674969999</v>
      </c>
      <c r="AE1025">
        <v>-20.3767</v>
      </c>
      <c r="AF1025">
        <v>3.6225574500406199</v>
      </c>
      <c r="AG1025">
        <v>-1.1036738674969999</v>
      </c>
      <c r="AH1025">
        <v>20.090441651663902</v>
      </c>
      <c r="AI1025">
        <v>93.094593706444897</v>
      </c>
      <c r="AJ1025">
        <v>79.778685063346799</v>
      </c>
      <c r="AK1025">
        <v>20.4442379227877</v>
      </c>
      <c r="AL1025">
        <v>86.209255382086795</v>
      </c>
      <c r="AM1025">
        <v>82.321835568684307</v>
      </c>
      <c r="AN1025">
        <v>1.00000003344211</v>
      </c>
    </row>
    <row r="1026" spans="1:40" x14ac:dyDescent="0.25">
      <c r="A1026" t="str">
        <f>"20190312154525189"</f>
        <v>20190312154525189</v>
      </c>
      <c r="B1026" t="str">
        <f>"1552376725177572"</f>
        <v>1552376725177572</v>
      </c>
      <c r="C1026" t="s">
        <v>40</v>
      </c>
      <c r="D1026">
        <v>4.4696610000000003</v>
      </c>
      <c r="E1026">
        <v>0.51815679999999997</v>
      </c>
      <c r="F1026" t="s">
        <v>42</v>
      </c>
      <c r="G1026">
        <v>-194.33709999999999</v>
      </c>
      <c r="H1026" s="1">
        <v>-3.670122E-6</v>
      </c>
      <c r="I1026">
        <v>325.51089999999999</v>
      </c>
      <c r="J1026">
        <v>-192.18389999999999</v>
      </c>
      <c r="K1026">
        <v>1.104074</v>
      </c>
      <c r="L1026">
        <v>346.13199999999898</v>
      </c>
      <c r="M1026">
        <v>6.2969999999999998E-2</v>
      </c>
      <c r="N1026">
        <v>0</v>
      </c>
      <c r="O1026">
        <v>-0.99790559999999995</v>
      </c>
      <c r="P1026">
        <v>-6.1636150000000001E-2</v>
      </c>
      <c r="Q1026">
        <v>5.2582520000000001E-2</v>
      </c>
      <c r="R1026">
        <v>-0.99671299999999996</v>
      </c>
      <c r="S1026">
        <v>-0.30561830000000001</v>
      </c>
      <c r="T1026">
        <v>-0.1574497</v>
      </c>
      <c r="U1026">
        <v>-3.0009160000000001</v>
      </c>
      <c r="V1026">
        <v>0.1252587</v>
      </c>
      <c r="W1026">
        <v>6.5425659999999997E-2</v>
      </c>
      <c r="X1026">
        <v>0.98996450000000003</v>
      </c>
      <c r="Y1026">
        <v>0.16363269999999999</v>
      </c>
      <c r="Z1026">
        <v>5.1752359999999997E-2</v>
      </c>
      <c r="AA1026">
        <v>0.98516289999999995</v>
      </c>
      <c r="AB1026">
        <v>23</v>
      </c>
      <c r="AC1026">
        <v>-2.1531999999999898</v>
      </c>
      <c r="AD1026">
        <v>-1.1040776701220001</v>
      </c>
      <c r="AE1026">
        <v>-20.621099999999899</v>
      </c>
      <c r="AF1026">
        <v>3.4378300816952501</v>
      </c>
      <c r="AG1026">
        <v>-1.1040776701220001</v>
      </c>
      <c r="AH1026">
        <v>20.386753441708802</v>
      </c>
      <c r="AI1026">
        <v>93.056843169765898</v>
      </c>
      <c r="AJ1026">
        <v>80.428229956659493</v>
      </c>
      <c r="AK1026">
        <v>20.704042577846899</v>
      </c>
      <c r="AL1026">
        <v>86.248706255109298</v>
      </c>
      <c r="AM1026">
        <v>82.788771991892304</v>
      </c>
      <c r="AN1026">
        <v>0.99999998508618704</v>
      </c>
    </row>
    <row r="1027" spans="1:40" x14ac:dyDescent="0.25">
      <c r="A1027" t="str">
        <f>"20190312154525209"</f>
        <v>20190312154525209</v>
      </c>
      <c r="B1027" t="str">
        <f>"1552376725197091"</f>
        <v>1552376725197091</v>
      </c>
      <c r="C1027" t="s">
        <v>40</v>
      </c>
      <c r="D1027">
        <v>4.4612350000000003</v>
      </c>
      <c r="E1027">
        <v>0.5176539</v>
      </c>
      <c r="F1027" t="s">
        <v>42</v>
      </c>
      <c r="G1027">
        <v>-194.43209999999999</v>
      </c>
      <c r="H1027" s="1">
        <v>-3.7466790000000001E-6</v>
      </c>
      <c r="I1027">
        <v>325.68630000000002</v>
      </c>
      <c r="J1027">
        <v>-192.1806</v>
      </c>
      <c r="K1027">
        <v>1.104285</v>
      </c>
      <c r="L1027">
        <v>345.90989999999999</v>
      </c>
      <c r="M1027">
        <v>5.3824400000000001E-2</v>
      </c>
      <c r="N1027">
        <v>0</v>
      </c>
      <c r="O1027">
        <v>-0.99844149999999998</v>
      </c>
      <c r="P1027">
        <v>-6.7036079999999998E-2</v>
      </c>
      <c r="Q1027">
        <v>5.2060469999999998E-2</v>
      </c>
      <c r="R1027">
        <v>-0.99639160000000004</v>
      </c>
      <c r="S1027">
        <v>-0.32966610000000002</v>
      </c>
      <c r="T1027">
        <v>-0.1618947</v>
      </c>
      <c r="U1027">
        <v>-2.9980159999999998</v>
      </c>
      <c r="V1027">
        <v>0.1215075</v>
      </c>
      <c r="W1027">
        <v>6.4970310000000003E-2</v>
      </c>
      <c r="X1027">
        <v>0.99046190000000001</v>
      </c>
      <c r="Y1027">
        <v>0.1624958</v>
      </c>
      <c r="Z1027">
        <v>5.3286130000000001E-2</v>
      </c>
      <c r="AA1027">
        <v>0.98526939999999996</v>
      </c>
      <c r="AB1027">
        <v>23</v>
      </c>
      <c r="AC1027">
        <v>-2.2514999999999898</v>
      </c>
      <c r="AD1027">
        <v>-1.1042887466789999</v>
      </c>
      <c r="AE1027">
        <v>-20.223599999999902</v>
      </c>
      <c r="AF1027">
        <v>3.3270785400684799</v>
      </c>
      <c r="AG1027">
        <v>-1.1042887466789999</v>
      </c>
      <c r="AH1027">
        <v>20.014135564054602</v>
      </c>
      <c r="AI1027">
        <v>93.115449972610094</v>
      </c>
      <c r="AJ1027">
        <v>80.561663710001397</v>
      </c>
      <c r="AK1027">
        <v>20.318822003851</v>
      </c>
      <c r="AL1027">
        <v>86.274851552235205</v>
      </c>
      <c r="AM1027">
        <v>83.006036827211204</v>
      </c>
      <c r="AN1027">
        <v>0.99999999454467703</v>
      </c>
    </row>
    <row r="1028" spans="1:40" x14ac:dyDescent="0.25">
      <c r="A1028" t="str">
        <f>"20190312154525232"</f>
        <v>20190312154525232</v>
      </c>
      <c r="B1028" t="str">
        <f>"1552376725227348"</f>
        <v>1552376725227348</v>
      </c>
      <c r="C1028" t="s">
        <v>40</v>
      </c>
      <c r="D1028">
        <v>4.5234040000000002</v>
      </c>
      <c r="E1028">
        <v>0.51488679999999998</v>
      </c>
      <c r="F1028" t="s">
        <v>42</v>
      </c>
      <c r="G1028">
        <v>-194.4743</v>
      </c>
      <c r="H1028" s="1">
        <v>-3.786597E-6</v>
      </c>
      <c r="I1028">
        <v>325.78160000000003</v>
      </c>
      <c r="J1028">
        <v>-192.1789</v>
      </c>
      <c r="K1028">
        <v>1.104508</v>
      </c>
      <c r="L1028">
        <v>345.67219999999998</v>
      </c>
      <c r="M1028">
        <v>4.4395919999999998E-2</v>
      </c>
      <c r="N1028">
        <v>0</v>
      </c>
      <c r="O1028">
        <v>-0.99890610000000002</v>
      </c>
      <c r="P1028">
        <v>-7.2783059999999997E-2</v>
      </c>
      <c r="Q1028">
        <v>5.0055450000000001E-2</v>
      </c>
      <c r="R1028">
        <v>-0.99609099999999995</v>
      </c>
      <c r="S1028">
        <v>-0.34147640000000001</v>
      </c>
      <c r="T1028">
        <v>-0.16439709999999999</v>
      </c>
      <c r="U1028">
        <v>-2.996521</v>
      </c>
      <c r="V1028">
        <v>0.1178063</v>
      </c>
      <c r="W1028">
        <v>6.3028319999999999E-2</v>
      </c>
      <c r="X1028">
        <v>0.99103439999999998</v>
      </c>
      <c r="Y1028">
        <v>0.15706139999999999</v>
      </c>
      <c r="Z1028">
        <v>5.4184349999999999E-2</v>
      </c>
      <c r="AA1028">
        <v>0.98610129999999996</v>
      </c>
      <c r="AB1028">
        <v>23</v>
      </c>
      <c r="AC1028">
        <v>-2.2953999999999999</v>
      </c>
      <c r="AD1028">
        <v>-1.104511786597</v>
      </c>
      <c r="AE1028">
        <v>-19.8905999999999</v>
      </c>
      <c r="AF1028">
        <v>3.1666568993504201</v>
      </c>
      <c r="AG1028">
        <v>-1.104511786597</v>
      </c>
      <c r="AH1028">
        <v>19.709092136340999</v>
      </c>
      <c r="AI1028">
        <v>93.1670088129232</v>
      </c>
      <c r="AJ1028">
        <v>80.872305346527497</v>
      </c>
      <c r="AK1028">
        <v>19.992397931306702</v>
      </c>
      <c r="AL1028">
        <v>86.386348131757103</v>
      </c>
      <c r="AM1028">
        <v>83.220943895448002</v>
      </c>
      <c r="AN1028">
        <v>1.00000003771253</v>
      </c>
    </row>
    <row r="1029" spans="1:40" x14ac:dyDescent="0.25">
      <c r="A1029" t="str">
        <f>"20190312154525255"</f>
        <v>20190312154525255</v>
      </c>
      <c r="B1029" t="str">
        <f>"1552376725247376"</f>
        <v>1552376725247376</v>
      </c>
      <c r="C1029" t="s">
        <v>40</v>
      </c>
      <c r="D1029">
        <v>4.5142480000000003</v>
      </c>
      <c r="E1029">
        <v>0.51251519999999995</v>
      </c>
      <c r="F1029" t="s">
        <v>42</v>
      </c>
      <c r="G1029">
        <v>-194.40280000000001</v>
      </c>
      <c r="H1029" s="1">
        <v>-3.8127820000000001E-6</v>
      </c>
      <c r="I1029">
        <v>325.89580000000001</v>
      </c>
      <c r="J1029">
        <v>-192.179</v>
      </c>
      <c r="K1029">
        <v>1.1047709999999999</v>
      </c>
      <c r="L1029">
        <v>345.44389999999999</v>
      </c>
      <c r="M1029">
        <v>3.5760720000000003E-2</v>
      </c>
      <c r="N1029">
        <v>0</v>
      </c>
      <c r="O1029">
        <v>-0.99925350000000002</v>
      </c>
      <c r="P1029">
        <v>-7.765068E-2</v>
      </c>
      <c r="Q1029">
        <v>4.740598E-2</v>
      </c>
      <c r="R1029">
        <v>-0.99585319999999999</v>
      </c>
      <c r="S1029">
        <v>-0.33686830000000001</v>
      </c>
      <c r="T1029">
        <v>-0.16730490000000001</v>
      </c>
      <c r="U1029">
        <v>-2.9956049999999999</v>
      </c>
      <c r="V1029">
        <v>0.114009</v>
      </c>
      <c r="W1029">
        <v>6.044832E-2</v>
      </c>
      <c r="X1029">
        <v>0.99163900000000005</v>
      </c>
      <c r="Y1029">
        <v>0.14704779999999901</v>
      </c>
      <c r="Z1029">
        <v>5.5232980000000001E-2</v>
      </c>
      <c r="AA1029">
        <v>0.98758610000000002</v>
      </c>
      <c r="AB1029">
        <v>23</v>
      </c>
      <c r="AC1029">
        <v>-2.22380000000001</v>
      </c>
      <c r="AD1029">
        <v>-1.1047748127819901</v>
      </c>
      <c r="AE1029">
        <v>-19.548099999999899</v>
      </c>
      <c r="AF1029">
        <v>2.9123229263557802</v>
      </c>
      <c r="AG1029">
        <v>-1.1047748127819901</v>
      </c>
      <c r="AH1029">
        <v>19.394904430462201</v>
      </c>
      <c r="AI1029">
        <v>93.224097894544101</v>
      </c>
      <c r="AJ1029">
        <v>81.460315003533097</v>
      </c>
      <c r="AK1029">
        <v>19.643433255953401</v>
      </c>
      <c r="AL1029">
        <v>86.534453605629594</v>
      </c>
      <c r="AM1029">
        <v>83.441484978875906</v>
      </c>
      <c r="AN1029">
        <v>0.99999997889641101</v>
      </c>
    </row>
    <row r="1030" spans="1:40" x14ac:dyDescent="0.25">
      <c r="A1030" t="str">
        <f>"20190312154525277"</f>
        <v>20190312154525277</v>
      </c>
      <c r="B1030" t="str">
        <f>"1552376725266896"</f>
        <v>1552376725266896</v>
      </c>
      <c r="C1030" t="s">
        <v>40</v>
      </c>
      <c r="D1030">
        <v>4.522437</v>
      </c>
      <c r="E1030">
        <v>0.51039840000000003</v>
      </c>
      <c r="F1030" t="s">
        <v>42</v>
      </c>
      <c r="G1030">
        <v>-194.27809999999999</v>
      </c>
      <c r="H1030" s="1">
        <v>-4.0155169999999998E-6</v>
      </c>
      <c r="I1030">
        <v>326.5566</v>
      </c>
      <c r="J1030">
        <v>-192.1806</v>
      </c>
      <c r="K1030">
        <v>1.1051</v>
      </c>
      <c r="L1030">
        <v>345.20960000000002</v>
      </c>
      <c r="M1030">
        <v>2.739803E-2</v>
      </c>
      <c r="N1030">
        <v>0</v>
      </c>
      <c r="O1030">
        <v>-0.99951869999999998</v>
      </c>
      <c r="P1030">
        <v>-8.2355040000000004E-2</v>
      </c>
      <c r="Q1030">
        <v>4.5890359999999998E-2</v>
      </c>
      <c r="R1030">
        <v>-0.9955463</v>
      </c>
      <c r="S1030">
        <v>-0.33284000000000002</v>
      </c>
      <c r="T1030">
        <v>-0.17518149999999999</v>
      </c>
      <c r="U1030">
        <v>-2.994904</v>
      </c>
      <c r="V1030">
        <v>0.11032640000000001</v>
      </c>
      <c r="W1030">
        <v>5.900656E-2</v>
      </c>
      <c r="X1030">
        <v>0.99214230000000003</v>
      </c>
      <c r="Y1030">
        <v>0.13746159999999999</v>
      </c>
      <c r="Z1030">
        <v>5.790563E-2</v>
      </c>
      <c r="AA1030">
        <v>0.98881300000000005</v>
      </c>
      <c r="AB1030">
        <v>23</v>
      </c>
      <c r="AC1030">
        <v>-2.0974999999999899</v>
      </c>
      <c r="AD1030">
        <v>-1.105104015517</v>
      </c>
      <c r="AE1030">
        <v>-18.652999999999999</v>
      </c>
      <c r="AF1030">
        <v>2.5988140278632899</v>
      </c>
      <c r="AG1030">
        <v>-1.105104015517</v>
      </c>
      <c r="AH1030">
        <v>18.524314075845201</v>
      </c>
      <c r="AI1030">
        <v>93.3810127084258</v>
      </c>
      <c r="AJ1030">
        <v>82.013978603502494</v>
      </c>
      <c r="AK1030">
        <v>18.7383377389001</v>
      </c>
      <c r="AL1030">
        <v>86.617208243291302</v>
      </c>
      <c r="AM1030">
        <v>83.654767400784706</v>
      </c>
      <c r="AN1030">
        <v>1.0000000160546401</v>
      </c>
    </row>
    <row r="1031" spans="1:40" x14ac:dyDescent="0.25">
      <c r="A1031" t="str">
        <f>"20190312154525300"</f>
        <v>20190312154525300</v>
      </c>
      <c r="B1031" t="str">
        <f>"1552376725287392"</f>
        <v>1552376725287392</v>
      </c>
      <c r="C1031" t="s">
        <v>40</v>
      </c>
      <c r="D1031">
        <v>4.5034080000000003</v>
      </c>
      <c r="E1031">
        <v>0.50857870000000005</v>
      </c>
      <c r="F1031" t="s">
        <v>42</v>
      </c>
      <c r="G1031">
        <v>-194.23519999999999</v>
      </c>
      <c r="H1031" s="1">
        <v>-4.0159029999999998E-6</v>
      </c>
      <c r="I1031">
        <v>326.58010000000002</v>
      </c>
      <c r="J1031">
        <v>-192.18350000000001</v>
      </c>
      <c r="K1031">
        <v>1.1054759999999999</v>
      </c>
      <c r="L1031">
        <v>344.9794</v>
      </c>
      <c r="M1031">
        <v>1.9707590000000001E-2</v>
      </c>
      <c r="N1031">
        <v>0</v>
      </c>
      <c r="O1031">
        <v>-0.99970079999999995</v>
      </c>
      <c r="P1031">
        <v>-8.6278549999999996E-2</v>
      </c>
      <c r="Q1031">
        <v>4.5600050000000003E-2</v>
      </c>
      <c r="R1031">
        <v>-0.99522719999999998</v>
      </c>
      <c r="S1031">
        <v>-0.33023069999999999</v>
      </c>
      <c r="T1031">
        <v>-0.1776259</v>
      </c>
      <c r="U1031">
        <v>-2.994354</v>
      </c>
      <c r="V1031">
        <v>0.106542</v>
      </c>
      <c r="W1031">
        <v>5.8794730000000003E-2</v>
      </c>
      <c r="X1031">
        <v>0.99256840000000002</v>
      </c>
      <c r="Y1031">
        <v>0.12899969999999999</v>
      </c>
      <c r="Z1031">
        <v>5.8773930000000002E-2</v>
      </c>
      <c r="AA1031">
        <v>0.98990140000000004</v>
      </c>
      <c r="AB1031">
        <v>23</v>
      </c>
      <c r="AC1031">
        <v>-2.0516999999999799</v>
      </c>
      <c r="AD1031">
        <v>-1.105480015903</v>
      </c>
      <c r="AE1031">
        <v>-18.399299999999901</v>
      </c>
      <c r="AF1031">
        <v>2.4053687981741301</v>
      </c>
      <c r="AG1031">
        <v>-1.105480015903</v>
      </c>
      <c r="AH1031">
        <v>18.290072518226101</v>
      </c>
      <c r="AI1031">
        <v>93.429379057559899</v>
      </c>
      <c r="AJ1031">
        <v>82.507898192552005</v>
      </c>
      <c r="AK1031">
        <v>18.4806557741536</v>
      </c>
      <c r="AL1031">
        <v>86.629366340982102</v>
      </c>
      <c r="AM1031">
        <v>83.873346075775302</v>
      </c>
      <c r="AN1031">
        <v>1.0000000233591599</v>
      </c>
    </row>
    <row r="1032" spans="1:40" x14ac:dyDescent="0.25">
      <c r="A1032" t="str">
        <f>"20190312154525326"</f>
        <v>20190312154525326</v>
      </c>
      <c r="B1032" t="str">
        <f>"1552376725317648"</f>
        <v>1552376725317648</v>
      </c>
      <c r="C1032" t="s">
        <v>40</v>
      </c>
      <c r="D1032">
        <v>4.5388089999999996</v>
      </c>
      <c r="E1032">
        <v>0.48872910000000003</v>
      </c>
      <c r="F1032" t="s">
        <v>42</v>
      </c>
      <c r="G1032">
        <v>-194.21690000000001</v>
      </c>
      <c r="H1032" s="1">
        <v>-3.9391229999999997E-6</v>
      </c>
      <c r="I1032">
        <v>326.36399999999998</v>
      </c>
      <c r="J1032">
        <v>-192.18799999999999</v>
      </c>
      <c r="K1032">
        <v>1.10595</v>
      </c>
      <c r="L1032">
        <v>344.72160000000002</v>
      </c>
      <c r="M1032">
        <v>1.178325E-2</v>
      </c>
      <c r="N1032">
        <v>0</v>
      </c>
      <c r="O1032">
        <v>-0.99982700000000002</v>
      </c>
      <c r="P1032">
        <v>-9.0446879999999993E-2</v>
      </c>
      <c r="Q1032">
        <v>4.4447390000000003E-2</v>
      </c>
      <c r="R1032">
        <v>-0.99490919999999905</v>
      </c>
      <c r="S1032">
        <v>-0.32705689999999998</v>
      </c>
      <c r="T1032">
        <v>-0.1778082</v>
      </c>
      <c r="U1032">
        <v>-2.9941409999999999</v>
      </c>
      <c r="V1032">
        <v>0.1027502</v>
      </c>
      <c r="W1032">
        <v>5.7727470000000003E-2</v>
      </c>
      <c r="X1032">
        <v>0.99303070000000004</v>
      </c>
      <c r="Y1032">
        <v>0.1201052</v>
      </c>
      <c r="Z1032">
        <v>5.8885659999999999E-2</v>
      </c>
      <c r="AA1032">
        <v>0.99101320000000004</v>
      </c>
      <c r="AB1032">
        <v>23</v>
      </c>
      <c r="AC1032">
        <v>-2.0289000000000201</v>
      </c>
      <c r="AD1032">
        <v>-1.105953939123</v>
      </c>
      <c r="AE1032">
        <v>-18.357599999999898</v>
      </c>
      <c r="AF1032">
        <v>2.2370723211597898</v>
      </c>
      <c r="AG1032">
        <v>-1.105953939123</v>
      </c>
      <c r="AH1032">
        <v>18.266916729136501</v>
      </c>
      <c r="AI1032">
        <v>93.439060905684002</v>
      </c>
      <c r="AJ1032">
        <v>83.017993864641198</v>
      </c>
      <c r="AK1032">
        <v>18.436590614177302</v>
      </c>
      <c r="AL1032">
        <v>86.6906198641326</v>
      </c>
      <c r="AM1032">
        <v>84.092552385000502</v>
      </c>
      <c r="AN1032">
        <v>1.0000000177675601</v>
      </c>
    </row>
    <row r="1033" spans="1:40" x14ac:dyDescent="0.25">
      <c r="A1033" t="str">
        <f>"20190312154525350"</f>
        <v>20190312154525350</v>
      </c>
      <c r="B1033" t="str">
        <f>"1552376725337675"</f>
        <v>1552376725337675</v>
      </c>
      <c r="C1033" t="s">
        <v>40</v>
      </c>
      <c r="D1033">
        <v>4.5345760000000004</v>
      </c>
      <c r="E1033">
        <v>0.48725990000000002</v>
      </c>
      <c r="F1033" t="s">
        <v>42</v>
      </c>
      <c r="G1033">
        <v>-193.49619999999999</v>
      </c>
      <c r="H1033" s="1">
        <v>-2.4297560000000001E-6</v>
      </c>
      <c r="I1033">
        <v>323.08449999999999</v>
      </c>
      <c r="J1033">
        <v>-192.1935</v>
      </c>
      <c r="K1033">
        <v>1.1064069999999999</v>
      </c>
      <c r="L1033">
        <v>344.47</v>
      </c>
      <c r="M1033">
        <v>4.8344360000000001E-3</v>
      </c>
      <c r="N1033">
        <v>0</v>
      </c>
      <c r="O1033">
        <v>-0.99988589999999999</v>
      </c>
      <c r="P1033">
        <v>-9.3099370000000001E-2</v>
      </c>
      <c r="Q1033">
        <v>4.1641299999999999E-2</v>
      </c>
      <c r="R1033">
        <v>-0.99478599999999995</v>
      </c>
      <c r="S1033">
        <v>-0.18173220000000001</v>
      </c>
      <c r="T1033">
        <v>-0.15363250000000001</v>
      </c>
      <c r="U1033">
        <v>-3.0057070000000001</v>
      </c>
      <c r="V1033">
        <v>9.8402950000000003E-2</v>
      </c>
      <c r="W1033">
        <v>5.5006689999999997E-2</v>
      </c>
      <c r="X1033">
        <v>0.99362519999999999</v>
      </c>
      <c r="Y1033">
        <v>6.5099199999999996E-2</v>
      </c>
      <c r="Z1033">
        <v>5.0945539999999997E-2</v>
      </c>
      <c r="AA1033">
        <v>0.99657739999999995</v>
      </c>
      <c r="AB1033">
        <v>23</v>
      </c>
      <c r="AC1033">
        <v>-1.30269999999998</v>
      </c>
      <c r="AD1033">
        <v>-1.1064094297560001</v>
      </c>
      <c r="AE1033">
        <v>-21.3855</v>
      </c>
      <c r="AF1033">
        <v>1.40234247914312</v>
      </c>
      <c r="AG1033">
        <v>-1.1064094297560001</v>
      </c>
      <c r="AH1033">
        <v>21.322090616060201</v>
      </c>
      <c r="AI1033">
        <v>92.964038086855595</v>
      </c>
      <c r="AJ1033">
        <v>86.2371066449018</v>
      </c>
      <c r="AK1033">
        <v>21.396781405027799</v>
      </c>
      <c r="AL1033">
        <v>86.846757171246907</v>
      </c>
      <c r="AM1033">
        <v>84.344196284421798</v>
      </c>
      <c r="AN1033">
        <v>0.99999995729424795</v>
      </c>
    </row>
    <row r="1034" spans="1:40" x14ac:dyDescent="0.25">
      <c r="A1034" t="str">
        <f>"20190312154525378"</f>
        <v>20190312154525378</v>
      </c>
      <c r="B1034" t="str">
        <f>"1552376725366955"</f>
        <v>1552376725366955</v>
      </c>
      <c r="C1034" t="s">
        <v>40</v>
      </c>
      <c r="D1034">
        <v>4.5119829999999999</v>
      </c>
      <c r="E1034">
        <v>0.48736760000000001</v>
      </c>
      <c r="F1034" t="s">
        <v>42</v>
      </c>
      <c r="G1034">
        <v>-193.53219999999999</v>
      </c>
      <c r="H1034" s="1">
        <v>-1.9598459999999999E-6</v>
      </c>
      <c r="I1034">
        <v>321.96679999999998</v>
      </c>
      <c r="J1034">
        <v>-192.2012</v>
      </c>
      <c r="K1034">
        <v>1.1068519999999999</v>
      </c>
      <c r="L1034">
        <v>344.1748</v>
      </c>
      <c r="M1034">
        <v>-2.5313010000000001E-3</v>
      </c>
      <c r="N1034">
        <v>0</v>
      </c>
      <c r="O1034">
        <v>-0.99989539999999999</v>
      </c>
      <c r="P1034">
        <v>-9.3807189999999999E-2</v>
      </c>
      <c r="Q1034">
        <v>3.844475E-2</v>
      </c>
      <c r="R1034">
        <v>-0.99484790000000001</v>
      </c>
      <c r="S1034">
        <v>-0.17877199999999999</v>
      </c>
      <c r="T1034">
        <v>-0.147754</v>
      </c>
      <c r="U1034">
        <v>-3.0051570000000001</v>
      </c>
      <c r="V1034">
        <v>9.1696340000000001E-2</v>
      </c>
      <c r="W1034">
        <v>5.189978E-2</v>
      </c>
      <c r="X1034">
        <v>0.99443360000000003</v>
      </c>
      <c r="Y1034">
        <v>5.6784729999999999E-2</v>
      </c>
      <c r="Z1034">
        <v>4.9024390000000001E-2</v>
      </c>
      <c r="AA1034">
        <v>0.99718209999999996</v>
      </c>
      <c r="AB1034">
        <v>23</v>
      </c>
      <c r="AC1034">
        <v>-1.33099999999998</v>
      </c>
      <c r="AD1034">
        <v>-1.1068539598460001</v>
      </c>
      <c r="AE1034">
        <v>-22.207999999999998</v>
      </c>
      <c r="AF1034">
        <v>1.2716274112188899</v>
      </c>
      <c r="AG1034">
        <v>-1.1068539598460001</v>
      </c>
      <c r="AH1034">
        <v>22.156457401695299</v>
      </c>
      <c r="AI1034">
        <v>92.855215072349196</v>
      </c>
      <c r="AJ1034">
        <v>86.715222024772501</v>
      </c>
      <c r="AK1034">
        <v>22.220503292106802</v>
      </c>
      <c r="AL1034">
        <v>87.025025054821796</v>
      </c>
      <c r="AM1034">
        <v>84.731675997238099</v>
      </c>
      <c r="AN1034">
        <v>0.99999999537120199</v>
      </c>
    </row>
    <row r="1035" spans="1:40" x14ac:dyDescent="0.25">
      <c r="A1035" t="str">
        <f>"20190312154525401"</f>
        <v>20190312154525401</v>
      </c>
      <c r="B1035" t="str">
        <f>"1552376725397212"</f>
        <v>1552376725397212</v>
      </c>
      <c r="C1035" t="s">
        <v>40</v>
      </c>
      <c r="D1035">
        <v>5.573296</v>
      </c>
      <c r="E1035">
        <v>0.48767129999999997</v>
      </c>
      <c r="F1035" t="s">
        <v>42</v>
      </c>
      <c r="G1035">
        <v>-193.50710000000001</v>
      </c>
      <c r="H1035" s="1">
        <v>-2.2531489999999999E-6</v>
      </c>
      <c r="I1035">
        <v>322.66609999999997</v>
      </c>
      <c r="J1035">
        <v>-192.20769999999999</v>
      </c>
      <c r="K1035">
        <v>1.1071660000000001</v>
      </c>
      <c r="L1035">
        <v>343.95359999999999</v>
      </c>
      <c r="M1035">
        <v>-7.4185479999999996E-3</v>
      </c>
      <c r="N1035">
        <v>0</v>
      </c>
      <c r="O1035">
        <v>-0.99987199999999998</v>
      </c>
      <c r="P1035">
        <v>-9.5059569999999996E-2</v>
      </c>
      <c r="Q1035">
        <v>3.828732E-2</v>
      </c>
      <c r="R1035">
        <v>-0.99473520000000004</v>
      </c>
      <c r="S1035">
        <v>-0.1824036</v>
      </c>
      <c r="T1035">
        <v>-0.15460170000000001</v>
      </c>
      <c r="U1035">
        <v>-3.0042719999999998</v>
      </c>
      <c r="V1035">
        <v>8.8042860000000001E-2</v>
      </c>
      <c r="W1035">
        <v>5.1784539999999997E-2</v>
      </c>
      <c r="X1035">
        <v>0.99476980000000004</v>
      </c>
      <c r="Y1035">
        <v>5.3115990000000002E-2</v>
      </c>
      <c r="Z1035">
        <v>5.1307100000000001E-2</v>
      </c>
      <c r="AA1035">
        <v>0.99726939999999997</v>
      </c>
      <c r="AB1035">
        <v>23</v>
      </c>
      <c r="AC1035">
        <v>-1.2994000000000201</v>
      </c>
      <c r="AD1035">
        <v>-1.1071682531489999</v>
      </c>
      <c r="AE1035">
        <v>-21.287500000000001</v>
      </c>
      <c r="AF1035">
        <v>1.13835812263773</v>
      </c>
      <c r="AG1035">
        <v>-1.1071682531489999</v>
      </c>
      <c r="AH1035">
        <v>21.239314246884302</v>
      </c>
      <c r="AI1035">
        <v>92.979758656304796</v>
      </c>
      <c r="AJ1035">
        <v>86.9320680923704</v>
      </c>
      <c r="AK1035">
        <v>21.298595034275401</v>
      </c>
      <c r="AL1035">
        <v>87.031636931140099</v>
      </c>
      <c r="AM1035">
        <v>84.942172296119296</v>
      </c>
      <c r="AN1035">
        <v>1.00000006938601</v>
      </c>
    </row>
    <row r="1036" spans="1:40" x14ac:dyDescent="0.25">
      <c r="A1036" t="str">
        <f>"20190312154525488"</f>
        <v>20190312154525488</v>
      </c>
      <c r="B1036" t="str">
        <f>"1552376725477243"</f>
        <v>1552376725477243</v>
      </c>
      <c r="C1036" t="s">
        <v>40</v>
      </c>
      <c r="D1036">
        <v>4.6680890000000002</v>
      </c>
      <c r="E1036">
        <v>0.49418909999999999</v>
      </c>
      <c r="F1036" t="s">
        <v>42</v>
      </c>
      <c r="G1036">
        <v>-193.5829</v>
      </c>
      <c r="H1036" s="1">
        <v>-1.9977069999999999E-6</v>
      </c>
      <c r="I1036">
        <v>322.02359999999999</v>
      </c>
      <c r="J1036">
        <v>-192.2372</v>
      </c>
      <c r="K1036">
        <v>1.108746</v>
      </c>
      <c r="L1036">
        <v>343.05790000000002</v>
      </c>
      <c r="M1036">
        <v>-2.1024749999999998E-2</v>
      </c>
      <c r="N1036">
        <v>0</v>
      </c>
      <c r="O1036">
        <v>-0.9996815</v>
      </c>
      <c r="P1036">
        <v>-9.5499210000000001E-2</v>
      </c>
      <c r="Q1036">
        <v>3.3006529999999999E-2</v>
      </c>
      <c r="R1036">
        <v>-0.99488220000000005</v>
      </c>
      <c r="S1036">
        <v>-0.18835450000000001</v>
      </c>
      <c r="T1036">
        <v>-0.15164739999999999</v>
      </c>
      <c r="U1036">
        <v>-3.0037229999999999</v>
      </c>
      <c r="V1036">
        <v>7.4706510000000004E-2</v>
      </c>
      <c r="W1036">
        <v>4.6690000000000002E-2</v>
      </c>
      <c r="X1036">
        <v>0.99611190000000005</v>
      </c>
      <c r="Y1036">
        <v>4.150533E-2</v>
      </c>
      <c r="Z1036">
        <v>5.0334549999999999E-2</v>
      </c>
      <c r="AA1036">
        <v>0.99786960000000002</v>
      </c>
      <c r="AB1036">
        <v>22</v>
      </c>
      <c r="AC1036">
        <v>-1.3456999999999899</v>
      </c>
      <c r="AD1036">
        <v>-1.1087479977069901</v>
      </c>
      <c r="AE1036">
        <v>-21.034300000000002</v>
      </c>
      <c r="AF1036">
        <v>0.90062630512702702</v>
      </c>
      <c r="AG1036">
        <v>-1.1087479977069901</v>
      </c>
      <c r="AH1036">
        <v>20.999835254015402</v>
      </c>
      <c r="AI1036">
        <v>93.019522240821402</v>
      </c>
      <c r="AJ1036">
        <v>87.5442434261508</v>
      </c>
      <c r="AK1036">
        <v>21.048361707261101</v>
      </c>
      <c r="AL1036">
        <v>87.323887066272704</v>
      </c>
      <c r="AM1036">
        <v>85.710954345835901</v>
      </c>
      <c r="AN1036">
        <v>0.99999996802899405</v>
      </c>
    </row>
    <row r="1037" spans="1:40" x14ac:dyDescent="0.25">
      <c r="A1037" t="str">
        <f>"20190312154525514"</f>
        <v>20190312154525514</v>
      </c>
      <c r="B1037" t="str">
        <f>"1552376725507500"</f>
        <v>1552376725507500</v>
      </c>
      <c r="C1037" t="s">
        <v>40</v>
      </c>
      <c r="D1037">
        <v>4.4439060000000001</v>
      </c>
      <c r="E1037">
        <v>0.4782034</v>
      </c>
      <c r="F1037" t="s">
        <v>42</v>
      </c>
      <c r="G1037">
        <v>-193.82069999999999</v>
      </c>
      <c r="H1037" s="1">
        <v>-2.6253819999999998E-6</v>
      </c>
      <c r="I1037">
        <v>323.33929999999998</v>
      </c>
      <c r="J1037">
        <v>-192.24539999999999</v>
      </c>
      <c r="K1037">
        <v>1.109116</v>
      </c>
      <c r="L1037">
        <v>342.80919999999998</v>
      </c>
      <c r="M1037">
        <v>-2.3251069999999999E-2</v>
      </c>
      <c r="N1037">
        <v>0</v>
      </c>
      <c r="O1037">
        <v>-0.99963279999999999</v>
      </c>
      <c r="P1037">
        <v>-9.5468750000000005E-2</v>
      </c>
      <c r="Q1037">
        <v>3.093315E-2</v>
      </c>
      <c r="R1037">
        <v>-0.99495180000000005</v>
      </c>
      <c r="S1037">
        <v>-0.2407532</v>
      </c>
      <c r="T1037">
        <v>-0.16856849999999901</v>
      </c>
      <c r="U1037">
        <v>-2.997925</v>
      </c>
      <c r="V1037">
        <v>7.2407429999999995E-2</v>
      </c>
      <c r="W1037">
        <v>4.464746E-2</v>
      </c>
      <c r="X1037">
        <v>0.99637529999999996</v>
      </c>
      <c r="Y1037">
        <v>5.6723009999999997E-2</v>
      </c>
      <c r="Z1037">
        <v>5.5981980000000001E-2</v>
      </c>
      <c r="AA1037">
        <v>0.99681920000000002</v>
      </c>
      <c r="AB1037">
        <v>22</v>
      </c>
      <c r="AC1037">
        <v>-1.5752999999999899</v>
      </c>
      <c r="AD1037">
        <v>-1.109118625382</v>
      </c>
      <c r="AE1037">
        <v>-19.469899999999999</v>
      </c>
      <c r="AF1037">
        <v>1.1185280672173701</v>
      </c>
      <c r="AG1037">
        <v>-1.109118625382</v>
      </c>
      <c r="AH1037">
        <v>19.438596395304</v>
      </c>
      <c r="AI1037">
        <v>93.260234635470198</v>
      </c>
      <c r="AJ1037">
        <v>86.706740291046899</v>
      </c>
      <c r="AK1037">
        <v>19.502314708307001</v>
      </c>
      <c r="AL1037">
        <v>87.441038286487895</v>
      </c>
      <c r="AM1037">
        <v>85.843574064799</v>
      </c>
      <c r="AN1037">
        <v>0.99999998502687304</v>
      </c>
    </row>
    <row r="1038" spans="1:40" x14ac:dyDescent="0.25">
      <c r="A1038" t="str">
        <f>"20190312154525537"</f>
        <v>20190312154525537</v>
      </c>
      <c r="B1038" t="str">
        <f>"1552376725527019"</f>
        <v>1552376725527019</v>
      </c>
      <c r="C1038" t="s">
        <v>40</v>
      </c>
      <c r="D1038">
        <v>4.4688270000000001</v>
      </c>
      <c r="E1038">
        <v>0.47518139999999998</v>
      </c>
      <c r="F1038" t="s">
        <v>41</v>
      </c>
      <c r="G1038">
        <v>-192.27440000000001</v>
      </c>
      <c r="H1038">
        <v>0.93375909999999995</v>
      </c>
      <c r="I1038">
        <v>342.03680000000003</v>
      </c>
      <c r="J1038">
        <v>-192.25280000000001</v>
      </c>
      <c r="K1038">
        <v>1.1094809999999999</v>
      </c>
      <c r="L1038">
        <v>342.57740000000001</v>
      </c>
      <c r="M1038">
        <v>-2.45896E-2</v>
      </c>
      <c r="N1038">
        <v>0</v>
      </c>
      <c r="O1038">
        <v>-0.99960139999999997</v>
      </c>
      <c r="P1038">
        <v>-9.4771649999999999E-2</v>
      </c>
      <c r="Q1038">
        <v>3.0322559999999998E-2</v>
      </c>
      <c r="R1038">
        <v>-0.99503730000000001</v>
      </c>
      <c r="S1038">
        <v>-0.1134491</v>
      </c>
      <c r="T1038">
        <v>-0.6869731</v>
      </c>
      <c r="U1038">
        <v>-3.0256959999999999</v>
      </c>
      <c r="V1038">
        <v>7.0332350000000002E-2</v>
      </c>
      <c r="W1038">
        <v>4.4067710000000003E-2</v>
      </c>
      <c r="X1038">
        <v>0.99654969999999998</v>
      </c>
      <c r="Y1038">
        <v>1.195417E-2</v>
      </c>
      <c r="Z1038">
        <v>0.22123100000000001</v>
      </c>
      <c r="AA1038">
        <v>0.97514809999999996</v>
      </c>
      <c r="AB1038">
        <v>22</v>
      </c>
      <c r="AC1038">
        <v>-2.1600000000006499E-2</v>
      </c>
      <c r="AD1038">
        <v>-0.17572189999999899</v>
      </c>
      <c r="AE1038">
        <v>-0.54059999999998298</v>
      </c>
      <c r="AF1038">
        <v>7.5071315226558702E-3</v>
      </c>
      <c r="AG1038">
        <v>-0.17572189999999899</v>
      </c>
      <c r="AH1038">
        <v>0.48934699848094698</v>
      </c>
      <c r="AI1038">
        <v>109.750798680082</v>
      </c>
      <c r="AJ1038">
        <v>89.121087459127196</v>
      </c>
      <c r="AK1038">
        <v>0.51999521929112003</v>
      </c>
      <c r="AL1038">
        <v>87.474288163400004</v>
      </c>
      <c r="AM1038">
        <v>85.962995037007801</v>
      </c>
      <c r="AN1038">
        <v>0.99999995354562699</v>
      </c>
    </row>
    <row r="1039" spans="1:40" x14ac:dyDescent="0.25">
      <c r="A1039" t="str">
        <f>"20190312154525578"</f>
        <v>20190312154525578</v>
      </c>
      <c r="B1039" t="str">
        <f>"1552376725567036"</f>
        <v>1552376725567036</v>
      </c>
      <c r="C1039" t="s">
        <v>40</v>
      </c>
      <c r="D1039">
        <v>4.6285170000000004</v>
      </c>
      <c r="E1039">
        <v>0.47218640000000001</v>
      </c>
      <c r="F1039" t="s">
        <v>41</v>
      </c>
      <c r="G1039">
        <v>-192.27430000000001</v>
      </c>
      <c r="H1039">
        <v>0.96853080000000003</v>
      </c>
      <c r="I1039">
        <v>341.82</v>
      </c>
      <c r="J1039">
        <v>-192.2646</v>
      </c>
      <c r="K1039">
        <v>1.1102339999999999</v>
      </c>
      <c r="L1039">
        <v>342.16770000000002</v>
      </c>
      <c r="M1039">
        <v>-2.5210099999999999E-2</v>
      </c>
      <c r="N1039">
        <v>0</v>
      </c>
      <c r="O1039">
        <v>-0.99958659999999999</v>
      </c>
      <c r="P1039">
        <v>-9.2077870000000006E-2</v>
      </c>
      <c r="Q1039">
        <v>2.746446E-2</v>
      </c>
      <c r="R1039">
        <v>-0.99537319999999996</v>
      </c>
      <c r="S1039">
        <v>-8.54187E-2</v>
      </c>
      <c r="T1039">
        <v>-0.56287989999999999</v>
      </c>
      <c r="U1039">
        <v>-3.0240170000000002</v>
      </c>
      <c r="V1039">
        <v>6.6932199999999997E-2</v>
      </c>
      <c r="W1039">
        <v>4.1291250000000002E-2</v>
      </c>
      <c r="X1039">
        <v>0.99690279999999998</v>
      </c>
      <c r="Y1039">
        <v>2.5477690000000001E-3</v>
      </c>
      <c r="Z1039">
        <v>0.1828716</v>
      </c>
      <c r="AA1039">
        <v>0.98313349999999999</v>
      </c>
      <c r="AB1039">
        <v>22</v>
      </c>
      <c r="AC1039">
        <v>-9.7000000000093695E-3</v>
      </c>
      <c r="AD1039">
        <v>-0.141703199999999</v>
      </c>
      <c r="AE1039">
        <v>-0.34770000000003098</v>
      </c>
      <c r="AF1039">
        <v>7.9807585367938801E-4</v>
      </c>
      <c r="AG1039">
        <v>-0.141703199999999</v>
      </c>
      <c r="AH1039">
        <v>0.29832331097971398</v>
      </c>
      <c r="AI1039">
        <v>115.407580244831</v>
      </c>
      <c r="AJ1039">
        <v>89.846722440449497</v>
      </c>
      <c r="AK1039">
        <v>0.33026842369383003</v>
      </c>
      <c r="AL1039">
        <v>87.633512949137696</v>
      </c>
      <c r="AM1039">
        <v>86.158917659644104</v>
      </c>
      <c r="AN1039">
        <v>1.0000000396856199</v>
      </c>
    </row>
    <row r="1040" spans="1:40" x14ac:dyDescent="0.25">
      <c r="A1040" t="str">
        <f>"20190312154525602"</f>
        <v>20190312154525602</v>
      </c>
      <c r="B1040" t="str">
        <f>"1552376725597292"</f>
        <v>1552376725597292</v>
      </c>
      <c r="C1040" t="s">
        <v>40</v>
      </c>
      <c r="D1040">
        <v>4.5389379999999999</v>
      </c>
      <c r="E1040">
        <v>0.47348590000000002</v>
      </c>
      <c r="F1040" t="s">
        <v>42</v>
      </c>
      <c r="G1040">
        <v>-192.9991</v>
      </c>
      <c r="H1040" s="1">
        <v>-1.6033669999999999E-6</v>
      </c>
      <c r="I1040">
        <v>301.4665</v>
      </c>
      <c r="J1040">
        <v>-192.2704</v>
      </c>
      <c r="K1040">
        <v>1.110662</v>
      </c>
      <c r="L1040">
        <v>341.93340000000001</v>
      </c>
      <c r="M1040">
        <v>-2.4749730000000001E-2</v>
      </c>
      <c r="N1040">
        <v>0</v>
      </c>
      <c r="O1040">
        <v>-0.99959830000000005</v>
      </c>
      <c r="P1040">
        <v>-9.0394039999999995E-2</v>
      </c>
      <c r="Q1040">
        <v>2.5422879999999998E-2</v>
      </c>
      <c r="R1040">
        <v>-0.99558170000000001</v>
      </c>
      <c r="S1040">
        <v>-5.4336549999999997E-2</v>
      </c>
      <c r="T1040">
        <v>-8.213782E-2</v>
      </c>
      <c r="U1040">
        <v>-3.0111690000000002</v>
      </c>
      <c r="V1040">
        <v>6.5664509999999995E-2</v>
      </c>
      <c r="W1040">
        <v>3.9299199999999999E-2</v>
      </c>
      <c r="X1040">
        <v>0.99706760000000005</v>
      </c>
      <c r="Y1040">
        <v>-6.7182259999999999E-3</v>
      </c>
      <c r="Z1040">
        <v>2.7252519999999999E-2</v>
      </c>
      <c r="AA1040">
        <v>0.99960599999999999</v>
      </c>
      <c r="AB1040">
        <v>22</v>
      </c>
      <c r="AC1040">
        <v>-0.72870000000000301</v>
      </c>
      <c r="AD1040">
        <v>-1.1106636033670001</v>
      </c>
      <c r="AE1040">
        <v>-40.466900000000003</v>
      </c>
      <c r="AF1040">
        <v>-0.27295806233629299</v>
      </c>
      <c r="AG1040">
        <v>-1.1106636033670001</v>
      </c>
      <c r="AH1040">
        <v>40.442083649988497</v>
      </c>
      <c r="AI1040">
        <v>91.573086535847906</v>
      </c>
      <c r="AJ1040">
        <v>90.386703801428098</v>
      </c>
      <c r="AK1040">
        <v>40.458252677251203</v>
      </c>
      <c r="AL1040">
        <v>87.747741767206605</v>
      </c>
      <c r="AM1040">
        <v>86.232076860203605</v>
      </c>
      <c r="AN1040">
        <v>1.00000002698196</v>
      </c>
    </row>
    <row r="1041" spans="1:40" x14ac:dyDescent="0.25">
      <c r="A1041" t="str">
        <f>"20190312154525623"</f>
        <v>20190312154525623</v>
      </c>
      <c r="B1041" t="str">
        <f>"1552376725616812"</f>
        <v>1552376725616812</v>
      </c>
      <c r="C1041" t="s">
        <v>40</v>
      </c>
      <c r="D1041">
        <v>4.5362080000000002</v>
      </c>
      <c r="E1041">
        <v>0.47314299999999998</v>
      </c>
      <c r="F1041" t="s">
        <v>42</v>
      </c>
      <c r="G1041">
        <v>-193.7054</v>
      </c>
      <c r="H1041" s="1">
        <v>-4.9167010000000001E-6</v>
      </c>
      <c r="I1041">
        <v>269.50330000000002</v>
      </c>
      <c r="J1041">
        <v>-192.2749</v>
      </c>
      <c r="K1041">
        <v>1.1109899999999999</v>
      </c>
      <c r="L1041">
        <v>341.72030000000001</v>
      </c>
      <c r="M1041">
        <v>-2.380693E-2</v>
      </c>
      <c r="N1041">
        <v>0</v>
      </c>
      <c r="O1041">
        <v>-0.99962130000000005</v>
      </c>
      <c r="P1041">
        <v>-8.9240050000000001E-2</v>
      </c>
      <c r="Q1041">
        <v>2.6374649999999999E-2</v>
      </c>
      <c r="R1041">
        <v>-0.99566100000000002</v>
      </c>
      <c r="S1041">
        <v>-5.9616089999999997E-2</v>
      </c>
      <c r="T1041">
        <v>-4.6142460000000003E-2</v>
      </c>
      <c r="U1041">
        <v>-3.0090940000000002</v>
      </c>
      <c r="V1041">
        <v>6.5416249999999995E-2</v>
      </c>
      <c r="W1041">
        <v>4.0287379999999998E-2</v>
      </c>
      <c r="X1041">
        <v>0.99704440000000005</v>
      </c>
      <c r="Y1041">
        <v>-4.0043810000000004E-3</v>
      </c>
      <c r="Z1041">
        <v>1.532445E-2</v>
      </c>
      <c r="AA1041">
        <v>0.9998745</v>
      </c>
      <c r="AB1041">
        <v>22</v>
      </c>
      <c r="AC1041">
        <v>-1.4304999999999899</v>
      </c>
      <c r="AD1041">
        <v>-1.11099491670099</v>
      </c>
      <c r="AE1041">
        <v>-72.216999999999899</v>
      </c>
      <c r="AF1041">
        <v>-0.28926591860513901</v>
      </c>
      <c r="AG1041">
        <v>-1.11099491670099</v>
      </c>
      <c r="AH1041">
        <v>72.213502898175705</v>
      </c>
      <c r="AI1041">
        <v>90.881411164102204</v>
      </c>
      <c r="AJ1041">
        <v>90.229508706589698</v>
      </c>
      <c r="AK1041">
        <v>72.222627931289196</v>
      </c>
      <c r="AL1041">
        <v>87.691078157410203</v>
      </c>
      <c r="AM1041">
        <v>86.2461944731796</v>
      </c>
      <c r="AN1041">
        <v>0.999999947161342</v>
      </c>
    </row>
    <row r="1042" spans="1:40" x14ac:dyDescent="0.25">
      <c r="A1042" t="str">
        <f>"20190312154525646"</f>
        <v>20190312154525646</v>
      </c>
      <c r="B1042" t="str">
        <f>"1552376725637308"</f>
        <v>1552376725637308</v>
      </c>
      <c r="C1042" t="s">
        <v>40</v>
      </c>
      <c r="D1042">
        <v>4.5634620000000004</v>
      </c>
      <c r="E1042">
        <v>0.47314030000000001</v>
      </c>
      <c r="F1042" t="s">
        <v>52</v>
      </c>
      <c r="G1042">
        <v>-196.02</v>
      </c>
      <c r="H1042" s="1">
        <v>-6.1424470000000001E-6</v>
      </c>
      <c r="I1042">
        <v>130.73570000000001</v>
      </c>
      <c r="J1042">
        <v>-192.27869999999999</v>
      </c>
      <c r="K1042">
        <v>1.1112949999999999</v>
      </c>
      <c r="L1042">
        <v>341.495</v>
      </c>
      <c r="M1042">
        <v>-2.2220699999999999E-2</v>
      </c>
      <c r="N1042">
        <v>0</v>
      </c>
      <c r="O1042">
        <v>-0.99965809999999999</v>
      </c>
      <c r="P1042">
        <v>-8.8190539999999998E-2</v>
      </c>
      <c r="Q1042">
        <v>2.8599490000000002E-2</v>
      </c>
      <c r="R1042">
        <v>-0.99569319999999895</v>
      </c>
      <c r="S1042">
        <v>-5.3405759999999997E-2</v>
      </c>
      <c r="T1042">
        <v>-1.5842800000000001E-2</v>
      </c>
      <c r="U1042">
        <v>-3.0086360000000001</v>
      </c>
      <c r="V1042">
        <v>6.5913520000000003E-2</v>
      </c>
      <c r="W1042">
        <v>4.2545659999999999E-2</v>
      </c>
      <c r="X1042">
        <v>0.99691790000000002</v>
      </c>
      <c r="Y1042">
        <v>-4.4759129999999998E-3</v>
      </c>
      <c r="Z1042">
        <v>5.2633080000000004E-3</v>
      </c>
      <c r="AA1042">
        <v>0.99997619999999998</v>
      </c>
      <c r="AB1042">
        <v>22</v>
      </c>
      <c r="AC1042">
        <v>-3.7413000000000198</v>
      </c>
      <c r="AD1042">
        <v>-1.1113011424470001</v>
      </c>
      <c r="AE1042">
        <v>-210.7593</v>
      </c>
      <c r="AF1042">
        <v>-0.94326169140459204</v>
      </c>
      <c r="AG1042">
        <v>-1.1113011424470001</v>
      </c>
      <c r="AH1042">
        <v>210.78453511127299</v>
      </c>
      <c r="AI1042">
        <v>90.302069778187203</v>
      </c>
      <c r="AJ1042">
        <v>90.256397145587101</v>
      </c>
      <c r="AK1042">
        <v>210.789575109689</v>
      </c>
      <c r="AL1042">
        <v>87.561577252825401</v>
      </c>
      <c r="AM1042">
        <v>86.217263413131505</v>
      </c>
      <c r="AN1042">
        <v>1.0000000123220101</v>
      </c>
    </row>
    <row r="1043" spans="1:40" x14ac:dyDescent="0.25">
      <c r="A1043" t="str">
        <f>"20190312154525667"</f>
        <v>20190312154525667</v>
      </c>
      <c r="B1043" t="str">
        <f>"1552376725657804"</f>
        <v>1552376725657804</v>
      </c>
      <c r="C1043" t="s">
        <v>40</v>
      </c>
      <c r="D1043">
        <v>4.5666849999999997</v>
      </c>
      <c r="E1043">
        <v>0.47275820000000002</v>
      </c>
      <c r="F1043" t="s">
        <v>42</v>
      </c>
      <c r="G1043">
        <v>-194.69630000000001</v>
      </c>
      <c r="H1043" s="1">
        <v>-3.9168429999999996E-6</v>
      </c>
      <c r="I1043">
        <v>196.04859999999999</v>
      </c>
      <c r="J1043">
        <v>-192.2816</v>
      </c>
      <c r="K1043">
        <v>1.1115349999999999</v>
      </c>
      <c r="L1043">
        <v>341.27949999999998</v>
      </c>
      <c r="M1043">
        <v>-2.0268769999999998E-2</v>
      </c>
      <c r="N1043">
        <v>0</v>
      </c>
      <c r="O1043">
        <v>-0.99969960000000002</v>
      </c>
      <c r="P1043">
        <v>-8.8416579999999995E-2</v>
      </c>
      <c r="Q1043">
        <v>3.0519080000000001E-2</v>
      </c>
      <c r="R1043">
        <v>-0.9956159</v>
      </c>
      <c r="S1043">
        <v>-5.0018310000000003E-2</v>
      </c>
      <c r="T1043">
        <v>-2.299201E-2</v>
      </c>
      <c r="U1043">
        <v>-3.0091860000000001</v>
      </c>
      <c r="V1043">
        <v>6.8057510000000002E-2</v>
      </c>
      <c r="W1043">
        <v>4.4498349999999999E-2</v>
      </c>
      <c r="X1043">
        <v>0.99668849999999998</v>
      </c>
      <c r="Y1043">
        <v>-3.6522120000000002E-3</v>
      </c>
      <c r="Z1043">
        <v>7.637479E-3</v>
      </c>
      <c r="AA1043">
        <v>0.99996419999999997</v>
      </c>
      <c r="AB1043">
        <v>22</v>
      </c>
      <c r="AC1043">
        <v>-2.4147000000000101</v>
      </c>
      <c r="AD1043">
        <v>-1.1115389168430001</v>
      </c>
      <c r="AE1043">
        <v>-145.23089999999999</v>
      </c>
      <c r="AF1043">
        <v>-0.52969636161299805</v>
      </c>
      <c r="AG1043">
        <v>-1.1115389168430001</v>
      </c>
      <c r="AH1043">
        <v>145.24150127350401</v>
      </c>
      <c r="AI1043">
        <v>90.438475376024797</v>
      </c>
      <c r="AJ1043">
        <v>90.208957020710301</v>
      </c>
      <c r="AK1043">
        <v>145.24672040765799</v>
      </c>
      <c r="AL1043">
        <v>87.4495900624851</v>
      </c>
      <c r="AM1043">
        <v>86.093699831815002</v>
      </c>
      <c r="AN1043">
        <v>0.99999994692618399</v>
      </c>
    </row>
    <row r="1044" spans="1:40" x14ac:dyDescent="0.25">
      <c r="A1044" t="str">
        <f>"20190312154525690"</f>
        <v>20190312154525690</v>
      </c>
      <c r="B1044" t="str">
        <f>"1552376725677323"</f>
        <v>1552376725677323</v>
      </c>
      <c r="C1044" t="s">
        <v>40</v>
      </c>
      <c r="D1044">
        <v>4.5744680000000004</v>
      </c>
      <c r="E1044">
        <v>0.47270220000000002</v>
      </c>
      <c r="F1044" t="s">
        <v>53</v>
      </c>
      <c r="G1044">
        <v>-194.22069999999999</v>
      </c>
      <c r="H1044" s="1">
        <v>2.8499450000000002E-6</v>
      </c>
      <c r="I1044">
        <v>218.80260000000001</v>
      </c>
      <c r="J1044">
        <v>-192.28370000000001</v>
      </c>
      <c r="K1044">
        <v>1.1117090000000001</v>
      </c>
      <c r="L1044">
        <v>341.05619999999999</v>
      </c>
      <c r="M1044">
        <v>-1.794863E-2</v>
      </c>
      <c r="N1044">
        <v>0</v>
      </c>
      <c r="O1044">
        <v>-0.99974419999999997</v>
      </c>
      <c r="P1044">
        <v>-8.7680110000000006E-2</v>
      </c>
      <c r="Q1044">
        <v>2.995254E-2</v>
      </c>
      <c r="R1044">
        <v>-0.99569830000000004</v>
      </c>
      <c r="S1044">
        <v>-4.76532E-2</v>
      </c>
      <c r="T1044">
        <v>-2.73155E-2</v>
      </c>
      <c r="U1044">
        <v>-3.009827</v>
      </c>
      <c r="V1044">
        <v>6.9616750000000005E-2</v>
      </c>
      <c r="W1044">
        <v>4.3960529999999998E-2</v>
      </c>
      <c r="X1044">
        <v>0.99660470000000001</v>
      </c>
      <c r="Y1044">
        <v>-2.1207309999999998E-3</v>
      </c>
      <c r="Z1044">
        <v>9.0722939999999998E-3</v>
      </c>
      <c r="AA1044">
        <v>0.99995659999999997</v>
      </c>
      <c r="AB1044">
        <v>22</v>
      </c>
      <c r="AC1044">
        <v>-1.9369999999999801</v>
      </c>
      <c r="AD1044">
        <v>-1.1117061500550001</v>
      </c>
      <c r="AE1044">
        <v>-122.253599999999</v>
      </c>
      <c r="AF1044">
        <v>-0.25778321906892099</v>
      </c>
      <c r="AG1044">
        <v>-1.1117061500550001</v>
      </c>
      <c r="AH1044">
        <v>122.25856516057701</v>
      </c>
      <c r="AI1044">
        <v>90.520979232283807</v>
      </c>
      <c r="AJ1044">
        <v>90.120808456851805</v>
      </c>
      <c r="AK1044">
        <v>122.263891226621</v>
      </c>
      <c r="AL1044">
        <v>87.480435134006996</v>
      </c>
      <c r="AM1044">
        <v>86.004155812682001</v>
      </c>
      <c r="AN1044">
        <v>0.99999997407026597</v>
      </c>
    </row>
    <row r="1045" spans="1:40" x14ac:dyDescent="0.25">
      <c r="A1045" t="str">
        <f>"20190312154525715"</f>
        <v>20190312154525715</v>
      </c>
      <c r="B1045" t="str">
        <f>"1552376725707580"</f>
        <v>1552376725707580</v>
      </c>
      <c r="C1045" t="s">
        <v>40</v>
      </c>
      <c r="D1045">
        <v>4.5795760000000003</v>
      </c>
      <c r="E1045">
        <v>0.47251609999999999</v>
      </c>
      <c r="F1045" t="s">
        <v>42</v>
      </c>
      <c r="G1045">
        <v>-193.6601</v>
      </c>
      <c r="H1045" s="1">
        <v>-5.079552E-6</v>
      </c>
      <c r="I1045">
        <v>248.8229</v>
      </c>
      <c r="J1045">
        <v>-192.285</v>
      </c>
      <c r="K1045">
        <v>1.111823</v>
      </c>
      <c r="L1045">
        <v>340.81450000000001</v>
      </c>
      <c r="M1045">
        <v>-1.521016E-2</v>
      </c>
      <c r="N1045">
        <v>0</v>
      </c>
      <c r="O1045">
        <v>-0.9997897</v>
      </c>
      <c r="P1045">
        <v>-8.553827E-2</v>
      </c>
      <c r="Q1045">
        <v>2.7290430000000001E-2</v>
      </c>
      <c r="R1045">
        <v>-0.9959614</v>
      </c>
      <c r="S1045">
        <v>-4.4921879999999997E-2</v>
      </c>
      <c r="T1045">
        <v>-3.6281590000000002E-2</v>
      </c>
      <c r="U1045">
        <v>-3.0101010000000001</v>
      </c>
      <c r="V1045">
        <v>7.0200250000000006E-2</v>
      </c>
      <c r="W1045">
        <v>4.1315070000000002E-2</v>
      </c>
      <c r="X1045">
        <v>0.99667700000000004</v>
      </c>
      <c r="Y1045">
        <v>-2.9067040000000001E-4</v>
      </c>
      <c r="Z1045">
        <v>1.204964E-2</v>
      </c>
      <c r="AA1045">
        <v>0.99992729999999996</v>
      </c>
      <c r="AB1045">
        <v>22</v>
      </c>
      <c r="AC1045">
        <v>-1.3751</v>
      </c>
      <c r="AD1045">
        <v>-1.1118280795519999</v>
      </c>
      <c r="AE1045">
        <v>-91.991600000000005</v>
      </c>
      <c r="AF1045">
        <v>-2.43948837597769E-2</v>
      </c>
      <c r="AG1045">
        <v>-1.1118280795519999</v>
      </c>
      <c r="AH1045">
        <v>91.988439456254298</v>
      </c>
      <c r="AI1045">
        <v>90.692477803388101</v>
      </c>
      <c r="AJ1045">
        <v>90.015194559845099</v>
      </c>
      <c r="AK1045">
        <v>91.995161559648295</v>
      </c>
      <c r="AL1045">
        <v>87.632146966198903</v>
      </c>
      <c r="AM1045">
        <v>85.971065405938404</v>
      </c>
      <c r="AN1045">
        <v>1.00000002621908</v>
      </c>
    </row>
    <row r="1046" spans="1:40" x14ac:dyDescent="0.25">
      <c r="A1046" t="str">
        <f>"20190312154525738"</f>
        <v>20190312154525738</v>
      </c>
      <c r="B1046" t="str">
        <f>"1552376725727100"</f>
        <v>1552376725727100</v>
      </c>
      <c r="C1046" t="s">
        <v>40</v>
      </c>
      <c r="D1046">
        <v>4.5962430000000003</v>
      </c>
      <c r="E1046">
        <v>0.47232049999999998</v>
      </c>
      <c r="F1046" t="s">
        <v>53</v>
      </c>
      <c r="G1046">
        <v>-193.09630000000001</v>
      </c>
      <c r="H1046" s="1">
        <v>5.0988829999999997E-6</v>
      </c>
      <c r="I1046">
        <v>275.69670000000002</v>
      </c>
      <c r="J1046">
        <v>-192.28540000000001</v>
      </c>
      <c r="K1046">
        <v>1.111866</v>
      </c>
      <c r="L1046">
        <v>340.59269999999998</v>
      </c>
      <c r="M1046">
        <v>-1.2558389999999999E-2</v>
      </c>
      <c r="N1046">
        <v>0</v>
      </c>
      <c r="O1046">
        <v>-0.99982649999999995</v>
      </c>
      <c r="P1046">
        <v>-8.2076410000000002E-2</v>
      </c>
      <c r="Q1046">
        <v>2.426039E-2</v>
      </c>
      <c r="R1046">
        <v>-0.99633099999999997</v>
      </c>
      <c r="S1046">
        <v>-3.7506100000000001E-2</v>
      </c>
      <c r="T1046">
        <v>-5.1397440000000003E-2</v>
      </c>
      <c r="U1046">
        <v>-3.010284</v>
      </c>
      <c r="V1046">
        <v>6.9386370000000003E-2</v>
      </c>
      <c r="W1046">
        <v>3.8285739999999999E-2</v>
      </c>
      <c r="X1046">
        <v>0.99685489999999999</v>
      </c>
      <c r="Y1046">
        <v>-1.030479E-4</v>
      </c>
      <c r="Z1046">
        <v>1.7068779999999999E-2</v>
      </c>
      <c r="AA1046">
        <v>0.99985429999999997</v>
      </c>
      <c r="AB1046">
        <v>22</v>
      </c>
      <c r="AC1046">
        <v>-0.81090000000000295</v>
      </c>
      <c r="AD1046">
        <v>-1.111860901117</v>
      </c>
      <c r="AE1046">
        <v>-64.895999999999901</v>
      </c>
      <c r="AF1046">
        <v>-4.2291277038780601E-3</v>
      </c>
      <c r="AG1046">
        <v>-1.111860901117</v>
      </c>
      <c r="AH1046">
        <v>64.882023516912895</v>
      </c>
      <c r="AI1046">
        <v>90.9817619516257</v>
      </c>
      <c r="AJ1046">
        <v>90.003734642586295</v>
      </c>
      <c r="AK1046">
        <v>64.891549744155398</v>
      </c>
      <c r="AL1046">
        <v>87.805852383972194</v>
      </c>
      <c r="AM1046">
        <v>86.018332871650301</v>
      </c>
      <c r="AN1046">
        <v>0.999999978941567</v>
      </c>
    </row>
    <row r="1047" spans="1:40" x14ac:dyDescent="0.25">
      <c r="A1047" t="str">
        <f>"20190312154525761"</f>
        <v>20190312154525761</v>
      </c>
      <c r="B1047" t="str">
        <f>"1552376725747596"</f>
        <v>1552376725747596</v>
      </c>
      <c r="C1047" t="s">
        <v>40</v>
      </c>
      <c r="D1047">
        <v>4.6301009999999998</v>
      </c>
      <c r="E1047">
        <v>0.47226040000000002</v>
      </c>
      <c r="F1047" t="s">
        <v>53</v>
      </c>
      <c r="G1047">
        <v>-192.7353</v>
      </c>
      <c r="H1047" s="1">
        <v>3.1616279999999999E-6</v>
      </c>
      <c r="I1047">
        <v>288.25119999999998</v>
      </c>
      <c r="J1047">
        <v>-192.285</v>
      </c>
      <c r="K1047">
        <v>1.111861</v>
      </c>
      <c r="L1047">
        <v>340.3623</v>
      </c>
      <c r="M1047">
        <v>-9.7278680000000006E-3</v>
      </c>
      <c r="N1047">
        <v>0</v>
      </c>
      <c r="O1047">
        <v>-0.99985820000000003</v>
      </c>
      <c r="P1047">
        <v>-7.8147320000000006E-2</v>
      </c>
      <c r="Q1047">
        <v>2.2283870000000001E-2</v>
      </c>
      <c r="R1047">
        <v>-0.99669280000000005</v>
      </c>
      <c r="S1047">
        <v>-2.5878910000000001E-2</v>
      </c>
      <c r="T1047">
        <v>-6.3949110000000003E-2</v>
      </c>
      <c r="U1047">
        <v>-3.010437</v>
      </c>
      <c r="V1047">
        <v>6.8285230000000002E-2</v>
      </c>
      <c r="W1047">
        <v>3.6300140000000002E-2</v>
      </c>
      <c r="X1047">
        <v>0.99700520000000004</v>
      </c>
      <c r="Y1047">
        <v>-1.1346959999999999E-3</v>
      </c>
      <c r="Z1047">
        <v>2.1235770000000001E-2</v>
      </c>
      <c r="AA1047">
        <v>0.99977389999999999</v>
      </c>
      <c r="AB1047">
        <v>22</v>
      </c>
      <c r="AC1047">
        <v>-0.45029999999999798</v>
      </c>
      <c r="AD1047">
        <v>-1.1118578383719999</v>
      </c>
      <c r="AE1047">
        <v>-52.1111</v>
      </c>
      <c r="AF1047">
        <v>-5.6673313641155403E-2</v>
      </c>
      <c r="AG1047">
        <v>-1.1118578383719999</v>
      </c>
      <c r="AH1047">
        <v>52.089303440454898</v>
      </c>
      <c r="AI1047">
        <v>91.222804823291995</v>
      </c>
      <c r="AJ1047">
        <v>90.062337950153307</v>
      </c>
      <c r="AK1047">
        <v>52.101199339641099</v>
      </c>
      <c r="AL1047">
        <v>87.919698081819305</v>
      </c>
      <c r="AM1047">
        <v>86.0819111458093</v>
      </c>
      <c r="AN1047">
        <v>0.99999997081360503</v>
      </c>
    </row>
    <row r="1048" spans="1:40" x14ac:dyDescent="0.25">
      <c r="A1048" t="str">
        <f>"20190312154525781"</f>
        <v>20190312154525781</v>
      </c>
      <c r="B1048" t="str">
        <f>"1552376725767115"</f>
        <v>1552376725767115</v>
      </c>
      <c r="C1048" t="s">
        <v>40</v>
      </c>
      <c r="D1048">
        <v>4.6399929999999996</v>
      </c>
      <c r="E1048">
        <v>0.47213179999999999</v>
      </c>
      <c r="F1048" t="s">
        <v>53</v>
      </c>
      <c r="G1048">
        <v>-192.49459999999999</v>
      </c>
      <c r="H1048" s="1">
        <v>1.5851540000000001E-6</v>
      </c>
      <c r="I1048">
        <v>294.3741</v>
      </c>
      <c r="J1048">
        <v>-192.2841</v>
      </c>
      <c r="K1048">
        <v>1.111831</v>
      </c>
      <c r="L1048">
        <v>340.16300000000001</v>
      </c>
      <c r="M1048">
        <v>-7.2678509999999997E-3</v>
      </c>
      <c r="N1048">
        <v>0</v>
      </c>
      <c r="O1048">
        <v>-0.99987919999999997</v>
      </c>
      <c r="P1048">
        <v>-7.2674890000000006E-2</v>
      </c>
      <c r="Q1048">
        <v>2.1523480000000001E-2</v>
      </c>
      <c r="R1048">
        <v>-0.99712339999999999</v>
      </c>
      <c r="S1048">
        <v>-1.371765E-2</v>
      </c>
      <c r="T1048">
        <v>-7.2785740000000002E-2</v>
      </c>
      <c r="U1048">
        <v>-3.010529</v>
      </c>
      <c r="V1048">
        <v>6.5269540000000001E-2</v>
      </c>
      <c r="W1048">
        <v>3.551911E-2</v>
      </c>
      <c r="X1048">
        <v>0.99723530000000005</v>
      </c>
      <c r="Y1048">
        <v>-2.7134009999999998E-3</v>
      </c>
      <c r="Z1048">
        <v>2.416888E-2</v>
      </c>
      <c r="AA1048">
        <v>0.99970420000000004</v>
      </c>
      <c r="AB1048">
        <v>22</v>
      </c>
      <c r="AC1048">
        <v>-0.210499999999996</v>
      </c>
      <c r="AD1048">
        <v>-1.111829414846</v>
      </c>
      <c r="AE1048">
        <v>-45.788899999999998</v>
      </c>
      <c r="AF1048">
        <v>-0.122251798879905</v>
      </c>
      <c r="AG1048">
        <v>-1.111829414846</v>
      </c>
      <c r="AH1048">
        <v>45.762239711563097</v>
      </c>
      <c r="AI1048">
        <v>91.391767018694907</v>
      </c>
      <c r="AJ1048">
        <v>90.153062776099702</v>
      </c>
      <c r="AK1048">
        <v>45.775907348392501</v>
      </c>
      <c r="AL1048">
        <v>87.964476709654306</v>
      </c>
      <c r="AM1048">
        <v>86.255304140217802</v>
      </c>
      <c r="AN1048">
        <v>0.99999998179654603</v>
      </c>
    </row>
    <row r="1049" spans="1:40" x14ac:dyDescent="0.25">
      <c r="A1049" t="str">
        <f>"20190312154525803"</f>
        <v>20190312154525803</v>
      </c>
      <c r="B1049" t="str">
        <f>"1552376725797372"</f>
        <v>1552376725797372</v>
      </c>
      <c r="C1049" t="s">
        <v>40</v>
      </c>
      <c r="D1049">
        <v>4.7056209999999998</v>
      </c>
      <c r="E1049">
        <v>0.4718888</v>
      </c>
      <c r="F1049" t="s">
        <v>53</v>
      </c>
      <c r="G1049">
        <v>-192.23179999999999</v>
      </c>
      <c r="H1049" s="1">
        <v>6.7139130000000004E-7</v>
      </c>
      <c r="I1049">
        <v>297.1465</v>
      </c>
      <c r="J1049">
        <v>-192.28270000000001</v>
      </c>
      <c r="K1049">
        <v>1.1117760000000001</v>
      </c>
      <c r="L1049">
        <v>339.95229999999998</v>
      </c>
      <c r="M1049">
        <v>-4.6927640000000003E-3</v>
      </c>
      <c r="N1049">
        <v>0</v>
      </c>
      <c r="O1049">
        <v>-0.99989490000000003</v>
      </c>
      <c r="P1049">
        <v>-6.6803660000000001E-2</v>
      </c>
      <c r="Q1049">
        <v>2.0931780000000001E-2</v>
      </c>
      <c r="R1049">
        <v>-0.99754659999999995</v>
      </c>
      <c r="S1049">
        <v>3.6621090000000002E-3</v>
      </c>
      <c r="T1049">
        <v>-7.7814220000000003E-2</v>
      </c>
      <c r="U1049">
        <v>-3.0106199999999999</v>
      </c>
      <c r="V1049">
        <v>6.1972520000000003E-2</v>
      </c>
      <c r="W1049">
        <v>3.4901979999999999E-2</v>
      </c>
      <c r="X1049">
        <v>0.9974674</v>
      </c>
      <c r="Y1049">
        <v>-5.90918E-3</v>
      </c>
      <c r="Z1049">
        <v>2.5837289999999999E-2</v>
      </c>
      <c r="AA1049">
        <v>0.99964869999999995</v>
      </c>
      <c r="AB1049">
        <v>22</v>
      </c>
      <c r="AC1049">
        <v>5.0900000000012803E-2</v>
      </c>
      <c r="AD1049">
        <v>-1.1117753286087</v>
      </c>
      <c r="AE1049">
        <v>-42.805799999999898</v>
      </c>
      <c r="AF1049">
        <v>-0.25162611868468499</v>
      </c>
      <c r="AG1049">
        <v>-1.1117753286087</v>
      </c>
      <c r="AH1049">
        <v>42.7762340457652</v>
      </c>
      <c r="AI1049">
        <v>91.488784526470397</v>
      </c>
      <c r="AJ1049">
        <v>90.337031733904993</v>
      </c>
      <c r="AK1049">
        <v>42.791419224220498</v>
      </c>
      <c r="AL1049">
        <v>87.999857586284904</v>
      </c>
      <c r="AM1049">
        <v>86.444790474406105</v>
      </c>
      <c r="AN1049">
        <v>0.99999997775291505</v>
      </c>
    </row>
    <row r="1050" spans="1:40" x14ac:dyDescent="0.25">
      <c r="A1050" t="str">
        <f>"20190312154525826"</f>
        <v>20190312154525826</v>
      </c>
      <c r="B1050" t="str">
        <f>"1552376725817867"</f>
        <v>1552376725817867</v>
      </c>
      <c r="C1050" t="s">
        <v>40</v>
      </c>
      <c r="D1050">
        <v>4.7068580000000004</v>
      </c>
      <c r="E1050">
        <v>0.47181830000000002</v>
      </c>
      <c r="F1050" t="s">
        <v>53</v>
      </c>
      <c r="G1050">
        <v>-191.9648</v>
      </c>
      <c r="H1050" s="1">
        <v>8.7794809999999999E-8</v>
      </c>
      <c r="I1050">
        <v>299.11779999999999</v>
      </c>
      <c r="J1050">
        <v>-192.28059999999999</v>
      </c>
      <c r="K1050">
        <v>1.1116919999999999</v>
      </c>
      <c r="L1050">
        <v>339.73219999999998</v>
      </c>
      <c r="M1050">
        <v>-2.0651620000000002E-3</v>
      </c>
      <c r="N1050">
        <v>0</v>
      </c>
      <c r="O1050">
        <v>-0.9999036</v>
      </c>
      <c r="P1050">
        <v>-6.0703470000000002E-2</v>
      </c>
      <c r="Q1050">
        <v>2.0197030000000001E-2</v>
      </c>
      <c r="R1050">
        <v>-0.99795149999999999</v>
      </c>
      <c r="S1050">
        <v>2.34375E-2</v>
      </c>
      <c r="T1050">
        <v>-8.1970810000000005E-2</v>
      </c>
      <c r="U1050">
        <v>-3.0107119999999998</v>
      </c>
      <c r="V1050">
        <v>5.8502400000000003E-2</v>
      </c>
      <c r="W1050">
        <v>3.4139500000000003E-2</v>
      </c>
      <c r="X1050">
        <v>0.99770340000000002</v>
      </c>
      <c r="Y1050">
        <v>-9.8468619999999996E-3</v>
      </c>
      <c r="Z1050">
        <v>2.721515E-2</v>
      </c>
      <c r="AA1050">
        <v>0.9995811</v>
      </c>
      <c r="AB1050">
        <v>22</v>
      </c>
      <c r="AC1050">
        <v>0.31579999999999497</v>
      </c>
      <c r="AD1050">
        <v>-1.11169191220518</v>
      </c>
      <c r="AE1050">
        <v>-40.614399999999897</v>
      </c>
      <c r="AF1050">
        <v>-0.39938334191122599</v>
      </c>
      <c r="AG1050">
        <v>-1.11169191220518</v>
      </c>
      <c r="AH1050">
        <v>40.583257224846697</v>
      </c>
      <c r="AI1050">
        <v>91.569027543510003</v>
      </c>
      <c r="AJ1050">
        <v>90.563834516772204</v>
      </c>
      <c r="AK1050">
        <v>40.6004449845015</v>
      </c>
      <c r="AL1050">
        <v>88.043570679811594</v>
      </c>
      <c r="AM1050">
        <v>86.644186186004504</v>
      </c>
      <c r="AN1050">
        <v>1.00000005531878</v>
      </c>
    </row>
    <row r="1051" spans="1:40" x14ac:dyDescent="0.25">
      <c r="A1051" t="str">
        <f>"20190312154525847"</f>
        <v>20190312154525847</v>
      </c>
      <c r="B1051" t="str">
        <f>"1552376725837389"</f>
        <v>1552376725837389</v>
      </c>
      <c r="C1051" t="s">
        <v>40</v>
      </c>
      <c r="D1051">
        <v>4.731643</v>
      </c>
      <c r="E1051">
        <v>0.47181499999999998</v>
      </c>
      <c r="F1051" t="s">
        <v>42</v>
      </c>
      <c r="G1051">
        <v>-191.73570000000001</v>
      </c>
      <c r="H1051" s="1">
        <v>-1.2518180000000001E-6</v>
      </c>
      <c r="I1051">
        <v>301.43060000000003</v>
      </c>
      <c r="J1051">
        <v>-192.27809999999999</v>
      </c>
      <c r="K1051">
        <v>1.1116159999999999</v>
      </c>
      <c r="L1051">
        <v>339.51979999999998</v>
      </c>
      <c r="M1051">
        <v>3.9956380000000002E-4</v>
      </c>
      <c r="N1051">
        <v>0</v>
      </c>
      <c r="O1051">
        <v>-0.99990590000000001</v>
      </c>
      <c r="P1051">
        <v>-5.6089559999999997E-2</v>
      </c>
      <c r="Q1051">
        <v>1.896542E-2</v>
      </c>
      <c r="R1051">
        <v>-0.99824570000000001</v>
      </c>
      <c r="S1051">
        <v>4.2831420000000002E-2</v>
      </c>
      <c r="T1051">
        <v>-8.7379810000000002E-2</v>
      </c>
      <c r="U1051">
        <v>-3.010529</v>
      </c>
      <c r="V1051">
        <v>5.63595E-2</v>
      </c>
      <c r="W1051">
        <v>3.2885159999999997E-2</v>
      </c>
      <c r="X1051">
        <v>0.9978688</v>
      </c>
      <c r="Y1051">
        <v>-1.3820219999999999E-2</v>
      </c>
      <c r="Z1051">
        <v>2.9009670000000001E-2</v>
      </c>
      <c r="AA1051">
        <v>0.99948360000000003</v>
      </c>
      <c r="AB1051">
        <v>22</v>
      </c>
      <c r="AC1051">
        <v>0.542399999999986</v>
      </c>
      <c r="AD1051">
        <v>-1.1116172518180001</v>
      </c>
      <c r="AE1051">
        <v>-38.089199999999899</v>
      </c>
      <c r="AF1051">
        <v>-0.52673091353546697</v>
      </c>
      <c r="AG1051">
        <v>-1.1116172518180001</v>
      </c>
      <c r="AH1051">
        <v>38.057005614746402</v>
      </c>
      <c r="AI1051">
        <v>91.672931897508903</v>
      </c>
      <c r="AJ1051">
        <v>90.792956012798399</v>
      </c>
      <c r="AK1051">
        <v>38.0768803177289</v>
      </c>
      <c r="AL1051">
        <v>88.115479325998194</v>
      </c>
      <c r="AM1051">
        <v>86.767376238649902</v>
      </c>
      <c r="AN1051">
        <v>0.99999998450095695</v>
      </c>
    </row>
    <row r="1052" spans="1:40" x14ac:dyDescent="0.25">
      <c r="A1052" t="str">
        <f>"20190312154525870"</f>
        <v>20190312154525870</v>
      </c>
      <c r="B1052" t="str">
        <f>"1552376725856909"</f>
        <v>1552376725856909</v>
      </c>
      <c r="C1052" t="s">
        <v>40</v>
      </c>
      <c r="D1052">
        <v>4.7670459999999997</v>
      </c>
      <c r="E1052">
        <v>0.47195730000000002</v>
      </c>
      <c r="F1052" t="s">
        <v>42</v>
      </c>
      <c r="G1052">
        <v>-191.60929999999999</v>
      </c>
      <c r="H1052" s="1">
        <v>-2.3566839999999998E-6</v>
      </c>
      <c r="I1052">
        <v>304.08440000000002</v>
      </c>
      <c r="J1052">
        <v>-192.27500000000001</v>
      </c>
      <c r="K1052">
        <v>1.1115429999999999</v>
      </c>
      <c r="L1052">
        <v>339.30309999999997</v>
      </c>
      <c r="M1052">
        <v>2.8459840000000002E-3</v>
      </c>
      <c r="N1052">
        <v>0</v>
      </c>
      <c r="O1052">
        <v>-0.99990210000000002</v>
      </c>
      <c r="P1052">
        <v>-5.2878750000000002E-2</v>
      </c>
      <c r="Q1052">
        <v>1.832257E-2</v>
      </c>
      <c r="R1052">
        <v>-0.99843309999999996</v>
      </c>
      <c r="S1052">
        <v>5.680847E-2</v>
      </c>
      <c r="T1052">
        <v>-9.4432589999999997E-2</v>
      </c>
      <c r="U1052">
        <v>-3.0102540000000002</v>
      </c>
      <c r="V1052">
        <v>5.5599559999999999E-2</v>
      </c>
      <c r="W1052">
        <v>3.2224139999999998E-2</v>
      </c>
      <c r="X1052">
        <v>0.99793299999999996</v>
      </c>
      <c r="Y1052">
        <v>-1.6013199999999998E-2</v>
      </c>
      <c r="Z1052">
        <v>3.13499E-2</v>
      </c>
      <c r="AA1052">
        <v>0.99938020000000005</v>
      </c>
      <c r="AB1052">
        <v>22</v>
      </c>
      <c r="AC1052">
        <v>0.66570000000001495</v>
      </c>
      <c r="AD1052">
        <v>-1.1115453566839999</v>
      </c>
      <c r="AE1052">
        <v>-35.218699999999899</v>
      </c>
      <c r="AF1052">
        <v>-0.56489354350265097</v>
      </c>
      <c r="AG1052">
        <v>-1.1115453566839999</v>
      </c>
      <c r="AH1052">
        <v>35.185416031020402</v>
      </c>
      <c r="AI1052">
        <v>91.809200886730594</v>
      </c>
      <c r="AJ1052">
        <v>90.919791185059395</v>
      </c>
      <c r="AK1052">
        <v>35.207501176190398</v>
      </c>
      <c r="AL1052">
        <v>88.153373077781495</v>
      </c>
      <c r="AM1052">
        <v>86.811078436141599</v>
      </c>
      <c r="AN1052">
        <v>0.99999998937996604</v>
      </c>
    </row>
    <row r="1053" spans="1:40" x14ac:dyDescent="0.25">
      <c r="A1053" t="str">
        <f>"20190312154525892"</f>
        <v>20190312154525892</v>
      </c>
      <c r="B1053" t="str">
        <f>"1552376725887164"</f>
        <v>1552376725887164</v>
      </c>
      <c r="C1053" t="s">
        <v>40</v>
      </c>
      <c r="D1053">
        <v>4.711951</v>
      </c>
      <c r="E1053">
        <v>0.47224729999999998</v>
      </c>
      <c r="F1053" t="s">
        <v>42</v>
      </c>
      <c r="G1053">
        <v>-191.50790000000001</v>
      </c>
      <c r="H1053" s="1">
        <v>-2.3397339999999999E-6</v>
      </c>
      <c r="I1053">
        <v>304.1078</v>
      </c>
      <c r="J1053">
        <v>-192.2715</v>
      </c>
      <c r="K1053">
        <v>1.111477</v>
      </c>
      <c r="L1053">
        <v>339.09</v>
      </c>
      <c r="M1053">
        <v>5.1882339999999999E-3</v>
      </c>
      <c r="N1053">
        <v>0</v>
      </c>
      <c r="O1053">
        <v>-0.99989260000000002</v>
      </c>
      <c r="P1053">
        <v>-5.0395660000000002E-2</v>
      </c>
      <c r="Q1053">
        <v>1.8766519999999998E-2</v>
      </c>
      <c r="R1053">
        <v>-0.99855309999999997</v>
      </c>
      <c r="S1053">
        <v>6.5597530000000001E-2</v>
      </c>
      <c r="T1053">
        <v>-9.5058920000000005E-2</v>
      </c>
      <c r="U1053">
        <v>-3.0098880000000001</v>
      </c>
      <c r="V1053">
        <v>5.5459139999999997E-2</v>
      </c>
      <c r="W1053">
        <v>3.265212E-2</v>
      </c>
      <c r="X1053">
        <v>0.99792689999999995</v>
      </c>
      <c r="Y1053">
        <v>-1.6590199999999999E-2</v>
      </c>
      <c r="Z1053">
        <v>3.1559919999999998E-2</v>
      </c>
      <c r="AA1053">
        <v>0.99936409999999998</v>
      </c>
      <c r="AB1053">
        <v>22</v>
      </c>
      <c r="AC1053">
        <v>0.76359999999999595</v>
      </c>
      <c r="AD1053">
        <v>-1.1114793397339999</v>
      </c>
      <c r="AE1053">
        <v>-34.982199999999899</v>
      </c>
      <c r="AF1053">
        <v>-0.58149009238578098</v>
      </c>
      <c r="AG1053">
        <v>-1.1114793397339999</v>
      </c>
      <c r="AH1053">
        <v>34.950425362321397</v>
      </c>
      <c r="AI1053">
        <v>91.821231524677501</v>
      </c>
      <c r="AJ1053">
        <v>90.953174507868397</v>
      </c>
      <c r="AK1053">
        <v>34.972928817263799</v>
      </c>
      <c r="AL1053">
        <v>88.128838714678494</v>
      </c>
      <c r="AM1053">
        <v>86.819096284443205</v>
      </c>
      <c r="AN1053">
        <v>0.99999998744682095</v>
      </c>
    </row>
    <row r="1054" spans="1:40" x14ac:dyDescent="0.25">
      <c r="A1054" t="str">
        <f>"20190312154525915"</f>
        <v>20190312154525915</v>
      </c>
      <c r="B1054" t="str">
        <f>"1552376725907660"</f>
        <v>1552376725907660</v>
      </c>
      <c r="C1054" t="s">
        <v>40</v>
      </c>
      <c r="D1054">
        <v>4.7514379999999896</v>
      </c>
      <c r="E1054">
        <v>0.4725007</v>
      </c>
      <c r="F1054" t="s">
        <v>42</v>
      </c>
      <c r="G1054">
        <v>-191.4357</v>
      </c>
      <c r="H1054" s="1">
        <v>-2.0632999999999998E-6</v>
      </c>
      <c r="I1054">
        <v>303.50819999999999</v>
      </c>
      <c r="J1054">
        <v>-192.26740000000001</v>
      </c>
      <c r="K1054">
        <v>1.111413</v>
      </c>
      <c r="L1054">
        <v>338.86320000000001</v>
      </c>
      <c r="M1054">
        <v>7.6099399999999999E-3</v>
      </c>
      <c r="N1054">
        <v>0</v>
      </c>
      <c r="O1054">
        <v>-0.99987720000000002</v>
      </c>
      <c r="P1054">
        <v>-4.7939860000000001E-2</v>
      </c>
      <c r="Q1054">
        <v>2.0212170000000002E-2</v>
      </c>
      <c r="R1054">
        <v>-0.99864569999999997</v>
      </c>
      <c r="S1054">
        <v>7.0693969999999995E-2</v>
      </c>
      <c r="T1054">
        <v>-9.4013330000000006E-2</v>
      </c>
      <c r="U1054">
        <v>-3.0096440000000002</v>
      </c>
      <c r="V1054">
        <v>5.5422279999999997E-2</v>
      </c>
      <c r="W1054">
        <v>3.4081359999999998E-2</v>
      </c>
      <c r="X1054">
        <v>0.99788120000000002</v>
      </c>
      <c r="Y1054">
        <v>-1.5862000000000001E-2</v>
      </c>
      <c r="Z1054">
        <v>3.1214519999999999E-2</v>
      </c>
      <c r="AA1054">
        <v>0.99938680000000002</v>
      </c>
      <c r="AB1054">
        <v>22</v>
      </c>
      <c r="AC1054">
        <v>0.83170000000001199</v>
      </c>
      <c r="AD1054">
        <v>-1.1114150633</v>
      </c>
      <c r="AE1054">
        <v>-35.354999999999997</v>
      </c>
      <c r="AF1054">
        <v>-0.56204611926950898</v>
      </c>
      <c r="AG1054">
        <v>-1.1114150633</v>
      </c>
      <c r="AH1054">
        <v>35.325416096319799</v>
      </c>
      <c r="AI1054">
        <v>91.801828539487104</v>
      </c>
      <c r="AJ1054">
        <v>90.9115293509618</v>
      </c>
      <c r="AK1054">
        <v>35.347364281672299</v>
      </c>
      <c r="AL1054">
        <v>88.046903744009896</v>
      </c>
      <c r="AM1054">
        <v>86.821060801636094</v>
      </c>
      <c r="AN1054">
        <v>1.00000002876664</v>
      </c>
    </row>
    <row r="1055" spans="1:40" x14ac:dyDescent="0.25">
      <c r="A1055" t="str">
        <f>"20190312154525937"</f>
        <v>20190312154525937</v>
      </c>
      <c r="B1055" t="str">
        <f>"1552376725927180"</f>
        <v>1552376725927180</v>
      </c>
      <c r="C1055" t="s">
        <v>40</v>
      </c>
      <c r="D1055">
        <v>4.7515710000000002</v>
      </c>
      <c r="E1055">
        <v>0.47280050000000001</v>
      </c>
      <c r="F1055" t="s">
        <v>42</v>
      </c>
      <c r="G1055">
        <v>-191.3398</v>
      </c>
      <c r="H1055" s="1">
        <v>-1.400286E-6</v>
      </c>
      <c r="I1055">
        <v>302.0222</v>
      </c>
      <c r="J1055">
        <v>-192.2629</v>
      </c>
      <c r="K1055">
        <v>1.1113519999999999</v>
      </c>
      <c r="L1055">
        <v>338.64190000000002</v>
      </c>
      <c r="M1055">
        <v>9.9032149999999999E-3</v>
      </c>
      <c r="N1055">
        <v>0</v>
      </c>
      <c r="O1055">
        <v>-0.99985710000000005</v>
      </c>
      <c r="P1055">
        <v>-4.629146E-2</v>
      </c>
      <c r="Q1055">
        <v>2.1450810000000001E-2</v>
      </c>
      <c r="R1055">
        <v>-0.99869750000000002</v>
      </c>
      <c r="S1055">
        <v>7.5775149999999999E-2</v>
      </c>
      <c r="T1055">
        <v>-9.0791940000000002E-2</v>
      </c>
      <c r="U1055">
        <v>-3.0095519999999998</v>
      </c>
      <c r="V1055">
        <v>5.6065259999999999E-2</v>
      </c>
      <c r="W1055">
        <v>3.5306089999999998E-2</v>
      </c>
      <c r="X1055">
        <v>0.99780270000000004</v>
      </c>
      <c r="Y1055">
        <v>-1.5256560000000001E-2</v>
      </c>
      <c r="Z1055">
        <v>3.0145470000000001E-2</v>
      </c>
      <c r="AA1055">
        <v>0.99942909999999996</v>
      </c>
      <c r="AB1055">
        <v>22</v>
      </c>
      <c r="AC1055">
        <v>0.92310000000000503</v>
      </c>
      <c r="AD1055">
        <v>-1.1113534002859999</v>
      </c>
      <c r="AE1055">
        <v>-36.619700000000002</v>
      </c>
      <c r="AF1055">
        <v>-0.55985260651256996</v>
      </c>
      <c r="AG1055">
        <v>-1.1113534002859999</v>
      </c>
      <c r="AH1055">
        <v>36.593364157569098</v>
      </c>
      <c r="AI1055">
        <v>91.739354942539194</v>
      </c>
      <c r="AJ1055">
        <v>90.876516544472096</v>
      </c>
      <c r="AK1055">
        <v>36.614516816282197</v>
      </c>
      <c r="AL1055">
        <v>87.976689616089701</v>
      </c>
      <c r="AM1055">
        <v>86.784004927401796</v>
      </c>
      <c r="AN1055">
        <v>1.0000000307486201</v>
      </c>
    </row>
    <row r="1056" spans="1:40" x14ac:dyDescent="0.25">
      <c r="A1056" t="str">
        <f>"20190312154525981"</f>
        <v>20190312154525981</v>
      </c>
      <c r="B1056" t="str">
        <f>"1552376725976956"</f>
        <v>1552376725976956</v>
      </c>
      <c r="C1056" t="s">
        <v>40</v>
      </c>
      <c r="D1056">
        <v>4.6202399999999999</v>
      </c>
      <c r="E1056">
        <v>0.47355720000000001</v>
      </c>
      <c r="F1056" t="s">
        <v>42</v>
      </c>
      <c r="G1056">
        <v>-191.27170000000001</v>
      </c>
      <c r="H1056" s="1">
        <v>-7.0244039999999995E-7</v>
      </c>
      <c r="I1056">
        <v>300.43779999999998</v>
      </c>
      <c r="J1056">
        <v>-192.2534</v>
      </c>
      <c r="K1056">
        <v>1.1112379999999999</v>
      </c>
      <c r="L1056">
        <v>338.22739999999999</v>
      </c>
      <c r="M1056">
        <v>1.400995E-2</v>
      </c>
      <c r="N1056">
        <v>0</v>
      </c>
      <c r="O1056">
        <v>-0.99980820000000004</v>
      </c>
      <c r="P1056">
        <v>-4.4987770000000003E-2</v>
      </c>
      <c r="Q1056">
        <v>2.1515590000000001E-2</v>
      </c>
      <c r="R1056">
        <v>-0.99875570000000002</v>
      </c>
      <c r="S1056">
        <v>7.8079220000000005E-2</v>
      </c>
      <c r="T1056">
        <v>-8.7542179999999997E-2</v>
      </c>
      <c r="U1056">
        <v>-3.009369</v>
      </c>
      <c r="V1056">
        <v>5.8872059999999997E-2</v>
      </c>
      <c r="W1056">
        <v>3.5349449999999998E-2</v>
      </c>
      <c r="X1056">
        <v>0.99763950000000001</v>
      </c>
      <c r="Y1056">
        <v>-1.1916609999999999E-2</v>
      </c>
      <c r="Z1056">
        <v>2.906738E-2</v>
      </c>
      <c r="AA1056">
        <v>0.99950640000000002</v>
      </c>
      <c r="AB1056">
        <v>22</v>
      </c>
      <c r="AC1056">
        <v>0.98169999999998903</v>
      </c>
      <c r="AD1056">
        <v>-1.1112387024404</v>
      </c>
      <c r="AE1056">
        <v>-37.7896</v>
      </c>
      <c r="AF1056">
        <v>-0.45173328874135699</v>
      </c>
      <c r="AG1056">
        <v>-1.1112387024404</v>
      </c>
      <c r="AH1056">
        <v>37.767009872322703</v>
      </c>
      <c r="AI1056">
        <v>91.685237290735401</v>
      </c>
      <c r="AJ1056">
        <v>90.685285300556203</v>
      </c>
      <c r="AK1056">
        <v>37.786054955685501</v>
      </c>
      <c r="AL1056">
        <v>87.974203733125805</v>
      </c>
      <c r="AM1056">
        <v>86.622814875696804</v>
      </c>
      <c r="AN1056">
        <v>1.0000000375120901</v>
      </c>
    </row>
    <row r="1057" spans="1:40" x14ac:dyDescent="0.25">
      <c r="A1057" t="str">
        <f>"20190312154526003"</f>
        <v>20190312154526003</v>
      </c>
      <c r="B1057" t="str">
        <f>"1552376725997452"</f>
        <v>1552376725997452</v>
      </c>
      <c r="C1057" t="s">
        <v>40</v>
      </c>
      <c r="D1057">
        <v>4.6146180000000001</v>
      </c>
      <c r="E1057">
        <v>0.47383389999999997</v>
      </c>
      <c r="F1057" t="s">
        <v>42</v>
      </c>
      <c r="G1057">
        <v>-191.30629999999999</v>
      </c>
      <c r="H1057" s="1">
        <v>-8.5379869999999897E-7</v>
      </c>
      <c r="I1057">
        <v>300.76909999999998</v>
      </c>
      <c r="J1057">
        <v>-192.24780000000001</v>
      </c>
      <c r="K1057">
        <v>1.1111819999999999</v>
      </c>
      <c r="L1057">
        <v>338.00760000000002</v>
      </c>
      <c r="M1057">
        <v>1.6097259999999999E-2</v>
      </c>
      <c r="N1057">
        <v>0</v>
      </c>
      <c r="O1057">
        <v>-0.99977680000000002</v>
      </c>
      <c r="P1057">
        <v>-4.422806E-2</v>
      </c>
      <c r="Q1057">
        <v>2.20647E-2</v>
      </c>
      <c r="R1057">
        <v>-0.9987779</v>
      </c>
      <c r="S1057">
        <v>7.6080320000000007E-2</v>
      </c>
      <c r="T1057">
        <v>-8.9266899999999996E-2</v>
      </c>
      <c r="U1057">
        <v>-3.009064</v>
      </c>
      <c r="V1057">
        <v>6.0199589999999997E-2</v>
      </c>
      <c r="W1057">
        <v>3.5886990000000001E-2</v>
      </c>
      <c r="X1057">
        <v>0.99754109999999996</v>
      </c>
      <c r="Y1057">
        <v>-9.1676299999999995E-3</v>
      </c>
      <c r="Z1057">
        <v>2.9641839999999999E-2</v>
      </c>
      <c r="AA1057">
        <v>0.99951849999999998</v>
      </c>
      <c r="AB1057">
        <v>22</v>
      </c>
      <c r="AC1057">
        <v>0.94150000000001899</v>
      </c>
      <c r="AD1057">
        <v>-1.1111828537987001</v>
      </c>
      <c r="AE1057">
        <v>-37.238500000000002</v>
      </c>
      <c r="AF1057">
        <v>-0.34158009767660202</v>
      </c>
      <c r="AG1057">
        <v>-1.1111828537987001</v>
      </c>
      <c r="AH1057">
        <v>37.215715297034102</v>
      </c>
      <c r="AI1057">
        <v>91.710151180590103</v>
      </c>
      <c r="AJ1057">
        <v>90.525867856090997</v>
      </c>
      <c r="AK1057">
        <v>37.233867236262199</v>
      </c>
      <c r="AL1057">
        <v>87.943385444374201</v>
      </c>
      <c r="AM1057">
        <v>86.546503804981597</v>
      </c>
      <c r="AN1057">
        <v>1.00000005643831</v>
      </c>
    </row>
    <row r="1058" spans="1:40" x14ac:dyDescent="0.25">
      <c r="A1058" t="str">
        <f>"20190312154526028"</f>
        <v>20190312154526028</v>
      </c>
      <c r="B1058" t="str">
        <f>"1552376726016972"</f>
        <v>1552376726016972</v>
      </c>
      <c r="C1058" t="s">
        <v>40</v>
      </c>
      <c r="D1058">
        <v>4.5521159999999998</v>
      </c>
      <c r="E1058">
        <v>0.47409309999999899</v>
      </c>
      <c r="F1058" t="s">
        <v>42</v>
      </c>
      <c r="G1058">
        <v>-191.2826</v>
      </c>
      <c r="H1058" s="1">
        <v>-4.6596919999999999E-7</v>
      </c>
      <c r="I1058">
        <v>299.87979999999999</v>
      </c>
      <c r="J1058">
        <v>-192.24160000000001</v>
      </c>
      <c r="K1058">
        <v>1.1111340000000001</v>
      </c>
      <c r="L1058">
        <v>337.779</v>
      </c>
      <c r="M1058">
        <v>1.8174119999999998E-2</v>
      </c>
      <c r="N1058">
        <v>0</v>
      </c>
      <c r="O1058">
        <v>-0.99974130000000005</v>
      </c>
      <c r="P1058">
        <v>-4.3394009999999997E-2</v>
      </c>
      <c r="Q1058">
        <v>2.3186209999999999E-2</v>
      </c>
      <c r="R1058">
        <v>-0.99878900000000004</v>
      </c>
      <c r="S1058">
        <v>7.6171879999999997E-2</v>
      </c>
      <c r="T1058">
        <v>-8.769238E-2</v>
      </c>
      <c r="U1058">
        <v>-3.008972</v>
      </c>
      <c r="V1058">
        <v>6.144086E-2</v>
      </c>
      <c r="W1058">
        <v>3.6995859999999998E-2</v>
      </c>
      <c r="X1058">
        <v>0.9974248</v>
      </c>
      <c r="Y1058">
        <v>-7.1218949999999996E-3</v>
      </c>
      <c r="Z1058">
        <v>2.9119019999999999E-2</v>
      </c>
      <c r="AA1058">
        <v>0.99955059999999996</v>
      </c>
      <c r="AB1058">
        <v>22</v>
      </c>
      <c r="AC1058">
        <v>0.95900000000000296</v>
      </c>
      <c r="AD1058">
        <v>-1.1111344659692</v>
      </c>
      <c r="AE1058">
        <v>-37.8992</v>
      </c>
      <c r="AF1058">
        <v>-0.269760822513397</v>
      </c>
      <c r="AG1058">
        <v>-1.1111344659692</v>
      </c>
      <c r="AH1058">
        <v>37.877832687806603</v>
      </c>
      <c r="AI1058">
        <v>91.680229462053404</v>
      </c>
      <c r="AJ1058">
        <v>90.408045925601698</v>
      </c>
      <c r="AK1058">
        <v>37.895086750505001</v>
      </c>
      <c r="AL1058">
        <v>87.879809425121394</v>
      </c>
      <c r="AM1058">
        <v>86.475063097114003</v>
      </c>
      <c r="AN1058">
        <v>0.99999995229485805</v>
      </c>
    </row>
    <row r="1059" spans="1:40" x14ac:dyDescent="0.25">
      <c r="A1059" t="str">
        <f>"20190312154526048"</f>
        <v>20190312154526048</v>
      </c>
      <c r="B1059" t="str">
        <f>"1552376726037469"</f>
        <v>1552376726037469</v>
      </c>
      <c r="C1059" t="s">
        <v>40</v>
      </c>
      <c r="D1059">
        <v>4.5443009999999999</v>
      </c>
      <c r="E1059">
        <v>0.47435890000000003</v>
      </c>
      <c r="F1059" t="s">
        <v>53</v>
      </c>
      <c r="G1059">
        <v>-191.22130000000001</v>
      </c>
      <c r="H1059" s="1">
        <v>4.8414209999999999E-7</v>
      </c>
      <c r="I1059">
        <v>297.92970000000003</v>
      </c>
      <c r="J1059">
        <v>-192.23589999999999</v>
      </c>
      <c r="K1059">
        <v>1.111089</v>
      </c>
      <c r="L1059">
        <v>337.58089999999999</v>
      </c>
      <c r="M1059">
        <v>1.9898639999999999E-2</v>
      </c>
      <c r="N1059">
        <v>0</v>
      </c>
      <c r="O1059">
        <v>-0.99970879999999995</v>
      </c>
      <c r="P1059">
        <v>-4.2913560000000003E-2</v>
      </c>
      <c r="Q1059">
        <v>2.4832460000000001E-2</v>
      </c>
      <c r="R1059">
        <v>-0.99877039999999995</v>
      </c>
      <c r="S1059">
        <v>7.704163E-2</v>
      </c>
      <c r="T1059">
        <v>-8.3900450000000001E-2</v>
      </c>
      <c r="U1059">
        <v>-3.008972</v>
      </c>
      <c r="V1059">
        <v>6.2681829999999994E-2</v>
      </c>
      <c r="W1059">
        <v>3.8630230000000002E-2</v>
      </c>
      <c r="X1059">
        <v>0.99728570000000005</v>
      </c>
      <c r="Y1059">
        <v>-5.6865969999999998E-3</v>
      </c>
      <c r="Z1059">
        <v>2.785953E-2</v>
      </c>
      <c r="AA1059">
        <v>0.99959569999999998</v>
      </c>
      <c r="AB1059">
        <v>22</v>
      </c>
      <c r="AC1059">
        <v>1.01459999999997</v>
      </c>
      <c r="AD1059">
        <v>-1.1110885158579</v>
      </c>
      <c r="AE1059">
        <v>-39.651199999999903</v>
      </c>
      <c r="AF1059">
        <v>-0.22514392128156799</v>
      </c>
      <c r="AG1059">
        <v>-1.1110885158579</v>
      </c>
      <c r="AH1059">
        <v>39.632439396953302</v>
      </c>
      <c r="AI1059">
        <v>91.605830652974603</v>
      </c>
      <c r="AJ1059">
        <v>90.325482304553105</v>
      </c>
      <c r="AK1059">
        <v>39.648650166538303</v>
      </c>
      <c r="AL1059">
        <v>87.7861000763737</v>
      </c>
      <c r="AM1059">
        <v>86.403551866519905</v>
      </c>
      <c r="AN1059">
        <v>1.00000003695324</v>
      </c>
    </row>
    <row r="1060" spans="1:40" x14ac:dyDescent="0.25">
      <c r="A1060" t="str">
        <f>"20190312154526070"</f>
        <v>20190312154526070</v>
      </c>
      <c r="B1060" t="str">
        <f>"1552376726056992"</f>
        <v>1552376726056992</v>
      </c>
      <c r="C1060" t="s">
        <v>40</v>
      </c>
      <c r="D1060">
        <v>4.477957</v>
      </c>
      <c r="E1060">
        <v>0.4746474</v>
      </c>
      <c r="F1060" t="s">
        <v>53</v>
      </c>
      <c r="G1060">
        <v>-191.14760000000001</v>
      </c>
      <c r="H1060" s="1">
        <v>1.5831130000000001E-6</v>
      </c>
      <c r="I1060">
        <v>294.83940000000001</v>
      </c>
      <c r="J1060">
        <v>-192.2294</v>
      </c>
      <c r="K1060">
        <v>1.1110370000000001</v>
      </c>
      <c r="L1060">
        <v>337.36270000000002</v>
      </c>
      <c r="M1060">
        <v>2.1720929999999999E-2</v>
      </c>
      <c r="N1060">
        <v>0</v>
      </c>
      <c r="O1060">
        <v>-0.99967070000000002</v>
      </c>
      <c r="P1060">
        <v>-4.2365899999999998E-2</v>
      </c>
      <c r="Q1060">
        <v>2.6629449999999999E-2</v>
      </c>
      <c r="R1060">
        <v>-0.99874719999999995</v>
      </c>
      <c r="S1060">
        <v>7.6614379999999996E-2</v>
      </c>
      <c r="T1060">
        <v>-7.8219769999999994E-2</v>
      </c>
      <c r="U1060">
        <v>-3.008972</v>
      </c>
      <c r="V1060">
        <v>6.3953380000000004E-2</v>
      </c>
      <c r="W1060">
        <v>4.0413640000000001E-2</v>
      </c>
      <c r="X1060">
        <v>0.99713430000000003</v>
      </c>
      <c r="Y1060">
        <v>-3.7232110000000001E-3</v>
      </c>
      <c r="Z1060">
        <v>2.5973240000000002E-2</v>
      </c>
      <c r="AA1060">
        <v>0.99965570000000004</v>
      </c>
      <c r="AB1060">
        <v>22</v>
      </c>
      <c r="AC1060">
        <v>1.0817999999999801</v>
      </c>
      <c r="AD1060">
        <v>-1.111035416887</v>
      </c>
      <c r="AE1060">
        <v>-42.523299999999999</v>
      </c>
      <c r="AF1060">
        <v>-0.15770528371904199</v>
      </c>
      <c r="AG1060">
        <v>-1.111035416887</v>
      </c>
      <c r="AH1060">
        <v>42.507766206401598</v>
      </c>
      <c r="AI1060">
        <v>91.497201995891004</v>
      </c>
      <c r="AJ1060">
        <v>90.212568349579698</v>
      </c>
      <c r="AK1060">
        <v>42.522575868733398</v>
      </c>
      <c r="AL1060">
        <v>87.683838344649701</v>
      </c>
      <c r="AM1060">
        <v>86.330236839709897</v>
      </c>
      <c r="AN1060">
        <v>1.00000005467398</v>
      </c>
    </row>
    <row r="1061" spans="1:40" x14ac:dyDescent="0.25">
      <c r="A1061" t="str">
        <f>"20190312154526115"</f>
        <v>20190312154526115</v>
      </c>
      <c r="B1061" t="str">
        <f>"1552376726107740"</f>
        <v>1552376726107740</v>
      </c>
      <c r="C1061" t="s">
        <v>40</v>
      </c>
      <c r="D1061">
        <v>4.4329340000000004</v>
      </c>
      <c r="E1061">
        <v>0.47534660000000001</v>
      </c>
      <c r="F1061" t="s">
        <v>53</v>
      </c>
      <c r="G1061">
        <v>-191.05199999999999</v>
      </c>
      <c r="H1061" s="1">
        <v>2.9194229999999999E-6</v>
      </c>
      <c r="I1061">
        <v>290.80860000000001</v>
      </c>
      <c r="J1061">
        <v>-192.2158</v>
      </c>
      <c r="K1061">
        <v>1.110914</v>
      </c>
      <c r="L1061">
        <v>336.93920000000003</v>
      </c>
      <c r="M1061">
        <v>2.4995380000000001E-2</v>
      </c>
      <c r="N1061">
        <v>0</v>
      </c>
      <c r="O1061">
        <v>-0.99959430000000005</v>
      </c>
      <c r="P1061">
        <v>-4.0831640000000002E-2</v>
      </c>
      <c r="Q1061">
        <v>2.815105E-2</v>
      </c>
      <c r="R1061">
        <v>-0.99876940000000003</v>
      </c>
      <c r="S1061">
        <v>7.6095579999999996E-2</v>
      </c>
      <c r="T1061">
        <v>-7.1808220000000006E-2</v>
      </c>
      <c r="U1061">
        <v>-3.0088810000000001</v>
      </c>
      <c r="V1061">
        <v>6.569593E-2</v>
      </c>
      <c r="W1061">
        <v>4.1906789999999999E-2</v>
      </c>
      <c r="X1061">
        <v>0.99695929999999999</v>
      </c>
      <c r="Y1061">
        <v>-2.7743800000000002E-4</v>
      </c>
      <c r="Z1061">
        <v>2.3843650000000001E-2</v>
      </c>
      <c r="AA1061">
        <v>0.99971569999999998</v>
      </c>
      <c r="AB1061">
        <v>22</v>
      </c>
      <c r="AC1061">
        <v>1.16379999999998</v>
      </c>
      <c r="AD1061">
        <v>-1.1109110805769999</v>
      </c>
      <c r="AE1061">
        <v>-46.130600000000001</v>
      </c>
      <c r="AF1061">
        <v>-1.02709751835119E-2</v>
      </c>
      <c r="AG1061">
        <v>-1.1109110805769999</v>
      </c>
      <c r="AH1061">
        <v>46.118548096898003</v>
      </c>
      <c r="AI1061">
        <v>91.379883166633903</v>
      </c>
      <c r="AJ1061">
        <v>90.012760235177595</v>
      </c>
      <c r="AK1061">
        <v>46.131927203269697</v>
      </c>
      <c r="AL1061">
        <v>87.598214431818306</v>
      </c>
      <c r="AM1061">
        <v>86.229870808173104</v>
      </c>
      <c r="AN1061">
        <v>0.99999999006157902</v>
      </c>
    </row>
    <row r="1062" spans="1:40" x14ac:dyDescent="0.25">
      <c r="A1062" t="str">
        <f>"20190312154526138"</f>
        <v>20190312154526138</v>
      </c>
      <c r="B1062" t="str">
        <f>"1552376726127262"</f>
        <v>1552376726127262</v>
      </c>
      <c r="C1062" t="s">
        <v>40</v>
      </c>
      <c r="D1062">
        <v>4.3718399999999997</v>
      </c>
      <c r="E1062">
        <v>0.4756359</v>
      </c>
      <c r="F1062" t="s">
        <v>53</v>
      </c>
      <c r="G1062">
        <v>-190.94589999999999</v>
      </c>
      <c r="H1062" s="1">
        <v>3.6440909999999999E-6</v>
      </c>
      <c r="I1062">
        <v>286.36329999999998</v>
      </c>
      <c r="J1062">
        <v>-192.20820000000001</v>
      </c>
      <c r="K1062">
        <v>1.1108450000000001</v>
      </c>
      <c r="L1062">
        <v>336.71339999999998</v>
      </c>
      <c r="M1062">
        <v>2.658313E-2</v>
      </c>
      <c r="N1062">
        <v>0</v>
      </c>
      <c r="O1062">
        <v>-0.99955360000000004</v>
      </c>
      <c r="P1062">
        <v>-3.9741459999999999E-2</v>
      </c>
      <c r="Q1062">
        <v>2.8310849999999999E-2</v>
      </c>
      <c r="R1062">
        <v>-0.9988089</v>
      </c>
      <c r="S1062">
        <v>7.5546260000000004E-2</v>
      </c>
      <c r="T1062">
        <v>-6.6085340000000006E-2</v>
      </c>
      <c r="U1062">
        <v>-3.0086360000000001</v>
      </c>
      <c r="V1062">
        <v>6.6198220000000002E-2</v>
      </c>
      <c r="W1062">
        <v>4.2050669999999998E-2</v>
      </c>
      <c r="X1062">
        <v>0.99692000000000003</v>
      </c>
      <c r="Y1062">
        <v>1.4902509999999999E-3</v>
      </c>
      <c r="Z1062">
        <v>2.1944809999999999E-2</v>
      </c>
      <c r="AA1062">
        <v>0.99975809999999998</v>
      </c>
      <c r="AB1062">
        <v>22</v>
      </c>
      <c r="AC1062">
        <v>1.26230000000001</v>
      </c>
      <c r="AD1062">
        <v>-1.110841355909</v>
      </c>
      <c r="AE1062">
        <v>-50.350099999999998</v>
      </c>
      <c r="AF1062">
        <v>7.6696570347180207E-2</v>
      </c>
      <c r="AG1062">
        <v>-1.110841355909</v>
      </c>
      <c r="AH1062">
        <v>50.3413741518143</v>
      </c>
      <c r="AI1062">
        <v>91.264091842813002</v>
      </c>
      <c r="AJ1062">
        <v>89.912708255226093</v>
      </c>
      <c r="AK1062">
        <v>50.353687078255298</v>
      </c>
      <c r="AL1062">
        <v>87.589963404934494</v>
      </c>
      <c r="AM1062">
        <v>86.200980377067694</v>
      </c>
      <c r="AN1062">
        <v>0.99999997478930802</v>
      </c>
    </row>
    <row r="1063" spans="1:40" x14ac:dyDescent="0.25">
      <c r="A1063" t="str">
        <f>"20190312154526161"</f>
        <v>20190312154526161</v>
      </c>
      <c r="B1063" t="str">
        <f>"1552376726147756"</f>
        <v>1552376726147756</v>
      </c>
      <c r="C1063" t="s">
        <v>40</v>
      </c>
      <c r="D1063">
        <v>4.3816540000000002</v>
      </c>
      <c r="E1063">
        <v>0.48457840000000002</v>
      </c>
      <c r="F1063" t="s">
        <v>53</v>
      </c>
      <c r="G1063">
        <v>-190.91470000000001</v>
      </c>
      <c r="H1063" s="1">
        <v>3.7043400000000001E-6</v>
      </c>
      <c r="I1063">
        <v>285.73739999999998</v>
      </c>
      <c r="J1063">
        <v>-192.20070000000001</v>
      </c>
      <c r="K1063">
        <v>1.1107659999999999</v>
      </c>
      <c r="L1063">
        <v>336.49689999999998</v>
      </c>
      <c r="M1063">
        <v>2.7987209999999998E-2</v>
      </c>
      <c r="N1063">
        <v>0</v>
      </c>
      <c r="O1063">
        <v>-0.99951540000000005</v>
      </c>
      <c r="P1063">
        <v>-3.8416480000000003E-2</v>
      </c>
      <c r="Q1063">
        <v>2.7760960000000001E-2</v>
      </c>
      <c r="R1063">
        <v>-0.99887669999999995</v>
      </c>
      <c r="S1063">
        <v>7.633972E-2</v>
      </c>
      <c r="T1063">
        <v>-6.5559149999999997E-2</v>
      </c>
      <c r="U1063">
        <v>-3.0084840000000002</v>
      </c>
      <c r="V1063">
        <v>6.6285189999999994E-2</v>
      </c>
      <c r="W1063">
        <v>4.1483249999999999E-2</v>
      </c>
      <c r="X1063">
        <v>0.99693799999999999</v>
      </c>
      <c r="Y1063">
        <v>2.630107E-3</v>
      </c>
      <c r="Z1063">
        <v>2.1769920000000002E-2</v>
      </c>
      <c r="AA1063">
        <v>0.99975959999999997</v>
      </c>
      <c r="AB1063">
        <v>22</v>
      </c>
      <c r="AC1063">
        <v>1.286</v>
      </c>
      <c r="AD1063">
        <v>-1.1107622956599901</v>
      </c>
      <c r="AE1063">
        <v>-50.759500000000003</v>
      </c>
      <c r="AF1063">
        <v>0.13518784472665099</v>
      </c>
      <c r="AG1063">
        <v>-1.1107622956599901</v>
      </c>
      <c r="AH1063">
        <v>50.751320622358499</v>
      </c>
      <c r="AI1063">
        <v>91.253792142961601</v>
      </c>
      <c r="AJ1063">
        <v>89.847379840964706</v>
      </c>
      <c r="AK1063">
        <v>50.763654454188497</v>
      </c>
      <c r="AL1063">
        <v>87.622502586857294</v>
      </c>
      <c r="AM1063">
        <v>86.196072420175298</v>
      </c>
      <c r="AN1063">
        <v>0.99999998114394895</v>
      </c>
    </row>
    <row r="1064" spans="1:40" x14ac:dyDescent="0.25">
      <c r="A1064" t="str">
        <f>"20190312154526181"</f>
        <v>20190312154526181</v>
      </c>
      <c r="B1064" t="str">
        <f>"1552376726177037"</f>
        <v>1552376726177037</v>
      </c>
      <c r="C1064" t="s">
        <v>40</v>
      </c>
      <c r="D1064">
        <v>4.3251530000000002</v>
      </c>
      <c r="E1064">
        <v>0.48467890000000002</v>
      </c>
      <c r="F1064" t="s">
        <v>53</v>
      </c>
      <c r="G1064">
        <v>-192.03399999999999</v>
      </c>
      <c r="H1064" s="1">
        <v>3.8926359999999999E-6</v>
      </c>
      <c r="I1064">
        <v>281.31240000000003</v>
      </c>
      <c r="J1064">
        <v>-192.1935</v>
      </c>
      <c r="K1064">
        <v>1.1106849999999999</v>
      </c>
      <c r="L1064">
        <v>336.2928</v>
      </c>
      <c r="M1064">
        <v>2.9174909999999998E-2</v>
      </c>
      <c r="N1064">
        <v>0</v>
      </c>
      <c r="O1064">
        <v>-0.99948139999999996</v>
      </c>
      <c r="P1064">
        <v>-3.688164E-2</v>
      </c>
      <c r="Q1064">
        <v>2.7242289999999999E-2</v>
      </c>
      <c r="R1064">
        <v>-0.99894850000000002</v>
      </c>
      <c r="S1064">
        <v>9.0789789999999992E-3</v>
      </c>
      <c r="T1064">
        <v>-6.0492629999999999E-2</v>
      </c>
      <c r="U1064">
        <v>-3.0053709999999998</v>
      </c>
      <c r="V1064">
        <v>6.5947539999999999E-2</v>
      </c>
      <c r="W1064">
        <v>4.0945830000000003E-2</v>
      </c>
      <c r="X1064">
        <v>0.99698260000000005</v>
      </c>
      <c r="Y1064">
        <v>2.6158480000000001E-2</v>
      </c>
      <c r="Z1064">
        <v>2.0107759999999999E-2</v>
      </c>
      <c r="AA1064">
        <v>0.9994556</v>
      </c>
      <c r="AB1064">
        <v>21</v>
      </c>
      <c r="AC1064">
        <v>0.15949999999997999</v>
      </c>
      <c r="AD1064">
        <v>-1.1106811073639999</v>
      </c>
      <c r="AE1064">
        <v>-54.980399999999896</v>
      </c>
      <c r="AF1064">
        <v>1.4441757730951801</v>
      </c>
      <c r="AG1064">
        <v>-1.1106811073639999</v>
      </c>
      <c r="AH1064">
        <v>54.939225196275302</v>
      </c>
      <c r="AI1064">
        <v>91.157764890939703</v>
      </c>
      <c r="AJ1064">
        <v>88.494224746801805</v>
      </c>
      <c r="AK1064">
        <v>54.969425332205397</v>
      </c>
      <c r="AL1064">
        <v>87.653320649364005</v>
      </c>
      <c r="AM1064">
        <v>86.215561595312195</v>
      </c>
      <c r="AN1064">
        <v>0.99999997186459899</v>
      </c>
    </row>
    <row r="1065" spans="1:40" x14ac:dyDescent="0.25">
      <c r="A1065" t="str">
        <f>"20190312154526203"</f>
        <v>20190312154526203</v>
      </c>
      <c r="B1065" t="str">
        <f>"1552376726197532"</f>
        <v>1552376726197532</v>
      </c>
      <c r="C1065" t="s">
        <v>40</v>
      </c>
      <c r="D1065">
        <v>4.3387149999999997</v>
      </c>
      <c r="E1065">
        <v>0.48484759999999999</v>
      </c>
      <c r="F1065" t="s">
        <v>53</v>
      </c>
      <c r="G1065">
        <v>-191.9633</v>
      </c>
      <c r="H1065" s="1">
        <v>3.8627579999999998E-6</v>
      </c>
      <c r="I1065">
        <v>281.79759999999999</v>
      </c>
      <c r="J1065">
        <v>-192.18639999999999</v>
      </c>
      <c r="K1065">
        <v>1.110598</v>
      </c>
      <c r="L1065">
        <v>336.09300000000002</v>
      </c>
      <c r="M1065">
        <v>3.0202969999999999E-2</v>
      </c>
      <c r="N1065">
        <v>0</v>
      </c>
      <c r="O1065">
        <v>-0.99945090000000003</v>
      </c>
      <c r="P1065">
        <v>-3.5555360000000001E-2</v>
      </c>
      <c r="Q1065">
        <v>2.8124699999999999E-2</v>
      </c>
      <c r="R1065">
        <v>-0.99897199999999997</v>
      </c>
      <c r="S1065">
        <v>1.269531E-2</v>
      </c>
      <c r="T1065">
        <v>-6.1251399999999998E-2</v>
      </c>
      <c r="U1065">
        <v>-3.00528</v>
      </c>
      <c r="V1065">
        <v>6.5656539999999999E-2</v>
      </c>
      <c r="W1065">
        <v>4.1807690000000002E-2</v>
      </c>
      <c r="X1065">
        <v>0.99696609999999997</v>
      </c>
      <c r="Y1065">
        <v>2.5984009999999998E-2</v>
      </c>
      <c r="Z1065">
        <v>2.0359559999999999E-2</v>
      </c>
      <c r="AA1065">
        <v>0.99945499999999998</v>
      </c>
      <c r="AB1065">
        <v>21</v>
      </c>
      <c r="AC1065">
        <v>0.223099999999988</v>
      </c>
      <c r="AD1065">
        <v>-1.1105941372419901</v>
      </c>
      <c r="AE1065">
        <v>-54.295400000000001</v>
      </c>
      <c r="AF1065">
        <v>1.41644378414633</v>
      </c>
      <c r="AG1065">
        <v>-1.1105941372419901</v>
      </c>
      <c r="AH1065">
        <v>54.254664595541499</v>
      </c>
      <c r="AI1065">
        <v>91.172282719708093</v>
      </c>
      <c r="AJ1065">
        <v>88.504500573257999</v>
      </c>
      <c r="AK1065">
        <v>54.284513101860099</v>
      </c>
      <c r="AL1065">
        <v>87.603897530417797</v>
      </c>
      <c r="AM1065">
        <v>86.232150416196404</v>
      </c>
      <c r="AN1065">
        <v>1.00000003436855</v>
      </c>
    </row>
    <row r="1066" spans="1:40" x14ac:dyDescent="0.25">
      <c r="A1066" t="str">
        <f>"20190312154526226"</f>
        <v>20190312154526226</v>
      </c>
      <c r="B1066" t="str">
        <f>"1552376726217052"</f>
        <v>1552376726217052</v>
      </c>
      <c r="C1066" t="s">
        <v>40</v>
      </c>
      <c r="D1066">
        <v>4.3021969999999996</v>
      </c>
      <c r="E1066">
        <v>0.48514859999999999</v>
      </c>
      <c r="F1066" t="s">
        <v>53</v>
      </c>
      <c r="G1066">
        <v>-191.88300000000001</v>
      </c>
      <c r="H1066" s="1">
        <v>5.0191629999999998E-6</v>
      </c>
      <c r="I1066">
        <v>276.68329999999997</v>
      </c>
      <c r="J1066">
        <v>-192.17859999999999</v>
      </c>
      <c r="K1066">
        <v>1.110495</v>
      </c>
      <c r="L1066">
        <v>335.87520000000001</v>
      </c>
      <c r="M1066">
        <v>3.116816E-2</v>
      </c>
      <c r="N1066">
        <v>0</v>
      </c>
      <c r="O1066">
        <v>-0.99942129999999996</v>
      </c>
      <c r="P1066">
        <v>-3.4464939999999999E-2</v>
      </c>
      <c r="Q1066">
        <v>2.920418E-2</v>
      </c>
      <c r="R1066">
        <v>-0.99897919999999996</v>
      </c>
      <c r="S1066">
        <v>1.5350340000000001E-2</v>
      </c>
      <c r="T1066">
        <v>-5.6178930000000002E-2</v>
      </c>
      <c r="U1066">
        <v>-3.0052189999999999</v>
      </c>
      <c r="V1066">
        <v>6.5539429999999996E-2</v>
      </c>
      <c r="W1066">
        <v>4.2864369999999999E-2</v>
      </c>
      <c r="X1066">
        <v>0.99692890000000001</v>
      </c>
      <c r="Y1066">
        <v>2.6066200000000001E-2</v>
      </c>
      <c r="Z1066">
        <v>1.867361E-2</v>
      </c>
      <c r="AA1066">
        <v>0.99948579999999998</v>
      </c>
      <c r="AB1066">
        <v>21</v>
      </c>
      <c r="AC1066">
        <v>0.29560000000000702</v>
      </c>
      <c r="AD1066">
        <v>-1.1104899808369999</v>
      </c>
      <c r="AE1066">
        <v>-59.191899999999997</v>
      </c>
      <c r="AF1066">
        <v>1.5490722810350701</v>
      </c>
      <c r="AG1066">
        <v>-1.1104899808369999</v>
      </c>
      <c r="AH1066">
        <v>59.151531726004997</v>
      </c>
      <c r="AI1066">
        <v>91.075155866490604</v>
      </c>
      <c r="AJ1066">
        <v>88.499869411520905</v>
      </c>
      <c r="AK1066">
        <v>59.182231442063603</v>
      </c>
      <c r="AL1066">
        <v>87.543299814150103</v>
      </c>
      <c r="AM1066">
        <v>86.238711789022105</v>
      </c>
      <c r="AN1066">
        <v>1.0000000013777099</v>
      </c>
    </row>
    <row r="1067" spans="1:40" x14ac:dyDescent="0.25">
      <c r="A1067" t="str">
        <f>"20190312154526249"</f>
        <v>20190312154526249</v>
      </c>
      <c r="B1067" t="str">
        <f>"1552376726237548"</f>
        <v>1552376726237548</v>
      </c>
      <c r="C1067" t="s">
        <v>40</v>
      </c>
      <c r="D1067">
        <v>4.3299969999999997</v>
      </c>
      <c r="E1067">
        <v>0.48534519999999998</v>
      </c>
      <c r="F1067" t="s">
        <v>53</v>
      </c>
      <c r="G1067">
        <v>-191.83250000000001</v>
      </c>
      <c r="H1067" s="1">
        <v>6.4796550000000002E-6</v>
      </c>
      <c r="I1067">
        <v>272.34820000000002</v>
      </c>
      <c r="J1067">
        <v>-192.17070000000001</v>
      </c>
      <c r="K1067">
        <v>1.1104080000000001</v>
      </c>
      <c r="L1067">
        <v>335.6567</v>
      </c>
      <c r="M1067">
        <v>3.1994389999999998E-2</v>
      </c>
      <c r="N1067">
        <v>0</v>
      </c>
      <c r="O1067">
        <v>-0.99939540000000004</v>
      </c>
      <c r="P1067">
        <v>-3.3473179999999998E-2</v>
      </c>
      <c r="Q1067">
        <v>3.0221930000000001E-2</v>
      </c>
      <c r="R1067">
        <v>-0.99898279999999995</v>
      </c>
      <c r="S1067">
        <v>1.6372680000000001E-2</v>
      </c>
      <c r="T1067">
        <v>-5.2532429999999998E-2</v>
      </c>
      <c r="U1067">
        <v>-3.005188</v>
      </c>
      <c r="V1067">
        <v>6.5381690000000006E-2</v>
      </c>
      <c r="W1067">
        <v>4.3861450000000003E-2</v>
      </c>
      <c r="X1067">
        <v>0.99689589999999995</v>
      </c>
      <c r="Y1067">
        <v>2.655244E-2</v>
      </c>
      <c r="Z1067">
        <v>1.7461279999999999E-2</v>
      </c>
      <c r="AA1067">
        <v>0.99949489999999996</v>
      </c>
      <c r="AB1067">
        <v>21</v>
      </c>
      <c r="AC1067">
        <v>0.3382</v>
      </c>
      <c r="AD1067">
        <v>-1.1104015203449999</v>
      </c>
      <c r="AE1067">
        <v>-63.308499999999903</v>
      </c>
      <c r="AF1067">
        <v>1.68715858112199</v>
      </c>
      <c r="AG1067">
        <v>-1.1104015203449999</v>
      </c>
      <c r="AH1067">
        <v>63.267441877913697</v>
      </c>
      <c r="AI1067">
        <v>91.0051328908241</v>
      </c>
      <c r="AJ1067">
        <v>88.472450306693304</v>
      </c>
      <c r="AK1067">
        <v>63.299673754210097</v>
      </c>
      <c r="AL1067">
        <v>87.486117580879394</v>
      </c>
      <c r="AM1067">
        <v>86.247614692427902</v>
      </c>
      <c r="AN1067">
        <v>1.00000001381008</v>
      </c>
    </row>
    <row r="1068" spans="1:40" x14ac:dyDescent="0.25">
      <c r="A1068" t="str">
        <f>"20190312154526271"</f>
        <v>20190312154526271</v>
      </c>
      <c r="B1068" t="str">
        <f>"1552376726257068"</f>
        <v>1552376726257068</v>
      </c>
      <c r="C1068" t="s">
        <v>40</v>
      </c>
      <c r="D1068">
        <v>4.3122530000000001</v>
      </c>
      <c r="E1068">
        <v>0.4856393</v>
      </c>
      <c r="F1068" t="s">
        <v>42</v>
      </c>
      <c r="G1068">
        <v>-191.74959999999999</v>
      </c>
      <c r="H1068" s="1">
        <v>-2.973364E-6</v>
      </c>
      <c r="I1068">
        <v>265.43490000000003</v>
      </c>
      <c r="J1068">
        <v>-192.16309999999999</v>
      </c>
      <c r="K1068">
        <v>1.110349</v>
      </c>
      <c r="L1068">
        <v>335.44619999999998</v>
      </c>
      <c r="M1068">
        <v>3.2682540000000003E-2</v>
      </c>
      <c r="N1068">
        <v>0</v>
      </c>
      <c r="O1068">
        <v>-0.99937310000000001</v>
      </c>
      <c r="P1068">
        <v>-3.2914409999999998E-2</v>
      </c>
      <c r="Q1068">
        <v>3.102241E-2</v>
      </c>
      <c r="R1068">
        <v>-0.99897670000000005</v>
      </c>
      <c r="S1068">
        <v>1.8020629999999999E-2</v>
      </c>
      <c r="T1068">
        <v>-4.7519800000000001E-2</v>
      </c>
      <c r="U1068">
        <v>-3.0051269999999999</v>
      </c>
      <c r="V1068">
        <v>6.5516459999999999E-2</v>
      </c>
      <c r="W1068">
        <v>4.4646030000000003E-2</v>
      </c>
      <c r="X1068">
        <v>0.99685219999999997</v>
      </c>
      <c r="Y1068">
        <v>2.6692420000000001E-2</v>
      </c>
      <c r="Z1068">
        <v>1.579531E-2</v>
      </c>
      <c r="AA1068">
        <v>0.99951889999999999</v>
      </c>
      <c r="AB1068">
        <v>21</v>
      </c>
      <c r="AC1068">
        <v>0.41349999999999898</v>
      </c>
      <c r="AD1068">
        <v>-1.1103519733639999</v>
      </c>
      <c r="AE1068">
        <v>-70.011299999999906</v>
      </c>
      <c r="AF1068">
        <v>1.87460853253106</v>
      </c>
      <c r="AG1068">
        <v>-1.1103519733639999</v>
      </c>
      <c r="AH1068">
        <v>69.969808630192901</v>
      </c>
      <c r="AI1068">
        <v>90.9088252374913</v>
      </c>
      <c r="AJ1068">
        <v>88.465317090599697</v>
      </c>
      <c r="AK1068">
        <v>70.003722461029298</v>
      </c>
      <c r="AL1068">
        <v>87.441120318029206</v>
      </c>
      <c r="AM1068">
        <v>86.239737777669106</v>
      </c>
      <c r="AN1068">
        <v>0.99999999158526598</v>
      </c>
    </row>
    <row r="1069" spans="1:40" x14ac:dyDescent="0.25">
      <c r="A1069" t="str">
        <f>"20190312154526293"</f>
        <v>20190312154526293</v>
      </c>
      <c r="B1069" t="str">
        <f>"1552376726287324"</f>
        <v>1552376726287324</v>
      </c>
      <c r="C1069" t="s">
        <v>40</v>
      </c>
      <c r="D1069">
        <v>4.2987089999999997</v>
      </c>
      <c r="E1069">
        <v>0.48603150000000001</v>
      </c>
      <c r="F1069" t="s">
        <v>42</v>
      </c>
      <c r="G1069">
        <v>-191.7286</v>
      </c>
      <c r="H1069" s="1">
        <v>-1.5165469999999901E-6</v>
      </c>
      <c r="I1069">
        <v>262.0521</v>
      </c>
      <c r="J1069">
        <v>-192.15539999999999</v>
      </c>
      <c r="K1069">
        <v>1.1103069999999999</v>
      </c>
      <c r="L1069">
        <v>335.23450000000003</v>
      </c>
      <c r="M1069">
        <v>3.3279950000000003E-2</v>
      </c>
      <c r="N1069">
        <v>0</v>
      </c>
      <c r="O1069">
        <v>-0.99935350000000001</v>
      </c>
      <c r="P1069">
        <v>-3.2229019999999997E-2</v>
      </c>
      <c r="Q1069">
        <v>3.1593330000000003E-2</v>
      </c>
      <c r="R1069">
        <v>-0.99898129999999996</v>
      </c>
      <c r="S1069">
        <v>1.7791749999999999E-2</v>
      </c>
      <c r="T1069">
        <v>-4.5462009999999997E-2</v>
      </c>
      <c r="U1069">
        <v>-3.0050349999999999</v>
      </c>
      <c r="V1069">
        <v>6.5432710000000005E-2</v>
      </c>
      <c r="W1069">
        <v>4.5204800000000003E-2</v>
      </c>
      <c r="X1069">
        <v>0.99683250000000001</v>
      </c>
      <c r="Y1069">
        <v>2.736587E-2</v>
      </c>
      <c r="Z1069">
        <v>1.5111350000000001E-2</v>
      </c>
      <c r="AA1069">
        <v>0.99951120000000004</v>
      </c>
      <c r="AB1069">
        <v>21</v>
      </c>
      <c r="AC1069">
        <v>0.42679999999998502</v>
      </c>
      <c r="AD1069">
        <v>-1.1103085165469999</v>
      </c>
      <c r="AE1069">
        <v>-73.182400000000001</v>
      </c>
      <c r="AF1069">
        <v>2.0087060677322901</v>
      </c>
      <c r="AG1069">
        <v>-1.1103085165469999</v>
      </c>
      <c r="AH1069">
        <v>73.139224831409706</v>
      </c>
      <c r="AI1069">
        <v>90.869398505078394</v>
      </c>
      <c r="AJ1069">
        <v>88.426816027088705</v>
      </c>
      <c r="AK1069">
        <v>73.175227324607306</v>
      </c>
      <c r="AL1069">
        <v>87.409072750155104</v>
      </c>
      <c r="AM1069">
        <v>86.244456769077303</v>
      </c>
      <c r="AN1069">
        <v>0.999999973268616</v>
      </c>
    </row>
    <row r="1070" spans="1:40" x14ac:dyDescent="0.25">
      <c r="A1070" t="str">
        <f>"20190312154526317"</f>
        <v>20190312154526317</v>
      </c>
      <c r="B1070" t="str">
        <f>"1552376726307820"</f>
        <v>1552376726307820</v>
      </c>
      <c r="C1070" t="s">
        <v>40</v>
      </c>
      <c r="D1070">
        <v>4.2866049999999998</v>
      </c>
      <c r="E1070">
        <v>0.48633399999999999</v>
      </c>
      <c r="F1070" t="s">
        <v>42</v>
      </c>
      <c r="G1070">
        <v>-191.73599999999999</v>
      </c>
      <c r="H1070" s="1">
        <v>-1.0216150000000001E-6</v>
      </c>
      <c r="I1070">
        <v>260.8938</v>
      </c>
      <c r="J1070">
        <v>-192.14699999999999</v>
      </c>
      <c r="K1070">
        <v>1.1102730000000001</v>
      </c>
      <c r="L1070">
        <v>335.00420000000003</v>
      </c>
      <c r="M1070">
        <v>3.384123E-2</v>
      </c>
      <c r="N1070">
        <v>0</v>
      </c>
      <c r="O1070">
        <v>-0.99933459999999996</v>
      </c>
      <c r="P1070">
        <v>-3.1791199999999999E-2</v>
      </c>
      <c r="Q1070">
        <v>3.2752429999999999E-2</v>
      </c>
      <c r="R1070">
        <v>-0.99895780000000001</v>
      </c>
      <c r="S1070">
        <v>1.695251E-2</v>
      </c>
      <c r="T1070">
        <v>-4.4881820000000003E-2</v>
      </c>
      <c r="U1070">
        <v>-3.0050659999999998</v>
      </c>
      <c r="V1070">
        <v>6.5558050000000007E-2</v>
      </c>
      <c r="W1070">
        <v>4.6352289999999997E-2</v>
      </c>
      <c r="X1070">
        <v>0.99677159999999998</v>
      </c>
      <c r="Y1070">
        <v>2.8206459999999999E-2</v>
      </c>
      <c r="Z1070">
        <v>1.49178E-2</v>
      </c>
      <c r="AA1070">
        <v>0.99949080000000001</v>
      </c>
      <c r="AB1070">
        <v>21</v>
      </c>
      <c r="AC1070">
        <v>0.41100000000002901</v>
      </c>
      <c r="AD1070">
        <v>-1.110274021615</v>
      </c>
      <c r="AE1070">
        <v>-74.110399999999998</v>
      </c>
      <c r="AF1070">
        <v>2.09698409482565</v>
      </c>
      <c r="AG1070">
        <v>-1.110274021615</v>
      </c>
      <c r="AH1070">
        <v>74.065230572763994</v>
      </c>
      <c r="AI1070">
        <v>90.858483461262395</v>
      </c>
      <c r="AJ1070">
        <v>88.378237009115693</v>
      </c>
      <c r="AK1070">
        <v>74.103228205616801</v>
      </c>
      <c r="AL1070">
        <v>87.343257502141199</v>
      </c>
      <c r="AM1070">
        <v>86.237054232199895</v>
      </c>
      <c r="AN1070">
        <v>1.0000000076372999</v>
      </c>
    </row>
    <row r="1071" spans="1:40" x14ac:dyDescent="0.25">
      <c r="A1071" t="str">
        <f>"20190312154526362"</f>
        <v>20190312154526362</v>
      </c>
      <c r="B1071" t="str">
        <f>"1552376726357596"</f>
        <v>1552376726357596</v>
      </c>
      <c r="C1071" t="s">
        <v>40</v>
      </c>
      <c r="D1071">
        <v>4.3140450000000001</v>
      </c>
      <c r="E1071">
        <v>0.48687740000000002</v>
      </c>
      <c r="F1071" t="s">
        <v>42</v>
      </c>
      <c r="G1071">
        <v>-191.72280000000001</v>
      </c>
      <c r="H1071" s="1">
        <v>-2.5061239999999998E-6</v>
      </c>
      <c r="I1071">
        <v>254.36240000000001</v>
      </c>
      <c r="J1071">
        <v>-192.13140000000001</v>
      </c>
      <c r="K1071">
        <v>1.1102320000000001</v>
      </c>
      <c r="L1071">
        <v>334.58150000000001</v>
      </c>
      <c r="M1071">
        <v>3.471805E-2</v>
      </c>
      <c r="N1071">
        <v>0</v>
      </c>
      <c r="O1071">
        <v>-0.99930490000000005</v>
      </c>
      <c r="P1071">
        <v>-3.2948180000000001E-2</v>
      </c>
      <c r="Q1071">
        <v>3.4627169999999999E-2</v>
      </c>
      <c r="R1071">
        <v>-0.99885740000000001</v>
      </c>
      <c r="S1071">
        <v>1.580811E-2</v>
      </c>
      <c r="T1071">
        <v>-4.1372899999999997E-2</v>
      </c>
      <c r="U1071">
        <v>-3.0050050000000001</v>
      </c>
      <c r="V1071">
        <v>6.7591150000000003E-2</v>
      </c>
      <c r="W1071">
        <v>4.8208920000000002E-2</v>
      </c>
      <c r="X1071">
        <v>0.99654770000000004</v>
      </c>
      <c r="Y1071">
        <v>2.9463929999999999E-2</v>
      </c>
      <c r="Z1071">
        <v>1.375116E-2</v>
      </c>
      <c r="AA1071">
        <v>0.9994712</v>
      </c>
      <c r="AB1071">
        <v>21</v>
      </c>
      <c r="AC1071">
        <v>0.40860000000000601</v>
      </c>
      <c r="AD1071">
        <v>-1.110234506124</v>
      </c>
      <c r="AE1071">
        <v>-80.219099999999997</v>
      </c>
      <c r="AF1071">
        <v>2.3764986789446301</v>
      </c>
      <c r="AG1071">
        <v>-1.110234506124</v>
      </c>
      <c r="AH1071">
        <v>80.169562051906695</v>
      </c>
      <c r="AI1071">
        <v>90.793066080143205</v>
      </c>
      <c r="AJ1071">
        <v>88.302055316438697</v>
      </c>
      <c r="AK1071">
        <v>80.212461913496497</v>
      </c>
      <c r="AL1071">
        <v>87.236761277939607</v>
      </c>
      <c r="AM1071">
        <v>86.119839027206794</v>
      </c>
      <c r="AN1071">
        <v>0.999999990950589</v>
      </c>
    </row>
    <row r="1072" spans="1:40" x14ac:dyDescent="0.25">
      <c r="A1072" t="str">
        <f>"20190312154526382"</f>
        <v>20190312154526382</v>
      </c>
      <c r="B1072" t="str">
        <f>"1552376726377116"</f>
        <v>1552376726377116</v>
      </c>
      <c r="C1072" t="s">
        <v>40</v>
      </c>
      <c r="D1072">
        <v>4.3066490000000002</v>
      </c>
      <c r="E1072">
        <v>0.4870235</v>
      </c>
      <c r="F1072" t="s">
        <v>42</v>
      </c>
      <c r="G1072">
        <v>-191.8724</v>
      </c>
      <c r="H1072" s="1">
        <v>-3.244629E-6</v>
      </c>
      <c r="I1072">
        <v>245.4016</v>
      </c>
      <c r="J1072">
        <v>-192.1241</v>
      </c>
      <c r="K1072">
        <v>1.1102179999999999</v>
      </c>
      <c r="L1072">
        <v>334.38389999999998</v>
      </c>
      <c r="M1072">
        <v>3.5093020000000003E-2</v>
      </c>
      <c r="N1072">
        <v>0</v>
      </c>
      <c r="O1072">
        <v>-0.9992915</v>
      </c>
      <c r="P1072">
        <v>-3.4080930000000002E-2</v>
      </c>
      <c r="Q1072">
        <v>3.4944650000000001E-2</v>
      </c>
      <c r="R1072">
        <v>-0.99880820000000003</v>
      </c>
      <c r="S1072">
        <v>8.7280269999999993E-3</v>
      </c>
      <c r="T1072">
        <v>-3.7410499999999999E-2</v>
      </c>
      <c r="U1072">
        <v>-3.0050050000000001</v>
      </c>
      <c r="V1072">
        <v>6.9097489999999998E-2</v>
      </c>
      <c r="W1072">
        <v>4.851946E-2</v>
      </c>
      <c r="X1072">
        <v>0.99642929999999996</v>
      </c>
      <c r="Y1072">
        <v>3.2193659999999999E-2</v>
      </c>
      <c r="Z1072">
        <v>1.2433680000000001E-2</v>
      </c>
      <c r="AA1072">
        <v>0.99940430000000002</v>
      </c>
      <c r="AB1072">
        <v>21</v>
      </c>
      <c r="AC1072">
        <v>0.25169999999999898</v>
      </c>
      <c r="AD1072">
        <v>-1.1102212446289901</v>
      </c>
      <c r="AE1072">
        <v>-88.982299999999896</v>
      </c>
      <c r="AF1072">
        <v>2.8709546232824801</v>
      </c>
      <c r="AG1072">
        <v>-1.1102212446289901</v>
      </c>
      <c r="AH1072">
        <v>88.922472293703507</v>
      </c>
      <c r="AI1072">
        <v>90.714943730393003</v>
      </c>
      <c r="AJ1072">
        <v>88.150788443443005</v>
      </c>
      <c r="AK1072">
        <v>88.9757329303077</v>
      </c>
      <c r="AL1072">
        <v>87.218947757459105</v>
      </c>
      <c r="AM1072">
        <v>86.033168765929503</v>
      </c>
      <c r="AN1072">
        <v>0.99999997551074005</v>
      </c>
    </row>
    <row r="1073" spans="1:40" x14ac:dyDescent="0.25">
      <c r="A1073" t="str">
        <f>"20190312154526407"</f>
        <v>20190312154526407</v>
      </c>
      <c r="B1073" t="str">
        <f>"1552376726397612"</f>
        <v>1552376726397612</v>
      </c>
      <c r="C1073" t="s">
        <v>40</v>
      </c>
      <c r="D1073">
        <v>4.2858260000000001</v>
      </c>
      <c r="E1073">
        <v>0.48905539999999997</v>
      </c>
      <c r="F1073" t="s">
        <v>42</v>
      </c>
      <c r="G1073">
        <v>-191.98939999999999</v>
      </c>
      <c r="H1073" s="1">
        <v>-4.0955669999999999E-6</v>
      </c>
      <c r="I1073">
        <v>247.13589999999999</v>
      </c>
      <c r="J1073">
        <v>-192.1157</v>
      </c>
      <c r="K1073">
        <v>1.110214</v>
      </c>
      <c r="L1073">
        <v>334.15710000000001</v>
      </c>
      <c r="M1073">
        <v>3.5503529999999998E-2</v>
      </c>
      <c r="N1073">
        <v>0</v>
      </c>
      <c r="O1073">
        <v>-0.99927719999999998</v>
      </c>
      <c r="P1073">
        <v>-3.5738979999999997E-2</v>
      </c>
      <c r="Q1073">
        <v>3.4885279999999998E-2</v>
      </c>
      <c r="R1073">
        <v>-0.99875219999999998</v>
      </c>
      <c r="S1073">
        <v>4.6386719999999999E-3</v>
      </c>
      <c r="T1073">
        <v>-3.8238759999999997E-2</v>
      </c>
      <c r="U1073">
        <v>-3.0050349999999999</v>
      </c>
      <c r="V1073">
        <v>7.1163270000000001E-2</v>
      </c>
      <c r="W1073">
        <v>4.8453250000000003E-2</v>
      </c>
      <c r="X1073">
        <v>0.99628720000000004</v>
      </c>
      <c r="Y1073">
        <v>3.3964229999999998E-2</v>
      </c>
      <c r="Z1073">
        <v>1.270815E-2</v>
      </c>
      <c r="AA1073">
        <v>0.99934230000000002</v>
      </c>
      <c r="AB1073">
        <v>21</v>
      </c>
      <c r="AC1073">
        <v>0.12630000000001401</v>
      </c>
      <c r="AD1073">
        <v>-1.110218095567</v>
      </c>
      <c r="AE1073">
        <v>-87.021199999999993</v>
      </c>
      <c r="AF1073">
        <v>2.9631422945578199</v>
      </c>
      <c r="AG1073">
        <v>-1.110218095567</v>
      </c>
      <c r="AH1073">
        <v>86.956658296953606</v>
      </c>
      <c r="AI1073">
        <v>90.731059159646605</v>
      </c>
      <c r="AJ1073">
        <v>88.048339444582993</v>
      </c>
      <c r="AK1073">
        <v>87.014212739360403</v>
      </c>
      <c r="AL1073">
        <v>87.222746003719294</v>
      </c>
      <c r="AM1073">
        <v>85.914389023501698</v>
      </c>
      <c r="AN1073">
        <v>1.0000000566582401</v>
      </c>
    </row>
    <row r="1074" spans="1:40" x14ac:dyDescent="0.25">
      <c r="A1074" t="str">
        <f>"20190312154526427"</f>
        <v>20190312154526427</v>
      </c>
      <c r="B1074" t="str">
        <f>"1552376726417132"</f>
        <v>1552376726417132</v>
      </c>
      <c r="C1074" t="s">
        <v>40</v>
      </c>
      <c r="D1074">
        <v>4.3356719999999997</v>
      </c>
      <c r="E1074">
        <v>0.48900739999999998</v>
      </c>
      <c r="F1074" t="s">
        <v>53</v>
      </c>
      <c r="G1074">
        <v>-192.435</v>
      </c>
      <c r="H1074" s="1">
        <v>5.6619620000000004E-6</v>
      </c>
      <c r="I1074">
        <v>274.48590000000002</v>
      </c>
      <c r="J1074">
        <v>-192.10830000000001</v>
      </c>
      <c r="K1074">
        <v>1.1102129999999999</v>
      </c>
      <c r="L1074">
        <v>333.96190000000001</v>
      </c>
      <c r="M1074">
        <v>3.5842430000000002E-2</v>
      </c>
      <c r="N1074">
        <v>0</v>
      </c>
      <c r="O1074">
        <v>-0.99926530000000002</v>
      </c>
      <c r="P1074">
        <v>-3.7538700000000001E-2</v>
      </c>
      <c r="Q1074">
        <v>3.5546710000000002E-2</v>
      </c>
      <c r="R1074">
        <v>-0.99866290000000002</v>
      </c>
      <c r="S1074">
        <v>-1.6082760000000001E-2</v>
      </c>
      <c r="T1074">
        <v>-5.591285E-2</v>
      </c>
      <c r="U1074">
        <v>-3.005188</v>
      </c>
      <c r="V1074">
        <v>7.3296630000000002E-2</v>
      </c>
      <c r="W1074">
        <v>4.9109559999999997E-2</v>
      </c>
      <c r="X1074">
        <v>0.99610030000000005</v>
      </c>
      <c r="Y1074">
        <v>4.1192449999999999E-2</v>
      </c>
      <c r="Z1074">
        <v>1.8576260000000001E-2</v>
      </c>
      <c r="AA1074">
        <v>0.99897860000000005</v>
      </c>
      <c r="AB1074">
        <v>21</v>
      </c>
      <c r="AC1074">
        <v>-0.326699999999988</v>
      </c>
      <c r="AD1074">
        <v>-1.110207338038</v>
      </c>
      <c r="AE1074">
        <v>-59.475999999999999</v>
      </c>
      <c r="AF1074">
        <v>2.4575944580477</v>
      </c>
      <c r="AG1074">
        <v>-1.110207338038</v>
      </c>
      <c r="AH1074">
        <v>59.405367648688603</v>
      </c>
      <c r="AI1074">
        <v>91.069742492652395</v>
      </c>
      <c r="AJ1074">
        <v>87.631029861014099</v>
      </c>
      <c r="AK1074">
        <v>59.466545522079201</v>
      </c>
      <c r="AL1074">
        <v>87.185097164135996</v>
      </c>
      <c r="AM1074">
        <v>85.791555866556195</v>
      </c>
      <c r="AN1074">
        <v>0.99999997625641901</v>
      </c>
    </row>
    <row r="1075" spans="1:40" x14ac:dyDescent="0.25">
      <c r="A1075" t="str">
        <f>"20190312154526452"</f>
        <v>20190312154526452</v>
      </c>
      <c r="B1075" t="str">
        <f>"1552376726447389"</f>
        <v>1552376726447389</v>
      </c>
      <c r="C1075" t="s">
        <v>40</v>
      </c>
      <c r="D1075">
        <v>4.3897190000000004</v>
      </c>
      <c r="E1075">
        <v>0.4913845</v>
      </c>
      <c r="F1075" t="s">
        <v>53</v>
      </c>
      <c r="G1075">
        <v>-192.51599999999999</v>
      </c>
      <c r="H1075" s="1">
        <v>5.1672740000000002E-6</v>
      </c>
      <c r="I1075">
        <v>275.86720000000003</v>
      </c>
      <c r="J1075">
        <v>-192.09979999999999</v>
      </c>
      <c r="K1075">
        <v>1.1102240000000001</v>
      </c>
      <c r="L1075">
        <v>333.73739999999998</v>
      </c>
      <c r="M1075">
        <v>3.6222240000000003E-2</v>
      </c>
      <c r="N1075">
        <v>0</v>
      </c>
      <c r="O1075">
        <v>-0.99925149999999996</v>
      </c>
      <c r="P1075">
        <v>-4.0073770000000002E-2</v>
      </c>
      <c r="Q1075">
        <v>3.5864859999999998E-2</v>
      </c>
      <c r="R1075">
        <v>-0.99855280000000002</v>
      </c>
      <c r="S1075">
        <v>-2.1087649999999999E-2</v>
      </c>
      <c r="T1075">
        <v>-5.743301E-2</v>
      </c>
      <c r="U1075">
        <v>-3.005341</v>
      </c>
      <c r="V1075">
        <v>7.6204110000000005E-2</v>
      </c>
      <c r="W1075">
        <v>4.9423399999999999E-2</v>
      </c>
      <c r="X1075">
        <v>0.99586660000000005</v>
      </c>
      <c r="Y1075">
        <v>4.323536E-2</v>
      </c>
      <c r="Z1075">
        <v>1.9078850000000001E-2</v>
      </c>
      <c r="AA1075">
        <v>0.99888270000000001</v>
      </c>
      <c r="AB1075">
        <v>21</v>
      </c>
      <c r="AC1075">
        <v>-0.41620000000000301</v>
      </c>
      <c r="AD1075">
        <v>-1.1102188327260001</v>
      </c>
      <c r="AE1075">
        <v>-57.870199999999897</v>
      </c>
      <c r="AF1075">
        <v>2.51138411138969</v>
      </c>
      <c r="AG1075">
        <v>-1.1102188327260001</v>
      </c>
      <c r="AH1075">
        <v>57.795868440875502</v>
      </c>
      <c r="AI1075">
        <v>91.099439924113497</v>
      </c>
      <c r="AJ1075">
        <v>87.511911242042402</v>
      </c>
      <c r="AK1075">
        <v>57.861058103412397</v>
      </c>
      <c r="AL1075">
        <v>87.167093695029493</v>
      </c>
      <c r="AM1075">
        <v>85.624231355551103</v>
      </c>
      <c r="AN1075">
        <v>1.0000000119220001</v>
      </c>
    </row>
    <row r="1076" spans="1:40" x14ac:dyDescent="0.25">
      <c r="A1076" t="str">
        <f>"20190312154526476"</f>
        <v>20190312154526476</v>
      </c>
      <c r="B1076" t="str">
        <f>"1552376726466909"</f>
        <v>1552376726466909</v>
      </c>
      <c r="C1076" t="s">
        <v>40</v>
      </c>
      <c r="D1076">
        <v>4.2893100000000004</v>
      </c>
      <c r="E1076">
        <v>0.49647340000000001</v>
      </c>
      <c r="F1076" t="s">
        <v>53</v>
      </c>
      <c r="G1076">
        <v>-192.95679999999999</v>
      </c>
      <c r="H1076" s="1">
        <v>3.955565E-6</v>
      </c>
      <c r="I1076">
        <v>279.32049999999998</v>
      </c>
      <c r="J1076">
        <v>-192.09119999999999</v>
      </c>
      <c r="K1076">
        <v>1.1102350000000001</v>
      </c>
      <c r="L1076">
        <v>333.50979999999998</v>
      </c>
      <c r="M1076">
        <v>3.660364E-2</v>
      </c>
      <c r="N1076">
        <v>0</v>
      </c>
      <c r="O1076">
        <v>-0.99923770000000001</v>
      </c>
      <c r="P1076">
        <v>-4.254438E-2</v>
      </c>
      <c r="Q1076">
        <v>3.572231E-2</v>
      </c>
      <c r="R1076">
        <v>-0.99845589999999995</v>
      </c>
      <c r="S1076">
        <v>-4.7317499999999998E-2</v>
      </c>
      <c r="T1076">
        <v>-6.130099E-2</v>
      </c>
      <c r="U1076">
        <v>-3.0046390000000001</v>
      </c>
      <c r="V1076">
        <v>7.9048789999999994E-2</v>
      </c>
      <c r="W1076">
        <v>4.9277670000000003E-2</v>
      </c>
      <c r="X1076">
        <v>0.99565199999999998</v>
      </c>
      <c r="Y1076">
        <v>5.2334850000000002E-2</v>
      </c>
      <c r="Z1076">
        <v>2.0362129999999999E-2</v>
      </c>
      <c r="AA1076">
        <v>0.99842200000000003</v>
      </c>
      <c r="AB1076">
        <v>21</v>
      </c>
      <c r="AC1076">
        <v>-0.86560000000000004</v>
      </c>
      <c r="AD1076">
        <v>-1.1102310444349901</v>
      </c>
      <c r="AE1076">
        <v>-54.189300000000003</v>
      </c>
      <c r="AF1076">
        <v>2.8475331795739001</v>
      </c>
      <c r="AG1076">
        <v>-1.1102310444349901</v>
      </c>
      <c r="AH1076">
        <v>54.098589423692403</v>
      </c>
      <c r="AI1076">
        <v>91.174055107656997</v>
      </c>
      <c r="AJ1076">
        <v>86.986960071031504</v>
      </c>
      <c r="AK1076">
        <v>54.184854302784998</v>
      </c>
      <c r="AL1076">
        <v>87.175453427372503</v>
      </c>
      <c r="AM1076">
        <v>85.460581117048207</v>
      </c>
      <c r="AN1076">
        <v>0.99999995253254503</v>
      </c>
    </row>
    <row r="1077" spans="1:40" x14ac:dyDescent="0.25">
      <c r="A1077" t="str">
        <f>"20190312154526497"</f>
        <v>20190312154526497</v>
      </c>
      <c r="B1077" t="str">
        <f>"1552376726487405"</f>
        <v>1552376726487405</v>
      </c>
      <c r="C1077" t="s">
        <v>40</v>
      </c>
      <c r="D1077">
        <v>4.2681180000000003</v>
      </c>
      <c r="E1077">
        <v>0.50012809999999996</v>
      </c>
      <c r="F1077" t="s">
        <v>53</v>
      </c>
      <c r="G1077">
        <v>-193.86879999999999</v>
      </c>
      <c r="H1077" s="1">
        <v>4.282089E-6</v>
      </c>
      <c r="I1077">
        <v>277.52280000000002</v>
      </c>
      <c r="J1077">
        <v>-192.08369999999999</v>
      </c>
      <c r="K1077">
        <v>1.110239</v>
      </c>
      <c r="L1077">
        <v>333.31630000000001</v>
      </c>
      <c r="M1077">
        <v>3.692695E-2</v>
      </c>
      <c r="N1077">
        <v>0</v>
      </c>
      <c r="O1077">
        <v>-0.99922569999999999</v>
      </c>
      <c r="P1077">
        <v>-4.5041150000000002E-2</v>
      </c>
      <c r="Q1077">
        <v>3.5584579999999998E-2</v>
      </c>
      <c r="R1077">
        <v>-0.99835130000000005</v>
      </c>
      <c r="S1077">
        <v>-9.5336909999999997E-2</v>
      </c>
      <c r="T1077">
        <v>-5.9544319999999998E-2</v>
      </c>
      <c r="U1077">
        <v>-3.0027159999999999</v>
      </c>
      <c r="V1077">
        <v>8.1861530000000002E-2</v>
      </c>
      <c r="W1077">
        <v>4.9136699999999998E-2</v>
      </c>
      <c r="X1077">
        <v>0.99543170000000003</v>
      </c>
      <c r="Y1077">
        <v>6.8618120000000005E-2</v>
      </c>
      <c r="Z1077">
        <v>1.9777619999999999E-2</v>
      </c>
      <c r="AA1077">
        <v>0.99744699999999997</v>
      </c>
      <c r="AB1077">
        <v>21</v>
      </c>
      <c r="AC1077">
        <v>-1.7850999999999999</v>
      </c>
      <c r="AD1077">
        <v>-1.1102347179109999</v>
      </c>
      <c r="AE1077">
        <v>-55.793500000000002</v>
      </c>
      <c r="AF1077">
        <v>3.84283595736551</v>
      </c>
      <c r="AG1077">
        <v>-1.1102347179109999</v>
      </c>
      <c r="AH1077">
        <v>55.6674955048451</v>
      </c>
      <c r="AI1077">
        <v>91.139845833962198</v>
      </c>
      <c r="AJ1077">
        <v>86.051025293913398</v>
      </c>
      <c r="AK1077">
        <v>55.811021000390397</v>
      </c>
      <c r="AL1077">
        <v>87.183540336581899</v>
      </c>
      <c r="AM1077">
        <v>85.298733815214902</v>
      </c>
      <c r="AN1077">
        <v>0.99999999737286005</v>
      </c>
    </row>
    <row r="1078" spans="1:40" x14ac:dyDescent="0.25">
      <c r="A1078" t="str">
        <f>"20190312154526542"</f>
        <v>20190312154526542</v>
      </c>
      <c r="B1078" t="str">
        <f>"1552376726537180"</f>
        <v>1552376726537180</v>
      </c>
      <c r="C1078" t="s">
        <v>40</v>
      </c>
      <c r="D1078">
        <v>4.284904</v>
      </c>
      <c r="E1078">
        <v>0.50486019999999998</v>
      </c>
      <c r="F1078" t="s">
        <v>53</v>
      </c>
      <c r="G1078">
        <v>-194.64439999999999</v>
      </c>
      <c r="H1078" s="1">
        <v>4.9785179999999999E-6</v>
      </c>
      <c r="I1078">
        <v>275.06619999999998</v>
      </c>
      <c r="J1078">
        <v>-192.0676</v>
      </c>
      <c r="K1078">
        <v>1.1102399999999999</v>
      </c>
      <c r="L1078">
        <v>332.90390000000002</v>
      </c>
      <c r="M1078">
        <v>3.7601160000000002E-2</v>
      </c>
      <c r="N1078">
        <v>0</v>
      </c>
      <c r="O1078">
        <v>-0.99920089999999995</v>
      </c>
      <c r="P1078">
        <v>-4.8650289999999999E-2</v>
      </c>
      <c r="Q1078">
        <v>3.5063789999999997E-2</v>
      </c>
      <c r="R1078">
        <v>-0.99820050000000005</v>
      </c>
      <c r="S1078">
        <v>-0.1319275</v>
      </c>
      <c r="T1078">
        <v>-5.7199720000000003E-2</v>
      </c>
      <c r="U1078">
        <v>-3.0010680000000001</v>
      </c>
      <c r="V1078">
        <v>8.6134340000000004E-2</v>
      </c>
      <c r="W1078">
        <v>4.8608520000000002E-2</v>
      </c>
      <c r="X1078">
        <v>0.99509700000000001</v>
      </c>
      <c r="Y1078">
        <v>8.144709E-2</v>
      </c>
      <c r="Z1078">
        <v>1.899528E-2</v>
      </c>
      <c r="AA1078">
        <v>0.99649659999999995</v>
      </c>
      <c r="AB1078">
        <v>21</v>
      </c>
      <c r="AC1078">
        <v>-2.5767999999999902</v>
      </c>
      <c r="AD1078">
        <v>-1.11023502148199</v>
      </c>
      <c r="AE1078">
        <v>-57.837699999999998</v>
      </c>
      <c r="AF1078">
        <v>4.7481957021149404</v>
      </c>
      <c r="AG1078">
        <v>-1.11023502148199</v>
      </c>
      <c r="AH1078">
        <v>57.678680573528901</v>
      </c>
      <c r="AI1078">
        <v>91.099011823499197</v>
      </c>
      <c r="AJ1078">
        <v>85.293936875194305</v>
      </c>
      <c r="AK1078">
        <v>57.884438124004298</v>
      </c>
      <c r="AL1078">
        <v>87.213838968788096</v>
      </c>
      <c r="AM1078">
        <v>85.052880363850093</v>
      </c>
      <c r="AN1078">
        <v>0.999999976076412</v>
      </c>
    </row>
    <row r="1079" spans="1:40" x14ac:dyDescent="0.25">
      <c r="A1079" t="str">
        <f>"20190312154526564"</f>
        <v>20190312154526564</v>
      </c>
      <c r="B1079" t="str">
        <f>"1552376726557676"</f>
        <v>1552376726557676</v>
      </c>
      <c r="C1079" t="s">
        <v>40</v>
      </c>
      <c r="D1079">
        <v>4.2858510000000001</v>
      </c>
      <c r="E1079">
        <v>0.50573080000000004</v>
      </c>
      <c r="F1079" t="s">
        <v>53</v>
      </c>
      <c r="G1079">
        <v>-195.70769999999999</v>
      </c>
      <c r="H1079" s="1">
        <v>5.468124E-6</v>
      </c>
      <c r="I1079">
        <v>272.4776</v>
      </c>
      <c r="J1079">
        <v>-192.0591</v>
      </c>
      <c r="K1079">
        <v>1.110242</v>
      </c>
      <c r="L1079">
        <v>332.68729999999999</v>
      </c>
      <c r="M1079">
        <v>3.7938140000000002E-2</v>
      </c>
      <c r="N1079">
        <v>0</v>
      </c>
      <c r="O1079">
        <v>-0.99918810000000002</v>
      </c>
      <c r="P1079">
        <v>-4.9740609999999998E-2</v>
      </c>
      <c r="Q1079">
        <v>3.5082370000000002E-2</v>
      </c>
      <c r="R1079">
        <v>-0.99814619999999998</v>
      </c>
      <c r="S1079">
        <v>-0.1806335</v>
      </c>
      <c r="T1079">
        <v>-5.5094240000000003E-2</v>
      </c>
      <c r="U1079">
        <v>-2.998596</v>
      </c>
      <c r="V1079">
        <v>8.7558349999999993E-2</v>
      </c>
      <c r="W1079">
        <v>4.8621860000000003E-2</v>
      </c>
      <c r="X1079">
        <v>0.99497210000000003</v>
      </c>
      <c r="Y1079">
        <v>9.7949969999999997E-2</v>
      </c>
      <c r="Z1079">
        <v>1.8289659999999999E-2</v>
      </c>
      <c r="AA1079">
        <v>0.99502330000000005</v>
      </c>
      <c r="AB1079">
        <v>21</v>
      </c>
      <c r="AC1079">
        <v>-3.6485999999999801</v>
      </c>
      <c r="AD1079">
        <v>-1.1102365318759999</v>
      </c>
      <c r="AE1079">
        <v>-60.209699999999998</v>
      </c>
      <c r="AF1079">
        <v>5.9284184983435102</v>
      </c>
      <c r="AG1079">
        <v>-1.1102365318759999</v>
      </c>
      <c r="AH1079">
        <v>60.0075837874884</v>
      </c>
      <c r="AI1079">
        <v>91.054808888339494</v>
      </c>
      <c r="AJ1079">
        <v>84.357801891502206</v>
      </c>
      <c r="AK1079">
        <v>60.3099401679412</v>
      </c>
      <c r="AL1079">
        <v>87.213073846397705</v>
      </c>
      <c r="AM1079">
        <v>84.970880406836102</v>
      </c>
      <c r="AN1079">
        <v>1.00000001485149</v>
      </c>
    </row>
    <row r="1080" spans="1:40" x14ac:dyDescent="0.25">
      <c r="A1080" t="str">
        <f>"20190312154526586"</f>
        <v>20190312154526586</v>
      </c>
      <c r="B1080" t="str">
        <f>"1552376726577197"</f>
        <v>1552376726577197</v>
      </c>
      <c r="C1080" t="s">
        <v>40</v>
      </c>
      <c r="D1080">
        <v>4.2860290000000001</v>
      </c>
      <c r="E1080">
        <v>0.50643899999999997</v>
      </c>
      <c r="F1080" t="s">
        <v>53</v>
      </c>
      <c r="G1080">
        <v>-196.0351</v>
      </c>
      <c r="H1080" s="1">
        <v>6.1160460000000004E-6</v>
      </c>
      <c r="I1080">
        <v>270.21350000000001</v>
      </c>
      <c r="J1080">
        <v>-192.05090000000001</v>
      </c>
      <c r="K1080">
        <v>1.1102299999999901</v>
      </c>
      <c r="L1080">
        <v>332.48070000000001</v>
      </c>
      <c r="M1080">
        <v>3.8230010000000002E-2</v>
      </c>
      <c r="N1080">
        <v>0</v>
      </c>
      <c r="O1080">
        <v>-0.99917690000000003</v>
      </c>
      <c r="P1080">
        <v>-5.0172120000000001E-2</v>
      </c>
      <c r="Q1080">
        <v>3.5289290000000001E-2</v>
      </c>
      <c r="R1080">
        <v>-0.99811709999999998</v>
      </c>
      <c r="S1080">
        <v>-0.19079589999999999</v>
      </c>
      <c r="T1080">
        <v>-5.3276299999999999E-2</v>
      </c>
      <c r="U1080">
        <v>-2.9978940000000001</v>
      </c>
      <c r="V1080">
        <v>8.8280849999999994E-2</v>
      </c>
      <c r="W1080">
        <v>4.8822369999999997E-2</v>
      </c>
      <c r="X1080">
        <v>0.99489839999999996</v>
      </c>
      <c r="Y1080">
        <v>0.1016147</v>
      </c>
      <c r="Z1080">
        <v>1.7685070000000001E-2</v>
      </c>
      <c r="AA1080">
        <v>0.99466659999999996</v>
      </c>
      <c r="AB1080">
        <v>21</v>
      </c>
      <c r="AC1080">
        <v>-3.98419999999998</v>
      </c>
      <c r="AD1080">
        <v>-1.11022388395399</v>
      </c>
      <c r="AE1080">
        <v>-62.267200000000003</v>
      </c>
      <c r="AF1080">
        <v>6.3599679322027702</v>
      </c>
      <c r="AG1080">
        <v>-1.11022388395399</v>
      </c>
      <c r="AH1080">
        <v>62.049696449774203</v>
      </c>
      <c r="AI1080">
        <v>91.019713731265497</v>
      </c>
      <c r="AJ1080">
        <v>84.147736105876504</v>
      </c>
      <c r="AK1080">
        <v>62.384666534977001</v>
      </c>
      <c r="AL1080">
        <v>87.2015717101132</v>
      </c>
      <c r="AM1080">
        <v>84.929223718717907</v>
      </c>
      <c r="AN1080">
        <v>0.99999997930584905</v>
      </c>
    </row>
    <row r="1081" spans="1:40" x14ac:dyDescent="0.25">
      <c r="A1081" t="str">
        <f>"20190312154526628"</f>
        <v>20190312154526628</v>
      </c>
      <c r="B1081" t="str">
        <f>"1552376726617213"</f>
        <v>1552376726617213</v>
      </c>
      <c r="C1081" t="s">
        <v>40</v>
      </c>
      <c r="D1081">
        <v>4.2787290000000002</v>
      </c>
      <c r="E1081">
        <v>0.50722409999999996</v>
      </c>
      <c r="F1081" t="s">
        <v>42</v>
      </c>
      <c r="G1081">
        <v>-196.20500000000001</v>
      </c>
      <c r="H1081" s="1">
        <v>-5.3479780000000001E-6</v>
      </c>
      <c r="I1081">
        <v>269.46769999999998</v>
      </c>
      <c r="J1081">
        <v>-192.03530000000001</v>
      </c>
      <c r="K1081">
        <v>1.110185</v>
      </c>
      <c r="L1081">
        <v>332.08879999999999</v>
      </c>
      <c r="M1081">
        <v>3.8690790000000003E-2</v>
      </c>
      <c r="N1081">
        <v>0</v>
      </c>
      <c r="O1081">
        <v>-0.99915949999999998</v>
      </c>
      <c r="P1081">
        <v>-4.9512279999999999E-2</v>
      </c>
      <c r="Q1081">
        <v>3.4675049999999999E-2</v>
      </c>
      <c r="R1081">
        <v>-0.9981719</v>
      </c>
      <c r="S1081">
        <v>-0.1976166</v>
      </c>
      <c r="T1081">
        <v>-5.281603E-2</v>
      </c>
      <c r="U1081">
        <v>-2.9976500000000001</v>
      </c>
      <c r="V1081">
        <v>8.8087570000000004E-2</v>
      </c>
      <c r="W1081">
        <v>4.8195590000000003E-2</v>
      </c>
      <c r="X1081">
        <v>0.99494610000000006</v>
      </c>
      <c r="Y1081">
        <v>0.1043322</v>
      </c>
      <c r="Z1081">
        <v>1.7529530000000001E-2</v>
      </c>
      <c r="AA1081">
        <v>0.99438800000000005</v>
      </c>
      <c r="AB1081">
        <v>21</v>
      </c>
      <c r="AC1081">
        <v>-4.1696999999999997</v>
      </c>
      <c r="AD1081">
        <v>-1.110190347978</v>
      </c>
      <c r="AE1081">
        <v>-62.621099999999998</v>
      </c>
      <c r="AF1081">
        <v>6.5875978346552202</v>
      </c>
      <c r="AG1081">
        <v>-1.110190347978</v>
      </c>
      <c r="AH1081">
        <v>62.393334815577902</v>
      </c>
      <c r="AI1081">
        <v>91.013746345157699</v>
      </c>
      <c r="AJ1081">
        <v>83.972940378780606</v>
      </c>
      <c r="AK1081">
        <v>62.749957746987398</v>
      </c>
      <c r="AL1081">
        <v>87.237525912443701</v>
      </c>
      <c r="AM1081">
        <v>84.940509181150205</v>
      </c>
      <c r="AN1081">
        <v>0.99999998839458104</v>
      </c>
    </row>
    <row r="1082" spans="1:40" x14ac:dyDescent="0.25">
      <c r="A1082" t="str">
        <f>"20190312154526650"</f>
        <v>20190312154526650</v>
      </c>
      <c r="B1082" t="str">
        <f>"1552376726637708"</f>
        <v>1552376726637708</v>
      </c>
      <c r="C1082" t="s">
        <v>40</v>
      </c>
      <c r="D1082">
        <v>4.2505620000000004</v>
      </c>
      <c r="E1082">
        <v>0.50757399999999997</v>
      </c>
      <c r="F1082" t="s">
        <v>53</v>
      </c>
      <c r="G1082">
        <v>-196.125</v>
      </c>
      <c r="H1082" s="1">
        <v>5.689718E-6</v>
      </c>
      <c r="I1082">
        <v>271.3519</v>
      </c>
      <c r="J1082">
        <v>-192.02699999999999</v>
      </c>
      <c r="K1082">
        <v>1.110158</v>
      </c>
      <c r="L1082">
        <v>331.88130000000001</v>
      </c>
      <c r="M1082">
        <v>3.887301E-2</v>
      </c>
      <c r="N1082">
        <v>0</v>
      </c>
      <c r="O1082">
        <v>-0.99915229999999999</v>
      </c>
      <c r="P1082">
        <v>-4.837992E-2</v>
      </c>
      <c r="Q1082">
        <v>3.444622E-2</v>
      </c>
      <c r="R1082">
        <v>-0.99823519999999999</v>
      </c>
      <c r="S1082">
        <v>-0.20182800000000001</v>
      </c>
      <c r="T1082">
        <v>-5.4787519999999999E-2</v>
      </c>
      <c r="U1082">
        <v>-2.9973749999999999</v>
      </c>
      <c r="V1082">
        <v>8.7143239999999997E-2</v>
      </c>
      <c r="W1082">
        <v>4.7960299999999997E-2</v>
      </c>
      <c r="X1082">
        <v>0.9950407</v>
      </c>
      <c r="Y1082">
        <v>0.10590960000000001</v>
      </c>
      <c r="Z1082">
        <v>1.8182739999999999E-2</v>
      </c>
      <c r="AA1082">
        <v>0.99420949999999997</v>
      </c>
      <c r="AB1082">
        <v>21</v>
      </c>
      <c r="AC1082">
        <v>-4.0979999999999803</v>
      </c>
      <c r="AD1082">
        <v>-1.1101523102819999</v>
      </c>
      <c r="AE1082">
        <v>-60.529400000000003</v>
      </c>
      <c r="AF1082">
        <v>6.4459195662692403</v>
      </c>
      <c r="AG1082">
        <v>-1.1101523102819999</v>
      </c>
      <c r="AH1082">
        <v>60.304132117815399</v>
      </c>
      <c r="AI1082">
        <v>91.048679254561804</v>
      </c>
      <c r="AJ1082">
        <v>83.898809815019405</v>
      </c>
      <c r="AK1082">
        <v>60.657816212667697</v>
      </c>
      <c r="AL1082">
        <v>87.251022854189998</v>
      </c>
      <c r="AM1082">
        <v>84.994945142385106</v>
      </c>
      <c r="AN1082">
        <v>1.0000000646551299</v>
      </c>
    </row>
    <row r="1083" spans="1:40" x14ac:dyDescent="0.25">
      <c r="A1083" t="str">
        <f>"20190312154526672"</f>
        <v>20190312154526672</v>
      </c>
      <c r="B1083" t="str">
        <f>"1552376726666988"</f>
        <v>1552376726666988</v>
      </c>
      <c r="C1083" t="s">
        <v>40</v>
      </c>
      <c r="D1083">
        <v>4.2608269999999999</v>
      </c>
      <c r="E1083">
        <v>0.50788339999999998</v>
      </c>
      <c r="F1083" t="s">
        <v>53</v>
      </c>
      <c r="G1083">
        <v>-196.06870000000001</v>
      </c>
      <c r="H1083" s="1">
        <v>5.5913010000000004E-6</v>
      </c>
      <c r="I1083">
        <v>271.71010000000001</v>
      </c>
      <c r="J1083">
        <v>-192.01900000000001</v>
      </c>
      <c r="K1083">
        <v>1.110131</v>
      </c>
      <c r="L1083">
        <v>331.67970000000003</v>
      </c>
      <c r="M1083">
        <v>3.9008109999999999E-2</v>
      </c>
      <c r="N1083">
        <v>0</v>
      </c>
      <c r="O1083">
        <v>-0.99914709999999995</v>
      </c>
      <c r="P1083">
        <v>-4.6853489999999998E-2</v>
      </c>
      <c r="Q1083">
        <v>3.381928E-2</v>
      </c>
      <c r="R1083">
        <v>-0.99832940000000003</v>
      </c>
      <c r="S1083">
        <v>-0.20133970000000001</v>
      </c>
      <c r="T1083">
        <v>-5.5302980000000002E-2</v>
      </c>
      <c r="U1083">
        <v>-2.9974669999999999</v>
      </c>
      <c r="V1083">
        <v>8.5759459999999996E-2</v>
      </c>
      <c r="W1083">
        <v>4.732683E-2</v>
      </c>
      <c r="X1083">
        <v>0.99519120000000005</v>
      </c>
      <c r="Y1083">
        <v>0.10588060000000001</v>
      </c>
      <c r="Z1083">
        <v>1.8353169999999999E-2</v>
      </c>
      <c r="AA1083">
        <v>0.99420949999999997</v>
      </c>
      <c r="AB1083">
        <v>21</v>
      </c>
      <c r="AC1083">
        <v>-4.0496999999999996</v>
      </c>
      <c r="AD1083">
        <v>-1.110125408699</v>
      </c>
      <c r="AE1083">
        <v>-59.9696</v>
      </c>
      <c r="AF1083">
        <v>6.3839548391754297</v>
      </c>
      <c r="AG1083">
        <v>-1.110125408699</v>
      </c>
      <c r="AH1083">
        <v>59.745582419160797</v>
      </c>
      <c r="AI1083">
        <v>91.058459518865007</v>
      </c>
      <c r="AJ1083">
        <v>83.900953855857495</v>
      </c>
      <c r="AK1083">
        <v>60.095938934477203</v>
      </c>
      <c r="AL1083">
        <v>87.287359150085905</v>
      </c>
      <c r="AM1083">
        <v>85.074769357573501</v>
      </c>
      <c r="AN1083">
        <v>1.0000000191873899</v>
      </c>
    </row>
    <row r="1084" spans="1:40" x14ac:dyDescent="0.25">
      <c r="A1084" t="str">
        <f>"20190312154526696"</f>
        <v>20190312154526696</v>
      </c>
      <c r="B1084" t="str">
        <f>"1552376726687484"</f>
        <v>1552376726687484</v>
      </c>
      <c r="C1084" t="s">
        <v>40</v>
      </c>
      <c r="D1084">
        <v>4.2638910000000001</v>
      </c>
      <c r="E1084">
        <v>0.50809129999999902</v>
      </c>
      <c r="F1084" t="s">
        <v>53</v>
      </c>
      <c r="G1084">
        <v>-195.8433</v>
      </c>
      <c r="H1084" s="1">
        <v>5.013042E-6</v>
      </c>
      <c r="I1084">
        <v>274.08260000000001</v>
      </c>
      <c r="J1084">
        <v>-192.0104</v>
      </c>
      <c r="K1084">
        <v>1.1100969999999999</v>
      </c>
      <c r="L1084">
        <v>331.4622</v>
      </c>
      <c r="M1084">
        <v>3.910044E-2</v>
      </c>
      <c r="N1084">
        <v>0</v>
      </c>
      <c r="O1084">
        <v>-0.99914349999999996</v>
      </c>
      <c r="P1084">
        <v>-4.522818E-2</v>
      </c>
      <c r="Q1084">
        <v>3.3150350000000002E-2</v>
      </c>
      <c r="R1084">
        <v>-0.99842690000000001</v>
      </c>
      <c r="S1084">
        <v>-0.19903560000000001</v>
      </c>
      <c r="T1084">
        <v>-5.7775970000000003E-2</v>
      </c>
      <c r="U1084">
        <v>-2.99762</v>
      </c>
      <c r="V1084">
        <v>8.4234790000000004E-2</v>
      </c>
      <c r="W1084">
        <v>4.6651419999999999E-2</v>
      </c>
      <c r="X1084">
        <v>0.9953533</v>
      </c>
      <c r="Y1084">
        <v>0.1052073</v>
      </c>
      <c r="Z1084">
        <v>1.9173679999999999E-2</v>
      </c>
      <c r="AA1084">
        <v>0.99426539999999997</v>
      </c>
      <c r="AB1084">
        <v>21</v>
      </c>
      <c r="AC1084">
        <v>-3.8328999999999902</v>
      </c>
      <c r="AD1084">
        <v>-1.1100919869579999</v>
      </c>
      <c r="AE1084">
        <v>-57.379599999999897</v>
      </c>
      <c r="AF1084">
        <v>6.0714794114078003</v>
      </c>
      <c r="AG1084">
        <v>-1.1100919869579999</v>
      </c>
      <c r="AH1084">
        <v>57.164530302954702</v>
      </c>
      <c r="AI1084">
        <v>91.106280172314996</v>
      </c>
      <c r="AJ1084">
        <v>83.9373094713429</v>
      </c>
      <c r="AK1084">
        <v>57.496771137343799</v>
      </c>
      <c r="AL1084">
        <v>87.326100096802307</v>
      </c>
      <c r="AM1084">
        <v>85.162697117443102</v>
      </c>
      <c r="AN1084">
        <v>1.0000000233276201</v>
      </c>
    </row>
    <row r="1085" spans="1:40" x14ac:dyDescent="0.25">
      <c r="A1085" t="str">
        <f>"20190312154526717"</f>
        <v>20190312154526717</v>
      </c>
      <c r="B1085" t="str">
        <f>"1552376726707005"</f>
        <v>1552376726707005</v>
      </c>
      <c r="C1085" t="s">
        <v>40</v>
      </c>
      <c r="D1085">
        <v>4.3285019999999896</v>
      </c>
      <c r="E1085">
        <v>0.5081251</v>
      </c>
      <c r="F1085" t="s">
        <v>53</v>
      </c>
      <c r="G1085">
        <v>-195.6172</v>
      </c>
      <c r="H1085" s="1">
        <v>4.3379210000000004E-6</v>
      </c>
      <c r="I1085">
        <v>276.2681</v>
      </c>
      <c r="J1085">
        <v>-192.0025</v>
      </c>
      <c r="K1085">
        <v>1.11007099999999</v>
      </c>
      <c r="L1085">
        <v>331.2638</v>
      </c>
      <c r="M1085">
        <v>3.9138819999999998E-2</v>
      </c>
      <c r="N1085">
        <v>0</v>
      </c>
      <c r="O1085">
        <v>-0.99914190000000003</v>
      </c>
      <c r="P1085">
        <v>-4.464564E-2</v>
      </c>
      <c r="Q1085">
        <v>3.2631519999999997E-2</v>
      </c>
      <c r="R1085">
        <v>-0.99846979999999996</v>
      </c>
      <c r="S1085">
        <v>-0.19590759999999999</v>
      </c>
      <c r="T1085">
        <v>-6.0294630000000002E-2</v>
      </c>
      <c r="U1085">
        <v>-2.9978639999999999</v>
      </c>
      <c r="V1085">
        <v>8.3695859999999997E-2</v>
      </c>
      <c r="W1085">
        <v>4.6125560000000003E-2</v>
      </c>
      <c r="X1085">
        <v>0.99542330000000001</v>
      </c>
      <c r="Y1085">
        <v>0.10420599999999999</v>
      </c>
      <c r="Z1085">
        <v>2.0009269999999999E-2</v>
      </c>
      <c r="AA1085">
        <v>0.99435439999999997</v>
      </c>
      <c r="AB1085">
        <v>21</v>
      </c>
      <c r="AC1085">
        <v>-3.6146999999999898</v>
      </c>
      <c r="AD1085">
        <v>-1.1100666620789901</v>
      </c>
      <c r="AE1085">
        <v>-54.995699999999999</v>
      </c>
      <c r="AF1085">
        <v>5.7622567392311597</v>
      </c>
      <c r="AG1085">
        <v>-1.1100666620789901</v>
      </c>
      <c r="AH1085">
        <v>54.789839155586002</v>
      </c>
      <c r="AI1085">
        <v>91.154314828349001</v>
      </c>
      <c r="AJ1085">
        <v>83.996263478045904</v>
      </c>
      <c r="AK1085">
        <v>55.103197052603598</v>
      </c>
      <c r="AL1085">
        <v>87.3562622096415</v>
      </c>
      <c r="AM1085">
        <v>85.193836900720797</v>
      </c>
      <c r="AN1085">
        <v>1.0000000552246699</v>
      </c>
    </row>
    <row r="1086" spans="1:40" x14ac:dyDescent="0.25">
      <c r="A1086" t="str">
        <f>"20190312154526742"</f>
        <v>20190312154526742</v>
      </c>
      <c r="B1086" t="str">
        <f>"1552376726737261"</f>
        <v>1552376726737261</v>
      </c>
      <c r="C1086" t="s">
        <v>40</v>
      </c>
      <c r="D1086">
        <v>4.2786410000000004</v>
      </c>
      <c r="E1086">
        <v>0.46964</v>
      </c>
      <c r="F1086" t="s">
        <v>53</v>
      </c>
      <c r="G1086">
        <v>-195.47020000000001</v>
      </c>
      <c r="H1086" s="1">
        <v>3.923356E-6</v>
      </c>
      <c r="I1086">
        <v>277.75850000000003</v>
      </c>
      <c r="J1086">
        <v>-191.9933</v>
      </c>
      <c r="K1086">
        <v>1.1100369999999999</v>
      </c>
      <c r="L1086">
        <v>331.0301</v>
      </c>
      <c r="M1086">
        <v>3.914281E-2</v>
      </c>
      <c r="N1086">
        <v>0</v>
      </c>
      <c r="O1086">
        <v>-0.99914159999999996</v>
      </c>
      <c r="P1086">
        <v>-4.4264159999999997E-2</v>
      </c>
      <c r="Q1086">
        <v>3.2779599999999999E-2</v>
      </c>
      <c r="R1086">
        <v>-0.99848199999999998</v>
      </c>
      <c r="S1086">
        <v>-0.19430539999999999</v>
      </c>
      <c r="T1086">
        <v>-6.219935E-2</v>
      </c>
      <c r="U1086">
        <v>-2.9980159999999998</v>
      </c>
      <c r="V1086">
        <v>8.3322289999999993E-2</v>
      </c>
      <c r="W1086">
        <v>4.6266080000000001E-2</v>
      </c>
      <c r="X1086">
        <v>0.99544809999999995</v>
      </c>
      <c r="Y1086">
        <v>0.1036767</v>
      </c>
      <c r="Z1086">
        <v>2.064098E-2</v>
      </c>
      <c r="AA1086">
        <v>0.99439690000000003</v>
      </c>
      <c r="AB1086">
        <v>21</v>
      </c>
      <c r="AC1086">
        <v>-3.4769000000000001</v>
      </c>
      <c r="AD1086">
        <v>-1.1100330766439901</v>
      </c>
      <c r="AE1086">
        <v>-53.2715999999999</v>
      </c>
      <c r="AF1086">
        <v>5.5572241281449104</v>
      </c>
      <c r="AG1086">
        <v>-1.1100330766439901</v>
      </c>
      <c r="AH1086">
        <v>53.071712903979297</v>
      </c>
      <c r="AI1086">
        <v>91.191694292314594</v>
      </c>
      <c r="AJ1086">
        <v>84.0222512854168</v>
      </c>
      <c r="AK1086">
        <v>53.373416829017799</v>
      </c>
      <c r="AL1086">
        <v>87.3482023541074</v>
      </c>
      <c r="AM1086">
        <v>85.215307670268103</v>
      </c>
      <c r="AN1086">
        <v>1.0000000369815001</v>
      </c>
    </row>
    <row r="1087" spans="1:40" x14ac:dyDescent="0.25">
      <c r="A1087" t="str">
        <f>"20190312154526765"</f>
        <v>20190312154526765</v>
      </c>
      <c r="B1087" t="str">
        <f>"1552376726757374"</f>
        <v>1552376726757374</v>
      </c>
      <c r="C1087" t="s">
        <v>40</v>
      </c>
      <c r="D1087">
        <v>4.2922149999999997</v>
      </c>
      <c r="E1087">
        <v>0.46277620000000003</v>
      </c>
      <c r="F1087" t="s">
        <v>42</v>
      </c>
      <c r="G1087">
        <v>-189.31</v>
      </c>
      <c r="H1087" s="1">
        <v>-2.5533479999999999E-7</v>
      </c>
      <c r="I1087">
        <v>259.85890000000001</v>
      </c>
      <c r="J1087">
        <v>-191.98570000000001</v>
      </c>
      <c r="K1087">
        <v>1.110028</v>
      </c>
      <c r="L1087">
        <v>330.83390000000003</v>
      </c>
      <c r="M1087">
        <v>3.9122209999999998E-2</v>
      </c>
      <c r="N1087">
        <v>0</v>
      </c>
      <c r="O1087">
        <v>-0.99914259999999999</v>
      </c>
      <c r="P1087">
        <v>-4.5096410000000003E-2</v>
      </c>
      <c r="Q1087">
        <v>3.2896920000000003E-2</v>
      </c>
      <c r="R1087">
        <v>-0.99844100000000002</v>
      </c>
      <c r="S1087">
        <v>0.113525399999999</v>
      </c>
      <c r="T1087">
        <v>-4.6963449999999997E-2</v>
      </c>
      <c r="U1087">
        <v>-3.0111080000000001</v>
      </c>
      <c r="V1087">
        <v>8.4133330000000006E-2</v>
      </c>
      <c r="W1087">
        <v>4.6377059999999998E-2</v>
      </c>
      <c r="X1087">
        <v>0.99537469999999995</v>
      </c>
      <c r="Y1087">
        <v>1.4560199999999999E-3</v>
      </c>
      <c r="Z1087">
        <v>1.5571389999999999E-2</v>
      </c>
      <c r="AA1087">
        <v>0.99987769999999998</v>
      </c>
      <c r="AB1087">
        <v>21</v>
      </c>
      <c r="AC1087">
        <v>2.6757</v>
      </c>
      <c r="AD1087">
        <v>-1.1100282553348</v>
      </c>
      <c r="AE1087">
        <v>-70.974999999999994</v>
      </c>
      <c r="AF1087">
        <v>0.103277253462076</v>
      </c>
      <c r="AG1087">
        <v>-1.1100282553348</v>
      </c>
      <c r="AH1087">
        <v>71.007998890471299</v>
      </c>
      <c r="AI1087">
        <v>90.895598917936695</v>
      </c>
      <c r="AJ1087">
        <v>89.916666478945999</v>
      </c>
      <c r="AK1087">
        <v>71.016749681662404</v>
      </c>
      <c r="AL1087">
        <v>87.341836793756499</v>
      </c>
      <c r="AM1087">
        <v>85.168599387534499</v>
      </c>
      <c r="AN1087">
        <v>1.0000000211556099</v>
      </c>
    </row>
    <row r="1088" spans="1:40" x14ac:dyDescent="0.25">
      <c r="A1088" t="str">
        <f>"20190312154526808"</f>
        <v>20190312154526808</v>
      </c>
      <c r="B1088" t="str">
        <f>"1552376726797389"</f>
        <v>1552376726797389</v>
      </c>
      <c r="C1088" t="s">
        <v>40</v>
      </c>
      <c r="D1088">
        <v>4.2658129999999996</v>
      </c>
      <c r="E1088">
        <v>0.45757179999999997</v>
      </c>
      <c r="F1088" t="s">
        <v>42</v>
      </c>
      <c r="G1088">
        <v>-187.2482</v>
      </c>
      <c r="H1088" s="1">
        <v>-2.8681219999999999E-6</v>
      </c>
      <c r="I1088">
        <v>244.6661</v>
      </c>
      <c r="J1088">
        <v>-191.9701</v>
      </c>
      <c r="K1088">
        <v>1.110031</v>
      </c>
      <c r="L1088">
        <v>330.43419999999998</v>
      </c>
      <c r="M1088">
        <v>3.9051879999999997E-2</v>
      </c>
      <c r="N1088">
        <v>0</v>
      </c>
      <c r="O1088">
        <v>-0.99914539999999996</v>
      </c>
      <c r="P1088">
        <v>-4.8968970000000001E-2</v>
      </c>
      <c r="Q1088">
        <v>3.3098450000000001E-2</v>
      </c>
      <c r="R1088">
        <v>-0.99825189999999997</v>
      </c>
      <c r="S1088">
        <v>0.16567989999999999</v>
      </c>
      <c r="T1088">
        <v>-3.8820390000000003E-2</v>
      </c>
      <c r="U1088">
        <v>-3.0134889999999999</v>
      </c>
      <c r="V1088">
        <v>8.7925669999999997E-2</v>
      </c>
      <c r="W1088">
        <v>4.65695E-2</v>
      </c>
      <c r="X1088">
        <v>0.99503790000000003</v>
      </c>
      <c r="Y1088">
        <v>-1.5853550000000001E-2</v>
      </c>
      <c r="Z1088">
        <v>1.285589E-2</v>
      </c>
      <c r="AA1088">
        <v>0.99979169999999995</v>
      </c>
      <c r="AB1088">
        <v>21</v>
      </c>
      <c r="AC1088">
        <v>4.7218999999999998</v>
      </c>
      <c r="AD1088">
        <v>-1.1100338681219999</v>
      </c>
      <c r="AE1088">
        <v>-85.768099999999905</v>
      </c>
      <c r="AF1088">
        <v>-1.3683561238631201</v>
      </c>
      <c r="AG1088">
        <v>-1.1100338681219999</v>
      </c>
      <c r="AH1088">
        <v>85.872738313912706</v>
      </c>
      <c r="AI1088">
        <v>90.740498594991294</v>
      </c>
      <c r="AJ1088">
        <v>90.912913662663897</v>
      </c>
      <c r="AK1088">
        <v>85.890813008143297</v>
      </c>
      <c r="AL1088">
        <v>87.330798897303296</v>
      </c>
      <c r="AM1088">
        <v>84.950223621998305</v>
      </c>
      <c r="AN1088">
        <v>1.0000000321058</v>
      </c>
    </row>
    <row r="1089" spans="1:40" x14ac:dyDescent="0.25">
      <c r="A1089" t="str">
        <f>"20190312154526829"</f>
        <v>20190312154526829</v>
      </c>
      <c r="B1089" t="str">
        <f>"1552376726817885"</f>
        <v>1552376726817885</v>
      </c>
      <c r="C1089" t="s">
        <v>40</v>
      </c>
      <c r="D1089">
        <v>4.2731149999999998</v>
      </c>
      <c r="E1089">
        <v>0.4564087</v>
      </c>
      <c r="F1089" t="s">
        <v>42</v>
      </c>
      <c r="G1089">
        <v>-186.2467</v>
      </c>
      <c r="H1089" s="1">
        <v>-1.9909899999999998E-6</v>
      </c>
      <c r="I1089">
        <v>242.2285</v>
      </c>
      <c r="J1089">
        <v>-191.9623</v>
      </c>
      <c r="K1089">
        <v>1.110042</v>
      </c>
      <c r="L1089">
        <v>330.23289999999997</v>
      </c>
      <c r="M1089">
        <v>3.9018150000000001E-2</v>
      </c>
      <c r="N1089">
        <v>0</v>
      </c>
      <c r="O1089">
        <v>-0.99914689999999995</v>
      </c>
      <c r="P1089">
        <v>-5.0512790000000002E-2</v>
      </c>
      <c r="Q1089">
        <v>3.3015570000000001E-2</v>
      </c>
      <c r="R1089">
        <v>-0.99817789999999995</v>
      </c>
      <c r="S1089">
        <v>0.1957092</v>
      </c>
      <c r="T1089">
        <v>-3.7956950000000003E-2</v>
      </c>
      <c r="U1089">
        <v>-3.0161440000000002</v>
      </c>
      <c r="V1089">
        <v>8.9430990000000002E-2</v>
      </c>
      <c r="W1089">
        <v>4.6483749999999997E-2</v>
      </c>
      <c r="X1089">
        <v>0.99490769999999995</v>
      </c>
      <c r="Y1089">
        <v>-2.5756810000000002E-2</v>
      </c>
      <c r="Z1089">
        <v>1.2553949999999999E-2</v>
      </c>
      <c r="AA1089">
        <v>0.99958939999999996</v>
      </c>
      <c r="AB1089">
        <v>21</v>
      </c>
      <c r="AC1089">
        <v>5.7155999999999896</v>
      </c>
      <c r="AD1089">
        <v>-1.11004399099</v>
      </c>
      <c r="AE1089">
        <v>-88.004399999999904</v>
      </c>
      <c r="AF1089">
        <v>-2.2768028567805199</v>
      </c>
      <c r="AG1089">
        <v>-1.11004399099</v>
      </c>
      <c r="AH1089">
        <v>88.146439869590296</v>
      </c>
      <c r="AI1089">
        <v>90.721257392932898</v>
      </c>
      <c r="AJ1089">
        <v>91.4796081942321</v>
      </c>
      <c r="AK1089">
        <v>88.182826506037401</v>
      </c>
      <c r="AL1089">
        <v>87.335717214409598</v>
      </c>
      <c r="AM1089">
        <v>84.863559559584999</v>
      </c>
      <c r="AN1089">
        <v>0.99999998625286601</v>
      </c>
    </row>
    <row r="1090" spans="1:40" x14ac:dyDescent="0.25">
      <c r="A1090" t="str">
        <f>"20190312154526852"</f>
        <v>20190312154526852</v>
      </c>
      <c r="B1090" t="str">
        <f>"1552376726847165"</f>
        <v>1552376726847165</v>
      </c>
      <c r="C1090" t="s">
        <v>40</v>
      </c>
      <c r="D1090">
        <v>4.2943290000000003</v>
      </c>
      <c r="E1090">
        <v>0.4551134</v>
      </c>
      <c r="F1090" t="s">
        <v>42</v>
      </c>
      <c r="G1090">
        <v>-186.07929999999999</v>
      </c>
      <c r="H1090" s="1">
        <v>-1.809261E-6</v>
      </c>
      <c r="I1090">
        <v>241.63929999999999</v>
      </c>
      <c r="J1090">
        <v>-191.95429999999999</v>
      </c>
      <c r="K1090">
        <v>1.110052</v>
      </c>
      <c r="L1090">
        <v>330.02749999999997</v>
      </c>
      <c r="M1090">
        <v>3.8993550000000002E-2</v>
      </c>
      <c r="N1090">
        <v>0</v>
      </c>
      <c r="O1090">
        <v>-0.99914760000000002</v>
      </c>
      <c r="P1090">
        <v>-5.1865349999999998E-2</v>
      </c>
      <c r="Q1090">
        <v>3.3044200000000003E-2</v>
      </c>
      <c r="R1090">
        <v>-0.99810710000000002</v>
      </c>
      <c r="S1090">
        <v>0.2003326</v>
      </c>
      <c r="T1090">
        <v>-3.7800309999999997E-2</v>
      </c>
      <c r="U1090">
        <v>-3.0168759999999999</v>
      </c>
      <c r="V1090">
        <v>9.0754329999999994E-2</v>
      </c>
      <c r="W1090">
        <v>4.6510429999999998E-2</v>
      </c>
      <c r="X1090">
        <v>0.99478659999999997</v>
      </c>
      <c r="Y1090">
        <v>-2.7291070000000001E-2</v>
      </c>
      <c r="Z1090">
        <v>1.2498260000000001E-2</v>
      </c>
      <c r="AA1090">
        <v>0.99954940000000003</v>
      </c>
      <c r="AB1090">
        <v>21</v>
      </c>
      <c r="AC1090">
        <v>5.875</v>
      </c>
      <c r="AD1090">
        <v>-1.1100538092609999</v>
      </c>
      <c r="AE1090">
        <v>-88.388199999999898</v>
      </c>
      <c r="AF1090">
        <v>-2.4232643989179601</v>
      </c>
      <c r="AG1090">
        <v>-1.1100538092609999</v>
      </c>
      <c r="AH1090">
        <v>88.536170322314703</v>
      </c>
      <c r="AI1090">
        <v>90.718059746837696</v>
      </c>
      <c r="AJ1090">
        <v>91.567813099388701</v>
      </c>
      <c r="AK1090">
        <v>88.576282859174199</v>
      </c>
      <c r="AL1090">
        <v>87.334186875232405</v>
      </c>
      <c r="AM1090">
        <v>84.787338537694296</v>
      </c>
      <c r="AN1090">
        <v>0.99999997402604601</v>
      </c>
    </row>
    <row r="1091" spans="1:40" x14ac:dyDescent="0.25">
      <c r="A1091" t="str">
        <f>"20190312154526874"</f>
        <v>20190312154526874</v>
      </c>
      <c r="B1091" t="str">
        <f>"1552376726867661"</f>
        <v>1552376726867661</v>
      </c>
      <c r="C1091" t="s">
        <v>40</v>
      </c>
      <c r="D1091">
        <v>4.2992599999999896</v>
      </c>
      <c r="E1091">
        <v>0.4544533</v>
      </c>
      <c r="F1091" t="s">
        <v>42</v>
      </c>
      <c r="G1091">
        <v>-185.685</v>
      </c>
      <c r="H1091" s="1">
        <v>-4.8745789999999999E-6</v>
      </c>
      <c r="I1091">
        <v>238.32409999999999</v>
      </c>
      <c r="J1091">
        <v>-191.94630000000001</v>
      </c>
      <c r="K1091">
        <v>1.1100620000000001</v>
      </c>
      <c r="L1091">
        <v>329.82260000000002</v>
      </c>
      <c r="M1091">
        <v>3.8980800000000003E-2</v>
      </c>
      <c r="N1091">
        <v>0</v>
      </c>
      <c r="O1091">
        <v>-0.99914829999999999</v>
      </c>
      <c r="P1091">
        <v>-5.2495E-2</v>
      </c>
      <c r="Q1091">
        <v>3.3588819999999998E-2</v>
      </c>
      <c r="R1091">
        <v>-0.99805639999999995</v>
      </c>
      <c r="S1091">
        <v>0.2062988</v>
      </c>
      <c r="T1091">
        <v>-3.6528110000000003E-2</v>
      </c>
      <c r="U1091">
        <v>-3.017639</v>
      </c>
      <c r="V1091">
        <v>9.1367950000000003E-2</v>
      </c>
      <c r="W1091">
        <v>4.7053900000000003E-2</v>
      </c>
      <c r="X1091">
        <v>0.9947049</v>
      </c>
      <c r="Y1091">
        <v>-2.925471E-2</v>
      </c>
      <c r="Z1091">
        <v>1.2073499999999999E-2</v>
      </c>
      <c r="AA1091">
        <v>0.99949909999999997</v>
      </c>
      <c r="AB1091">
        <v>21</v>
      </c>
      <c r="AC1091">
        <v>6.2613000000000003</v>
      </c>
      <c r="AD1091">
        <v>-1.1100668745790001</v>
      </c>
      <c r="AE1091">
        <v>-91.498500000000007</v>
      </c>
      <c r="AF1091">
        <v>-2.68913489456475</v>
      </c>
      <c r="AG1091">
        <v>-1.1100668745790001</v>
      </c>
      <c r="AH1091">
        <v>91.659609305292605</v>
      </c>
      <c r="AI1091">
        <v>90.693562710104203</v>
      </c>
      <c r="AJ1091">
        <v>91.6804773420684</v>
      </c>
      <c r="AK1091">
        <v>91.705766846726107</v>
      </c>
      <c r="AL1091">
        <v>87.303014289691106</v>
      </c>
      <c r="AM1091">
        <v>84.751861516781005</v>
      </c>
      <c r="AN1091">
        <v>1.0000000049382101</v>
      </c>
    </row>
    <row r="1092" spans="1:40" x14ac:dyDescent="0.25">
      <c r="A1092" t="str">
        <f>"20190312154526896"</f>
        <v>20190312154526896</v>
      </c>
      <c r="B1092" t="str">
        <f>"1552376726887181"</f>
        <v>1552376726887181</v>
      </c>
      <c r="C1092" t="s">
        <v>40</v>
      </c>
      <c r="D1092">
        <v>4.3098549999999998</v>
      </c>
      <c r="E1092">
        <v>0.45385009999999998</v>
      </c>
      <c r="F1092" t="s">
        <v>42</v>
      </c>
      <c r="G1092">
        <v>-185.12520000000001</v>
      </c>
      <c r="H1092" s="1">
        <v>-2.0468649999999999E-6</v>
      </c>
      <c r="I1092">
        <v>231.59700000000001</v>
      </c>
      <c r="J1092">
        <v>-191.9384</v>
      </c>
      <c r="K1092">
        <v>1.11007099999999</v>
      </c>
      <c r="L1092">
        <v>329.61900000000003</v>
      </c>
      <c r="M1092">
        <v>3.8978350000000002E-2</v>
      </c>
      <c r="N1092">
        <v>0</v>
      </c>
      <c r="O1092">
        <v>-0.99914849999999999</v>
      </c>
      <c r="P1092">
        <v>-5.2565029999999999E-2</v>
      </c>
      <c r="Q1092">
        <v>3.4065190000000002E-2</v>
      </c>
      <c r="R1092">
        <v>-0.99803660000000005</v>
      </c>
      <c r="S1092">
        <v>0.2095795</v>
      </c>
      <c r="T1092">
        <v>-3.410697E-2</v>
      </c>
      <c r="U1092">
        <v>-3.018005</v>
      </c>
      <c r="V1092">
        <v>9.1433970000000003E-2</v>
      </c>
      <c r="W1092">
        <v>4.7529259999999997E-2</v>
      </c>
      <c r="X1092">
        <v>0.99467620000000001</v>
      </c>
      <c r="Y1092">
        <v>-3.0330889999999999E-2</v>
      </c>
      <c r="Z1092">
        <v>1.1271400000000001E-2</v>
      </c>
      <c r="AA1092">
        <v>0.99947640000000004</v>
      </c>
      <c r="AB1092">
        <v>21</v>
      </c>
      <c r="AC1092">
        <v>6.8131999999999904</v>
      </c>
      <c r="AD1092">
        <v>-1.11007304686499</v>
      </c>
      <c r="AE1092">
        <v>-98.022000000000006</v>
      </c>
      <c r="AF1092">
        <v>-2.9865548157831898</v>
      </c>
      <c r="AG1092">
        <v>-1.11007304686499</v>
      </c>
      <c r="AH1092">
        <v>98.2005530329903</v>
      </c>
      <c r="AI1092">
        <v>90.647352785560102</v>
      </c>
      <c r="AJ1092">
        <v>91.741988742533707</v>
      </c>
      <c r="AK1092">
        <v>98.252228411482804</v>
      </c>
      <c r="AL1092">
        <v>87.275747570501693</v>
      </c>
      <c r="AM1092">
        <v>84.747939863511604</v>
      </c>
      <c r="AN1092">
        <v>0.99999997213627401</v>
      </c>
    </row>
    <row r="1093" spans="1:40" x14ac:dyDescent="0.25">
      <c r="A1093" t="str">
        <f>"20190312154526919"</f>
        <v>20190312154526919</v>
      </c>
      <c r="B1093" t="str">
        <f>"1552376726907677"</f>
        <v>1552376726907677</v>
      </c>
      <c r="C1093" t="s">
        <v>40</v>
      </c>
      <c r="D1093">
        <v>4.3105469999999997</v>
      </c>
      <c r="E1093">
        <v>0.45328889999999999</v>
      </c>
      <c r="F1093" t="s">
        <v>53</v>
      </c>
      <c r="G1093">
        <v>-184.51179999999999</v>
      </c>
      <c r="H1093" s="1">
        <v>1.221789E-6</v>
      </c>
      <c r="I1093">
        <v>224.97229999999999</v>
      </c>
      <c r="J1093">
        <v>-191.93020000000001</v>
      </c>
      <c r="K1093">
        <v>1.110074</v>
      </c>
      <c r="L1093">
        <v>329.40940000000001</v>
      </c>
      <c r="M1093">
        <v>3.8982530000000001E-2</v>
      </c>
      <c r="N1093">
        <v>0</v>
      </c>
      <c r="O1093">
        <v>-0.99914829999999999</v>
      </c>
      <c r="P1093">
        <v>-5.2178290000000002E-2</v>
      </c>
      <c r="Q1093">
        <v>3.3885930000000002E-2</v>
      </c>
      <c r="R1093">
        <v>-0.99806269999999997</v>
      </c>
      <c r="S1093">
        <v>0.2142029</v>
      </c>
      <c r="T1093">
        <v>-3.2017589999999999E-2</v>
      </c>
      <c r="U1093">
        <v>-3.0183110000000002</v>
      </c>
      <c r="V1093">
        <v>9.1052010000000003E-2</v>
      </c>
      <c r="W1093">
        <v>4.734969E-2</v>
      </c>
      <c r="X1093">
        <v>0.99471980000000004</v>
      </c>
      <c r="Y1093">
        <v>-3.1843700000000003E-2</v>
      </c>
      <c r="Z1093">
        <v>1.0579109999999999E-2</v>
      </c>
      <c r="AA1093">
        <v>0.99943689999999996</v>
      </c>
      <c r="AB1093">
        <v>20</v>
      </c>
      <c r="AC1093">
        <v>7.4184000000000099</v>
      </c>
      <c r="AD1093">
        <v>-1.110072778211</v>
      </c>
      <c r="AE1093">
        <v>-104.4371</v>
      </c>
      <c r="AF1093">
        <v>-3.3407896168071698</v>
      </c>
      <c r="AG1093">
        <v>-1.110072778211</v>
      </c>
      <c r="AH1093">
        <v>104.635154379664</v>
      </c>
      <c r="AI1093">
        <v>90.607517711023604</v>
      </c>
      <c r="AJ1093">
        <v>91.8287175493424</v>
      </c>
      <c r="AK1093">
        <v>104.69435834319199</v>
      </c>
      <c r="AL1093">
        <v>87.286047767937006</v>
      </c>
      <c r="AM1093">
        <v>84.769986077604997</v>
      </c>
      <c r="AN1093">
        <v>0.99999997109008698</v>
      </c>
    </row>
    <row r="1094" spans="1:40" x14ac:dyDescent="0.25">
      <c r="A1094" t="str">
        <f>"20190312154526945"</f>
        <v>20190312154526945</v>
      </c>
      <c r="B1094" t="str">
        <f>"1552376726936957"</f>
        <v>1552376726936957</v>
      </c>
      <c r="C1094" t="s">
        <v>40</v>
      </c>
      <c r="D1094">
        <v>4.3462730000000001</v>
      </c>
      <c r="E1094">
        <v>0.45266390000000001</v>
      </c>
      <c r="F1094" t="s">
        <v>53</v>
      </c>
      <c r="G1094">
        <v>-184.38030000000001</v>
      </c>
      <c r="H1094" s="1">
        <v>1.0712250000000001E-6</v>
      </c>
      <c r="I1094">
        <v>225.761</v>
      </c>
      <c r="J1094">
        <v>-191.9212</v>
      </c>
      <c r="K1094">
        <v>1.1100840000000001</v>
      </c>
      <c r="L1094">
        <v>329.17849999999999</v>
      </c>
      <c r="M1094">
        <v>3.899027E-2</v>
      </c>
      <c r="N1094">
        <v>0</v>
      </c>
      <c r="O1094">
        <v>-0.99914780000000003</v>
      </c>
      <c r="P1094">
        <v>-5.1753670000000002E-2</v>
      </c>
      <c r="Q1094">
        <v>3.3974619999999997E-2</v>
      </c>
      <c r="R1094">
        <v>-0.99808180000000002</v>
      </c>
      <c r="S1094">
        <v>0.2198639</v>
      </c>
      <c r="T1094">
        <v>-3.23267E-2</v>
      </c>
      <c r="U1094">
        <v>-3.0183719999999998</v>
      </c>
      <c r="V1094">
        <v>9.0635590000000002E-2</v>
      </c>
      <c r="W1094">
        <v>4.7438290000000001E-2</v>
      </c>
      <c r="X1094">
        <v>0.99475369999999996</v>
      </c>
      <c r="Y1094">
        <v>-3.369921E-2</v>
      </c>
      <c r="Z1094">
        <v>1.067997E-2</v>
      </c>
      <c r="AA1094">
        <v>0.99937489999999995</v>
      </c>
      <c r="AB1094">
        <v>20</v>
      </c>
      <c r="AC1094">
        <v>7.5408999999999899</v>
      </c>
      <c r="AD1094">
        <v>-1.110082928775</v>
      </c>
      <c r="AE1094">
        <v>-103.4175</v>
      </c>
      <c r="AF1094">
        <v>-3.5021172749299101</v>
      </c>
      <c r="AG1094">
        <v>-1.110082928775</v>
      </c>
      <c r="AH1094">
        <v>103.62101866447701</v>
      </c>
      <c r="AI1094">
        <v>90.613430982672298</v>
      </c>
      <c r="AJ1094">
        <v>91.935709505182203</v>
      </c>
      <c r="AK1094">
        <v>103.686125487357</v>
      </c>
      <c r="AL1094">
        <v>87.280965899814305</v>
      </c>
      <c r="AM1094">
        <v>84.793949885224706</v>
      </c>
      <c r="AN1094">
        <v>1.0000000625982199</v>
      </c>
    </row>
    <row r="1095" spans="1:40" x14ac:dyDescent="0.25">
      <c r="A1095" t="str">
        <f>"20190312154526988"</f>
        <v>20190312154526988</v>
      </c>
      <c r="B1095" t="str">
        <f>"1552376726976974"</f>
        <v>1552376726976974</v>
      </c>
      <c r="C1095" t="s">
        <v>40</v>
      </c>
      <c r="D1095">
        <v>4.3675169999999897</v>
      </c>
      <c r="E1095">
        <v>0.45208759999999998</v>
      </c>
      <c r="F1095" t="s">
        <v>53</v>
      </c>
      <c r="G1095">
        <v>-184.14599999999999</v>
      </c>
      <c r="H1095" s="1">
        <v>1.103412E-6</v>
      </c>
      <c r="I1095">
        <v>225.46019999999999</v>
      </c>
      <c r="J1095">
        <v>-191.90600000000001</v>
      </c>
      <c r="K1095">
        <v>1.1101000000000001</v>
      </c>
      <c r="L1095">
        <v>328.78809999999999</v>
      </c>
      <c r="M1095">
        <v>3.9002530000000001E-2</v>
      </c>
      <c r="N1095">
        <v>0</v>
      </c>
      <c r="O1095">
        <v>-0.99914760000000002</v>
      </c>
      <c r="P1095">
        <v>-5.0966930000000001E-2</v>
      </c>
      <c r="Q1095">
        <v>3.4323869999999999E-2</v>
      </c>
      <c r="R1095">
        <v>-0.99811050000000001</v>
      </c>
      <c r="S1095">
        <v>0.22628780000000001</v>
      </c>
      <c r="T1095">
        <v>-3.2307509999999998E-2</v>
      </c>
      <c r="U1095">
        <v>-3.0185849999999999</v>
      </c>
      <c r="V1095">
        <v>8.986218E-2</v>
      </c>
      <c r="W1095">
        <v>4.7785510000000003E-2</v>
      </c>
      <c r="X1095">
        <v>0.9948072</v>
      </c>
      <c r="Y1095">
        <v>-3.5797000000000002E-2</v>
      </c>
      <c r="Z1095">
        <v>1.067164E-2</v>
      </c>
      <c r="AA1095">
        <v>0.99930209999999997</v>
      </c>
      <c r="AB1095">
        <v>20</v>
      </c>
      <c r="AC1095">
        <v>7.75999999999999</v>
      </c>
      <c r="AD1095">
        <v>-1.1100988965880001</v>
      </c>
      <c r="AE1095">
        <v>-103.3279</v>
      </c>
      <c r="AF1095">
        <v>-3.7232490234475102</v>
      </c>
      <c r="AG1095">
        <v>-1.1100988965880001</v>
      </c>
      <c r="AH1095">
        <v>103.540068187396</v>
      </c>
      <c r="AI1095">
        <v>90.6138731380032</v>
      </c>
      <c r="AJ1095">
        <v>92.059440179412604</v>
      </c>
      <c r="AK1095">
        <v>103.612936562485</v>
      </c>
      <c r="AL1095">
        <v>87.261048944564294</v>
      </c>
      <c r="AM1095">
        <v>84.838409148264603</v>
      </c>
      <c r="AN1095">
        <v>1.00000001576607</v>
      </c>
    </row>
    <row r="1096" spans="1:40" x14ac:dyDescent="0.25">
      <c r="A1096" t="str">
        <f>"20190312154527009"</f>
        <v>20190312154527009</v>
      </c>
      <c r="B1096" t="str">
        <f>"1552376726997469"</f>
        <v>1552376726997469</v>
      </c>
      <c r="C1096" t="s">
        <v>40</v>
      </c>
      <c r="D1096">
        <v>4.3711549999999999</v>
      </c>
      <c r="E1096">
        <v>0.45183069999999997</v>
      </c>
      <c r="F1096" t="s">
        <v>53</v>
      </c>
      <c r="G1096">
        <v>-184.20230000000001</v>
      </c>
      <c r="H1096" s="1">
        <v>1.8289369999999999E-7</v>
      </c>
      <c r="I1096">
        <v>229.09889999999999</v>
      </c>
      <c r="J1096">
        <v>-191.89830000000001</v>
      </c>
      <c r="K1096">
        <v>1.110104</v>
      </c>
      <c r="L1096">
        <v>328.59219999999999</v>
      </c>
      <c r="M1096">
        <v>3.9006680000000002E-2</v>
      </c>
      <c r="N1096">
        <v>0</v>
      </c>
      <c r="O1096">
        <v>-0.99914760000000002</v>
      </c>
      <c r="P1096">
        <v>-5.0724600000000002E-2</v>
      </c>
      <c r="Q1096">
        <v>3.441114E-2</v>
      </c>
      <c r="R1096">
        <v>-0.99812000000000001</v>
      </c>
      <c r="S1096">
        <v>0.23327639999999999</v>
      </c>
      <c r="T1096">
        <v>-3.3615470000000001E-2</v>
      </c>
      <c r="U1096">
        <v>-3.0187379999999999</v>
      </c>
      <c r="V1096">
        <v>8.9624399999999896E-2</v>
      </c>
      <c r="W1096">
        <v>4.7871240000000002E-2</v>
      </c>
      <c r="X1096">
        <v>0.9948245</v>
      </c>
      <c r="Y1096">
        <v>-3.8088749999999998E-2</v>
      </c>
      <c r="Z1096">
        <v>1.110162E-2</v>
      </c>
      <c r="AA1096">
        <v>0.99921269999999995</v>
      </c>
      <c r="AB1096">
        <v>20</v>
      </c>
      <c r="AC1096">
        <v>7.69599999999999</v>
      </c>
      <c r="AD1096">
        <v>-1.1101038171063</v>
      </c>
      <c r="AE1096">
        <v>-99.493300000000005</v>
      </c>
      <c r="AF1096">
        <v>-3.8084129956335402</v>
      </c>
      <c r="AG1096">
        <v>-1.1101038171063</v>
      </c>
      <c r="AH1096">
        <v>99.705450943296498</v>
      </c>
      <c r="AI1096">
        <v>90.637430477835807</v>
      </c>
      <c r="AJ1096">
        <v>92.187442736659094</v>
      </c>
      <c r="AK1096">
        <v>99.784333879803896</v>
      </c>
      <c r="AL1096">
        <v>87.256131271300305</v>
      </c>
      <c r="AM1096">
        <v>84.8520825447563</v>
      </c>
      <c r="AN1096">
        <v>0.99999998724737305</v>
      </c>
    </row>
    <row r="1097" spans="1:40" x14ac:dyDescent="0.25">
      <c r="A1097" t="str">
        <f>"20190312154527029"</f>
        <v>20190312154527029</v>
      </c>
      <c r="B1097" t="str">
        <f>"1552376727027725"</f>
        <v>1552376727027725</v>
      </c>
      <c r="C1097" t="s">
        <v>40</v>
      </c>
      <c r="D1097">
        <v>4.5470179999999996</v>
      </c>
      <c r="E1097">
        <v>0.45149889999999998</v>
      </c>
      <c r="F1097" t="s">
        <v>42</v>
      </c>
      <c r="G1097">
        <v>-184.37860000000001</v>
      </c>
      <c r="H1097" s="1">
        <v>-2.500935E-6</v>
      </c>
      <c r="I1097">
        <v>232.2621</v>
      </c>
      <c r="J1097">
        <v>-191.89099999999999</v>
      </c>
      <c r="K1097">
        <v>1.1100989999999999</v>
      </c>
      <c r="L1097">
        <v>328.40589999999997</v>
      </c>
      <c r="M1097">
        <v>3.9009630000000003E-2</v>
      </c>
      <c r="N1097">
        <v>0</v>
      </c>
      <c r="O1097">
        <v>-0.99914740000000002</v>
      </c>
      <c r="P1097">
        <v>-5.0206960000000002E-2</v>
      </c>
      <c r="Q1097">
        <v>3.4307699999999997E-2</v>
      </c>
      <c r="R1097">
        <v>-0.99814950000000002</v>
      </c>
      <c r="S1097">
        <v>0.2356567</v>
      </c>
      <c r="T1097">
        <v>-3.4789319999999999E-2</v>
      </c>
      <c r="U1097">
        <v>-3.0188600000000001</v>
      </c>
      <c r="V1097">
        <v>8.9111250000000003E-2</v>
      </c>
      <c r="W1097">
        <v>4.7766929999999999E-2</v>
      </c>
      <c r="X1097">
        <v>0.99487559999999997</v>
      </c>
      <c r="Y1097">
        <v>-3.8865490000000003E-2</v>
      </c>
      <c r="Z1097">
        <v>1.148825E-2</v>
      </c>
      <c r="AA1097">
        <v>0.99917840000000002</v>
      </c>
      <c r="AB1097">
        <v>20</v>
      </c>
      <c r="AC1097">
        <v>7.51239999999998</v>
      </c>
      <c r="AD1097">
        <v>-1.1101015009349999</v>
      </c>
      <c r="AE1097">
        <v>-96.143799999999899</v>
      </c>
      <c r="AF1097">
        <v>-3.7553064073853299</v>
      </c>
      <c r="AG1097">
        <v>-1.1101015009349999</v>
      </c>
      <c r="AH1097">
        <v>96.350920831568203</v>
      </c>
      <c r="AI1097">
        <v>90.659600010381595</v>
      </c>
      <c r="AJ1097">
        <v>92.231990681833494</v>
      </c>
      <c r="AK1097">
        <v>96.430465085712598</v>
      </c>
      <c r="AL1097">
        <v>87.262114610892993</v>
      </c>
      <c r="AM1097">
        <v>84.881661751219596</v>
      </c>
      <c r="AN1097">
        <v>0.99999997697677301</v>
      </c>
    </row>
    <row r="1098" spans="1:40" x14ac:dyDescent="0.25">
      <c r="A1098" t="str">
        <f>"20190312154527055"</f>
        <v>20190312154527055</v>
      </c>
      <c r="B1098" t="str">
        <f>"1552376727047246"</f>
        <v>1552376727047246</v>
      </c>
      <c r="C1098" t="s">
        <v>40</v>
      </c>
      <c r="D1098">
        <v>4.3155769999999896</v>
      </c>
      <c r="E1098">
        <v>0.451179</v>
      </c>
      <c r="F1098" t="s">
        <v>42</v>
      </c>
      <c r="G1098">
        <v>-184.4641</v>
      </c>
      <c r="H1098" s="1">
        <v>-3.5043059999999998E-6</v>
      </c>
      <c r="I1098">
        <v>234.9342</v>
      </c>
      <c r="J1098">
        <v>-191.88220000000001</v>
      </c>
      <c r="K1098">
        <v>1.110104</v>
      </c>
      <c r="L1098">
        <v>328.18189999999998</v>
      </c>
      <c r="M1098">
        <v>3.9011360000000002E-2</v>
      </c>
      <c r="N1098">
        <v>0</v>
      </c>
      <c r="O1098">
        <v>-0.99914740000000002</v>
      </c>
      <c r="P1098">
        <v>-4.960871E-2</v>
      </c>
      <c r="Q1098">
        <v>3.395314E-2</v>
      </c>
      <c r="R1098">
        <v>-0.99819150000000001</v>
      </c>
      <c r="S1098">
        <v>0.2398682</v>
      </c>
      <c r="T1098">
        <v>-3.5853030000000001E-2</v>
      </c>
      <c r="U1098">
        <v>-3.0188600000000001</v>
      </c>
      <c r="V1098">
        <v>8.8516890000000001E-2</v>
      </c>
      <c r="W1098">
        <v>4.7410649999999999E-2</v>
      </c>
      <c r="X1098">
        <v>0.99494570000000004</v>
      </c>
      <c r="Y1098">
        <v>-4.024871E-2</v>
      </c>
      <c r="Z1098">
        <v>1.183849E-2</v>
      </c>
      <c r="AA1098">
        <v>0.9991196</v>
      </c>
      <c r="AB1098">
        <v>20</v>
      </c>
      <c r="AC1098">
        <v>7.4181000000000097</v>
      </c>
      <c r="AD1098">
        <v>-1.110107504306</v>
      </c>
      <c r="AE1098">
        <v>-93.247699999999895</v>
      </c>
      <c r="AF1098">
        <v>-3.7738688307842101</v>
      </c>
      <c r="AG1098">
        <v>-1.110107504306</v>
      </c>
      <c r="AH1098">
        <v>93.452958862635001</v>
      </c>
      <c r="AI1098">
        <v>90.680017982490199</v>
      </c>
      <c r="AJ1098">
        <v>92.3124932228137</v>
      </c>
      <c r="AK1098">
        <v>93.535714808860206</v>
      </c>
      <c r="AL1098">
        <v>87.282551108206704</v>
      </c>
      <c r="AM1098">
        <v>84.915977190871303</v>
      </c>
      <c r="AN1098">
        <v>0.99999997774859195</v>
      </c>
    </row>
    <row r="1099" spans="1:40" x14ac:dyDescent="0.25">
      <c r="A1099" t="str">
        <f>"20190312154527075"</f>
        <v>20190312154527075</v>
      </c>
      <c r="B1099" t="str">
        <f>"1552376727067741"</f>
        <v>1552376727067741</v>
      </c>
      <c r="C1099" t="s">
        <v>40</v>
      </c>
      <c r="D1099">
        <v>4.3782030000000001</v>
      </c>
      <c r="E1099">
        <v>0.45085510000000001</v>
      </c>
      <c r="F1099" t="s">
        <v>42</v>
      </c>
      <c r="G1099">
        <v>-184.32830000000001</v>
      </c>
      <c r="H1099" s="1">
        <v>-3.5020710000000002E-6</v>
      </c>
      <c r="I1099">
        <v>234.83430000000001</v>
      </c>
      <c r="J1099">
        <v>-191.87469999999999</v>
      </c>
      <c r="K1099">
        <v>1.110104</v>
      </c>
      <c r="L1099">
        <v>327.98989999999998</v>
      </c>
      <c r="M1099">
        <v>3.9011459999999998E-2</v>
      </c>
      <c r="N1099">
        <v>0</v>
      </c>
      <c r="O1099">
        <v>-0.99914740000000002</v>
      </c>
      <c r="P1099">
        <v>-4.8962569999999997E-2</v>
      </c>
      <c r="Q1099">
        <v>3.3736479999999999E-2</v>
      </c>
      <c r="R1099">
        <v>-0.99823070000000003</v>
      </c>
      <c r="S1099">
        <v>0.24429319999999999</v>
      </c>
      <c r="T1099">
        <v>-3.5900469999999997E-2</v>
      </c>
      <c r="U1099">
        <v>-3.0188290000000002</v>
      </c>
      <c r="V1099">
        <v>8.7872909999999999E-2</v>
      </c>
      <c r="W1099">
        <v>4.7192980000000002E-2</v>
      </c>
      <c r="X1099">
        <v>0.99501320000000004</v>
      </c>
      <c r="Y1099">
        <v>-4.1704499999999999E-2</v>
      </c>
      <c r="Z1099">
        <v>1.1853229999999999E-2</v>
      </c>
      <c r="AA1099">
        <v>0.99905969999999999</v>
      </c>
      <c r="AB1099">
        <v>20</v>
      </c>
      <c r="AC1099">
        <v>7.54639999999997</v>
      </c>
      <c r="AD1099">
        <v>-1.1101075020710001</v>
      </c>
      <c r="AE1099">
        <v>-93.155599999999893</v>
      </c>
      <c r="AF1099">
        <v>-3.90563557173392</v>
      </c>
      <c r="AG1099">
        <v>-1.1101075020710001</v>
      </c>
      <c r="AH1099">
        <v>93.365924293891098</v>
      </c>
      <c r="AI1099">
        <v>90.680611358693994</v>
      </c>
      <c r="AJ1099">
        <v>92.395371184174707</v>
      </c>
      <c r="AK1099">
        <v>93.454171373662902</v>
      </c>
      <c r="AL1099">
        <v>87.295036843881704</v>
      </c>
      <c r="AM1099">
        <v>84.953113465853605</v>
      </c>
      <c r="AN1099">
        <v>1.00000004692369</v>
      </c>
    </row>
    <row r="1100" spans="1:40" x14ac:dyDescent="0.25">
      <c r="A1100" t="str">
        <f>"20190312154527097"</f>
        <v>20190312154527097</v>
      </c>
      <c r="B1100" t="str">
        <f>"1552376727087262"</f>
        <v>1552376727087262</v>
      </c>
      <c r="C1100" t="s">
        <v>40</v>
      </c>
      <c r="D1100">
        <v>4.4088019999999997</v>
      </c>
      <c r="E1100">
        <v>0.45052779999999998</v>
      </c>
      <c r="F1100" t="s">
        <v>42</v>
      </c>
      <c r="G1100">
        <v>-184.08949999999999</v>
      </c>
      <c r="H1100" s="1">
        <v>-3.041631E-6</v>
      </c>
      <c r="I1100">
        <v>233.46979999999999</v>
      </c>
      <c r="J1100">
        <v>-191.8672</v>
      </c>
      <c r="K1100">
        <v>1.110104</v>
      </c>
      <c r="L1100">
        <v>327.79640000000001</v>
      </c>
      <c r="M1100">
        <v>3.9010679999999999E-2</v>
      </c>
      <c r="N1100">
        <v>0</v>
      </c>
      <c r="O1100">
        <v>-0.99914760000000002</v>
      </c>
      <c r="P1100">
        <v>-4.7904769999999999E-2</v>
      </c>
      <c r="Q1100">
        <v>3.3840490000000001E-2</v>
      </c>
      <c r="R1100">
        <v>-0.99827900000000003</v>
      </c>
      <c r="S1100">
        <v>0.248642</v>
      </c>
      <c r="T1100">
        <v>-3.5454029999999997E-2</v>
      </c>
      <c r="U1100">
        <v>-3.0187379999999999</v>
      </c>
      <c r="V1100">
        <v>8.6817119999999998E-2</v>
      </c>
      <c r="W1100">
        <v>4.729539E-2</v>
      </c>
      <c r="X1100">
        <v>0.99510100000000001</v>
      </c>
      <c r="Y1100">
        <v>-4.313753E-2</v>
      </c>
      <c r="Z1100">
        <v>1.1705159999999999E-2</v>
      </c>
      <c r="AA1100">
        <v>0.99900049999999996</v>
      </c>
      <c r="AB1100">
        <v>20</v>
      </c>
      <c r="AC1100">
        <v>7.7777000000000003</v>
      </c>
      <c r="AD1100">
        <v>-1.1101070416309999</v>
      </c>
      <c r="AE1100">
        <v>-94.326599999999999</v>
      </c>
      <c r="AF1100">
        <v>-4.0911355225797799</v>
      </c>
      <c r="AG1100">
        <v>-1.1101070416309999</v>
      </c>
      <c r="AH1100">
        <v>94.545219488861306</v>
      </c>
      <c r="AI1100">
        <v>90.6720812516417</v>
      </c>
      <c r="AJ1100">
        <v>92.477741984975907</v>
      </c>
      <c r="AK1100">
        <v>94.640204224763593</v>
      </c>
      <c r="AL1100">
        <v>87.289162586871001</v>
      </c>
      <c r="AM1100">
        <v>85.013881807010506</v>
      </c>
      <c r="AN1100">
        <v>1.00000003322067</v>
      </c>
    </row>
    <row r="1101" spans="1:40" x14ac:dyDescent="0.25">
      <c r="A1101" t="str">
        <f>"20190312154527120"</f>
        <v>20190312154527120</v>
      </c>
      <c r="B1101" t="str">
        <f>"1552376727117519"</f>
        <v>1552376727117519</v>
      </c>
      <c r="C1101" t="s">
        <v>40</v>
      </c>
      <c r="D1101">
        <v>4.6089630000000001</v>
      </c>
      <c r="E1101">
        <v>0.45026680000000002</v>
      </c>
      <c r="F1101" t="s">
        <v>42</v>
      </c>
      <c r="G1101">
        <v>-184.15379999999999</v>
      </c>
      <c r="H1101" s="1">
        <v>-4.1751829999999996E-6</v>
      </c>
      <c r="I1101">
        <v>236.26990000000001</v>
      </c>
      <c r="J1101">
        <v>-191.85910000000001</v>
      </c>
      <c r="K1101">
        <v>1.1101000000000001</v>
      </c>
      <c r="L1101">
        <v>327.58980000000003</v>
      </c>
      <c r="M1101">
        <v>3.9009460000000003E-2</v>
      </c>
      <c r="N1101">
        <v>0</v>
      </c>
      <c r="O1101">
        <v>-0.99914760000000002</v>
      </c>
      <c r="P1101">
        <v>-4.7429199999999998E-2</v>
      </c>
      <c r="Q1101">
        <v>3.315655E-2</v>
      </c>
      <c r="R1101">
        <v>-0.99832460000000001</v>
      </c>
      <c r="S1101">
        <v>0.25439450000000002</v>
      </c>
      <c r="T1101">
        <v>-3.6612270000000002E-2</v>
      </c>
      <c r="U1101">
        <v>-3.0186160000000002</v>
      </c>
      <c r="V1101">
        <v>8.6342509999999997E-2</v>
      </c>
      <c r="W1101">
        <v>4.6610459999999999E-2</v>
      </c>
      <c r="X1101">
        <v>0.99517460000000002</v>
      </c>
      <c r="Y1101">
        <v>-4.5032259999999998E-2</v>
      </c>
      <c r="Z1101">
        <v>1.208653E-2</v>
      </c>
      <c r="AA1101">
        <v>0.99891240000000003</v>
      </c>
      <c r="AB1101">
        <v>20</v>
      </c>
      <c r="AC1101">
        <v>7.7053000000000198</v>
      </c>
      <c r="AD1101">
        <v>-1.1101041751829901</v>
      </c>
      <c r="AE1101">
        <v>-91.319900000000004</v>
      </c>
      <c r="AF1101">
        <v>-4.1361622785573902</v>
      </c>
      <c r="AG1101">
        <v>-1.1101041751829901</v>
      </c>
      <c r="AH1101">
        <v>91.537554181306405</v>
      </c>
      <c r="AI1101">
        <v>90.694101392973906</v>
      </c>
      <c r="AJ1101">
        <v>92.587173710246503</v>
      </c>
      <c r="AK1101">
        <v>91.637677814149797</v>
      </c>
      <c r="AL1101">
        <v>87.328449490042004</v>
      </c>
      <c r="AM1101">
        <v>85.041368441937806</v>
      </c>
      <c r="AN1101">
        <v>1.0000000242498299</v>
      </c>
    </row>
    <row r="1102" spans="1:40" x14ac:dyDescent="0.25">
      <c r="A1102" t="str">
        <f>"20190312154527230"</f>
        <v>20190312154527230</v>
      </c>
      <c r="B1102" t="str">
        <f>"1552376727227805"</f>
        <v>1552376727227805</v>
      </c>
      <c r="C1102" t="s">
        <v>40</v>
      </c>
      <c r="D1102">
        <v>3.8591410000000002</v>
      </c>
      <c r="E1102">
        <v>0.44713760000000002</v>
      </c>
      <c r="F1102" t="s">
        <v>42</v>
      </c>
      <c r="G1102">
        <v>-184.62979999999999</v>
      </c>
      <c r="H1102" s="1">
        <v>-2.7230769999999998E-6</v>
      </c>
      <c r="I1102">
        <v>243.0146</v>
      </c>
      <c r="J1102">
        <v>-191.82060000000001</v>
      </c>
      <c r="K1102">
        <v>1.110107</v>
      </c>
      <c r="L1102">
        <v>326.60359999999997</v>
      </c>
      <c r="M1102">
        <v>3.9006230000000003E-2</v>
      </c>
      <c r="N1102">
        <v>0</v>
      </c>
      <c r="O1102">
        <v>-0.99914760000000002</v>
      </c>
      <c r="P1102">
        <v>-4.666062E-2</v>
      </c>
      <c r="Q1102">
        <v>3.5126230000000001E-2</v>
      </c>
      <c r="R1102">
        <v>-0.99829290000000004</v>
      </c>
      <c r="S1102">
        <v>0.25802609999999998</v>
      </c>
      <c r="T1102">
        <v>-3.962123E-2</v>
      </c>
      <c r="U1102">
        <v>-3.0186160000000002</v>
      </c>
      <c r="V1102">
        <v>8.5570190000000004E-2</v>
      </c>
      <c r="W1102">
        <v>4.8569460000000002E-2</v>
      </c>
      <c r="X1102">
        <v>0.99514760000000002</v>
      </c>
      <c r="Y1102">
        <v>-4.6227560000000001E-2</v>
      </c>
      <c r="Z1102">
        <v>1.3078670000000001E-2</v>
      </c>
      <c r="AA1102">
        <v>0.99884530000000005</v>
      </c>
      <c r="AB1102">
        <v>20</v>
      </c>
      <c r="AC1102">
        <v>7.1908000000000198</v>
      </c>
      <c r="AD1102">
        <v>-1.1101097230769901</v>
      </c>
      <c r="AE1102">
        <v>-83.588999999999899</v>
      </c>
      <c r="AF1102">
        <v>-3.9238501249525202</v>
      </c>
      <c r="AG1102">
        <v>-1.1101097230769901</v>
      </c>
      <c r="AH1102">
        <v>83.791216041777503</v>
      </c>
      <c r="AI1102">
        <v>90.758209153004302</v>
      </c>
      <c r="AJ1102">
        <v>92.681139369212204</v>
      </c>
      <c r="AK1102">
        <v>83.8903857969445</v>
      </c>
      <c r="AL1102">
        <v>87.216079649070807</v>
      </c>
      <c r="AM1102">
        <v>85.085371725077707</v>
      </c>
      <c r="AN1102">
        <v>0.99999999782354299</v>
      </c>
    </row>
    <row r="1103" spans="1:40" x14ac:dyDescent="0.25">
      <c r="A1103" t="str">
        <f>"20190312154527254"</f>
        <v>20190312154527254</v>
      </c>
      <c r="B1103" t="str">
        <f>"1552376727247325"</f>
        <v>1552376727247325</v>
      </c>
      <c r="C1103" t="s">
        <v>40</v>
      </c>
      <c r="D1103">
        <v>4.279706</v>
      </c>
      <c r="E1103">
        <v>0.53715310000000005</v>
      </c>
      <c r="F1103" t="s">
        <v>41</v>
      </c>
      <c r="G1103">
        <v>-191.74160000000001</v>
      </c>
      <c r="H1103">
        <v>0.9362762</v>
      </c>
      <c r="I1103">
        <v>325.8064</v>
      </c>
      <c r="J1103">
        <v>-191.8124</v>
      </c>
      <c r="K1103">
        <v>1.110114</v>
      </c>
      <c r="L1103">
        <v>326.39319999999998</v>
      </c>
      <c r="M1103">
        <v>3.9006249999999999E-2</v>
      </c>
      <c r="N1103">
        <v>0</v>
      </c>
      <c r="O1103">
        <v>-0.99914780000000003</v>
      </c>
      <c r="P1103">
        <v>-4.6229569999999998E-2</v>
      </c>
      <c r="Q1103">
        <v>3.5979839999999999E-2</v>
      </c>
      <c r="R1103">
        <v>-0.99828300000000003</v>
      </c>
      <c r="S1103">
        <v>0.30160520000000002</v>
      </c>
      <c r="T1103">
        <v>-0.66353030000000002</v>
      </c>
      <c r="U1103">
        <v>-3.0425719999999998</v>
      </c>
      <c r="V1103">
        <v>8.5139099999999995E-2</v>
      </c>
      <c r="W1103">
        <v>4.9421029999999998E-2</v>
      </c>
      <c r="X1103">
        <v>0.99514259999999999</v>
      </c>
      <c r="Y1103">
        <v>-5.7503569999999997E-2</v>
      </c>
      <c r="Z1103">
        <v>0.21216470000000001</v>
      </c>
      <c r="AA1103">
        <v>0.97554059999999998</v>
      </c>
      <c r="AB1103">
        <v>20</v>
      </c>
      <c r="AC1103">
        <v>7.07999999999913E-2</v>
      </c>
      <c r="AD1103">
        <v>-0.17383779999999999</v>
      </c>
      <c r="AE1103">
        <v>-0.586799999999982</v>
      </c>
      <c r="AF1103">
        <v>-4.40451179060165E-2</v>
      </c>
      <c r="AG1103">
        <v>-0.17383779999999999</v>
      </c>
      <c r="AH1103">
        <v>0.54221221254395002</v>
      </c>
      <c r="AI1103">
        <v>107.72158345424501</v>
      </c>
      <c r="AJ1103">
        <v>94.644068083996004</v>
      </c>
      <c r="AK1103">
        <v>0.57109862243924303</v>
      </c>
      <c r="AL1103">
        <v>87.1672294750406</v>
      </c>
      <c r="AM1103">
        <v>85.109986090251297</v>
      </c>
      <c r="AN1103">
        <v>0.99999994944491399</v>
      </c>
    </row>
    <row r="1104" spans="1:40" x14ac:dyDescent="0.25">
      <c r="A1104" t="str">
        <f>"20190312154527275"</f>
        <v>20190312154527275</v>
      </c>
      <c r="B1104" t="str">
        <f>"1552376727267822"</f>
        <v>1552376727267822</v>
      </c>
      <c r="C1104" t="s">
        <v>40</v>
      </c>
      <c r="D1104">
        <v>4.5529849999999996</v>
      </c>
      <c r="E1104">
        <v>0.53211549999999996</v>
      </c>
      <c r="F1104" t="s">
        <v>41</v>
      </c>
      <c r="G1104">
        <v>-191.91300000000001</v>
      </c>
      <c r="H1104">
        <v>0.88571669999999902</v>
      </c>
      <c r="I1104">
        <v>325.64620000000002</v>
      </c>
      <c r="J1104">
        <v>-191.8047</v>
      </c>
      <c r="K1104">
        <v>1.11012</v>
      </c>
      <c r="L1104">
        <v>326.19729999999998</v>
      </c>
      <c r="M1104">
        <v>3.9006449999999998E-2</v>
      </c>
      <c r="N1104">
        <v>0</v>
      </c>
      <c r="O1104">
        <v>-0.99914780000000003</v>
      </c>
      <c r="P1104">
        <v>-4.575079E-2</v>
      </c>
      <c r="Q1104">
        <v>3.6840110000000002E-2</v>
      </c>
      <c r="R1104">
        <v>-0.99827370000000004</v>
      </c>
      <c r="S1104">
        <v>-0.4067383</v>
      </c>
      <c r="T1104">
        <v>-0.90689410000000004</v>
      </c>
      <c r="U1104">
        <v>-3.019012</v>
      </c>
      <c r="V1104">
        <v>8.4660509999999994E-2</v>
      </c>
      <c r="W1104">
        <v>5.0279219999999999E-2</v>
      </c>
      <c r="X1104">
        <v>0.99514049999999998</v>
      </c>
      <c r="Y1104">
        <v>0.16655739999999999</v>
      </c>
      <c r="Z1104">
        <v>0.28416760000000002</v>
      </c>
      <c r="AA1104">
        <v>0.9441967</v>
      </c>
      <c r="AB1104">
        <v>20</v>
      </c>
      <c r="AC1104">
        <v>-0.10829999999998501</v>
      </c>
      <c r="AD1104">
        <v>-0.2244033</v>
      </c>
      <c r="AE1104">
        <v>-0.55109999999996195</v>
      </c>
      <c r="AF1104">
        <v>0.111858838043221</v>
      </c>
      <c r="AG1104">
        <v>-0.2244033</v>
      </c>
      <c r="AH1104">
        <v>0.47122879089062703</v>
      </c>
      <c r="AI1104">
        <v>114.859882425918</v>
      </c>
      <c r="AJ1104">
        <v>76.646457278344897</v>
      </c>
      <c r="AK1104">
        <v>0.53378442658390801</v>
      </c>
      <c r="AL1104">
        <v>87.117997766330603</v>
      </c>
      <c r="AM1104">
        <v>85.137331799955803</v>
      </c>
      <c r="AN1104">
        <v>1.0000000083287499</v>
      </c>
    </row>
    <row r="1105" spans="1:40" x14ac:dyDescent="0.25">
      <c r="A1105" t="str">
        <f>"20190312154527299"</f>
        <v>20190312154527299</v>
      </c>
      <c r="B1105" t="str">
        <f>"1552376727287342"</f>
        <v>1552376727287342</v>
      </c>
      <c r="C1105" t="s">
        <v>40</v>
      </c>
      <c r="D1105">
        <v>4.5103350000000004</v>
      </c>
      <c r="E1105">
        <v>0.53016459999999999</v>
      </c>
      <c r="F1105" t="s">
        <v>41</v>
      </c>
      <c r="G1105">
        <v>-191.89599999999999</v>
      </c>
      <c r="H1105">
        <v>0.92360160000000002</v>
      </c>
      <c r="I1105">
        <v>325.45240000000001</v>
      </c>
      <c r="J1105">
        <v>-191.79669999999999</v>
      </c>
      <c r="K1105">
        <v>1.1101289999999999</v>
      </c>
      <c r="L1105">
        <v>325.99250000000001</v>
      </c>
      <c r="M1105">
        <v>3.9006760000000001E-2</v>
      </c>
      <c r="N1105">
        <v>0</v>
      </c>
      <c r="O1105">
        <v>-0.99914780000000003</v>
      </c>
      <c r="P1105">
        <v>-4.5330479999999999E-2</v>
      </c>
      <c r="Q1105">
        <v>3.8141929999999998E-2</v>
      </c>
      <c r="R1105">
        <v>-0.99824369999999996</v>
      </c>
      <c r="S1105">
        <v>-0.36915589999999998</v>
      </c>
      <c r="T1105">
        <v>-0.75524630000000004</v>
      </c>
      <c r="U1105">
        <v>-3.0161129999999998</v>
      </c>
      <c r="V1105">
        <v>8.4239720000000004E-2</v>
      </c>
      <c r="W1105">
        <v>5.1577869999999998E-2</v>
      </c>
      <c r="X1105">
        <v>0.99510969999999999</v>
      </c>
      <c r="Y1105">
        <v>0.1565474</v>
      </c>
      <c r="Z1105">
        <v>0.24027970000000001</v>
      </c>
      <c r="AA1105">
        <v>0.95799710000000005</v>
      </c>
      <c r="AB1105">
        <v>20</v>
      </c>
      <c r="AC1105">
        <v>-9.92999999999995E-2</v>
      </c>
      <c r="AD1105">
        <v>-0.18652740000000001</v>
      </c>
      <c r="AE1105">
        <v>-0.54009999999999503</v>
      </c>
      <c r="AF1105">
        <v>0.10785093750227701</v>
      </c>
      <c r="AG1105">
        <v>-0.18652740000000001</v>
      </c>
      <c r="AH1105">
        <v>0.48039156403490502</v>
      </c>
      <c r="AI1105">
        <v>110.749279376179</v>
      </c>
      <c r="AJ1105">
        <v>77.346542699417498</v>
      </c>
      <c r="AK1105">
        <v>0.52649819607172699</v>
      </c>
      <c r="AL1105">
        <v>87.043493774073397</v>
      </c>
      <c r="AM1105">
        <v>85.161236743902904</v>
      </c>
      <c r="AN1105">
        <v>0.99999996106675104</v>
      </c>
    </row>
    <row r="1106" spans="1:40" x14ac:dyDescent="0.25">
      <c r="A1106" t="str">
        <f>"20190312154527321"</f>
        <v>20190312154527321</v>
      </c>
      <c r="B1106" t="str">
        <f>"1552376727317597"</f>
        <v>1552376727317597</v>
      </c>
      <c r="C1106" t="s">
        <v>40</v>
      </c>
      <c r="D1106">
        <v>4.426126</v>
      </c>
      <c r="E1106">
        <v>0.52900539999999996</v>
      </c>
      <c r="F1106" t="s">
        <v>41</v>
      </c>
      <c r="G1106">
        <v>-191.88339999999999</v>
      </c>
      <c r="H1106">
        <v>0.95783160000000001</v>
      </c>
      <c r="I1106">
        <v>325.2586</v>
      </c>
      <c r="J1106">
        <v>-191.78899999999999</v>
      </c>
      <c r="K1106">
        <v>1.110134</v>
      </c>
      <c r="L1106">
        <v>325.7953</v>
      </c>
      <c r="M1106">
        <v>3.9007069999999998E-2</v>
      </c>
      <c r="N1106">
        <v>0</v>
      </c>
      <c r="O1106">
        <v>-0.99914809999999998</v>
      </c>
      <c r="P1106">
        <v>-4.5370439999999998E-2</v>
      </c>
      <c r="Q1106">
        <v>3.8706379999999999E-2</v>
      </c>
      <c r="R1106">
        <v>-0.99822040000000001</v>
      </c>
      <c r="S1106">
        <v>-0.35610960000000003</v>
      </c>
      <c r="T1106">
        <v>-0.62524309999999905</v>
      </c>
      <c r="U1106">
        <v>-3.0129700000000001</v>
      </c>
      <c r="V1106">
        <v>8.4279030000000005E-2</v>
      </c>
      <c r="W1106">
        <v>5.2140249999999999E-2</v>
      </c>
      <c r="X1106">
        <v>0.99507710000000005</v>
      </c>
      <c r="Y1106">
        <v>0.1536227</v>
      </c>
      <c r="Z1106">
        <v>0.201076</v>
      </c>
      <c r="AA1106">
        <v>0.9674547</v>
      </c>
      <c r="AB1106">
        <v>20</v>
      </c>
      <c r="AC1106">
        <v>-9.4399999999978904E-2</v>
      </c>
      <c r="AD1106">
        <v>-0.1523024</v>
      </c>
      <c r="AE1106">
        <v>-0.53669999999999596</v>
      </c>
      <c r="AF1106">
        <v>0.10691387411151</v>
      </c>
      <c r="AG1106">
        <v>-0.1523024</v>
      </c>
      <c r="AH1106">
        <v>0.49401994417684703</v>
      </c>
      <c r="AI1106">
        <v>106.768422330813</v>
      </c>
      <c r="AJ1106">
        <v>77.788590218238696</v>
      </c>
      <c r="AK1106">
        <v>0.52790368701855805</v>
      </c>
      <c r="AL1106">
        <v>87.011228465753206</v>
      </c>
      <c r="AM1106">
        <v>85.158831646227398</v>
      </c>
      <c r="AN1106">
        <v>0.99999999775610604</v>
      </c>
    </row>
    <row r="1107" spans="1:40" x14ac:dyDescent="0.25">
      <c r="A1107" t="str">
        <f>"20190312154527345"</f>
        <v>20190312154527345</v>
      </c>
      <c r="B1107" t="str">
        <f>"1552376727337118"</f>
        <v>1552376727337118</v>
      </c>
      <c r="C1107" t="s">
        <v>40</v>
      </c>
      <c r="D1107">
        <v>4.4397529999999996</v>
      </c>
      <c r="E1107">
        <v>0.5288311</v>
      </c>
      <c r="F1107" t="s">
        <v>53</v>
      </c>
      <c r="G1107">
        <v>-197.05719999999999</v>
      </c>
      <c r="H1107" s="1">
        <v>2.9202009999999998E-6</v>
      </c>
      <c r="I1107">
        <v>282.24349999999998</v>
      </c>
      <c r="J1107">
        <v>-191.7807</v>
      </c>
      <c r="K1107">
        <v>1.1101240000000001</v>
      </c>
      <c r="L1107">
        <v>325.58179999999999</v>
      </c>
      <c r="M1107">
        <v>3.9007319999999998E-2</v>
      </c>
      <c r="N1107">
        <v>0</v>
      </c>
      <c r="O1107">
        <v>-0.99914849999999999</v>
      </c>
      <c r="P1107">
        <v>-4.5160970000000002E-2</v>
      </c>
      <c r="Q1107">
        <v>3.8818480000000002E-2</v>
      </c>
      <c r="R1107">
        <v>-0.99822569999999999</v>
      </c>
      <c r="S1107">
        <v>-0.36190800000000001</v>
      </c>
      <c r="T1107">
        <v>-7.6261999999999996E-2</v>
      </c>
      <c r="U1107">
        <v>-2.9918520000000002</v>
      </c>
      <c r="V1107">
        <v>8.4070149999999996E-2</v>
      </c>
      <c r="W1107">
        <v>5.221692E-2</v>
      </c>
      <c r="X1107">
        <v>0.99509069999999999</v>
      </c>
      <c r="Y1107">
        <v>0.158688</v>
      </c>
      <c r="Z1107">
        <v>2.5199269999999999E-2</v>
      </c>
      <c r="AA1107">
        <v>0.98700710000000003</v>
      </c>
      <c r="AB1107">
        <v>20</v>
      </c>
      <c r="AC1107">
        <v>-5.2764999999999898</v>
      </c>
      <c r="AD1107">
        <v>-1.110121079799</v>
      </c>
      <c r="AE1107">
        <v>-43.338299999999997</v>
      </c>
      <c r="AF1107">
        <v>6.9586480000158897</v>
      </c>
      <c r="AG1107">
        <v>-1.110121079799</v>
      </c>
      <c r="AH1107">
        <v>43.071621374837797</v>
      </c>
      <c r="AI1107">
        <v>91.457514497907695</v>
      </c>
      <c r="AJ1107">
        <v>80.822598067061804</v>
      </c>
      <c r="AK1107">
        <v>43.644240383552599</v>
      </c>
      <c r="AL1107">
        <v>87.006829460121693</v>
      </c>
      <c r="AM1107">
        <v>85.170839035913602</v>
      </c>
      <c r="AN1107">
        <v>0.99999994904089795</v>
      </c>
    </row>
    <row r="1108" spans="1:40" x14ac:dyDescent="0.25">
      <c r="A1108" t="str">
        <f>"20190312154527368"</f>
        <v>20190312154527368</v>
      </c>
      <c r="B1108" t="str">
        <f>"1552376727357613"</f>
        <v>1552376727357613</v>
      </c>
      <c r="C1108" t="s">
        <v>40</v>
      </c>
      <c r="D1108">
        <v>4.4712719999999999</v>
      </c>
      <c r="E1108">
        <v>0.52849099999999904</v>
      </c>
      <c r="F1108" t="s">
        <v>53</v>
      </c>
      <c r="G1108">
        <v>-196.2225</v>
      </c>
      <c r="H1108" s="1">
        <v>2.5108000000000002E-6</v>
      </c>
      <c r="I1108">
        <v>288.62009999999998</v>
      </c>
      <c r="J1108">
        <v>-191.77289999999999</v>
      </c>
      <c r="K1108">
        <v>1.11009</v>
      </c>
      <c r="L1108">
        <v>325.38249999999999</v>
      </c>
      <c r="M1108">
        <v>3.9007550000000002E-2</v>
      </c>
      <c r="N1108">
        <v>0</v>
      </c>
      <c r="O1108">
        <v>-0.99915019999999999</v>
      </c>
      <c r="P1108">
        <v>-4.536954E-2</v>
      </c>
      <c r="Q1108">
        <v>3.8605630000000002E-2</v>
      </c>
      <c r="R1108">
        <v>-0.99822440000000001</v>
      </c>
      <c r="S1108">
        <v>-0.35963440000000002</v>
      </c>
      <c r="T1108">
        <v>-8.9880589999999996E-2</v>
      </c>
      <c r="U1108">
        <v>-2.9925839999999999</v>
      </c>
      <c r="V1108">
        <v>8.4278690000000003E-2</v>
      </c>
      <c r="W1108">
        <v>5.1870260000000001E-2</v>
      </c>
      <c r="X1108">
        <v>0.99509130000000001</v>
      </c>
      <c r="Y1108">
        <v>0.157905399999999</v>
      </c>
      <c r="Z1108">
        <v>2.9691550000000001E-2</v>
      </c>
      <c r="AA1108">
        <v>0.98700770000000004</v>
      </c>
      <c r="AB1108">
        <v>20</v>
      </c>
      <c r="AC1108">
        <v>-4.4496000000000002</v>
      </c>
      <c r="AD1108">
        <v>-1.1100874892000001</v>
      </c>
      <c r="AE1108">
        <v>-36.7624</v>
      </c>
      <c r="AF1108">
        <v>5.8750715375914799</v>
      </c>
      <c r="AG1108">
        <v>-1.1100874892000001</v>
      </c>
      <c r="AH1108">
        <v>36.528006489645897</v>
      </c>
      <c r="AI1108">
        <v>91.718611471976402</v>
      </c>
      <c r="AJ1108">
        <v>80.862944354087702</v>
      </c>
      <c r="AK1108">
        <v>37.0141056613976</v>
      </c>
      <c r="AL1108">
        <v>87.026718895045803</v>
      </c>
      <c r="AM1108">
        <v>85.158919838833896</v>
      </c>
      <c r="AN1108">
        <v>1.0000000583981301</v>
      </c>
    </row>
    <row r="1109" spans="1:40" x14ac:dyDescent="0.25">
      <c r="A1109" t="str">
        <f>"20190312154527389"</f>
        <v>20190312154527389</v>
      </c>
      <c r="B1109" t="str">
        <f>"1552376727377134"</f>
        <v>1552376727377134</v>
      </c>
      <c r="C1109" t="s">
        <v>40</v>
      </c>
      <c r="D1109">
        <v>4.4636380000000004</v>
      </c>
      <c r="E1109">
        <v>0.52731779999999995</v>
      </c>
      <c r="F1109" t="s">
        <v>53</v>
      </c>
      <c r="G1109">
        <v>-195.78800000000001</v>
      </c>
      <c r="H1109" s="1">
        <v>1.759275E-6</v>
      </c>
      <c r="I1109">
        <v>291.72680000000003</v>
      </c>
      <c r="J1109">
        <v>-191.7654</v>
      </c>
      <c r="K1109">
        <v>1.1100449999999999</v>
      </c>
      <c r="L1109">
        <v>325.19080000000002</v>
      </c>
      <c r="M1109">
        <v>3.9007819999999999E-2</v>
      </c>
      <c r="N1109">
        <v>0</v>
      </c>
      <c r="O1109">
        <v>-0.99915279999999995</v>
      </c>
      <c r="P1109">
        <v>-4.563685E-2</v>
      </c>
      <c r="Q1109">
        <v>3.9181720000000003E-2</v>
      </c>
      <c r="R1109">
        <v>-0.99818969999999996</v>
      </c>
      <c r="S1109">
        <v>-0.35705569999999998</v>
      </c>
      <c r="T1109">
        <v>-9.8717570000000004E-2</v>
      </c>
      <c r="U1109">
        <v>-2.9929199999999998</v>
      </c>
      <c r="V1109">
        <v>8.4544629999999996E-2</v>
      </c>
      <c r="W1109">
        <v>5.2252149999999997E-2</v>
      </c>
      <c r="X1109">
        <v>0.99504870000000001</v>
      </c>
      <c r="Y1109">
        <v>0.15704319999999999</v>
      </c>
      <c r="Z1109">
        <v>3.2608070000000003E-2</v>
      </c>
      <c r="AA1109">
        <v>0.98705330000000002</v>
      </c>
      <c r="AB1109">
        <v>20</v>
      </c>
      <c r="AC1109">
        <v>-4.0225999999999802</v>
      </c>
      <c r="AD1109">
        <v>-1.110043240725</v>
      </c>
      <c r="AE1109">
        <v>-33.463999999999999</v>
      </c>
      <c r="AF1109">
        <v>5.3192383399461196</v>
      </c>
      <c r="AG1109">
        <v>-1.110043240725</v>
      </c>
      <c r="AH1109">
        <v>33.245539881317001</v>
      </c>
      <c r="AI1109">
        <v>91.888351961002499</v>
      </c>
      <c r="AJ1109">
        <v>80.909803807132604</v>
      </c>
      <c r="AK1109">
        <v>33.686680075567999</v>
      </c>
      <c r="AL1109">
        <v>87.004808318626402</v>
      </c>
      <c r="AM1109">
        <v>85.143509920384602</v>
      </c>
      <c r="AN1109">
        <v>0.99999999850657395</v>
      </c>
    </row>
    <row r="1110" spans="1:40" x14ac:dyDescent="0.25">
      <c r="A1110" t="str">
        <f>"20190312154527411"</f>
        <v>20190312154527411</v>
      </c>
      <c r="B1110" t="str">
        <f>"1552376727397629"</f>
        <v>1552376727397629</v>
      </c>
      <c r="C1110" t="s">
        <v>40</v>
      </c>
      <c r="D1110">
        <v>4.4671260000000004</v>
      </c>
      <c r="E1110">
        <v>0.52548039999999996</v>
      </c>
      <c r="F1110" t="s">
        <v>53</v>
      </c>
      <c r="G1110">
        <v>-195.59620000000001</v>
      </c>
      <c r="H1110" s="1">
        <v>1.6777860000000001E-6</v>
      </c>
      <c r="I1110">
        <v>292.28620000000001</v>
      </c>
      <c r="J1110">
        <v>-191.7578</v>
      </c>
      <c r="K1110">
        <v>1.10999</v>
      </c>
      <c r="L1110">
        <v>324.99639999999999</v>
      </c>
      <c r="M1110">
        <v>3.9008170000000002E-2</v>
      </c>
      <c r="N1110">
        <v>0</v>
      </c>
      <c r="O1110">
        <v>-0.99915620000000005</v>
      </c>
      <c r="P1110">
        <v>-4.5907419999999997E-2</v>
      </c>
      <c r="Q1110">
        <v>4.017685E-2</v>
      </c>
      <c r="R1110">
        <v>-0.99813759999999996</v>
      </c>
      <c r="S1110">
        <v>-0.34849550000000001</v>
      </c>
      <c r="T1110">
        <v>-0.10098409999999999</v>
      </c>
      <c r="U1110">
        <v>-2.993439</v>
      </c>
      <c r="V1110">
        <v>8.4813199999999894E-2</v>
      </c>
      <c r="W1110">
        <v>5.2986419999999999E-2</v>
      </c>
      <c r="X1110">
        <v>0.99498699999999995</v>
      </c>
      <c r="Y1110">
        <v>0.15423589999999901</v>
      </c>
      <c r="Z1110">
        <v>3.3363160000000003E-2</v>
      </c>
      <c r="AA1110">
        <v>0.98747059999999998</v>
      </c>
      <c r="AB1110">
        <v>20</v>
      </c>
      <c r="AC1110">
        <v>-3.8384</v>
      </c>
      <c r="AD1110">
        <v>-1.1099883222139999</v>
      </c>
      <c r="AE1110">
        <v>-32.710199999999901</v>
      </c>
      <c r="AF1110">
        <v>5.1057490626624897</v>
      </c>
      <c r="AG1110">
        <v>-1.1099883222139999</v>
      </c>
      <c r="AH1110">
        <v>32.498644111091302</v>
      </c>
      <c r="AI1110">
        <v>91.932486290192998</v>
      </c>
      <c r="AJ1110">
        <v>81.071441390463093</v>
      </c>
      <c r="AK1110">
        <v>32.915993325824097</v>
      </c>
      <c r="AL1110">
        <v>86.962679340670903</v>
      </c>
      <c r="AM1110">
        <v>85.127855960120399</v>
      </c>
      <c r="AN1110">
        <v>0.99999998488382802</v>
      </c>
    </row>
    <row r="1111" spans="1:40" x14ac:dyDescent="0.25">
      <c r="A1111" t="str">
        <f>"20190312154527458"</f>
        <v>20190312154527458</v>
      </c>
      <c r="B1111" t="str">
        <f>"1552376727447406"</f>
        <v>1552376727447406</v>
      </c>
      <c r="C1111" t="s">
        <v>40</v>
      </c>
      <c r="D1111">
        <v>4.49796</v>
      </c>
      <c r="E1111">
        <v>0.5214162</v>
      </c>
      <c r="F1111" t="s">
        <v>53</v>
      </c>
      <c r="G1111">
        <v>-195.398</v>
      </c>
      <c r="H1111" s="1">
        <v>1.6700249999999999E-6</v>
      </c>
      <c r="I1111">
        <v>292.43</v>
      </c>
      <c r="J1111">
        <v>-191.74170000000001</v>
      </c>
      <c r="K1111">
        <v>1.109842</v>
      </c>
      <c r="L1111">
        <v>324.58359999999999</v>
      </c>
      <c r="M1111">
        <v>3.9009240000000001E-2</v>
      </c>
      <c r="N1111">
        <v>0</v>
      </c>
      <c r="O1111">
        <v>-0.999166</v>
      </c>
      <c r="P1111">
        <v>-4.6724620000000001E-2</v>
      </c>
      <c r="Q1111">
        <v>4.207843E-2</v>
      </c>
      <c r="R1111">
        <v>-0.99802109999999999</v>
      </c>
      <c r="S1111">
        <v>-0.33470149999999999</v>
      </c>
      <c r="T1111">
        <v>-0.1020582</v>
      </c>
      <c r="U1111">
        <v>-2.9943240000000002</v>
      </c>
      <c r="V1111">
        <v>8.5626010000000002E-2</v>
      </c>
      <c r="W1111">
        <v>5.4087280000000001E-2</v>
      </c>
      <c r="X1111">
        <v>0.99485809999999997</v>
      </c>
      <c r="Y1111">
        <v>0.1497095</v>
      </c>
      <c r="Z1111">
        <v>3.3728300000000003E-2</v>
      </c>
      <c r="AA1111">
        <v>0.98815459999999999</v>
      </c>
      <c r="AB1111">
        <v>20</v>
      </c>
      <c r="AC1111">
        <v>-3.6562999999999799</v>
      </c>
      <c r="AD1111">
        <v>-1.1098403299749999</v>
      </c>
      <c r="AE1111">
        <v>-32.153599999999898</v>
      </c>
      <c r="AF1111">
        <v>4.9021295166056902</v>
      </c>
      <c r="AG1111">
        <v>-1.1098403299749999</v>
      </c>
      <c r="AH1111">
        <v>31.948904476930799</v>
      </c>
      <c r="AI1111">
        <v>91.966543599377502</v>
      </c>
      <c r="AJ1111">
        <v>81.276765378245301</v>
      </c>
      <c r="AK1111">
        <v>32.341847761555996</v>
      </c>
      <c r="AL1111">
        <v>86.899513988716507</v>
      </c>
      <c r="AM1111">
        <v>85.080757437753604</v>
      </c>
      <c r="AN1111">
        <v>0.99999994329096198</v>
      </c>
    </row>
    <row r="1112" spans="1:40" x14ac:dyDescent="0.25">
      <c r="A1112" t="str">
        <f>"20190312154527478"</f>
        <v>20190312154527478</v>
      </c>
      <c r="B1112" t="str">
        <f>"1552376727466926"</f>
        <v>1552376727466926</v>
      </c>
      <c r="C1112" t="s">
        <v>40</v>
      </c>
      <c r="D1112">
        <v>4.5019280000000004</v>
      </c>
      <c r="E1112">
        <v>0.52066489999999999</v>
      </c>
      <c r="F1112" t="s">
        <v>53</v>
      </c>
      <c r="G1112">
        <v>-195.0223</v>
      </c>
      <c r="H1112" s="1">
        <v>1.7227029999999999E-6</v>
      </c>
      <c r="I1112">
        <v>292.32010000000002</v>
      </c>
      <c r="J1112">
        <v>-191.73429999999999</v>
      </c>
      <c r="K1112">
        <v>1.109775</v>
      </c>
      <c r="L1112">
        <v>324.39330000000001</v>
      </c>
      <c r="M1112">
        <v>3.9009670000000003E-2</v>
      </c>
      <c r="N1112">
        <v>0</v>
      </c>
      <c r="O1112">
        <v>-0.99917120000000004</v>
      </c>
      <c r="P1112">
        <v>-4.7032169999999998E-2</v>
      </c>
      <c r="Q1112">
        <v>4.3004239999999999E-2</v>
      </c>
      <c r="R1112">
        <v>-0.99796750000000001</v>
      </c>
      <c r="S1112">
        <v>-0.30464170000000002</v>
      </c>
      <c r="T1112">
        <v>-0.1030624</v>
      </c>
      <c r="U1112">
        <v>-2.9960629999999999</v>
      </c>
      <c r="V1112">
        <v>8.5931469999999996E-2</v>
      </c>
      <c r="W1112">
        <v>5.4597229999999997E-2</v>
      </c>
      <c r="X1112">
        <v>0.99480400000000002</v>
      </c>
      <c r="Y1112">
        <v>0.1398353</v>
      </c>
      <c r="Z1112">
        <v>3.4082990000000001E-2</v>
      </c>
      <c r="AA1112">
        <v>0.98958800000000002</v>
      </c>
      <c r="AB1112">
        <v>20</v>
      </c>
      <c r="AC1112">
        <v>-3.28800000000001</v>
      </c>
      <c r="AD1112">
        <v>-1.1097732772969999</v>
      </c>
      <c r="AE1112">
        <v>-32.0731999999999</v>
      </c>
      <c r="AF1112">
        <v>4.5313776961871302</v>
      </c>
      <c r="AG1112">
        <v>-1.1097732772969999</v>
      </c>
      <c r="AH1112">
        <v>31.882736639565501</v>
      </c>
      <c r="AI1112">
        <v>91.973725849866099</v>
      </c>
      <c r="AJ1112">
        <v>81.910934507013494</v>
      </c>
      <c r="AK1112">
        <v>32.2222574656153</v>
      </c>
      <c r="AL1112">
        <v>86.870253059409393</v>
      </c>
      <c r="AM1112">
        <v>85.063028087175596</v>
      </c>
      <c r="AN1112">
        <v>1.00000003673801</v>
      </c>
    </row>
    <row r="1113" spans="1:40" x14ac:dyDescent="0.25">
      <c r="A1113" t="str">
        <f>"20190312154527499"</f>
        <v>20190312154527499</v>
      </c>
      <c r="B1113" t="str">
        <f>"1552376727487421"</f>
        <v>1552376727487421</v>
      </c>
      <c r="C1113" t="s">
        <v>40</v>
      </c>
      <c r="D1113">
        <v>4.5043449999999998</v>
      </c>
      <c r="E1113">
        <v>0.52032699999999998</v>
      </c>
      <c r="F1113" t="s">
        <v>53</v>
      </c>
      <c r="G1113">
        <v>-194.94200000000001</v>
      </c>
      <c r="H1113" s="1">
        <v>1.735233E-6</v>
      </c>
      <c r="I1113">
        <v>292.2894</v>
      </c>
      <c r="J1113">
        <v>-191.7269</v>
      </c>
      <c r="K1113">
        <v>1.10972</v>
      </c>
      <c r="L1113">
        <v>324.2047</v>
      </c>
      <c r="M1113">
        <v>3.901015E-2</v>
      </c>
      <c r="N1113">
        <v>0</v>
      </c>
      <c r="O1113">
        <v>-0.9991757</v>
      </c>
      <c r="P1113">
        <v>-4.750418E-2</v>
      </c>
      <c r="Q1113">
        <v>4.3824509999999997E-2</v>
      </c>
      <c r="R1113">
        <v>-0.99790939999999995</v>
      </c>
      <c r="S1113">
        <v>-0.29939270000000001</v>
      </c>
      <c r="T1113">
        <v>-0.1035823</v>
      </c>
      <c r="U1113">
        <v>-2.9964599999999999</v>
      </c>
      <c r="V1113">
        <v>8.6401140000000001E-2</v>
      </c>
      <c r="W1113">
        <v>5.5009540000000003E-2</v>
      </c>
      <c r="X1113">
        <v>0.99474050000000003</v>
      </c>
      <c r="Y1113">
        <v>0.1381056</v>
      </c>
      <c r="Z1113">
        <v>3.4257379999999997E-2</v>
      </c>
      <c r="AA1113">
        <v>0.98982490000000001</v>
      </c>
      <c r="AB1113">
        <v>20</v>
      </c>
      <c r="AC1113">
        <v>-3.2151000000000001</v>
      </c>
      <c r="AD1113">
        <v>-1.1097182647669901</v>
      </c>
      <c r="AE1113">
        <v>-31.915299999999998</v>
      </c>
      <c r="AF1113">
        <v>4.4524226514969696</v>
      </c>
      <c r="AG1113">
        <v>-1.1097182647669901</v>
      </c>
      <c r="AH1113">
        <v>31.727600603131901</v>
      </c>
      <c r="AI1113">
        <v>91.983762918594095</v>
      </c>
      <c r="AJ1113">
        <v>82.011689644784198</v>
      </c>
      <c r="AK1113">
        <v>32.0577008240856</v>
      </c>
      <c r="AL1113">
        <v>86.846593558423507</v>
      </c>
      <c r="AM1113">
        <v>85.035863571250502</v>
      </c>
      <c r="AN1113">
        <v>0.99999993441227797</v>
      </c>
    </row>
    <row r="1114" spans="1:40" x14ac:dyDescent="0.25">
      <c r="A1114" t="str">
        <f>"20190312154527523"</f>
        <v>20190312154527523</v>
      </c>
      <c r="B1114" t="str">
        <f>"1552376727517678"</f>
        <v>1552376727517678</v>
      </c>
      <c r="C1114" t="s">
        <v>40</v>
      </c>
      <c r="D1114">
        <v>4.5372019999999997</v>
      </c>
      <c r="E1114">
        <v>0.52393339999999999</v>
      </c>
      <c r="F1114" t="s">
        <v>53</v>
      </c>
      <c r="G1114">
        <v>-194.9205</v>
      </c>
      <c r="H1114" s="1">
        <v>1.7805290000000001E-6</v>
      </c>
      <c r="I1114">
        <v>292.08920000000001</v>
      </c>
      <c r="J1114">
        <v>-191.7184</v>
      </c>
      <c r="K1114">
        <v>1.1096509999999999</v>
      </c>
      <c r="L1114">
        <v>323.98559999999998</v>
      </c>
      <c r="M1114">
        <v>3.9010450000000002E-2</v>
      </c>
      <c r="N1114">
        <v>0</v>
      </c>
      <c r="O1114">
        <v>-0.99918099999999999</v>
      </c>
      <c r="P1114">
        <v>-4.810909E-2</v>
      </c>
      <c r="Q1114">
        <v>4.4739439999999998E-2</v>
      </c>
      <c r="R1114">
        <v>-0.9978397</v>
      </c>
      <c r="S1114">
        <v>-0.2979889</v>
      </c>
      <c r="T1114">
        <v>-0.1035469</v>
      </c>
      <c r="U1114">
        <v>-2.9966740000000001</v>
      </c>
      <c r="V1114">
        <v>8.7002990000000002E-2</v>
      </c>
      <c r="W1114">
        <v>5.5440429999999999E-2</v>
      </c>
      <c r="X1114">
        <v>0.9946642</v>
      </c>
      <c r="Y1114">
        <v>0.1376396</v>
      </c>
      <c r="Z1114">
        <v>3.4245159999999997E-2</v>
      </c>
      <c r="AA1114">
        <v>0.98989020000000005</v>
      </c>
      <c r="AB1114">
        <v>20</v>
      </c>
      <c r="AC1114">
        <v>-3.2021000000000002</v>
      </c>
      <c r="AD1114">
        <v>-1.1096492194709999</v>
      </c>
      <c r="AE1114">
        <v>-31.8963999999999</v>
      </c>
      <c r="AF1114">
        <v>4.4387085722422697</v>
      </c>
      <c r="AG1114">
        <v>-1.1096492194709999</v>
      </c>
      <c r="AH1114">
        <v>31.7092008711261</v>
      </c>
      <c r="AI1114">
        <v>91.984885410184901</v>
      </c>
      <c r="AJ1114">
        <v>82.031416673907799</v>
      </c>
      <c r="AK1114">
        <v>32.037585350100798</v>
      </c>
      <c r="AL1114">
        <v>86.821867904901694</v>
      </c>
      <c r="AM1114">
        <v>85.001077659524995</v>
      </c>
      <c r="AN1114">
        <v>1.0000000161545799</v>
      </c>
    </row>
    <row r="1115" spans="1:40" x14ac:dyDescent="0.25">
      <c r="A1115" t="str">
        <f>"20190312154527545"</f>
        <v>20190312154527545</v>
      </c>
      <c r="B1115" t="str">
        <f>"1552376727537198"</f>
        <v>1552376727537198</v>
      </c>
      <c r="C1115" t="s">
        <v>40</v>
      </c>
      <c r="D1115">
        <v>4.5095669999999997</v>
      </c>
      <c r="E1115">
        <v>0.52574709999999902</v>
      </c>
      <c r="F1115" t="s">
        <v>41</v>
      </c>
      <c r="G1115">
        <v>-191.79599999999999</v>
      </c>
      <c r="H1115">
        <v>1.0224439999999999</v>
      </c>
      <c r="I1115">
        <v>323.25940000000003</v>
      </c>
      <c r="J1115">
        <v>-191.7106</v>
      </c>
      <c r="K1115">
        <v>1.10959599999999</v>
      </c>
      <c r="L1115">
        <v>323.78750000000002</v>
      </c>
      <c r="M1115">
        <v>3.9010660000000003E-2</v>
      </c>
      <c r="N1115">
        <v>0</v>
      </c>
      <c r="O1115">
        <v>-0.99918569999999995</v>
      </c>
      <c r="P1115">
        <v>-4.8762229999999997E-2</v>
      </c>
      <c r="Q1115">
        <v>4.539348E-2</v>
      </c>
      <c r="R1115">
        <v>-0.99777850000000001</v>
      </c>
      <c r="S1115">
        <v>-0.3212585</v>
      </c>
      <c r="T1115">
        <v>-0.36116350000000003</v>
      </c>
      <c r="U1115">
        <v>-3.007263</v>
      </c>
      <c r="V1115">
        <v>8.7653259999999997E-2</v>
      </c>
      <c r="W1115">
        <v>5.5642770000000001E-2</v>
      </c>
      <c r="X1115">
        <v>0.99459580000000003</v>
      </c>
      <c r="Y1115">
        <v>0.14418829999999999</v>
      </c>
      <c r="Z1115">
        <v>0.118149</v>
      </c>
      <c r="AA1115">
        <v>0.9824716</v>
      </c>
      <c r="AB1115">
        <v>20</v>
      </c>
      <c r="AC1115">
        <v>-8.5399999999992801E-2</v>
      </c>
      <c r="AD1115">
        <v>-8.7151999999999605E-2</v>
      </c>
      <c r="AE1115">
        <v>-0.52809999999999402</v>
      </c>
      <c r="AF1115">
        <v>0.10319865148792701</v>
      </c>
      <c r="AG1115">
        <v>-8.7151999999999605E-2</v>
      </c>
      <c r="AH1115">
        <v>0.510809082543773</v>
      </c>
      <c r="AI1115">
        <v>99.494100716291697</v>
      </c>
      <c r="AJ1115">
        <v>78.5782859365749</v>
      </c>
      <c r="AK1115">
        <v>0.52836668288428101</v>
      </c>
      <c r="AL1115">
        <v>86.810256729676496</v>
      </c>
      <c r="AM1115">
        <v>84.963562032378405</v>
      </c>
      <c r="AN1115">
        <v>1.00000000860977</v>
      </c>
    </row>
    <row r="1116" spans="1:40" x14ac:dyDescent="0.25">
      <c r="A1116" t="str">
        <f>"20190312154527589"</f>
        <v>20190312154527589</v>
      </c>
      <c r="B1116" t="str">
        <f>"1552376727586974"</f>
        <v>1552376727586974</v>
      </c>
      <c r="C1116" t="s">
        <v>40</v>
      </c>
      <c r="D1116">
        <v>4.5266859999999998</v>
      </c>
      <c r="E1116">
        <v>0.52899649999999998</v>
      </c>
      <c r="F1116" t="s">
        <v>41</v>
      </c>
      <c r="G1116">
        <v>-191.8065</v>
      </c>
      <c r="H1116">
        <v>0.96061600000000003</v>
      </c>
      <c r="I1116">
        <v>322.92200000000003</v>
      </c>
      <c r="J1116">
        <v>-191.69470000000001</v>
      </c>
      <c r="K1116">
        <v>1.10949599999999</v>
      </c>
      <c r="L1116">
        <v>323.37889999999999</v>
      </c>
      <c r="M1116">
        <v>3.9011919999999999E-2</v>
      </c>
      <c r="N1116">
        <v>0</v>
      </c>
      <c r="O1116">
        <v>-0.99919469999999999</v>
      </c>
      <c r="P1116">
        <v>-5.0070129999999997E-2</v>
      </c>
      <c r="Q1116">
        <v>4.7531940000000002E-2</v>
      </c>
      <c r="R1116">
        <v>-0.99761440000000001</v>
      </c>
      <c r="S1116">
        <v>-0.3333893</v>
      </c>
      <c r="T1116">
        <v>-0.51891019999999999</v>
      </c>
      <c r="U1116">
        <v>-3.0140380000000002</v>
      </c>
      <c r="V1116">
        <v>8.8954710000000006E-2</v>
      </c>
      <c r="W1116">
        <v>5.6888199999999903E-2</v>
      </c>
      <c r="X1116">
        <v>0.99440980000000001</v>
      </c>
      <c r="Y1116">
        <v>0.14706720000000001</v>
      </c>
      <c r="Z1116">
        <v>0.16805249999999999</v>
      </c>
      <c r="AA1116">
        <v>0.97474590000000005</v>
      </c>
      <c r="AB1116">
        <v>20</v>
      </c>
      <c r="AC1116">
        <v>-0.11179999999998801</v>
      </c>
      <c r="AD1116">
        <v>-0.14887999999999901</v>
      </c>
      <c r="AE1116">
        <v>-0.456899999999961</v>
      </c>
      <c r="AF1116">
        <v>0.11774468875845601</v>
      </c>
      <c r="AG1116">
        <v>-0.14887999999999901</v>
      </c>
      <c r="AH1116">
        <v>0.41101538346007599</v>
      </c>
      <c r="AI1116">
        <v>109.199039879194</v>
      </c>
      <c r="AJ1116">
        <v>74.014437484446503</v>
      </c>
      <c r="AK1116">
        <v>0.45272807685371003</v>
      </c>
      <c r="AL1116">
        <v>86.738785688151594</v>
      </c>
      <c r="AM1116">
        <v>84.888224744857496</v>
      </c>
      <c r="AN1116">
        <v>1.00000002903323</v>
      </c>
    </row>
    <row r="1117" spans="1:40" x14ac:dyDescent="0.25">
      <c r="A1117" t="str">
        <f>"20190312154527611"</f>
        <v>20190312154527611</v>
      </c>
      <c r="B1117" t="str">
        <f>"1552376727607470"</f>
        <v>1552376727607470</v>
      </c>
      <c r="C1117" t="s">
        <v>40</v>
      </c>
      <c r="D1117">
        <v>4.5660249999999998</v>
      </c>
      <c r="E1117">
        <v>0.52896239999999894</v>
      </c>
      <c r="F1117" t="s">
        <v>41</v>
      </c>
      <c r="G1117">
        <v>-191.79050000000001</v>
      </c>
      <c r="H1117">
        <v>0.92309090000000005</v>
      </c>
      <c r="I1117">
        <v>322.5702</v>
      </c>
      <c r="J1117">
        <v>-191.68680000000001</v>
      </c>
      <c r="K1117">
        <v>1.1094569999999999</v>
      </c>
      <c r="L1117">
        <v>323.1764</v>
      </c>
      <c r="M1117">
        <v>3.9012480000000002E-2</v>
      </c>
      <c r="N1117">
        <v>0</v>
      </c>
      <c r="O1117">
        <v>-0.99919809999999998</v>
      </c>
      <c r="P1117">
        <v>-5.079968E-2</v>
      </c>
      <c r="Q1117">
        <v>4.8444840000000003E-2</v>
      </c>
      <c r="R1117">
        <v>-0.99753309999999995</v>
      </c>
      <c r="S1117">
        <v>-0.35739140000000003</v>
      </c>
      <c r="T1117">
        <v>-0.69669969999999903</v>
      </c>
      <c r="U1117">
        <v>-3.0224299999999999</v>
      </c>
      <c r="V1117">
        <v>8.9680979999999993E-2</v>
      </c>
      <c r="W1117">
        <v>5.739996E-2</v>
      </c>
      <c r="X1117">
        <v>0.99431510000000001</v>
      </c>
      <c r="Y1117">
        <v>0.15313640000000001</v>
      </c>
      <c r="Z1117">
        <v>0.2222983</v>
      </c>
      <c r="AA1117">
        <v>0.96287730000000005</v>
      </c>
      <c r="AB1117">
        <v>21</v>
      </c>
      <c r="AC1117">
        <v>-0.103700000000003</v>
      </c>
      <c r="AD1117">
        <v>-0.18636610000000001</v>
      </c>
      <c r="AE1117">
        <v>-0.60620000000000096</v>
      </c>
      <c r="AF1117">
        <v>0.11656723170790299</v>
      </c>
      <c r="AG1117">
        <v>-0.18636610000000001</v>
      </c>
      <c r="AH1117">
        <v>0.55108742811326406</v>
      </c>
      <c r="AI1117">
        <v>108.307223214633</v>
      </c>
      <c r="AJ1117">
        <v>78.056713975870494</v>
      </c>
      <c r="AK1117">
        <v>0.59331070794461904</v>
      </c>
      <c r="AL1117">
        <v>86.709415833551603</v>
      </c>
      <c r="AM1117">
        <v>84.846225346268795</v>
      </c>
      <c r="AN1117">
        <v>0.99999997583488498</v>
      </c>
    </row>
    <row r="1118" spans="1:40" x14ac:dyDescent="0.25">
      <c r="A1118" t="str">
        <f>"20190312154527632"</f>
        <v>20190312154527632</v>
      </c>
      <c r="B1118" t="str">
        <f>"1552376727626990"</f>
        <v>1552376727626990</v>
      </c>
      <c r="C1118" t="s">
        <v>40</v>
      </c>
      <c r="D1118">
        <v>4.5247799999999998</v>
      </c>
      <c r="E1118">
        <v>0.5288583</v>
      </c>
      <c r="F1118" t="s">
        <v>41</v>
      </c>
      <c r="G1118">
        <v>-191.7808</v>
      </c>
      <c r="H1118">
        <v>0.92214700000000005</v>
      </c>
      <c r="I1118">
        <v>322.38470000000001</v>
      </c>
      <c r="J1118">
        <v>-191.679</v>
      </c>
      <c r="K1118">
        <v>1.1094189999999999</v>
      </c>
      <c r="L1118">
        <v>322.97489999999999</v>
      </c>
      <c r="M1118">
        <v>3.9012980000000003E-2</v>
      </c>
      <c r="N1118">
        <v>0</v>
      </c>
      <c r="O1118">
        <v>-0.99920169999999997</v>
      </c>
      <c r="P1118">
        <v>-5.1000009999999998E-2</v>
      </c>
      <c r="Q1118">
        <v>4.8909220000000003E-2</v>
      </c>
      <c r="R1118">
        <v>-0.99750050000000001</v>
      </c>
      <c r="S1118">
        <v>-0.35867310000000002</v>
      </c>
      <c r="T1118">
        <v>-0.71541880000000002</v>
      </c>
      <c r="U1118">
        <v>-3.0239259999999999</v>
      </c>
      <c r="V1118">
        <v>8.9880230000000005E-2</v>
      </c>
      <c r="W1118">
        <v>5.7488499999999998E-2</v>
      </c>
      <c r="X1118">
        <v>0.99429199999999995</v>
      </c>
      <c r="Y1118">
        <v>0.15333239999999901</v>
      </c>
      <c r="Z1118">
        <v>0.22784509999999999</v>
      </c>
      <c r="AA1118">
        <v>0.96154870000000003</v>
      </c>
      <c r="AB1118">
        <v>21</v>
      </c>
      <c r="AC1118">
        <v>-0.101799999999997</v>
      </c>
      <c r="AD1118">
        <v>-0.18727199999999999</v>
      </c>
      <c r="AE1118">
        <v>-0.59019999999998096</v>
      </c>
      <c r="AF1118">
        <v>0.11363815874371901</v>
      </c>
      <c r="AG1118">
        <v>-0.18727199999999999</v>
      </c>
      <c r="AH1118">
        <v>0.53360706805195401</v>
      </c>
      <c r="AI1118">
        <v>108.945158594473</v>
      </c>
      <c r="AJ1118">
        <v>77.977762708131493</v>
      </c>
      <c r="AK1118">
        <v>0.57681967388575195</v>
      </c>
      <c r="AL1118">
        <v>86.704334495744206</v>
      </c>
      <c r="AM1118">
        <v>84.834717391387201</v>
      </c>
      <c r="AN1118">
        <v>0.99999998232055098</v>
      </c>
    </row>
    <row r="1119" spans="1:40" x14ac:dyDescent="0.25">
      <c r="A1119" t="str">
        <f>"20190312154527656"</f>
        <v>20190312154527656</v>
      </c>
      <c r="B1119" t="str">
        <f>"1552376727647486"</f>
        <v>1552376727647486</v>
      </c>
      <c r="C1119" t="s">
        <v>40</v>
      </c>
      <c r="D1119">
        <v>4.4756460000000002</v>
      </c>
      <c r="E1119">
        <v>0.52873269999999895</v>
      </c>
      <c r="F1119" t="s">
        <v>41</v>
      </c>
      <c r="G1119">
        <v>-191.77099999999999</v>
      </c>
      <c r="H1119">
        <v>0.92242809999999997</v>
      </c>
      <c r="I1119">
        <v>322.1977</v>
      </c>
      <c r="J1119">
        <v>-191.6704</v>
      </c>
      <c r="K1119">
        <v>1.1093789999999999</v>
      </c>
      <c r="L1119">
        <v>322.75569999999999</v>
      </c>
      <c r="M1119">
        <v>3.9013600000000002E-2</v>
      </c>
      <c r="N1119">
        <v>0</v>
      </c>
      <c r="O1119">
        <v>-0.9992048</v>
      </c>
      <c r="P1119">
        <v>-5.127748E-2</v>
      </c>
      <c r="Q1119">
        <v>4.8962550000000001E-2</v>
      </c>
      <c r="R1119">
        <v>-0.99748340000000002</v>
      </c>
      <c r="S1119">
        <v>-0.35780329999999999</v>
      </c>
      <c r="T1119">
        <v>-0.72782979999999997</v>
      </c>
      <c r="U1119">
        <v>-3.024902</v>
      </c>
      <c r="V1119">
        <v>9.0157319999999999E-2</v>
      </c>
      <c r="W1119">
        <v>5.7145269999999998E-2</v>
      </c>
      <c r="X1119">
        <v>0.99428669999999997</v>
      </c>
      <c r="Y1119">
        <v>0.15292159999999999</v>
      </c>
      <c r="Z1119">
        <v>0.23152519999999999</v>
      </c>
      <c r="AA1119">
        <v>0.96073470000000005</v>
      </c>
      <c r="AB1119">
        <v>21</v>
      </c>
      <c r="AC1119">
        <v>-0.10059999999998499</v>
      </c>
      <c r="AD1119">
        <v>-0.1869509</v>
      </c>
      <c r="AE1119">
        <v>-0.55799999999999195</v>
      </c>
      <c r="AF1119">
        <v>0.1103020809099</v>
      </c>
      <c r="AG1119">
        <v>-0.1869509</v>
      </c>
      <c r="AH1119">
        <v>0.49936144849158298</v>
      </c>
      <c r="AI1119">
        <v>110.080793003534</v>
      </c>
      <c r="AJ1119">
        <v>77.544155973725395</v>
      </c>
      <c r="AK1119">
        <v>0.54449889283953201</v>
      </c>
      <c r="AL1119">
        <v>86.724032511695</v>
      </c>
      <c r="AM1119">
        <v>84.818852509900594</v>
      </c>
      <c r="AN1119">
        <v>0.99999998301492199</v>
      </c>
    </row>
    <row r="1120" spans="1:40" x14ac:dyDescent="0.25">
      <c r="A1120" t="str">
        <f>"20190312154527677"</f>
        <v>20190312154527677</v>
      </c>
      <c r="B1120" t="str">
        <f>"1552376727667006"</f>
        <v>1552376727667006</v>
      </c>
      <c r="C1120" t="s">
        <v>40</v>
      </c>
      <c r="D1120">
        <v>4.5336030000000003</v>
      </c>
      <c r="E1120">
        <v>0.52862509999999996</v>
      </c>
      <c r="F1120" t="s">
        <v>41</v>
      </c>
      <c r="G1120">
        <v>-191.75890000000001</v>
      </c>
      <c r="H1120">
        <v>0.92733569999999999</v>
      </c>
      <c r="I1120">
        <v>322.0077</v>
      </c>
      <c r="J1120">
        <v>-191.66239999999999</v>
      </c>
      <c r="K1120">
        <v>1.1093379999999999</v>
      </c>
      <c r="L1120">
        <v>322.5505</v>
      </c>
      <c r="M1120">
        <v>3.9014140000000003E-2</v>
      </c>
      <c r="N1120">
        <v>0</v>
      </c>
      <c r="O1120">
        <v>-0.99920759999999997</v>
      </c>
      <c r="P1120">
        <v>-5.1655880000000001E-2</v>
      </c>
      <c r="Q1120">
        <v>4.8938809999999999E-2</v>
      </c>
      <c r="R1120">
        <v>-0.99746500000000005</v>
      </c>
      <c r="S1120">
        <v>-0.35740660000000002</v>
      </c>
      <c r="T1120">
        <v>-0.73632089999999994</v>
      </c>
      <c r="U1120">
        <v>-3.025299</v>
      </c>
      <c r="V1120">
        <v>9.0535130000000005E-2</v>
      </c>
      <c r="W1120">
        <v>5.676204E-2</v>
      </c>
      <c r="X1120">
        <v>0.99427430000000006</v>
      </c>
      <c r="Y1120">
        <v>0.15271189999999901</v>
      </c>
      <c r="Z1120">
        <v>0.2340535</v>
      </c>
      <c r="AA1120">
        <v>0.96015519999999999</v>
      </c>
      <c r="AB1120">
        <v>21</v>
      </c>
      <c r="AC1120">
        <v>-9.6500000000020195E-2</v>
      </c>
      <c r="AD1120">
        <v>-0.18200229999999901</v>
      </c>
      <c r="AE1120">
        <v>-0.54279999999999895</v>
      </c>
      <c r="AF1120">
        <v>0.10604673298252699</v>
      </c>
      <c r="AG1120">
        <v>-0.18200229999999901</v>
      </c>
      <c r="AH1120">
        <v>0.48568966302486499</v>
      </c>
      <c r="AI1120">
        <v>110.10790457264299</v>
      </c>
      <c r="AJ1120">
        <v>77.683192178128394</v>
      </c>
      <c r="AK1120">
        <v>0.52940078914822597</v>
      </c>
      <c r="AL1120">
        <v>86.746025601822794</v>
      </c>
      <c r="AM1120">
        <v>84.797194959396606</v>
      </c>
      <c r="AN1120">
        <v>0.99999996129478297</v>
      </c>
    </row>
    <row r="1121" spans="1:40" x14ac:dyDescent="0.25">
      <c r="A1121" t="str">
        <f>"20190312154527701"</f>
        <v>20190312154527701</v>
      </c>
      <c r="B1121" t="str">
        <f>"1552376727697262"</f>
        <v>1552376727697262</v>
      </c>
      <c r="C1121" t="s">
        <v>40</v>
      </c>
      <c r="D1121">
        <v>4.4587760000000003</v>
      </c>
      <c r="E1121">
        <v>0.52832380000000001</v>
      </c>
      <c r="F1121" t="s">
        <v>41</v>
      </c>
      <c r="G1121">
        <v>-191.7492</v>
      </c>
      <c r="H1121">
        <v>0.92943580000000003</v>
      </c>
      <c r="I1121">
        <v>321.8177</v>
      </c>
      <c r="J1121">
        <v>-191.654</v>
      </c>
      <c r="K1121">
        <v>1.1093010000000001</v>
      </c>
      <c r="L1121">
        <v>322.33569999999997</v>
      </c>
      <c r="M1121">
        <v>3.9014689999999998E-2</v>
      </c>
      <c r="N1121">
        <v>0</v>
      </c>
      <c r="O1121">
        <v>-0.9992105</v>
      </c>
      <c r="P1121">
        <v>-5.2092659999999999E-2</v>
      </c>
      <c r="Q1121">
        <v>4.8711339999999999E-2</v>
      </c>
      <c r="R1121">
        <v>-0.99745360000000005</v>
      </c>
      <c r="S1121">
        <v>-0.35755920000000002</v>
      </c>
      <c r="T1121">
        <v>-0.74294910000000003</v>
      </c>
      <c r="U1121">
        <v>-3.0255740000000002</v>
      </c>
      <c r="V1121">
        <v>9.0971540000000004E-2</v>
      </c>
      <c r="W1121">
        <v>5.6180750000000002E-2</v>
      </c>
      <c r="X1121">
        <v>0.99426749999999997</v>
      </c>
      <c r="Y1121">
        <v>0.15269389999999999</v>
      </c>
      <c r="Z1121">
        <v>0.23602139999999999</v>
      </c>
      <c r="AA1121">
        <v>0.95967630000000004</v>
      </c>
      <c r="AB1121">
        <v>21</v>
      </c>
      <c r="AC1121">
        <v>-9.5199999999976997E-2</v>
      </c>
      <c r="AD1121">
        <v>-0.1798652</v>
      </c>
      <c r="AE1121">
        <v>-0.51799999999997204</v>
      </c>
      <c r="AF1121">
        <v>0.103290930312747</v>
      </c>
      <c r="AG1121">
        <v>-0.1798652</v>
      </c>
      <c r="AH1121">
        <v>0.46021650403396802</v>
      </c>
      <c r="AI1121">
        <v>110.87388354257899</v>
      </c>
      <c r="AJ1121">
        <v>77.350167070251004</v>
      </c>
      <c r="AK1121">
        <v>0.50479672843745704</v>
      </c>
      <c r="AL1121">
        <v>86.779384359695797</v>
      </c>
      <c r="AM1121">
        <v>84.772218748752195</v>
      </c>
      <c r="AN1121">
        <v>0.99999997965839105</v>
      </c>
    </row>
    <row r="1122" spans="1:40" x14ac:dyDescent="0.25">
      <c r="A1122" t="str">
        <f>"20190312154527722"</f>
        <v>20190312154527722</v>
      </c>
      <c r="B1122" t="str">
        <f>"1552376727717758"</f>
        <v>1552376727717758</v>
      </c>
      <c r="C1122" t="s">
        <v>40</v>
      </c>
      <c r="D1122">
        <v>4.4981920000000004</v>
      </c>
      <c r="E1122">
        <v>0.52831629999999996</v>
      </c>
      <c r="F1122" t="s">
        <v>41</v>
      </c>
      <c r="G1122">
        <v>-191.73759999999999</v>
      </c>
      <c r="H1122">
        <v>0.93311569999999999</v>
      </c>
      <c r="I1122">
        <v>321.62610000000001</v>
      </c>
      <c r="J1122">
        <v>-191.6456</v>
      </c>
      <c r="K1122">
        <v>1.109275</v>
      </c>
      <c r="L1122">
        <v>322.12049999999999</v>
      </c>
      <c r="M1122">
        <v>3.9015269999999998E-2</v>
      </c>
      <c r="N1122">
        <v>0</v>
      </c>
      <c r="O1122">
        <v>-0.99921289999999996</v>
      </c>
      <c r="P1122">
        <v>-5.2851639999999998E-2</v>
      </c>
      <c r="Q1122">
        <v>4.9634539999999998E-2</v>
      </c>
      <c r="R1122">
        <v>-0.99736820000000004</v>
      </c>
      <c r="S1122">
        <v>-0.35621639999999999</v>
      </c>
      <c r="T1122">
        <v>-0.75127169999999999</v>
      </c>
      <c r="U1122">
        <v>-3.025757</v>
      </c>
      <c r="V1122">
        <v>9.1727130000000004E-2</v>
      </c>
      <c r="W1122">
        <v>5.6786789999999997E-2</v>
      </c>
      <c r="X1122">
        <v>0.99416369999999998</v>
      </c>
      <c r="Y1122">
        <v>0.1521962</v>
      </c>
      <c r="Z1122">
        <v>0.238515</v>
      </c>
      <c r="AA1122">
        <v>0.95913859999999995</v>
      </c>
      <c r="AB1122">
        <v>21</v>
      </c>
      <c r="AC1122">
        <v>-9.1999999999984497E-2</v>
      </c>
      <c r="AD1122">
        <v>-0.17615929999999999</v>
      </c>
      <c r="AE1122">
        <v>-0.49439999999998402</v>
      </c>
      <c r="AF1122">
        <v>9.9063751642469194E-2</v>
      </c>
      <c r="AG1122">
        <v>-0.17615929999999999</v>
      </c>
      <c r="AH1122">
        <v>0.43683163733921998</v>
      </c>
      <c r="AI1122">
        <v>111.468713770235</v>
      </c>
      <c r="AJ1122">
        <v>77.222697033134693</v>
      </c>
      <c r="AK1122">
        <v>0.481318610949582</v>
      </c>
      <c r="AL1122">
        <v>86.744605477645706</v>
      </c>
      <c r="AM1122">
        <v>84.728494260576696</v>
      </c>
      <c r="AN1122">
        <v>1.00000003414711</v>
      </c>
    </row>
    <row r="1123" spans="1:40" x14ac:dyDescent="0.25">
      <c r="A1123" t="str">
        <f>"20190312154527746"</f>
        <v>20190312154527746</v>
      </c>
      <c r="B1123" t="str">
        <f>"1552376727737278"</f>
        <v>1552376727737278</v>
      </c>
      <c r="C1123" t="s">
        <v>40</v>
      </c>
      <c r="D1123">
        <v>4.4836340000000003</v>
      </c>
      <c r="E1123">
        <v>0.52816770000000002</v>
      </c>
      <c r="F1123" t="s">
        <v>41</v>
      </c>
      <c r="G1123">
        <v>-191.72730000000001</v>
      </c>
      <c r="H1123">
        <v>0.93875220000000004</v>
      </c>
      <c r="I1123">
        <v>321.43239999999997</v>
      </c>
      <c r="J1123">
        <v>-191.63740000000001</v>
      </c>
      <c r="K1123">
        <v>1.109262</v>
      </c>
      <c r="L1123">
        <v>321.90989999999999</v>
      </c>
      <c r="M1123">
        <v>3.9015830000000001E-2</v>
      </c>
      <c r="N1123">
        <v>0</v>
      </c>
      <c r="O1123">
        <v>-0.99921450000000001</v>
      </c>
      <c r="P1123">
        <v>-5.2917520000000003E-2</v>
      </c>
      <c r="Q1123">
        <v>5.0743339999999998E-2</v>
      </c>
      <c r="R1123">
        <v>-0.99730890000000005</v>
      </c>
      <c r="S1123">
        <v>-0.35887150000000001</v>
      </c>
      <c r="T1123">
        <v>-0.74988540000000004</v>
      </c>
      <c r="U1123">
        <v>-3.0262150000000001</v>
      </c>
      <c r="V1123">
        <v>9.1791159999999997E-2</v>
      </c>
      <c r="W1123">
        <v>5.7641320000000003E-2</v>
      </c>
      <c r="X1123">
        <v>0.99410860000000001</v>
      </c>
      <c r="Y1123">
        <v>0.1530233</v>
      </c>
      <c r="Z1123">
        <v>0.23803969999999999</v>
      </c>
      <c r="AA1123">
        <v>0.95912509999999995</v>
      </c>
      <c r="AB1123">
        <v>21</v>
      </c>
      <c r="AC1123">
        <v>-8.9899999999999994E-2</v>
      </c>
      <c r="AD1123">
        <v>-0.17050979999999999</v>
      </c>
      <c r="AE1123">
        <v>-0.47750000000002002</v>
      </c>
      <c r="AF1123">
        <v>9.6569764122944199E-2</v>
      </c>
      <c r="AG1123">
        <v>-0.17050979999999999</v>
      </c>
      <c r="AH1123">
        <v>0.42169791455792</v>
      </c>
      <c r="AI1123">
        <v>111.511306433752</v>
      </c>
      <c r="AJ1123">
        <v>77.101542902906104</v>
      </c>
      <c r="AK1123">
        <v>0.46500370147053599</v>
      </c>
      <c r="AL1123">
        <v>86.695564147956205</v>
      </c>
      <c r="AM1123">
        <v>84.724544511033201</v>
      </c>
      <c r="AN1123">
        <v>1.00000002370972</v>
      </c>
    </row>
    <row r="1124" spans="1:40" x14ac:dyDescent="0.25">
      <c r="A1124" t="str">
        <f>"20190312154527770"</f>
        <v>20190312154527770</v>
      </c>
      <c r="B1124" t="str">
        <f>"1552376727767534"</f>
        <v>1552376727767534</v>
      </c>
      <c r="C1124" t="s">
        <v>40</v>
      </c>
      <c r="D1124">
        <v>4.4448150000000002</v>
      </c>
      <c r="E1124">
        <v>0.52816090000000004</v>
      </c>
      <c r="F1124" t="s">
        <v>41</v>
      </c>
      <c r="G1124">
        <v>-191.73779999999999</v>
      </c>
      <c r="H1124">
        <v>0.89997680000000002</v>
      </c>
      <c r="I1124">
        <v>321.06200000000001</v>
      </c>
      <c r="J1124">
        <v>-191.62780000000001</v>
      </c>
      <c r="K1124">
        <v>1.1092679999999999</v>
      </c>
      <c r="L1124">
        <v>321.66390000000001</v>
      </c>
      <c r="M1124">
        <v>3.9016540000000002E-2</v>
      </c>
      <c r="N1124">
        <v>0</v>
      </c>
      <c r="O1124">
        <v>-0.99921599999999999</v>
      </c>
      <c r="P1124">
        <v>-5.3123490000000002E-2</v>
      </c>
      <c r="Q1124">
        <v>5.1507829999999998E-2</v>
      </c>
      <c r="R1124">
        <v>-0.9972586</v>
      </c>
      <c r="S1124">
        <v>-0.3579254</v>
      </c>
      <c r="T1124">
        <v>-0.74707730000000006</v>
      </c>
      <c r="U1124">
        <v>-3.0270389999999998</v>
      </c>
      <c r="V1124">
        <v>9.19957E-2</v>
      </c>
      <c r="W1124">
        <v>5.8192569999999999E-2</v>
      </c>
      <c r="X1124">
        <v>0.99405750000000004</v>
      </c>
      <c r="Y1124">
        <v>0.15272349999999901</v>
      </c>
      <c r="Z1124">
        <v>0.23714840000000001</v>
      </c>
      <c r="AA1124">
        <v>0.95939359999999996</v>
      </c>
      <c r="AB1124">
        <v>22</v>
      </c>
      <c r="AC1124">
        <v>-0.109999999999985</v>
      </c>
      <c r="AD1124">
        <v>-0.20929119999999901</v>
      </c>
      <c r="AE1124">
        <v>-0.60189999999999999</v>
      </c>
      <c r="AF1124">
        <v>0.119427795476081</v>
      </c>
      <c r="AG1124">
        <v>-0.20929119999999901</v>
      </c>
      <c r="AH1124">
        <v>0.53460148957583298</v>
      </c>
      <c r="AI1124">
        <v>110.910475988359</v>
      </c>
      <c r="AJ1124">
        <v>77.407124524734797</v>
      </c>
      <c r="AK1124">
        <v>0.58639965670728</v>
      </c>
      <c r="AL1124">
        <v>86.663926492812095</v>
      </c>
      <c r="AM1124">
        <v>84.712585411168902</v>
      </c>
      <c r="AN1124">
        <v>0.99999994866397102</v>
      </c>
    </row>
    <row r="1125" spans="1:40" x14ac:dyDescent="0.25">
      <c r="A1125" t="str">
        <f>"20190312154527791"</f>
        <v>20190312154527791</v>
      </c>
      <c r="B1125" t="str">
        <f>"1552376727787054"</f>
        <v>1552376727787054</v>
      </c>
      <c r="C1125" t="s">
        <v>40</v>
      </c>
      <c r="D1125">
        <v>4.4476120000000003</v>
      </c>
      <c r="E1125">
        <v>0.52823759999999997</v>
      </c>
      <c r="F1125" t="s">
        <v>41</v>
      </c>
      <c r="G1125">
        <v>-191.7226</v>
      </c>
      <c r="H1125">
        <v>0.91199110000000005</v>
      </c>
      <c r="I1125">
        <v>320.86340000000001</v>
      </c>
      <c r="J1125">
        <v>-191.61969999999999</v>
      </c>
      <c r="K1125">
        <v>1.109272</v>
      </c>
      <c r="L1125">
        <v>321.45729999999998</v>
      </c>
      <c r="M1125">
        <v>3.9017200000000002E-2</v>
      </c>
      <c r="N1125">
        <v>0</v>
      </c>
      <c r="O1125">
        <v>-0.99921720000000003</v>
      </c>
      <c r="P1125">
        <v>-5.2928969999999999E-2</v>
      </c>
      <c r="Q1125">
        <v>5.1629000000000001E-2</v>
      </c>
      <c r="R1125">
        <v>-0.99726289999999995</v>
      </c>
      <c r="S1125">
        <v>-0.35876459999999999</v>
      </c>
      <c r="T1125">
        <v>-0.74615589999999998</v>
      </c>
      <c r="U1125">
        <v>-3.027679</v>
      </c>
      <c r="V1125">
        <v>9.1802110000000006E-2</v>
      </c>
      <c r="W1125">
        <v>5.8184479999999997E-2</v>
      </c>
      <c r="X1125">
        <v>0.99407590000000001</v>
      </c>
      <c r="Y1125">
        <v>0.1529722</v>
      </c>
      <c r="Z1125">
        <v>0.23681740000000001</v>
      </c>
      <c r="AA1125">
        <v>0.95943579999999995</v>
      </c>
      <c r="AB1125">
        <v>22</v>
      </c>
      <c r="AC1125">
        <v>-0.102900000000005</v>
      </c>
      <c r="AD1125">
        <v>-0.19728090000000001</v>
      </c>
      <c r="AE1125">
        <v>-0.59389999999996201</v>
      </c>
      <c r="AF1125">
        <v>0.113803094840493</v>
      </c>
      <c r="AG1125">
        <v>-0.19728090000000001</v>
      </c>
      <c r="AH1125">
        <v>0.53239865169466005</v>
      </c>
      <c r="AI1125">
        <v>109.91874745717099</v>
      </c>
      <c r="AJ1125">
        <v>77.934296049673705</v>
      </c>
      <c r="AK1125">
        <v>0.579067545478398</v>
      </c>
      <c r="AL1125">
        <v>86.664390900500706</v>
      </c>
      <c r="AM1125">
        <v>84.723746163460504</v>
      </c>
      <c r="AN1125">
        <v>0.99999997803706597</v>
      </c>
    </row>
    <row r="1126" spans="1:40" x14ac:dyDescent="0.25">
      <c r="A1126" t="str">
        <f>"20190312154527814"</f>
        <v>20190312154527814</v>
      </c>
      <c r="B1126" t="str">
        <f>"1552376727807551"</f>
        <v>1552376727807551</v>
      </c>
      <c r="C1126" t="s">
        <v>40</v>
      </c>
      <c r="D1126">
        <v>4.450342</v>
      </c>
      <c r="E1126">
        <v>0.52812859999999995</v>
      </c>
      <c r="F1126" t="s">
        <v>41</v>
      </c>
      <c r="G1126">
        <v>-191.71340000000001</v>
      </c>
      <c r="H1126">
        <v>0.91448879999999999</v>
      </c>
      <c r="I1126">
        <v>320.66759999999999</v>
      </c>
      <c r="J1126">
        <v>-191.6113</v>
      </c>
      <c r="K1126">
        <v>1.1092789999999999</v>
      </c>
      <c r="L1126">
        <v>321.2432</v>
      </c>
      <c r="M1126">
        <v>3.9017690000000001E-2</v>
      </c>
      <c r="N1126">
        <v>0</v>
      </c>
      <c r="O1126">
        <v>-0.99921740000000003</v>
      </c>
      <c r="P1126">
        <v>-5.3479699999999998E-2</v>
      </c>
      <c r="Q1126">
        <v>5.1437910000000003E-2</v>
      </c>
      <c r="R1126">
        <v>-0.99724330000000005</v>
      </c>
      <c r="S1126">
        <v>-0.35876459999999999</v>
      </c>
      <c r="T1126">
        <v>-0.74686839999999999</v>
      </c>
      <c r="U1126">
        <v>-3.0278930000000002</v>
      </c>
      <c r="V1126">
        <v>9.2352110000000001E-2</v>
      </c>
      <c r="W1126">
        <v>5.7909799999999997E-2</v>
      </c>
      <c r="X1126">
        <v>0.99404099999999995</v>
      </c>
      <c r="Y1126">
        <v>0.15295909999999999</v>
      </c>
      <c r="Z1126">
        <v>0.23701530000000001</v>
      </c>
      <c r="AA1126">
        <v>0.95938900000000005</v>
      </c>
      <c r="AB1126">
        <v>22</v>
      </c>
      <c r="AC1126">
        <v>-0.102100000000007</v>
      </c>
      <c r="AD1126">
        <v>-0.1947902</v>
      </c>
      <c r="AE1126">
        <v>-0.57560000000000799</v>
      </c>
      <c r="AF1126">
        <v>0.112041397056356</v>
      </c>
      <c r="AG1126">
        <v>-0.1947902</v>
      </c>
      <c r="AH1126">
        <v>0.51409782002881299</v>
      </c>
      <c r="AI1126">
        <v>110.314919526564</v>
      </c>
      <c r="AJ1126">
        <v>77.705325531512798</v>
      </c>
      <c r="AK1126">
        <v>0.56106422558273805</v>
      </c>
      <c r="AL1126">
        <v>86.680155505067304</v>
      </c>
      <c r="AM1126">
        <v>84.692130066481894</v>
      </c>
      <c r="AN1126">
        <v>0.99999998341924501</v>
      </c>
    </row>
    <row r="1127" spans="1:40" x14ac:dyDescent="0.25">
      <c r="A1127" t="str">
        <f>"20190312154527836"</f>
        <v>20190312154527836</v>
      </c>
      <c r="B1127" t="str">
        <f>"1552376727827071"</f>
        <v>1552376727827071</v>
      </c>
      <c r="C1127" t="s">
        <v>40</v>
      </c>
      <c r="D1127">
        <v>4.3918850000000003</v>
      </c>
      <c r="E1127">
        <v>0.52790740000000003</v>
      </c>
      <c r="F1127" t="s">
        <v>41</v>
      </c>
      <c r="G1127">
        <v>-191.703</v>
      </c>
      <c r="H1127">
        <v>0.91839859999999895</v>
      </c>
      <c r="I1127">
        <v>320.47050000000002</v>
      </c>
      <c r="J1127">
        <v>-191.60249999999999</v>
      </c>
      <c r="K1127">
        <v>1.1092879999999901</v>
      </c>
      <c r="L1127">
        <v>321.01799999999997</v>
      </c>
      <c r="M1127">
        <v>3.9018150000000001E-2</v>
      </c>
      <c r="N1127">
        <v>0</v>
      </c>
      <c r="O1127">
        <v>-0.99921760000000004</v>
      </c>
      <c r="P1127">
        <v>-5.4273259999999997E-2</v>
      </c>
      <c r="Q1127">
        <v>5.1144509999999997E-2</v>
      </c>
      <c r="R1127">
        <v>-0.99721559999999998</v>
      </c>
      <c r="S1127">
        <v>-0.35923769999999999</v>
      </c>
      <c r="T1127">
        <v>-0.74791969999999997</v>
      </c>
      <c r="U1127">
        <v>-3.0276489999999998</v>
      </c>
      <c r="V1127">
        <v>9.3144420000000006E-2</v>
      </c>
      <c r="W1127">
        <v>5.758895E-2</v>
      </c>
      <c r="X1127">
        <v>0.99398569999999997</v>
      </c>
      <c r="Y1127">
        <v>0.15310689999999999</v>
      </c>
      <c r="Z1127">
        <v>0.237343</v>
      </c>
      <c r="AA1127">
        <v>0.95928440000000004</v>
      </c>
      <c r="AB1127">
        <v>22</v>
      </c>
      <c r="AC1127">
        <v>-0.10050000000001</v>
      </c>
      <c r="AD1127">
        <v>-0.19088939999999999</v>
      </c>
      <c r="AE1127">
        <v>-0.54749999999995602</v>
      </c>
      <c r="AF1127">
        <v>0.108971435806561</v>
      </c>
      <c r="AG1127">
        <v>-0.19088939999999999</v>
      </c>
      <c r="AH1127">
        <v>0.48600771588375702</v>
      </c>
      <c r="AI1127">
        <v>110.96956331937101</v>
      </c>
      <c r="AJ1127">
        <v>77.362297162839297</v>
      </c>
      <c r="AK1127">
        <v>0.53340138428077799</v>
      </c>
      <c r="AL1127">
        <v>86.6985695462064</v>
      </c>
      <c r="AM1127">
        <v>84.646559964745094</v>
      </c>
      <c r="AN1127">
        <v>0.99999997097186399</v>
      </c>
    </row>
    <row r="1128" spans="1:40" x14ac:dyDescent="0.25">
      <c r="A1128" t="str">
        <f>"20190312154527857"</f>
        <v>20190312154527857</v>
      </c>
      <c r="B1128" t="str">
        <f>"1552376727847565"</f>
        <v>1552376727847565</v>
      </c>
      <c r="C1128" t="s">
        <v>40</v>
      </c>
      <c r="D1128">
        <v>4.388916</v>
      </c>
      <c r="E1128">
        <v>0.52778919999999996</v>
      </c>
      <c r="F1128" t="s">
        <v>41</v>
      </c>
      <c r="G1128">
        <v>-191.69130000000001</v>
      </c>
      <c r="H1128">
        <v>0.92483150000000003</v>
      </c>
      <c r="I1128">
        <v>320.27159999999998</v>
      </c>
      <c r="J1128">
        <v>-191.59460000000001</v>
      </c>
      <c r="K1128">
        <v>1.1093040000000001</v>
      </c>
      <c r="L1128">
        <v>320.815</v>
      </c>
      <c r="M1128">
        <v>3.9018459999999998E-2</v>
      </c>
      <c r="N1128">
        <v>0</v>
      </c>
      <c r="O1128">
        <v>-0.99921740000000003</v>
      </c>
      <c r="P1128">
        <v>-5.4788570000000002E-2</v>
      </c>
      <c r="Q1128">
        <v>5.0718970000000002E-2</v>
      </c>
      <c r="R1128">
        <v>-0.99720909999999996</v>
      </c>
      <c r="S1128">
        <v>-0.35980220000000002</v>
      </c>
      <c r="T1128">
        <v>-0.74810120000000002</v>
      </c>
      <c r="U1128">
        <v>-3.027161</v>
      </c>
      <c r="V1128">
        <v>9.365938E-2</v>
      </c>
      <c r="W1128">
        <v>5.718811E-2</v>
      </c>
      <c r="X1128">
        <v>0.99396050000000002</v>
      </c>
      <c r="Y1128">
        <v>0.1532993</v>
      </c>
      <c r="Z1128">
        <v>0.2374271</v>
      </c>
      <c r="AA1128">
        <v>0.95923290000000005</v>
      </c>
      <c r="AB1128">
        <v>22</v>
      </c>
      <c r="AC1128">
        <v>-9.6699999999998398E-2</v>
      </c>
      <c r="AD1128">
        <v>-0.18447250000000001</v>
      </c>
      <c r="AE1128">
        <v>-0.54340000000001898</v>
      </c>
      <c r="AF1128">
        <v>0.10598955618116999</v>
      </c>
      <c r="AG1128">
        <v>-0.18447250000000001</v>
      </c>
      <c r="AH1128">
        <v>0.48503115601284802</v>
      </c>
      <c r="AI1128">
        <v>110.383220308387</v>
      </c>
      <c r="AJ1128">
        <v>77.673427781618699</v>
      </c>
      <c r="AK1128">
        <v>0.52964054940958805</v>
      </c>
      <c r="AL1128">
        <v>86.721574052921497</v>
      </c>
      <c r="AM1128">
        <v>84.617000540211905</v>
      </c>
      <c r="AN1128">
        <v>1.0000000174738</v>
      </c>
    </row>
    <row r="1129" spans="1:40" x14ac:dyDescent="0.25">
      <c r="A1129" t="str">
        <f>"20190312154527878"</f>
        <v>20190312154527878</v>
      </c>
      <c r="B1129" t="str">
        <f>"1552376727868062"</f>
        <v>1552376727868062</v>
      </c>
      <c r="C1129" t="s">
        <v>40</v>
      </c>
      <c r="D1129">
        <v>4.3699680000000001</v>
      </c>
      <c r="E1129">
        <v>0.52766709999999994</v>
      </c>
      <c r="F1129" t="s">
        <v>41</v>
      </c>
      <c r="G1129">
        <v>-191.68299999999999</v>
      </c>
      <c r="H1129">
        <v>0.92589710000000003</v>
      </c>
      <c r="I1129">
        <v>320.07409999999999</v>
      </c>
      <c r="J1129">
        <v>-191.58629999999999</v>
      </c>
      <c r="K1129">
        <v>1.1093230000000001</v>
      </c>
      <c r="L1129">
        <v>320.60359999999997</v>
      </c>
      <c r="M1129">
        <v>3.901872E-2</v>
      </c>
      <c r="N1129">
        <v>0</v>
      </c>
      <c r="O1129">
        <v>-0.99921689999999996</v>
      </c>
      <c r="P1129">
        <v>-5.569781E-2</v>
      </c>
      <c r="Q1129">
        <v>5.0355440000000001E-2</v>
      </c>
      <c r="R1129">
        <v>-0.99717719999999999</v>
      </c>
      <c r="S1129">
        <v>-0.3608246</v>
      </c>
      <c r="T1129">
        <v>-0.74927349999999904</v>
      </c>
      <c r="U1129">
        <v>-3.0267330000000001</v>
      </c>
      <c r="V1129">
        <v>9.4566940000000002E-2</v>
      </c>
      <c r="W1129">
        <v>5.6892959999999999E-2</v>
      </c>
      <c r="X1129">
        <v>0.99389150000000004</v>
      </c>
      <c r="Y1129">
        <v>0.15362410000000001</v>
      </c>
      <c r="Z1129">
        <v>0.2377987</v>
      </c>
      <c r="AA1129">
        <v>0.95908890000000002</v>
      </c>
      <c r="AB1129">
        <v>22</v>
      </c>
      <c r="AC1129">
        <v>-9.6699999999998398E-2</v>
      </c>
      <c r="AD1129">
        <v>-0.1834259</v>
      </c>
      <c r="AE1129">
        <v>-0.52949999999998398</v>
      </c>
      <c r="AF1129">
        <v>0.105083913287614</v>
      </c>
      <c r="AG1129">
        <v>-0.1834259</v>
      </c>
      <c r="AH1129">
        <v>0.470665586127404</v>
      </c>
      <c r="AI1129">
        <v>110.824381596837</v>
      </c>
      <c r="AJ1129">
        <v>77.414181462368205</v>
      </c>
      <c r="AK1129">
        <v>0.51595909100170101</v>
      </c>
      <c r="AL1129">
        <v>86.738512470067604</v>
      </c>
      <c r="AM1129">
        <v>84.564775030071701</v>
      </c>
      <c r="AN1129">
        <v>1.00000001440538</v>
      </c>
    </row>
    <row r="1130" spans="1:40" x14ac:dyDescent="0.25">
      <c r="A1130" t="str">
        <f>"20190312154527902"</f>
        <v>20190312154527902</v>
      </c>
      <c r="B1130" t="str">
        <f>"1552376727897342"</f>
        <v>1552376727897342</v>
      </c>
      <c r="C1130" t="s">
        <v>40</v>
      </c>
      <c r="D1130">
        <v>4.3499879999999997</v>
      </c>
      <c r="E1130">
        <v>0.52745710000000001</v>
      </c>
      <c r="F1130" t="s">
        <v>41</v>
      </c>
      <c r="G1130">
        <v>-191.67400000000001</v>
      </c>
      <c r="H1130">
        <v>0.92889480000000002</v>
      </c>
      <c r="I1130">
        <v>319.87509999999997</v>
      </c>
      <c r="J1130">
        <v>-191.57730000000001</v>
      </c>
      <c r="K1130">
        <v>1.1093519999999999</v>
      </c>
      <c r="L1130">
        <v>320.3716</v>
      </c>
      <c r="M1130">
        <v>3.9018940000000002E-2</v>
      </c>
      <c r="N1130">
        <v>0</v>
      </c>
      <c r="O1130">
        <v>-0.99921599999999999</v>
      </c>
      <c r="P1130">
        <v>-5.6390309999999999E-2</v>
      </c>
      <c r="Q1130">
        <v>4.967328E-2</v>
      </c>
      <c r="R1130">
        <v>-0.99717230000000001</v>
      </c>
      <c r="S1130">
        <v>-0.36317440000000001</v>
      </c>
      <c r="T1130">
        <v>-0.74955209999999906</v>
      </c>
      <c r="U1130">
        <v>-3.0260310000000001</v>
      </c>
      <c r="V1130">
        <v>9.5258969999999998E-2</v>
      </c>
      <c r="W1130">
        <v>5.6334990000000001E-2</v>
      </c>
      <c r="X1130">
        <v>0.9938572</v>
      </c>
      <c r="Y1130">
        <v>0.154381399999999</v>
      </c>
      <c r="Z1130">
        <v>0.23790910000000001</v>
      </c>
      <c r="AA1130">
        <v>0.95893989999999996</v>
      </c>
      <c r="AB1130">
        <v>22</v>
      </c>
      <c r="AC1130">
        <v>-9.6699999999998398E-2</v>
      </c>
      <c r="AD1130">
        <v>-0.18045720000000001</v>
      </c>
      <c r="AE1130">
        <v>-0.49650000000002498</v>
      </c>
      <c r="AF1130">
        <v>0.10290281254719801</v>
      </c>
      <c r="AG1130">
        <v>-0.18045720000000001</v>
      </c>
      <c r="AH1130">
        <v>0.43676030710580299</v>
      </c>
      <c r="AI1130">
        <v>111.908068158014</v>
      </c>
      <c r="AJ1130">
        <v>76.742615801039193</v>
      </c>
      <c r="AK1130">
        <v>0.483645899109172</v>
      </c>
      <c r="AL1130">
        <v>86.770533165082398</v>
      </c>
      <c r="AM1130">
        <v>84.525053671416401</v>
      </c>
      <c r="AN1130">
        <v>1.0000000182277999</v>
      </c>
    </row>
    <row r="1131" spans="1:40" x14ac:dyDescent="0.25">
      <c r="A1131" t="str">
        <f>"20190312154527923"</f>
        <v>20190312154527923</v>
      </c>
      <c r="B1131" t="str">
        <f>"1552376727917839"</f>
        <v>1552376727917839</v>
      </c>
      <c r="C1131" t="s">
        <v>40</v>
      </c>
      <c r="D1131">
        <v>4.3809940000000003</v>
      </c>
      <c r="E1131">
        <v>0.5273023</v>
      </c>
      <c r="F1131" t="s">
        <v>41</v>
      </c>
      <c r="G1131">
        <v>-191.66120000000001</v>
      </c>
      <c r="H1131">
        <v>0.93614299999999995</v>
      </c>
      <c r="I1131">
        <v>319.6739</v>
      </c>
      <c r="J1131">
        <v>-191.56870000000001</v>
      </c>
      <c r="K1131">
        <v>1.109391</v>
      </c>
      <c r="L1131">
        <v>320.15269999999998</v>
      </c>
      <c r="M1131">
        <v>3.9018919999999999E-2</v>
      </c>
      <c r="N1131">
        <v>0</v>
      </c>
      <c r="O1131">
        <v>-0.99921499999999996</v>
      </c>
      <c r="P1131">
        <v>-5.6808209999999998E-2</v>
      </c>
      <c r="Q1131">
        <v>4.9451389999999998E-2</v>
      </c>
      <c r="R1131">
        <v>-0.99715980000000004</v>
      </c>
      <c r="S1131">
        <v>-0.36357119999999998</v>
      </c>
      <c r="T1131">
        <v>-0.75101629999999997</v>
      </c>
      <c r="U1131">
        <v>-3.0253299999999999</v>
      </c>
      <c r="V1131">
        <v>9.5676040000000004E-2</v>
      </c>
      <c r="W1131">
        <v>5.6278349999999998E-2</v>
      </c>
      <c r="X1131">
        <v>0.99382029999999999</v>
      </c>
      <c r="Y1131">
        <v>0.1545174</v>
      </c>
      <c r="Z1131">
        <v>0.23839450000000001</v>
      </c>
      <c r="AA1131">
        <v>0.95879740000000002</v>
      </c>
      <c r="AB1131">
        <v>22</v>
      </c>
      <c r="AC1131">
        <v>-9.2500000000001095E-2</v>
      </c>
      <c r="AD1131">
        <v>-0.17324799999999899</v>
      </c>
      <c r="AE1131">
        <v>-0.47879999999997802</v>
      </c>
      <c r="AF1131">
        <v>9.8659811280068399E-2</v>
      </c>
      <c r="AG1131">
        <v>-0.17324799999999899</v>
      </c>
      <c r="AH1131">
        <v>0.42161188652207099</v>
      </c>
      <c r="AI1131">
        <v>111.80681402281</v>
      </c>
      <c r="AJ1131">
        <v>76.829419269205005</v>
      </c>
      <c r="AK1131">
        <v>0.46637453910190901</v>
      </c>
      <c r="AL1131">
        <v>86.773783408582204</v>
      </c>
      <c r="AM1131">
        <v>84.501026535734894</v>
      </c>
      <c r="AN1131">
        <v>0.99999997300044596</v>
      </c>
    </row>
    <row r="1132" spans="1:40" x14ac:dyDescent="0.25">
      <c r="A1132" t="str">
        <f>"20190312154527946"</f>
        <v>20190312154527946</v>
      </c>
      <c r="B1132" t="str">
        <f>"1552376727937358"</f>
        <v>1552376727937358</v>
      </c>
      <c r="C1132" t="s">
        <v>40</v>
      </c>
      <c r="D1132">
        <v>4.368957</v>
      </c>
      <c r="E1132">
        <v>0.5271614</v>
      </c>
      <c r="F1132" t="s">
        <v>41</v>
      </c>
      <c r="G1132">
        <v>-191.67230000000001</v>
      </c>
      <c r="H1132">
        <v>0.89559599999999995</v>
      </c>
      <c r="I1132">
        <v>319.29160000000002</v>
      </c>
      <c r="J1132">
        <v>-191.56</v>
      </c>
      <c r="K1132">
        <v>1.1094280000000001</v>
      </c>
      <c r="L1132">
        <v>319.92910000000001</v>
      </c>
      <c r="M1132">
        <v>3.9019089999999999E-2</v>
      </c>
      <c r="N1132">
        <v>0</v>
      </c>
      <c r="O1132">
        <v>-0.99921360000000004</v>
      </c>
      <c r="P1132">
        <v>-5.6717289999999997E-2</v>
      </c>
      <c r="Q1132">
        <v>4.9357850000000002E-2</v>
      </c>
      <c r="R1132">
        <v>-0.99716959999999999</v>
      </c>
      <c r="S1132">
        <v>-0.36398320000000001</v>
      </c>
      <c r="T1132">
        <v>-0.75097910000000001</v>
      </c>
      <c r="U1132">
        <v>-3.025055</v>
      </c>
      <c r="V1132">
        <v>9.5585799999999999E-2</v>
      </c>
      <c r="W1132">
        <v>5.6384990000000003E-2</v>
      </c>
      <c r="X1132">
        <v>0.99382300000000001</v>
      </c>
      <c r="Y1132">
        <v>0.1546565</v>
      </c>
      <c r="Z1132">
        <v>0.23839920000000001</v>
      </c>
      <c r="AA1132">
        <v>0.95877380000000001</v>
      </c>
      <c r="AB1132">
        <v>22</v>
      </c>
      <c r="AC1132">
        <v>-0.11230000000000399</v>
      </c>
      <c r="AD1132">
        <v>-0.21383199999999999</v>
      </c>
      <c r="AE1132">
        <v>-0.63749999999998797</v>
      </c>
      <c r="AF1132">
        <v>0.123602034887344</v>
      </c>
      <c r="AG1132">
        <v>-0.21383199999999999</v>
      </c>
      <c r="AH1132">
        <v>0.57039029006375797</v>
      </c>
      <c r="AI1132">
        <v>110.122004691505</v>
      </c>
      <c r="AJ1132">
        <v>77.773200962529501</v>
      </c>
      <c r="AK1132">
        <v>0.62156791282313595</v>
      </c>
      <c r="AL1132">
        <v>86.767663865731905</v>
      </c>
      <c r="AM1132">
        <v>84.506196161022004</v>
      </c>
      <c r="AN1132">
        <v>1.0000000337939601</v>
      </c>
    </row>
    <row r="1133" spans="1:40" x14ac:dyDescent="0.25">
      <c r="A1133" t="str">
        <f>"20190312154527970"</f>
        <v>20190312154527970</v>
      </c>
      <c r="B1133" t="str">
        <f>"1552376727967614"</f>
        <v>1552376727967614</v>
      </c>
      <c r="C1133" t="s">
        <v>40</v>
      </c>
      <c r="D1133">
        <v>4.3584209999999999</v>
      </c>
      <c r="E1133">
        <v>0.52671199999999996</v>
      </c>
      <c r="F1133" t="s">
        <v>41</v>
      </c>
      <c r="G1133">
        <v>-191.66079999999999</v>
      </c>
      <c r="H1133">
        <v>0.90130639999999995</v>
      </c>
      <c r="I1133">
        <v>319.0899</v>
      </c>
      <c r="J1133">
        <v>-191.55070000000001</v>
      </c>
      <c r="K1133">
        <v>1.1094520000000001</v>
      </c>
      <c r="L1133">
        <v>319.69069999999999</v>
      </c>
      <c r="M1133">
        <v>3.9019239999999997E-2</v>
      </c>
      <c r="N1133">
        <v>0</v>
      </c>
      <c r="O1133">
        <v>-0.99921190000000004</v>
      </c>
      <c r="P1133">
        <v>-5.6303329999999999E-2</v>
      </c>
      <c r="Q1133">
        <v>4.9407979999999997E-2</v>
      </c>
      <c r="R1133">
        <v>-0.99719049999999998</v>
      </c>
      <c r="S1133">
        <v>-0.36296079999999997</v>
      </c>
      <c r="T1133">
        <v>-0.75028130000000004</v>
      </c>
      <c r="U1133">
        <v>-3.025055</v>
      </c>
      <c r="V1133">
        <v>9.5173220000000003E-2</v>
      </c>
      <c r="W1133">
        <v>5.6649690000000003E-2</v>
      </c>
      <c r="X1133">
        <v>0.99384749999999999</v>
      </c>
      <c r="Y1133">
        <v>0.15434320000000001</v>
      </c>
      <c r="Z1133">
        <v>0.23820079999999999</v>
      </c>
      <c r="AA1133">
        <v>0.95887359999999999</v>
      </c>
      <c r="AB1133">
        <v>22</v>
      </c>
      <c r="AC1133">
        <v>-0.110099999999988</v>
      </c>
      <c r="AD1133">
        <v>-0.20814559999999999</v>
      </c>
      <c r="AE1133">
        <v>-0.60079999999999201</v>
      </c>
      <c r="AF1133">
        <v>0.119573894977689</v>
      </c>
      <c r="AG1133">
        <v>-0.20814559999999999</v>
      </c>
      <c r="AH1133">
        <v>0.53403138803287598</v>
      </c>
      <c r="AI1133">
        <v>110.824071380148</v>
      </c>
      <c r="AJ1133">
        <v>77.379183096221396</v>
      </c>
      <c r="AK1133">
        <v>0.58550152054782501</v>
      </c>
      <c r="AL1133">
        <v>86.752473254771303</v>
      </c>
      <c r="AM1133">
        <v>84.529899126039595</v>
      </c>
      <c r="AN1133">
        <v>0.99999999121925698</v>
      </c>
    </row>
    <row r="1134" spans="1:40" x14ac:dyDescent="0.25">
      <c r="A1134" t="str">
        <f>"20190312154527993"</f>
        <v>20190312154527993</v>
      </c>
      <c r="B1134" t="str">
        <f>"1552376727987135"</f>
        <v>1552376727987135</v>
      </c>
      <c r="C1134" t="s">
        <v>40</v>
      </c>
      <c r="D1134">
        <v>4.3951739999999999</v>
      </c>
      <c r="E1134">
        <v>0.52653289999999997</v>
      </c>
      <c r="F1134" t="s">
        <v>41</v>
      </c>
      <c r="G1134">
        <v>-191.64609999999999</v>
      </c>
      <c r="H1134">
        <v>0.91051459999999995</v>
      </c>
      <c r="I1134">
        <v>318.88670000000002</v>
      </c>
      <c r="J1134">
        <v>-191.54150000000001</v>
      </c>
      <c r="K1134">
        <v>1.1094710000000001</v>
      </c>
      <c r="L1134">
        <v>319.45580000000001</v>
      </c>
      <c r="M1134">
        <v>3.9019449999999997E-2</v>
      </c>
      <c r="N1134">
        <v>0</v>
      </c>
      <c r="O1134">
        <v>-0.99921070000000001</v>
      </c>
      <c r="P1134">
        <v>-5.6165449999999999E-2</v>
      </c>
      <c r="Q1134">
        <v>4.9192449999999999E-2</v>
      </c>
      <c r="R1134">
        <v>-0.99720929999999997</v>
      </c>
      <c r="S1134">
        <v>-0.3588867</v>
      </c>
      <c r="T1134">
        <v>-0.74853729999999996</v>
      </c>
      <c r="U1134">
        <v>-3.0252379999999999</v>
      </c>
      <c r="V1134">
        <v>9.5036419999999996E-2</v>
      </c>
      <c r="W1134">
        <v>5.663588E-2</v>
      </c>
      <c r="X1134">
        <v>0.99386140000000001</v>
      </c>
      <c r="Y1134">
        <v>0.15307760000000001</v>
      </c>
      <c r="Z1134">
        <v>0.2377069</v>
      </c>
      <c r="AA1134">
        <v>0.95919900000000002</v>
      </c>
      <c r="AB1134">
        <v>22</v>
      </c>
      <c r="AC1134">
        <v>-0.104599999999976</v>
      </c>
      <c r="AD1134">
        <v>-0.19895639999999901</v>
      </c>
      <c r="AE1134">
        <v>-0.56909999999999095</v>
      </c>
      <c r="AF1134">
        <v>0.11332863409623101</v>
      </c>
      <c r="AG1134">
        <v>-0.19895639999999901</v>
      </c>
      <c r="AH1134">
        <v>0.50489390248595101</v>
      </c>
      <c r="AI1134">
        <v>111.031209052619</v>
      </c>
      <c r="AJ1134">
        <v>77.349052713433906</v>
      </c>
      <c r="AK1134">
        <v>0.55438694174247105</v>
      </c>
      <c r="AL1134">
        <v>86.753265853395504</v>
      </c>
      <c r="AM1134">
        <v>84.537790079393005</v>
      </c>
      <c r="AN1134">
        <v>1.0000000132198701</v>
      </c>
    </row>
    <row r="1135" spans="1:40" x14ac:dyDescent="0.25">
      <c r="A1135" t="str">
        <f>"20190312154528015"</f>
        <v>20190312154528015</v>
      </c>
      <c r="B1135" t="str">
        <f>"1552376728007631"</f>
        <v>1552376728007631</v>
      </c>
      <c r="C1135" t="s">
        <v>40</v>
      </c>
      <c r="D1135">
        <v>4.3528399999999996</v>
      </c>
      <c r="E1135">
        <v>0.52644569999999902</v>
      </c>
      <c r="F1135" t="s">
        <v>41</v>
      </c>
      <c r="G1135">
        <v>-191.63290000000001</v>
      </c>
      <c r="H1135">
        <v>0.9180931</v>
      </c>
      <c r="I1135">
        <v>318.68360000000001</v>
      </c>
      <c r="J1135">
        <v>-191.53309999999999</v>
      </c>
      <c r="K1135">
        <v>1.1094869999999999</v>
      </c>
      <c r="L1135">
        <v>319.24</v>
      </c>
      <c r="M1135">
        <v>3.9019810000000002E-2</v>
      </c>
      <c r="N1135">
        <v>0</v>
      </c>
      <c r="O1135">
        <v>-0.99920929999999997</v>
      </c>
      <c r="P1135">
        <v>-5.5943979999999997E-2</v>
      </c>
      <c r="Q1135">
        <v>4.9563429999999999E-2</v>
      </c>
      <c r="R1135">
        <v>-0.99720319999999996</v>
      </c>
      <c r="S1135">
        <v>-0.35720829999999998</v>
      </c>
      <c r="T1135">
        <v>-0.74986339999999996</v>
      </c>
      <c r="U1135">
        <v>-3.025299</v>
      </c>
      <c r="V1135">
        <v>9.4815319999999995E-2</v>
      </c>
      <c r="W1135">
        <v>5.7181919999999997E-2</v>
      </c>
      <c r="X1135">
        <v>0.99385120000000005</v>
      </c>
      <c r="Y1135">
        <v>0.15253920000000001</v>
      </c>
      <c r="Z1135">
        <v>0.23811669999999999</v>
      </c>
      <c r="AA1135">
        <v>0.95918309999999996</v>
      </c>
      <c r="AB1135">
        <v>22</v>
      </c>
      <c r="AC1135">
        <v>-9.9800000000016098E-2</v>
      </c>
      <c r="AD1135">
        <v>-0.19139390000000001</v>
      </c>
      <c r="AE1135">
        <v>-0.55639999999999601</v>
      </c>
      <c r="AF1135">
        <v>0.108945879688709</v>
      </c>
      <c r="AG1135">
        <v>-0.19139390000000001</v>
      </c>
      <c r="AH1135">
        <v>0.49530145345379401</v>
      </c>
      <c r="AI1135">
        <v>110.676369233047</v>
      </c>
      <c r="AJ1135">
        <v>77.594836813422901</v>
      </c>
      <c r="AK1135">
        <v>0.54205567929115706</v>
      </c>
      <c r="AL1135">
        <v>86.721929114085995</v>
      </c>
      <c r="AM1135">
        <v>84.550365599689002</v>
      </c>
      <c r="AN1135">
        <v>0.999999962311513</v>
      </c>
    </row>
    <row r="1136" spans="1:40" x14ac:dyDescent="0.25">
      <c r="A1136" t="str">
        <f>"20190312154528035"</f>
        <v>20190312154528035</v>
      </c>
      <c r="B1136" t="str">
        <f>"1552376728027150"</f>
        <v>1552376728027150</v>
      </c>
      <c r="C1136" t="s">
        <v>40</v>
      </c>
      <c r="D1136">
        <v>4.3936330000000003</v>
      </c>
      <c r="E1136">
        <v>0.52652619999999895</v>
      </c>
      <c r="F1136" t="s">
        <v>41</v>
      </c>
      <c r="G1136">
        <v>-191.6225</v>
      </c>
      <c r="H1136">
        <v>0.92198420000000003</v>
      </c>
      <c r="I1136">
        <v>318.48140000000001</v>
      </c>
      <c r="J1136">
        <v>-191.52510000000001</v>
      </c>
      <c r="K1136">
        <v>1.109502</v>
      </c>
      <c r="L1136">
        <v>319.03710000000001</v>
      </c>
      <c r="M1136">
        <v>3.9020150000000003E-2</v>
      </c>
      <c r="N1136">
        <v>0</v>
      </c>
      <c r="O1136">
        <v>-0.99920790000000004</v>
      </c>
      <c r="P1136">
        <v>-5.5954709999999998E-2</v>
      </c>
      <c r="Q1136">
        <v>5.0028950000000003E-2</v>
      </c>
      <c r="R1136">
        <v>-0.99717920000000004</v>
      </c>
      <c r="S1136">
        <v>-0.35606379999999999</v>
      </c>
      <c r="T1136">
        <v>-0.74783379999999999</v>
      </c>
      <c r="U1136">
        <v>-3.0256349999999999</v>
      </c>
      <c r="V1136">
        <v>9.4825560000000003E-2</v>
      </c>
      <c r="W1136">
        <v>5.7803170000000001E-2</v>
      </c>
      <c r="X1136">
        <v>0.99381430000000004</v>
      </c>
      <c r="Y1136">
        <v>0.15218719999999999</v>
      </c>
      <c r="Z1136">
        <v>0.23749590000000001</v>
      </c>
      <c r="AA1136">
        <v>0.95939289999999999</v>
      </c>
      <c r="AB1136">
        <v>22</v>
      </c>
      <c r="AC1136">
        <v>-9.73999999999932E-2</v>
      </c>
      <c r="AD1136">
        <v>-0.18751780000000001</v>
      </c>
      <c r="AE1136">
        <v>-0.55570000000000097</v>
      </c>
      <c r="AF1136">
        <v>0.10717035817721</v>
      </c>
      <c r="AG1136">
        <v>-0.18751780000000001</v>
      </c>
      <c r="AH1136">
        <v>0.49661290167507199</v>
      </c>
      <c r="AI1136">
        <v>110.258938863655</v>
      </c>
      <c r="AJ1136">
        <v>77.822172950413005</v>
      </c>
      <c r="AK1136">
        <v>0.54154666013078301</v>
      </c>
      <c r="AL1136">
        <v>86.686275187499803</v>
      </c>
      <c r="AM1136">
        <v>84.549579439869603</v>
      </c>
      <c r="AN1136">
        <v>0.99999997808792596</v>
      </c>
    </row>
    <row r="1137" spans="1:40" x14ac:dyDescent="0.25">
      <c r="A1137" t="str">
        <f>"20190312154528057"</f>
        <v>20190312154528057</v>
      </c>
      <c r="B1137" t="str">
        <f>"1552376728047646"</f>
        <v>1552376728047646</v>
      </c>
      <c r="C1137" t="s">
        <v>40</v>
      </c>
      <c r="D1137">
        <v>4.3785089999999904</v>
      </c>
      <c r="E1137">
        <v>0.52656650000000005</v>
      </c>
      <c r="F1137" t="s">
        <v>41</v>
      </c>
      <c r="G1137">
        <v>-191.6147</v>
      </c>
      <c r="H1137">
        <v>0.92273680000000002</v>
      </c>
      <c r="I1137">
        <v>318.2799</v>
      </c>
      <c r="J1137">
        <v>-191.5164</v>
      </c>
      <c r="K1137">
        <v>1.1095170000000001</v>
      </c>
      <c r="L1137">
        <v>318.8125</v>
      </c>
      <c r="M1137">
        <v>3.9020449999999998E-2</v>
      </c>
      <c r="N1137">
        <v>0</v>
      </c>
      <c r="O1137">
        <v>-0.9992067</v>
      </c>
      <c r="P1137">
        <v>-5.6092820000000002E-2</v>
      </c>
      <c r="Q1137">
        <v>5.017696E-2</v>
      </c>
      <c r="R1137">
        <v>-0.99716389999999999</v>
      </c>
      <c r="S1137">
        <v>-0.35725400000000002</v>
      </c>
      <c r="T1137">
        <v>-0.74636610000000003</v>
      </c>
      <c r="U1137">
        <v>-3.0258479999999999</v>
      </c>
      <c r="V1137">
        <v>9.4963329999999999E-2</v>
      </c>
      <c r="W1137">
        <v>5.8121159999999998E-2</v>
      </c>
      <c r="X1137">
        <v>0.99378259999999996</v>
      </c>
      <c r="Y1137">
        <v>0.15256520000000001</v>
      </c>
      <c r="Z1137">
        <v>0.23702860000000001</v>
      </c>
      <c r="AA1137">
        <v>0.95944850000000004</v>
      </c>
      <c r="AB1137">
        <v>22</v>
      </c>
      <c r="AC1137">
        <v>-9.8299999999994697E-2</v>
      </c>
      <c r="AD1137">
        <v>-0.18678020000000001</v>
      </c>
      <c r="AE1137">
        <v>-0.53260000000000196</v>
      </c>
      <c r="AF1137">
        <v>0.106358300094238</v>
      </c>
      <c r="AG1137">
        <v>-0.18678020000000001</v>
      </c>
      <c r="AH1137">
        <v>0.472197462968451</v>
      </c>
      <c r="AI1137">
        <v>111.100985725187</v>
      </c>
      <c r="AJ1137">
        <v>77.306466026217194</v>
      </c>
      <c r="AK1137">
        <v>0.51881535746816299</v>
      </c>
      <c r="AL1137">
        <v>86.668025024844596</v>
      </c>
      <c r="AM1137">
        <v>84.541535373084699</v>
      </c>
      <c r="AN1137">
        <v>0.99999997967359699</v>
      </c>
    </row>
    <row r="1138" spans="1:40" x14ac:dyDescent="0.25">
      <c r="A1138" t="str">
        <f>"20190312154528081"</f>
        <v>20190312154528081</v>
      </c>
      <c r="B1138" t="str">
        <f>"1552376728077902"</f>
        <v>1552376728077902</v>
      </c>
      <c r="C1138" t="s">
        <v>40</v>
      </c>
      <c r="D1138">
        <v>4.3770689999999997</v>
      </c>
      <c r="E1138">
        <v>0.52663680000000002</v>
      </c>
      <c r="F1138" t="s">
        <v>41</v>
      </c>
      <c r="G1138">
        <v>-191.6036</v>
      </c>
      <c r="H1138">
        <v>0.92800890000000003</v>
      </c>
      <c r="I1138">
        <v>318.07619999999997</v>
      </c>
      <c r="J1138">
        <v>-191.50749999999999</v>
      </c>
      <c r="K1138">
        <v>1.109529</v>
      </c>
      <c r="L1138">
        <v>318.58510000000001</v>
      </c>
      <c r="M1138">
        <v>3.9020859999999997E-2</v>
      </c>
      <c r="N1138">
        <v>0</v>
      </c>
      <c r="O1138">
        <v>-0.99920500000000001</v>
      </c>
      <c r="P1138">
        <v>-5.61498E-2</v>
      </c>
      <c r="Q1138">
        <v>5.0223570000000002E-2</v>
      </c>
      <c r="R1138">
        <v>-0.99715810000000005</v>
      </c>
      <c r="S1138">
        <v>-0.35864259999999998</v>
      </c>
      <c r="T1138">
        <v>-0.74593199999999904</v>
      </c>
      <c r="U1138">
        <v>-3.0258790000000002</v>
      </c>
      <c r="V1138">
        <v>9.5020569999999999E-2</v>
      </c>
      <c r="W1138">
        <v>5.8341089999999998E-2</v>
      </c>
      <c r="X1138">
        <v>0.99376430000000004</v>
      </c>
      <c r="Y1138">
        <v>0.153003</v>
      </c>
      <c r="Z1138">
        <v>0.23688219999999999</v>
      </c>
      <c r="AA1138">
        <v>0.95941489999999996</v>
      </c>
      <c r="AB1138">
        <v>23</v>
      </c>
      <c r="AC1138">
        <v>-9.6100000000006902E-2</v>
      </c>
      <c r="AD1138">
        <v>-0.18152009999999999</v>
      </c>
      <c r="AE1138">
        <v>-0.50890000000003899</v>
      </c>
      <c r="AF1138">
        <v>0.103206494371231</v>
      </c>
      <c r="AG1138">
        <v>-0.18152009999999999</v>
      </c>
      <c r="AH1138">
        <v>0.44953765958688002</v>
      </c>
      <c r="AI1138">
        <v>111.482326474347</v>
      </c>
      <c r="AJ1138">
        <v>77.069894393716794</v>
      </c>
      <c r="AK1138">
        <v>0.49566645495863298</v>
      </c>
      <c r="AL1138">
        <v>86.655402739441598</v>
      </c>
      <c r="AM1138">
        <v>84.538165155116602</v>
      </c>
      <c r="AN1138">
        <v>1.00000003773</v>
      </c>
    </row>
    <row r="1139" spans="1:40" x14ac:dyDescent="0.25">
      <c r="A1139" t="str">
        <f>"20190312154528102"</f>
        <v>20190312154528102</v>
      </c>
      <c r="B1139" t="str">
        <f>"1552376728097423"</f>
        <v>1552376728097423</v>
      </c>
      <c r="C1139" t="s">
        <v>40</v>
      </c>
      <c r="D1139">
        <v>4.4150309999999999</v>
      </c>
      <c r="E1139">
        <v>0.52664800000000001</v>
      </c>
      <c r="F1139" t="s">
        <v>41</v>
      </c>
      <c r="G1139">
        <v>-191.5924</v>
      </c>
      <c r="H1139">
        <v>0.93366530000000003</v>
      </c>
      <c r="I1139">
        <v>317.87189999999998</v>
      </c>
      <c r="J1139">
        <v>-191.49889999999999</v>
      </c>
      <c r="K1139">
        <v>1.109532</v>
      </c>
      <c r="L1139">
        <v>318.3646</v>
      </c>
      <c r="M1139">
        <v>3.9021109999999998E-2</v>
      </c>
      <c r="N1139">
        <v>0</v>
      </c>
      <c r="O1139">
        <v>-0.99920379999999998</v>
      </c>
      <c r="P1139">
        <v>-5.6505149999999997E-2</v>
      </c>
      <c r="Q1139">
        <v>5.0540050000000003E-2</v>
      </c>
      <c r="R1139">
        <v>-0.99712259999999997</v>
      </c>
      <c r="S1139">
        <v>-0.35987849999999999</v>
      </c>
      <c r="T1139">
        <v>-0.74606319999999904</v>
      </c>
      <c r="U1139">
        <v>-3.0258479999999999</v>
      </c>
      <c r="V1139">
        <v>9.5374539999999994E-2</v>
      </c>
      <c r="W1139">
        <v>5.8822340000000001E-2</v>
      </c>
      <c r="X1139">
        <v>0.99370199999999997</v>
      </c>
      <c r="Y1139">
        <v>0.1533899</v>
      </c>
      <c r="Z1139">
        <v>0.23691119999999999</v>
      </c>
      <c r="AA1139">
        <v>0.95934589999999997</v>
      </c>
      <c r="AB1139">
        <v>23</v>
      </c>
      <c r="AC1139">
        <v>-9.3500000000005898E-2</v>
      </c>
      <c r="AD1139">
        <v>-0.17586669999999899</v>
      </c>
      <c r="AE1139">
        <v>-0.49270000000001302</v>
      </c>
      <c r="AF1139">
        <v>0.10031797530047</v>
      </c>
      <c r="AG1139">
        <v>-0.17586669999999899</v>
      </c>
      <c r="AH1139">
        <v>0.43515986479506102</v>
      </c>
      <c r="AI1139">
        <v>111.495197132016</v>
      </c>
      <c r="AJ1139">
        <v>77.018326286106998</v>
      </c>
      <c r="AK1139">
        <v>0.479955102343679</v>
      </c>
      <c r="AL1139">
        <v>86.627781642750406</v>
      </c>
      <c r="AM1139">
        <v>84.517600882370303</v>
      </c>
      <c r="AN1139">
        <v>1.0000000176836401</v>
      </c>
    </row>
    <row r="1140" spans="1:40" x14ac:dyDescent="0.25">
      <c r="A1140" t="str">
        <f>"20190312154528124"</f>
        <v>20190312154528124</v>
      </c>
      <c r="B1140" t="str">
        <f>"1552376728117918"</f>
        <v>1552376728117918</v>
      </c>
      <c r="C1140" t="s">
        <v>40</v>
      </c>
      <c r="D1140">
        <v>4.4279640000000002</v>
      </c>
      <c r="E1140">
        <v>0.52668749999999998</v>
      </c>
      <c r="F1140" t="s">
        <v>41</v>
      </c>
      <c r="G1140">
        <v>-191.58189999999999</v>
      </c>
      <c r="H1140">
        <v>0.93790850000000003</v>
      </c>
      <c r="I1140">
        <v>317.66789999999997</v>
      </c>
      <c r="J1140">
        <v>-191.49</v>
      </c>
      <c r="K1140">
        <v>1.109548</v>
      </c>
      <c r="L1140">
        <v>318.13690000000003</v>
      </c>
      <c r="M1140">
        <v>3.9021279999999998E-2</v>
      </c>
      <c r="N1140">
        <v>0</v>
      </c>
      <c r="O1140">
        <v>-0.99920209999999998</v>
      </c>
      <c r="P1140">
        <v>-5.7030879999999999E-2</v>
      </c>
      <c r="Q1140">
        <v>4.9767699999999998E-2</v>
      </c>
      <c r="R1140">
        <v>-0.9971314</v>
      </c>
      <c r="S1140">
        <v>-0.36067199999999999</v>
      </c>
      <c r="T1140">
        <v>-0.74540030000000002</v>
      </c>
      <c r="U1140">
        <v>-3.0260310000000001</v>
      </c>
      <c r="V1140">
        <v>9.5900449999999998E-2</v>
      </c>
      <c r="W1140">
        <v>5.8219699999999999E-2</v>
      </c>
      <c r="X1140">
        <v>0.99368690000000004</v>
      </c>
      <c r="Y1140">
        <v>0.15363779999999999</v>
      </c>
      <c r="Z1140">
        <v>0.23669119999999999</v>
      </c>
      <c r="AA1140">
        <v>0.95936060000000001</v>
      </c>
      <c r="AB1140">
        <v>23</v>
      </c>
      <c r="AC1140">
        <v>-9.1899999999981205E-2</v>
      </c>
      <c r="AD1140">
        <v>-0.1716395</v>
      </c>
      <c r="AE1140">
        <v>-0.46900000000004999</v>
      </c>
      <c r="AF1140">
        <v>9.7549598876781496E-2</v>
      </c>
      <c r="AG1140">
        <v>-0.1716395</v>
      </c>
      <c r="AH1140">
        <v>0.41192595763550299</v>
      </c>
      <c r="AI1140">
        <v>112.070656401481</v>
      </c>
      <c r="AJ1140">
        <v>76.677024461134707</v>
      </c>
      <c r="AK1140">
        <v>0.45679211549149701</v>
      </c>
      <c r="AL1140">
        <v>86.662369731908797</v>
      </c>
      <c r="AM1140">
        <v>84.487472534963402</v>
      </c>
      <c r="AN1140">
        <v>1.00000004250495</v>
      </c>
    </row>
    <row r="1141" spans="1:40" x14ac:dyDescent="0.25">
      <c r="A1141" t="str">
        <f>"20190312154528148"</f>
        <v>20190312154528148</v>
      </c>
      <c r="B1141" t="str">
        <f>"1552376728137438"</f>
        <v>1552376728137438</v>
      </c>
      <c r="C1141" t="s">
        <v>40</v>
      </c>
      <c r="D1141">
        <v>4.4001890000000001</v>
      </c>
      <c r="E1141">
        <v>0.52665030000000002</v>
      </c>
      <c r="F1141" t="s">
        <v>41</v>
      </c>
      <c r="G1141">
        <v>-191.59289999999999</v>
      </c>
      <c r="H1141">
        <v>0.89724110000000001</v>
      </c>
      <c r="I1141">
        <v>317.27839999999998</v>
      </c>
      <c r="J1141">
        <v>-191.4811</v>
      </c>
      <c r="K1141">
        <v>1.1095649999999999</v>
      </c>
      <c r="L1141">
        <v>317.90969999999999</v>
      </c>
      <c r="M1141">
        <v>3.902137E-2</v>
      </c>
      <c r="N1141">
        <v>0</v>
      </c>
      <c r="O1141">
        <v>-0.99920070000000005</v>
      </c>
      <c r="P1141">
        <v>-5.7585190000000001E-2</v>
      </c>
      <c r="Q1141">
        <v>4.9411160000000003E-2</v>
      </c>
      <c r="R1141">
        <v>-0.99711719999999904</v>
      </c>
      <c r="S1141">
        <v>-0.36228939999999998</v>
      </c>
      <c r="T1141">
        <v>-0.7481371</v>
      </c>
      <c r="U1141">
        <v>-3.0251769999999998</v>
      </c>
      <c r="V1141">
        <v>9.6453929999999993E-2</v>
      </c>
      <c r="W1141">
        <v>5.8035950000000003E-2</v>
      </c>
      <c r="X1141">
        <v>0.99364410000000003</v>
      </c>
      <c r="Y1141">
        <v>0.15415019999999999</v>
      </c>
      <c r="Z1141">
        <v>0.23755670000000001</v>
      </c>
      <c r="AA1141">
        <v>0.95906440000000004</v>
      </c>
      <c r="AB1141">
        <v>23</v>
      </c>
      <c r="AC1141">
        <v>-0.11179999999998801</v>
      </c>
      <c r="AD1141">
        <v>-0.21232389999999901</v>
      </c>
      <c r="AE1141">
        <v>-0.63130000000000996</v>
      </c>
      <c r="AF1141">
        <v>0.122873580124815</v>
      </c>
      <c r="AG1141">
        <v>-0.21232389999999901</v>
      </c>
      <c r="AH1141">
        <v>0.56453950541770204</v>
      </c>
      <c r="AI1141">
        <v>110.17823361938299</v>
      </c>
      <c r="AJ1141">
        <v>77.720922881494005</v>
      </c>
      <c r="AK1141">
        <v>0.61553570845334604</v>
      </c>
      <c r="AL1141">
        <v>86.672915736773504</v>
      </c>
      <c r="AM1141">
        <v>84.455617865149094</v>
      </c>
      <c r="AN1141">
        <v>1.00000006478482</v>
      </c>
    </row>
    <row r="1142" spans="1:40" x14ac:dyDescent="0.25">
      <c r="A1142" t="str">
        <f>"20190312154528171"</f>
        <v>20190312154528171</v>
      </c>
      <c r="B1142" t="str">
        <f>"1552376728167695"</f>
        <v>1552376728167695</v>
      </c>
      <c r="C1142" t="s">
        <v>40</v>
      </c>
      <c r="D1142">
        <v>4.4118459999999997</v>
      </c>
      <c r="E1142">
        <v>0.53622419999999904</v>
      </c>
      <c r="F1142" t="s">
        <v>41</v>
      </c>
      <c r="G1142">
        <v>-191.58199999999999</v>
      </c>
      <c r="H1142">
        <v>0.9026227</v>
      </c>
      <c r="I1142">
        <v>317.07339999999999</v>
      </c>
      <c r="J1142">
        <v>-191.47149999999999</v>
      </c>
      <c r="K1142">
        <v>1.1095809999999999</v>
      </c>
      <c r="L1142">
        <v>317.6635</v>
      </c>
      <c r="M1142">
        <v>3.9021470000000003E-2</v>
      </c>
      <c r="N1142">
        <v>0</v>
      </c>
      <c r="O1142">
        <v>-0.99919899999999995</v>
      </c>
      <c r="P1142">
        <v>-5.9000509999999999E-2</v>
      </c>
      <c r="Q1142">
        <v>4.9291509999999997E-2</v>
      </c>
      <c r="R1142">
        <v>-0.99704029999999999</v>
      </c>
      <c r="S1142">
        <v>-0.36439510000000003</v>
      </c>
      <c r="T1142">
        <v>-0.74847359999999996</v>
      </c>
      <c r="U1142">
        <v>-3.02475</v>
      </c>
      <c r="V1142">
        <v>9.786533E-2</v>
      </c>
      <c r="W1142">
        <v>5.810212E-2</v>
      </c>
      <c r="X1142">
        <v>0.99350210000000005</v>
      </c>
      <c r="Y1142">
        <v>0.15482119999999999</v>
      </c>
      <c r="Z1142">
        <v>0.23766699999999999</v>
      </c>
      <c r="AA1142">
        <v>0.95892900000000003</v>
      </c>
      <c r="AB1142">
        <v>23</v>
      </c>
      <c r="AC1142">
        <v>-0.110500000000001</v>
      </c>
      <c r="AD1142">
        <v>-0.20695830000000001</v>
      </c>
      <c r="AE1142">
        <v>-0.59010000000000595</v>
      </c>
      <c r="AF1142">
        <v>0.119269800852218</v>
      </c>
      <c r="AG1142">
        <v>-0.20695830000000001</v>
      </c>
      <c r="AH1142">
        <v>0.52316751756186097</v>
      </c>
      <c r="AI1142">
        <v>111.09118848284</v>
      </c>
      <c r="AJ1142">
        <v>77.157407352198803</v>
      </c>
      <c r="AK1142">
        <v>0.57511848758847695</v>
      </c>
      <c r="AL1142">
        <v>86.669117687336495</v>
      </c>
      <c r="AM1142">
        <v>84.374205286569193</v>
      </c>
      <c r="AN1142">
        <v>0.99999995093445504</v>
      </c>
    </row>
    <row r="1143" spans="1:40" x14ac:dyDescent="0.25">
      <c r="A1143" t="str">
        <f>"20190312154528194"</f>
        <v>20190312154528194</v>
      </c>
      <c r="B1143" t="str">
        <f>"1552376728187215"</f>
        <v>1552376728187215</v>
      </c>
      <c r="C1143" t="s">
        <v>40</v>
      </c>
      <c r="D1143">
        <v>4.4081789999999996</v>
      </c>
      <c r="E1143">
        <v>0.53767679999999995</v>
      </c>
      <c r="F1143" t="s">
        <v>41</v>
      </c>
      <c r="G1143">
        <v>-191.59989999999999</v>
      </c>
      <c r="H1143">
        <v>1.0133890000000001</v>
      </c>
      <c r="I1143">
        <v>316.81720000000001</v>
      </c>
      <c r="J1143">
        <v>-191.4624</v>
      </c>
      <c r="K1143">
        <v>1.1096079999999999</v>
      </c>
      <c r="L1143">
        <v>317.43130000000002</v>
      </c>
      <c r="M1143">
        <v>3.9021559999999997E-2</v>
      </c>
      <c r="N1143">
        <v>0</v>
      </c>
      <c r="O1143">
        <v>-0.99919740000000001</v>
      </c>
      <c r="P1143">
        <v>-6.0213759999999998E-2</v>
      </c>
      <c r="Q1143">
        <v>4.9589149999999999E-2</v>
      </c>
      <c r="R1143">
        <v>-0.99695319999999998</v>
      </c>
      <c r="S1143">
        <v>-0.4545746</v>
      </c>
      <c r="T1143">
        <v>-0.34089609999999998</v>
      </c>
      <c r="U1143">
        <v>-2.99884</v>
      </c>
      <c r="V1143">
        <v>9.9074410000000002E-2</v>
      </c>
      <c r="W1143">
        <v>5.8580050000000002E-2</v>
      </c>
      <c r="X1143">
        <v>0.99335430000000002</v>
      </c>
      <c r="Y1143">
        <v>0.1874075</v>
      </c>
      <c r="Z1143">
        <v>0.111191</v>
      </c>
      <c r="AA1143">
        <v>0.97596879999999997</v>
      </c>
      <c r="AB1143">
        <v>23</v>
      </c>
      <c r="AC1143">
        <v>-0.13749999999998799</v>
      </c>
      <c r="AD1143">
        <v>-9.6218999999999999E-2</v>
      </c>
      <c r="AE1143">
        <v>-0.61410000000000697</v>
      </c>
      <c r="AF1143">
        <v>0.157673370935379</v>
      </c>
      <c r="AG1143">
        <v>-9.6218999999999999E-2</v>
      </c>
      <c r="AH1143">
        <v>0.59437160741256501</v>
      </c>
      <c r="AI1143">
        <v>98.893050208587795</v>
      </c>
      <c r="AJ1143">
        <v>75.142921553764694</v>
      </c>
      <c r="AK1143">
        <v>0.62241191791395101</v>
      </c>
      <c r="AL1143">
        <v>86.641687969660893</v>
      </c>
      <c r="AM1143">
        <v>84.304313584664499</v>
      </c>
      <c r="AN1143">
        <v>1.0000000631516599</v>
      </c>
    </row>
    <row r="1144" spans="1:40" x14ac:dyDescent="0.25">
      <c r="A1144" t="str">
        <f>"20190312154528218"</f>
        <v>20190312154528218</v>
      </c>
      <c r="B1144" t="str">
        <f>"1552376728207710"</f>
        <v>1552376728207710</v>
      </c>
      <c r="C1144" t="s">
        <v>40</v>
      </c>
      <c r="D1144">
        <v>4.4847149999999996</v>
      </c>
      <c r="E1144">
        <v>0.53815539999999995</v>
      </c>
      <c r="F1144" t="s">
        <v>42</v>
      </c>
      <c r="G1144">
        <v>-193.4205</v>
      </c>
      <c r="H1144" s="1">
        <v>-3.2312430000000002E-6</v>
      </c>
      <c r="I1144">
        <v>304.99979999999999</v>
      </c>
      <c r="J1144">
        <v>-191.453</v>
      </c>
      <c r="K1144">
        <v>1.1096280000000001</v>
      </c>
      <c r="L1144">
        <v>317.1884</v>
      </c>
      <c r="M1144">
        <v>3.9021500000000001E-2</v>
      </c>
      <c r="N1144">
        <v>0</v>
      </c>
      <c r="O1144">
        <v>-0.99919550000000001</v>
      </c>
      <c r="P1144">
        <v>-6.2011120000000003E-2</v>
      </c>
      <c r="Q1144">
        <v>4.8849110000000001E-2</v>
      </c>
      <c r="R1144">
        <v>-0.99687950000000003</v>
      </c>
      <c r="S1144">
        <v>-0.47157290000000002</v>
      </c>
      <c r="T1144">
        <v>-0.26723839999999999</v>
      </c>
      <c r="U1144">
        <v>-2.9940190000000002</v>
      </c>
      <c r="V1144">
        <v>0.1008675</v>
      </c>
      <c r="W1144">
        <v>5.8033090000000002E-2</v>
      </c>
      <c r="X1144">
        <v>0.99320589999999997</v>
      </c>
      <c r="Y1144">
        <v>0.1934188</v>
      </c>
      <c r="Z1144">
        <v>8.7427820000000003E-2</v>
      </c>
      <c r="AA1144">
        <v>0.97721309999999995</v>
      </c>
      <c r="AB1144">
        <v>23</v>
      </c>
      <c r="AC1144">
        <v>-1.9675</v>
      </c>
      <c r="AD1144">
        <v>-1.1096312312429999</v>
      </c>
      <c r="AE1144">
        <v>-12.188599999999999</v>
      </c>
      <c r="AF1144">
        <v>2.4220748292705601</v>
      </c>
      <c r="AG1144">
        <v>-1.1096312312429999</v>
      </c>
      <c r="AH1144">
        <v>12.005562701402599</v>
      </c>
      <c r="AI1144">
        <v>95.176921713388396</v>
      </c>
      <c r="AJ1144">
        <v>78.593906460495106</v>
      </c>
      <c r="AK1144">
        <v>12.297612114766199</v>
      </c>
      <c r="AL1144">
        <v>86.673079749972899</v>
      </c>
      <c r="AM1144">
        <v>84.201066392694599</v>
      </c>
      <c r="AN1144">
        <v>1.000000025943</v>
      </c>
    </row>
    <row r="1145" spans="1:40" x14ac:dyDescent="0.25">
      <c r="A1145" t="str">
        <f>"20190312154528236"</f>
        <v>20190312154528236</v>
      </c>
      <c r="B1145" t="str">
        <f>"1552376728227230"</f>
        <v>1552376728227230</v>
      </c>
      <c r="C1145" t="s">
        <v>40</v>
      </c>
      <c r="D1145">
        <v>4.4453129999999996</v>
      </c>
      <c r="E1145">
        <v>0.53837139999999895</v>
      </c>
      <c r="F1145" t="s">
        <v>42</v>
      </c>
      <c r="G1145">
        <v>-193.72479999999999</v>
      </c>
      <c r="H1145" s="1">
        <v>-2.492177E-6</v>
      </c>
      <c r="I1145">
        <v>303.08819999999997</v>
      </c>
      <c r="J1145">
        <v>-191.44550000000001</v>
      </c>
      <c r="K1145">
        <v>1.109642</v>
      </c>
      <c r="L1145">
        <v>316.99590000000001</v>
      </c>
      <c r="M1145">
        <v>3.9021470000000003E-2</v>
      </c>
      <c r="N1145">
        <v>0</v>
      </c>
      <c r="O1145">
        <v>-0.99919449999999999</v>
      </c>
      <c r="P1145">
        <v>-6.3501630000000003E-2</v>
      </c>
      <c r="Q1145">
        <v>4.8808579999999997E-2</v>
      </c>
      <c r="R1145">
        <v>-0.99678800000000001</v>
      </c>
      <c r="S1145">
        <v>-0.48191830000000002</v>
      </c>
      <c r="T1145">
        <v>-0.23537810000000001</v>
      </c>
      <c r="U1145">
        <v>-2.9909669999999999</v>
      </c>
      <c r="V1145">
        <v>0.10235329999999999</v>
      </c>
      <c r="W1145">
        <v>5.8135920000000001E-2</v>
      </c>
      <c r="X1145">
        <v>0.99304780000000004</v>
      </c>
      <c r="Y1145">
        <v>0.19700309999999999</v>
      </c>
      <c r="Z1145">
        <v>7.7100859999999993E-2</v>
      </c>
      <c r="AA1145">
        <v>0.97736650000000003</v>
      </c>
      <c r="AB1145">
        <v>23</v>
      </c>
      <c r="AC1145">
        <v>-2.2792999999999699</v>
      </c>
      <c r="AD1145">
        <v>-1.1096444921769999</v>
      </c>
      <c r="AE1145">
        <v>-13.9077</v>
      </c>
      <c r="AF1145">
        <v>2.8029103360882801</v>
      </c>
      <c r="AG1145">
        <v>-1.1096444921769999</v>
      </c>
      <c r="AH1145">
        <v>13.723086816889699</v>
      </c>
      <c r="AI1145">
        <v>94.529743655002605</v>
      </c>
      <c r="AJ1145">
        <v>78.456239453075895</v>
      </c>
      <c r="AK1145">
        <v>14.050292845170899</v>
      </c>
      <c r="AL1145">
        <v>86.667177834920196</v>
      </c>
      <c r="AM1145">
        <v>84.115311647512598</v>
      </c>
      <c r="AN1145">
        <v>0.99999995814998699</v>
      </c>
    </row>
    <row r="1146" spans="1:40" x14ac:dyDescent="0.25">
      <c r="A1146" t="str">
        <f>"20190312154528259"</f>
        <v>20190312154528259</v>
      </c>
      <c r="B1146" t="str">
        <f>"1552376728247727"</f>
        <v>1552376728247727</v>
      </c>
      <c r="C1146" t="s">
        <v>40</v>
      </c>
      <c r="D1146">
        <v>4.6343620000000003</v>
      </c>
      <c r="E1146">
        <v>0.53898169999999901</v>
      </c>
      <c r="F1146" t="s">
        <v>42</v>
      </c>
      <c r="G1146">
        <v>-193.97399999999999</v>
      </c>
      <c r="H1146" s="1">
        <v>-1.8907350000000001E-6</v>
      </c>
      <c r="I1146">
        <v>301.5317</v>
      </c>
      <c r="J1146">
        <v>-191.4365</v>
      </c>
      <c r="K1146">
        <v>1.109659</v>
      </c>
      <c r="L1146">
        <v>316.7672</v>
      </c>
      <c r="M1146">
        <v>3.9021500000000001E-2</v>
      </c>
      <c r="N1146">
        <v>0</v>
      </c>
      <c r="O1146">
        <v>-0.99919259999999999</v>
      </c>
      <c r="P1146">
        <v>-6.4051070000000002E-2</v>
      </c>
      <c r="Q1146">
        <v>4.9458340000000003E-2</v>
      </c>
      <c r="R1146">
        <v>-0.9967201</v>
      </c>
      <c r="S1146">
        <v>-0.48873899999999998</v>
      </c>
      <c r="T1146">
        <v>-0.21448220000000001</v>
      </c>
      <c r="U1146">
        <v>-2.9890750000000001</v>
      </c>
      <c r="V1146">
        <v>0.1028998</v>
      </c>
      <c r="W1146">
        <v>5.8944200000000002E-2</v>
      </c>
      <c r="X1146">
        <v>0.99294369999999998</v>
      </c>
      <c r="Y1146">
        <v>0.199354</v>
      </c>
      <c r="Z1146">
        <v>7.0306549999999995E-2</v>
      </c>
      <c r="AA1146">
        <v>0.9774022</v>
      </c>
      <c r="AB1146">
        <v>23</v>
      </c>
      <c r="AC1146">
        <v>-2.5375000000000201</v>
      </c>
      <c r="AD1146">
        <v>-1.1096608907349901</v>
      </c>
      <c r="AE1146">
        <v>-15.2355</v>
      </c>
      <c r="AF1146">
        <v>3.1140330619730801</v>
      </c>
      <c r="AG1146">
        <v>-1.1096608907349901</v>
      </c>
      <c r="AH1146">
        <v>15.0472059458919</v>
      </c>
      <c r="AI1146">
        <v>94.130449463429301</v>
      </c>
      <c r="AJ1146">
        <v>78.307643844476104</v>
      </c>
      <c r="AK1146">
        <v>15.4060688036103</v>
      </c>
      <c r="AL1146">
        <v>86.620787347889006</v>
      </c>
      <c r="AM1146">
        <v>84.0834976739296</v>
      </c>
      <c r="AN1146">
        <v>0.999999989461684</v>
      </c>
    </row>
    <row r="1147" spans="1:40" x14ac:dyDescent="0.25">
      <c r="A1147" t="str">
        <f>"20190312154528280"</f>
        <v>20190312154528280</v>
      </c>
      <c r="B1147" t="str">
        <f>"1552376728277007"</f>
        <v>1552376728277007</v>
      </c>
      <c r="C1147" t="s">
        <v>40</v>
      </c>
      <c r="D1147">
        <v>4.5075450000000004</v>
      </c>
      <c r="E1147">
        <v>0.53869350000000005</v>
      </c>
      <c r="F1147" t="s">
        <v>42</v>
      </c>
      <c r="G1147">
        <v>-194.09989999999999</v>
      </c>
      <c r="H1147" s="1">
        <v>-1.5670939999999901E-6</v>
      </c>
      <c r="I1147">
        <v>300.69920000000002</v>
      </c>
      <c r="J1147">
        <v>-191.4281</v>
      </c>
      <c r="K1147">
        <v>1.109672</v>
      </c>
      <c r="L1147">
        <v>316.55079999999998</v>
      </c>
      <c r="M1147">
        <v>3.902158E-2</v>
      </c>
      <c r="N1147">
        <v>0</v>
      </c>
      <c r="O1147">
        <v>-0.99919159999999996</v>
      </c>
      <c r="P1147">
        <v>-6.3886020000000002E-2</v>
      </c>
      <c r="Q1147">
        <v>4.9996690000000003E-2</v>
      </c>
      <c r="R1147">
        <v>-0.99670429999999999</v>
      </c>
      <c r="S1147">
        <v>-0.49533080000000002</v>
      </c>
      <c r="T1147">
        <v>-0.2063709</v>
      </c>
      <c r="U1147">
        <v>-2.9882810000000002</v>
      </c>
      <c r="V1147">
        <v>0.1027344</v>
      </c>
      <c r="W1147">
        <v>5.9622969999999997E-2</v>
      </c>
      <c r="X1147">
        <v>0.99292029999999998</v>
      </c>
      <c r="Y1147">
        <v>0.20152419999999999</v>
      </c>
      <c r="Z1147">
        <v>6.7650879999999997E-2</v>
      </c>
      <c r="AA1147">
        <v>0.97714449999999997</v>
      </c>
      <c r="AB1147">
        <v>23</v>
      </c>
      <c r="AC1147">
        <v>-2.67179999999999</v>
      </c>
      <c r="AD1147">
        <v>-1.1096735670939999</v>
      </c>
      <c r="AE1147">
        <v>-15.8515999999999</v>
      </c>
      <c r="AF1147">
        <v>3.2727530479592302</v>
      </c>
      <c r="AG1147">
        <v>-1.1096735670939999</v>
      </c>
      <c r="AH1147">
        <v>15.660637483494</v>
      </c>
      <c r="AI1147">
        <v>93.967631733351297</v>
      </c>
      <c r="AJ1147">
        <v>78.196230065384299</v>
      </c>
      <c r="AK1147">
        <v>16.0373892615928</v>
      </c>
      <c r="AL1147">
        <v>86.581828166152903</v>
      </c>
      <c r="AM1147">
        <v>84.092802268043002</v>
      </c>
      <c r="AN1147">
        <v>0.99999998882353502</v>
      </c>
    </row>
    <row r="1148" spans="1:40" x14ac:dyDescent="0.25">
      <c r="A1148" t="str">
        <f>"20190312154528304"</f>
        <v>20190312154528304</v>
      </c>
      <c r="B1148" t="str">
        <f>"1552376728297503"</f>
        <v>1552376728297503</v>
      </c>
      <c r="C1148" t="s">
        <v>40</v>
      </c>
      <c r="D1148">
        <v>4.5270640000000002</v>
      </c>
      <c r="E1148">
        <v>0.53850089999999995</v>
      </c>
      <c r="F1148" t="s">
        <v>42</v>
      </c>
      <c r="G1148">
        <v>-194.0975</v>
      </c>
      <c r="H1148" s="1">
        <v>-1.4131230000000001E-6</v>
      </c>
      <c r="I1148">
        <v>300.34179999999998</v>
      </c>
      <c r="J1148">
        <v>-191.41890000000001</v>
      </c>
      <c r="K1148">
        <v>1.109677</v>
      </c>
      <c r="L1148">
        <v>316.3141</v>
      </c>
      <c r="M1148">
        <v>3.9021699999999999E-2</v>
      </c>
      <c r="N1148">
        <v>0</v>
      </c>
      <c r="O1148">
        <v>-0.99919000000000002</v>
      </c>
      <c r="P1148">
        <v>-6.3802789999999998E-2</v>
      </c>
      <c r="Q1148">
        <v>5.0099240000000003E-2</v>
      </c>
      <c r="R1148">
        <v>-0.99670429999999999</v>
      </c>
      <c r="S1148">
        <v>-0.4921875</v>
      </c>
      <c r="T1148">
        <v>-0.2046028</v>
      </c>
      <c r="U1148">
        <v>-2.9886469999999998</v>
      </c>
      <c r="V1148">
        <v>0.1026514</v>
      </c>
      <c r="W1148">
        <v>5.98681E-2</v>
      </c>
      <c r="X1148">
        <v>0.99291410000000002</v>
      </c>
      <c r="Y1148">
        <v>0.20051089999999999</v>
      </c>
      <c r="Z1148">
        <v>6.7078620000000005E-2</v>
      </c>
      <c r="AA1148">
        <v>0.97739240000000005</v>
      </c>
      <c r="AB1148">
        <v>23</v>
      </c>
      <c r="AC1148">
        <v>-2.6785999999999799</v>
      </c>
      <c r="AD1148">
        <v>-1.109678413123</v>
      </c>
      <c r="AE1148">
        <v>-15.972300000000001</v>
      </c>
      <c r="AF1148">
        <v>3.2844364499167198</v>
      </c>
      <c r="AG1148">
        <v>-1.109678413123</v>
      </c>
      <c r="AH1148">
        <v>15.781514672811101</v>
      </c>
      <c r="AI1148">
        <v>93.938030018267696</v>
      </c>
      <c r="AJ1148">
        <v>78.243469311633305</v>
      </c>
      <c r="AK1148">
        <v>16.1578189846973</v>
      </c>
      <c r="AL1148">
        <v>86.567757999919905</v>
      </c>
      <c r="AM1148">
        <v>84.097504440023897</v>
      </c>
      <c r="AN1148">
        <v>0.999999954649189</v>
      </c>
    </row>
    <row r="1149" spans="1:40" x14ac:dyDescent="0.25">
      <c r="A1149" t="str">
        <f>"20190312154528326"</f>
        <v>20190312154528326</v>
      </c>
      <c r="B1149" t="str">
        <f>"1552376728317023"</f>
        <v>1552376728317023</v>
      </c>
      <c r="C1149" t="s">
        <v>40</v>
      </c>
      <c r="D1149">
        <v>4.5010830000000004</v>
      </c>
      <c r="E1149">
        <v>0.53829510000000003</v>
      </c>
      <c r="F1149" t="s">
        <v>42</v>
      </c>
      <c r="G1149">
        <v>-194.08029999999999</v>
      </c>
      <c r="H1149" s="1">
        <v>-1.2977620000000001E-6</v>
      </c>
      <c r="I1149">
        <v>300.08359999999999</v>
      </c>
      <c r="J1149">
        <v>-191.40950000000001</v>
      </c>
      <c r="K1149">
        <v>1.109699</v>
      </c>
      <c r="L1149">
        <v>316.07420000000002</v>
      </c>
      <c r="M1149">
        <v>3.9021880000000002E-2</v>
      </c>
      <c r="N1149">
        <v>0</v>
      </c>
      <c r="O1149">
        <v>-0.99918879999999999</v>
      </c>
      <c r="P1149">
        <v>-6.3324969999999994E-2</v>
      </c>
      <c r="Q1149">
        <v>5.0068880000000003E-2</v>
      </c>
      <c r="R1149">
        <v>-0.99673679999999998</v>
      </c>
      <c r="S1149">
        <v>-0.490097</v>
      </c>
      <c r="T1149">
        <v>-0.2043481</v>
      </c>
      <c r="U1149">
        <v>-2.988861</v>
      </c>
      <c r="V1149">
        <v>0.1021754</v>
      </c>
      <c r="W1149">
        <v>5.9984719999999998E-2</v>
      </c>
      <c r="X1149">
        <v>0.99295619999999996</v>
      </c>
      <c r="Y1149">
        <v>0.19983509999999999</v>
      </c>
      <c r="Z1149">
        <v>6.6999219999999998E-2</v>
      </c>
      <c r="AA1149">
        <v>0.97753619999999997</v>
      </c>
      <c r="AB1149">
        <v>23</v>
      </c>
      <c r="AC1149">
        <v>-2.6707999999999799</v>
      </c>
      <c r="AD1149">
        <v>-1.1097002977619901</v>
      </c>
      <c r="AE1149">
        <v>-15.990600000000001</v>
      </c>
      <c r="AF1149">
        <v>3.2774242363853898</v>
      </c>
      <c r="AG1149">
        <v>-1.1097002977619901</v>
      </c>
      <c r="AH1149">
        <v>15.800167185814001</v>
      </c>
      <c r="AI1149">
        <v>93.934011530398294</v>
      </c>
      <c r="AJ1149">
        <v>78.281339677195305</v>
      </c>
      <c r="AK1149">
        <v>16.174616764417401</v>
      </c>
      <c r="AL1149">
        <v>86.561064281595307</v>
      </c>
      <c r="AM1149">
        <v>84.124930082346793</v>
      </c>
      <c r="AN1149">
        <v>0.99999999705853904</v>
      </c>
    </row>
    <row r="1150" spans="1:40" x14ac:dyDescent="0.25">
      <c r="A1150" t="str">
        <f>"20190312154528348"</f>
        <v>20190312154528348</v>
      </c>
      <c r="B1150" t="str">
        <f>"1552376728337519"</f>
        <v>1552376728337519</v>
      </c>
      <c r="C1150" t="s">
        <v>40</v>
      </c>
      <c r="D1150">
        <v>4.5100259999999999</v>
      </c>
      <c r="E1150">
        <v>0.53825069999999997</v>
      </c>
      <c r="F1150" t="s">
        <v>42</v>
      </c>
      <c r="G1150">
        <v>-194.04519999999999</v>
      </c>
      <c r="H1150" s="1">
        <v>-1.207589E-6</v>
      </c>
      <c r="I1150">
        <v>299.89510000000001</v>
      </c>
      <c r="J1150">
        <v>-191.4014</v>
      </c>
      <c r="K1150">
        <v>1.1097170000000001</v>
      </c>
      <c r="L1150">
        <v>315.86540000000002</v>
      </c>
      <c r="M1150">
        <v>3.9021989999999999E-2</v>
      </c>
      <c r="N1150">
        <v>0</v>
      </c>
      <c r="O1150">
        <v>-0.99918709999999999</v>
      </c>
      <c r="P1150">
        <v>-6.3691540000000005E-2</v>
      </c>
      <c r="Q1150">
        <v>5.0681589999999999E-2</v>
      </c>
      <c r="R1150">
        <v>-0.99668190000000001</v>
      </c>
      <c r="S1150">
        <v>-0.48696899999999999</v>
      </c>
      <c r="T1150">
        <v>-0.20502590000000001</v>
      </c>
      <c r="U1150">
        <v>-2.9892270000000001</v>
      </c>
      <c r="V1150">
        <v>0.1025398</v>
      </c>
      <c r="W1150">
        <v>6.0725800000000003E-2</v>
      </c>
      <c r="X1150">
        <v>0.99287360000000002</v>
      </c>
      <c r="Y1150">
        <v>0.1988172</v>
      </c>
      <c r="Z1150">
        <v>6.7224989999999998E-2</v>
      </c>
      <c r="AA1150">
        <v>0.97772820000000005</v>
      </c>
      <c r="AB1150">
        <v>23</v>
      </c>
      <c r="AC1150">
        <v>-2.6438000000000001</v>
      </c>
      <c r="AD1150">
        <v>-1.109718207589</v>
      </c>
      <c r="AE1150">
        <v>-15.9703</v>
      </c>
      <c r="AF1150">
        <v>3.2497385985983298</v>
      </c>
      <c r="AG1150">
        <v>-1.109718207589</v>
      </c>
      <c r="AH1150">
        <v>15.7808005054403</v>
      </c>
      <c r="AI1150">
        <v>93.940055106629003</v>
      </c>
      <c r="AJ1150">
        <v>78.363752806977303</v>
      </c>
      <c r="AK1150">
        <v>16.1501065028061</v>
      </c>
      <c r="AL1150">
        <v>86.518526018424495</v>
      </c>
      <c r="AM1150">
        <v>84.103637439115502</v>
      </c>
      <c r="AN1150">
        <v>1.0000000094733199</v>
      </c>
    </row>
    <row r="1151" spans="1:40" x14ac:dyDescent="0.25">
      <c r="A1151" t="str">
        <f>"20190312154528372"</f>
        <v>20190312154528372</v>
      </c>
      <c r="B1151" t="str">
        <f>"1552376728367775"</f>
        <v>1552376728367775</v>
      </c>
      <c r="C1151" t="s">
        <v>40</v>
      </c>
      <c r="D1151">
        <v>4.4902819999999997</v>
      </c>
      <c r="E1151">
        <v>0.53826680000000005</v>
      </c>
      <c r="F1151" t="s">
        <v>42</v>
      </c>
      <c r="G1151">
        <v>-194.0504</v>
      </c>
      <c r="H1151" s="1">
        <v>-1.0914010000000001E-6</v>
      </c>
      <c r="I1151">
        <v>299.62099999999998</v>
      </c>
      <c r="J1151">
        <v>-191.39150000000001</v>
      </c>
      <c r="K1151">
        <v>1.109734</v>
      </c>
      <c r="L1151">
        <v>315.61200000000002</v>
      </c>
      <c r="M1151">
        <v>3.9022069999999999E-2</v>
      </c>
      <c r="N1151">
        <v>0</v>
      </c>
      <c r="O1151">
        <v>-0.9991854</v>
      </c>
      <c r="P1151">
        <v>-6.3904009999999997E-2</v>
      </c>
      <c r="Q1151">
        <v>5.1187839999999998E-2</v>
      </c>
      <c r="R1151">
        <v>-0.99664240000000004</v>
      </c>
      <c r="S1151">
        <v>-0.48747249999999998</v>
      </c>
      <c r="T1151">
        <v>-0.20420530000000001</v>
      </c>
      <c r="U1151">
        <v>-2.9892270000000001</v>
      </c>
      <c r="V1151">
        <v>0.1027507</v>
      </c>
      <c r="W1151">
        <v>6.1401169999999998E-2</v>
      </c>
      <c r="X1151">
        <v>0.99281019999999998</v>
      </c>
      <c r="Y1151">
        <v>0.19898080000000001</v>
      </c>
      <c r="Z1151">
        <v>6.6955120000000007E-2</v>
      </c>
      <c r="AA1151">
        <v>0.97771350000000001</v>
      </c>
      <c r="AB1151">
        <v>23</v>
      </c>
      <c r="AC1151">
        <v>-2.6588999999999801</v>
      </c>
      <c r="AD1151">
        <v>-1.109735091401</v>
      </c>
      <c r="AE1151">
        <v>-15.991</v>
      </c>
      <c r="AF1151">
        <v>3.26560549705771</v>
      </c>
      <c r="AG1151">
        <v>-1.109735091401</v>
      </c>
      <c r="AH1151">
        <v>15.8010073625946</v>
      </c>
      <c r="AI1151">
        <v>93.934516952663202</v>
      </c>
      <c r="AJ1151">
        <v>78.323039691139499</v>
      </c>
      <c r="AK1151">
        <v>16.173049338583901</v>
      </c>
      <c r="AL1151">
        <v>86.479757617598295</v>
      </c>
      <c r="AM1151">
        <v>84.091221091702096</v>
      </c>
      <c r="AN1151">
        <v>0.99999995162594801</v>
      </c>
    </row>
    <row r="1152" spans="1:40" x14ac:dyDescent="0.25">
      <c r="A1152" t="str">
        <f>"20190312154528395"</f>
        <v>20190312154528395</v>
      </c>
      <c r="B1152" t="str">
        <f>"1552376728387295"</f>
        <v>1552376728387295</v>
      </c>
      <c r="C1152" t="s">
        <v>40</v>
      </c>
      <c r="D1152">
        <v>4.4731870000000002</v>
      </c>
      <c r="E1152">
        <v>0.53829759999999904</v>
      </c>
      <c r="F1152" t="s">
        <v>53</v>
      </c>
      <c r="G1152">
        <v>-194.05799999999999</v>
      </c>
      <c r="H1152" s="1">
        <v>5.8479200000000001E-8</v>
      </c>
      <c r="I1152">
        <v>299.28429999999997</v>
      </c>
      <c r="J1152">
        <v>-191.38249999999999</v>
      </c>
      <c r="K1152">
        <v>1.109758</v>
      </c>
      <c r="L1152">
        <v>315.38299999999998</v>
      </c>
      <c r="M1152">
        <v>3.9022090000000002E-2</v>
      </c>
      <c r="N1152">
        <v>0</v>
      </c>
      <c r="O1152">
        <v>-0.99918379999999996</v>
      </c>
      <c r="P1152">
        <v>-6.4344700000000005E-2</v>
      </c>
      <c r="Q1152">
        <v>5.1499389999999999E-2</v>
      </c>
      <c r="R1152">
        <v>-0.99659810000000004</v>
      </c>
      <c r="S1152">
        <v>-0.48817440000000001</v>
      </c>
      <c r="T1152">
        <v>-0.2031646</v>
      </c>
      <c r="U1152">
        <v>-2.9891969999999999</v>
      </c>
      <c r="V1152">
        <v>0.1031895</v>
      </c>
      <c r="W1152">
        <v>6.1876149999999998E-2</v>
      </c>
      <c r="X1152">
        <v>0.99273529999999999</v>
      </c>
      <c r="Y1152">
        <v>0.19920969999999999</v>
      </c>
      <c r="Z1152">
        <v>6.6613290000000006E-2</v>
      </c>
      <c r="AA1152">
        <v>0.97769019999999995</v>
      </c>
      <c r="AB1152">
        <v>23</v>
      </c>
      <c r="AC1152">
        <v>-2.6754999999999902</v>
      </c>
      <c r="AD1152">
        <v>-1.1097579415208001</v>
      </c>
      <c r="AE1152">
        <v>-16.098700000000001</v>
      </c>
      <c r="AF1152">
        <v>3.2865034954572301</v>
      </c>
      <c r="AG1152">
        <v>-1.1097579415208001</v>
      </c>
      <c r="AH1152">
        <v>15.9084628986715</v>
      </c>
      <c r="AI1152">
        <v>93.908167227937795</v>
      </c>
      <c r="AJ1152">
        <v>78.327564285257907</v>
      </c>
      <c r="AK1152">
        <v>16.282255977377002</v>
      </c>
      <c r="AL1152">
        <v>86.4524917821645</v>
      </c>
      <c r="AM1152">
        <v>84.065722636248196</v>
      </c>
      <c r="AN1152">
        <v>1.0000000533575799</v>
      </c>
    </row>
    <row r="1153" spans="1:40" x14ac:dyDescent="0.25">
      <c r="A1153" t="str">
        <f>"20190312154528418"</f>
        <v>20190312154528418</v>
      </c>
      <c r="B1153" t="str">
        <f>"1552376728407790"</f>
        <v>1552376728407790</v>
      </c>
      <c r="C1153" t="s">
        <v>40</v>
      </c>
      <c r="D1153">
        <v>4.4463220000000003</v>
      </c>
      <c r="E1153">
        <v>0.53854440000000003</v>
      </c>
      <c r="F1153" t="s">
        <v>53</v>
      </c>
      <c r="G1153">
        <v>-194.0737</v>
      </c>
      <c r="H1153" s="1">
        <v>1.1661850000000001E-7</v>
      </c>
      <c r="I1153">
        <v>298.95420000000001</v>
      </c>
      <c r="J1153">
        <v>-191.37350000000001</v>
      </c>
      <c r="K1153">
        <v>1.109777</v>
      </c>
      <c r="L1153">
        <v>315.15050000000002</v>
      </c>
      <c r="M1153">
        <v>3.9022080000000001E-2</v>
      </c>
      <c r="N1153">
        <v>0</v>
      </c>
      <c r="O1153">
        <v>-0.99918220000000002</v>
      </c>
      <c r="P1153">
        <v>-6.4907320000000004E-2</v>
      </c>
      <c r="Q1153">
        <v>5.174902E-2</v>
      </c>
      <c r="R1153">
        <v>-0.99654880000000001</v>
      </c>
      <c r="S1153">
        <v>-0.4896393</v>
      </c>
      <c r="T1153">
        <v>-0.2019138</v>
      </c>
      <c r="U1153">
        <v>-2.9891359999999998</v>
      </c>
      <c r="V1153">
        <v>0.1037498</v>
      </c>
      <c r="W1153">
        <v>6.2287339999999997E-2</v>
      </c>
      <c r="X1153">
        <v>0.99265110000000001</v>
      </c>
      <c r="Y1153">
        <v>0.1996841</v>
      </c>
      <c r="Z1153">
        <v>6.620057E-2</v>
      </c>
      <c r="AA1153">
        <v>0.97762150000000003</v>
      </c>
      <c r="AB1153">
        <v>23</v>
      </c>
      <c r="AC1153">
        <v>-2.7001999999999899</v>
      </c>
      <c r="AD1153">
        <v>-1.1097768833815</v>
      </c>
      <c r="AE1153">
        <v>-16.196300000000001</v>
      </c>
      <c r="AF1153">
        <v>3.3150485375452199</v>
      </c>
      <c r="AG1153">
        <v>-1.1097768833815</v>
      </c>
      <c r="AH1153">
        <v>16.005475108210899</v>
      </c>
      <c r="AI1153">
        <v>93.884209811175893</v>
      </c>
      <c r="AJ1153">
        <v>78.298373027035097</v>
      </c>
      <c r="AK1153">
        <v>16.3828076036047</v>
      </c>
      <c r="AL1153">
        <v>86.428886501308796</v>
      </c>
      <c r="AM1153">
        <v>84.033229977082399</v>
      </c>
      <c r="AN1153">
        <v>0.99999997002776198</v>
      </c>
    </row>
    <row r="1154" spans="1:40" x14ac:dyDescent="0.25">
      <c r="A1154" t="str">
        <f>"20190312154528439"</f>
        <v>20190312154528439</v>
      </c>
      <c r="B1154" t="str">
        <f>"1552376728427311"</f>
        <v>1552376728427311</v>
      </c>
      <c r="C1154" t="s">
        <v>40</v>
      </c>
      <c r="D1154">
        <v>4.4716969999999998</v>
      </c>
      <c r="E1154">
        <v>0.53853289999999998</v>
      </c>
      <c r="F1154" t="s">
        <v>53</v>
      </c>
      <c r="G1154">
        <v>-194.1386</v>
      </c>
      <c r="H1154" s="1">
        <v>2.161867E-7</v>
      </c>
      <c r="I1154">
        <v>298.3888</v>
      </c>
      <c r="J1154">
        <v>-191.36510000000001</v>
      </c>
      <c r="K1154">
        <v>1.1097980000000001</v>
      </c>
      <c r="L1154">
        <v>314.93490000000003</v>
      </c>
      <c r="M1154">
        <v>3.9022099999999997E-2</v>
      </c>
      <c r="N1154">
        <v>0</v>
      </c>
      <c r="O1154">
        <v>-0.99918050000000003</v>
      </c>
      <c r="P1154">
        <v>-6.5570080000000003E-2</v>
      </c>
      <c r="Q1154">
        <v>5.2603499999999997E-2</v>
      </c>
      <c r="R1154">
        <v>-0.99646069999999998</v>
      </c>
      <c r="S1154">
        <v>-0.49301149999999999</v>
      </c>
      <c r="T1154">
        <v>-0.19786690000000001</v>
      </c>
      <c r="U1154">
        <v>-2.9885250000000001</v>
      </c>
      <c r="V1154">
        <v>0.10440869999999999</v>
      </c>
      <c r="W1154">
        <v>6.3278639999999997E-2</v>
      </c>
      <c r="X1154">
        <v>0.99251929999999999</v>
      </c>
      <c r="Y1154">
        <v>0.20080410000000001</v>
      </c>
      <c r="Z1154">
        <v>6.4879129999999993E-2</v>
      </c>
      <c r="AA1154">
        <v>0.97748060000000003</v>
      </c>
      <c r="AB1154">
        <v>23</v>
      </c>
      <c r="AC1154">
        <v>-2.7734999999999799</v>
      </c>
      <c r="AD1154">
        <v>-1.1097977838133</v>
      </c>
      <c r="AE1154">
        <v>-16.546099999999999</v>
      </c>
      <c r="AF1154">
        <v>3.4022006943674001</v>
      </c>
      <c r="AG1154">
        <v>-1.1097977838133</v>
      </c>
      <c r="AH1154">
        <v>16.353700816161201</v>
      </c>
      <c r="AI1154">
        <v>93.801125248783904</v>
      </c>
      <c r="AJ1154">
        <v>78.247897645187194</v>
      </c>
      <c r="AK1154">
        <v>16.7406735548551</v>
      </c>
      <c r="AL1154">
        <v>86.371976890355995</v>
      </c>
      <c r="AM1154">
        <v>83.994820335297803</v>
      </c>
      <c r="AN1154">
        <v>0.99999996189421403</v>
      </c>
    </row>
    <row r="1155" spans="1:40" x14ac:dyDescent="0.25">
      <c r="A1155" t="str">
        <f>"20190312154528461"</f>
        <v>20190312154528461</v>
      </c>
      <c r="B1155" t="str">
        <f>"1552376728457098"</f>
        <v>1552376728457098</v>
      </c>
      <c r="C1155" t="s">
        <v>40</v>
      </c>
      <c r="D1155">
        <v>4.4661970000000002</v>
      </c>
      <c r="E1155">
        <v>0.53859029999999997</v>
      </c>
      <c r="F1155" t="s">
        <v>53</v>
      </c>
      <c r="G1155">
        <v>-194.22819999999999</v>
      </c>
      <c r="H1155" s="1">
        <v>3.4636360000000002E-7</v>
      </c>
      <c r="I1155">
        <v>297.64960000000002</v>
      </c>
      <c r="J1155">
        <v>-191.35599999999999</v>
      </c>
      <c r="K1155">
        <v>1.1098140000000001</v>
      </c>
      <c r="L1155">
        <v>314.70359999999999</v>
      </c>
      <c r="M1155">
        <v>3.9022170000000002E-2</v>
      </c>
      <c r="N1155">
        <v>0</v>
      </c>
      <c r="O1155">
        <v>-0.99917909999999999</v>
      </c>
      <c r="P1155">
        <v>-6.5689330000000004E-2</v>
      </c>
      <c r="Q1155">
        <v>5.4118779999999998E-2</v>
      </c>
      <c r="R1155">
        <v>-0.99637189999999998</v>
      </c>
      <c r="S1155">
        <v>-0.49496459999999998</v>
      </c>
      <c r="T1155">
        <v>-0.19185650000000001</v>
      </c>
      <c r="U1155">
        <v>-2.9881899999999999</v>
      </c>
      <c r="V1155">
        <v>0.1045246</v>
      </c>
      <c r="W1155">
        <v>6.4936519999999998E-2</v>
      </c>
      <c r="X1155">
        <v>0.99240010000000001</v>
      </c>
      <c r="Y1155">
        <v>0.20146430000000001</v>
      </c>
      <c r="Z1155">
        <v>6.2915789999999999E-2</v>
      </c>
      <c r="AA1155">
        <v>0.97747309999999998</v>
      </c>
      <c r="AB1155">
        <v>23</v>
      </c>
      <c r="AC1155">
        <v>-2.8721999999999901</v>
      </c>
      <c r="AD1155">
        <v>-1.1098136536363901</v>
      </c>
      <c r="AE1155">
        <v>-17.053999999999899</v>
      </c>
      <c r="AF1155">
        <v>3.52103550524025</v>
      </c>
      <c r="AG1155">
        <v>-1.1098136536363901</v>
      </c>
      <c r="AH1155">
        <v>16.8594934307975</v>
      </c>
      <c r="AI1155">
        <v>93.686868803726995</v>
      </c>
      <c r="AJ1155">
        <v>78.203569539243304</v>
      </c>
      <c r="AK1155">
        <v>17.258965673471401</v>
      </c>
      <c r="AL1155">
        <v>86.276791884300593</v>
      </c>
      <c r="AM1155">
        <v>83.987486208377604</v>
      </c>
      <c r="AN1155">
        <v>1.0000000510574301</v>
      </c>
    </row>
    <row r="1156" spans="1:40" x14ac:dyDescent="0.25">
      <c r="A1156" t="str">
        <f>"20190312154528483"</f>
        <v>20190312154528483</v>
      </c>
      <c r="B1156" t="str">
        <f>"1552376728477594"</f>
        <v>1552376728477594</v>
      </c>
      <c r="C1156" t="s">
        <v>40</v>
      </c>
      <c r="D1156">
        <v>4.4423769999999996</v>
      </c>
      <c r="E1156">
        <v>0.53862670000000001</v>
      </c>
      <c r="F1156" t="s">
        <v>53</v>
      </c>
      <c r="G1156">
        <v>-194.35669999999999</v>
      </c>
      <c r="H1156" s="1">
        <v>6.6942249999999998E-7</v>
      </c>
      <c r="I1156">
        <v>296.61900000000003</v>
      </c>
      <c r="J1156">
        <v>-191.34719999999999</v>
      </c>
      <c r="K1156">
        <v>1.109839</v>
      </c>
      <c r="L1156">
        <v>314.4778</v>
      </c>
      <c r="M1156">
        <v>3.9022189999999998E-2</v>
      </c>
      <c r="N1156">
        <v>0</v>
      </c>
      <c r="O1156">
        <v>-0.9991776</v>
      </c>
      <c r="P1156">
        <v>-6.6278550000000006E-2</v>
      </c>
      <c r="Q1156">
        <v>5.6088190000000003E-2</v>
      </c>
      <c r="R1156">
        <v>-0.99622390000000005</v>
      </c>
      <c r="S1156">
        <v>-0.49580380000000002</v>
      </c>
      <c r="T1156">
        <v>-0.18337629999999999</v>
      </c>
      <c r="U1156">
        <v>-2.988159</v>
      </c>
      <c r="V1156">
        <v>0.1051078</v>
      </c>
      <c r="W1156">
        <v>6.7044779999999998E-2</v>
      </c>
      <c r="X1156">
        <v>0.99219820000000003</v>
      </c>
      <c r="Y1156">
        <v>0.2017612</v>
      </c>
      <c r="Z1156">
        <v>6.014278E-2</v>
      </c>
      <c r="AA1156">
        <v>0.97758639999999997</v>
      </c>
      <c r="AB1156">
        <v>23</v>
      </c>
      <c r="AC1156">
        <v>-3.0095000000000001</v>
      </c>
      <c r="AD1156">
        <v>-1.1098383305774999</v>
      </c>
      <c r="AE1156">
        <v>-17.858799999999899</v>
      </c>
      <c r="AF1156">
        <v>3.6902809046041498</v>
      </c>
      <c r="AG1156">
        <v>-1.1098383305774999</v>
      </c>
      <c r="AH1156">
        <v>17.661426332533399</v>
      </c>
      <c r="AI1156">
        <v>93.519901908016806</v>
      </c>
      <c r="AJ1156">
        <v>78.198082995978794</v>
      </c>
      <c r="AK1156">
        <v>18.0769437232738</v>
      </c>
      <c r="AL1156">
        <v>86.155733239620602</v>
      </c>
      <c r="AM1156">
        <v>83.952965748300997</v>
      </c>
      <c r="AN1156">
        <v>0.99999996011466297</v>
      </c>
    </row>
    <row r="1157" spans="1:40" x14ac:dyDescent="0.25">
      <c r="A1157" t="str">
        <f>"20190312154528505"</f>
        <v>20190312154528505</v>
      </c>
      <c r="B1157" t="str">
        <f>"1552376728497115"</f>
        <v>1552376728497115</v>
      </c>
      <c r="C1157" t="s">
        <v>40</v>
      </c>
      <c r="D1157">
        <v>4.3934530000000001</v>
      </c>
      <c r="E1157">
        <v>0.53869860000000003</v>
      </c>
      <c r="F1157" t="s">
        <v>53</v>
      </c>
      <c r="G1157">
        <v>-194.50700000000001</v>
      </c>
      <c r="H1157" s="1">
        <v>1.043896E-6</v>
      </c>
      <c r="I1157">
        <v>295.52190000000002</v>
      </c>
      <c r="J1157">
        <v>-191.33850000000001</v>
      </c>
      <c r="K1157">
        <v>1.1098779999999999</v>
      </c>
      <c r="L1157">
        <v>314.25400000000002</v>
      </c>
      <c r="M1157">
        <v>3.9022189999999998E-2</v>
      </c>
      <c r="N1157">
        <v>0</v>
      </c>
      <c r="O1157">
        <v>-0.99917599999999995</v>
      </c>
      <c r="P1157">
        <v>-6.8174189999999996E-2</v>
      </c>
      <c r="Q1157">
        <v>5.8390289999999997E-2</v>
      </c>
      <c r="R1157">
        <v>-0.99596359999999995</v>
      </c>
      <c r="S1157">
        <v>-0.4980927</v>
      </c>
      <c r="T1157">
        <v>-0.17495039999999901</v>
      </c>
      <c r="U1157">
        <v>-2.9881289999999998</v>
      </c>
      <c r="V1157">
        <v>0.106992</v>
      </c>
      <c r="W1157">
        <v>6.9488099999999997E-2</v>
      </c>
      <c r="X1157">
        <v>0.99182870000000001</v>
      </c>
      <c r="Y1157">
        <v>0.20251830000000001</v>
      </c>
      <c r="Z1157">
        <v>5.7381309999999998E-2</v>
      </c>
      <c r="AA1157">
        <v>0.97759589999999996</v>
      </c>
      <c r="AB1157">
        <v>23</v>
      </c>
      <c r="AC1157">
        <v>-3.1684999999999901</v>
      </c>
      <c r="AD1157">
        <v>-1.1098769561040001</v>
      </c>
      <c r="AE1157">
        <v>-18.732099999999999</v>
      </c>
      <c r="AF1157">
        <v>3.8838442660239001</v>
      </c>
      <c r="AG1157">
        <v>-1.1098769561040001</v>
      </c>
      <c r="AH1157">
        <v>18.530936778134901</v>
      </c>
      <c r="AI1157">
        <v>93.354813442360694</v>
      </c>
      <c r="AJ1157">
        <v>78.162884021703604</v>
      </c>
      <c r="AK1157">
        <v>18.966066830411901</v>
      </c>
      <c r="AL1157">
        <v>86.015414194617705</v>
      </c>
      <c r="AM1157">
        <v>83.843113904799097</v>
      </c>
      <c r="AN1157">
        <v>1.0000000271246401</v>
      </c>
    </row>
    <row r="1158" spans="1:40" x14ac:dyDescent="0.25">
      <c r="A1158" t="str">
        <f>"20190312154528528"</f>
        <v>20190312154528528</v>
      </c>
      <c r="B1158" t="str">
        <f>"1552376728517610"</f>
        <v>1552376728517610</v>
      </c>
      <c r="C1158" t="s">
        <v>40</v>
      </c>
      <c r="D1158">
        <v>4.3871699999999896</v>
      </c>
      <c r="E1158">
        <v>0.53884109999999996</v>
      </c>
      <c r="F1158" t="s">
        <v>53</v>
      </c>
      <c r="G1158">
        <v>-194.69919999999999</v>
      </c>
      <c r="H1158" s="1">
        <v>1.3964310000000001E-6</v>
      </c>
      <c r="I1158">
        <v>294.33539999999999</v>
      </c>
      <c r="J1158">
        <v>-191.32939999999999</v>
      </c>
      <c r="K1158">
        <v>1.109915</v>
      </c>
      <c r="L1158">
        <v>314.0204</v>
      </c>
      <c r="M1158">
        <v>3.9021979999999998E-2</v>
      </c>
      <c r="N1158">
        <v>0</v>
      </c>
      <c r="O1158">
        <v>-0.9991738</v>
      </c>
      <c r="P1158">
        <v>-7.1547449999999999E-2</v>
      </c>
      <c r="Q1158">
        <v>5.9278490000000003E-2</v>
      </c>
      <c r="R1158">
        <v>-0.99567419999999995</v>
      </c>
      <c r="S1158">
        <v>-0.50405880000000003</v>
      </c>
      <c r="T1158">
        <v>-0.16646329999999901</v>
      </c>
      <c r="U1158">
        <v>-2.987457</v>
      </c>
      <c r="V1158">
        <v>0.1103513</v>
      </c>
      <c r="W1158">
        <v>7.0530300000000004E-2</v>
      </c>
      <c r="X1158">
        <v>0.99138700000000002</v>
      </c>
      <c r="Y1158">
        <v>0.2044784</v>
      </c>
      <c r="Z1158">
        <v>5.4598260000000003E-2</v>
      </c>
      <c r="AA1158">
        <v>0.97734730000000003</v>
      </c>
      <c r="AB1158">
        <v>23</v>
      </c>
      <c r="AC1158">
        <v>-3.3697999999999899</v>
      </c>
      <c r="AD1158">
        <v>-1.109913603569</v>
      </c>
      <c r="AE1158">
        <v>-19.684999999999999</v>
      </c>
      <c r="AF1158">
        <v>4.1226968796954804</v>
      </c>
      <c r="AG1158">
        <v>-1.109913603569</v>
      </c>
      <c r="AH1158">
        <v>19.478339223389799</v>
      </c>
      <c r="AI1158">
        <v>93.190762095123205</v>
      </c>
      <c r="AJ1158">
        <v>78.049406481445004</v>
      </c>
      <c r="AK1158">
        <v>19.9407682066335</v>
      </c>
      <c r="AL1158">
        <v>85.955553780902605</v>
      </c>
      <c r="AM1158">
        <v>83.648551231629995</v>
      </c>
      <c r="AN1158">
        <v>1.00000005819938</v>
      </c>
    </row>
    <row r="1159" spans="1:40" x14ac:dyDescent="0.25">
      <c r="A1159" t="str">
        <f>"20190312154528549"</f>
        <v>20190312154528549</v>
      </c>
      <c r="B1159" t="str">
        <f>"1552376728538107"</f>
        <v>1552376728538107</v>
      </c>
      <c r="C1159" t="s">
        <v>40</v>
      </c>
      <c r="D1159">
        <v>4.3687559999999896</v>
      </c>
      <c r="E1159">
        <v>0.53886699999999998</v>
      </c>
      <c r="F1159" t="s">
        <v>53</v>
      </c>
      <c r="G1159">
        <v>-194.81290000000001</v>
      </c>
      <c r="H1159" s="1">
        <v>1.4829959999999999E-6</v>
      </c>
      <c r="I1159">
        <v>293.7867</v>
      </c>
      <c r="J1159">
        <v>-191.32079999999999</v>
      </c>
      <c r="K1159">
        <v>1.1099429999999999</v>
      </c>
      <c r="L1159">
        <v>313.80110000000002</v>
      </c>
      <c r="M1159">
        <v>3.9021939999999998E-2</v>
      </c>
      <c r="N1159">
        <v>0</v>
      </c>
      <c r="O1159">
        <v>-0.99917239999999996</v>
      </c>
      <c r="P1159">
        <v>-7.5067889999999998E-2</v>
      </c>
      <c r="Q1159">
        <v>5.8618320000000002E-2</v>
      </c>
      <c r="R1159">
        <v>-0.99545399999999995</v>
      </c>
      <c r="S1159">
        <v>-0.51405329999999905</v>
      </c>
      <c r="T1159">
        <v>-0.1637855</v>
      </c>
      <c r="U1159">
        <v>-2.9858090000000002</v>
      </c>
      <c r="V1159">
        <v>0.1138605</v>
      </c>
      <c r="W1159">
        <v>7.0013249999999999E-2</v>
      </c>
      <c r="X1159">
        <v>0.99102670000000004</v>
      </c>
      <c r="Y1159">
        <v>0.20775289999999999</v>
      </c>
      <c r="Z1159">
        <v>5.3718009999999997E-2</v>
      </c>
      <c r="AA1159">
        <v>0.9767053</v>
      </c>
      <c r="AB1159">
        <v>23</v>
      </c>
      <c r="AC1159">
        <v>-3.4921000000000202</v>
      </c>
      <c r="AD1159">
        <v>-1.1099415170039999</v>
      </c>
      <c r="AE1159">
        <v>-20.014399999999998</v>
      </c>
      <c r="AF1159">
        <v>4.2577841693052498</v>
      </c>
      <c r="AG1159">
        <v>-1.1099415170039999</v>
      </c>
      <c r="AH1159">
        <v>19.803769605809901</v>
      </c>
      <c r="AI1159">
        <v>93.136377624437102</v>
      </c>
      <c r="AJ1159">
        <v>77.866192546802495</v>
      </c>
      <c r="AK1159">
        <v>20.286694822064</v>
      </c>
      <c r="AL1159">
        <v>85.985251723060202</v>
      </c>
      <c r="AM1159">
        <v>83.445941642282904</v>
      </c>
      <c r="AN1159">
        <v>0.99999999437435105</v>
      </c>
    </row>
    <row r="1160" spans="1:40" x14ac:dyDescent="0.25">
      <c r="A1160" t="str">
        <f>"20190312154528573"</f>
        <v>20190312154528573</v>
      </c>
      <c r="B1160" t="str">
        <f>"1552376728567894"</f>
        <v>1552376728567894</v>
      </c>
      <c r="C1160" t="s">
        <v>40</v>
      </c>
      <c r="D1160">
        <v>4.3806419999999999</v>
      </c>
      <c r="E1160">
        <v>0.51812879999999994</v>
      </c>
      <c r="F1160" t="s">
        <v>53</v>
      </c>
      <c r="G1160">
        <v>-194.8486</v>
      </c>
      <c r="H1160" s="1">
        <v>1.4957060000000001E-6</v>
      </c>
      <c r="I1160">
        <v>293.69650000000001</v>
      </c>
      <c r="J1160">
        <v>-191.31139999999999</v>
      </c>
      <c r="K1160">
        <v>1.109961</v>
      </c>
      <c r="L1160">
        <v>313.5591</v>
      </c>
      <c r="M1160">
        <v>3.9017650000000001E-2</v>
      </c>
      <c r="N1160">
        <v>0</v>
      </c>
      <c r="O1160">
        <v>-0.99917049999999996</v>
      </c>
      <c r="P1160">
        <v>-7.8242590000000001E-2</v>
      </c>
      <c r="Q1160">
        <v>5.7798339999999997E-2</v>
      </c>
      <c r="R1160">
        <v>-0.99525779999999997</v>
      </c>
      <c r="S1160">
        <v>-0.52359009999999995</v>
      </c>
      <c r="T1160">
        <v>-0.1647372</v>
      </c>
      <c r="U1160">
        <v>-2.9839169999999999</v>
      </c>
      <c r="V1160">
        <v>0.11702120000000001</v>
      </c>
      <c r="W1160">
        <v>6.9364430000000005E-2</v>
      </c>
      <c r="X1160">
        <v>0.99070409999999998</v>
      </c>
      <c r="Y1160">
        <v>0.21087839999999999</v>
      </c>
      <c r="Z1160">
        <v>5.4029969999999997E-2</v>
      </c>
      <c r="AA1160">
        <v>0.97601800000000005</v>
      </c>
      <c r="AB1160">
        <v>23</v>
      </c>
      <c r="AC1160">
        <v>-3.5372000000000101</v>
      </c>
      <c r="AD1160">
        <v>-1.109959504294</v>
      </c>
      <c r="AE1160">
        <v>-19.862599999999901</v>
      </c>
      <c r="AF1160">
        <v>4.2965460266465199</v>
      </c>
      <c r="AG1160">
        <v>-1.109959504294</v>
      </c>
      <c r="AH1160">
        <v>19.6499739639317</v>
      </c>
      <c r="AI1160">
        <v>93.158539806790401</v>
      </c>
      <c r="AJ1160">
        <v>77.666160314672396</v>
      </c>
      <c r="AK1160">
        <v>20.144820541356498</v>
      </c>
      <c r="AL1160">
        <v>86.022516992444395</v>
      </c>
      <c r="AM1160">
        <v>83.263480881277303</v>
      </c>
      <c r="AN1160">
        <v>0.999999999577737</v>
      </c>
    </row>
    <row r="1161" spans="1:40" x14ac:dyDescent="0.25">
      <c r="A1161" t="str">
        <f>"20190312154528596"</f>
        <v>20190312154528596</v>
      </c>
      <c r="B1161" t="str">
        <f>"1552376728587416"</f>
        <v>1552376728587416</v>
      </c>
      <c r="C1161" t="s">
        <v>40</v>
      </c>
      <c r="D1161">
        <v>4.3536580000000002</v>
      </c>
      <c r="E1161">
        <v>0.515123</v>
      </c>
      <c r="F1161" t="s">
        <v>53</v>
      </c>
      <c r="G1161">
        <v>-194.67169999999999</v>
      </c>
      <c r="H1161" s="1">
        <v>2.9866509999999998E-6</v>
      </c>
      <c r="I1161">
        <v>286.32369999999997</v>
      </c>
      <c r="J1161">
        <v>-191.30250000000001</v>
      </c>
      <c r="K1161">
        <v>1.109972</v>
      </c>
      <c r="L1161">
        <v>313.33</v>
      </c>
      <c r="M1161">
        <v>3.8987929999999997E-2</v>
      </c>
      <c r="N1161">
        <v>0</v>
      </c>
      <c r="O1161">
        <v>-0.99916950000000004</v>
      </c>
      <c r="P1161">
        <v>-8.0331360000000004E-2</v>
      </c>
      <c r="Q1161">
        <v>5.7435550000000002E-2</v>
      </c>
      <c r="R1161">
        <v>-0.99511240000000001</v>
      </c>
      <c r="S1161">
        <v>-0.36920170000000002</v>
      </c>
      <c r="T1161">
        <v>-0.12195060000000001</v>
      </c>
      <c r="U1161">
        <v>-2.99234</v>
      </c>
      <c r="V1161">
        <v>0.119075399999999</v>
      </c>
      <c r="W1161">
        <v>6.9185559999999993E-2</v>
      </c>
      <c r="X1161">
        <v>0.99047180000000001</v>
      </c>
      <c r="Y1161">
        <v>0.1609583</v>
      </c>
      <c r="Z1161">
        <v>4.0256109999999998E-2</v>
      </c>
      <c r="AA1161">
        <v>0.98613989999999996</v>
      </c>
      <c r="AB1161">
        <v>23</v>
      </c>
      <c r="AC1161">
        <v>-3.36919999999997</v>
      </c>
      <c r="AD1161">
        <v>-1.1099690133490001</v>
      </c>
      <c r="AE1161">
        <v>-27.0063</v>
      </c>
      <c r="AF1161">
        <v>4.4122923584180196</v>
      </c>
      <c r="AG1161">
        <v>-1.1099690133490001</v>
      </c>
      <c r="AH1161">
        <v>26.809802243794799</v>
      </c>
      <c r="AI1161">
        <v>92.339349425070495</v>
      </c>
      <c r="AJ1161">
        <v>80.6541779559237</v>
      </c>
      <c r="AK1161">
        <v>27.193121398951899</v>
      </c>
      <c r="AL1161">
        <v>86.032790129143606</v>
      </c>
      <c r="AM1161">
        <v>83.144750584097395</v>
      </c>
      <c r="AN1161">
        <v>0.99999998959645597</v>
      </c>
    </row>
    <row r="1162" spans="1:40" x14ac:dyDescent="0.25">
      <c r="A1162" t="str">
        <f>"20190312154528639"</f>
        <v>20190312154528639</v>
      </c>
      <c r="B1162" t="str">
        <f>"1552376728627432"</f>
        <v>1552376728627432</v>
      </c>
      <c r="C1162" t="s">
        <v>40</v>
      </c>
      <c r="D1162">
        <v>4.3383580000000004</v>
      </c>
      <c r="E1162">
        <v>0.51339860000000004</v>
      </c>
      <c r="F1162" t="s">
        <v>53</v>
      </c>
      <c r="G1162">
        <v>-194.52199999999999</v>
      </c>
      <c r="H1162" s="1">
        <v>3.0470440000000002E-6</v>
      </c>
      <c r="I1162">
        <v>285.93669999999997</v>
      </c>
      <c r="J1162">
        <v>-191.2859</v>
      </c>
      <c r="K1162">
        <v>1.109928</v>
      </c>
      <c r="L1162">
        <v>312.89879999999999</v>
      </c>
      <c r="M1162">
        <v>3.8720919999999999E-2</v>
      </c>
      <c r="N1162">
        <v>0</v>
      </c>
      <c r="O1162">
        <v>-0.99917540000000005</v>
      </c>
      <c r="P1162">
        <v>-7.9403860000000007E-2</v>
      </c>
      <c r="Q1162">
        <v>5.8729440000000001E-2</v>
      </c>
      <c r="R1162">
        <v>-0.99511119999999997</v>
      </c>
      <c r="S1162">
        <v>-0.35180660000000002</v>
      </c>
      <c r="T1162">
        <v>-0.12128940000000001</v>
      </c>
      <c r="U1162">
        <v>-2.993347</v>
      </c>
      <c r="V1162">
        <v>0.1179007</v>
      </c>
      <c r="W1162">
        <v>7.0819010000000002E-2</v>
      </c>
      <c r="X1162">
        <v>0.99049690000000001</v>
      </c>
      <c r="Y1162">
        <v>0.15500369999999999</v>
      </c>
      <c r="Z1162">
        <v>4.005852E-2</v>
      </c>
      <c r="AA1162">
        <v>0.98710140000000002</v>
      </c>
      <c r="AB1162">
        <v>23</v>
      </c>
      <c r="AC1162">
        <v>-3.23610000000002</v>
      </c>
      <c r="AD1162">
        <v>-1.109924952956</v>
      </c>
      <c r="AE1162">
        <v>-26.9621</v>
      </c>
      <c r="AF1162">
        <v>4.2706135682437196</v>
      </c>
      <c r="AG1162">
        <v>-1.109924952956</v>
      </c>
      <c r="AH1162">
        <v>26.771838431192901</v>
      </c>
      <c r="AI1162">
        <v>92.344440000698398</v>
      </c>
      <c r="AJ1162">
        <v>80.936603399280898</v>
      </c>
      <c r="AK1162">
        <v>27.133031652145998</v>
      </c>
      <c r="AL1162">
        <v>85.938970245459899</v>
      </c>
      <c r="AM1162">
        <v>83.211915070810093</v>
      </c>
      <c r="AN1162">
        <v>1.0000000080737399</v>
      </c>
    </row>
    <row r="1163" spans="1:40" x14ac:dyDescent="0.25">
      <c r="A1163" t="str">
        <f>"20190312154528661"</f>
        <v>20190312154528661</v>
      </c>
      <c r="B1163" t="str">
        <f>"1552376728647927"</f>
        <v>1552376728647927</v>
      </c>
      <c r="C1163" t="s">
        <v>40</v>
      </c>
      <c r="D1163">
        <v>4.351896</v>
      </c>
      <c r="E1163">
        <v>0.5129996</v>
      </c>
      <c r="F1163" t="s">
        <v>53</v>
      </c>
      <c r="G1163">
        <v>-194.5369</v>
      </c>
      <c r="H1163" s="1">
        <v>3.2239179999999998E-6</v>
      </c>
      <c r="I1163">
        <v>283.88330000000002</v>
      </c>
      <c r="J1163">
        <v>-191.2773</v>
      </c>
      <c r="K1163">
        <v>1.1098490000000001</v>
      </c>
      <c r="L1163">
        <v>312.67039999999997</v>
      </c>
      <c r="M1163">
        <v>3.8414209999999997E-2</v>
      </c>
      <c r="N1163">
        <v>0</v>
      </c>
      <c r="O1163">
        <v>-0.99918499999999999</v>
      </c>
      <c r="P1163">
        <v>-7.7394879999999999E-2</v>
      </c>
      <c r="Q1163">
        <v>5.8172149999999999E-2</v>
      </c>
      <c r="R1163">
        <v>-0.99530209999999997</v>
      </c>
      <c r="S1163">
        <v>-0.33554079999999997</v>
      </c>
      <c r="T1163">
        <v>-0.1145579</v>
      </c>
      <c r="U1163">
        <v>-2.9947509999999999</v>
      </c>
      <c r="V1163">
        <v>0.1156119</v>
      </c>
      <c r="W1163">
        <v>7.0410420000000001E-2</v>
      </c>
      <c r="X1163">
        <v>0.9907958</v>
      </c>
      <c r="Y1163">
        <v>0.149362299999999</v>
      </c>
      <c r="Z1163">
        <v>3.7849920000000002E-2</v>
      </c>
      <c r="AA1163">
        <v>0.98805790000000004</v>
      </c>
      <c r="AB1163">
        <v>23</v>
      </c>
      <c r="AC1163">
        <v>-3.2595999999999998</v>
      </c>
      <c r="AD1163">
        <v>-1.109845776082</v>
      </c>
      <c r="AE1163">
        <v>-28.787099999999899</v>
      </c>
      <c r="AF1163">
        <v>4.3567186575708803</v>
      </c>
      <c r="AG1163">
        <v>-1.109845776082</v>
      </c>
      <c r="AH1163">
        <v>28.598654133843301</v>
      </c>
      <c r="AI1163">
        <v>92.197074984025207</v>
      </c>
      <c r="AJ1163">
        <v>81.338158345791996</v>
      </c>
      <c r="AK1163">
        <v>28.949883823171099</v>
      </c>
      <c r="AL1163">
        <v>85.962439395155897</v>
      </c>
      <c r="AM1163">
        <v>83.344487744868104</v>
      </c>
      <c r="AN1163">
        <v>1.0000000279819099</v>
      </c>
    </row>
    <row r="1164" spans="1:40" x14ac:dyDescent="0.25">
      <c r="A1164" t="str">
        <f>"20190312154528683"</f>
        <v>20190312154528683</v>
      </c>
      <c r="B1164" t="str">
        <f>"1552376728677713"</f>
        <v>1552376728677713</v>
      </c>
      <c r="C1164" t="s">
        <v>40</v>
      </c>
      <c r="D1164">
        <v>4.3151919999999997</v>
      </c>
      <c r="E1164">
        <v>0.5124223</v>
      </c>
      <c r="F1164" t="s">
        <v>53</v>
      </c>
      <c r="G1164">
        <v>-194.43379999999999</v>
      </c>
      <c r="H1164" s="1">
        <v>3.2540469999999999E-6</v>
      </c>
      <c r="I1164">
        <v>283.74770000000001</v>
      </c>
      <c r="J1164">
        <v>-191.26900000000001</v>
      </c>
      <c r="K1164">
        <v>1.109728</v>
      </c>
      <c r="L1164">
        <v>312.44220000000001</v>
      </c>
      <c r="M1164">
        <v>3.793055E-2</v>
      </c>
      <c r="N1164">
        <v>0</v>
      </c>
      <c r="O1164">
        <v>-0.99920149999999996</v>
      </c>
      <c r="P1164">
        <v>-7.6003589999999996E-2</v>
      </c>
      <c r="Q1164">
        <v>5.6804300000000002E-2</v>
      </c>
      <c r="R1164">
        <v>-0.99548820000000005</v>
      </c>
      <c r="S1164">
        <v>-0.32691959999999998</v>
      </c>
      <c r="T1164">
        <v>-0.1149453</v>
      </c>
      <c r="U1164">
        <v>-2.9954830000000001</v>
      </c>
      <c r="V1164">
        <v>0.11376849999999999</v>
      </c>
      <c r="W1164">
        <v>6.9168430000000003E-2</v>
      </c>
      <c r="X1164">
        <v>0.99109659999999999</v>
      </c>
      <c r="Y1164">
        <v>0.14604629999999999</v>
      </c>
      <c r="Z1164">
        <v>3.7985030000000003E-2</v>
      </c>
      <c r="AA1164">
        <v>0.98854819999999999</v>
      </c>
      <c r="AB1164">
        <v>23</v>
      </c>
      <c r="AC1164">
        <v>-3.1647999999999801</v>
      </c>
      <c r="AD1164">
        <v>-1.109724745953</v>
      </c>
      <c r="AE1164">
        <v>-28.694500000000001</v>
      </c>
      <c r="AF1164">
        <v>4.2447337598226396</v>
      </c>
      <c r="AG1164">
        <v>-1.109724745953</v>
      </c>
      <c r="AH1164">
        <v>28.511664193798602</v>
      </c>
      <c r="AI1164">
        <v>92.2046545564274</v>
      </c>
      <c r="AJ1164">
        <v>81.532166663097399</v>
      </c>
      <c r="AK1164">
        <v>28.847257214568899</v>
      </c>
      <c r="AL1164">
        <v>86.033774031530598</v>
      </c>
      <c r="AM1164">
        <v>83.451649204385902</v>
      </c>
      <c r="AN1164">
        <v>1.00000000691623</v>
      </c>
    </row>
    <row r="1165" spans="1:40" x14ac:dyDescent="0.25">
      <c r="A1165" t="str">
        <f>"20190312154528706"</f>
        <v>20190312154528706</v>
      </c>
      <c r="B1165" t="str">
        <f>"1552376728697234"</f>
        <v>1552376728697234</v>
      </c>
      <c r="C1165" t="s">
        <v>40</v>
      </c>
      <c r="D1165">
        <v>4.3141299999999996</v>
      </c>
      <c r="E1165">
        <v>0.51241210000000004</v>
      </c>
      <c r="F1165" t="s">
        <v>53</v>
      </c>
      <c r="G1165">
        <v>-194.27619999999999</v>
      </c>
      <c r="H1165" s="1">
        <v>3.246448E-6</v>
      </c>
      <c r="I1165">
        <v>284.15449999999998</v>
      </c>
      <c r="J1165">
        <v>-191.26130000000001</v>
      </c>
      <c r="K1165">
        <v>1.1095759999999999</v>
      </c>
      <c r="L1165">
        <v>312.21940000000001</v>
      </c>
      <c r="M1165">
        <v>3.7197189999999998E-2</v>
      </c>
      <c r="N1165">
        <v>0</v>
      </c>
      <c r="O1165">
        <v>-0.99922750000000005</v>
      </c>
      <c r="P1165">
        <v>-7.5961310000000004E-2</v>
      </c>
      <c r="Q1165">
        <v>5.5463539999999999E-2</v>
      </c>
      <c r="R1165">
        <v>-0.99556730000000004</v>
      </c>
      <c r="S1165">
        <v>-0.31849670000000002</v>
      </c>
      <c r="T1165">
        <v>-0.1175332</v>
      </c>
      <c r="U1165">
        <v>-2.9960019999999998</v>
      </c>
      <c r="V1165">
        <v>0.1130255</v>
      </c>
      <c r="W1165">
        <v>6.7926349999999996E-2</v>
      </c>
      <c r="X1165">
        <v>0.99126749999999997</v>
      </c>
      <c r="Y1165">
        <v>0.14255019999999999</v>
      </c>
      <c r="Z1165">
        <v>3.8849670000000003E-2</v>
      </c>
      <c r="AA1165">
        <v>0.98902489999999998</v>
      </c>
      <c r="AB1165">
        <v>23</v>
      </c>
      <c r="AC1165">
        <v>-3.0148999999999799</v>
      </c>
      <c r="AD1165">
        <v>-1.1095727535519999</v>
      </c>
      <c r="AE1165">
        <v>-28.064900000000002</v>
      </c>
      <c r="AF1165">
        <v>4.0505733475924304</v>
      </c>
      <c r="AG1165">
        <v>-1.1095727535519999</v>
      </c>
      <c r="AH1165">
        <v>27.8902219746317</v>
      </c>
      <c r="AI1165">
        <v>92.254600772123993</v>
      </c>
      <c r="AJ1165">
        <v>81.736552796771505</v>
      </c>
      <c r="AK1165">
        <v>28.204658798394998</v>
      </c>
      <c r="AL1165">
        <v>86.1051077553673</v>
      </c>
      <c r="AM1165">
        <v>83.495159411919801</v>
      </c>
      <c r="AN1165">
        <v>1.0000000046154101</v>
      </c>
    </row>
    <row r="1166" spans="1:40" x14ac:dyDescent="0.25">
      <c r="A1166" t="str">
        <f>"20190312154528727"</f>
        <v>20190312154528727</v>
      </c>
      <c r="B1166" t="str">
        <f>"1552376728717730"</f>
        <v>1552376728717730</v>
      </c>
      <c r="C1166" t="s">
        <v>40</v>
      </c>
      <c r="D1166">
        <v>4.3461109999999996</v>
      </c>
      <c r="E1166">
        <v>0.51246239999999998</v>
      </c>
      <c r="F1166" t="s">
        <v>53</v>
      </c>
      <c r="G1166">
        <v>-194.15989999999999</v>
      </c>
      <c r="H1166" s="1">
        <v>3.1970250000000001E-6</v>
      </c>
      <c r="I1166">
        <v>284.95589999999999</v>
      </c>
      <c r="J1166">
        <v>-191.25399999999999</v>
      </c>
      <c r="K1166">
        <v>1.109402</v>
      </c>
      <c r="L1166">
        <v>311.99720000000002</v>
      </c>
      <c r="M1166">
        <v>3.6212580000000001E-2</v>
      </c>
      <c r="N1166">
        <v>0</v>
      </c>
      <c r="O1166">
        <v>-0.99926199999999998</v>
      </c>
      <c r="P1166">
        <v>-7.7319719999999995E-2</v>
      </c>
      <c r="Q1166">
        <v>5.4166310000000002E-2</v>
      </c>
      <c r="R1166">
        <v>-0.99553420000000004</v>
      </c>
      <c r="S1166">
        <v>-0.31851200000000002</v>
      </c>
      <c r="T1166">
        <v>-0.1219268</v>
      </c>
      <c r="U1166">
        <v>-2.9958800000000001</v>
      </c>
      <c r="V1166">
        <v>0.1134313</v>
      </c>
      <c r="W1166">
        <v>6.6706979999999999E-2</v>
      </c>
      <c r="X1166">
        <v>0.99130390000000002</v>
      </c>
      <c r="Y1166">
        <v>0.14157800000000001</v>
      </c>
      <c r="Z1166">
        <v>4.0306229999999998E-2</v>
      </c>
      <c r="AA1166">
        <v>0.98910620000000005</v>
      </c>
      <c r="AB1166">
        <v>23</v>
      </c>
      <c r="AC1166">
        <v>-2.9058999999999702</v>
      </c>
      <c r="AD1166">
        <v>-1.1093988029749999</v>
      </c>
      <c r="AE1166">
        <v>-27.0413</v>
      </c>
      <c r="AF1166">
        <v>3.8768585304271199</v>
      </c>
      <c r="AG1166">
        <v>-1.1093988029749999</v>
      </c>
      <c r="AH1166">
        <v>26.8736065151434</v>
      </c>
      <c r="AI1166">
        <v>92.339753157180695</v>
      </c>
      <c r="AJ1166">
        <v>81.790992433479104</v>
      </c>
      <c r="AK1166">
        <v>27.174464574297399</v>
      </c>
      <c r="AL1166">
        <v>86.175131148231898</v>
      </c>
      <c r="AM1166">
        <v>83.472243689308996</v>
      </c>
      <c r="AN1166">
        <v>0.99999995157780897</v>
      </c>
    </row>
    <row r="1167" spans="1:40" x14ac:dyDescent="0.25">
      <c r="A1167" t="str">
        <f>"20190312154528750"</f>
        <v>20190312154528750</v>
      </c>
      <c r="B1167" t="str">
        <f>"1552376728737250"</f>
        <v>1552376728737250</v>
      </c>
      <c r="C1167" t="s">
        <v>40</v>
      </c>
      <c r="D1167">
        <v>4.3191819999999996</v>
      </c>
      <c r="E1167">
        <v>0.51243339999999904</v>
      </c>
      <c r="F1167" t="s">
        <v>53</v>
      </c>
      <c r="G1167">
        <v>-194.1036</v>
      </c>
      <c r="H1167" s="1">
        <v>3.1531170000000002E-6</v>
      </c>
      <c r="I1167">
        <v>285.57229999999998</v>
      </c>
      <c r="J1167">
        <v>-191.24690000000001</v>
      </c>
      <c r="K1167">
        <v>1.109229</v>
      </c>
      <c r="L1167">
        <v>311.7627</v>
      </c>
      <c r="M1167">
        <v>3.4931879999999998E-2</v>
      </c>
      <c r="N1167">
        <v>0</v>
      </c>
      <c r="O1167">
        <v>-0.99930580000000002</v>
      </c>
      <c r="P1167">
        <v>-7.90714E-2</v>
      </c>
      <c r="Q1167">
        <v>5.3582150000000002E-2</v>
      </c>
      <c r="R1167">
        <v>-0.99542810000000004</v>
      </c>
      <c r="S1167">
        <v>-0.32299800000000001</v>
      </c>
      <c r="T1167">
        <v>-0.12574920000000001</v>
      </c>
      <c r="U1167">
        <v>-2.9952390000000002</v>
      </c>
      <c r="V1167">
        <v>0.11393449999999999</v>
      </c>
      <c r="W1167">
        <v>6.6190750000000007E-2</v>
      </c>
      <c r="X1167">
        <v>0.99128090000000002</v>
      </c>
      <c r="Y1167">
        <v>0.14179059999999999</v>
      </c>
      <c r="Z1167">
        <v>4.1575420000000002E-2</v>
      </c>
      <c r="AA1167">
        <v>0.98902319999999999</v>
      </c>
      <c r="AB1167">
        <v>23</v>
      </c>
      <c r="AC1167">
        <v>-2.85669999999998</v>
      </c>
      <c r="AD1167">
        <v>-1.1092258468830001</v>
      </c>
      <c r="AE1167">
        <v>-26.1904</v>
      </c>
      <c r="AF1167">
        <v>3.7632420207970401</v>
      </c>
      <c r="AG1167">
        <v>-1.1092258468830001</v>
      </c>
      <c r="AH1167">
        <v>26.028475948620699</v>
      </c>
      <c r="AI1167">
        <v>92.415150060506306</v>
      </c>
      <c r="AJ1167">
        <v>81.773085910858299</v>
      </c>
      <c r="AK1167">
        <v>26.3224986028</v>
      </c>
      <c r="AL1167">
        <v>86.204774856992898</v>
      </c>
      <c r="AM1167">
        <v>83.443386270747595</v>
      </c>
      <c r="AN1167">
        <v>1.0000000541903</v>
      </c>
    </row>
    <row r="1168" spans="1:40" x14ac:dyDescent="0.25">
      <c r="A1168" t="str">
        <f>"20190312154528774"</f>
        <v>20190312154528774</v>
      </c>
      <c r="B1168" t="str">
        <f>"1552376728767505"</f>
        <v>1552376728767505</v>
      </c>
      <c r="C1168" t="s">
        <v>40</v>
      </c>
      <c r="D1168">
        <v>4.3404980000000002</v>
      </c>
      <c r="E1168">
        <v>0.5124744</v>
      </c>
      <c r="F1168" t="s">
        <v>53</v>
      </c>
      <c r="G1168">
        <v>-194.15010000000001</v>
      </c>
      <c r="H1168" s="1">
        <v>3.1724689999999999E-6</v>
      </c>
      <c r="I1168">
        <v>285.25650000000002</v>
      </c>
      <c r="J1168">
        <v>-191.24039999999999</v>
      </c>
      <c r="K1168">
        <v>1.109078</v>
      </c>
      <c r="L1168">
        <v>311.5274</v>
      </c>
      <c r="M1168">
        <v>3.3394809999999997E-2</v>
      </c>
      <c r="N1168">
        <v>0</v>
      </c>
      <c r="O1168">
        <v>-0.99935700000000005</v>
      </c>
      <c r="P1168">
        <v>-8.0852549999999995E-2</v>
      </c>
      <c r="Q1168">
        <v>5.2306659999999998E-2</v>
      </c>
      <c r="R1168">
        <v>-0.99535280000000004</v>
      </c>
      <c r="S1168">
        <v>-0.32798769999999999</v>
      </c>
      <c r="T1168">
        <v>-0.1253126</v>
      </c>
      <c r="U1168">
        <v>-2.9944760000000001</v>
      </c>
      <c r="V1168">
        <v>0.11420959999999999</v>
      </c>
      <c r="W1168">
        <v>6.4973149999999993E-2</v>
      </c>
      <c r="X1168">
        <v>0.99132969999999998</v>
      </c>
      <c r="Y1168">
        <v>0.14192439999999901</v>
      </c>
      <c r="Z1168">
        <v>4.1440959999999999E-2</v>
      </c>
      <c r="AA1168">
        <v>0.98900969999999999</v>
      </c>
      <c r="AB1168">
        <v>23</v>
      </c>
      <c r="AC1168">
        <v>-2.9097000000000102</v>
      </c>
      <c r="AD1168">
        <v>-1.1090748275309901</v>
      </c>
      <c r="AE1168">
        <v>-26.270899999999902</v>
      </c>
      <c r="AF1168">
        <v>3.7788100446141302</v>
      </c>
      <c r="AG1168">
        <v>-1.1090748275309901</v>
      </c>
      <c r="AH1168">
        <v>26.1130910365289</v>
      </c>
      <c r="AI1168">
        <v>92.406962532703801</v>
      </c>
      <c r="AJ1168">
        <v>81.765920073205706</v>
      </c>
      <c r="AK1168">
        <v>26.4083883606779</v>
      </c>
      <c r="AL1168">
        <v>86.274688353317998</v>
      </c>
      <c r="AM1168">
        <v>83.428014076176098</v>
      </c>
      <c r="AN1168">
        <v>0.99999995852758505</v>
      </c>
    </row>
    <row r="1169" spans="1:40" x14ac:dyDescent="0.25">
      <c r="A1169" t="str">
        <f>"20190312154528798"</f>
        <v>20190312154528798</v>
      </c>
      <c r="B1169" t="str">
        <f>"1552376728787026"</f>
        <v>1552376728787026</v>
      </c>
      <c r="C1169" t="s">
        <v>40</v>
      </c>
      <c r="D1169">
        <v>4.3306389999999997</v>
      </c>
      <c r="E1169">
        <v>0.5124879</v>
      </c>
      <c r="F1169" t="s">
        <v>53</v>
      </c>
      <c r="G1169">
        <v>-194.16220000000001</v>
      </c>
      <c r="H1169" s="1">
        <v>3.16326E-6</v>
      </c>
      <c r="I1169">
        <v>285.3374</v>
      </c>
      <c r="J1169">
        <v>-191.23419999999999</v>
      </c>
      <c r="K1169">
        <v>1.108935</v>
      </c>
      <c r="L1169">
        <v>311.28149999999999</v>
      </c>
      <c r="M1169">
        <v>3.1500319999999998E-2</v>
      </c>
      <c r="N1169">
        <v>0</v>
      </c>
      <c r="O1169">
        <v>-0.99941720000000001</v>
      </c>
      <c r="P1169">
        <v>-8.2472320000000002E-2</v>
      </c>
      <c r="Q1169">
        <v>5.2192959999999997E-2</v>
      </c>
      <c r="R1169">
        <v>-0.99522569999999999</v>
      </c>
      <c r="S1169">
        <v>-0.33396910000000002</v>
      </c>
      <c r="T1169">
        <v>-0.1267694</v>
      </c>
      <c r="U1169">
        <v>-2.9935610000000001</v>
      </c>
      <c r="V1169">
        <v>0.1139693</v>
      </c>
      <c r="W1169">
        <v>6.4910339999999997E-2</v>
      </c>
      <c r="X1169">
        <v>0.99136150000000001</v>
      </c>
      <c r="Y1169">
        <v>0.14203070000000001</v>
      </c>
      <c r="Z1169">
        <v>4.1933600000000001E-2</v>
      </c>
      <c r="AA1169">
        <v>0.98897360000000001</v>
      </c>
      <c r="AB1169">
        <v>23</v>
      </c>
      <c r="AC1169">
        <v>-2.9280000000000199</v>
      </c>
      <c r="AD1169">
        <v>-1.1089318367399901</v>
      </c>
      <c r="AE1169">
        <v>-25.944099999999899</v>
      </c>
      <c r="AF1169">
        <v>3.7371230944201601</v>
      </c>
      <c r="AG1169">
        <v>-1.1089318367399901</v>
      </c>
      <c r="AH1169">
        <v>25.792452373999399</v>
      </c>
      <c r="AI1169">
        <v>92.436471957958503</v>
      </c>
      <c r="AJ1169">
        <v>81.755666673486701</v>
      </c>
      <c r="AK1169">
        <v>26.085367896704302</v>
      </c>
      <c r="AL1169">
        <v>86.278294826399502</v>
      </c>
      <c r="AM1169">
        <v>83.441929657208306</v>
      </c>
      <c r="AN1169">
        <v>0.99999998863182704</v>
      </c>
    </row>
    <row r="1170" spans="1:40" x14ac:dyDescent="0.25">
      <c r="A1170" t="str">
        <f>"20190312154528822"</f>
        <v>20190312154528822</v>
      </c>
      <c r="B1170" t="str">
        <f>"1552376728807521"</f>
        <v>1552376728807521</v>
      </c>
      <c r="C1170" t="s">
        <v>40</v>
      </c>
      <c r="D1170">
        <v>4.3279389999999998</v>
      </c>
      <c r="E1170">
        <v>0.51248899999999997</v>
      </c>
      <c r="F1170" t="s">
        <v>53</v>
      </c>
      <c r="G1170">
        <v>-194.20650000000001</v>
      </c>
      <c r="H1170" s="1">
        <v>3.1804390000000001E-6</v>
      </c>
      <c r="I1170">
        <v>285.05099999999999</v>
      </c>
      <c r="J1170">
        <v>-191.22919999999999</v>
      </c>
      <c r="K1170">
        <v>1.1087929999999999</v>
      </c>
      <c r="L1170">
        <v>311.05270000000002</v>
      </c>
      <c r="M1170">
        <v>2.9459579999999999E-2</v>
      </c>
      <c r="N1170">
        <v>0</v>
      </c>
      <c r="O1170">
        <v>-0.99947850000000005</v>
      </c>
      <c r="P1170">
        <v>-8.3915589999999998E-2</v>
      </c>
      <c r="Q1170">
        <v>5.3994800000000003E-2</v>
      </c>
      <c r="R1170">
        <v>-0.99500880000000003</v>
      </c>
      <c r="S1170">
        <v>-0.33914179999999999</v>
      </c>
      <c r="T1170">
        <v>-0.1265299</v>
      </c>
      <c r="U1170">
        <v>-2.9929199999999998</v>
      </c>
      <c r="V1170">
        <v>0.11340980000000001</v>
      </c>
      <c r="W1170">
        <v>6.6748840000000004E-2</v>
      </c>
      <c r="X1170">
        <v>0.99130359999999995</v>
      </c>
      <c r="Y1170">
        <v>0.14172119999999999</v>
      </c>
      <c r="Z1170">
        <v>4.186426E-2</v>
      </c>
      <c r="AA1170">
        <v>0.98902100000000004</v>
      </c>
      <c r="AB1170">
        <v>22</v>
      </c>
      <c r="AC1170">
        <v>-2.9773000000000098</v>
      </c>
      <c r="AD1170">
        <v>-1.108789819561</v>
      </c>
      <c r="AE1170">
        <v>-26.0017</v>
      </c>
      <c r="AF1170">
        <v>3.7353691082642602</v>
      </c>
      <c r="AG1170">
        <v>-1.108789819561</v>
      </c>
      <c r="AH1170">
        <v>25.856285701226501</v>
      </c>
      <c r="AI1170">
        <v>92.430299571765602</v>
      </c>
      <c r="AJ1170">
        <v>81.779548528755001</v>
      </c>
      <c r="AK1170">
        <v>26.1482295290214</v>
      </c>
      <c r="AL1170">
        <v>86.172727608928398</v>
      </c>
      <c r="AM1170">
        <v>83.4734683394</v>
      </c>
      <c r="AN1170">
        <v>1.0000000088751699</v>
      </c>
    </row>
    <row r="1171" spans="1:40" x14ac:dyDescent="0.25">
      <c r="A1171" t="str">
        <f>"20190312154528843"</f>
        <v>20190312154528843</v>
      </c>
      <c r="B1171" t="str">
        <f>"1552376728837777"</f>
        <v>1552376728837777</v>
      </c>
      <c r="C1171" t="s">
        <v>40</v>
      </c>
      <c r="D1171">
        <v>4.333901</v>
      </c>
      <c r="E1171">
        <v>0.51259880000000002</v>
      </c>
      <c r="F1171" t="s">
        <v>53</v>
      </c>
      <c r="G1171">
        <v>-194.38220000000001</v>
      </c>
      <c r="H1171" s="1">
        <v>3.2782339999999999E-6</v>
      </c>
      <c r="I1171">
        <v>283.57580000000002</v>
      </c>
      <c r="J1171">
        <v>-191.2251</v>
      </c>
      <c r="K1171">
        <v>1.1086549999999999</v>
      </c>
      <c r="L1171">
        <v>310.83269999999999</v>
      </c>
      <c r="M1171">
        <v>2.7252820000000001E-2</v>
      </c>
      <c r="N1171">
        <v>0</v>
      </c>
      <c r="O1171">
        <v>-0.99954030000000005</v>
      </c>
      <c r="P1171">
        <v>-8.5902770000000003E-2</v>
      </c>
      <c r="Q1171">
        <v>5.6351110000000003E-2</v>
      </c>
      <c r="R1171">
        <v>-0.99470899999999995</v>
      </c>
      <c r="S1171">
        <v>-0.34341430000000001</v>
      </c>
      <c r="T1171">
        <v>-0.1207638</v>
      </c>
      <c r="U1171">
        <v>-2.992645</v>
      </c>
      <c r="V1171">
        <v>0.1132311</v>
      </c>
      <c r="W1171">
        <v>6.9128960000000003E-2</v>
      </c>
      <c r="X1171">
        <v>0.99116090000000001</v>
      </c>
      <c r="Y1171">
        <v>0.14094860000000001</v>
      </c>
      <c r="Z1171">
        <v>3.9966019999999998E-2</v>
      </c>
      <c r="AA1171">
        <v>0.98920989999999998</v>
      </c>
      <c r="AB1171">
        <v>22</v>
      </c>
      <c r="AC1171">
        <v>-3.15710000000001</v>
      </c>
      <c r="AD1171">
        <v>-1.1086517217659999</v>
      </c>
      <c r="AE1171">
        <v>-27.256899999999899</v>
      </c>
      <c r="AF1171">
        <v>3.89246570548752</v>
      </c>
      <c r="AG1171">
        <v>-1.1086517217659999</v>
      </c>
      <c r="AH1171">
        <v>27.1164595385378</v>
      </c>
      <c r="AI1171">
        <v>92.317495477914605</v>
      </c>
      <c r="AJ1171">
        <v>81.831208887418597</v>
      </c>
      <c r="AK1171">
        <v>27.416833803591</v>
      </c>
      <c r="AL1171">
        <v>86.036040943827999</v>
      </c>
      <c r="AM1171">
        <v>83.482733582755799</v>
      </c>
      <c r="AN1171">
        <v>1.0000000124033499</v>
      </c>
    </row>
    <row r="1172" spans="1:40" x14ac:dyDescent="0.25">
      <c r="A1172" t="str">
        <f>"20190312154528862"</f>
        <v>20190312154528862</v>
      </c>
      <c r="B1172" t="str">
        <f>"1552376728857298"</f>
        <v>1552376728857298</v>
      </c>
      <c r="C1172" t="s">
        <v>40</v>
      </c>
      <c r="D1172">
        <v>4.3578270000000003</v>
      </c>
      <c r="E1172">
        <v>0.51276179999999905</v>
      </c>
      <c r="F1172" t="s">
        <v>53</v>
      </c>
      <c r="G1172">
        <v>-194.63570000000001</v>
      </c>
      <c r="H1172" s="1">
        <v>3.3994309999999998E-6</v>
      </c>
      <c r="I1172">
        <v>281.67520000000002</v>
      </c>
      <c r="J1172">
        <v>-191.22219999999999</v>
      </c>
      <c r="K1172">
        <v>1.108533</v>
      </c>
      <c r="L1172">
        <v>310.64499999999998</v>
      </c>
      <c r="M1172">
        <v>2.518287E-2</v>
      </c>
      <c r="N1172">
        <v>0</v>
      </c>
      <c r="O1172">
        <v>-0.99959370000000003</v>
      </c>
      <c r="P1172">
        <v>-8.7882710000000003E-2</v>
      </c>
      <c r="Q1172">
        <v>5.8088460000000001E-2</v>
      </c>
      <c r="R1172">
        <v>-0.99443579999999998</v>
      </c>
      <c r="S1172">
        <v>-0.35000609999999999</v>
      </c>
      <c r="T1172">
        <v>-0.1137727</v>
      </c>
      <c r="U1172">
        <v>-2.9922179999999998</v>
      </c>
      <c r="V1172">
        <v>0.11317820000000001</v>
      </c>
      <c r="W1172">
        <v>7.0880360000000003E-2</v>
      </c>
      <c r="X1172">
        <v>0.99104320000000001</v>
      </c>
      <c r="Y1172">
        <v>0.14107520000000001</v>
      </c>
      <c r="Z1172">
        <v>3.7659129999999999E-2</v>
      </c>
      <c r="AA1172">
        <v>0.98928240000000001</v>
      </c>
      <c r="AB1172">
        <v>22</v>
      </c>
      <c r="AC1172">
        <v>-3.41350000000002</v>
      </c>
      <c r="AD1172">
        <v>-1.108529600569</v>
      </c>
      <c r="AE1172">
        <v>-28.9697999999999</v>
      </c>
      <c r="AF1172">
        <v>4.1360518712866101</v>
      </c>
      <c r="AG1172">
        <v>-1.108529600569</v>
      </c>
      <c r="AH1172">
        <v>28.833002048711901</v>
      </c>
      <c r="AI1172">
        <v>92.179453144360096</v>
      </c>
      <c r="AJ1172">
        <v>81.836693873122897</v>
      </c>
      <c r="AK1172">
        <v>29.1492327531675</v>
      </c>
      <c r="AL1172">
        <v>85.935446168556993</v>
      </c>
      <c r="AM1172">
        <v>83.484985176627802</v>
      </c>
      <c r="AN1172">
        <v>0.99999997732760404</v>
      </c>
    </row>
    <row r="1173" spans="1:40" x14ac:dyDescent="0.25">
      <c r="A1173" t="str">
        <f>"20190312154528884"</f>
        <v>20190312154528884</v>
      </c>
      <c r="B1173" t="str">
        <f>"1552376728877794"</f>
        <v>1552376728877794</v>
      </c>
      <c r="C1173" t="s">
        <v>40</v>
      </c>
      <c r="D1173">
        <v>4.368017</v>
      </c>
      <c r="E1173">
        <v>0.51291830000000005</v>
      </c>
      <c r="F1173" t="s">
        <v>53</v>
      </c>
      <c r="G1173">
        <v>-194.8399</v>
      </c>
      <c r="H1173" s="1">
        <v>3.4828150000000001E-6</v>
      </c>
      <c r="I1173">
        <v>280.30709999999999</v>
      </c>
      <c r="J1173">
        <v>-191.21950000000001</v>
      </c>
      <c r="K1173">
        <v>1.1083889999999901</v>
      </c>
      <c r="L1173">
        <v>310.41879999999998</v>
      </c>
      <c r="M1173">
        <v>2.2500450000000002E-2</v>
      </c>
      <c r="N1173">
        <v>0</v>
      </c>
      <c r="O1173">
        <v>-0.99965689999999996</v>
      </c>
      <c r="P1173">
        <v>-9.0575169999999997E-2</v>
      </c>
      <c r="Q1173">
        <v>5.8668749999999999E-2</v>
      </c>
      <c r="R1173">
        <v>-0.99416009999999999</v>
      </c>
      <c r="S1173">
        <v>-0.35673519999999997</v>
      </c>
      <c r="T1173">
        <v>-0.1093104</v>
      </c>
      <c r="U1173">
        <v>-2.9915769999999999</v>
      </c>
      <c r="V1173">
        <v>0.11322989999999999</v>
      </c>
      <c r="W1173">
        <v>7.1474410000000002E-2</v>
      </c>
      <c r="X1173">
        <v>0.99099459999999995</v>
      </c>
      <c r="Y1173">
        <v>0.1406442</v>
      </c>
      <c r="Z1173">
        <v>3.6191620000000001E-2</v>
      </c>
      <c r="AA1173">
        <v>0.98939849999999996</v>
      </c>
      <c r="AB1173">
        <v>22</v>
      </c>
      <c r="AC1173">
        <v>-3.6203999999999801</v>
      </c>
      <c r="AD1173">
        <v>-1.1083855171849999</v>
      </c>
      <c r="AE1173">
        <v>-30.1116999999999</v>
      </c>
      <c r="AF1173">
        <v>4.2913394569790597</v>
      </c>
      <c r="AG1173">
        <v>-1.1083855171849999</v>
      </c>
      <c r="AH1173">
        <v>29.982562523907099</v>
      </c>
      <c r="AI1173">
        <v>92.095788909611301</v>
      </c>
      <c r="AJ1173">
        <v>81.854698529703697</v>
      </c>
      <c r="AK1173">
        <v>30.308384455291101</v>
      </c>
      <c r="AL1173">
        <v>85.901322947382695</v>
      </c>
      <c r="AM1173">
        <v>83.481717809680703</v>
      </c>
      <c r="AN1173">
        <v>0.99999994938400705</v>
      </c>
    </row>
    <row r="1174" spans="1:40" x14ac:dyDescent="0.25">
      <c r="A1174" t="str">
        <f>"20190312154528910"</f>
        <v>20190312154528910</v>
      </c>
      <c r="B1174" t="str">
        <f>"1552376728897313"</f>
        <v>1552376728897313</v>
      </c>
      <c r="C1174" t="s">
        <v>40</v>
      </c>
      <c r="D1174">
        <v>4.3728089999999904</v>
      </c>
      <c r="E1174">
        <v>0.5130768</v>
      </c>
      <c r="F1174" t="s">
        <v>53</v>
      </c>
      <c r="G1174">
        <v>-194.96109999999999</v>
      </c>
      <c r="H1174" s="1">
        <v>3.501591E-6</v>
      </c>
      <c r="I1174">
        <v>279.84629999999999</v>
      </c>
      <c r="J1174">
        <v>-191.2176</v>
      </c>
      <c r="K1174">
        <v>1.1082609999999999</v>
      </c>
      <c r="L1174">
        <v>310.17110000000002</v>
      </c>
      <c r="M1174">
        <v>1.9329809999999999E-2</v>
      </c>
      <c r="N1174">
        <v>0</v>
      </c>
      <c r="O1174">
        <v>-0.99972289999999997</v>
      </c>
      <c r="P1174">
        <v>-9.4779429999999998E-2</v>
      </c>
      <c r="Q1174">
        <v>5.8733100000000003E-2</v>
      </c>
      <c r="R1174">
        <v>-0.9937646</v>
      </c>
      <c r="S1174">
        <v>-0.36601260000000002</v>
      </c>
      <c r="T1174">
        <v>-0.1084247</v>
      </c>
      <c r="U1174">
        <v>-2.9906619999999999</v>
      </c>
      <c r="V1174">
        <v>0.114302399999999</v>
      </c>
      <c r="W1174">
        <v>7.1548609999999999E-2</v>
      </c>
      <c r="X1174">
        <v>0.99086620000000003</v>
      </c>
      <c r="Y1174">
        <v>0.1405661</v>
      </c>
      <c r="Z1174">
        <v>3.5906800000000003E-2</v>
      </c>
      <c r="AA1174">
        <v>0.98941999999999997</v>
      </c>
      <c r="AB1174">
        <v>22</v>
      </c>
      <c r="AC1174">
        <v>-3.7434999999999801</v>
      </c>
      <c r="AD1174">
        <v>-1.1082574984089999</v>
      </c>
      <c r="AE1174">
        <v>-30.3248</v>
      </c>
      <c r="AF1174">
        <v>4.3233382754128398</v>
      </c>
      <c r="AG1174">
        <v>-1.1082574984089999</v>
      </c>
      <c r="AH1174">
        <v>30.207025724375601</v>
      </c>
      <c r="AI1174">
        <v>92.079990377180806</v>
      </c>
      <c r="AJ1174">
        <v>81.854936656274006</v>
      </c>
      <c r="AK1174">
        <v>30.534961792010101</v>
      </c>
      <c r="AL1174">
        <v>85.8970610368617</v>
      </c>
      <c r="AM1174">
        <v>83.419671144885498</v>
      </c>
      <c r="AN1174">
        <v>1.0000000342705599</v>
      </c>
    </row>
    <row r="1175" spans="1:40" x14ac:dyDescent="0.25">
      <c r="A1175" t="str">
        <f>"20190312154528928"</f>
        <v>20190312154528928</v>
      </c>
      <c r="B1175" t="str">
        <f>"1552376728917810"</f>
        <v>1552376728917810</v>
      </c>
      <c r="C1175" t="s">
        <v>40</v>
      </c>
      <c r="D1175">
        <v>4.4038579999999996</v>
      </c>
      <c r="E1175">
        <v>0.51315159999999904</v>
      </c>
      <c r="F1175" t="s">
        <v>53</v>
      </c>
      <c r="G1175">
        <v>-195.06389999999999</v>
      </c>
      <c r="H1175" s="1">
        <v>3.4759200000000002E-6</v>
      </c>
      <c r="I1175">
        <v>279.93150000000003</v>
      </c>
      <c r="J1175">
        <v>-191.2167</v>
      </c>
      <c r="K1175">
        <v>1.1081840000000001</v>
      </c>
      <c r="L1175">
        <v>309.97660000000002</v>
      </c>
      <c r="M1175">
        <v>1.6722210000000001E-2</v>
      </c>
      <c r="N1175">
        <v>0</v>
      </c>
      <c r="O1175">
        <v>-0.99976920000000002</v>
      </c>
      <c r="P1175">
        <v>-9.8860669999999998E-2</v>
      </c>
      <c r="Q1175">
        <v>5.7888820000000001E-2</v>
      </c>
      <c r="R1175">
        <v>-0.99341630000000003</v>
      </c>
      <c r="S1175">
        <v>-0.38018800000000003</v>
      </c>
      <c r="T1175">
        <v>-0.1095458</v>
      </c>
      <c r="U1175">
        <v>-2.9890439999999998</v>
      </c>
      <c r="V1175">
        <v>0.11579879999999999</v>
      </c>
      <c r="W1175">
        <v>7.0711510000000005E-2</v>
      </c>
      <c r="X1175">
        <v>0.99075250000000004</v>
      </c>
      <c r="Y1175">
        <v>0.1426665</v>
      </c>
      <c r="Z1175">
        <v>3.6283540000000003E-2</v>
      </c>
      <c r="AA1175">
        <v>0.98910549999999997</v>
      </c>
      <c r="AB1175">
        <v>22</v>
      </c>
      <c r="AC1175">
        <v>-3.84719999999998</v>
      </c>
      <c r="AD1175">
        <v>-1.10818052408</v>
      </c>
      <c r="AE1175">
        <v>-30.045099999999898</v>
      </c>
      <c r="AF1175">
        <v>4.3433147164412098</v>
      </c>
      <c r="AG1175">
        <v>-1.10818052408</v>
      </c>
      <c r="AH1175">
        <v>29.936489329821299</v>
      </c>
      <c r="AI1175">
        <v>92.0980446054634</v>
      </c>
      <c r="AJ1175">
        <v>81.744882033467903</v>
      </c>
      <c r="AK1175">
        <v>30.270213745438099</v>
      </c>
      <c r="AL1175">
        <v>85.945144980948996</v>
      </c>
      <c r="AM1175">
        <v>83.333536379965594</v>
      </c>
      <c r="AN1175">
        <v>0.99999999799208505</v>
      </c>
    </row>
    <row r="1176" spans="1:40" x14ac:dyDescent="0.25">
      <c r="A1176" t="str">
        <f>"20190312154528951"</f>
        <v>20190312154528951</v>
      </c>
      <c r="B1176" t="str">
        <f>"1552376728937329"</f>
        <v>1552376728937329</v>
      </c>
      <c r="C1176" t="s">
        <v>40</v>
      </c>
      <c r="D1176">
        <v>4.4106860000000001</v>
      </c>
      <c r="E1176">
        <v>0.51319720000000002</v>
      </c>
      <c r="F1176" t="s">
        <v>53</v>
      </c>
      <c r="G1176">
        <v>-195.03919999999999</v>
      </c>
      <c r="H1176" s="1">
        <v>3.395486E-6</v>
      </c>
      <c r="I1176">
        <v>280.9015</v>
      </c>
      <c r="J1176">
        <v>-191.2166</v>
      </c>
      <c r="K1176">
        <v>1.108128</v>
      </c>
      <c r="L1176">
        <v>309.74540000000002</v>
      </c>
      <c r="M1176">
        <v>1.350167E-2</v>
      </c>
      <c r="N1176">
        <v>0</v>
      </c>
      <c r="O1176">
        <v>-0.99981739999999997</v>
      </c>
      <c r="P1176">
        <v>-0.1041398</v>
      </c>
      <c r="Q1176">
        <v>5.6307900000000001E-2</v>
      </c>
      <c r="R1176">
        <v>-0.9929675</v>
      </c>
      <c r="S1176">
        <v>-0.39276119999999998</v>
      </c>
      <c r="T1176">
        <v>-0.11386549999999999</v>
      </c>
      <c r="U1176">
        <v>-2.987457</v>
      </c>
      <c r="V1176">
        <v>0.11787830000000001</v>
      </c>
      <c r="W1176">
        <v>6.9139419999999993E-2</v>
      </c>
      <c r="X1176">
        <v>0.9906182</v>
      </c>
      <c r="Y1176">
        <v>0.14363139999999999</v>
      </c>
      <c r="Z1176">
        <v>3.7722110000000003E-2</v>
      </c>
      <c r="AA1176">
        <v>0.98891200000000001</v>
      </c>
      <c r="AB1176">
        <v>22</v>
      </c>
      <c r="AC1176">
        <v>-3.8225999999999898</v>
      </c>
      <c r="AD1176">
        <v>-1.1081246045140001</v>
      </c>
      <c r="AE1176">
        <v>-28.843900000000001</v>
      </c>
      <c r="AF1176">
        <v>4.2056278100858497</v>
      </c>
      <c r="AG1176">
        <v>-1.1081246045140001</v>
      </c>
      <c r="AH1176">
        <v>28.747956194456101</v>
      </c>
      <c r="AI1176">
        <v>92.184215677701104</v>
      </c>
      <c r="AJ1176">
        <v>81.677062257778999</v>
      </c>
      <c r="AK1176">
        <v>29.075079204955902</v>
      </c>
      <c r="AL1176">
        <v>86.035440086133093</v>
      </c>
      <c r="AM1176">
        <v>83.214015996963994</v>
      </c>
      <c r="AN1176">
        <v>0.999999985590033</v>
      </c>
    </row>
    <row r="1177" spans="1:40" x14ac:dyDescent="0.25">
      <c r="A1177" t="str">
        <f>"20190312154528975"</f>
        <v>20190312154528975</v>
      </c>
      <c r="B1177" t="str">
        <f>"1552376728967586"</f>
        <v>1552376728967586</v>
      </c>
      <c r="C1177" t="s">
        <v>40</v>
      </c>
      <c r="D1177">
        <v>4.4780300000000004</v>
      </c>
      <c r="E1177">
        <v>0.53798659999999998</v>
      </c>
      <c r="F1177" t="s">
        <v>53</v>
      </c>
      <c r="G1177">
        <v>-194.9597</v>
      </c>
      <c r="H1177" s="1">
        <v>3.2784470000000001E-6</v>
      </c>
      <c r="I1177">
        <v>282.40159999999997</v>
      </c>
      <c r="J1177">
        <v>-191.21729999999999</v>
      </c>
      <c r="K1177">
        <v>1.1080920000000001</v>
      </c>
      <c r="L1177">
        <v>309.51060000000001</v>
      </c>
      <c r="M1177">
        <v>1.0127499999999999E-2</v>
      </c>
      <c r="N1177">
        <v>0</v>
      </c>
      <c r="O1177">
        <v>-0.99985679999999999</v>
      </c>
      <c r="P1177">
        <v>-0.1095378</v>
      </c>
      <c r="Q1177">
        <v>5.4854069999999998E-2</v>
      </c>
      <c r="R1177">
        <v>-0.99246809999999996</v>
      </c>
      <c r="S1177">
        <v>-0.40866089999999999</v>
      </c>
      <c r="T1177">
        <v>-0.1209795</v>
      </c>
      <c r="U1177">
        <v>-2.9852599999999998</v>
      </c>
      <c r="V1177">
        <v>0.1199231</v>
      </c>
      <c r="W1177">
        <v>6.7695140000000001E-2</v>
      </c>
      <c r="X1177">
        <v>0.99047260000000004</v>
      </c>
      <c r="Y1177">
        <v>0.145546799999999</v>
      </c>
      <c r="Z1177">
        <v>4.0087060000000001E-2</v>
      </c>
      <c r="AA1177">
        <v>0.9885389</v>
      </c>
      <c r="AB1177">
        <v>22</v>
      </c>
      <c r="AC1177">
        <v>-3.7423999999999999</v>
      </c>
      <c r="AD1177">
        <v>-1.108088721553</v>
      </c>
      <c r="AE1177">
        <v>-27.109000000000002</v>
      </c>
      <c r="AF1177">
        <v>4.0102047617233403</v>
      </c>
      <c r="AG1177">
        <v>-1.108088721553</v>
      </c>
      <c r="AH1177">
        <v>27.0253954924023</v>
      </c>
      <c r="AI1177">
        <v>92.322510889375906</v>
      </c>
      <c r="AJ1177">
        <v>81.559666285540004</v>
      </c>
      <c r="AK1177">
        <v>27.343767194125601</v>
      </c>
      <c r="AL1177">
        <v>86.118385955533597</v>
      </c>
      <c r="AM1177">
        <v>83.096422790067706</v>
      </c>
      <c r="AN1177">
        <v>1.0000000766219901</v>
      </c>
    </row>
    <row r="1178" spans="1:40" x14ac:dyDescent="0.25">
      <c r="A1178" t="str">
        <f>"20190312154528998"</f>
        <v>20190312154528998</v>
      </c>
      <c r="B1178" t="str">
        <f>"1552376728988082"</f>
        <v>1552376728988082</v>
      </c>
      <c r="C1178" t="s">
        <v>40</v>
      </c>
      <c r="D1178">
        <v>4.5412889999999999</v>
      </c>
      <c r="E1178">
        <v>0.55520649999999905</v>
      </c>
      <c r="F1178" t="s">
        <v>53</v>
      </c>
      <c r="G1178">
        <v>-195.4273</v>
      </c>
      <c r="H1178" s="1">
        <v>2.5826329999999999E-6</v>
      </c>
      <c r="I1178">
        <v>289.41199999999998</v>
      </c>
      <c r="J1178">
        <v>-191.21889999999999</v>
      </c>
      <c r="K1178">
        <v>1.1080639999999999</v>
      </c>
      <c r="L1178">
        <v>309.27249999999998</v>
      </c>
      <c r="M1178">
        <v>6.6292969999999897E-3</v>
      </c>
      <c r="N1178">
        <v>0</v>
      </c>
      <c r="O1178">
        <v>-0.99988589999999999</v>
      </c>
      <c r="P1178">
        <v>-0.1153991</v>
      </c>
      <c r="Q1178">
        <v>5.2895949999999997E-2</v>
      </c>
      <c r="R1178">
        <v>-0.99190979999999995</v>
      </c>
      <c r="S1178">
        <v>-0.62072749999999999</v>
      </c>
      <c r="T1178">
        <v>-0.1633761</v>
      </c>
      <c r="U1178">
        <v>-2.9633180000000001</v>
      </c>
      <c r="V1178">
        <v>0.1223062</v>
      </c>
      <c r="W1178">
        <v>6.574352E-2</v>
      </c>
      <c r="X1178">
        <v>0.99031259999999999</v>
      </c>
      <c r="Y1178">
        <v>0.2112079</v>
      </c>
      <c r="Z1178">
        <v>5.3843920000000003E-2</v>
      </c>
      <c r="AA1178">
        <v>0.97595699999999996</v>
      </c>
      <c r="AB1178">
        <v>22</v>
      </c>
      <c r="AC1178">
        <v>-4.2084000000000099</v>
      </c>
      <c r="AD1178">
        <v>-1.108061417367</v>
      </c>
      <c r="AE1178">
        <v>-19.860499999999899</v>
      </c>
      <c r="AF1178">
        <v>4.3270903363391602</v>
      </c>
      <c r="AG1178">
        <v>-1.108061417367</v>
      </c>
      <c r="AH1178">
        <v>19.7732574274733</v>
      </c>
      <c r="AI1178">
        <v>93.133410855453306</v>
      </c>
      <c r="AJ1178">
        <v>77.6562386644285</v>
      </c>
      <c r="AK1178">
        <v>20.2714878629228</v>
      </c>
      <c r="AL1178">
        <v>86.230455098048495</v>
      </c>
      <c r="AM1178">
        <v>82.959472855089899</v>
      </c>
      <c r="AN1178">
        <v>1.00000003134959</v>
      </c>
    </row>
    <row r="1179" spans="1:40" x14ac:dyDescent="0.25">
      <c r="A1179" t="str">
        <f>"20190312154529043"</f>
        <v>20190312154529043</v>
      </c>
      <c r="B1179" t="str">
        <f>"1552376729037858"</f>
        <v>1552376729037858</v>
      </c>
      <c r="C1179" t="s">
        <v>40</v>
      </c>
      <c r="D1179">
        <v>4.5205029999999997</v>
      </c>
      <c r="E1179">
        <v>0.57347840000000005</v>
      </c>
      <c r="F1179" t="s">
        <v>53</v>
      </c>
      <c r="G1179">
        <v>-195.98519999999999</v>
      </c>
      <c r="H1179" s="1">
        <v>1.9223109999999999E-6</v>
      </c>
      <c r="I1179">
        <v>291.15379999999999</v>
      </c>
      <c r="J1179">
        <v>-191.22409999999999</v>
      </c>
      <c r="K1179">
        <v>1.10802</v>
      </c>
      <c r="L1179">
        <v>308.84289999999999</v>
      </c>
      <c r="M1179">
        <v>1.796825E-4</v>
      </c>
      <c r="N1179">
        <v>0</v>
      </c>
      <c r="O1179">
        <v>-0.9999074</v>
      </c>
      <c r="P1179">
        <v>-0.12717500000000001</v>
      </c>
      <c r="Q1179">
        <v>4.9792400000000001E-2</v>
      </c>
      <c r="R1179">
        <v>-0.99063000000000001</v>
      </c>
      <c r="S1179">
        <v>-0.77444460000000004</v>
      </c>
      <c r="T1179">
        <v>-0.1800427</v>
      </c>
      <c r="U1179">
        <v>-2.944</v>
      </c>
      <c r="V1179">
        <v>0.12767709999999999</v>
      </c>
      <c r="W1179">
        <v>6.2633809999999998E-2</v>
      </c>
      <c r="X1179">
        <v>0.98983620000000005</v>
      </c>
      <c r="Y1179">
        <v>0.25413350000000001</v>
      </c>
      <c r="Z1179">
        <v>5.9039130000000002E-2</v>
      </c>
      <c r="AA1179">
        <v>0.96536549999999999</v>
      </c>
      <c r="AB1179">
        <v>22</v>
      </c>
      <c r="AC1179">
        <v>-4.7610999999999901</v>
      </c>
      <c r="AD1179">
        <v>-1.1080180776890001</v>
      </c>
      <c r="AE1179">
        <v>-17.6890999999999</v>
      </c>
      <c r="AF1179">
        <v>4.7469118825925296</v>
      </c>
      <c r="AG1179">
        <v>-1.1080180776890001</v>
      </c>
      <c r="AH1179">
        <v>17.6237669313788</v>
      </c>
      <c r="AI1179">
        <v>93.473999318834402</v>
      </c>
      <c r="AJ1179">
        <v>74.925293091419107</v>
      </c>
      <c r="AK1179">
        <v>18.2854597244134</v>
      </c>
      <c r="AL1179">
        <v>86.408996752502105</v>
      </c>
      <c r="AM1179">
        <v>82.650108763955899</v>
      </c>
      <c r="AN1179">
        <v>1.00000006942498</v>
      </c>
    </row>
    <row r="1180" spans="1:40" x14ac:dyDescent="0.25">
      <c r="A1180" t="str">
        <f>"20190312154529065"</f>
        <v>20190312154529065</v>
      </c>
      <c r="B1180" t="str">
        <f>"1552376729057378"</f>
        <v>1552376729057378</v>
      </c>
      <c r="C1180" t="s">
        <v>40</v>
      </c>
      <c r="D1180">
        <v>4.5167159999999997</v>
      </c>
      <c r="E1180">
        <v>0.57584740000000001</v>
      </c>
      <c r="F1180" t="s">
        <v>53</v>
      </c>
      <c r="G1180">
        <v>-195.4555</v>
      </c>
      <c r="H1180" s="1">
        <v>8.3692579999999998E-7</v>
      </c>
      <c r="I1180">
        <v>295.86939999999998</v>
      </c>
      <c r="J1180">
        <v>-191.22800000000001</v>
      </c>
      <c r="K1180">
        <v>1.107996</v>
      </c>
      <c r="L1180">
        <v>308.62520000000001</v>
      </c>
      <c r="M1180">
        <v>-3.1399370000000002E-3</v>
      </c>
      <c r="N1180">
        <v>0</v>
      </c>
      <c r="O1180">
        <v>-0.99990219999999996</v>
      </c>
      <c r="P1180">
        <v>-0.13285239999999901</v>
      </c>
      <c r="Q1180">
        <v>4.8700550000000002E-2</v>
      </c>
      <c r="R1180">
        <v>-0.98993909999999996</v>
      </c>
      <c r="S1180">
        <v>-0.95196530000000001</v>
      </c>
      <c r="T1180">
        <v>-0.249279</v>
      </c>
      <c r="U1180">
        <v>-2.9187319999999999</v>
      </c>
      <c r="V1180">
        <v>0.13006379999999901</v>
      </c>
      <c r="W1180">
        <v>6.1537759999999997E-2</v>
      </c>
      <c r="X1180">
        <v>0.98959410000000003</v>
      </c>
      <c r="Y1180">
        <v>0.30607610000000002</v>
      </c>
      <c r="Z1180">
        <v>8.0970139999999996E-2</v>
      </c>
      <c r="AA1180">
        <v>0.9485574</v>
      </c>
      <c r="AB1180">
        <v>22</v>
      </c>
      <c r="AC1180">
        <v>-4.2275000000000196</v>
      </c>
      <c r="AD1180">
        <v>-1.1079951630742</v>
      </c>
      <c r="AE1180">
        <v>-12.755800000000001</v>
      </c>
      <c r="AF1180">
        <v>4.15914786110464</v>
      </c>
      <c r="AG1180">
        <v>-1.1079951630742</v>
      </c>
      <c r="AH1180">
        <v>12.6827909093386</v>
      </c>
      <c r="AI1180">
        <v>94.745378955774299</v>
      </c>
      <c r="AJ1180">
        <v>71.843803449718195</v>
      </c>
      <c r="AK1180">
        <v>13.3932576120199</v>
      </c>
      <c r="AL1180">
        <v>86.471916878533307</v>
      </c>
      <c r="AM1180">
        <v>82.512448960567696</v>
      </c>
      <c r="AN1180">
        <v>0.99999998536553303</v>
      </c>
    </row>
    <row r="1181" spans="1:40" x14ac:dyDescent="0.25">
      <c r="A1181" t="str">
        <f>"20190312154529085"</f>
        <v>20190312154529085</v>
      </c>
      <c r="B1181" t="str">
        <f>"1552376729077873"</f>
        <v>1552376729077873</v>
      </c>
      <c r="C1181" t="s">
        <v>40</v>
      </c>
      <c r="D1181">
        <v>4.5445279999999997</v>
      </c>
      <c r="E1181">
        <v>0.57744189999999995</v>
      </c>
      <c r="F1181" t="s">
        <v>53</v>
      </c>
      <c r="G1181">
        <v>-195.45570000000001</v>
      </c>
      <c r="H1181" s="1">
        <v>7.3323940000000001E-7</v>
      </c>
      <c r="I1181">
        <v>296.16269999999997</v>
      </c>
      <c r="J1181">
        <v>-191.23249999999999</v>
      </c>
      <c r="K1181">
        <v>1.1079870000000001</v>
      </c>
      <c r="L1181">
        <v>308.4119</v>
      </c>
      <c r="M1181">
        <v>-6.4307019999999999E-3</v>
      </c>
      <c r="N1181">
        <v>0</v>
      </c>
      <c r="O1181">
        <v>-0.99988600000000005</v>
      </c>
      <c r="P1181">
        <v>-0.13784379999999999</v>
      </c>
      <c r="Q1181">
        <v>4.9178090000000001E-2</v>
      </c>
      <c r="R1181">
        <v>-0.98923260000000002</v>
      </c>
      <c r="S1181">
        <v>-0.98742680000000005</v>
      </c>
      <c r="T1181">
        <v>-0.2587798</v>
      </c>
      <c r="U1181">
        <v>-2.9107059999999998</v>
      </c>
      <c r="V1181">
        <v>0.13180349999999999</v>
      </c>
      <c r="W1181">
        <v>6.2012739999999997E-2</v>
      </c>
      <c r="X1181">
        <v>0.98933419999999905</v>
      </c>
      <c r="Y1181">
        <v>0.31402580000000002</v>
      </c>
      <c r="Z1181">
        <v>8.3981979999999998E-2</v>
      </c>
      <c r="AA1181">
        <v>0.9456928</v>
      </c>
      <c r="AB1181">
        <v>22</v>
      </c>
      <c r="AC1181">
        <v>-4.2232000000000198</v>
      </c>
      <c r="AD1181">
        <v>-1.1079862667606</v>
      </c>
      <c r="AE1181">
        <v>-12.2492</v>
      </c>
      <c r="AF1181">
        <v>4.1142483397531198</v>
      </c>
      <c r="AG1181">
        <v>-1.1079862667606</v>
      </c>
      <c r="AH1181">
        <v>12.1869883013864</v>
      </c>
      <c r="AI1181">
        <v>94.923265687101207</v>
      </c>
      <c r="AJ1181">
        <v>71.345650755200396</v>
      </c>
      <c r="AK1181">
        <v>12.9103585088339</v>
      </c>
      <c r="AL1181">
        <v>86.444650329321803</v>
      </c>
      <c r="AM1181">
        <v>82.411486569116306</v>
      </c>
      <c r="AN1181">
        <v>0.99999995091209704</v>
      </c>
    </row>
    <row r="1182" spans="1:40" x14ac:dyDescent="0.25">
      <c r="A1182" t="str">
        <f>"20190312154529107"</f>
        <v>20190312154529107</v>
      </c>
      <c r="B1182" t="str">
        <f>"1552376729097394"</f>
        <v>1552376729097394</v>
      </c>
      <c r="C1182" t="s">
        <v>40</v>
      </c>
      <c r="D1182">
        <v>4.4815889999999996</v>
      </c>
      <c r="E1182">
        <v>0.57843849999999997</v>
      </c>
      <c r="F1182" t="s">
        <v>53</v>
      </c>
      <c r="G1182">
        <v>-195.53200000000001</v>
      </c>
      <c r="H1182" s="1">
        <v>7.4745759999999997E-7</v>
      </c>
      <c r="I1182">
        <v>296.10329999999999</v>
      </c>
      <c r="J1182">
        <v>-191.23769999999999</v>
      </c>
      <c r="K1182">
        <v>1.10798</v>
      </c>
      <c r="L1182">
        <v>308.20150000000001</v>
      </c>
      <c r="M1182">
        <v>-9.7078129999999992E-3</v>
      </c>
      <c r="N1182">
        <v>0</v>
      </c>
      <c r="O1182">
        <v>-0.99985950000000001</v>
      </c>
      <c r="P1182">
        <v>-0.14275099999999999</v>
      </c>
      <c r="Q1182">
        <v>4.941102E-2</v>
      </c>
      <c r="R1182">
        <v>-0.98852470000000003</v>
      </c>
      <c r="S1182">
        <v>-1.0144959999999901</v>
      </c>
      <c r="T1182">
        <v>-0.26143810000000001</v>
      </c>
      <c r="U1182">
        <v>-2.9042970000000001</v>
      </c>
      <c r="V1182">
        <v>0.13347329999999999</v>
      </c>
      <c r="W1182">
        <v>6.224404E-2</v>
      </c>
      <c r="X1182">
        <v>0.98909579999999997</v>
      </c>
      <c r="Y1182">
        <v>0.31940049999999998</v>
      </c>
      <c r="Z1182">
        <v>8.4808159999999994E-2</v>
      </c>
      <c r="AA1182">
        <v>0.94381720000000002</v>
      </c>
      <c r="AB1182">
        <v>22</v>
      </c>
      <c r="AC1182">
        <v>-4.2943000000000202</v>
      </c>
      <c r="AD1182">
        <v>-1.1079792525423999</v>
      </c>
      <c r="AE1182">
        <v>-12.0982</v>
      </c>
      <c r="AF1182">
        <v>4.1457586425787696</v>
      </c>
      <c r="AG1182">
        <v>-1.1079792525423999</v>
      </c>
      <c r="AH1182">
        <v>12.04956712363</v>
      </c>
      <c r="AI1182">
        <v>94.969331141961206</v>
      </c>
      <c r="AJ1182">
        <v>71.013774583370605</v>
      </c>
      <c r="AK1182">
        <v>12.7908952233003</v>
      </c>
      <c r="AL1182">
        <v>86.4313722388044</v>
      </c>
      <c r="AM1182">
        <v>82.314660357039401</v>
      </c>
      <c r="AN1182">
        <v>0.99999997195302504</v>
      </c>
    </row>
    <row r="1183" spans="1:40" x14ac:dyDescent="0.25">
      <c r="A1183" t="str">
        <f>"20190312154529131"</f>
        <v>20190312154529131</v>
      </c>
      <c r="B1183" t="str">
        <f>"1552376729127649"</f>
        <v>1552376729127649</v>
      </c>
      <c r="C1183" t="s">
        <v>40</v>
      </c>
      <c r="D1183">
        <v>4.5004970000000002</v>
      </c>
      <c r="E1183">
        <v>0.57905309999999999</v>
      </c>
      <c r="F1183" t="s">
        <v>53</v>
      </c>
      <c r="G1183">
        <v>-195.58160000000001</v>
      </c>
      <c r="H1183" s="1">
        <v>7.6106930000000003E-7</v>
      </c>
      <c r="I1183">
        <v>296.05239999999998</v>
      </c>
      <c r="J1183">
        <v>-191.24449999999999</v>
      </c>
      <c r="K1183">
        <v>1.107982</v>
      </c>
      <c r="L1183">
        <v>307.9622</v>
      </c>
      <c r="M1183">
        <v>-1.347284E-2</v>
      </c>
      <c r="N1183">
        <v>0</v>
      </c>
      <c r="O1183">
        <v>-0.99981569999999997</v>
      </c>
      <c r="P1183">
        <v>-0.1488556</v>
      </c>
      <c r="Q1183">
        <v>4.7751330000000002E-2</v>
      </c>
      <c r="R1183">
        <v>-0.98770530000000001</v>
      </c>
      <c r="S1183">
        <v>-1.0363009999999999</v>
      </c>
      <c r="T1183">
        <v>-0.26432600000000001</v>
      </c>
      <c r="U1183">
        <v>-2.8983759999999998</v>
      </c>
      <c r="V1183">
        <v>0.13585139999999901</v>
      </c>
      <c r="W1183">
        <v>6.0579199999999903E-2</v>
      </c>
      <c r="X1183">
        <v>0.98887539999999996</v>
      </c>
      <c r="Y1183">
        <v>0.32271559999999999</v>
      </c>
      <c r="Z1183">
        <v>8.5742860000000004E-2</v>
      </c>
      <c r="AA1183">
        <v>0.9426042</v>
      </c>
      <c r="AB1183">
        <v>22</v>
      </c>
      <c r="AC1183">
        <v>-4.3371000000000199</v>
      </c>
      <c r="AD1183">
        <v>-1.1079812389307</v>
      </c>
      <c r="AE1183">
        <v>-11.909800000000001</v>
      </c>
      <c r="AF1183">
        <v>4.14456211384433</v>
      </c>
      <c r="AG1183">
        <v>-1.1079812389307</v>
      </c>
      <c r="AH1183">
        <v>11.876404792307801</v>
      </c>
      <c r="AI1183">
        <v>95.033802409691802</v>
      </c>
      <c r="AJ1183">
        <v>70.762316451198899</v>
      </c>
      <c r="AK1183">
        <v>12.6275099814686</v>
      </c>
      <c r="AL1183">
        <v>86.5269410376862</v>
      </c>
      <c r="AM1183">
        <v>82.177688714506203</v>
      </c>
      <c r="AN1183">
        <v>0.99999999953987995</v>
      </c>
    </row>
    <row r="1184" spans="1:40" x14ac:dyDescent="0.25">
      <c r="A1184" t="str">
        <f>"20190312154529153"</f>
        <v>20190312154529153</v>
      </c>
      <c r="B1184" t="str">
        <f>"1552376729147170"</f>
        <v>1552376729147170</v>
      </c>
      <c r="C1184" t="s">
        <v>40</v>
      </c>
      <c r="D1184">
        <v>4.5157699999999998</v>
      </c>
      <c r="E1184">
        <v>0.57919279999999995</v>
      </c>
      <c r="F1184" t="s">
        <v>53</v>
      </c>
      <c r="G1184">
        <v>-195.5805</v>
      </c>
      <c r="H1184" s="1">
        <v>7.3474950000000002E-7</v>
      </c>
      <c r="I1184">
        <v>296.12709999999998</v>
      </c>
      <c r="J1184">
        <v>-191.25129999999999</v>
      </c>
      <c r="K1184">
        <v>1.10798</v>
      </c>
      <c r="L1184">
        <v>307.75009999999997</v>
      </c>
      <c r="M1184">
        <v>-1.683757E-2</v>
      </c>
      <c r="N1184">
        <v>0</v>
      </c>
      <c r="O1184">
        <v>-0.9997646</v>
      </c>
      <c r="P1184">
        <v>-0.1538503</v>
      </c>
      <c r="Q1184">
        <v>4.5842649999999999E-2</v>
      </c>
      <c r="R1184">
        <v>-0.98703010000000002</v>
      </c>
      <c r="S1184">
        <v>-1.059097</v>
      </c>
      <c r="T1184">
        <v>-0.2706287</v>
      </c>
      <c r="U1184">
        <v>-2.8907780000000001</v>
      </c>
      <c r="V1184">
        <v>0.13751569999999999</v>
      </c>
      <c r="W1184">
        <v>5.8667629999999998E-2</v>
      </c>
      <c r="X1184">
        <v>0.98876059999999999</v>
      </c>
      <c r="Y1184">
        <v>0.32682280000000002</v>
      </c>
      <c r="Z1184">
        <v>8.7802340000000006E-2</v>
      </c>
      <c r="AA1184">
        <v>0.94099820000000001</v>
      </c>
      <c r="AB1184">
        <v>22</v>
      </c>
      <c r="AC1184">
        <v>-4.3292000000000099</v>
      </c>
      <c r="AD1184">
        <v>-1.1079792652505001</v>
      </c>
      <c r="AE1184">
        <v>-11.6229999999999</v>
      </c>
      <c r="AF1184">
        <v>4.1001454492591298</v>
      </c>
      <c r="AG1184">
        <v>-1.1079792652505001</v>
      </c>
      <c r="AH1184">
        <v>11.601670247646201</v>
      </c>
      <c r="AI1184">
        <v>95.145261212254198</v>
      </c>
      <c r="AJ1184">
        <v>70.536086174426998</v>
      </c>
      <c r="AK1184">
        <v>12.354657554640101</v>
      </c>
      <c r="AL1184">
        <v>86.636661118738601</v>
      </c>
      <c r="AM1184">
        <v>82.082158854194802</v>
      </c>
      <c r="AN1184">
        <v>0.99999999133433304</v>
      </c>
    </row>
    <row r="1185" spans="1:40" x14ac:dyDescent="0.25">
      <c r="A1185" t="str">
        <f>"20190312154529177"</f>
        <v>20190312154529177</v>
      </c>
      <c r="B1185" t="str">
        <f>"1552376729167665"</f>
        <v>1552376729167665</v>
      </c>
      <c r="C1185" t="s">
        <v>40</v>
      </c>
      <c r="D1185">
        <v>4.5099239999999998</v>
      </c>
      <c r="E1185">
        <v>0.57928749999999996</v>
      </c>
      <c r="F1185" t="s">
        <v>53</v>
      </c>
      <c r="G1185">
        <v>-195.56700000000001</v>
      </c>
      <c r="H1185" s="1">
        <v>7.2262459999999995E-7</v>
      </c>
      <c r="I1185">
        <v>296.16480000000001</v>
      </c>
      <c r="J1185">
        <v>-191.25989999999999</v>
      </c>
      <c r="K1185">
        <v>1.1079779999999999</v>
      </c>
      <c r="L1185">
        <v>307.50799999999998</v>
      </c>
      <c r="M1185">
        <v>-2.0704899999999998E-2</v>
      </c>
      <c r="N1185">
        <v>0</v>
      </c>
      <c r="O1185">
        <v>-0.99969200000000003</v>
      </c>
      <c r="P1185">
        <v>-0.15880569999999999</v>
      </c>
      <c r="Q1185">
        <v>4.4421259999999997E-2</v>
      </c>
      <c r="R1185">
        <v>-0.98631020000000003</v>
      </c>
      <c r="S1185">
        <v>-1.0746309999999999</v>
      </c>
      <c r="T1185">
        <v>-0.27588649999999998</v>
      </c>
      <c r="U1185">
        <v>-2.884735</v>
      </c>
      <c r="V1185">
        <v>0.1386493</v>
      </c>
      <c r="W1185">
        <v>5.7246190000000002E-2</v>
      </c>
      <c r="X1185">
        <v>0.98868560000000005</v>
      </c>
      <c r="Y1185">
        <v>0.328208</v>
      </c>
      <c r="Z1185">
        <v>8.955602E-2</v>
      </c>
      <c r="AA1185">
        <v>0.94035060000000004</v>
      </c>
      <c r="AB1185">
        <v>22</v>
      </c>
      <c r="AC1185">
        <v>-4.3071000000000197</v>
      </c>
      <c r="AD1185">
        <v>-1.1079772773754</v>
      </c>
      <c r="AE1185">
        <v>-11.3431999999999</v>
      </c>
      <c r="AF1185">
        <v>4.0376262603963902</v>
      </c>
      <c r="AG1185">
        <v>-1.1079772773754</v>
      </c>
      <c r="AH1185">
        <v>11.335431867725999</v>
      </c>
      <c r="AI1185">
        <v>95.260834804395998</v>
      </c>
      <c r="AJ1185">
        <v>70.394345698378004</v>
      </c>
      <c r="AK1185">
        <v>12.083958585400801</v>
      </c>
      <c r="AL1185">
        <v>86.718240747331507</v>
      </c>
      <c r="AM1185">
        <v>82.017128948759705</v>
      </c>
      <c r="AN1185">
        <v>0.99999998515368305</v>
      </c>
    </row>
    <row r="1186" spans="1:40" x14ac:dyDescent="0.25">
      <c r="A1186" t="str">
        <f>"20190312154529199"</f>
        <v>20190312154529199</v>
      </c>
      <c r="B1186" t="str">
        <f>"1552376729187186"</f>
        <v>1552376729187186</v>
      </c>
      <c r="C1186" t="s">
        <v>40</v>
      </c>
      <c r="D1186">
        <v>4.5134670000000003</v>
      </c>
      <c r="E1186">
        <v>0.5789898</v>
      </c>
      <c r="F1186" t="s">
        <v>53</v>
      </c>
      <c r="G1186">
        <v>-195.6018</v>
      </c>
      <c r="H1186" s="1">
        <v>7.6225219999999897E-7</v>
      </c>
      <c r="I1186">
        <v>296.04390000000001</v>
      </c>
      <c r="J1186">
        <v>-191.2687</v>
      </c>
      <c r="K1186">
        <v>1.1079699999999999</v>
      </c>
      <c r="L1186">
        <v>307.28629999999998</v>
      </c>
      <c r="M1186">
        <v>-2.4271589999999999E-2</v>
      </c>
      <c r="N1186">
        <v>0</v>
      </c>
      <c r="O1186">
        <v>-0.99961160000000004</v>
      </c>
      <c r="P1186">
        <v>-0.16318189999999999</v>
      </c>
      <c r="Q1186">
        <v>4.4354190000000002E-2</v>
      </c>
      <c r="R1186">
        <v>-0.9855988</v>
      </c>
      <c r="S1186">
        <v>-1.0902400000000001</v>
      </c>
      <c r="T1186">
        <v>-0.2782134</v>
      </c>
      <c r="U1186">
        <v>-2.8786320000000001</v>
      </c>
      <c r="V1186">
        <v>0.13951050000000001</v>
      </c>
      <c r="W1186">
        <v>5.7178109999999997E-2</v>
      </c>
      <c r="X1186">
        <v>0.98856840000000001</v>
      </c>
      <c r="Y1186">
        <v>0.32993299999999998</v>
      </c>
      <c r="Z1186">
        <v>9.0360999999999997E-2</v>
      </c>
      <c r="AA1186">
        <v>0.93966970000000005</v>
      </c>
      <c r="AB1186">
        <v>22</v>
      </c>
      <c r="AC1186">
        <v>-4.3331</v>
      </c>
      <c r="AD1186">
        <v>-1.1079692377478001</v>
      </c>
      <c r="AE1186">
        <v>-11.2423999999999</v>
      </c>
      <c r="AF1186">
        <v>4.0248905554050998</v>
      </c>
      <c r="AG1186">
        <v>-1.1079692377478001</v>
      </c>
      <c r="AH1186">
        <v>11.2491410094558</v>
      </c>
      <c r="AI1186">
        <v>95.298252864443896</v>
      </c>
      <c r="AJ1186">
        <v>70.313025840495001</v>
      </c>
      <c r="AK1186">
        <v>11.9987713231566</v>
      </c>
      <c r="AL1186">
        <v>86.722147888086099</v>
      </c>
      <c r="AM1186">
        <v>81.967249799109794</v>
      </c>
      <c r="AN1186">
        <v>0.99999999867599099</v>
      </c>
    </row>
    <row r="1187" spans="1:40" x14ac:dyDescent="0.25">
      <c r="A1187" t="str">
        <f>"20190312154529242"</f>
        <v>20190312154529242</v>
      </c>
      <c r="B1187" t="str">
        <f>"1552376729237938"</f>
        <v>1552376729237938</v>
      </c>
      <c r="C1187" t="s">
        <v>40</v>
      </c>
      <c r="D1187">
        <v>4.4882609999999996</v>
      </c>
      <c r="E1187">
        <v>0.5783973</v>
      </c>
      <c r="F1187" t="s">
        <v>53</v>
      </c>
      <c r="G1187">
        <v>-195.75360000000001</v>
      </c>
      <c r="H1187" s="1">
        <v>9.1160189999999999E-7</v>
      </c>
      <c r="I1187">
        <v>295.58339999999998</v>
      </c>
      <c r="J1187">
        <v>-191.28729999999999</v>
      </c>
      <c r="K1187">
        <v>1.1079669999999999</v>
      </c>
      <c r="L1187">
        <v>306.87</v>
      </c>
      <c r="M1187">
        <v>-3.1015069999999999E-2</v>
      </c>
      <c r="N1187">
        <v>0</v>
      </c>
      <c r="O1187">
        <v>-0.99942489999999995</v>
      </c>
      <c r="P1187">
        <v>-0.17048720000000001</v>
      </c>
      <c r="Q1187">
        <v>4.50833E-2</v>
      </c>
      <c r="R1187">
        <v>-0.98432819999999999</v>
      </c>
      <c r="S1187">
        <v>-1.101318</v>
      </c>
      <c r="T1187">
        <v>-0.27207170000000003</v>
      </c>
      <c r="U1187">
        <v>-2.8737490000000001</v>
      </c>
      <c r="V1187">
        <v>0.14017829999999901</v>
      </c>
      <c r="W1187">
        <v>5.790932E-2</v>
      </c>
      <c r="X1187">
        <v>0.98843130000000001</v>
      </c>
      <c r="Y1187">
        <v>0.327318099999999</v>
      </c>
      <c r="Z1187">
        <v>8.8480230000000007E-2</v>
      </c>
      <c r="AA1187">
        <v>0.94076249999999995</v>
      </c>
      <c r="AB1187">
        <v>22</v>
      </c>
      <c r="AC1187">
        <v>-4.4663000000000102</v>
      </c>
      <c r="AD1187">
        <v>-1.1079660883981</v>
      </c>
      <c r="AE1187">
        <v>-11.2866</v>
      </c>
      <c r="AF1187">
        <v>4.0800684341481501</v>
      </c>
      <c r="AG1187">
        <v>-1.1079660883981</v>
      </c>
      <c r="AH1187">
        <v>11.325342659875201</v>
      </c>
      <c r="AI1187">
        <v>95.258689494386005</v>
      </c>
      <c r="AJ1187">
        <v>70.18793478744</v>
      </c>
      <c r="AK1187">
        <v>12.088752360932901</v>
      </c>
      <c r="AL1187">
        <v>86.680182908889506</v>
      </c>
      <c r="AM1187">
        <v>81.9281998688909</v>
      </c>
      <c r="AN1187">
        <v>0.99999993997671899</v>
      </c>
    </row>
    <row r="1188" spans="1:40" x14ac:dyDescent="0.25">
      <c r="A1188" t="str">
        <f>"20190312154529263"</f>
        <v>20190312154529263</v>
      </c>
      <c r="B1188" t="str">
        <f>"1552376729247699"</f>
        <v>1552376729247699</v>
      </c>
      <c r="C1188" t="s">
        <v>40</v>
      </c>
      <c r="D1188">
        <v>4.4763289999999998</v>
      </c>
      <c r="E1188">
        <v>0.57832079999999997</v>
      </c>
      <c r="F1188" t="s">
        <v>53</v>
      </c>
      <c r="G1188">
        <v>-195.98949999999999</v>
      </c>
      <c r="H1188" s="1">
        <v>1.161975E-6</v>
      </c>
      <c r="I1188">
        <v>294.8159</v>
      </c>
      <c r="J1188">
        <v>-191.2978</v>
      </c>
      <c r="K1188">
        <v>1.1079669999999999</v>
      </c>
      <c r="L1188">
        <v>306.65960000000001</v>
      </c>
      <c r="M1188">
        <v>-3.4441149999999997E-2</v>
      </c>
      <c r="N1188">
        <v>0</v>
      </c>
      <c r="O1188">
        <v>-0.9993128</v>
      </c>
      <c r="P1188">
        <v>-0.1745053</v>
      </c>
      <c r="Q1188">
        <v>4.4327510000000001E-2</v>
      </c>
      <c r="R1188">
        <v>-0.98365840000000004</v>
      </c>
      <c r="S1188">
        <v>-1.1180730000000001</v>
      </c>
      <c r="T1188">
        <v>-0.26344899999999999</v>
      </c>
      <c r="U1188">
        <v>-2.8661799999999999</v>
      </c>
      <c r="V1188">
        <v>0.140820899999999</v>
      </c>
      <c r="W1188">
        <v>5.715336E-2</v>
      </c>
      <c r="X1188">
        <v>0.98838400000000004</v>
      </c>
      <c r="Y1188">
        <v>0.32977779999999901</v>
      </c>
      <c r="Z1188">
        <v>8.5768529999999996E-2</v>
      </c>
      <c r="AA1188">
        <v>0.94015439999999995</v>
      </c>
      <c r="AB1188">
        <v>22</v>
      </c>
      <c r="AC1188">
        <v>-4.6916999999999902</v>
      </c>
      <c r="AD1188">
        <v>-1.1079658380249999</v>
      </c>
      <c r="AE1188">
        <v>-11.8437</v>
      </c>
      <c r="AF1188">
        <v>4.2488273130804801</v>
      </c>
      <c r="AG1188">
        <v>-1.1079658380249999</v>
      </c>
      <c r="AH1188">
        <v>11.9081966712358</v>
      </c>
      <c r="AI1188">
        <v>95.008114425411193</v>
      </c>
      <c r="AJ1188">
        <v>70.363673562805403</v>
      </c>
      <c r="AK1188">
        <v>12.6919371963243</v>
      </c>
      <c r="AL1188">
        <v>86.723568226522602</v>
      </c>
      <c r="AM1188">
        <v>81.891305518931105</v>
      </c>
      <c r="AN1188">
        <v>0.999999981946049</v>
      </c>
    </row>
    <row r="1189" spans="1:40" x14ac:dyDescent="0.25">
      <c r="A1189" t="str">
        <f>"20190312154529287"</f>
        <v>20190312154529287</v>
      </c>
      <c r="B1189" t="str">
        <f>"1552376729277954"</f>
        <v>1552376729277954</v>
      </c>
      <c r="C1189" t="s">
        <v>40</v>
      </c>
      <c r="D1189">
        <v>4.4829179999999997</v>
      </c>
      <c r="E1189">
        <v>0.57808159999999997</v>
      </c>
      <c r="F1189" t="s">
        <v>53</v>
      </c>
      <c r="G1189">
        <v>-195.99879999999999</v>
      </c>
      <c r="H1189" s="1">
        <v>1.1871850000000001E-6</v>
      </c>
      <c r="I1189">
        <v>294.74220000000003</v>
      </c>
      <c r="J1189">
        <v>-191.31049999999999</v>
      </c>
      <c r="K1189">
        <v>1.107972</v>
      </c>
      <c r="L1189">
        <v>306.4246</v>
      </c>
      <c r="M1189">
        <v>-3.8274700000000002E-2</v>
      </c>
      <c r="N1189">
        <v>0</v>
      </c>
      <c r="O1189">
        <v>-0.99917310000000004</v>
      </c>
      <c r="P1189">
        <v>-0.17876249999999999</v>
      </c>
      <c r="Q1189">
        <v>4.3655399999999997E-2</v>
      </c>
      <c r="R1189">
        <v>-0.98292330000000006</v>
      </c>
      <c r="S1189">
        <v>-1.128784</v>
      </c>
      <c r="T1189">
        <v>-0.26604060000000002</v>
      </c>
      <c r="U1189">
        <v>-2.861542</v>
      </c>
      <c r="V1189">
        <v>0.14130299999999901</v>
      </c>
      <c r="W1189">
        <v>5.6482579999999998E-2</v>
      </c>
      <c r="X1189">
        <v>0.98835379999999995</v>
      </c>
      <c r="Y1189">
        <v>0.32969490000000001</v>
      </c>
      <c r="Z1189">
        <v>8.6661440000000006E-2</v>
      </c>
      <c r="AA1189">
        <v>0.94010159999999998</v>
      </c>
      <c r="AB1189">
        <v>22</v>
      </c>
      <c r="AC1189">
        <v>-4.6882999999999901</v>
      </c>
      <c r="AD1189">
        <v>-1.1079708128150001</v>
      </c>
      <c r="AE1189">
        <v>-11.6823999999999</v>
      </c>
      <c r="AF1189">
        <v>4.2051041154753204</v>
      </c>
      <c r="AG1189">
        <v>-1.1079708128150001</v>
      </c>
      <c r="AH1189">
        <v>11.7621752498411</v>
      </c>
      <c r="AI1189">
        <v>95.068850545321993</v>
      </c>
      <c r="AJ1189">
        <v>70.327483794386197</v>
      </c>
      <c r="AK1189">
        <v>12.5403056801663</v>
      </c>
      <c r="AL1189">
        <v>86.762063423027399</v>
      </c>
      <c r="AM1189">
        <v>81.863671201909497</v>
      </c>
      <c r="AN1189">
        <v>1.0000000268134399</v>
      </c>
    </row>
    <row r="1190" spans="1:40" x14ac:dyDescent="0.25">
      <c r="A1190" t="str">
        <f>"20190312154529310"</f>
        <v>20190312154529310</v>
      </c>
      <c r="B1190" t="str">
        <f>"1552376729297473"</f>
        <v>1552376729297473</v>
      </c>
      <c r="C1190" t="s">
        <v>40</v>
      </c>
      <c r="D1190">
        <v>4.4751529999999997</v>
      </c>
      <c r="E1190">
        <v>0.57795200000000002</v>
      </c>
      <c r="F1190" t="s">
        <v>53</v>
      </c>
      <c r="G1190">
        <v>-195.99109999999999</v>
      </c>
      <c r="H1190" s="1">
        <v>1.210372E-6</v>
      </c>
      <c r="I1190">
        <v>294.67860000000002</v>
      </c>
      <c r="J1190">
        <v>-191.3229</v>
      </c>
      <c r="K1190">
        <v>1.107979</v>
      </c>
      <c r="L1190">
        <v>306.21050000000002</v>
      </c>
      <c r="M1190">
        <v>-4.176974E-2</v>
      </c>
      <c r="N1190">
        <v>0</v>
      </c>
      <c r="O1190">
        <v>-0.99903319999999995</v>
      </c>
      <c r="P1190">
        <v>-0.18322550000000001</v>
      </c>
      <c r="Q1190">
        <v>4.3199189999999998E-2</v>
      </c>
      <c r="R1190">
        <v>-0.98212160000000004</v>
      </c>
      <c r="S1190">
        <v>-1.138474</v>
      </c>
      <c r="T1190">
        <v>-0.26949630000000002</v>
      </c>
      <c r="U1190">
        <v>-2.8570250000000001</v>
      </c>
      <c r="V1190">
        <v>0.14233129999999999</v>
      </c>
      <c r="W1190">
        <v>5.6023169999999997E-2</v>
      </c>
      <c r="X1190">
        <v>0.98823240000000001</v>
      </c>
      <c r="Y1190">
        <v>0.32961790000000002</v>
      </c>
      <c r="Z1190">
        <v>8.7835949999999996E-2</v>
      </c>
      <c r="AA1190">
        <v>0.94001959999999996</v>
      </c>
      <c r="AB1190">
        <v>22</v>
      </c>
      <c r="AC1190">
        <v>-4.6681999999999801</v>
      </c>
      <c r="AD1190">
        <v>-1.1079777896279901</v>
      </c>
      <c r="AE1190">
        <v>-11.5319</v>
      </c>
      <c r="AF1190">
        <v>4.1494836896999097</v>
      </c>
      <c r="AG1190">
        <v>-1.1079777896279901</v>
      </c>
      <c r="AH1190">
        <v>11.6246405990131</v>
      </c>
      <c r="AI1190">
        <v>95.129432631173501</v>
      </c>
      <c r="AJ1190">
        <v>70.355678174268206</v>
      </c>
      <c r="AK1190">
        <v>12.3926631007874</v>
      </c>
      <c r="AL1190">
        <v>86.788427450446406</v>
      </c>
      <c r="AM1190">
        <v>81.804269270860402</v>
      </c>
      <c r="AN1190">
        <v>1.00000003547314</v>
      </c>
    </row>
    <row r="1191" spans="1:40" x14ac:dyDescent="0.25">
      <c r="A1191" t="str">
        <f>"20190312154529331"</f>
        <v>20190312154529331</v>
      </c>
      <c r="B1191" t="str">
        <f>"1552376729327730"</f>
        <v>1552376729327730</v>
      </c>
      <c r="C1191" t="s">
        <v>40</v>
      </c>
      <c r="D1191">
        <v>4.459238</v>
      </c>
      <c r="E1191">
        <v>0.57768730000000001</v>
      </c>
      <c r="F1191" t="s">
        <v>53</v>
      </c>
      <c r="G1191">
        <v>-196.0309</v>
      </c>
      <c r="H1191" s="1">
        <v>1.243032E-6</v>
      </c>
      <c r="I1191">
        <v>294.53579999999999</v>
      </c>
      <c r="J1191">
        <v>-191.33600000000001</v>
      </c>
      <c r="K1191">
        <v>1.107993</v>
      </c>
      <c r="L1191">
        <v>305.99560000000002</v>
      </c>
      <c r="M1191">
        <v>-4.5277110000000002E-2</v>
      </c>
      <c r="N1191">
        <v>0</v>
      </c>
      <c r="O1191">
        <v>-0.9988804</v>
      </c>
      <c r="P1191">
        <v>-0.1880281</v>
      </c>
      <c r="Q1191">
        <v>4.3036650000000003E-2</v>
      </c>
      <c r="R1191">
        <v>-0.98122050000000005</v>
      </c>
      <c r="S1191">
        <v>-1.1501159999999999</v>
      </c>
      <c r="T1191">
        <v>-0.27066249999999997</v>
      </c>
      <c r="U1191">
        <v>-2.8519589999999999</v>
      </c>
      <c r="V1191">
        <v>0.14369460000000001</v>
      </c>
      <c r="W1191">
        <v>5.5855099999999901E-2</v>
      </c>
      <c r="X1191">
        <v>0.98804460000000005</v>
      </c>
      <c r="Y1191">
        <v>0.33017020000000002</v>
      </c>
      <c r="Z1191">
        <v>8.8263809999999998E-2</v>
      </c>
      <c r="AA1191">
        <v>0.93978569999999995</v>
      </c>
      <c r="AB1191">
        <v>22</v>
      </c>
      <c r="AC1191">
        <v>-4.6949000000000103</v>
      </c>
      <c r="AD1191">
        <v>-1.107991756968</v>
      </c>
      <c r="AE1191">
        <v>-11.4598</v>
      </c>
      <c r="AF1191">
        <v>4.1380458641980198</v>
      </c>
      <c r="AG1191">
        <v>-1.107991756968</v>
      </c>
      <c r="AH1191">
        <v>11.568040267544999</v>
      </c>
      <c r="AI1191">
        <v>95.153228907555004</v>
      </c>
      <c r="AJ1191">
        <v>70.317176905511602</v>
      </c>
      <c r="AK1191">
        <v>12.3357458201463</v>
      </c>
      <c r="AL1191">
        <v>86.798072239226201</v>
      </c>
      <c r="AM1191">
        <v>81.725298477233807</v>
      </c>
      <c r="AN1191">
        <v>1.0000000309271599</v>
      </c>
    </row>
    <row r="1192" spans="1:40" x14ac:dyDescent="0.25">
      <c r="A1192" t="str">
        <f>"20190312154529354"</f>
        <v>20190312154529354</v>
      </c>
      <c r="B1192" t="str">
        <f>"1552376729347249"</f>
        <v>1552376729347249</v>
      </c>
      <c r="C1192" t="s">
        <v>40</v>
      </c>
      <c r="D1192">
        <v>4.4535859999999996</v>
      </c>
      <c r="E1192">
        <v>0.57753739999999998</v>
      </c>
      <c r="F1192" t="s">
        <v>53</v>
      </c>
      <c r="G1192">
        <v>-196.08269999999999</v>
      </c>
      <c r="H1192" s="1">
        <v>1.2687429999999999E-6</v>
      </c>
      <c r="I1192">
        <v>294.36380000000003</v>
      </c>
      <c r="J1192">
        <v>-191.35</v>
      </c>
      <c r="K1192">
        <v>1.1080099999999999</v>
      </c>
      <c r="L1192">
        <v>305.77809999999999</v>
      </c>
      <c r="M1192">
        <v>-4.8825819999999999E-2</v>
      </c>
      <c r="N1192">
        <v>0</v>
      </c>
      <c r="O1192">
        <v>-0.99871310000000002</v>
      </c>
      <c r="P1192">
        <v>-0.19318450000000001</v>
      </c>
      <c r="Q1192">
        <v>4.295409E-2</v>
      </c>
      <c r="R1192">
        <v>-0.98022200000000004</v>
      </c>
      <c r="S1192">
        <v>-1.161667</v>
      </c>
      <c r="T1192">
        <v>-0.27116040000000002</v>
      </c>
      <c r="U1192">
        <v>-2.8466800000000001</v>
      </c>
      <c r="V1192">
        <v>0.14537820000000001</v>
      </c>
      <c r="W1192">
        <v>5.5763699999999902E-2</v>
      </c>
      <c r="X1192">
        <v>0.9878034</v>
      </c>
      <c r="Y1192">
        <v>0.33068930000000002</v>
      </c>
      <c r="Z1192">
        <v>8.8480249999999996E-2</v>
      </c>
      <c r="AA1192">
        <v>0.93958280000000005</v>
      </c>
      <c r="AB1192">
        <v>22</v>
      </c>
      <c r="AC1192">
        <v>-4.7326999999999897</v>
      </c>
      <c r="AD1192">
        <v>-1.1080087312569999</v>
      </c>
      <c r="AE1192">
        <v>-11.4142999999999</v>
      </c>
      <c r="AF1192">
        <v>4.1364297212872199</v>
      </c>
      <c r="AG1192">
        <v>-1.1080087312569999</v>
      </c>
      <c r="AH1192">
        <v>11.539002383739099</v>
      </c>
      <c r="AI1192">
        <v>95.164966127611393</v>
      </c>
      <c r="AJ1192">
        <v>70.2785748376443</v>
      </c>
      <c r="AK1192">
        <v>12.3079775024017</v>
      </c>
      <c r="AL1192">
        <v>86.803317098321401</v>
      </c>
      <c r="AM1192">
        <v>81.627698697620502</v>
      </c>
      <c r="AN1192">
        <v>0.999999984162244</v>
      </c>
    </row>
    <row r="1193" spans="1:40" x14ac:dyDescent="0.25">
      <c r="A1193" t="str">
        <f>"20190312154529378"</f>
        <v>20190312154529378</v>
      </c>
      <c r="B1193" t="str">
        <f>"1552376729367746"</f>
        <v>1552376729367746</v>
      </c>
      <c r="C1193" t="s">
        <v>40</v>
      </c>
      <c r="D1193">
        <v>4.4683849999999996</v>
      </c>
      <c r="E1193">
        <v>0.57740159999999996</v>
      </c>
      <c r="F1193" t="s">
        <v>53</v>
      </c>
      <c r="G1193">
        <v>-196.16480000000001</v>
      </c>
      <c r="H1193" s="1">
        <v>1.3002090000000001E-6</v>
      </c>
      <c r="I1193">
        <v>294.14370000000002</v>
      </c>
      <c r="J1193">
        <v>-191.36580000000001</v>
      </c>
      <c r="K1193">
        <v>1.1080209999999999</v>
      </c>
      <c r="L1193">
        <v>305.54649999999998</v>
      </c>
      <c r="M1193">
        <v>-5.2608349999999998E-2</v>
      </c>
      <c r="N1193">
        <v>0</v>
      </c>
      <c r="O1193">
        <v>-0.9985212</v>
      </c>
      <c r="P1193">
        <v>-0.19877539999999999</v>
      </c>
      <c r="Q1193">
        <v>4.3949410000000001E-2</v>
      </c>
      <c r="R1193">
        <v>-0.97905980000000004</v>
      </c>
      <c r="S1193">
        <v>-1.175583</v>
      </c>
      <c r="T1193">
        <v>-0.27053579999999999</v>
      </c>
      <c r="U1193">
        <v>-2.8406980000000002</v>
      </c>
      <c r="V1193">
        <v>0.14728150000000001</v>
      </c>
      <c r="W1193">
        <v>5.6746329999999998E-2</v>
      </c>
      <c r="X1193">
        <v>0.98746540000000005</v>
      </c>
      <c r="Y1193">
        <v>0.33175009999999999</v>
      </c>
      <c r="Z1193">
        <v>8.8327379999999997E-2</v>
      </c>
      <c r="AA1193">
        <v>0.93922320000000004</v>
      </c>
      <c r="AB1193">
        <v>22</v>
      </c>
      <c r="AC1193">
        <v>-4.7990000000000004</v>
      </c>
      <c r="AD1193">
        <v>-1.1080196997909999</v>
      </c>
      <c r="AE1193">
        <v>-11.4027999999999</v>
      </c>
      <c r="AF1193">
        <v>4.1590529968850101</v>
      </c>
      <c r="AG1193">
        <v>-1.1080196997909999</v>
      </c>
      <c r="AH1193">
        <v>11.5468758814915</v>
      </c>
      <c r="AI1193">
        <v>95.1587133258638</v>
      </c>
      <c r="AJ1193">
        <v>70.191558285529297</v>
      </c>
      <c r="AK1193">
        <v>12.322977404369199</v>
      </c>
      <c r="AL1193">
        <v>86.746927138858695</v>
      </c>
      <c r="AM1193">
        <v>81.516811281845406</v>
      </c>
      <c r="AN1193">
        <v>0.99999995120393803</v>
      </c>
    </row>
    <row r="1194" spans="1:40" x14ac:dyDescent="0.25">
      <c r="A1194" t="str">
        <f>"20190312154529400"</f>
        <v>20190312154529400</v>
      </c>
      <c r="B1194" t="str">
        <f>"1552376729387266"</f>
        <v>1552376729387266</v>
      </c>
      <c r="C1194" t="s">
        <v>40</v>
      </c>
      <c r="D1194">
        <v>4.4663510000000004</v>
      </c>
      <c r="E1194">
        <v>0.57712259999999904</v>
      </c>
      <c r="F1194" t="s">
        <v>53</v>
      </c>
      <c r="G1194">
        <v>-196.31440000000001</v>
      </c>
      <c r="H1194" s="1">
        <v>1.352232E-6</v>
      </c>
      <c r="I1194">
        <v>293.77300000000002</v>
      </c>
      <c r="J1194">
        <v>-191.38149999999999</v>
      </c>
      <c r="K1194">
        <v>1.108017</v>
      </c>
      <c r="L1194">
        <v>305.32780000000002</v>
      </c>
      <c r="M1194">
        <v>-5.619383E-2</v>
      </c>
      <c r="N1194">
        <v>0</v>
      </c>
      <c r="O1194">
        <v>-0.99832569999999998</v>
      </c>
      <c r="P1194">
        <v>-0.20362169999999999</v>
      </c>
      <c r="Q1194">
        <v>4.5027980000000002E-2</v>
      </c>
      <c r="R1194">
        <v>-0.97801389999999999</v>
      </c>
      <c r="S1194">
        <v>-1.191284</v>
      </c>
      <c r="T1194">
        <v>-0.26673469999999999</v>
      </c>
      <c r="U1194">
        <v>-2.8342589999999999</v>
      </c>
      <c r="V1194">
        <v>0.14863479999999901</v>
      </c>
      <c r="W1194">
        <v>5.7814119999999997E-2</v>
      </c>
      <c r="X1194">
        <v>0.98720070000000004</v>
      </c>
      <c r="Y1194">
        <v>0.33358880000000002</v>
      </c>
      <c r="Z1194">
        <v>8.7133879999999997E-2</v>
      </c>
      <c r="AA1194">
        <v>0.93868320000000005</v>
      </c>
      <c r="AB1194">
        <v>22</v>
      </c>
      <c r="AC1194">
        <v>-4.9329000000000098</v>
      </c>
      <c r="AD1194">
        <v>-1.1080156477680001</v>
      </c>
      <c r="AE1194">
        <v>-11.5548</v>
      </c>
      <c r="AF1194">
        <v>4.2427353570689998</v>
      </c>
      <c r="AG1194">
        <v>-1.1080156477680001</v>
      </c>
      <c r="AH1194">
        <v>11.7225874657251</v>
      </c>
      <c r="AI1194">
        <v>95.078969824206098</v>
      </c>
      <c r="AJ1194">
        <v>70.103379662138494</v>
      </c>
      <c r="AK1194">
        <v>12.5158922525483</v>
      </c>
      <c r="AL1194">
        <v>86.685646817672307</v>
      </c>
      <c r="AM1194">
        <v>81.437751668241106</v>
      </c>
      <c r="AN1194">
        <v>0.99999999916145199</v>
      </c>
    </row>
    <row r="1195" spans="1:40" x14ac:dyDescent="0.25">
      <c r="A1195" t="str">
        <f>"20190312154529446"</f>
        <v>20190312154529446</v>
      </c>
      <c r="B1195" t="str">
        <f>"1552376729437043"</f>
        <v>1552376729437043</v>
      </c>
      <c r="C1195" t="s">
        <v>40</v>
      </c>
      <c r="D1195">
        <v>4.4942440000000001</v>
      </c>
      <c r="E1195">
        <v>0.57627830000000002</v>
      </c>
      <c r="F1195" t="s">
        <v>53</v>
      </c>
      <c r="G1195">
        <v>-196.50299999999999</v>
      </c>
      <c r="H1195" s="1">
        <v>1.4205270000000001E-6</v>
      </c>
      <c r="I1195">
        <v>293.29020000000003</v>
      </c>
      <c r="J1195">
        <v>-191.41470000000001</v>
      </c>
      <c r="K1195">
        <v>1.1079760000000001</v>
      </c>
      <c r="L1195">
        <v>304.90010000000001</v>
      </c>
      <c r="M1195">
        <v>-6.3299980000000006E-2</v>
      </c>
      <c r="N1195">
        <v>0</v>
      </c>
      <c r="O1195">
        <v>-0.99790049999999997</v>
      </c>
      <c r="P1195">
        <v>-0.2125302</v>
      </c>
      <c r="Q1195">
        <v>4.2519319999999999E-2</v>
      </c>
      <c r="R1195">
        <v>-0.97622929999999997</v>
      </c>
      <c r="S1195">
        <v>-1.203552</v>
      </c>
      <c r="T1195">
        <v>-0.26038660000000002</v>
      </c>
      <c r="U1195">
        <v>-2.8288570000000002</v>
      </c>
      <c r="V1195">
        <v>0.15059249999999999</v>
      </c>
      <c r="W1195">
        <v>5.5282360000000003E-2</v>
      </c>
      <c r="X1195">
        <v>0.98704899999999995</v>
      </c>
      <c r="Y1195">
        <v>0.33103919999999998</v>
      </c>
      <c r="Z1195">
        <v>8.5140380000000002E-2</v>
      </c>
      <c r="AA1195">
        <v>0.9397681</v>
      </c>
      <c r="AB1195">
        <v>22</v>
      </c>
      <c r="AC1195">
        <v>-5.0882999999999701</v>
      </c>
      <c r="AD1195">
        <v>-1.107974579473</v>
      </c>
      <c r="AE1195">
        <v>-11.6098999999999</v>
      </c>
      <c r="AF1195">
        <v>4.3101882522918702</v>
      </c>
      <c r="AG1195">
        <v>-1.107974579473</v>
      </c>
      <c r="AH1195">
        <v>11.8184385531221</v>
      </c>
      <c r="AI1195">
        <v>95.033347827191704</v>
      </c>
      <c r="AJ1195">
        <v>69.963071416003203</v>
      </c>
      <c r="AK1195">
        <v>12.6285715848182</v>
      </c>
      <c r="AL1195">
        <v>86.830938458791806</v>
      </c>
      <c r="AM1195">
        <v>81.325367867447497</v>
      </c>
      <c r="AN1195">
        <v>0.99999998439220905</v>
      </c>
    </row>
    <row r="1196" spans="1:40" x14ac:dyDescent="0.25">
      <c r="A1196" t="str">
        <f>"20190312154529470"</f>
        <v>20190312154529470</v>
      </c>
      <c r="B1196" t="str">
        <f>"1552376729458514"</f>
        <v>1552376729458514</v>
      </c>
      <c r="C1196" t="s">
        <v>40</v>
      </c>
      <c r="D1196">
        <v>4.5035800000000004</v>
      </c>
      <c r="E1196">
        <v>0.57601069999999999</v>
      </c>
      <c r="F1196" t="s">
        <v>53</v>
      </c>
      <c r="G1196">
        <v>-196.57599999999999</v>
      </c>
      <c r="H1196" s="1">
        <v>1.4646600000000001E-6</v>
      </c>
      <c r="I1196">
        <v>293.00279999999998</v>
      </c>
      <c r="J1196">
        <v>-191.43539999999999</v>
      </c>
      <c r="K1196">
        <v>1.1079349999999999</v>
      </c>
      <c r="L1196">
        <v>304.65249999999997</v>
      </c>
      <c r="M1196">
        <v>-6.7496280000000006E-2</v>
      </c>
      <c r="N1196">
        <v>0</v>
      </c>
      <c r="O1196">
        <v>-0.99762519999999999</v>
      </c>
      <c r="P1196">
        <v>-0.2177491</v>
      </c>
      <c r="Q1196">
        <v>4.0870330000000003E-2</v>
      </c>
      <c r="R1196">
        <v>-0.97514860000000003</v>
      </c>
      <c r="S1196">
        <v>-1.222672</v>
      </c>
      <c r="T1196">
        <v>-0.26246599999999998</v>
      </c>
      <c r="U1196">
        <v>-2.8183289999999999</v>
      </c>
      <c r="V1196">
        <v>0.1517125</v>
      </c>
      <c r="W1196">
        <v>5.3615900000000001E-2</v>
      </c>
      <c r="X1196">
        <v>0.9869694</v>
      </c>
      <c r="Y1196">
        <v>0.33368769999999998</v>
      </c>
      <c r="Z1196">
        <v>8.5920380000000005E-2</v>
      </c>
      <c r="AA1196">
        <v>0.93875989999999998</v>
      </c>
      <c r="AB1196">
        <v>22</v>
      </c>
      <c r="AC1196">
        <v>-5.1406000000000001</v>
      </c>
      <c r="AD1196">
        <v>-1.1079335353399999</v>
      </c>
      <c r="AE1196">
        <v>-11.6496999999999</v>
      </c>
      <c r="AF1196">
        <v>4.3098608673240699</v>
      </c>
      <c r="AG1196">
        <v>-1.1079335353399999</v>
      </c>
      <c r="AH1196">
        <v>11.8801912811329</v>
      </c>
      <c r="AI1196">
        <v>95.010212227691497</v>
      </c>
      <c r="AJ1196">
        <v>70.060389925299901</v>
      </c>
      <c r="AK1196">
        <v>12.6862666805774</v>
      </c>
      <c r="AL1196">
        <v>86.926561410281394</v>
      </c>
      <c r="AM1196">
        <v>81.261150415667004</v>
      </c>
      <c r="AN1196">
        <v>0.99999997196270896</v>
      </c>
    </row>
    <row r="1197" spans="1:40" x14ac:dyDescent="0.25">
      <c r="A1197" t="str">
        <f>"20190312154529491"</f>
        <v>20190312154529491</v>
      </c>
      <c r="B1197" t="str">
        <f>"1552376729478034"</f>
        <v>1552376729478034</v>
      </c>
      <c r="C1197" t="s">
        <v>40</v>
      </c>
      <c r="D1197">
        <v>4.4791359999999996</v>
      </c>
      <c r="E1197">
        <v>0.57582089999999997</v>
      </c>
      <c r="F1197" t="s">
        <v>53</v>
      </c>
      <c r="G1197">
        <v>-196.59469999999999</v>
      </c>
      <c r="H1197" s="1">
        <v>1.4784380000000001E-6</v>
      </c>
      <c r="I1197">
        <v>292.9153</v>
      </c>
      <c r="J1197">
        <v>-191.45339999999999</v>
      </c>
      <c r="K1197">
        <v>1.1079110000000001</v>
      </c>
      <c r="L1197">
        <v>304.44709999999998</v>
      </c>
      <c r="M1197">
        <v>-7.1026530000000004E-2</v>
      </c>
      <c r="N1197">
        <v>0</v>
      </c>
      <c r="O1197">
        <v>-0.99738020000000005</v>
      </c>
      <c r="P1197">
        <v>-0.2223572</v>
      </c>
      <c r="Q1197">
        <v>4.0161299999999997E-2</v>
      </c>
      <c r="R1197">
        <v>-0.97413780000000005</v>
      </c>
      <c r="S1197">
        <v>-1.23587</v>
      </c>
      <c r="T1197">
        <v>-0.26540059999999999</v>
      </c>
      <c r="U1197">
        <v>-2.8116150000000002</v>
      </c>
      <c r="V1197">
        <v>0.1528841</v>
      </c>
      <c r="W1197">
        <v>5.2889279999999997E-2</v>
      </c>
      <c r="X1197">
        <v>0.98682789999999998</v>
      </c>
      <c r="Y1197">
        <v>0.33483560000000001</v>
      </c>
      <c r="Z1197">
        <v>8.6933629999999998E-2</v>
      </c>
      <c r="AA1197">
        <v>0.93825780000000003</v>
      </c>
      <c r="AB1197">
        <v>22</v>
      </c>
      <c r="AC1197">
        <v>-5.1413000000000002</v>
      </c>
      <c r="AD1197">
        <v>-1.1079095215620001</v>
      </c>
      <c r="AE1197">
        <v>-11.531799999999899</v>
      </c>
      <c r="AF1197">
        <v>4.2762459396350101</v>
      </c>
      <c r="AG1197">
        <v>-1.1079095215620001</v>
      </c>
      <c r="AH1197">
        <v>11.777191340303199</v>
      </c>
      <c r="AI1197">
        <v>95.053181693976398</v>
      </c>
      <c r="AJ1197">
        <v>70.044264985391493</v>
      </c>
      <c r="AK1197">
        <v>12.578393327858899</v>
      </c>
      <c r="AL1197">
        <v>86.968253108302207</v>
      </c>
      <c r="AM1197">
        <v>81.193475470857095</v>
      </c>
      <c r="AN1197">
        <v>1.0000000640950599</v>
      </c>
    </row>
    <row r="1198" spans="1:40" x14ac:dyDescent="0.25">
      <c r="A1198" t="str">
        <f>"20190312154529532"</f>
        <v>20190312154529532</v>
      </c>
      <c r="B1198" t="str">
        <f>"1552376729527810"</f>
        <v>1552376729527810</v>
      </c>
      <c r="C1198" t="s">
        <v>40</v>
      </c>
      <c r="D1198">
        <v>4.3757349999999997</v>
      </c>
      <c r="E1198">
        <v>0.57546219999999904</v>
      </c>
      <c r="F1198" t="s">
        <v>53</v>
      </c>
      <c r="G1198">
        <v>-196.65129999999999</v>
      </c>
      <c r="H1198" s="1">
        <v>1.49963E-6</v>
      </c>
      <c r="I1198">
        <v>292.76639999999998</v>
      </c>
      <c r="J1198">
        <v>-191.49019999999999</v>
      </c>
      <c r="K1198">
        <v>1.1078079999999999</v>
      </c>
      <c r="L1198">
        <v>304.05410000000001</v>
      </c>
      <c r="M1198">
        <v>-7.8043600000000005E-2</v>
      </c>
      <c r="N1198">
        <v>0</v>
      </c>
      <c r="O1198">
        <v>-0.99685559999999995</v>
      </c>
      <c r="P1198">
        <v>-0.23007569999999999</v>
      </c>
      <c r="Q1198">
        <v>3.921181E-2</v>
      </c>
      <c r="R1198">
        <v>-0.97238270000000004</v>
      </c>
      <c r="S1198">
        <v>-1.248489</v>
      </c>
      <c r="T1198">
        <v>-0.26611380000000001</v>
      </c>
      <c r="U1198">
        <v>-2.805634</v>
      </c>
      <c r="V1198">
        <v>0.1537703</v>
      </c>
      <c r="W1198">
        <v>5.1900729999999999E-2</v>
      </c>
      <c r="X1198">
        <v>0.98674260000000003</v>
      </c>
      <c r="Y1198">
        <v>0.33246179999999997</v>
      </c>
      <c r="Z1198">
        <v>8.7226629999999999E-2</v>
      </c>
      <c r="AA1198">
        <v>0.93907439999999998</v>
      </c>
      <c r="AB1198">
        <v>21</v>
      </c>
      <c r="AC1198">
        <v>-5.1611000000000002</v>
      </c>
      <c r="AD1198">
        <v>-1.1078065003699999</v>
      </c>
      <c r="AE1198">
        <v>-11.287699999999999</v>
      </c>
      <c r="AF1198">
        <v>4.23063634928128</v>
      </c>
      <c r="AG1198">
        <v>-1.1078065003699999</v>
      </c>
      <c r="AH1198">
        <v>11.5639695605987</v>
      </c>
      <c r="AI1198">
        <v>95.140855540890698</v>
      </c>
      <c r="AJ1198">
        <v>69.9051368399209</v>
      </c>
      <c r="AK1198">
        <v>12.3632888488692</v>
      </c>
      <c r="AL1198">
        <v>87.024970489106096</v>
      </c>
      <c r="AM1198">
        <v>81.142481568648506</v>
      </c>
      <c r="AN1198">
        <v>0.99999997479569103</v>
      </c>
    </row>
    <row r="1199" spans="1:40" x14ac:dyDescent="0.25">
      <c r="A1199" t="str">
        <f>"20190312154529555"</f>
        <v>20190312154529555</v>
      </c>
      <c r="B1199" t="str">
        <f>"1552376729547330"</f>
        <v>1552376729547330</v>
      </c>
      <c r="C1199" t="s">
        <v>40</v>
      </c>
      <c r="D1199">
        <v>4.5119400000000001</v>
      </c>
      <c r="E1199">
        <v>0.57526279999999996</v>
      </c>
      <c r="F1199" t="s">
        <v>53</v>
      </c>
      <c r="G1199">
        <v>-196.80500000000001</v>
      </c>
      <c r="H1199" s="1">
        <v>1.5599319999999999E-6</v>
      </c>
      <c r="I1199">
        <v>292.34660000000002</v>
      </c>
      <c r="J1199">
        <v>-191.51179999999999</v>
      </c>
      <c r="K1199">
        <v>1.107718</v>
      </c>
      <c r="L1199">
        <v>303.83789999999999</v>
      </c>
      <c r="M1199">
        <v>-8.2083989999999996E-2</v>
      </c>
      <c r="N1199">
        <v>0</v>
      </c>
      <c r="O1199">
        <v>-0.99653080000000005</v>
      </c>
      <c r="P1199">
        <v>-0.23440949999999999</v>
      </c>
      <c r="Q1199">
        <v>3.7249329999999997E-2</v>
      </c>
      <c r="R1199">
        <v>-0.97142410000000001</v>
      </c>
      <c r="S1199">
        <v>-1.2690729999999999</v>
      </c>
      <c r="T1199">
        <v>-0.26452229999999999</v>
      </c>
      <c r="U1199">
        <v>-2.7955320000000001</v>
      </c>
      <c r="V1199">
        <v>0.1541631</v>
      </c>
      <c r="W1199">
        <v>4.9911560000000001E-2</v>
      </c>
      <c r="X1199">
        <v>0.98678399999999999</v>
      </c>
      <c r="Y1199">
        <v>0.33566380000000001</v>
      </c>
      <c r="Z1199">
        <v>8.6774599999999993E-2</v>
      </c>
      <c r="AA1199">
        <v>0.93797649999999999</v>
      </c>
      <c r="AB1199">
        <v>21</v>
      </c>
      <c r="AC1199">
        <v>-5.2932000000000103</v>
      </c>
      <c r="AD1199">
        <v>-1.107716440068</v>
      </c>
      <c r="AE1199">
        <v>-11.491299999999899</v>
      </c>
      <c r="AF1199">
        <v>4.2990383503396501</v>
      </c>
      <c r="AG1199">
        <v>-1.107716440068</v>
      </c>
      <c r="AH1199">
        <v>11.796612751915101</v>
      </c>
      <c r="AI1199">
        <v>95.041880106494105</v>
      </c>
      <c r="AJ1199">
        <v>69.976747599343696</v>
      </c>
      <c r="AK1199">
        <v>12.6043182627199</v>
      </c>
      <c r="AL1199">
        <v>87.139089716663506</v>
      </c>
      <c r="AM1199">
        <v>81.120582131848295</v>
      </c>
      <c r="AN1199">
        <v>1.0000000439396199</v>
      </c>
    </row>
    <row r="1200" spans="1:40" x14ac:dyDescent="0.25">
      <c r="A1200" t="str">
        <f>"20190312154529579"</f>
        <v>20190312154529579</v>
      </c>
      <c r="B1200" t="str">
        <f>"1552376729567826"</f>
        <v>1552376729567826</v>
      </c>
      <c r="C1200" t="s">
        <v>40</v>
      </c>
      <c r="D1200">
        <v>4.570551</v>
      </c>
      <c r="E1200">
        <v>0.57544770000000001</v>
      </c>
      <c r="F1200" t="s">
        <v>53</v>
      </c>
      <c r="G1200">
        <v>-196.77070000000001</v>
      </c>
      <c r="H1200" s="1">
        <v>1.5566249999999999E-6</v>
      </c>
      <c r="I1200">
        <v>292.38260000000002</v>
      </c>
      <c r="J1200">
        <v>-191.53569999999999</v>
      </c>
      <c r="K1200">
        <v>1.1076140000000001</v>
      </c>
      <c r="L1200">
        <v>303.60980000000001</v>
      </c>
      <c r="M1200">
        <v>-8.6500899999999895E-2</v>
      </c>
      <c r="N1200">
        <v>0</v>
      </c>
      <c r="O1200">
        <v>-0.99615710000000002</v>
      </c>
      <c r="P1200">
        <v>-0.23861260000000001</v>
      </c>
      <c r="Q1200">
        <v>3.6041299999999998E-2</v>
      </c>
      <c r="R1200">
        <v>-0.97044569999999997</v>
      </c>
      <c r="S1200">
        <v>-1.28064</v>
      </c>
      <c r="T1200">
        <v>-0.26975070000000001</v>
      </c>
      <c r="U1200">
        <v>-2.7895810000000001</v>
      </c>
      <c r="V1200">
        <v>0.15406129999999901</v>
      </c>
      <c r="W1200">
        <v>4.8672809999999997E-2</v>
      </c>
      <c r="X1200">
        <v>0.98686169999999995</v>
      </c>
      <c r="Y1200">
        <v>0.33539600000000003</v>
      </c>
      <c r="Z1200">
        <v>8.8527599999999998E-2</v>
      </c>
      <c r="AA1200">
        <v>0.93790850000000003</v>
      </c>
      <c r="AB1200">
        <v>21</v>
      </c>
      <c r="AC1200">
        <v>-5.2350000000000101</v>
      </c>
      <c r="AD1200">
        <v>-1.1076124433750001</v>
      </c>
      <c r="AE1200">
        <v>-11.2271999999999</v>
      </c>
      <c r="AF1200">
        <v>4.2104590920348404</v>
      </c>
      <c r="AG1200">
        <v>-1.1076124433750001</v>
      </c>
      <c r="AH1200">
        <v>11.5456823599687</v>
      </c>
      <c r="AI1200">
        <v>95.149985236832606</v>
      </c>
      <c r="AJ1200">
        <v>69.964187837500305</v>
      </c>
      <c r="AK1200">
        <v>12.3392687079791</v>
      </c>
      <c r="AL1200">
        <v>87.210151042963403</v>
      </c>
      <c r="AM1200">
        <v>81.1270397656901</v>
      </c>
      <c r="AN1200">
        <v>0.99999997075893698</v>
      </c>
    </row>
    <row r="1201" spans="1:40" x14ac:dyDescent="0.25">
      <c r="A1201" t="str">
        <f>"20190312154529601"</f>
        <v>20190312154529601</v>
      </c>
      <c r="B1201" t="str">
        <f>"1552376729597106"</f>
        <v>1552376729597106</v>
      </c>
      <c r="C1201" t="s">
        <v>40</v>
      </c>
      <c r="D1201">
        <v>4.6694659999999999</v>
      </c>
      <c r="E1201">
        <v>0.59186280000000002</v>
      </c>
      <c r="F1201" t="s">
        <v>53</v>
      </c>
      <c r="G1201">
        <v>-196.7876</v>
      </c>
      <c r="H1201" s="1">
        <v>1.566454E-6</v>
      </c>
      <c r="I1201">
        <v>292.31830000000002</v>
      </c>
      <c r="J1201">
        <v>-191.5599</v>
      </c>
      <c r="K1201">
        <v>1.1075029999999999</v>
      </c>
      <c r="L1201">
        <v>303.39060000000001</v>
      </c>
      <c r="M1201">
        <v>-9.0947330000000007E-2</v>
      </c>
      <c r="N1201">
        <v>0</v>
      </c>
      <c r="O1201">
        <v>-0.99576089999999995</v>
      </c>
      <c r="P1201">
        <v>-0.242978</v>
      </c>
      <c r="Q1201">
        <v>3.616631E-2</v>
      </c>
      <c r="R1201">
        <v>-0.96935769999999999</v>
      </c>
      <c r="S1201">
        <v>-1.2945249999999999</v>
      </c>
      <c r="T1201">
        <v>-0.27301619999999999</v>
      </c>
      <c r="U1201">
        <v>-2.7832340000000002</v>
      </c>
      <c r="V1201">
        <v>0.15411250000000001</v>
      </c>
      <c r="W1201">
        <v>4.8760919999999999E-2</v>
      </c>
      <c r="X1201">
        <v>0.98684939999999999</v>
      </c>
      <c r="Y1201">
        <v>0.33581640000000001</v>
      </c>
      <c r="Z1201">
        <v>8.9624339999999997E-2</v>
      </c>
      <c r="AA1201">
        <v>0.93765390000000004</v>
      </c>
      <c r="AB1201">
        <v>21</v>
      </c>
      <c r="AC1201">
        <v>-5.2276999999999898</v>
      </c>
      <c r="AD1201">
        <v>-1.1075014335460001</v>
      </c>
      <c r="AE1201">
        <v>-11.072299999999901</v>
      </c>
      <c r="AF1201">
        <v>4.1648660789946303</v>
      </c>
      <c r="AG1201">
        <v>-1.1075014335460001</v>
      </c>
      <c r="AH1201">
        <v>11.408559299693801</v>
      </c>
      <c r="AI1201">
        <v>95.210380818554299</v>
      </c>
      <c r="AJ1201">
        <v>69.944629850844905</v>
      </c>
      <c r="AK1201">
        <v>12.1954046335452</v>
      </c>
      <c r="AL1201">
        <v>87.205096831619201</v>
      </c>
      <c r="AM1201">
        <v>81.124029045198199</v>
      </c>
      <c r="AN1201">
        <v>1.0000000141279199</v>
      </c>
    </row>
    <row r="1202" spans="1:40" x14ac:dyDescent="0.25">
      <c r="A1202" t="str">
        <f>"20190312154529624"</f>
        <v>20190312154529624</v>
      </c>
      <c r="B1202" t="str">
        <f>"1552376729617602"</f>
        <v>1552376729617602</v>
      </c>
      <c r="C1202" t="s">
        <v>40</v>
      </c>
      <c r="D1202">
        <v>4.6741590000000004</v>
      </c>
      <c r="E1202">
        <v>0.59213199999999999</v>
      </c>
      <c r="F1202" t="s">
        <v>53</v>
      </c>
      <c r="G1202">
        <v>-195.19640000000001</v>
      </c>
      <c r="H1202" s="1">
        <v>6.7229749999999898E-7</v>
      </c>
      <c r="I1202">
        <v>296.40010000000001</v>
      </c>
      <c r="J1202">
        <v>-191.58439999999999</v>
      </c>
      <c r="K1202">
        <v>1.1073770000000001</v>
      </c>
      <c r="L1202">
        <v>303.1789</v>
      </c>
      <c r="M1202">
        <v>-9.5471410000000007E-2</v>
      </c>
      <c r="N1202">
        <v>0</v>
      </c>
      <c r="O1202">
        <v>-0.99533720000000003</v>
      </c>
      <c r="P1202">
        <v>-0.24710550000000001</v>
      </c>
      <c r="Q1202">
        <v>3.6805169999999998E-2</v>
      </c>
      <c r="R1202">
        <v>-0.96828939999999997</v>
      </c>
      <c r="S1202">
        <v>-1.4317169999999999</v>
      </c>
      <c r="T1202">
        <v>-0.43602869999999999</v>
      </c>
      <c r="U1202">
        <v>-2.752167</v>
      </c>
      <c r="V1202">
        <v>0.153854399999999</v>
      </c>
      <c r="W1202">
        <v>4.9361009999999997E-2</v>
      </c>
      <c r="X1202">
        <v>0.98685979999999995</v>
      </c>
      <c r="Y1202">
        <v>0.37008279999999999</v>
      </c>
      <c r="Z1202">
        <v>0.1411171</v>
      </c>
      <c r="AA1202">
        <v>0.91821819999999998</v>
      </c>
      <c r="AB1202">
        <v>21</v>
      </c>
      <c r="AC1202">
        <v>-3.6120000000000201</v>
      </c>
      <c r="AD1202">
        <v>-1.1073763277024999</v>
      </c>
      <c r="AE1202">
        <v>-6.7787999999999897</v>
      </c>
      <c r="AF1202">
        <v>2.8882236176544098</v>
      </c>
      <c r="AG1202">
        <v>-1.1073763277024999</v>
      </c>
      <c r="AH1202">
        <v>6.9482855631182598</v>
      </c>
      <c r="AI1202">
        <v>98.371913315371302</v>
      </c>
      <c r="AJ1202">
        <v>67.4286003716865</v>
      </c>
      <c r="AK1202">
        <v>7.6057077424372697</v>
      </c>
      <c r="AL1202">
        <v>87.170672643295205</v>
      </c>
      <c r="AM1202">
        <v>81.1387498806195</v>
      </c>
      <c r="AN1202">
        <v>0.99999997528180895</v>
      </c>
    </row>
    <row r="1203" spans="1:40" x14ac:dyDescent="0.25">
      <c r="A1203" t="str">
        <f>"20190312154529647"</f>
        <v>20190312154529647</v>
      </c>
      <c r="B1203" t="str">
        <f>"1552376729637122"</f>
        <v>1552376729637122</v>
      </c>
      <c r="C1203" t="s">
        <v>40</v>
      </c>
      <c r="D1203">
        <v>4.6786919999999999</v>
      </c>
      <c r="E1203">
        <v>0.59185149999999997</v>
      </c>
      <c r="F1203" t="s">
        <v>53</v>
      </c>
      <c r="G1203">
        <v>-195.16990000000001</v>
      </c>
      <c r="H1203" s="1">
        <v>6.856196E-7</v>
      </c>
      <c r="I1203">
        <v>296.3691</v>
      </c>
      <c r="J1203">
        <v>-191.6122</v>
      </c>
      <c r="K1203">
        <v>1.1072219999999999</v>
      </c>
      <c r="L1203">
        <v>302.9522</v>
      </c>
      <c r="M1203">
        <v>-0.10060529999999999</v>
      </c>
      <c r="N1203">
        <v>0</v>
      </c>
      <c r="O1203">
        <v>-0.99483129999999997</v>
      </c>
      <c r="P1203">
        <v>-0.25215140000000003</v>
      </c>
      <c r="Q1203">
        <v>3.7754910000000003E-2</v>
      </c>
      <c r="R1203">
        <v>-0.966951</v>
      </c>
      <c r="S1203">
        <v>-1.4459379999999999</v>
      </c>
      <c r="T1203">
        <v>-0.44657059999999998</v>
      </c>
      <c r="U1203">
        <v>-2.7461850000000001</v>
      </c>
      <c r="V1203">
        <v>0.15393870000000001</v>
      </c>
      <c r="W1203">
        <v>5.0263019999999999E-2</v>
      </c>
      <c r="X1203">
        <v>0.98680109999999999</v>
      </c>
      <c r="Y1203">
        <v>0.36962329999999999</v>
      </c>
      <c r="Z1203">
        <v>0.14446870000000001</v>
      </c>
      <c r="AA1203">
        <v>0.91788199999999998</v>
      </c>
      <c r="AB1203">
        <v>21</v>
      </c>
      <c r="AC1203">
        <v>-3.5577000000000099</v>
      </c>
      <c r="AD1203">
        <v>-1.1072213143803999</v>
      </c>
      <c r="AE1203">
        <v>-6.5831</v>
      </c>
      <c r="AF1203">
        <v>2.8156433157163199</v>
      </c>
      <c r="AG1203">
        <v>-1.1072213143803999</v>
      </c>
      <c r="AH1203">
        <v>6.7596555796397899</v>
      </c>
      <c r="AI1203">
        <v>98.598308525666894</v>
      </c>
      <c r="AJ1203">
        <v>67.386489807370296</v>
      </c>
      <c r="AK1203">
        <v>7.4058578082293502</v>
      </c>
      <c r="AL1203">
        <v>87.118926972771106</v>
      </c>
      <c r="AM1203">
        <v>81.133452716334702</v>
      </c>
      <c r="AN1203">
        <v>0.99999995274920905</v>
      </c>
    </row>
    <row r="1204" spans="1:40" x14ac:dyDescent="0.25">
      <c r="A1204" t="str">
        <f>"20190312154529667"</f>
        <v>20190312154529667</v>
      </c>
      <c r="B1204" t="str">
        <f>"1552376729657618"</f>
        <v>1552376729657618</v>
      </c>
      <c r="C1204" t="s">
        <v>40</v>
      </c>
      <c r="D1204">
        <v>4.7012799999999997</v>
      </c>
      <c r="E1204">
        <v>0.59165249999999903</v>
      </c>
      <c r="F1204" t="s">
        <v>53</v>
      </c>
      <c r="G1204">
        <v>-195.1944</v>
      </c>
      <c r="H1204" s="1">
        <v>7.3470349999999897E-7</v>
      </c>
      <c r="I1204">
        <v>296.22410000000002</v>
      </c>
      <c r="J1204">
        <v>-191.63560000000001</v>
      </c>
      <c r="K1204">
        <v>1.107102</v>
      </c>
      <c r="L1204">
        <v>302.76929999999999</v>
      </c>
      <c r="M1204">
        <v>-0.1049118</v>
      </c>
      <c r="N1204">
        <v>0</v>
      </c>
      <c r="O1204">
        <v>-0.99438599999999999</v>
      </c>
      <c r="P1204">
        <v>-0.25623220000000002</v>
      </c>
      <c r="Q1204">
        <v>3.8196180000000003E-2</v>
      </c>
      <c r="R1204">
        <v>-0.96586039999999995</v>
      </c>
      <c r="S1204">
        <v>-1.458725</v>
      </c>
      <c r="T1204">
        <v>-0.45087529999999998</v>
      </c>
      <c r="U1204">
        <v>-2.7397770000000001</v>
      </c>
      <c r="V1204">
        <v>0.15385289999999999</v>
      </c>
      <c r="W1204">
        <v>5.0670680000000003E-2</v>
      </c>
      <c r="X1204">
        <v>0.9867937</v>
      </c>
      <c r="Y1204">
        <v>0.36974010000000002</v>
      </c>
      <c r="Z1204">
        <v>0.14587549999999999</v>
      </c>
      <c r="AA1204">
        <v>0.91761239999999999</v>
      </c>
      <c r="AB1204">
        <v>21</v>
      </c>
      <c r="AC1204">
        <v>-3.55879999999999</v>
      </c>
      <c r="AD1204">
        <v>-1.1071012652965</v>
      </c>
      <c r="AE1204">
        <v>-6.5451999999999604</v>
      </c>
      <c r="AF1204">
        <v>2.79079589173057</v>
      </c>
      <c r="AG1204">
        <v>-1.1071012652965</v>
      </c>
      <c r="AH1204">
        <v>6.7337718333369301</v>
      </c>
      <c r="AI1204">
        <v>98.636234173913707</v>
      </c>
      <c r="AJ1204">
        <v>67.488553037455802</v>
      </c>
      <c r="AK1204">
        <v>7.3727808881292001</v>
      </c>
      <c r="AL1204">
        <v>87.095540166883495</v>
      </c>
      <c r="AM1204">
        <v>81.138250760929594</v>
      </c>
      <c r="AN1204">
        <v>1.0000000195048799</v>
      </c>
    </row>
    <row r="1205" spans="1:40" x14ac:dyDescent="0.25">
      <c r="A1205" t="str">
        <f>"20190312154529713"</f>
        <v>20190312154529713</v>
      </c>
      <c r="B1205" t="str">
        <f>"1552376729707394"</f>
        <v>1552376729707394</v>
      </c>
      <c r="C1205" t="s">
        <v>40</v>
      </c>
      <c r="D1205">
        <v>4.729063</v>
      </c>
      <c r="E1205">
        <v>0.59131889999999998</v>
      </c>
      <c r="F1205" t="s">
        <v>53</v>
      </c>
      <c r="G1205">
        <v>-195.2124</v>
      </c>
      <c r="H1205" s="1">
        <v>7.720707E-7</v>
      </c>
      <c r="I1205">
        <v>296.1139</v>
      </c>
      <c r="J1205">
        <v>-191.69489999999999</v>
      </c>
      <c r="K1205">
        <v>1.1068519999999999</v>
      </c>
      <c r="L1205">
        <v>302.33730000000003</v>
      </c>
      <c r="M1205">
        <v>-0.11574570000000001</v>
      </c>
      <c r="N1205">
        <v>0</v>
      </c>
      <c r="O1205">
        <v>-0.99318309999999999</v>
      </c>
      <c r="P1205">
        <v>-0.2675575</v>
      </c>
      <c r="Q1205">
        <v>3.8143099999999999E-2</v>
      </c>
      <c r="R1205">
        <v>-0.96278719999999995</v>
      </c>
      <c r="S1205">
        <v>-1.4694370000000001</v>
      </c>
      <c r="T1205">
        <v>-0.45481729999999998</v>
      </c>
      <c r="U1205">
        <v>-2.7341920000000002</v>
      </c>
      <c r="V1205">
        <v>0.1547154</v>
      </c>
      <c r="W1205">
        <v>5.054115E-2</v>
      </c>
      <c r="X1205">
        <v>0.98666549999999997</v>
      </c>
      <c r="Y1205">
        <v>0.36309940000000002</v>
      </c>
      <c r="Z1205">
        <v>0.1471867</v>
      </c>
      <c r="AA1205">
        <v>0.92005159999999997</v>
      </c>
      <c r="AB1205">
        <v>21</v>
      </c>
      <c r="AC1205">
        <v>-3.5175000000000098</v>
      </c>
      <c r="AD1205">
        <v>-1.1068512279292999</v>
      </c>
      <c r="AE1205">
        <v>-6.2234000000000202</v>
      </c>
      <c r="AF1205">
        <v>2.70852143505918</v>
      </c>
      <c r="AG1205">
        <v>-1.1068512279292999</v>
      </c>
      <c r="AH1205">
        <v>6.4344822844135701</v>
      </c>
      <c r="AI1205">
        <v>99.008973029021007</v>
      </c>
      <c r="AJ1205">
        <v>67.171899709117696</v>
      </c>
      <c r="AK1205">
        <v>7.0685055190878803</v>
      </c>
      <c r="AL1205">
        <v>87.102971257898602</v>
      </c>
      <c r="AM1205">
        <v>81.088227565145999</v>
      </c>
      <c r="AN1205">
        <v>1.00000003586536</v>
      </c>
    </row>
    <row r="1206" spans="1:40" x14ac:dyDescent="0.25">
      <c r="A1206" t="str">
        <f>"20190312154529734"</f>
        <v>20190312154529734</v>
      </c>
      <c r="B1206" t="str">
        <f>"1552376729727891"</f>
        <v>1552376729727891</v>
      </c>
      <c r="C1206" t="s">
        <v>40</v>
      </c>
      <c r="D1206">
        <v>4.7075469999999999</v>
      </c>
      <c r="E1206">
        <v>0.59118649999999995</v>
      </c>
      <c r="F1206" t="s">
        <v>53</v>
      </c>
      <c r="G1206">
        <v>-195.304</v>
      </c>
      <c r="H1206" s="1">
        <v>8.7155459999999905E-7</v>
      </c>
      <c r="I1206">
        <v>295.80939999999998</v>
      </c>
      <c r="J1206">
        <v>-191.72409999999999</v>
      </c>
      <c r="K1206">
        <v>1.1067499999999999</v>
      </c>
      <c r="L1206">
        <v>302.1395</v>
      </c>
      <c r="M1206">
        <v>-0.1210027</v>
      </c>
      <c r="N1206">
        <v>0</v>
      </c>
      <c r="O1206">
        <v>-0.99255610000000005</v>
      </c>
      <c r="P1206">
        <v>-0.27351959999999997</v>
      </c>
      <c r="Q1206">
        <v>3.7938840000000001E-2</v>
      </c>
      <c r="R1206">
        <v>-0.96111820000000003</v>
      </c>
      <c r="S1206">
        <v>-1.5020450000000001</v>
      </c>
      <c r="T1206">
        <v>-0.46065739999999999</v>
      </c>
      <c r="U1206">
        <v>-2.7167970000000001</v>
      </c>
      <c r="V1206">
        <v>0.15561720000000001</v>
      </c>
      <c r="W1206">
        <v>5.0302079999999999E-2</v>
      </c>
      <c r="X1206">
        <v>0.98653579999999996</v>
      </c>
      <c r="Y1206">
        <v>0.36898150000000002</v>
      </c>
      <c r="Z1206">
        <v>0.14913499999999999</v>
      </c>
      <c r="AA1206">
        <v>0.91739389999999998</v>
      </c>
      <c r="AB1206">
        <v>21</v>
      </c>
      <c r="AC1206">
        <v>-3.5798999999999999</v>
      </c>
      <c r="AD1206">
        <v>-1.1067491284454001</v>
      </c>
      <c r="AE1206">
        <v>-6.3301000000000096</v>
      </c>
      <c r="AF1206">
        <v>2.7244568707863102</v>
      </c>
      <c r="AG1206">
        <v>-1.1067491284454001</v>
      </c>
      <c r="AH1206">
        <v>6.5647507822777298</v>
      </c>
      <c r="AI1206">
        <v>98.850593758100203</v>
      </c>
      <c r="AJ1206">
        <v>67.460914890345407</v>
      </c>
      <c r="AK1206">
        <v>7.1932963033302997</v>
      </c>
      <c r="AL1206">
        <v>87.116686152518099</v>
      </c>
      <c r="AM1206">
        <v>81.035964606176293</v>
      </c>
      <c r="AN1206">
        <v>0.99999994843490103</v>
      </c>
    </row>
    <row r="1207" spans="1:40" x14ac:dyDescent="0.25">
      <c r="A1207" t="str">
        <f>"20190312154529756"</f>
        <v>20190312154529756</v>
      </c>
      <c r="B1207" t="str">
        <f>"1552376729747411"</f>
        <v>1552376729747411</v>
      </c>
      <c r="C1207" t="s">
        <v>40</v>
      </c>
      <c r="D1207">
        <v>4.7279819999999999</v>
      </c>
      <c r="E1207">
        <v>0.59105050000000003</v>
      </c>
      <c r="F1207" t="s">
        <v>53</v>
      </c>
      <c r="G1207">
        <v>-195.3603</v>
      </c>
      <c r="H1207" s="1">
        <v>9.1938940000000002E-7</v>
      </c>
      <c r="I1207">
        <v>295.66000000000003</v>
      </c>
      <c r="J1207">
        <v>-191.75630000000001</v>
      </c>
      <c r="K1207">
        <v>1.1066419999999999</v>
      </c>
      <c r="L1207">
        <v>301.92989999999998</v>
      </c>
      <c r="M1207">
        <v>-0.1267663</v>
      </c>
      <c r="N1207">
        <v>0</v>
      </c>
      <c r="O1207">
        <v>-0.9918363</v>
      </c>
      <c r="P1207">
        <v>-0.27915679999999998</v>
      </c>
      <c r="Q1207">
        <v>3.7826539999999999E-2</v>
      </c>
      <c r="R1207">
        <v>-0.95950029999999997</v>
      </c>
      <c r="S1207">
        <v>-1.5193019999999999</v>
      </c>
      <c r="T1207">
        <v>-0.4624219</v>
      </c>
      <c r="U1207">
        <v>-2.7072449999999999</v>
      </c>
      <c r="V1207">
        <v>0.15568940000000001</v>
      </c>
      <c r="W1207">
        <v>5.0163010000000001E-2</v>
      </c>
      <c r="X1207">
        <v>0.98653159999999895</v>
      </c>
      <c r="Y1207">
        <v>0.3693767</v>
      </c>
      <c r="Z1207">
        <v>0.14975439999999901</v>
      </c>
      <c r="AA1207">
        <v>0.91713389999999995</v>
      </c>
      <c r="AB1207">
        <v>21</v>
      </c>
      <c r="AC1207">
        <v>-3.6039999999999801</v>
      </c>
      <c r="AD1207">
        <v>-1.1066410806106</v>
      </c>
      <c r="AE1207">
        <v>-6.2698999999999501</v>
      </c>
      <c r="AF1207">
        <v>2.71642447560968</v>
      </c>
      <c r="AG1207">
        <v>-1.1066410806106</v>
      </c>
      <c r="AH1207">
        <v>6.5234661252368102</v>
      </c>
      <c r="AI1207">
        <v>98.900523357528002</v>
      </c>
      <c r="AJ1207">
        <v>67.392756901746495</v>
      </c>
      <c r="AK1207">
        <v>7.1525678396012804</v>
      </c>
      <c r="AL1207">
        <v>87.1246646624259</v>
      </c>
      <c r="AM1207">
        <v>81.0318356823703</v>
      </c>
      <c r="AN1207">
        <v>1.0000000573215799</v>
      </c>
    </row>
    <row r="1208" spans="1:40" x14ac:dyDescent="0.25">
      <c r="A1208" t="str">
        <f>"20190312154529778"</f>
        <v>20190312154529778</v>
      </c>
      <c r="B1208" t="str">
        <f>"1552376729767907"</f>
        <v>1552376729767907</v>
      </c>
      <c r="C1208" t="s">
        <v>40</v>
      </c>
      <c r="D1208">
        <v>4.7246420000000002</v>
      </c>
      <c r="E1208">
        <v>0.59093030000000002</v>
      </c>
      <c r="F1208" t="s">
        <v>53</v>
      </c>
      <c r="G1208">
        <v>-195.40969999999999</v>
      </c>
      <c r="H1208" s="1">
        <v>9.6810689999999993E-7</v>
      </c>
      <c r="I1208">
        <v>295.50979999999998</v>
      </c>
      <c r="J1208">
        <v>-191.7903</v>
      </c>
      <c r="K1208">
        <v>1.1065179999999999</v>
      </c>
      <c r="L1208">
        <v>301.71899999999999</v>
      </c>
      <c r="M1208">
        <v>-0.13280059999999999</v>
      </c>
      <c r="N1208">
        <v>0</v>
      </c>
      <c r="O1208">
        <v>-0.99104610000000004</v>
      </c>
      <c r="P1208">
        <v>-0.28486460000000002</v>
      </c>
      <c r="Q1208">
        <v>3.8152709999999999E-2</v>
      </c>
      <c r="R1208">
        <v>-0.95780829999999995</v>
      </c>
      <c r="S1208">
        <v>-1.535431</v>
      </c>
      <c r="T1208">
        <v>-0.46509719999999999</v>
      </c>
      <c r="U1208">
        <v>-2.6982119999999998</v>
      </c>
      <c r="V1208">
        <v>0.155579</v>
      </c>
      <c r="W1208">
        <v>5.0458759999999998E-2</v>
      </c>
      <c r="X1208">
        <v>0.98653389999999996</v>
      </c>
      <c r="Y1208">
        <v>0.3691258</v>
      </c>
      <c r="Z1208">
        <v>0.150652799999999</v>
      </c>
      <c r="AA1208">
        <v>0.91708769999999995</v>
      </c>
      <c r="AB1208">
        <v>21</v>
      </c>
      <c r="AC1208">
        <v>-3.6193999999999802</v>
      </c>
      <c r="AD1208">
        <v>-1.1065170318930999</v>
      </c>
      <c r="AE1208">
        <v>-6.2092000000000098</v>
      </c>
      <c r="AF1208">
        <v>2.6987030834991801</v>
      </c>
      <c r="AG1208">
        <v>-1.1065170318930999</v>
      </c>
      <c r="AH1208">
        <v>6.4812696467670401</v>
      </c>
      <c r="AI1208">
        <v>98.956618562374999</v>
      </c>
      <c r="AJ1208">
        <v>67.393890264650807</v>
      </c>
      <c r="AK1208">
        <v>7.1073366677582799</v>
      </c>
      <c r="AL1208">
        <v>87.107697852887796</v>
      </c>
      <c r="AM1208">
        <v>81.038112346518304</v>
      </c>
      <c r="AN1208">
        <v>1.00000002377547</v>
      </c>
    </row>
    <row r="1209" spans="1:40" x14ac:dyDescent="0.25">
      <c r="A1209" t="str">
        <f>"20190312154529804"</f>
        <v>20190312154529804</v>
      </c>
      <c r="B1209" t="str">
        <f>"1552376729797186"</f>
        <v>1552376729797186</v>
      </c>
      <c r="C1209" t="s">
        <v>40</v>
      </c>
      <c r="D1209">
        <v>4.73611</v>
      </c>
      <c r="E1209">
        <v>0.59097200000000005</v>
      </c>
      <c r="F1209" t="s">
        <v>53</v>
      </c>
      <c r="G1209">
        <v>-195.4752</v>
      </c>
      <c r="H1209" s="1">
        <v>1.0247009999999999E-6</v>
      </c>
      <c r="I1209">
        <v>295.33330000000001</v>
      </c>
      <c r="J1209">
        <v>-191.82990000000001</v>
      </c>
      <c r="K1209">
        <v>1.106349</v>
      </c>
      <c r="L1209">
        <v>301.48410000000001</v>
      </c>
      <c r="M1209">
        <v>-0.13981089999999999</v>
      </c>
      <c r="N1209">
        <v>0</v>
      </c>
      <c r="O1209">
        <v>-0.99008110000000005</v>
      </c>
      <c r="P1209">
        <v>-0.29131679999999999</v>
      </c>
      <c r="Q1209">
        <v>3.9600280000000002E-2</v>
      </c>
      <c r="R1209">
        <v>-0.95580659999999895</v>
      </c>
      <c r="S1209">
        <v>-1.5518339999999999</v>
      </c>
      <c r="T1209">
        <v>-0.46598230000000002</v>
      </c>
      <c r="U1209">
        <v>-2.6891780000000001</v>
      </c>
      <c r="V1209">
        <v>0.15529179999999901</v>
      </c>
      <c r="W1209">
        <v>5.1867400000000001E-2</v>
      </c>
      <c r="X1209">
        <v>0.98650599999999999</v>
      </c>
      <c r="Y1209">
        <v>0.36806830000000001</v>
      </c>
      <c r="Z1209">
        <v>0.15096479999999901</v>
      </c>
      <c r="AA1209">
        <v>0.91746139999999998</v>
      </c>
      <c r="AB1209">
        <v>21</v>
      </c>
      <c r="AC1209">
        <v>-3.64529999999999</v>
      </c>
      <c r="AD1209">
        <v>-1.106347975299</v>
      </c>
      <c r="AE1209">
        <v>-6.1508000000000003</v>
      </c>
      <c r="AF1209">
        <v>2.6851658461674699</v>
      </c>
      <c r="AG1209">
        <v>-1.106347975299</v>
      </c>
      <c r="AH1209">
        <v>6.4457444292545203</v>
      </c>
      <c r="AI1209">
        <v>99.003210257527599</v>
      </c>
      <c r="AJ1209">
        <v>67.384384192729001</v>
      </c>
      <c r="AK1209">
        <v>7.0697767087184697</v>
      </c>
      <c r="AL1209">
        <v>87.026882597324899</v>
      </c>
      <c r="AM1209">
        <v>81.054139366129206</v>
      </c>
      <c r="AN1209">
        <v>0.99999992918299696</v>
      </c>
    </row>
    <row r="1210" spans="1:40" x14ac:dyDescent="0.25">
      <c r="A1210" t="str">
        <f>"20190312154529846"</f>
        <v>20190312154529846</v>
      </c>
      <c r="B1210" t="str">
        <f>"1552376729837203"</f>
        <v>1552376729837203</v>
      </c>
      <c r="C1210" t="s">
        <v>40</v>
      </c>
      <c r="D1210">
        <v>4.6453670000000002</v>
      </c>
      <c r="E1210">
        <v>0.5909972</v>
      </c>
      <c r="F1210" t="s">
        <v>53</v>
      </c>
      <c r="G1210">
        <v>-195.62899999999999</v>
      </c>
      <c r="H1210" s="1">
        <v>1.127039E-6</v>
      </c>
      <c r="I1210">
        <v>295.0052</v>
      </c>
      <c r="J1210">
        <v>-191.90180000000001</v>
      </c>
      <c r="K1210">
        <v>1.106025</v>
      </c>
      <c r="L1210">
        <v>301.08839999999998</v>
      </c>
      <c r="M1210">
        <v>-0.15242790000000001</v>
      </c>
      <c r="N1210">
        <v>0</v>
      </c>
      <c r="O1210">
        <v>-0.98821680000000001</v>
      </c>
      <c r="P1210">
        <v>-0.30286570000000002</v>
      </c>
      <c r="Q1210">
        <v>3.9865810000000002E-2</v>
      </c>
      <c r="R1210">
        <v>-0.95219929999999997</v>
      </c>
      <c r="S1210">
        <v>-1.5708470000000001</v>
      </c>
      <c r="T1210">
        <v>-0.45744899999999999</v>
      </c>
      <c r="U1210">
        <v>-2.6788940000000001</v>
      </c>
      <c r="V1210">
        <v>0.1546952</v>
      </c>
      <c r="W1210">
        <v>5.2066439999999999E-2</v>
      </c>
      <c r="X1210">
        <v>0.9865893</v>
      </c>
      <c r="Y1210">
        <v>0.36281590000000002</v>
      </c>
      <c r="Z1210">
        <v>0.14824560000000001</v>
      </c>
      <c r="AA1210">
        <v>0.91999339999999996</v>
      </c>
      <c r="AB1210">
        <v>21</v>
      </c>
      <c r="AC1210">
        <v>-3.7272000000000101</v>
      </c>
      <c r="AD1210">
        <v>-1.1060238729609999</v>
      </c>
      <c r="AE1210">
        <v>-6.0831999999999704</v>
      </c>
      <c r="AF1210">
        <v>2.6916073929398698</v>
      </c>
      <c r="AG1210">
        <v>-1.1060238729609999</v>
      </c>
      <c r="AH1210">
        <v>6.4258441666812702</v>
      </c>
      <c r="AI1210">
        <v>99.020794454403003</v>
      </c>
      <c r="AJ1210">
        <v>67.2725458102245</v>
      </c>
      <c r="AK1210">
        <v>7.0540422751611001</v>
      </c>
      <c r="AL1210">
        <v>87.015463175170794</v>
      </c>
      <c r="AM1210">
        <v>81.088695260248102</v>
      </c>
      <c r="AN1210">
        <v>0.99999998297590098</v>
      </c>
    </row>
    <row r="1211" spans="1:40" x14ac:dyDescent="0.25">
      <c r="A1211" t="str">
        <f>"20190312154529868"</f>
        <v>20190312154529868</v>
      </c>
      <c r="B1211" t="str">
        <f>"1552376729857698"</f>
        <v>1552376729857698</v>
      </c>
      <c r="C1211" t="s">
        <v>40</v>
      </c>
      <c r="D1211">
        <v>4.6964160000000001</v>
      </c>
      <c r="E1211">
        <v>0.59118340000000003</v>
      </c>
      <c r="F1211" t="s">
        <v>53</v>
      </c>
      <c r="G1211">
        <v>-195.8382</v>
      </c>
      <c r="H1211" s="1">
        <v>1.255772E-6</v>
      </c>
      <c r="I1211">
        <v>294.56049999999999</v>
      </c>
      <c r="J1211">
        <v>-191.94220000000001</v>
      </c>
      <c r="K1211">
        <v>1.1058840000000001</v>
      </c>
      <c r="L1211">
        <v>300.88060000000002</v>
      </c>
      <c r="M1211">
        <v>-0.15941359999999999</v>
      </c>
      <c r="N1211">
        <v>0</v>
      </c>
      <c r="O1211">
        <v>-0.98711340000000003</v>
      </c>
      <c r="P1211">
        <v>-0.3099732</v>
      </c>
      <c r="Q1211">
        <v>3.9192699999999997E-2</v>
      </c>
      <c r="R1211">
        <v>-0.94993709999999998</v>
      </c>
      <c r="S1211">
        <v>-1.6035919999999999</v>
      </c>
      <c r="T1211">
        <v>-0.45057710000000001</v>
      </c>
      <c r="U1211">
        <v>-2.6593629999999999</v>
      </c>
      <c r="V1211">
        <v>0.15509690000000001</v>
      </c>
      <c r="W1211">
        <v>5.136023E-2</v>
      </c>
      <c r="X1211">
        <v>0.98656330000000003</v>
      </c>
      <c r="Y1211">
        <v>0.36768970000000001</v>
      </c>
      <c r="Z1211">
        <v>0.1461615</v>
      </c>
      <c r="AA1211">
        <v>0.9183905</v>
      </c>
      <c r="AB1211">
        <v>21</v>
      </c>
      <c r="AC1211">
        <v>-3.8959999999999799</v>
      </c>
      <c r="AD1211">
        <v>-1.1058827442279999</v>
      </c>
      <c r="AE1211">
        <v>-6.3201000000000196</v>
      </c>
      <c r="AF1211">
        <v>2.7769490235569401</v>
      </c>
      <c r="AG1211">
        <v>-1.1058827442279999</v>
      </c>
      <c r="AH1211">
        <v>6.7114930319637596</v>
      </c>
      <c r="AI1211">
        <v>98.657147271038298</v>
      </c>
      <c r="AJ1211">
        <v>67.522172879046394</v>
      </c>
      <c r="AK1211">
        <v>7.3470103607871096</v>
      </c>
      <c r="AL1211">
        <v>87.055980390370095</v>
      </c>
      <c r="AM1211">
        <v>81.065696245850901</v>
      </c>
      <c r="AN1211">
        <v>1.0000000332610699</v>
      </c>
    </row>
    <row r="1212" spans="1:40" x14ac:dyDescent="0.25">
      <c r="A1212" t="str">
        <f>"20190312154529890"</f>
        <v>20190312154529890</v>
      </c>
      <c r="B1212" t="str">
        <f>"1552376729877218"</f>
        <v>1552376729877218</v>
      </c>
      <c r="C1212" t="s">
        <v>40</v>
      </c>
      <c r="D1212">
        <v>4.6494759999999999</v>
      </c>
      <c r="E1212">
        <v>0.59120740000000005</v>
      </c>
      <c r="F1212" t="s">
        <v>53</v>
      </c>
      <c r="G1212">
        <v>-195.98240000000001</v>
      </c>
      <c r="H1212" s="1">
        <v>1.289043E-6</v>
      </c>
      <c r="I1212">
        <v>294.29899999999998</v>
      </c>
      <c r="J1212">
        <v>-191.98419999999999</v>
      </c>
      <c r="K1212">
        <v>1.105791</v>
      </c>
      <c r="L1212">
        <v>300.6737</v>
      </c>
      <c r="M1212">
        <v>-0.16656789999999999</v>
      </c>
      <c r="N1212">
        <v>0</v>
      </c>
      <c r="O1212">
        <v>-0.98593120000000001</v>
      </c>
      <c r="P1212">
        <v>-0.31745640000000003</v>
      </c>
      <c r="Q1212">
        <v>3.9362019999999998E-2</v>
      </c>
      <c r="R1212">
        <v>-0.94745579999999996</v>
      </c>
      <c r="S1212">
        <v>-1.6244809999999901</v>
      </c>
      <c r="T1212">
        <v>-0.44465729999999998</v>
      </c>
      <c r="U1212">
        <v>-2.6463619999999999</v>
      </c>
      <c r="V1212">
        <v>0.155740299999999</v>
      </c>
      <c r="W1212">
        <v>5.1505009999999997E-2</v>
      </c>
      <c r="X1212">
        <v>0.98645439999999995</v>
      </c>
      <c r="Y1212">
        <v>0.36837569999999997</v>
      </c>
      <c r="Z1212">
        <v>0.14432790000000001</v>
      </c>
      <c r="AA1212">
        <v>0.91840560000000004</v>
      </c>
      <c r="AB1212">
        <v>21</v>
      </c>
      <c r="AC1212">
        <v>-3.9982000000000202</v>
      </c>
      <c r="AD1212">
        <v>-1.1057897109569901</v>
      </c>
      <c r="AE1212">
        <v>-6.3746999999999598</v>
      </c>
      <c r="AF1212">
        <v>2.8195222179808299</v>
      </c>
      <c r="AG1212">
        <v>-1.1057897109569901</v>
      </c>
      <c r="AH1212">
        <v>6.80471549283775</v>
      </c>
      <c r="AI1212">
        <v>98.537851383665497</v>
      </c>
      <c r="AJ1212">
        <v>67.493411533174694</v>
      </c>
      <c r="AK1212">
        <v>7.4482635131292199</v>
      </c>
      <c r="AL1212">
        <v>87.047674149297293</v>
      </c>
      <c r="AM1212">
        <v>81.028260715843302</v>
      </c>
      <c r="AN1212">
        <v>1.0000000451892701</v>
      </c>
    </row>
    <row r="1213" spans="1:40" x14ac:dyDescent="0.25">
      <c r="A1213" t="str">
        <f>"20190312154529912"</f>
        <v>20190312154529912</v>
      </c>
      <c r="B1213" t="str">
        <f>"1552376729907475"</f>
        <v>1552376729907475</v>
      </c>
      <c r="C1213" t="s">
        <v>40</v>
      </c>
      <c r="D1213">
        <v>4.6851229999999999</v>
      </c>
      <c r="E1213">
        <v>0.59130539999999998</v>
      </c>
      <c r="F1213" t="s">
        <v>53</v>
      </c>
      <c r="G1213">
        <v>-196.09020000000001</v>
      </c>
      <c r="H1213" s="1">
        <v>1.314128E-6</v>
      </c>
      <c r="I1213">
        <v>294.10219999999998</v>
      </c>
      <c r="J1213">
        <v>-192.0264</v>
      </c>
      <c r="K1213">
        <v>1.1056999999999999</v>
      </c>
      <c r="L1213">
        <v>300.4742</v>
      </c>
      <c r="M1213">
        <v>-0.1736886</v>
      </c>
      <c r="N1213">
        <v>0</v>
      </c>
      <c r="O1213">
        <v>-0.98470150000000001</v>
      </c>
      <c r="P1213">
        <v>-0.32486019999999999</v>
      </c>
      <c r="Q1213">
        <v>3.9551490000000002E-2</v>
      </c>
      <c r="R1213">
        <v>-0.94493479999999996</v>
      </c>
      <c r="S1213">
        <v>-1.6454770000000001</v>
      </c>
      <c r="T1213">
        <v>-0.44314239999999999</v>
      </c>
      <c r="U1213">
        <v>-2.6334840000000002</v>
      </c>
      <c r="V1213">
        <v>0.15634519999999999</v>
      </c>
      <c r="W1213">
        <v>5.1672629999999997E-2</v>
      </c>
      <c r="X1213">
        <v>0.9863499</v>
      </c>
      <c r="Y1213">
        <v>0.36898930000000002</v>
      </c>
      <c r="Z1213">
        <v>0.14387069999999999</v>
      </c>
      <c r="AA1213">
        <v>0.91823100000000002</v>
      </c>
      <c r="AB1213">
        <v>21</v>
      </c>
      <c r="AC1213">
        <v>-4.0638000000000103</v>
      </c>
      <c r="AD1213">
        <v>-1.1056986858719999</v>
      </c>
      <c r="AE1213">
        <v>-6.3720000000000097</v>
      </c>
      <c r="AF1213">
        <v>2.8344972313871</v>
      </c>
      <c r="AG1213">
        <v>-1.1056986858719999</v>
      </c>
      <c r="AH1213">
        <v>6.8347395604900596</v>
      </c>
      <c r="AI1213">
        <v>98.499106687416798</v>
      </c>
      <c r="AJ1213">
        <v>67.475279724297906</v>
      </c>
      <c r="AK1213">
        <v>7.4813507469178404</v>
      </c>
      <c r="AL1213">
        <v>87.038057302754794</v>
      </c>
      <c r="AM1213">
        <v>80.993045762255093</v>
      </c>
      <c r="AN1213">
        <v>1.00000000374208</v>
      </c>
    </row>
    <row r="1214" spans="1:40" x14ac:dyDescent="0.25">
      <c r="A1214" t="str">
        <f>"20190312154529935"</f>
        <v>20190312154529935</v>
      </c>
      <c r="B1214" t="str">
        <f>"1552376729927970"</f>
        <v>1552376729927970</v>
      </c>
      <c r="C1214" t="s">
        <v>40</v>
      </c>
      <c r="D1214">
        <v>4.7008409999999996</v>
      </c>
      <c r="E1214">
        <v>0.59138959999999996</v>
      </c>
      <c r="F1214" t="s">
        <v>53</v>
      </c>
      <c r="G1214">
        <v>-196.2346</v>
      </c>
      <c r="H1214" s="1">
        <v>1.3438130000000001E-6</v>
      </c>
      <c r="I1214">
        <v>293.86099999999999</v>
      </c>
      <c r="J1214">
        <v>-192.07380000000001</v>
      </c>
      <c r="K1214">
        <v>1.1055889999999999</v>
      </c>
      <c r="L1214">
        <v>300.25900000000001</v>
      </c>
      <c r="M1214">
        <v>-0.18162519999999999</v>
      </c>
      <c r="N1214">
        <v>0</v>
      </c>
      <c r="O1214">
        <v>-0.98326809999999998</v>
      </c>
      <c r="P1214">
        <v>-0.33325110000000002</v>
      </c>
      <c r="Q1214">
        <v>3.920949E-2</v>
      </c>
      <c r="R1214">
        <v>-0.94202260000000004</v>
      </c>
      <c r="S1214">
        <v>-1.6671750000000001</v>
      </c>
      <c r="T1214">
        <v>-0.43804070000000001</v>
      </c>
      <c r="U1214">
        <v>-2.6199340000000002</v>
      </c>
      <c r="V1214">
        <v>0.15716949999999999</v>
      </c>
      <c r="W1214">
        <v>5.130357E-2</v>
      </c>
      <c r="X1214">
        <v>0.98623810000000001</v>
      </c>
      <c r="Y1214">
        <v>0.36919550000000001</v>
      </c>
      <c r="Z1214">
        <v>0.14225889999999999</v>
      </c>
      <c r="AA1214">
        <v>0.91839919999999997</v>
      </c>
      <c r="AB1214">
        <v>21</v>
      </c>
      <c r="AC1214">
        <v>-4.1607999999999903</v>
      </c>
      <c r="AD1214">
        <v>-1.1055876561869999</v>
      </c>
      <c r="AE1214">
        <v>-6.3980000000000201</v>
      </c>
      <c r="AF1214">
        <v>2.8692197129648598</v>
      </c>
      <c r="AG1214">
        <v>-1.1055876561869999</v>
      </c>
      <c r="AH1214">
        <v>6.9024955787605098</v>
      </c>
      <c r="AI1214">
        <v>98.413227568719606</v>
      </c>
      <c r="AJ1214">
        <v>67.428389353075303</v>
      </c>
      <c r="AK1214">
        <v>7.5564006670893002</v>
      </c>
      <c r="AL1214">
        <v>87.059230806513099</v>
      </c>
      <c r="AM1214">
        <v>80.9453335394346</v>
      </c>
      <c r="AN1214">
        <v>0.99999994895830102</v>
      </c>
    </row>
    <row r="1215" spans="1:40" x14ac:dyDescent="0.25">
      <c r="A1215" t="str">
        <f>"20190312154529959"</f>
        <v>20190312154529959</v>
      </c>
      <c r="B1215" t="str">
        <f>"1552376729947490"</f>
        <v>1552376729947490</v>
      </c>
      <c r="C1215" t="s">
        <v>40</v>
      </c>
      <c r="D1215">
        <v>4.7047720000000002</v>
      </c>
      <c r="E1215">
        <v>0.59146209999999999</v>
      </c>
      <c r="F1215" t="s">
        <v>53</v>
      </c>
      <c r="G1215">
        <v>-196.39330000000001</v>
      </c>
      <c r="H1215" s="1">
        <v>1.3741919999999999E-6</v>
      </c>
      <c r="I1215">
        <v>293.60860000000002</v>
      </c>
      <c r="J1215">
        <v>-192.12309999999999</v>
      </c>
      <c r="K1215">
        <v>1.1054600000000001</v>
      </c>
      <c r="L1215">
        <v>300.04450000000003</v>
      </c>
      <c r="M1215">
        <v>-0.1897916</v>
      </c>
      <c r="N1215">
        <v>0</v>
      </c>
      <c r="O1215">
        <v>-0.98172409999999999</v>
      </c>
      <c r="P1215">
        <v>-0.34219050000000001</v>
      </c>
      <c r="Q1215">
        <v>3.7831690000000001E-2</v>
      </c>
      <c r="R1215">
        <v>-0.93886890000000001</v>
      </c>
      <c r="S1215">
        <v>-1.6914830000000001</v>
      </c>
      <c r="T1215">
        <v>-0.43294290000000002</v>
      </c>
      <c r="U1215">
        <v>-2.604279</v>
      </c>
      <c r="V1215">
        <v>0.15833729999999999</v>
      </c>
      <c r="W1215">
        <v>4.9891079999999997E-2</v>
      </c>
      <c r="X1215">
        <v>0.98612379999999999</v>
      </c>
      <c r="Y1215">
        <v>0.37015999999999999</v>
      </c>
      <c r="Z1215">
        <v>0.14065510000000001</v>
      </c>
      <c r="AA1215">
        <v>0.91825800000000002</v>
      </c>
      <c r="AB1215">
        <v>21</v>
      </c>
      <c r="AC1215">
        <v>-4.2702000000000098</v>
      </c>
      <c r="AD1215">
        <v>-1.1054586258079999</v>
      </c>
      <c r="AE1215">
        <v>-6.4359000000000002</v>
      </c>
      <c r="AF1215">
        <v>2.9113325315852001</v>
      </c>
      <c r="AG1215">
        <v>-1.1054586258079999</v>
      </c>
      <c r="AH1215">
        <v>6.9863139398427396</v>
      </c>
      <c r="AI1215">
        <v>98.309726484781805</v>
      </c>
      <c r="AJ1215">
        <v>67.377560806200904</v>
      </c>
      <c r="AK1215">
        <v>7.6489527615798902</v>
      </c>
      <c r="AL1215">
        <v>87.140264428292696</v>
      </c>
      <c r="AM1215">
        <v>80.878142981136705</v>
      </c>
      <c r="AN1215">
        <v>0.99999998468064799</v>
      </c>
    </row>
    <row r="1216" spans="1:40" x14ac:dyDescent="0.25">
      <c r="A1216" t="str">
        <f>"20190312154529980"</f>
        <v>20190312154529980</v>
      </c>
      <c r="B1216" t="str">
        <f>"1552376729967986"</f>
        <v>1552376729967986</v>
      </c>
      <c r="C1216" t="s">
        <v>40</v>
      </c>
      <c r="D1216">
        <v>4.7230369999999997</v>
      </c>
      <c r="E1216">
        <v>0.59143710000000005</v>
      </c>
      <c r="F1216" t="s">
        <v>53</v>
      </c>
      <c r="G1216">
        <v>-196.52670000000001</v>
      </c>
      <c r="H1216" s="1">
        <v>1.397219E-6</v>
      </c>
      <c r="I1216">
        <v>293.41070000000002</v>
      </c>
      <c r="J1216">
        <v>-192.16970000000001</v>
      </c>
      <c r="K1216">
        <v>1.1053329999999999</v>
      </c>
      <c r="L1216">
        <v>299.85050000000001</v>
      </c>
      <c r="M1216">
        <v>-0.19738549999999999</v>
      </c>
      <c r="N1216">
        <v>0</v>
      </c>
      <c r="O1216">
        <v>-0.98022509999999996</v>
      </c>
      <c r="P1216">
        <v>-0.35068539999999998</v>
      </c>
      <c r="Q1216">
        <v>3.6549940000000003E-2</v>
      </c>
      <c r="R1216">
        <v>-0.93577980000000005</v>
      </c>
      <c r="S1216">
        <v>-1.7171479999999999</v>
      </c>
      <c r="T1216">
        <v>-0.43107210000000001</v>
      </c>
      <c r="U1216">
        <v>-2.5868530000000001</v>
      </c>
      <c r="V1216">
        <v>0.15963239999999901</v>
      </c>
      <c r="W1216">
        <v>4.8570420000000003E-2</v>
      </c>
      <c r="X1216">
        <v>0.98598090000000005</v>
      </c>
      <c r="Y1216">
        <v>0.37219600000000003</v>
      </c>
      <c r="Z1216">
        <v>0.14010829999999999</v>
      </c>
      <c r="AA1216">
        <v>0.91751830000000001</v>
      </c>
      <c r="AB1216">
        <v>21</v>
      </c>
      <c r="AC1216">
        <v>-4.3569999999999904</v>
      </c>
      <c r="AD1216">
        <v>-1.1053316027809901</v>
      </c>
      <c r="AE1216">
        <v>-6.4397999999999902</v>
      </c>
      <c r="AF1216">
        <v>2.9405862726632899</v>
      </c>
      <c r="AG1216">
        <v>-1.1053316027809901</v>
      </c>
      <c r="AH1216">
        <v>7.0310764678206903</v>
      </c>
      <c r="AI1216">
        <v>98.252256346793303</v>
      </c>
      <c r="AJ1216">
        <v>67.303999918611595</v>
      </c>
      <c r="AK1216">
        <v>7.7009636978383398</v>
      </c>
      <c r="AL1216">
        <v>87.216024480309699</v>
      </c>
      <c r="AM1216">
        <v>80.803491498048203</v>
      </c>
      <c r="AN1216">
        <v>0.99999996199677199</v>
      </c>
    </row>
    <row r="1217" spans="1:40" x14ac:dyDescent="0.25">
      <c r="A1217" t="str">
        <f>"20190312154530007"</f>
        <v>20190312154530007</v>
      </c>
      <c r="B1217" t="str">
        <f>"1552376729987506"</f>
        <v>1552376729987506</v>
      </c>
      <c r="C1217" t="s">
        <v>40</v>
      </c>
      <c r="D1217">
        <v>4.7078129999999998</v>
      </c>
      <c r="E1217">
        <v>0.59141469999999996</v>
      </c>
      <c r="F1217" t="s">
        <v>53</v>
      </c>
      <c r="G1217">
        <v>-196.65430000000001</v>
      </c>
      <c r="H1217" s="1">
        <v>1.4177030000000001E-6</v>
      </c>
      <c r="I1217">
        <v>293.23009999999999</v>
      </c>
      <c r="J1217">
        <v>-192.22919999999999</v>
      </c>
      <c r="K1217">
        <v>1.1051740000000001</v>
      </c>
      <c r="L1217">
        <v>299.613</v>
      </c>
      <c r="M1217">
        <v>-0.20696999999999999</v>
      </c>
      <c r="N1217">
        <v>0</v>
      </c>
      <c r="O1217">
        <v>-0.9782457</v>
      </c>
      <c r="P1217">
        <v>-0.36085109999999998</v>
      </c>
      <c r="Q1217">
        <v>3.6745159999999999E-2</v>
      </c>
      <c r="R1217">
        <v>-0.93189940000000004</v>
      </c>
      <c r="S1217">
        <v>-1.74102799999999</v>
      </c>
      <c r="T1217">
        <v>-0.42911100000000002</v>
      </c>
      <c r="U1217">
        <v>-2.5701900000000002</v>
      </c>
      <c r="V1217">
        <v>0.16073889999999999</v>
      </c>
      <c r="W1217">
        <v>4.8720920000000001E-2</v>
      </c>
      <c r="X1217">
        <v>0.98579369999999999</v>
      </c>
      <c r="Y1217">
        <v>0.37177939999999998</v>
      </c>
      <c r="Z1217">
        <v>0.139486</v>
      </c>
      <c r="AA1217">
        <v>0.91778190000000004</v>
      </c>
      <c r="AB1217">
        <v>21</v>
      </c>
      <c r="AC1217">
        <v>-4.4251000000000102</v>
      </c>
      <c r="AD1217">
        <v>-1.10517258229699</v>
      </c>
      <c r="AE1217">
        <v>-6.3829000000000002</v>
      </c>
      <c r="AF1217">
        <v>2.94836725582054</v>
      </c>
      <c r="AG1217">
        <v>-1.10517258229699</v>
      </c>
      <c r="AH1217">
        <v>7.0185097395596499</v>
      </c>
      <c r="AI1217">
        <v>98.260258811467295</v>
      </c>
      <c r="AJ1217">
        <v>67.2134781756275</v>
      </c>
      <c r="AK1217">
        <v>7.6924479118255604</v>
      </c>
      <c r="AL1217">
        <v>87.2073912679909</v>
      </c>
      <c r="AM1217">
        <v>80.739117965611399</v>
      </c>
      <c r="AN1217">
        <v>0.99999997048927203</v>
      </c>
    </row>
    <row r="1218" spans="1:40" x14ac:dyDescent="0.25">
      <c r="A1218" t="str">
        <f>"20190312154530049"</f>
        <v>20190312154530049</v>
      </c>
      <c r="B1218" t="str">
        <f>"1552376730037282"</f>
        <v>1552376730037282</v>
      </c>
      <c r="C1218" t="s">
        <v>40</v>
      </c>
      <c r="D1218">
        <v>4.7350640000000004</v>
      </c>
      <c r="E1218">
        <v>0.59124309999999902</v>
      </c>
      <c r="F1218" t="s">
        <v>53</v>
      </c>
      <c r="G1218">
        <v>-196.84389999999999</v>
      </c>
      <c r="H1218" s="1">
        <v>1.448217E-6</v>
      </c>
      <c r="I1218">
        <v>292.96140000000003</v>
      </c>
      <c r="J1218">
        <v>-192.33439999999999</v>
      </c>
      <c r="K1218">
        <v>1.1049389999999999</v>
      </c>
      <c r="L1218">
        <v>299.21969999999999</v>
      </c>
      <c r="M1218">
        <v>-0.2235145</v>
      </c>
      <c r="N1218">
        <v>0</v>
      </c>
      <c r="O1218">
        <v>-0.97459810000000002</v>
      </c>
      <c r="P1218">
        <v>-0.3769284</v>
      </c>
      <c r="Q1218">
        <v>3.4615710000000001E-2</v>
      </c>
      <c r="R1218">
        <v>-0.92559579999999997</v>
      </c>
      <c r="S1218">
        <v>-1.769577</v>
      </c>
      <c r="T1218">
        <v>-0.42380380000000001</v>
      </c>
      <c r="U1218">
        <v>-2.5507200000000001</v>
      </c>
      <c r="V1218">
        <v>0.161082</v>
      </c>
      <c r="W1218">
        <v>4.6557590000000003E-2</v>
      </c>
      <c r="X1218">
        <v>0.98584229999999995</v>
      </c>
      <c r="Y1218">
        <v>0.36642999999999998</v>
      </c>
      <c r="Z1218">
        <v>0.13764189999999901</v>
      </c>
      <c r="AA1218">
        <v>0.92020849999999998</v>
      </c>
      <c r="AB1218">
        <v>21</v>
      </c>
      <c r="AC1218">
        <v>-4.5095000000000001</v>
      </c>
      <c r="AD1218">
        <v>-1.10493755178299</v>
      </c>
      <c r="AE1218">
        <v>-6.2582999999999602</v>
      </c>
      <c r="AF1218">
        <v>2.93618279037935</v>
      </c>
      <c r="AG1218">
        <v>-1.10493755178299</v>
      </c>
      <c r="AH1218">
        <v>6.9650637729575804</v>
      </c>
      <c r="AI1218">
        <v>98.316690853444996</v>
      </c>
      <c r="AJ1218">
        <v>67.141724157297602</v>
      </c>
      <c r="AK1218">
        <v>7.6389900990396704</v>
      </c>
      <c r="AL1218">
        <v>87.331482025873797</v>
      </c>
      <c r="AM1218">
        <v>80.7201435581688</v>
      </c>
      <c r="AN1218">
        <v>1.0000000301899401</v>
      </c>
    </row>
    <row r="1219" spans="1:40" x14ac:dyDescent="0.25">
      <c r="A1219" t="str">
        <f>"20190312154530071"</f>
        <v>20190312154530071</v>
      </c>
      <c r="B1219" t="str">
        <f>"1552376730057779"</f>
        <v>1552376730057779</v>
      </c>
      <c r="C1219" t="s">
        <v>40</v>
      </c>
      <c r="D1219">
        <v>4.7350459999999996</v>
      </c>
      <c r="E1219">
        <v>0.59112509999999996</v>
      </c>
      <c r="F1219" t="s">
        <v>53</v>
      </c>
      <c r="G1219">
        <v>-197.0933</v>
      </c>
      <c r="H1219" s="1">
        <v>1.4883110000000001E-6</v>
      </c>
      <c r="I1219">
        <v>292.60809999999998</v>
      </c>
      <c r="J1219">
        <v>-192.39019999999999</v>
      </c>
      <c r="K1219">
        <v>1.1048579999999999</v>
      </c>
      <c r="L1219">
        <v>299.0222</v>
      </c>
      <c r="M1219">
        <v>-0.23207929999999999</v>
      </c>
      <c r="N1219">
        <v>0</v>
      </c>
      <c r="O1219">
        <v>-0.97259379999999995</v>
      </c>
      <c r="P1219">
        <v>-0.3847913</v>
      </c>
      <c r="Q1219">
        <v>3.2046159999999997E-2</v>
      </c>
      <c r="R1219">
        <v>-0.92244740000000003</v>
      </c>
      <c r="S1219">
        <v>-1.8128660000000001</v>
      </c>
      <c r="T1219">
        <v>-0.42091489999999998</v>
      </c>
      <c r="U1219">
        <v>-2.5186459999999999</v>
      </c>
      <c r="V1219">
        <v>0.16075210000000001</v>
      </c>
      <c r="W1219">
        <v>4.399293E-2</v>
      </c>
      <c r="X1219">
        <v>0.9860139</v>
      </c>
      <c r="Y1219">
        <v>0.37427909999999998</v>
      </c>
      <c r="Z1219">
        <v>0.13686280000000001</v>
      </c>
      <c r="AA1219">
        <v>0.91716070000000005</v>
      </c>
      <c r="AB1219">
        <v>21</v>
      </c>
      <c r="AC1219">
        <v>-4.7031000000000001</v>
      </c>
      <c r="AD1219">
        <v>-1.1048565116889999</v>
      </c>
      <c r="AE1219">
        <v>-6.4141000000000101</v>
      </c>
      <c r="AF1219">
        <v>3.0275143110187699</v>
      </c>
      <c r="AG1219">
        <v>-1.1048565116889999</v>
      </c>
      <c r="AH1219">
        <v>7.1917634405431201</v>
      </c>
      <c r="AI1219">
        <v>98.059121614176803</v>
      </c>
      <c r="AJ1219">
        <v>67.170383297407795</v>
      </c>
      <c r="AK1219">
        <v>7.8808636709169004</v>
      </c>
      <c r="AL1219">
        <v>87.478577051915707</v>
      </c>
      <c r="AM1219">
        <v>80.740403141898099</v>
      </c>
      <c r="AN1219">
        <v>1.0000000132688001</v>
      </c>
    </row>
    <row r="1220" spans="1:40" x14ac:dyDescent="0.25">
      <c r="A1220" t="str">
        <f>"20190312154530114"</f>
        <v>20190312154530114</v>
      </c>
      <c r="B1220" t="str">
        <f>"1552376730107556"</f>
        <v>1552376730107556</v>
      </c>
      <c r="C1220" t="s">
        <v>40</v>
      </c>
      <c r="D1220">
        <v>4.715096</v>
      </c>
      <c r="E1220">
        <v>0.59083189999999997</v>
      </c>
      <c r="F1220" t="s">
        <v>53</v>
      </c>
      <c r="G1220">
        <v>-197.14760000000001</v>
      </c>
      <c r="H1220" s="1">
        <v>1.4974390000000001E-6</v>
      </c>
      <c r="I1220">
        <v>292.52890000000002</v>
      </c>
      <c r="J1220">
        <v>-192.5052</v>
      </c>
      <c r="K1220">
        <v>1.1047979999999999</v>
      </c>
      <c r="L1220">
        <v>298.63650000000001</v>
      </c>
      <c r="M1220">
        <v>-0.24920030000000001</v>
      </c>
      <c r="N1220">
        <v>0</v>
      </c>
      <c r="O1220">
        <v>-0.96834770000000003</v>
      </c>
      <c r="P1220">
        <v>-0.4018062</v>
      </c>
      <c r="Q1220">
        <v>3.2379440000000002E-2</v>
      </c>
      <c r="R1220">
        <v>-0.91515230000000003</v>
      </c>
      <c r="S1220">
        <v>-1.833267</v>
      </c>
      <c r="T1220">
        <v>-0.4257591</v>
      </c>
      <c r="U1220">
        <v>-2.5022280000000001</v>
      </c>
      <c r="V1220">
        <v>0.1616321</v>
      </c>
      <c r="W1220">
        <v>4.4324479999999999E-2</v>
      </c>
      <c r="X1220">
        <v>0.98585520000000004</v>
      </c>
      <c r="Y1220">
        <v>0.36554300000000001</v>
      </c>
      <c r="Z1220">
        <v>0.1381838</v>
      </c>
      <c r="AA1220">
        <v>0.92048010000000002</v>
      </c>
      <c r="AB1220">
        <v>21</v>
      </c>
      <c r="AC1220">
        <v>-4.6424000000000003</v>
      </c>
      <c r="AD1220">
        <v>-1.104796502561</v>
      </c>
      <c r="AE1220">
        <v>-6.1075999999999899</v>
      </c>
      <c r="AF1220">
        <v>2.91332304474642</v>
      </c>
      <c r="AG1220">
        <v>-1.104796502561</v>
      </c>
      <c r="AH1220">
        <v>6.9281993911273601</v>
      </c>
      <c r="AI1220">
        <v>98.362381534781505</v>
      </c>
      <c r="AJ1220">
        <v>67.193139628676406</v>
      </c>
      <c r="AK1220">
        <v>7.5965764182517796</v>
      </c>
      <c r="AL1220">
        <v>87.459562143892001</v>
      </c>
      <c r="AM1220">
        <v>80.689126350882503</v>
      </c>
      <c r="AN1220">
        <v>1.0000000353223499</v>
      </c>
    </row>
    <row r="1221" spans="1:40" x14ac:dyDescent="0.25">
      <c r="A1221" t="str">
        <f>"20190312154530136"</f>
        <v>20190312154530136</v>
      </c>
      <c r="B1221" t="str">
        <f>"1552376730128050"</f>
        <v>1552376730128050</v>
      </c>
      <c r="C1221" t="s">
        <v>40</v>
      </c>
      <c r="D1221">
        <v>4.7439519999999904</v>
      </c>
      <c r="E1221">
        <v>0.59062219999999999</v>
      </c>
      <c r="F1221" t="s">
        <v>53</v>
      </c>
      <c r="G1221">
        <v>-197.44309999999999</v>
      </c>
      <c r="H1221" s="1">
        <v>1.5392860000000001E-6</v>
      </c>
      <c r="I1221">
        <v>292.14249999999998</v>
      </c>
      <c r="J1221">
        <v>-192.56720000000001</v>
      </c>
      <c r="K1221">
        <v>1.104779</v>
      </c>
      <c r="L1221">
        <v>298.43880000000001</v>
      </c>
      <c r="M1221">
        <v>-0.25814769999999998</v>
      </c>
      <c r="N1221">
        <v>0</v>
      </c>
      <c r="O1221">
        <v>-0.96600059999999999</v>
      </c>
      <c r="P1221">
        <v>-0.4109717</v>
      </c>
      <c r="Q1221">
        <v>3.3446770000000001E-2</v>
      </c>
      <c r="R1221">
        <v>-0.91103460000000003</v>
      </c>
      <c r="S1221">
        <v>-1.877197</v>
      </c>
      <c r="T1221">
        <v>-0.41999900000000001</v>
      </c>
      <c r="U1221">
        <v>-2.4687809999999999</v>
      </c>
      <c r="V1221">
        <v>0.16243479999999999</v>
      </c>
      <c r="W1221">
        <v>4.5385809999999999E-2</v>
      </c>
      <c r="X1221">
        <v>0.98567490000000002</v>
      </c>
      <c r="Y1221">
        <v>0.37346780000000002</v>
      </c>
      <c r="Z1221">
        <v>0.1364398</v>
      </c>
      <c r="AA1221">
        <v>0.91755439999999999</v>
      </c>
      <c r="AB1221">
        <v>21</v>
      </c>
      <c r="AC1221">
        <v>-4.8758999999999704</v>
      </c>
      <c r="AD1221">
        <v>-1.104777460714</v>
      </c>
      <c r="AE1221">
        <v>-6.2963000000000298</v>
      </c>
      <c r="AF1221">
        <v>3.0268058665628899</v>
      </c>
      <c r="AG1221">
        <v>-1.104777460714</v>
      </c>
      <c r="AH1221">
        <v>7.2030465254949503</v>
      </c>
      <c r="AI1221">
        <v>98.048245515934795</v>
      </c>
      <c r="AJ1221">
        <v>67.207274599785194</v>
      </c>
      <c r="AK1221">
        <v>7.8908786735069096</v>
      </c>
      <c r="AL1221">
        <v>87.398690982731196</v>
      </c>
      <c r="AM1221">
        <v>80.642021044398504</v>
      </c>
      <c r="AN1221">
        <v>0.99999997224520198</v>
      </c>
    </row>
    <row r="1222" spans="1:40" x14ac:dyDescent="0.25">
      <c r="A1222" t="str">
        <f>"20190312154530158"</f>
        <v>20190312154530158</v>
      </c>
      <c r="B1222" t="str">
        <f>"1552376730147571"</f>
        <v>1552376730147571</v>
      </c>
      <c r="C1222" t="s">
        <v>40</v>
      </c>
      <c r="D1222">
        <v>4.7252960000000002</v>
      </c>
      <c r="E1222">
        <v>0.59040219999999999</v>
      </c>
      <c r="F1222" t="s">
        <v>53</v>
      </c>
      <c r="G1222">
        <v>-197.63329999999999</v>
      </c>
      <c r="H1222" s="1">
        <v>1.5641570000000001E-6</v>
      </c>
      <c r="I1222">
        <v>291.90550000000002</v>
      </c>
      <c r="J1222">
        <v>-192.6311</v>
      </c>
      <c r="K1222">
        <v>1.104757</v>
      </c>
      <c r="L1222">
        <v>298.24180000000001</v>
      </c>
      <c r="M1222">
        <v>-0.26713740000000002</v>
      </c>
      <c r="N1222">
        <v>0</v>
      </c>
      <c r="O1222">
        <v>-0.9635532</v>
      </c>
      <c r="P1222">
        <v>-0.4206453</v>
      </c>
      <c r="Q1222">
        <v>3.3712440000000003E-2</v>
      </c>
      <c r="R1222">
        <v>-0.90659889999999999</v>
      </c>
      <c r="S1222">
        <v>-1.900482</v>
      </c>
      <c r="T1222">
        <v>-0.41443980000000002</v>
      </c>
      <c r="U1222">
        <v>-2.4508670000000001</v>
      </c>
      <c r="V1222">
        <v>0.1637516</v>
      </c>
      <c r="W1222">
        <v>4.5638270000000002E-2</v>
      </c>
      <c r="X1222">
        <v>0.98544540000000003</v>
      </c>
      <c r="Y1222">
        <v>0.37368580000000001</v>
      </c>
      <c r="Z1222">
        <v>0.1345799</v>
      </c>
      <c r="AA1222">
        <v>0.91774029999999995</v>
      </c>
      <c r="AB1222">
        <v>20</v>
      </c>
      <c r="AC1222">
        <v>-5.0021999999999798</v>
      </c>
      <c r="AD1222">
        <v>-1.1047554358430001</v>
      </c>
      <c r="AE1222">
        <v>-6.3362999999999898</v>
      </c>
      <c r="AF1222">
        <v>3.07004602283684</v>
      </c>
      <c r="AG1222">
        <v>-1.1047554358430001</v>
      </c>
      <c r="AH1222">
        <v>7.3055764795868203</v>
      </c>
      <c r="AI1222">
        <v>97.936526103188996</v>
      </c>
      <c r="AJ1222">
        <v>67.206235758076303</v>
      </c>
      <c r="AK1222">
        <v>8.0010696068996392</v>
      </c>
      <c r="AL1222">
        <v>87.384211255835297</v>
      </c>
      <c r="AM1222">
        <v>80.565360016981401</v>
      </c>
      <c r="AN1222">
        <v>1.0000000372861499</v>
      </c>
    </row>
    <row r="1223" spans="1:40" x14ac:dyDescent="0.25">
      <c r="A1223" t="str">
        <f>"20190312154530181"</f>
        <v>20190312154530181</v>
      </c>
      <c r="B1223" t="str">
        <f>"1552376730177827"</f>
        <v>1552376730177827</v>
      </c>
      <c r="C1223" t="s">
        <v>40</v>
      </c>
      <c r="D1223">
        <v>4.7476289999999999</v>
      </c>
      <c r="E1223">
        <v>0.59001800000000004</v>
      </c>
      <c r="F1223" t="s">
        <v>53</v>
      </c>
      <c r="G1223">
        <v>-197.80590000000001</v>
      </c>
      <c r="H1223" s="1">
        <v>1.5838899999999999E-6</v>
      </c>
      <c r="I1223">
        <v>291.70650000000001</v>
      </c>
      <c r="J1223">
        <v>-192.69810000000001</v>
      </c>
      <c r="K1223">
        <v>1.104732</v>
      </c>
      <c r="L1223">
        <v>298.0419</v>
      </c>
      <c r="M1223">
        <v>-0.27633920000000001</v>
      </c>
      <c r="N1223">
        <v>0</v>
      </c>
      <c r="O1223">
        <v>-0.96095439999999999</v>
      </c>
      <c r="P1223">
        <v>-0.43029519999999999</v>
      </c>
      <c r="Q1223">
        <v>3.3887929999999997E-2</v>
      </c>
      <c r="R1223">
        <v>-0.90205230000000003</v>
      </c>
      <c r="S1223">
        <v>-1.925049</v>
      </c>
      <c r="T1223">
        <v>-0.41096969999999999</v>
      </c>
      <c r="U1223">
        <v>-2.431152</v>
      </c>
      <c r="V1223">
        <v>0.16485069999999999</v>
      </c>
      <c r="W1223">
        <v>4.5803080000000003E-2</v>
      </c>
      <c r="X1223">
        <v>0.98525450000000003</v>
      </c>
      <c r="Y1223">
        <v>0.3742491</v>
      </c>
      <c r="Z1223">
        <v>0.1333955</v>
      </c>
      <c r="AA1223">
        <v>0.91768369999999999</v>
      </c>
      <c r="AB1223">
        <v>20</v>
      </c>
      <c r="AC1223">
        <v>-5.1077999999999903</v>
      </c>
      <c r="AD1223">
        <v>-1.10473041611</v>
      </c>
      <c r="AE1223">
        <v>-6.3353999999999902</v>
      </c>
      <c r="AF1223">
        <v>3.1008225752130798</v>
      </c>
      <c r="AG1223">
        <v>-1.10473041611</v>
      </c>
      <c r="AH1223">
        <v>7.3645641108730802</v>
      </c>
      <c r="AI1223">
        <v>97.871322616896904</v>
      </c>
      <c r="AJ1223">
        <v>67.166653270906707</v>
      </c>
      <c r="AK1223">
        <v>8.0667424948605806</v>
      </c>
      <c r="AL1223">
        <v>87.374758493840602</v>
      </c>
      <c r="AM1223">
        <v>80.501377952864601</v>
      </c>
      <c r="AN1223">
        <v>1.00000005259911</v>
      </c>
    </row>
    <row r="1224" spans="1:40" x14ac:dyDescent="0.25">
      <c r="A1224" t="str">
        <f>"20190312154530205"</f>
        <v>20190312154530205</v>
      </c>
      <c r="B1224" t="str">
        <f>"1552376730197347"</f>
        <v>1552376730197347</v>
      </c>
      <c r="C1224" t="s">
        <v>40</v>
      </c>
      <c r="D1224">
        <v>4.8300669999999997</v>
      </c>
      <c r="E1224">
        <v>0.58996040000000005</v>
      </c>
      <c r="F1224" t="s">
        <v>53</v>
      </c>
      <c r="G1224">
        <v>-197.97300000000001</v>
      </c>
      <c r="H1224" s="1">
        <v>1.603486E-6</v>
      </c>
      <c r="I1224">
        <v>291.5111</v>
      </c>
      <c r="J1224">
        <v>-192.76840000000001</v>
      </c>
      <c r="K1224">
        <v>1.1047100000000001</v>
      </c>
      <c r="L1224">
        <v>297.83909999999997</v>
      </c>
      <c r="M1224">
        <v>-0.28573320000000002</v>
      </c>
      <c r="N1224">
        <v>0</v>
      </c>
      <c r="O1224">
        <v>-0.95820289999999997</v>
      </c>
      <c r="P1224">
        <v>-0.44080390000000003</v>
      </c>
      <c r="Q1224">
        <v>3.3840189999999999E-2</v>
      </c>
      <c r="R1224">
        <v>-0.89696540000000002</v>
      </c>
      <c r="S1224">
        <v>-1.9480440000000001</v>
      </c>
      <c r="T1224">
        <v>-0.40798509999999999</v>
      </c>
      <c r="U1224">
        <v>-2.4118650000000001</v>
      </c>
      <c r="V1224">
        <v>0.1667167</v>
      </c>
      <c r="W1224">
        <v>4.5734009999999999E-2</v>
      </c>
      <c r="X1224">
        <v>0.98494360000000003</v>
      </c>
      <c r="Y1224">
        <v>0.37415110000000001</v>
      </c>
      <c r="Z1224">
        <v>0.13235279999999999</v>
      </c>
      <c r="AA1224">
        <v>0.91787459999999998</v>
      </c>
      <c r="AB1224">
        <v>20</v>
      </c>
      <c r="AC1224">
        <v>-5.2045999999999699</v>
      </c>
      <c r="AD1224">
        <v>-1.1047083965140001</v>
      </c>
      <c r="AE1224">
        <v>-6.3279999999999701</v>
      </c>
      <c r="AF1224">
        <v>3.12250311772801</v>
      </c>
      <c r="AG1224">
        <v>-1.1047083965140001</v>
      </c>
      <c r="AH1224">
        <v>7.4165784972989197</v>
      </c>
      <c r="AI1224">
        <v>97.816731798459799</v>
      </c>
      <c r="AJ1224">
        <v>67.168096432227401</v>
      </c>
      <c r="AK1224">
        <v>8.1225638174252897</v>
      </c>
      <c r="AL1224">
        <v>87.378719864834693</v>
      </c>
      <c r="AM1224">
        <v>80.392876653700498</v>
      </c>
      <c r="AN1224">
        <v>0.99999997645526395</v>
      </c>
    </row>
    <row r="1225" spans="1:40" x14ac:dyDescent="0.25">
      <c r="A1225" t="str">
        <f>"20190312154530251"</f>
        <v>20190312154530251</v>
      </c>
      <c r="B1225" t="str">
        <f>"1552376730237363"</f>
        <v>1552376730237363</v>
      </c>
      <c r="C1225" t="s">
        <v>40</v>
      </c>
      <c r="D1225">
        <v>4.8920529999999998</v>
      </c>
      <c r="E1225">
        <v>0.59882519999999995</v>
      </c>
      <c r="F1225" t="s">
        <v>53</v>
      </c>
      <c r="G1225">
        <v>-198.11250000000001</v>
      </c>
      <c r="H1225" s="1">
        <v>1.6152619999999901E-6</v>
      </c>
      <c r="I1225">
        <v>291.37400000000002</v>
      </c>
      <c r="J1225">
        <v>-192.9128</v>
      </c>
      <c r="K1225">
        <v>1.1047290000000001</v>
      </c>
      <c r="L1225">
        <v>297.44229999999999</v>
      </c>
      <c r="M1225">
        <v>-0.3042318</v>
      </c>
      <c r="N1225">
        <v>0</v>
      </c>
      <c r="O1225">
        <v>-0.95249099999999998</v>
      </c>
      <c r="P1225">
        <v>-0.46150210000000003</v>
      </c>
      <c r="Q1225">
        <v>3.369436E-2</v>
      </c>
      <c r="R1225">
        <v>-0.88649909999999998</v>
      </c>
      <c r="S1225">
        <v>-1.975098</v>
      </c>
      <c r="T1225">
        <v>-0.40827989999999997</v>
      </c>
      <c r="U1225">
        <v>-2.3894039999999999</v>
      </c>
      <c r="V1225">
        <v>0.17050009999999999</v>
      </c>
      <c r="W1225">
        <v>4.555729E-2</v>
      </c>
      <c r="X1225">
        <v>0.98430399999999996</v>
      </c>
      <c r="Y1225">
        <v>0.36663560000000001</v>
      </c>
      <c r="Z1225">
        <v>0.13202230000000001</v>
      </c>
      <c r="AA1225">
        <v>0.92094980000000004</v>
      </c>
      <c r="AB1225">
        <v>20</v>
      </c>
      <c r="AC1225">
        <v>-5.1997</v>
      </c>
      <c r="AD1225">
        <v>-1.1047273847379999</v>
      </c>
      <c r="AE1225">
        <v>-6.0682999999999598</v>
      </c>
      <c r="AF1225">
        <v>3.0485547813246199</v>
      </c>
      <c r="AG1225">
        <v>-1.1047273847379999</v>
      </c>
      <c r="AH1225">
        <v>7.22459972646182</v>
      </c>
      <c r="AI1225">
        <v>98.019214561784395</v>
      </c>
      <c r="AJ1225">
        <v>67.121778647906893</v>
      </c>
      <c r="AK1225">
        <v>7.9188982855520704</v>
      </c>
      <c r="AL1225">
        <v>87.388855951936506</v>
      </c>
      <c r="AM1225">
        <v>80.172798984949907</v>
      </c>
      <c r="AN1225">
        <v>1.00000005759407</v>
      </c>
    </row>
    <row r="1226" spans="1:40" x14ac:dyDescent="0.25">
      <c r="A1226" t="str">
        <f>"20190312154530271"</f>
        <v>20190312154530271</v>
      </c>
      <c r="B1226" t="str">
        <f>"1552376730257859"</f>
        <v>1552376730257859</v>
      </c>
      <c r="C1226" t="s">
        <v>40</v>
      </c>
      <c r="D1226">
        <v>4.9232750000000003</v>
      </c>
      <c r="E1226">
        <v>0.59876669999999999</v>
      </c>
      <c r="F1226" t="s">
        <v>53</v>
      </c>
      <c r="G1226">
        <v>-196.9665</v>
      </c>
      <c r="H1226" s="1">
        <v>1.438803E-6</v>
      </c>
      <c r="I1226">
        <v>292.95299999999997</v>
      </c>
      <c r="J1226">
        <v>-192.9804</v>
      </c>
      <c r="K1226">
        <v>1.10476</v>
      </c>
      <c r="L1226">
        <v>297.2645</v>
      </c>
      <c r="M1226">
        <v>-0.3125404</v>
      </c>
      <c r="N1226">
        <v>0</v>
      </c>
      <c r="O1226">
        <v>-0.94979709999999995</v>
      </c>
      <c r="P1226">
        <v>-0.46951480000000001</v>
      </c>
      <c r="Q1226">
        <v>3.2684489999999997E-2</v>
      </c>
      <c r="R1226">
        <v>-0.88231970000000004</v>
      </c>
      <c r="S1226">
        <v>-2.0919189999999999</v>
      </c>
      <c r="T1226">
        <v>-0.57010360000000004</v>
      </c>
      <c r="U1226">
        <v>-2.3167110000000002</v>
      </c>
      <c r="V1226">
        <v>0.17079129999999901</v>
      </c>
      <c r="W1226">
        <v>4.4559809999999998E-2</v>
      </c>
      <c r="X1226">
        <v>0.98429909999999998</v>
      </c>
      <c r="Y1226">
        <v>0.39298100000000002</v>
      </c>
      <c r="Z1226">
        <v>0.18243480000000001</v>
      </c>
      <c r="AA1226">
        <v>0.9012677</v>
      </c>
      <c r="AB1226">
        <v>20</v>
      </c>
      <c r="AC1226">
        <v>-3.9860999999999902</v>
      </c>
      <c r="AD1226">
        <v>-1.1047585611970001</v>
      </c>
      <c r="AE1226">
        <v>-4.3115000000000201</v>
      </c>
      <c r="AF1226">
        <v>2.3553400613309701</v>
      </c>
      <c r="AG1226">
        <v>-1.1047585611970001</v>
      </c>
      <c r="AH1226">
        <v>5.1587954715719704</v>
      </c>
      <c r="AI1226">
        <v>101.023541065713</v>
      </c>
      <c r="AJ1226">
        <v>65.460086135516505</v>
      </c>
      <c r="AK1226">
        <v>5.7776542818483199</v>
      </c>
      <c r="AL1226">
        <v>87.446065255769398</v>
      </c>
      <c r="AM1226">
        <v>80.156294955178495</v>
      </c>
      <c r="AN1226">
        <v>0.99999998154186698</v>
      </c>
    </row>
    <row r="1227" spans="1:40" x14ac:dyDescent="0.25">
      <c r="A1227" t="str">
        <f>"20190312154530296"</f>
        <v>20190312154530296</v>
      </c>
      <c r="B1227" t="str">
        <f>"1552376730287647"</f>
        <v>1552376730287647</v>
      </c>
      <c r="C1227" t="s">
        <v>40</v>
      </c>
      <c r="D1227">
        <v>4.9054880000000001</v>
      </c>
      <c r="E1227">
        <v>0.59819250000000002</v>
      </c>
      <c r="F1227" t="s">
        <v>53</v>
      </c>
      <c r="G1227">
        <v>-197.01480000000001</v>
      </c>
      <c r="H1227" s="1">
        <v>1.4479219999999999E-6</v>
      </c>
      <c r="I1227">
        <v>292.87700000000001</v>
      </c>
      <c r="J1227">
        <v>-193.06829999999999</v>
      </c>
      <c r="K1227">
        <v>1.1048100000000001</v>
      </c>
      <c r="L1227">
        <v>297.03989999999999</v>
      </c>
      <c r="M1227">
        <v>-0.32303799999999999</v>
      </c>
      <c r="N1227">
        <v>0</v>
      </c>
      <c r="O1227">
        <v>-0.94627810000000001</v>
      </c>
      <c r="P1227">
        <v>-0.47919889999999998</v>
      </c>
      <c r="Q1227">
        <v>3.1371200000000002E-2</v>
      </c>
      <c r="R1227">
        <v>-0.87714559999999997</v>
      </c>
      <c r="S1227">
        <v>-2.1124269999999998</v>
      </c>
      <c r="T1227">
        <v>-0.57845839999999904</v>
      </c>
      <c r="U1227">
        <v>-2.2973629999999998</v>
      </c>
      <c r="V1227">
        <v>0.17069039999999999</v>
      </c>
      <c r="W1227">
        <v>4.3269299999999997E-2</v>
      </c>
      <c r="X1227">
        <v>0.98437419999999998</v>
      </c>
      <c r="Y1227">
        <v>0.39065440000000001</v>
      </c>
      <c r="Z1227">
        <v>0.1847425</v>
      </c>
      <c r="AA1227">
        <v>0.90180890000000002</v>
      </c>
      <c r="AB1227">
        <v>20</v>
      </c>
      <c r="AC1227">
        <v>-3.9465000000000101</v>
      </c>
      <c r="AD1227">
        <v>-1.104808552078</v>
      </c>
      <c r="AE1227">
        <v>-4.1628999999999703</v>
      </c>
      <c r="AF1227">
        <v>2.3044709098939</v>
      </c>
      <c r="AG1227">
        <v>-1.104808552078</v>
      </c>
      <c r="AH1227">
        <v>5.0281431699302104</v>
      </c>
      <c r="AI1227">
        <v>101.29591944604201</v>
      </c>
      <c r="AJ1227">
        <v>65.377327084885906</v>
      </c>
      <c r="AK1227">
        <v>5.6403379197179104</v>
      </c>
      <c r="AL1227">
        <v>87.520077497931496</v>
      </c>
      <c r="AM1227">
        <v>80.162732648080606</v>
      </c>
      <c r="AN1227">
        <v>1.0000000053001401</v>
      </c>
    </row>
    <row r="1228" spans="1:40" x14ac:dyDescent="0.25">
      <c r="A1228" t="str">
        <f>"20190312154530316"</f>
        <v>20190312154530316</v>
      </c>
      <c r="B1228" t="str">
        <f>"1552376730307167"</f>
        <v>1552376730307167</v>
      </c>
      <c r="C1228" t="s">
        <v>40</v>
      </c>
      <c r="D1228">
        <v>4.9335250000000004</v>
      </c>
      <c r="E1228">
        <v>0.59772080000000005</v>
      </c>
      <c r="F1228" t="s">
        <v>53</v>
      </c>
      <c r="G1228">
        <v>-197.0932</v>
      </c>
      <c r="H1228" s="1">
        <v>1.4637090000000001E-6</v>
      </c>
      <c r="I1228">
        <v>292.74779999999998</v>
      </c>
      <c r="J1228">
        <v>-193.13679999999999</v>
      </c>
      <c r="K1228">
        <v>1.1048450000000001</v>
      </c>
      <c r="L1228">
        <v>296.86959999999999</v>
      </c>
      <c r="M1228">
        <v>-0.33098820000000001</v>
      </c>
      <c r="N1228">
        <v>0</v>
      </c>
      <c r="O1228">
        <v>-0.94352659999999999</v>
      </c>
      <c r="P1228">
        <v>-0.48601159999999999</v>
      </c>
      <c r="Q1228">
        <v>3.126748E-2</v>
      </c>
      <c r="R1228">
        <v>-0.87339319999999898</v>
      </c>
      <c r="S1228">
        <v>-2.133804</v>
      </c>
      <c r="T1228">
        <v>-0.58570109999999997</v>
      </c>
      <c r="U1228">
        <v>-2.2754210000000001</v>
      </c>
      <c r="V1228">
        <v>0.17006350000000001</v>
      </c>
      <c r="W1228">
        <v>4.318926E-2</v>
      </c>
      <c r="X1228">
        <v>0.98448619999999998</v>
      </c>
      <c r="Y1228">
        <v>0.39147749999999998</v>
      </c>
      <c r="Z1228">
        <v>0.18690519999999999</v>
      </c>
      <c r="AA1228">
        <v>0.90100599999999997</v>
      </c>
      <c r="AB1228">
        <v>20</v>
      </c>
      <c r="AC1228">
        <v>-3.9563999999999999</v>
      </c>
      <c r="AD1228">
        <v>-1.1048435362909901</v>
      </c>
      <c r="AE1228">
        <v>-4.1218000000000004</v>
      </c>
      <c r="AF1228">
        <v>2.2835489101704698</v>
      </c>
      <c r="AG1228">
        <v>-1.1048435362909901</v>
      </c>
      <c r="AH1228">
        <v>5.0116667340919303</v>
      </c>
      <c r="AI1228">
        <v>101.343585075498</v>
      </c>
      <c r="AJ1228">
        <v>65.503779155702503</v>
      </c>
      <c r="AK1228">
        <v>5.61712366949744</v>
      </c>
      <c r="AL1228">
        <v>87.524667710471505</v>
      </c>
      <c r="AM1228">
        <v>80.199253707589904</v>
      </c>
      <c r="AN1228">
        <v>0.99999999210101798</v>
      </c>
    </row>
    <row r="1229" spans="1:40" x14ac:dyDescent="0.25">
      <c r="A1229" t="str">
        <f>"20190312154530339"</f>
        <v>20190312154530339</v>
      </c>
      <c r="B1229" t="str">
        <f>"1552376730327662"</f>
        <v>1552376730327662</v>
      </c>
      <c r="C1229" t="s">
        <v>40</v>
      </c>
      <c r="D1229">
        <v>4.9664979999999996</v>
      </c>
      <c r="E1229">
        <v>0.59694179999999997</v>
      </c>
      <c r="F1229" t="s">
        <v>53</v>
      </c>
      <c r="G1229">
        <v>-197.17019999999999</v>
      </c>
      <c r="H1229" s="1">
        <v>1.4782840000000001E-6</v>
      </c>
      <c r="I1229">
        <v>292.62630000000001</v>
      </c>
      <c r="J1229">
        <v>-193.21680000000001</v>
      </c>
      <c r="K1229">
        <v>1.104887</v>
      </c>
      <c r="L1229">
        <v>296.67559999999997</v>
      </c>
      <c r="M1229">
        <v>-0.3400338</v>
      </c>
      <c r="N1229">
        <v>0</v>
      </c>
      <c r="O1229">
        <v>-0.94030460000000005</v>
      </c>
      <c r="P1229">
        <v>-0.49480390000000002</v>
      </c>
      <c r="Q1229">
        <v>3.2937719999999997E-2</v>
      </c>
      <c r="R1229">
        <v>-0.8683805</v>
      </c>
      <c r="S1229">
        <v>-2.1485599999999998</v>
      </c>
      <c r="T1229">
        <v>-0.58853409999999995</v>
      </c>
      <c r="U1229">
        <v>-2.2603759999999999</v>
      </c>
      <c r="V1229">
        <v>0.1705863</v>
      </c>
      <c r="W1229">
        <v>4.4864679999999997E-2</v>
      </c>
      <c r="X1229">
        <v>0.9843208</v>
      </c>
      <c r="Y1229">
        <v>0.3886561</v>
      </c>
      <c r="Z1229">
        <v>0.1874844</v>
      </c>
      <c r="AA1229">
        <v>0.90210650000000003</v>
      </c>
      <c r="AB1229">
        <v>20</v>
      </c>
      <c r="AC1229">
        <v>-3.9533999999999798</v>
      </c>
      <c r="AD1229">
        <v>-1.1048855217160001</v>
      </c>
      <c r="AE1229">
        <v>-4.0492999999999597</v>
      </c>
      <c r="AF1229">
        <v>2.2547924433198099</v>
      </c>
      <c r="AG1229">
        <v>-1.1048855217160001</v>
      </c>
      <c r="AH1229">
        <v>4.9632043229263001</v>
      </c>
      <c r="AI1229">
        <v>101.45751197063301</v>
      </c>
      <c r="AJ1229">
        <v>65.567618234255093</v>
      </c>
      <c r="AK1229">
        <v>5.5622170156929398</v>
      </c>
      <c r="AL1229">
        <v>87.428580003550096</v>
      </c>
      <c r="AM1229">
        <v>80.168092106392706</v>
      </c>
      <c r="AN1229">
        <v>0.99999998128591605</v>
      </c>
    </row>
    <row r="1230" spans="1:40" x14ac:dyDescent="0.25">
      <c r="A1230" t="str">
        <f>"20190312154530360"</f>
        <v>20190312154530360</v>
      </c>
      <c r="B1230" t="str">
        <f>"1552376730348159"</f>
        <v>1552376730348159</v>
      </c>
      <c r="C1230" t="s">
        <v>40</v>
      </c>
      <c r="D1230">
        <v>4.9695299999999998</v>
      </c>
      <c r="E1230">
        <v>0.59610739999999995</v>
      </c>
      <c r="F1230" t="s">
        <v>53</v>
      </c>
      <c r="G1230">
        <v>-197.316</v>
      </c>
      <c r="H1230" s="1">
        <v>1.4995030000000001E-6</v>
      </c>
      <c r="I1230">
        <v>292.43239999999997</v>
      </c>
      <c r="J1230">
        <v>-193.2928</v>
      </c>
      <c r="K1230">
        <v>1.1049260000000001</v>
      </c>
      <c r="L1230">
        <v>296.49630000000002</v>
      </c>
      <c r="M1230">
        <v>-0.34838580000000002</v>
      </c>
      <c r="N1230">
        <v>0</v>
      </c>
      <c r="O1230">
        <v>-0.93724240000000003</v>
      </c>
      <c r="P1230">
        <v>-0.5035328</v>
      </c>
      <c r="Q1230">
        <v>3.4637859999999999E-2</v>
      </c>
      <c r="R1230">
        <v>-0.86328179999999999</v>
      </c>
      <c r="S1230">
        <v>-2.1663359999999998</v>
      </c>
      <c r="T1230">
        <v>-0.58391549999999903</v>
      </c>
      <c r="U1230">
        <v>-2.2424930000000001</v>
      </c>
      <c r="V1230">
        <v>0.171794</v>
      </c>
      <c r="W1230">
        <v>4.6555680000000002E-2</v>
      </c>
      <c r="X1230">
        <v>0.98403220000000002</v>
      </c>
      <c r="Y1230">
        <v>0.3879938</v>
      </c>
      <c r="Z1230">
        <v>0.18582870000000001</v>
      </c>
      <c r="AA1230">
        <v>0.90273389999999998</v>
      </c>
      <c r="AB1230">
        <v>20</v>
      </c>
      <c r="AC1230">
        <v>-4.0231999999999699</v>
      </c>
      <c r="AD1230">
        <v>-1.1049245004970001</v>
      </c>
      <c r="AE1230">
        <v>-4.0639000000000403</v>
      </c>
      <c r="AF1230">
        <v>2.2703873490025201</v>
      </c>
      <c r="AG1230">
        <v>-1.1049245004970001</v>
      </c>
      <c r="AH1230">
        <v>5.0234729658805399</v>
      </c>
      <c r="AI1230">
        <v>101.333746217905</v>
      </c>
      <c r="AJ1230">
        <v>65.679138222284195</v>
      </c>
      <c r="AK1230">
        <v>5.6223480419875997</v>
      </c>
      <c r="AL1230">
        <v>87.331591472834504</v>
      </c>
      <c r="AM1230">
        <v>80.097011604525093</v>
      </c>
      <c r="AN1230">
        <v>0.99999999020655095</v>
      </c>
    </row>
    <row r="1231" spans="1:40" x14ac:dyDescent="0.25">
      <c r="A1231" t="str">
        <f>"20190312154530382"</f>
        <v>20190312154530382</v>
      </c>
      <c r="B1231" t="str">
        <f>"1552376730367212"</f>
        <v>1552376730367212</v>
      </c>
      <c r="C1231" t="s">
        <v>40</v>
      </c>
      <c r="D1231">
        <v>4.8974060000000001</v>
      </c>
      <c r="E1231">
        <v>0.59579009999999999</v>
      </c>
      <c r="F1231" t="s">
        <v>53</v>
      </c>
      <c r="G1231">
        <v>-197.45099999999999</v>
      </c>
      <c r="H1231" s="1">
        <v>1.5178849999999999E-6</v>
      </c>
      <c r="I1231">
        <v>292.26</v>
      </c>
      <c r="J1231">
        <v>-193.37450000000001</v>
      </c>
      <c r="K1231">
        <v>1.104954</v>
      </c>
      <c r="L1231">
        <v>296.30810000000002</v>
      </c>
      <c r="M1231">
        <v>-0.35714820000000003</v>
      </c>
      <c r="N1231">
        <v>0</v>
      </c>
      <c r="O1231">
        <v>-0.93393839999999995</v>
      </c>
      <c r="P1231">
        <v>-0.51274200000000003</v>
      </c>
      <c r="Q1231">
        <v>3.5601250000000001E-2</v>
      </c>
      <c r="R1231">
        <v>-0.85780449999999997</v>
      </c>
      <c r="S1231">
        <v>-2.1836700000000002</v>
      </c>
      <c r="T1231">
        <v>-0.58024629999999999</v>
      </c>
      <c r="U1231">
        <v>-2.2246700000000001</v>
      </c>
      <c r="V1231">
        <v>0.17313199999999901</v>
      </c>
      <c r="W1231">
        <v>4.7506390000000003E-2</v>
      </c>
      <c r="X1231">
        <v>0.98375230000000002</v>
      </c>
      <c r="Y1231">
        <v>0.38676490000000002</v>
      </c>
      <c r="Z1231">
        <v>0.1844209</v>
      </c>
      <c r="AA1231">
        <v>0.90354959999999995</v>
      </c>
      <c r="AB1231">
        <v>20</v>
      </c>
      <c r="AC1231">
        <v>-4.0764999999999798</v>
      </c>
      <c r="AD1231">
        <v>-1.1049524821150001</v>
      </c>
      <c r="AE1231">
        <v>-4.04810000000003</v>
      </c>
      <c r="AF1231">
        <v>2.2774229803485899</v>
      </c>
      <c r="AG1231">
        <v>-1.1049524821150001</v>
      </c>
      <c r="AH1231">
        <v>5.0503045748095197</v>
      </c>
      <c r="AI1231">
        <v>101.279510360667</v>
      </c>
      <c r="AJ1231">
        <v>65.727117807015205</v>
      </c>
      <c r="AK1231">
        <v>5.6491726577875099</v>
      </c>
      <c r="AL1231">
        <v>87.277059665750102</v>
      </c>
      <c r="AM1231">
        <v>80.018645518414004</v>
      </c>
      <c r="AN1231">
        <v>1.00000006713505</v>
      </c>
    </row>
    <row r="1232" spans="1:40" x14ac:dyDescent="0.25">
      <c r="A1232" t="str">
        <f>"20190312154530405"</f>
        <v>20190312154530405</v>
      </c>
      <c r="B1232" t="str">
        <f>"1552376730397466"</f>
        <v>1552376730397466</v>
      </c>
      <c r="C1232" t="s">
        <v>40</v>
      </c>
      <c r="D1232">
        <v>4.898536</v>
      </c>
      <c r="E1232">
        <v>0.59392690000000004</v>
      </c>
      <c r="F1232" t="s">
        <v>53</v>
      </c>
      <c r="G1232">
        <v>-197.59989999999999</v>
      </c>
      <c r="H1232" s="1">
        <v>1.534887E-6</v>
      </c>
      <c r="I1232">
        <v>292.08850000000001</v>
      </c>
      <c r="J1232">
        <v>-193.4546</v>
      </c>
      <c r="K1232">
        <v>1.1049739999999999</v>
      </c>
      <c r="L1232">
        <v>296.12830000000002</v>
      </c>
      <c r="M1232">
        <v>-0.36551070000000002</v>
      </c>
      <c r="N1232">
        <v>0</v>
      </c>
      <c r="O1232">
        <v>-0.93069740000000001</v>
      </c>
      <c r="P1232">
        <v>-0.521814</v>
      </c>
      <c r="Q1232">
        <v>3.516909E-2</v>
      </c>
      <c r="R1232">
        <v>-0.85233440000000005</v>
      </c>
      <c r="S1232">
        <v>-2.2057950000000002</v>
      </c>
      <c r="T1232">
        <v>-0.57681610000000005</v>
      </c>
      <c r="U1232">
        <v>-2.2027589999999999</v>
      </c>
      <c r="V1232">
        <v>0.17473139999999901</v>
      </c>
      <c r="W1232">
        <v>4.7056760000000003E-2</v>
      </c>
      <c r="X1232">
        <v>0.983491</v>
      </c>
      <c r="Y1232">
        <v>0.38771250000000002</v>
      </c>
      <c r="Z1232">
        <v>0.18312690000000001</v>
      </c>
      <c r="AA1232">
        <v>0.90340659999999895</v>
      </c>
      <c r="AB1232">
        <v>20</v>
      </c>
      <c r="AC1232">
        <v>-4.14529999999999</v>
      </c>
      <c r="AD1232">
        <v>-1.104972465113</v>
      </c>
      <c r="AE1232">
        <v>-4.0398000000000103</v>
      </c>
      <c r="AF1232">
        <v>2.29792987961787</v>
      </c>
      <c r="AG1232">
        <v>-1.104972465113</v>
      </c>
      <c r="AH1232">
        <v>5.0900264618004298</v>
      </c>
      <c r="AI1232">
        <v>101.19183033476899</v>
      </c>
      <c r="AJ1232">
        <v>65.702853688809</v>
      </c>
      <c r="AK1232">
        <v>5.6929619059086498</v>
      </c>
      <c r="AL1232">
        <v>87.3028501583874</v>
      </c>
      <c r="AM1232">
        <v>79.925695708037594</v>
      </c>
      <c r="AN1232">
        <v>0.99999997394432805</v>
      </c>
    </row>
    <row r="1233" spans="1:40" x14ac:dyDescent="0.25">
      <c r="A1233" t="str">
        <f>"20190312154530431"</f>
        <v>20190312154530431</v>
      </c>
      <c r="B1233" t="str">
        <f>"1552376730417962"</f>
        <v>1552376730417962</v>
      </c>
      <c r="C1233" t="s">
        <v>40</v>
      </c>
      <c r="D1233">
        <v>4.8965880000000004</v>
      </c>
      <c r="E1233">
        <v>0.59292709999999904</v>
      </c>
      <c r="F1233" t="s">
        <v>53</v>
      </c>
      <c r="G1233">
        <v>-199.3399</v>
      </c>
      <c r="H1233" s="1">
        <v>1.6912899999999999E-6</v>
      </c>
      <c r="I1233">
        <v>290.32409999999999</v>
      </c>
      <c r="J1233">
        <v>-193.5564</v>
      </c>
      <c r="K1233">
        <v>1.105</v>
      </c>
      <c r="L1233">
        <v>295.90600000000001</v>
      </c>
      <c r="M1233">
        <v>-0.37586449999999999</v>
      </c>
      <c r="N1233">
        <v>0</v>
      </c>
      <c r="O1233">
        <v>-0.92656439999999995</v>
      </c>
      <c r="P1233">
        <v>-0.53154950000000001</v>
      </c>
      <c r="Q1233">
        <v>3.4113159999999997E-2</v>
      </c>
      <c r="R1233">
        <v>-0.84633989999999903</v>
      </c>
      <c r="S1233">
        <v>-2.2127379999999999</v>
      </c>
      <c r="T1233">
        <v>-0.41543920000000001</v>
      </c>
      <c r="U1233">
        <v>-2.18222</v>
      </c>
      <c r="V1233">
        <v>0.17500760000000001</v>
      </c>
      <c r="W1233">
        <v>4.6003620000000002E-2</v>
      </c>
      <c r="X1233">
        <v>0.98349180000000003</v>
      </c>
      <c r="Y1233">
        <v>0.38913809999999999</v>
      </c>
      <c r="Z1233">
        <v>0.13301070000000001</v>
      </c>
      <c r="AA1233">
        <v>0.91152599999999995</v>
      </c>
      <c r="AB1233">
        <v>20</v>
      </c>
      <c r="AC1233">
        <v>-5.7835000000000001</v>
      </c>
      <c r="AD1233">
        <v>-1.1049983087099999</v>
      </c>
      <c r="AE1233">
        <v>-5.5819000000000099</v>
      </c>
      <c r="AF1233">
        <v>3.2005911441521802</v>
      </c>
      <c r="AG1233">
        <v>-1.1049983087099999</v>
      </c>
      <c r="AH1233">
        <v>7.2102828658064597</v>
      </c>
      <c r="AI1233">
        <v>97.9737204094628</v>
      </c>
      <c r="AJ1233">
        <v>66.063919814722894</v>
      </c>
      <c r="AK1233">
        <v>7.9657381289632898</v>
      </c>
      <c r="AL1233">
        <v>87.363256285467898</v>
      </c>
      <c r="AM1233">
        <v>79.910106122897503</v>
      </c>
      <c r="AN1233">
        <v>1.0000000568890499</v>
      </c>
    </row>
    <row r="1234" spans="1:40" x14ac:dyDescent="0.25">
      <c r="A1234" t="str">
        <f>"20190312154530474"</f>
        <v>20190312154530474</v>
      </c>
      <c r="B1234" t="str">
        <f>"1552376730467272"</f>
        <v>1552376730467272</v>
      </c>
      <c r="C1234" t="s">
        <v>40</v>
      </c>
      <c r="D1234">
        <v>4.9469190000000003</v>
      </c>
      <c r="E1234">
        <v>0.59129290000000001</v>
      </c>
      <c r="F1234" t="s">
        <v>53</v>
      </c>
      <c r="G1234">
        <v>-199.4006</v>
      </c>
      <c r="H1234" s="1">
        <v>1.699891E-6</v>
      </c>
      <c r="I1234">
        <v>290.2448</v>
      </c>
      <c r="J1234">
        <v>-193.7242</v>
      </c>
      <c r="K1234">
        <v>1.1050249999999999</v>
      </c>
      <c r="L1234">
        <v>295.55309999999997</v>
      </c>
      <c r="M1234">
        <v>-0.39232329999999999</v>
      </c>
      <c r="N1234">
        <v>0</v>
      </c>
      <c r="O1234">
        <v>-0.91971670000000005</v>
      </c>
      <c r="P1234">
        <v>-0.54458419999999996</v>
      </c>
      <c r="Q1234">
        <v>3.3124250000000001E-2</v>
      </c>
      <c r="R1234">
        <v>-0.83805200000000002</v>
      </c>
      <c r="S1234">
        <v>-2.2305600000000001</v>
      </c>
      <c r="T1234">
        <v>-0.42174889999999998</v>
      </c>
      <c r="U1234">
        <v>-2.1607669999999999</v>
      </c>
      <c r="V1234">
        <v>0.1726615</v>
      </c>
      <c r="W1234">
        <v>4.5057600000000003E-2</v>
      </c>
      <c r="X1234">
        <v>0.98395010000000005</v>
      </c>
      <c r="Y1234">
        <v>0.38071749999999999</v>
      </c>
      <c r="Z1234">
        <v>0.13437950000000001</v>
      </c>
      <c r="AA1234">
        <v>0.91487510000000005</v>
      </c>
      <c r="AB1234">
        <v>20</v>
      </c>
      <c r="AC1234">
        <v>-5.6764000000000001</v>
      </c>
      <c r="AD1234">
        <v>-1.105023300109</v>
      </c>
      <c r="AE1234">
        <v>-5.3082999999999698</v>
      </c>
      <c r="AF1234">
        <v>3.0762384265419001</v>
      </c>
      <c r="AG1234">
        <v>-1.105023300109</v>
      </c>
      <c r="AH1234">
        <v>6.9689512255665003</v>
      </c>
      <c r="AI1234">
        <v>98.253740251533401</v>
      </c>
      <c r="AJ1234">
        <v>66.182350294693904</v>
      </c>
      <c r="AK1234">
        <v>7.6974411680143202</v>
      </c>
      <c r="AL1234">
        <v>87.417515334989503</v>
      </c>
      <c r="AM1234">
        <v>80.047188488017795</v>
      </c>
      <c r="AN1234">
        <v>0.99999999009500995</v>
      </c>
    </row>
    <row r="1235" spans="1:40" x14ac:dyDescent="0.25">
      <c r="A1235" t="str">
        <f>"20190312154530517"</f>
        <v>20190312154530517</v>
      </c>
      <c r="B1235" t="str">
        <f>"1552376730507288"</f>
        <v>1552376730507288</v>
      </c>
      <c r="C1235" t="s">
        <v>40</v>
      </c>
      <c r="D1235">
        <v>5.050046</v>
      </c>
      <c r="E1235">
        <v>0.60916320000000002</v>
      </c>
      <c r="F1235" t="s">
        <v>53</v>
      </c>
      <c r="G1235">
        <v>-199.60319999999999</v>
      </c>
      <c r="H1235" s="1">
        <v>1.726696E-6</v>
      </c>
      <c r="I1235">
        <v>289.9905</v>
      </c>
      <c r="J1235">
        <v>-193.89670000000001</v>
      </c>
      <c r="K1235">
        <v>1.1050549999999999</v>
      </c>
      <c r="L1235">
        <v>295.20609999999999</v>
      </c>
      <c r="M1235">
        <v>-0.4085298</v>
      </c>
      <c r="N1235">
        <v>0</v>
      </c>
      <c r="O1235">
        <v>-0.91263340000000004</v>
      </c>
      <c r="P1235">
        <v>-0.5583726</v>
      </c>
      <c r="Q1235">
        <v>3.3095769999999997E-2</v>
      </c>
      <c r="R1235">
        <v>-0.82892980000000005</v>
      </c>
      <c r="S1235">
        <v>-2.2534329999999998</v>
      </c>
      <c r="T1235">
        <v>-0.42355720000000002</v>
      </c>
      <c r="U1235">
        <v>-2.1321409999999998</v>
      </c>
      <c r="V1235">
        <v>0.17152879999999901</v>
      </c>
      <c r="W1235">
        <v>4.5051880000000002E-2</v>
      </c>
      <c r="X1235">
        <v>0.98414840000000003</v>
      </c>
      <c r="Y1235">
        <v>0.37510959999999899</v>
      </c>
      <c r="Z1235">
        <v>0.13439670000000001</v>
      </c>
      <c r="AA1235">
        <v>0.9171861</v>
      </c>
      <c r="AB1235">
        <v>20</v>
      </c>
      <c r="AC1235">
        <v>-5.7064999999999699</v>
      </c>
      <c r="AD1235">
        <v>-1.1050532733039999</v>
      </c>
      <c r="AE1235">
        <v>-5.2155999999999896</v>
      </c>
      <c r="AF1235">
        <v>3.0159073365007401</v>
      </c>
      <c r="AG1235">
        <v>-1.1050532733039999</v>
      </c>
      <c r="AH1235">
        <v>6.9499284461180899</v>
      </c>
      <c r="AI1235">
        <v>98.2986719992454</v>
      </c>
      <c r="AJ1235">
        <v>66.541665154027896</v>
      </c>
      <c r="AK1235">
        <v>7.6562618297286802</v>
      </c>
      <c r="AL1235">
        <v>87.417843263246496</v>
      </c>
      <c r="AM1235">
        <v>80.113141432640404</v>
      </c>
      <c r="AN1235">
        <v>0.99999993717176505</v>
      </c>
    </row>
    <row r="1236" spans="1:40" x14ac:dyDescent="0.25">
      <c r="A1236" t="str">
        <f>"20190312154530539"</f>
        <v>20190312154530539</v>
      </c>
      <c r="B1236" t="str">
        <f>"1552376730527784"</f>
        <v>1552376730527784</v>
      </c>
      <c r="C1236" t="s">
        <v>40</v>
      </c>
      <c r="D1236">
        <v>5.379359</v>
      </c>
      <c r="E1236">
        <v>0.67194549999999997</v>
      </c>
      <c r="F1236" t="s">
        <v>53</v>
      </c>
      <c r="G1236">
        <v>-198.39500000000001</v>
      </c>
      <c r="H1236" s="1">
        <v>1.5794770000000001E-6</v>
      </c>
      <c r="I1236">
        <v>291.43490000000003</v>
      </c>
      <c r="J1236">
        <v>-193.99010000000001</v>
      </c>
      <c r="K1236">
        <v>1.1050660000000001</v>
      </c>
      <c r="L1236">
        <v>295.02429999999998</v>
      </c>
      <c r="M1236">
        <v>-0.4170355</v>
      </c>
      <c r="N1236">
        <v>0</v>
      </c>
      <c r="O1236">
        <v>-0.90877830000000004</v>
      </c>
      <c r="P1236">
        <v>-0.56607689999999999</v>
      </c>
      <c r="Q1236">
        <v>3.2572789999999997E-2</v>
      </c>
      <c r="R1236">
        <v>-0.82370889999999997</v>
      </c>
      <c r="S1236">
        <v>-2.4092709999999999</v>
      </c>
      <c r="T1236">
        <v>-0.59185330000000003</v>
      </c>
      <c r="U1236">
        <v>-2.0198360000000002</v>
      </c>
      <c r="V1236">
        <v>0.17149629999999999</v>
      </c>
      <c r="W1236">
        <v>4.4532170000000003E-2</v>
      </c>
      <c r="X1236">
        <v>0.98417779999999999</v>
      </c>
      <c r="Y1236">
        <v>0.41426570000000001</v>
      </c>
      <c r="Z1236">
        <v>0.18535570000000001</v>
      </c>
      <c r="AA1236">
        <v>0.89108199999999904</v>
      </c>
      <c r="AB1236">
        <v>20</v>
      </c>
      <c r="AC1236">
        <v>-4.4048999999999898</v>
      </c>
      <c r="AD1236">
        <v>-1.10506442052299</v>
      </c>
      <c r="AE1236">
        <v>-3.5893999999999502</v>
      </c>
      <c r="AF1236">
        <v>2.4150812037605802</v>
      </c>
      <c r="AG1236">
        <v>-1.10506442052299</v>
      </c>
      <c r="AH1236">
        <v>4.9136417200044198</v>
      </c>
      <c r="AI1236">
        <v>101.411008918241</v>
      </c>
      <c r="AJ1236">
        <v>63.825636266966399</v>
      </c>
      <c r="AK1236">
        <v>5.5854865094127204</v>
      </c>
      <c r="AL1236">
        <v>87.447650579255594</v>
      </c>
      <c r="AM1236">
        <v>80.115267232856098</v>
      </c>
      <c r="AN1236">
        <v>1.0000000185457101</v>
      </c>
    </row>
    <row r="1237" spans="1:40" x14ac:dyDescent="0.25">
      <c r="A1237" t="str">
        <f>"20190312154530561"</f>
        <v>20190312154530561</v>
      </c>
      <c r="B1237" t="str">
        <f>"1552376730558039"</f>
        <v>1552376730558039</v>
      </c>
      <c r="C1237" t="s">
        <v>40</v>
      </c>
      <c r="D1237">
        <v>5.1028440000000002</v>
      </c>
      <c r="E1237">
        <v>0.68082259999999895</v>
      </c>
      <c r="F1237" t="s">
        <v>53</v>
      </c>
      <c r="G1237">
        <v>-199.4734</v>
      </c>
      <c r="H1237" s="1">
        <v>1.4338590000000001E-6</v>
      </c>
      <c r="I1237">
        <v>291.71859999999998</v>
      </c>
      <c r="J1237">
        <v>-194.083</v>
      </c>
      <c r="K1237">
        <v>1.1050819999999999</v>
      </c>
      <c r="L1237">
        <v>294.84769999999997</v>
      </c>
      <c r="M1237">
        <v>-0.42530519999999999</v>
      </c>
      <c r="N1237">
        <v>0</v>
      </c>
      <c r="O1237">
        <v>-0.90493760000000001</v>
      </c>
      <c r="P1237">
        <v>-0.57347199999999998</v>
      </c>
      <c r="Q1237">
        <v>3.2074789999999999E-2</v>
      </c>
      <c r="R1237">
        <v>-0.81859740000000003</v>
      </c>
      <c r="S1237">
        <v>-2.840652</v>
      </c>
      <c r="T1237">
        <v>-0.57248390000000005</v>
      </c>
      <c r="U1237">
        <v>-1.7125239999999999</v>
      </c>
      <c r="V1237">
        <v>0.17136870000000001</v>
      </c>
      <c r="W1237">
        <v>4.4038180000000003E-2</v>
      </c>
      <c r="X1237">
        <v>0.98422220000000005</v>
      </c>
      <c r="Y1237">
        <v>0.54125610000000002</v>
      </c>
      <c r="Z1237">
        <v>0.17569170000000001</v>
      </c>
      <c r="AA1237">
        <v>0.82229819999999998</v>
      </c>
      <c r="AB1237">
        <v>20</v>
      </c>
      <c r="AC1237">
        <v>-5.3903999999999996</v>
      </c>
      <c r="AD1237">
        <v>-1.1050805661409999</v>
      </c>
      <c r="AE1237">
        <v>-3.12909999999999</v>
      </c>
      <c r="AF1237">
        <v>3.4393943004712502</v>
      </c>
      <c r="AG1237">
        <v>-1.1050805661409999</v>
      </c>
      <c r="AH1237">
        <v>4.9685373433641402</v>
      </c>
      <c r="AI1237">
        <v>100.363430766924</v>
      </c>
      <c r="AJ1237">
        <v>55.307671024353098</v>
      </c>
      <c r="AK1237">
        <v>6.1430448105300899</v>
      </c>
      <c r="AL1237">
        <v>87.475981782950598</v>
      </c>
      <c r="AM1237">
        <v>80.1229137709973</v>
      </c>
      <c r="AN1237">
        <v>0.99999996580511996</v>
      </c>
    </row>
    <row r="1238" spans="1:40" x14ac:dyDescent="0.25">
      <c r="A1238" t="str">
        <f>"20190312154530584"</f>
        <v>20190312154530584</v>
      </c>
      <c r="B1238" t="str">
        <f>"1552376730578068"</f>
        <v>1552376730578068</v>
      </c>
      <c r="C1238" t="s">
        <v>40</v>
      </c>
      <c r="D1238">
        <v>5.0077930000000004</v>
      </c>
      <c r="E1238">
        <v>0.68224319999999905</v>
      </c>
      <c r="F1238" t="s">
        <v>53</v>
      </c>
      <c r="G1238">
        <v>-199.53790000000001</v>
      </c>
      <c r="H1238" s="1">
        <v>1.419519E-6</v>
      </c>
      <c r="I1238">
        <v>291.76760000000002</v>
      </c>
      <c r="J1238">
        <v>-194.18389999999999</v>
      </c>
      <c r="K1238">
        <v>1.1050949999999999</v>
      </c>
      <c r="L1238">
        <v>294.66019999999997</v>
      </c>
      <c r="M1238">
        <v>-0.43409180000000003</v>
      </c>
      <c r="N1238">
        <v>0</v>
      </c>
      <c r="O1238">
        <v>-0.90075590000000005</v>
      </c>
      <c r="P1238">
        <v>-0.58167489999999999</v>
      </c>
      <c r="Q1238">
        <v>3.1471880000000001E-2</v>
      </c>
      <c r="R1238">
        <v>-0.81281239999999999</v>
      </c>
      <c r="S1238">
        <v>-2.9149319999999999</v>
      </c>
      <c r="T1238">
        <v>-0.59052419999999906</v>
      </c>
      <c r="U1238">
        <v>-1.645905</v>
      </c>
      <c r="V1238">
        <v>0.17166899999999999</v>
      </c>
      <c r="W1238">
        <v>4.3433180000000002E-2</v>
      </c>
      <c r="X1238">
        <v>0.98419679999999998</v>
      </c>
      <c r="Y1238">
        <v>0.55577159999999903</v>
      </c>
      <c r="Z1238">
        <v>0.1799491</v>
      </c>
      <c r="AA1238">
        <v>0.81162570000000001</v>
      </c>
      <c r="AB1238">
        <v>20</v>
      </c>
      <c r="AC1238">
        <v>-5.3540000000000099</v>
      </c>
      <c r="AD1238">
        <v>-1.105093580481</v>
      </c>
      <c r="AE1238">
        <v>-2.8925999999999501</v>
      </c>
      <c r="AF1238">
        <v>3.4534692246918199</v>
      </c>
      <c r="AG1238">
        <v>-1.105093580481</v>
      </c>
      <c r="AH1238">
        <v>4.7727617402534204</v>
      </c>
      <c r="AI1238">
        <v>100.624372310547</v>
      </c>
      <c r="AJ1238">
        <v>54.111298125334997</v>
      </c>
      <c r="AK1238">
        <v>5.9939082522792004</v>
      </c>
      <c r="AL1238">
        <v>87.510679051501</v>
      </c>
      <c r="AM1238">
        <v>80.105696990337805</v>
      </c>
      <c r="AN1238">
        <v>1.00000001390807</v>
      </c>
    </row>
    <row r="1239" spans="1:40" x14ac:dyDescent="0.25">
      <c r="A1239" t="str">
        <f>"20190312154530606"</f>
        <v>20190312154530606</v>
      </c>
      <c r="B1239" t="str">
        <f>"1552376730597588"</f>
        <v>1552376730597588</v>
      </c>
      <c r="C1239" t="s">
        <v>40</v>
      </c>
      <c r="D1239">
        <v>5.0295030000000001</v>
      </c>
      <c r="E1239">
        <v>0.68265489999999995</v>
      </c>
      <c r="F1239" t="s">
        <v>53</v>
      </c>
      <c r="G1239">
        <v>-199.70959999999999</v>
      </c>
      <c r="H1239" s="1">
        <v>1.4278319999999999E-6</v>
      </c>
      <c r="I1239">
        <v>291.63389999999998</v>
      </c>
      <c r="J1239">
        <v>-194.27619999999999</v>
      </c>
      <c r="K1239">
        <v>1.105108</v>
      </c>
      <c r="L1239">
        <v>294.49239999999998</v>
      </c>
      <c r="M1239">
        <v>-0.44196180000000002</v>
      </c>
      <c r="N1239">
        <v>0</v>
      </c>
      <c r="O1239">
        <v>-0.89692070000000002</v>
      </c>
      <c r="P1239">
        <v>-0.58908950000000004</v>
      </c>
      <c r="Q1239">
        <v>3.1438830000000001E-2</v>
      </c>
      <c r="R1239">
        <v>-0.80745639999999996</v>
      </c>
      <c r="S1239">
        <v>-2.939667</v>
      </c>
      <c r="T1239">
        <v>-0.58790430000000005</v>
      </c>
      <c r="U1239">
        <v>-1.609955</v>
      </c>
      <c r="V1239">
        <v>0.17205689999999901</v>
      </c>
      <c r="W1239">
        <v>4.3396499999999998E-2</v>
      </c>
      <c r="X1239">
        <v>0.98413070000000002</v>
      </c>
      <c r="Y1239">
        <v>0.55924370000000001</v>
      </c>
      <c r="Z1239">
        <v>0.17889720000000001</v>
      </c>
      <c r="AA1239">
        <v>0.80947040000000003</v>
      </c>
      <c r="AB1239">
        <v>20</v>
      </c>
      <c r="AC1239">
        <v>-5.4333999999999998</v>
      </c>
      <c r="AD1239">
        <v>-1.105106572168</v>
      </c>
      <c r="AE1239">
        <v>-2.85849999999999</v>
      </c>
      <c r="AF1239">
        <v>3.4970423600665299</v>
      </c>
      <c r="AG1239">
        <v>-1.105106572168</v>
      </c>
      <c r="AH1239">
        <v>4.8098659905561796</v>
      </c>
      <c r="AI1239">
        <v>100.527357327761</v>
      </c>
      <c r="AJ1239">
        <v>53.980745836500702</v>
      </c>
      <c r="AK1239">
        <v>6.0485846816472399</v>
      </c>
      <c r="AL1239">
        <v>87.512782693747198</v>
      </c>
      <c r="AM1239">
        <v>80.083130496577894</v>
      </c>
      <c r="AN1239">
        <v>1.0000000338661701</v>
      </c>
    </row>
    <row r="1240" spans="1:40" x14ac:dyDescent="0.25">
      <c r="A1240" t="str">
        <f>"20190312154530630"</f>
        <v>20190312154530630</v>
      </c>
      <c r="B1240" t="str">
        <f>"1552376730617108"</f>
        <v>1552376730617108</v>
      </c>
      <c r="C1240" t="s">
        <v>40</v>
      </c>
      <c r="D1240">
        <v>4.9676799999999997</v>
      </c>
      <c r="E1240">
        <v>0.68268009999999901</v>
      </c>
      <c r="F1240" t="s">
        <v>53</v>
      </c>
      <c r="G1240">
        <v>-199.8372</v>
      </c>
      <c r="H1240" s="1">
        <v>1.4368890000000001E-6</v>
      </c>
      <c r="I1240">
        <v>291.51819999999998</v>
      </c>
      <c r="J1240">
        <v>-194.38140000000001</v>
      </c>
      <c r="K1240">
        <v>1.1051120000000001</v>
      </c>
      <c r="L1240">
        <v>294.30549999999999</v>
      </c>
      <c r="M1240">
        <v>-0.45073380000000002</v>
      </c>
      <c r="N1240">
        <v>0</v>
      </c>
      <c r="O1240">
        <v>-0.89254460000000002</v>
      </c>
      <c r="P1240">
        <v>-0.59681549999999906</v>
      </c>
      <c r="Q1240">
        <v>3.10321E-2</v>
      </c>
      <c r="R1240">
        <v>-0.801778199999999</v>
      </c>
      <c r="S1240">
        <v>-2.9565429999999999</v>
      </c>
      <c r="T1240">
        <v>-0.58753820000000001</v>
      </c>
      <c r="U1240">
        <v>-1.5812379999999999</v>
      </c>
      <c r="V1240">
        <v>0.17184449999999901</v>
      </c>
      <c r="W1240">
        <v>4.2995369999999998E-2</v>
      </c>
      <c r="X1240">
        <v>0.98418539999999999</v>
      </c>
      <c r="Y1240">
        <v>0.55927669999999996</v>
      </c>
      <c r="Z1240">
        <v>0.1784531</v>
      </c>
      <c r="AA1240">
        <v>0.80954559999999998</v>
      </c>
      <c r="AB1240">
        <v>20</v>
      </c>
      <c r="AC1240">
        <v>-5.4557999999999804</v>
      </c>
      <c r="AD1240">
        <v>-1.1051105631110001</v>
      </c>
      <c r="AE1240">
        <v>-2.7873000000000099</v>
      </c>
      <c r="AF1240">
        <v>3.4997115382008301</v>
      </c>
      <c r="AG1240">
        <v>-1.1051105631110001</v>
      </c>
      <c r="AH1240">
        <v>4.7915045102020297</v>
      </c>
      <c r="AI1240">
        <v>100.55040586056001</v>
      </c>
      <c r="AJ1240">
        <v>53.855633923964398</v>
      </c>
      <c r="AK1240">
        <v>6.0355418711663296</v>
      </c>
      <c r="AL1240">
        <v>87.535787181503295</v>
      </c>
      <c r="AM1240">
        <v>80.095669633273403</v>
      </c>
      <c r="AN1240">
        <v>1.00000001779742</v>
      </c>
    </row>
    <row r="1241" spans="1:40" x14ac:dyDescent="0.25">
      <c r="A1241" t="str">
        <f>"20190312154530673"</f>
        <v>20190312154530673</v>
      </c>
      <c r="B1241" t="str">
        <f>"1552376730667390"</f>
        <v>1552376730667390</v>
      </c>
      <c r="C1241" t="s">
        <v>40</v>
      </c>
      <c r="D1241">
        <v>5.0332089999999896</v>
      </c>
      <c r="E1241">
        <v>0.68025040000000003</v>
      </c>
      <c r="F1241" t="s">
        <v>53</v>
      </c>
      <c r="G1241">
        <v>-199.8895</v>
      </c>
      <c r="H1241" s="1">
        <v>1.448262E-6</v>
      </c>
      <c r="I1241">
        <v>291.4273</v>
      </c>
      <c r="J1241">
        <v>-194.5762</v>
      </c>
      <c r="K1241">
        <v>1.105148</v>
      </c>
      <c r="L1241">
        <v>293.97019999999998</v>
      </c>
      <c r="M1241">
        <v>-0.46649069999999998</v>
      </c>
      <c r="N1241">
        <v>0</v>
      </c>
      <c r="O1241">
        <v>-0.88441150000000002</v>
      </c>
      <c r="P1241">
        <v>-0.61161489999999996</v>
      </c>
      <c r="Q1241">
        <v>3.0876460000000001E-2</v>
      </c>
      <c r="R1241">
        <v>-0.79055319999999996</v>
      </c>
      <c r="S1241">
        <v>-2.9715880000000001</v>
      </c>
      <c r="T1241">
        <v>-0.59620329999999999</v>
      </c>
      <c r="U1241">
        <v>-1.5527949999999999</v>
      </c>
      <c r="V1241">
        <v>0.1726772</v>
      </c>
      <c r="W1241">
        <v>4.2831969999999997E-2</v>
      </c>
      <c r="X1241">
        <v>0.9840468</v>
      </c>
      <c r="Y1241">
        <v>0.55210139999999996</v>
      </c>
      <c r="Z1241">
        <v>0.18007719999999999</v>
      </c>
      <c r="AA1241">
        <v>0.8140984</v>
      </c>
      <c r="AB1241">
        <v>20</v>
      </c>
      <c r="AC1241">
        <v>-5.3132999999999901</v>
      </c>
      <c r="AD1241">
        <v>-1.1051465517379999</v>
      </c>
      <c r="AE1241">
        <v>-2.5428999999999702</v>
      </c>
      <c r="AF1241">
        <v>3.39379911855363</v>
      </c>
      <c r="AG1241">
        <v>-1.1051465517379999</v>
      </c>
      <c r="AH1241">
        <v>4.5672862325485504</v>
      </c>
      <c r="AI1241">
        <v>100.99117564648</v>
      </c>
      <c r="AJ1241">
        <v>53.385182303317599</v>
      </c>
      <c r="AK1241">
        <v>5.7964924642357101</v>
      </c>
      <c r="AL1241">
        <v>87.545158020421695</v>
      </c>
      <c r="AM1241">
        <v>80.047260151710901</v>
      </c>
      <c r="AN1241">
        <v>1.0000000488220699</v>
      </c>
    </row>
    <row r="1242" spans="1:40" x14ac:dyDescent="0.25">
      <c r="A1242" t="str">
        <f>"20190312154530694"</f>
        <v>20190312154530694</v>
      </c>
      <c r="B1242" t="str">
        <f>"1552376730687886"</f>
        <v>1552376730687886</v>
      </c>
      <c r="C1242" t="s">
        <v>40</v>
      </c>
      <c r="D1242">
        <v>4.9936439999999997</v>
      </c>
      <c r="E1242">
        <v>0.6791431</v>
      </c>
      <c r="F1242" t="s">
        <v>53</v>
      </c>
      <c r="G1242">
        <v>-200.0018</v>
      </c>
      <c r="H1242" s="1">
        <v>1.4991319999999901E-6</v>
      </c>
      <c r="I1242">
        <v>291.226</v>
      </c>
      <c r="J1242">
        <v>-194.67590000000001</v>
      </c>
      <c r="K1242">
        <v>1.1051629999999999</v>
      </c>
      <c r="L1242">
        <v>293.80360000000002</v>
      </c>
      <c r="M1242">
        <v>-0.47432479999999999</v>
      </c>
      <c r="N1242">
        <v>0</v>
      </c>
      <c r="O1242">
        <v>-0.88023479999999998</v>
      </c>
      <c r="P1242">
        <v>-0.61877729999999997</v>
      </c>
      <c r="Q1242">
        <v>3.1019410000000001E-2</v>
      </c>
      <c r="R1242">
        <v>-0.78495400000000004</v>
      </c>
      <c r="S1242">
        <v>-2.9845280000000001</v>
      </c>
      <c r="T1242">
        <v>-0.60791549999999905</v>
      </c>
      <c r="U1242">
        <v>-1.5095209999999999</v>
      </c>
      <c r="V1242">
        <v>0.17288990000000001</v>
      </c>
      <c r="W1242">
        <v>4.2973459999999998E-2</v>
      </c>
      <c r="X1242">
        <v>0.98400319999999997</v>
      </c>
      <c r="Y1242">
        <v>0.55485709999999999</v>
      </c>
      <c r="Z1242">
        <v>0.1838205</v>
      </c>
      <c r="AA1242">
        <v>0.81138379999999999</v>
      </c>
      <c r="AB1242">
        <v>20</v>
      </c>
      <c r="AC1242">
        <v>-5.3258999999999901</v>
      </c>
      <c r="AD1242">
        <v>-1.10516150086799</v>
      </c>
      <c r="AE1242">
        <v>-2.5776000000000101</v>
      </c>
      <c r="AF1242">
        <v>3.3489383263082599</v>
      </c>
      <c r="AG1242">
        <v>-1.10516150086799</v>
      </c>
      <c r="AH1242">
        <v>4.63392014714079</v>
      </c>
      <c r="AI1242">
        <v>100.940238830688</v>
      </c>
      <c r="AJ1242">
        <v>54.144326077386197</v>
      </c>
      <c r="AK1242">
        <v>5.8232281242017701</v>
      </c>
      <c r="AL1242">
        <v>87.537043567417498</v>
      </c>
      <c r="AM1242">
        <v>80.034813484003806</v>
      </c>
      <c r="AN1242">
        <v>0.99999996669831004</v>
      </c>
    </row>
    <row r="1243" spans="1:40" x14ac:dyDescent="0.25">
      <c r="A1243" t="str">
        <f>"20190312154530718"</f>
        <v>20190312154530718</v>
      </c>
      <c r="B1243" t="str">
        <f>"1552376730707406"</f>
        <v>1552376730707406</v>
      </c>
      <c r="C1243" t="s">
        <v>40</v>
      </c>
      <c r="D1243">
        <v>5.0585469999999999</v>
      </c>
      <c r="E1243">
        <v>0.67814980000000002</v>
      </c>
      <c r="F1243" t="s">
        <v>53</v>
      </c>
      <c r="G1243">
        <v>-200.03639999999999</v>
      </c>
      <c r="H1243" s="1">
        <v>1.5316380000000001E-6</v>
      </c>
      <c r="I1243">
        <v>291.13720000000001</v>
      </c>
      <c r="J1243">
        <v>-194.78579999999999</v>
      </c>
      <c r="K1243">
        <v>1.1051789999999999</v>
      </c>
      <c r="L1243">
        <v>293.62369999999999</v>
      </c>
      <c r="M1243">
        <v>-0.48278650000000001</v>
      </c>
      <c r="N1243">
        <v>0</v>
      </c>
      <c r="O1243">
        <v>-0.87562240000000002</v>
      </c>
      <c r="P1243">
        <v>-0.62671449999999995</v>
      </c>
      <c r="Q1243">
        <v>3.0346999999999999E-2</v>
      </c>
      <c r="R1243">
        <v>-0.77865790000000001</v>
      </c>
      <c r="S1243">
        <v>-2.9915769999999999</v>
      </c>
      <c r="T1243">
        <v>-0.61676140000000002</v>
      </c>
      <c r="U1243">
        <v>-1.4880370000000001</v>
      </c>
      <c r="V1243">
        <v>0.17337350000000001</v>
      </c>
      <c r="W1243">
        <v>4.2296489999999999E-2</v>
      </c>
      <c r="X1243">
        <v>0.98394749999999997</v>
      </c>
      <c r="Y1243">
        <v>0.55187980000000003</v>
      </c>
      <c r="Z1243">
        <v>0.18608040000000001</v>
      </c>
      <c r="AA1243">
        <v>0.8128978</v>
      </c>
      <c r="AB1243">
        <v>20</v>
      </c>
      <c r="AC1243">
        <v>-5.2505999999999897</v>
      </c>
      <c r="AD1243">
        <v>-1.1051774683619999</v>
      </c>
      <c r="AE1243">
        <v>-2.4864999999999702</v>
      </c>
      <c r="AF1243">
        <v>3.2787840888619901</v>
      </c>
      <c r="AG1243">
        <v>-1.1051774683619999</v>
      </c>
      <c r="AH1243">
        <v>4.5480441994858998</v>
      </c>
      <c r="AI1243">
        <v>101.151021849895</v>
      </c>
      <c r="AJ1243">
        <v>54.211345468811203</v>
      </c>
      <c r="AK1243">
        <v>5.7145908321092396</v>
      </c>
      <c r="AL1243">
        <v>87.575866531246007</v>
      </c>
      <c r="AM1243">
        <v>80.006946071372994</v>
      </c>
      <c r="AN1243">
        <v>1.0000000231624</v>
      </c>
    </row>
    <row r="1244" spans="1:40" x14ac:dyDescent="0.25">
      <c r="A1244" t="str">
        <f>"20190312154530740"</f>
        <v>20190312154530740</v>
      </c>
      <c r="B1244" t="str">
        <f>"1552376730737662"</f>
        <v>1552376730737662</v>
      </c>
      <c r="C1244" t="s">
        <v>40</v>
      </c>
      <c r="D1244">
        <v>5.0303180000000003</v>
      </c>
      <c r="E1244">
        <v>0.67676789999999998</v>
      </c>
      <c r="F1244" t="s">
        <v>53</v>
      </c>
      <c r="G1244">
        <v>-200.11760000000001</v>
      </c>
      <c r="H1244" s="1">
        <v>1.5912159999999999E-6</v>
      </c>
      <c r="I1244">
        <v>291.02339999999998</v>
      </c>
      <c r="J1244">
        <v>-194.8912</v>
      </c>
      <c r="K1244">
        <v>1.1051879999999901</v>
      </c>
      <c r="L1244">
        <v>293.45479999999998</v>
      </c>
      <c r="M1244">
        <v>-0.49074000000000001</v>
      </c>
      <c r="N1244">
        <v>0</v>
      </c>
      <c r="O1244">
        <v>-0.87118980000000001</v>
      </c>
      <c r="P1244">
        <v>-0.63439250000000003</v>
      </c>
      <c r="Q1244">
        <v>3.0497509999999999E-2</v>
      </c>
      <c r="R1244">
        <v>-0.77240920000000002</v>
      </c>
      <c r="S1244">
        <v>-2.9994809999999998</v>
      </c>
      <c r="T1244">
        <v>-0.62173579999999995</v>
      </c>
      <c r="U1244">
        <v>-1.46286</v>
      </c>
      <c r="V1244">
        <v>0.17415820000000001</v>
      </c>
      <c r="W1244">
        <v>4.2437500000000003E-2</v>
      </c>
      <c r="X1244">
        <v>0.98380279999999998</v>
      </c>
      <c r="Y1244">
        <v>0.55043379999999997</v>
      </c>
      <c r="Z1244">
        <v>0.18732109999999999</v>
      </c>
      <c r="AA1244">
        <v>0.81359300000000001</v>
      </c>
      <c r="AB1244">
        <v>20</v>
      </c>
      <c r="AC1244">
        <v>-5.2264000000000097</v>
      </c>
      <c r="AD1244">
        <v>-1.10518640878399</v>
      </c>
      <c r="AE1244">
        <v>-2.4313999999999898</v>
      </c>
      <c r="AF1244">
        <v>3.2411938913609801</v>
      </c>
      <c r="AG1244">
        <v>-1.10518640878399</v>
      </c>
      <c r="AH1244">
        <v>4.51742636648006</v>
      </c>
      <c r="AI1244">
        <v>101.24260178189</v>
      </c>
      <c r="AJ1244">
        <v>54.3410588157966</v>
      </c>
      <c r="AK1244">
        <v>5.6686784893946696</v>
      </c>
      <c r="AL1244">
        <v>87.567779899081302</v>
      </c>
      <c r="AM1244">
        <v>79.961188267749094</v>
      </c>
      <c r="AN1244">
        <v>0.99999998466066398</v>
      </c>
    </row>
    <row r="1245" spans="1:40" x14ac:dyDescent="0.25">
      <c r="A1245" t="str">
        <f>"20190312154530763"</f>
        <v>20190312154530763</v>
      </c>
      <c r="B1245" t="str">
        <f>"1552376730757182"</f>
        <v>1552376730757182</v>
      </c>
      <c r="C1245" t="s">
        <v>40</v>
      </c>
      <c r="D1245">
        <v>4.9482369999999998</v>
      </c>
      <c r="E1245">
        <v>0.67571099999999995</v>
      </c>
      <c r="F1245" t="s">
        <v>53</v>
      </c>
      <c r="G1245">
        <v>-200.21299999999999</v>
      </c>
      <c r="H1245" s="1">
        <v>1.6589619999999999E-6</v>
      </c>
      <c r="I1245">
        <v>290.90269999999998</v>
      </c>
      <c r="J1245">
        <v>-194.9983</v>
      </c>
      <c r="K1245">
        <v>1.105202</v>
      </c>
      <c r="L1245">
        <v>293.28649999999999</v>
      </c>
      <c r="M1245">
        <v>-0.49867210000000001</v>
      </c>
      <c r="N1245">
        <v>0</v>
      </c>
      <c r="O1245">
        <v>-0.86667419999999995</v>
      </c>
      <c r="P1245">
        <v>-0.64151610000000003</v>
      </c>
      <c r="Q1245">
        <v>3.054685E-2</v>
      </c>
      <c r="R1245">
        <v>-0.76650169999999995</v>
      </c>
      <c r="S1245">
        <v>-3.004562</v>
      </c>
      <c r="T1245">
        <v>-0.62396249999999998</v>
      </c>
      <c r="U1245">
        <v>-1.440887</v>
      </c>
      <c r="V1245">
        <v>0.17428550000000001</v>
      </c>
      <c r="W1245">
        <v>4.2487049999999998E-2</v>
      </c>
      <c r="X1245">
        <v>0.98377809999999999</v>
      </c>
      <c r="Y1245">
        <v>0.54812749999999999</v>
      </c>
      <c r="Z1245">
        <v>0.18773200000000001</v>
      </c>
      <c r="AA1245">
        <v>0.8150539</v>
      </c>
      <c r="AB1245">
        <v>20</v>
      </c>
      <c r="AC1245">
        <v>-5.2146999999999899</v>
      </c>
      <c r="AD1245">
        <v>-1.105200341038</v>
      </c>
      <c r="AE1245">
        <v>-2.3837999999999999</v>
      </c>
      <c r="AF1245">
        <v>3.2117188336934199</v>
      </c>
      <c r="AG1245">
        <v>-1.105200341038</v>
      </c>
      <c r="AH1245">
        <v>4.4996920344201898</v>
      </c>
      <c r="AI1245">
        <v>101.30530386448</v>
      </c>
      <c r="AJ1245">
        <v>54.482114991619397</v>
      </c>
      <c r="AK1245">
        <v>5.6377153231744597</v>
      </c>
      <c r="AL1245">
        <v>87.564938288416798</v>
      </c>
      <c r="AM1245">
        <v>79.9537527767976</v>
      </c>
      <c r="AN1245">
        <v>0.99999996748377995</v>
      </c>
    </row>
    <row r="1246" spans="1:40" x14ac:dyDescent="0.25">
      <c r="A1246" t="str">
        <f>"20190312154530785"</f>
        <v>20190312154530785</v>
      </c>
      <c r="B1246" t="str">
        <f>"1552376730777678"</f>
        <v>1552376730777678</v>
      </c>
      <c r="C1246" t="s">
        <v>40</v>
      </c>
      <c r="D1246">
        <v>5.0277830000000003</v>
      </c>
      <c r="E1246">
        <v>0.67469539999999995</v>
      </c>
      <c r="F1246" t="s">
        <v>53</v>
      </c>
      <c r="G1246">
        <v>-200.28630000000001</v>
      </c>
      <c r="H1246" s="1">
        <v>1.713798E-6</v>
      </c>
      <c r="I1246">
        <v>290.79419999999999</v>
      </c>
      <c r="J1246">
        <v>-195.1069</v>
      </c>
      <c r="K1246">
        <v>1.1052109999999999</v>
      </c>
      <c r="L1246">
        <v>293.11939999999998</v>
      </c>
      <c r="M1246">
        <v>-0.5065518</v>
      </c>
      <c r="N1246">
        <v>0</v>
      </c>
      <c r="O1246">
        <v>-0.86209230000000003</v>
      </c>
      <c r="P1246">
        <v>-0.64885660000000001</v>
      </c>
      <c r="Q1246">
        <v>2.9350770000000002E-2</v>
      </c>
      <c r="R1246">
        <v>-0.76034460000000004</v>
      </c>
      <c r="S1246">
        <v>-3.0108799999999998</v>
      </c>
      <c r="T1246">
        <v>-0.62928209999999996</v>
      </c>
      <c r="U1246">
        <v>-1.4190670000000001</v>
      </c>
      <c r="V1246">
        <v>0.1747377</v>
      </c>
      <c r="W1246">
        <v>4.1287440000000002E-2</v>
      </c>
      <c r="X1246">
        <v>0.98374899999999998</v>
      </c>
      <c r="Y1246">
        <v>0.54577969999999998</v>
      </c>
      <c r="Z1246">
        <v>0.18895049999999999</v>
      </c>
      <c r="AA1246">
        <v>0.81634689999999999</v>
      </c>
      <c r="AB1246">
        <v>20</v>
      </c>
      <c r="AC1246">
        <v>-5.17940000000001</v>
      </c>
      <c r="AD1246">
        <v>-1.105209286202</v>
      </c>
      <c r="AE1246">
        <v>-2.3251999999999899</v>
      </c>
      <c r="AF1246">
        <v>3.1675806970507598</v>
      </c>
      <c r="AG1246">
        <v>-1.105209286202</v>
      </c>
      <c r="AH1246">
        <v>4.4596374281073299</v>
      </c>
      <c r="AI1246">
        <v>101.422592131443</v>
      </c>
      <c r="AJ1246">
        <v>54.6146738159526</v>
      </c>
      <c r="AK1246">
        <v>5.5806290889837404</v>
      </c>
      <c r="AL1246">
        <v>87.633731352022906</v>
      </c>
      <c r="AM1246">
        <v>79.9279280119964</v>
      </c>
      <c r="AN1246">
        <v>1.00000000575202</v>
      </c>
    </row>
    <row r="1247" spans="1:40" x14ac:dyDescent="0.25">
      <c r="A1247" t="str">
        <f>"20190312154530807"</f>
        <v>20190312154530807</v>
      </c>
      <c r="B1247" t="str">
        <f>"1552376730797199"</f>
        <v>1552376730797199</v>
      </c>
      <c r="C1247" t="s">
        <v>40</v>
      </c>
      <c r="D1247">
        <v>5.0057609999999997</v>
      </c>
      <c r="E1247">
        <v>0.67373159999999999</v>
      </c>
      <c r="F1247" t="s">
        <v>53</v>
      </c>
      <c r="G1247">
        <v>-200.4025</v>
      </c>
      <c r="H1247" s="1">
        <v>1.7917299999999999E-6</v>
      </c>
      <c r="I1247">
        <v>290.67320000000001</v>
      </c>
      <c r="J1247">
        <v>-195.21950000000001</v>
      </c>
      <c r="K1247">
        <v>1.105224</v>
      </c>
      <c r="L1247">
        <v>292.94979999999998</v>
      </c>
      <c r="M1247">
        <v>-0.51456109999999999</v>
      </c>
      <c r="N1247">
        <v>0</v>
      </c>
      <c r="O1247">
        <v>-0.85733590000000004</v>
      </c>
      <c r="P1247">
        <v>-0.65604149999999894</v>
      </c>
      <c r="Q1247">
        <v>2.8748989999999999E-2</v>
      </c>
      <c r="R1247">
        <v>-0.75417730000000005</v>
      </c>
      <c r="S1247">
        <v>-3.018265</v>
      </c>
      <c r="T1247">
        <v>-0.62992360000000003</v>
      </c>
      <c r="U1247">
        <v>-1.394226</v>
      </c>
      <c r="V1247">
        <v>0.1748864</v>
      </c>
      <c r="W1247">
        <v>4.0686170000000001E-2</v>
      </c>
      <c r="X1247">
        <v>0.98374760000000006</v>
      </c>
      <c r="Y1247">
        <v>0.54431459999999998</v>
      </c>
      <c r="Z1247">
        <v>0.18883169999999999</v>
      </c>
      <c r="AA1247">
        <v>0.81735199999999997</v>
      </c>
      <c r="AB1247">
        <v>20</v>
      </c>
      <c r="AC1247">
        <v>-5.1829999999999901</v>
      </c>
      <c r="AD1247">
        <v>-1.1052222082700001</v>
      </c>
      <c r="AE1247">
        <v>-2.27659999999997</v>
      </c>
      <c r="AF1247">
        <v>3.1522963152990799</v>
      </c>
      <c r="AG1247">
        <v>-1.1052222082700001</v>
      </c>
      <c r="AH1247">
        <v>4.4496402827100399</v>
      </c>
      <c r="AI1247">
        <v>101.457386214096</v>
      </c>
      <c r="AJ1247">
        <v>54.684775808358602</v>
      </c>
      <c r="AK1247">
        <v>5.5639722172758299</v>
      </c>
      <c r="AL1247">
        <v>87.668210496390202</v>
      </c>
      <c r="AM1247">
        <v>79.919518441453903</v>
      </c>
      <c r="AN1247">
        <v>0.99999997891999404</v>
      </c>
    </row>
    <row r="1248" spans="1:40" x14ac:dyDescent="0.25">
      <c r="A1248" t="str">
        <f>"20190312154530832"</f>
        <v>20190312154530832</v>
      </c>
      <c r="B1248" t="str">
        <f>"1552376730827454"</f>
        <v>1552376730827454</v>
      </c>
      <c r="C1248" t="s">
        <v>40</v>
      </c>
      <c r="D1248">
        <v>5.0186449999999896</v>
      </c>
      <c r="E1248">
        <v>0.67222510000000002</v>
      </c>
      <c r="F1248" t="s">
        <v>53</v>
      </c>
      <c r="G1248">
        <v>-200.50899999999999</v>
      </c>
      <c r="H1248" s="1">
        <v>1.86474E-6</v>
      </c>
      <c r="I1248">
        <v>290.55340000000001</v>
      </c>
      <c r="J1248">
        <v>-195.3426</v>
      </c>
      <c r="K1248">
        <v>1.10524</v>
      </c>
      <c r="L1248">
        <v>292.76819999999998</v>
      </c>
      <c r="M1248">
        <v>-0.52314510000000003</v>
      </c>
      <c r="N1248">
        <v>0</v>
      </c>
      <c r="O1248">
        <v>-0.85212500000000002</v>
      </c>
      <c r="P1248">
        <v>-0.66418540000000004</v>
      </c>
      <c r="Q1248">
        <v>2.8689019999999999E-2</v>
      </c>
      <c r="R1248">
        <v>-0.74701719999999905</v>
      </c>
      <c r="S1248">
        <v>-3.0251160000000001</v>
      </c>
      <c r="T1248">
        <v>-0.63208599999999904</v>
      </c>
      <c r="U1248">
        <v>-1.370514</v>
      </c>
      <c r="V1248">
        <v>0.1756769</v>
      </c>
      <c r="W1248">
        <v>4.0617090000000002E-2</v>
      </c>
      <c r="X1248">
        <v>0.98360959999999997</v>
      </c>
      <c r="Y1248">
        <v>0.54187919999999901</v>
      </c>
      <c r="Z1248">
        <v>0.18902740000000001</v>
      </c>
      <c r="AA1248">
        <v>0.81892349999999903</v>
      </c>
      <c r="AB1248">
        <v>20</v>
      </c>
      <c r="AC1248">
        <v>-5.1664000000000003</v>
      </c>
      <c r="AD1248">
        <v>-1.10523813526</v>
      </c>
      <c r="AE1248">
        <v>-2.2147999999999599</v>
      </c>
      <c r="AF1248">
        <v>3.1233356403836101</v>
      </c>
      <c r="AG1248">
        <v>-1.10523813526</v>
      </c>
      <c r="AH1248">
        <v>4.4196618365588201</v>
      </c>
      <c r="AI1248">
        <v>101.542438604938</v>
      </c>
      <c r="AJ1248">
        <v>54.751491665454502</v>
      </c>
      <c r="AK1248">
        <v>5.5236027742459903</v>
      </c>
      <c r="AL1248">
        <v>87.672171773357903</v>
      </c>
      <c r="AM1248">
        <v>79.873503392550802</v>
      </c>
      <c r="AN1248">
        <v>0.99999998320291805</v>
      </c>
    </row>
    <row r="1249" spans="1:40" x14ac:dyDescent="0.25">
      <c r="A1249" t="str">
        <f>"20190312154530876"</f>
        <v>20190312154530876</v>
      </c>
      <c r="B1249" t="str">
        <f>"1552376730867471"</f>
        <v>1552376730867471</v>
      </c>
      <c r="C1249" t="s">
        <v>40</v>
      </c>
      <c r="D1249">
        <v>4.9965919999999997</v>
      </c>
      <c r="E1249">
        <v>0.67032740000000002</v>
      </c>
      <c r="F1249" t="s">
        <v>53</v>
      </c>
      <c r="G1249">
        <v>-200.63380000000001</v>
      </c>
      <c r="H1249" s="1">
        <v>1.9496240000000002E-6</v>
      </c>
      <c r="I1249">
        <v>290.41669999999999</v>
      </c>
      <c r="J1249">
        <v>-195.5635</v>
      </c>
      <c r="K1249">
        <v>1.105262</v>
      </c>
      <c r="L1249">
        <v>292.45150000000001</v>
      </c>
      <c r="M1249">
        <v>-0.53813169999999899</v>
      </c>
      <c r="N1249">
        <v>0</v>
      </c>
      <c r="O1249">
        <v>-0.84274119999999997</v>
      </c>
      <c r="P1249">
        <v>-0.67785810000000002</v>
      </c>
      <c r="Q1249">
        <v>2.804251E-2</v>
      </c>
      <c r="R1249">
        <v>-0.73465800000000003</v>
      </c>
      <c r="S1249">
        <v>-3.0297700000000001</v>
      </c>
      <c r="T1249">
        <v>-0.63286469999999995</v>
      </c>
      <c r="U1249">
        <v>-1.346436</v>
      </c>
      <c r="V1249">
        <v>0.17641229999999999</v>
      </c>
      <c r="W1249">
        <v>3.9962919999999999E-2</v>
      </c>
      <c r="X1249">
        <v>0.98350479999999996</v>
      </c>
      <c r="Y1249">
        <v>0.53308769999999905</v>
      </c>
      <c r="Z1249">
        <v>0.1880812</v>
      </c>
      <c r="AA1249">
        <v>0.82488969999999995</v>
      </c>
      <c r="AB1249">
        <v>19</v>
      </c>
      <c r="AC1249">
        <v>-5.0702999999999996</v>
      </c>
      <c r="AD1249">
        <v>-1.1052600503759999</v>
      </c>
      <c r="AE1249">
        <v>-2.0348000000000099</v>
      </c>
      <c r="AF1249">
        <v>3.05331786522413</v>
      </c>
      <c r="AG1249">
        <v>-1.1052600503759999</v>
      </c>
      <c r="AH1249">
        <v>4.2690287768718402</v>
      </c>
      <c r="AI1249">
        <v>101.891799807425</v>
      </c>
      <c r="AJ1249">
        <v>54.426686772806399</v>
      </c>
      <c r="AK1249">
        <v>5.3636700553645102</v>
      </c>
      <c r="AL1249">
        <v>87.709683481640695</v>
      </c>
      <c r="AM1249">
        <v>79.8309347121602</v>
      </c>
      <c r="AN1249">
        <v>1.0000000130946201</v>
      </c>
    </row>
    <row r="1250" spans="1:40" x14ac:dyDescent="0.25">
      <c r="A1250" t="str">
        <f>"20190312154530896"</f>
        <v>20190312154530896</v>
      </c>
      <c r="B1250" t="str">
        <f>"1552376730887967"</f>
        <v>1552376730887967</v>
      </c>
      <c r="C1250" t="s">
        <v>40</v>
      </c>
      <c r="D1250">
        <v>4.9074770000000001</v>
      </c>
      <c r="E1250">
        <v>0.66936149999999905</v>
      </c>
      <c r="F1250" t="s">
        <v>53</v>
      </c>
      <c r="G1250">
        <v>-200.8742</v>
      </c>
      <c r="H1250" s="1">
        <v>2.0928309999999999E-6</v>
      </c>
      <c r="I1250">
        <v>290.18119999999999</v>
      </c>
      <c r="J1250">
        <v>-195.6712</v>
      </c>
      <c r="K1250">
        <v>1.1052649999999999</v>
      </c>
      <c r="L1250">
        <v>292.30130000000003</v>
      </c>
      <c r="M1250">
        <v>-0.545261</v>
      </c>
      <c r="N1250">
        <v>0</v>
      </c>
      <c r="O1250">
        <v>-0.8381459</v>
      </c>
      <c r="P1250">
        <v>-0.68424269999999998</v>
      </c>
      <c r="Q1250">
        <v>2.7960659999999998E-2</v>
      </c>
      <c r="R1250">
        <v>-0.72871790000000003</v>
      </c>
      <c r="S1250">
        <v>-3.0423429999999998</v>
      </c>
      <c r="T1250">
        <v>-0.63317279999999998</v>
      </c>
      <c r="U1250">
        <v>-1.3005679999999999</v>
      </c>
      <c r="V1250">
        <v>0.17664850000000001</v>
      </c>
      <c r="W1250">
        <v>3.9877639999999999E-2</v>
      </c>
      <c r="X1250">
        <v>0.9834659</v>
      </c>
      <c r="Y1250">
        <v>0.53759709999999905</v>
      </c>
      <c r="Z1250">
        <v>0.18839349999999999</v>
      </c>
      <c r="AA1250">
        <v>0.82188639999999902</v>
      </c>
      <c r="AB1250">
        <v>19</v>
      </c>
      <c r="AC1250">
        <v>-5.2030000000000003</v>
      </c>
      <c r="AD1250">
        <v>-1.1052629071690001</v>
      </c>
      <c r="AE1250">
        <v>-2.1201000000000301</v>
      </c>
      <c r="AF1250">
        <v>3.0857694993439102</v>
      </c>
      <c r="AG1250">
        <v>-1.1052629071690001</v>
      </c>
      <c r="AH1250">
        <v>4.4424875798720898</v>
      </c>
      <c r="AI1250">
        <v>101.54863324647501</v>
      </c>
      <c r="AJ1250">
        <v>55.216002800639998</v>
      </c>
      <c r="AK1250">
        <v>5.5208038721152404</v>
      </c>
      <c r="AL1250">
        <v>87.714573642582806</v>
      </c>
      <c r="AM1250">
        <v>79.817209622138293</v>
      </c>
      <c r="AN1250">
        <v>1.00000004759351</v>
      </c>
    </row>
    <row r="1251" spans="1:40" x14ac:dyDescent="0.25">
      <c r="A1251" t="str">
        <f>"20190312154530919"</f>
        <v>20190312154530919</v>
      </c>
      <c r="B1251" t="str">
        <f>"1552376730907487"</f>
        <v>1552376730907487</v>
      </c>
      <c r="C1251" t="s">
        <v>40</v>
      </c>
      <c r="D1251">
        <v>4.9421860000000004</v>
      </c>
      <c r="E1251">
        <v>0.66850529999999997</v>
      </c>
      <c r="F1251" t="s">
        <v>53</v>
      </c>
      <c r="G1251">
        <v>-200.999</v>
      </c>
      <c r="H1251" s="1">
        <v>2.163144E-6</v>
      </c>
      <c r="I1251">
        <v>290.06799999999998</v>
      </c>
      <c r="J1251">
        <v>-195.7876</v>
      </c>
      <c r="K1251">
        <v>1.105262</v>
      </c>
      <c r="L1251">
        <v>292.14210000000003</v>
      </c>
      <c r="M1251">
        <v>-0.55285329999999999</v>
      </c>
      <c r="N1251">
        <v>0</v>
      </c>
      <c r="O1251">
        <v>-0.83315759999999905</v>
      </c>
      <c r="P1251">
        <v>-0.69156689999999998</v>
      </c>
      <c r="Q1251">
        <v>2.882608E-2</v>
      </c>
      <c r="R1251">
        <v>-0.72173730000000003</v>
      </c>
      <c r="S1251">
        <v>-3.0489959999999998</v>
      </c>
      <c r="T1251">
        <v>-0.63252819999999899</v>
      </c>
      <c r="U1251">
        <v>-1.2781070000000001</v>
      </c>
      <c r="V1251">
        <v>0.17767450000000001</v>
      </c>
      <c r="W1251">
        <v>4.0724280000000002E-2</v>
      </c>
      <c r="X1251">
        <v>0.98324630000000002</v>
      </c>
      <c r="Y1251">
        <v>0.53586859999999903</v>
      </c>
      <c r="Z1251">
        <v>0.18773010000000001</v>
      </c>
      <c r="AA1251">
        <v>0.82316599999999995</v>
      </c>
      <c r="AB1251">
        <v>19</v>
      </c>
      <c r="AC1251">
        <v>-5.2114000000000198</v>
      </c>
      <c r="AD1251">
        <v>-1.105259836856</v>
      </c>
      <c r="AE1251">
        <v>-2.07410000000004</v>
      </c>
      <c r="AF1251">
        <v>3.07612232507475</v>
      </c>
      <c r="AG1251">
        <v>-1.105259836856</v>
      </c>
      <c r="AH1251">
        <v>4.4373562198687804</v>
      </c>
      <c r="AI1251">
        <v>101.568823141582</v>
      </c>
      <c r="AJ1251">
        <v>55.269018128165598</v>
      </c>
      <c r="AK1251">
        <v>5.51128461320938</v>
      </c>
      <c r="AL1251">
        <v>87.666025170467506</v>
      </c>
      <c r="AM1251">
        <v>79.757075811804199</v>
      </c>
      <c r="AN1251">
        <v>0.99999999069772905</v>
      </c>
    </row>
    <row r="1252" spans="1:40" x14ac:dyDescent="0.25">
      <c r="A1252" t="str">
        <f>"20190312154530941"</f>
        <v>20190312154530941</v>
      </c>
      <c r="B1252" t="str">
        <f>"1552376730937742"</f>
        <v>1552376730937742</v>
      </c>
      <c r="C1252" t="s">
        <v>40</v>
      </c>
      <c r="D1252">
        <v>4.9150679999999998</v>
      </c>
      <c r="E1252">
        <v>0.66853969999999996</v>
      </c>
      <c r="F1252" t="s">
        <v>53</v>
      </c>
      <c r="G1252">
        <v>-201.17840000000001</v>
      </c>
      <c r="H1252" s="1">
        <v>2.260333E-6</v>
      </c>
      <c r="I1252">
        <v>289.9348</v>
      </c>
      <c r="J1252">
        <v>-195.90440000000001</v>
      </c>
      <c r="K1252">
        <v>1.10524</v>
      </c>
      <c r="L1252">
        <v>291.9853</v>
      </c>
      <c r="M1252">
        <v>-0.56038250000000001</v>
      </c>
      <c r="N1252">
        <v>0</v>
      </c>
      <c r="O1252">
        <v>-0.82811239999999997</v>
      </c>
      <c r="P1252">
        <v>-0.69890620000000003</v>
      </c>
      <c r="Q1252">
        <v>2.9311810000000001E-2</v>
      </c>
      <c r="R1252">
        <v>-0.71461280000000005</v>
      </c>
      <c r="S1252">
        <v>-3.0575869999999998</v>
      </c>
      <c r="T1252">
        <v>-0.62688650000000001</v>
      </c>
      <c r="U1252">
        <v>-1.251892</v>
      </c>
      <c r="V1252">
        <v>0.17882919999999999</v>
      </c>
      <c r="W1252">
        <v>4.1184999999999999E-2</v>
      </c>
      <c r="X1252">
        <v>0.98301769999999999</v>
      </c>
      <c r="Y1252">
        <v>0.53550120000000001</v>
      </c>
      <c r="Z1252">
        <v>0.18567149999999999</v>
      </c>
      <c r="AA1252">
        <v>0.82387169999999899</v>
      </c>
      <c r="AB1252">
        <v>19</v>
      </c>
      <c r="AC1252">
        <v>-5.274</v>
      </c>
      <c r="AD1252">
        <v>-1.1052377396669999</v>
      </c>
      <c r="AE1252">
        <v>-2.0504999999999902</v>
      </c>
      <c r="AF1252">
        <v>3.1004424278482601</v>
      </c>
      <c r="AG1252">
        <v>-1.1052377396669999</v>
      </c>
      <c r="AH1252">
        <v>4.4829456259737901</v>
      </c>
      <c r="AI1252">
        <v>101.46255891549499</v>
      </c>
      <c r="AJ1252">
        <v>55.331943950395299</v>
      </c>
      <c r="AK1252">
        <v>5.5615730863689397</v>
      </c>
      <c r="AL1252">
        <v>87.639605579459698</v>
      </c>
      <c r="AM1252">
        <v>79.689584416982498</v>
      </c>
      <c r="AN1252">
        <v>0.999999942755463</v>
      </c>
    </row>
    <row r="1253" spans="1:40" x14ac:dyDescent="0.25">
      <c r="A1253" t="str">
        <f>"20190312154530988"</f>
        <v>20190312154530988</v>
      </c>
      <c r="B1253" t="str">
        <f>"1552376730977758"</f>
        <v>1552376730977758</v>
      </c>
      <c r="C1253" t="s">
        <v>40</v>
      </c>
      <c r="D1253">
        <v>4.9026170000000002</v>
      </c>
      <c r="E1253">
        <v>0.68017879999999997</v>
      </c>
      <c r="F1253" t="s">
        <v>53</v>
      </c>
      <c r="G1253">
        <v>-201.33090000000001</v>
      </c>
      <c r="H1253" s="1">
        <v>2.3417750000000001E-6</v>
      </c>
      <c r="I1253">
        <v>289.83019999999999</v>
      </c>
      <c r="J1253">
        <v>-196.15010000000001</v>
      </c>
      <c r="K1253">
        <v>1.105148</v>
      </c>
      <c r="L1253">
        <v>291.66570000000002</v>
      </c>
      <c r="M1253">
        <v>-0.57599619999999996</v>
      </c>
      <c r="N1253">
        <v>0</v>
      </c>
      <c r="O1253">
        <v>-0.81732879999999997</v>
      </c>
      <c r="P1253">
        <v>-0.71251880000000001</v>
      </c>
      <c r="Q1253">
        <v>3.0086740000000001E-2</v>
      </c>
      <c r="R1253">
        <v>-0.70100810000000002</v>
      </c>
      <c r="S1253">
        <v>-3.0714570000000001</v>
      </c>
      <c r="T1253">
        <v>-0.62558579999999997</v>
      </c>
      <c r="U1253">
        <v>-1.2198180000000001</v>
      </c>
      <c r="V1253">
        <v>0.17911659999999999</v>
      </c>
      <c r="W1253">
        <v>4.1923460000000003E-2</v>
      </c>
      <c r="X1253">
        <v>0.98293419999999998</v>
      </c>
      <c r="Y1253">
        <v>0.52858559999999999</v>
      </c>
      <c r="Z1253">
        <v>0.18363260000000001</v>
      </c>
      <c r="AA1253">
        <v>0.82878009999999902</v>
      </c>
      <c r="AB1253">
        <v>19</v>
      </c>
      <c r="AC1253">
        <v>-5.1807999999999996</v>
      </c>
      <c r="AD1253">
        <v>-1.1051456582250001</v>
      </c>
      <c r="AE1253">
        <v>-1.8355000000000199</v>
      </c>
      <c r="AF1253">
        <v>3.0540260663290999</v>
      </c>
      <c r="AG1253">
        <v>-1.1051456582250001</v>
      </c>
      <c r="AH1253">
        <v>4.31051187918127</v>
      </c>
      <c r="AI1253">
        <v>101.815783965333</v>
      </c>
      <c r="AJ1253">
        <v>54.682176890283202</v>
      </c>
      <c r="AK1253">
        <v>5.3971228261244901</v>
      </c>
      <c r="AL1253">
        <v>87.597258464190702</v>
      </c>
      <c r="AM1253">
        <v>79.672512216706096</v>
      </c>
      <c r="AN1253">
        <v>0.99999998721178496</v>
      </c>
    </row>
    <row r="1254" spans="1:40" x14ac:dyDescent="0.25">
      <c r="A1254" t="str">
        <f>"20190312154531008"</f>
        <v>20190312154531008</v>
      </c>
      <c r="B1254" t="str">
        <f>"1552376730997279"</f>
        <v>1552376730997279</v>
      </c>
      <c r="C1254" t="s">
        <v>40</v>
      </c>
      <c r="D1254">
        <v>4.8627659999999997</v>
      </c>
      <c r="E1254">
        <v>0.67926379999999997</v>
      </c>
      <c r="F1254" t="s">
        <v>53</v>
      </c>
      <c r="G1254">
        <v>-203.2987</v>
      </c>
      <c r="H1254" s="1">
        <v>3.2789379999999998E-6</v>
      </c>
      <c r="I1254">
        <v>289.20170000000002</v>
      </c>
      <c r="J1254">
        <v>-196.2646</v>
      </c>
      <c r="K1254">
        <v>1.1050949999999999</v>
      </c>
      <c r="L1254">
        <v>291.5213</v>
      </c>
      <c r="M1254">
        <v>-0.58317209999999997</v>
      </c>
      <c r="N1254">
        <v>0</v>
      </c>
      <c r="O1254">
        <v>-0.81222419999999995</v>
      </c>
      <c r="P1254">
        <v>-0.71847749999999999</v>
      </c>
      <c r="Q1254">
        <v>3.0128749999999999E-2</v>
      </c>
      <c r="R1254">
        <v>-0.69489769999999995</v>
      </c>
      <c r="S1254">
        <v>-3.159592</v>
      </c>
      <c r="T1254">
        <v>-0.48846600000000001</v>
      </c>
      <c r="U1254">
        <v>-1.0890500000000001</v>
      </c>
      <c r="V1254">
        <v>0.17885809999999999</v>
      </c>
      <c r="W1254">
        <v>4.1954419999999999E-2</v>
      </c>
      <c r="X1254">
        <v>0.98297999999999996</v>
      </c>
      <c r="Y1254">
        <v>0.56635400000000002</v>
      </c>
      <c r="Z1254">
        <v>0.14416279999999901</v>
      </c>
      <c r="AA1254">
        <v>0.8114557</v>
      </c>
      <c r="AB1254">
        <v>19</v>
      </c>
      <c r="AC1254">
        <v>-7.0340999999999898</v>
      </c>
      <c r="AD1254">
        <v>-1.1050917210619999</v>
      </c>
      <c r="AE1254">
        <v>-2.3195999999999799</v>
      </c>
      <c r="AF1254">
        <v>4.2660145911368996</v>
      </c>
      <c r="AG1254">
        <v>-1.1050917210619999</v>
      </c>
      <c r="AH1254">
        <v>5.85636181922745</v>
      </c>
      <c r="AI1254">
        <v>98.672098796066095</v>
      </c>
      <c r="AJ1254">
        <v>53.9288670649415</v>
      </c>
      <c r="AK1254">
        <v>7.3291938138827897</v>
      </c>
      <c r="AL1254">
        <v>87.595483144177095</v>
      </c>
      <c r="AM1254">
        <v>79.687566922236002</v>
      </c>
      <c r="AN1254">
        <v>1.00000003684657</v>
      </c>
    </row>
    <row r="1255" spans="1:40" x14ac:dyDescent="0.25">
      <c r="A1255" t="str">
        <f>"20190312154531032"</f>
        <v>20190312154531032</v>
      </c>
      <c r="B1255" t="str">
        <f>"1552376731027534"</f>
        <v>1552376731027534</v>
      </c>
      <c r="C1255" t="s">
        <v>40</v>
      </c>
      <c r="D1255">
        <v>4.8345570000000002</v>
      </c>
      <c r="E1255">
        <v>0.67778680000000002</v>
      </c>
      <c r="F1255" t="s">
        <v>53</v>
      </c>
      <c r="G1255">
        <v>-202.7962</v>
      </c>
      <c r="H1255" s="1">
        <v>3.0458920000000001E-6</v>
      </c>
      <c r="I1255">
        <v>289.31880000000001</v>
      </c>
      <c r="J1255">
        <v>-196.3999</v>
      </c>
      <c r="K1255">
        <v>1.1050530000000001</v>
      </c>
      <c r="L1255">
        <v>291.35419999999999</v>
      </c>
      <c r="M1255">
        <v>-0.59157999999999999</v>
      </c>
      <c r="N1255">
        <v>0</v>
      </c>
      <c r="O1255">
        <v>-0.80612069999999902</v>
      </c>
      <c r="P1255">
        <v>-0.72542479999999998</v>
      </c>
      <c r="Q1255">
        <v>3.025771E-2</v>
      </c>
      <c r="R1255">
        <v>-0.68763609999999997</v>
      </c>
      <c r="S1255">
        <v>-3.1655730000000002</v>
      </c>
      <c r="T1255">
        <v>-0.53558600000000001</v>
      </c>
      <c r="U1255">
        <v>-1.0674440000000001</v>
      </c>
      <c r="V1255">
        <v>0.178533</v>
      </c>
      <c r="W1255">
        <v>4.2074960000000002E-2</v>
      </c>
      <c r="X1255">
        <v>0.98303390000000002</v>
      </c>
      <c r="Y1255">
        <v>0.56103419999999904</v>
      </c>
      <c r="Z1255">
        <v>0.1570279</v>
      </c>
      <c r="AA1255">
        <v>0.81276250000000005</v>
      </c>
      <c r="AB1255">
        <v>19</v>
      </c>
      <c r="AC1255">
        <v>-6.3962999999999903</v>
      </c>
      <c r="AD1255">
        <v>-1.1050499541079899</v>
      </c>
      <c r="AE1255">
        <v>-2.0353999999999801</v>
      </c>
      <c r="AF1255">
        <v>3.8481909736476601</v>
      </c>
      <c r="AG1255">
        <v>-1.1050499541079899</v>
      </c>
      <c r="AH1255">
        <v>5.2820905851264897</v>
      </c>
      <c r="AI1255">
        <v>99.597449952444805</v>
      </c>
      <c r="AJ1255">
        <v>53.925329892768701</v>
      </c>
      <c r="AK1255">
        <v>6.6279853741705903</v>
      </c>
      <c r="AL1255">
        <v>87.588570497808604</v>
      </c>
      <c r="AM1255">
        <v>79.706462463153301</v>
      </c>
      <c r="AN1255">
        <v>0.99999999144860496</v>
      </c>
    </row>
    <row r="1256" spans="1:40" x14ac:dyDescent="0.25">
      <c r="A1256" t="str">
        <f>"20190312154531075"</f>
        <v>20190312154531075</v>
      </c>
      <c r="B1256" t="str">
        <f>"1552376731067551"</f>
        <v>1552376731067551</v>
      </c>
      <c r="C1256" t="s">
        <v>40</v>
      </c>
      <c r="D1256">
        <v>4.8416550000000003</v>
      </c>
      <c r="E1256">
        <v>0.67603279999999999</v>
      </c>
      <c r="F1256" t="s">
        <v>53</v>
      </c>
      <c r="G1256">
        <v>-202.60230000000001</v>
      </c>
      <c r="H1256" s="1">
        <v>2.960552E-6</v>
      </c>
      <c r="I1256">
        <v>289.31119999999999</v>
      </c>
      <c r="J1256">
        <v>-196.63659999999999</v>
      </c>
      <c r="K1256">
        <v>1.1049639999999901</v>
      </c>
      <c r="L1256">
        <v>291.07060000000001</v>
      </c>
      <c r="M1256">
        <v>-0.60615649999999999</v>
      </c>
      <c r="N1256">
        <v>0</v>
      </c>
      <c r="O1256">
        <v>-0.79521779999999997</v>
      </c>
      <c r="P1256">
        <v>-0.73664069999999904</v>
      </c>
      <c r="Q1256">
        <v>3.1481000000000002E-2</v>
      </c>
      <c r="R1256">
        <v>-0.67555140000000002</v>
      </c>
      <c r="S1256">
        <v>-3.1694339999999999</v>
      </c>
      <c r="T1256">
        <v>-0.56468879999999999</v>
      </c>
      <c r="U1256">
        <v>-1.044006</v>
      </c>
      <c r="V1256">
        <v>0.17687020000000001</v>
      </c>
      <c r="W1256">
        <v>4.3300739999999997E-2</v>
      </c>
      <c r="X1256">
        <v>0.98328130000000002</v>
      </c>
      <c r="Y1256">
        <v>0.55037780000000003</v>
      </c>
      <c r="Z1256">
        <v>0.16381419999999999</v>
      </c>
      <c r="AA1256">
        <v>0.81868759999999996</v>
      </c>
      <c r="AB1256">
        <v>19</v>
      </c>
      <c r="AC1256">
        <v>-5.9657000000000204</v>
      </c>
      <c r="AD1256">
        <v>-1.1049610394479901</v>
      </c>
      <c r="AE1256">
        <v>-1.7594000000000201</v>
      </c>
      <c r="AF1256">
        <v>3.5654046215807602</v>
      </c>
      <c r="AG1256">
        <v>-1.1049610394479901</v>
      </c>
      <c r="AH1256">
        <v>4.8623039057689699</v>
      </c>
      <c r="AI1256">
        <v>100.384851841155</v>
      </c>
      <c r="AJ1256">
        <v>53.748345523963401</v>
      </c>
      <c r="AK1256">
        <v>6.1298489611362896</v>
      </c>
      <c r="AL1256">
        <v>87.518274585255796</v>
      </c>
      <c r="AM1256">
        <v>79.802823872550505</v>
      </c>
      <c r="AN1256">
        <v>1.0000000683311301</v>
      </c>
    </row>
    <row r="1257" spans="1:40" x14ac:dyDescent="0.25">
      <c r="A1257" t="str">
        <f>"20190312154531098"</f>
        <v>20190312154531098</v>
      </c>
      <c r="B1257" t="str">
        <f>"1552376731088046"</f>
        <v>1552376731088046</v>
      </c>
      <c r="C1257" t="s">
        <v>40</v>
      </c>
      <c r="D1257">
        <v>4.8647229999999997</v>
      </c>
      <c r="E1257">
        <v>0.67513449999999997</v>
      </c>
      <c r="F1257" t="s">
        <v>53</v>
      </c>
      <c r="G1257">
        <v>-202.66159999999999</v>
      </c>
      <c r="H1257" s="1">
        <v>2.9987979999999999E-6</v>
      </c>
      <c r="I1257">
        <v>289.17469999999997</v>
      </c>
      <c r="J1257">
        <v>-196.7704</v>
      </c>
      <c r="K1257">
        <v>1.104908</v>
      </c>
      <c r="L1257">
        <v>290.91520000000003</v>
      </c>
      <c r="M1257">
        <v>-0.61431880000000005</v>
      </c>
      <c r="N1257">
        <v>0</v>
      </c>
      <c r="O1257">
        <v>-0.7889292</v>
      </c>
      <c r="P1257">
        <v>-0.74310810000000005</v>
      </c>
      <c r="Q1257">
        <v>3.2423470000000003E-2</v>
      </c>
      <c r="R1257">
        <v>-0.66838589999999998</v>
      </c>
      <c r="S1257">
        <v>-3.17984</v>
      </c>
      <c r="T1257">
        <v>-0.58317099999999999</v>
      </c>
      <c r="U1257">
        <v>-1.00061</v>
      </c>
      <c r="V1257">
        <v>0.1762464</v>
      </c>
      <c r="W1257">
        <v>4.4241599999999999E-2</v>
      </c>
      <c r="X1257">
        <v>0.98335130000000004</v>
      </c>
      <c r="Y1257">
        <v>0.55176159999999996</v>
      </c>
      <c r="Z1257">
        <v>0.168692799999999</v>
      </c>
      <c r="AA1257">
        <v>0.81676309999999996</v>
      </c>
      <c r="AB1257">
        <v>19</v>
      </c>
      <c r="AC1257">
        <v>-5.8911999999999898</v>
      </c>
      <c r="AD1257">
        <v>-1.1049050012019901</v>
      </c>
      <c r="AE1257">
        <v>-1.7405000000000499</v>
      </c>
      <c r="AF1257">
        <v>3.4667263890495201</v>
      </c>
      <c r="AG1257">
        <v>-1.1049050012019901</v>
      </c>
      <c r="AH1257">
        <v>4.8362516949294498</v>
      </c>
      <c r="AI1257">
        <v>100.51917055537599</v>
      </c>
      <c r="AJ1257">
        <v>54.366254077814503</v>
      </c>
      <c r="AK1257">
        <v>6.0521349435485599</v>
      </c>
      <c r="AL1257">
        <v>87.464315254061702</v>
      </c>
      <c r="AM1257">
        <v>79.838745641964195</v>
      </c>
      <c r="AN1257">
        <v>0.999999945947603</v>
      </c>
    </row>
    <row r="1258" spans="1:40" x14ac:dyDescent="0.25">
      <c r="A1258" t="str">
        <f>"20190312154531143"</f>
        <v>20190312154531143</v>
      </c>
      <c r="B1258" t="str">
        <f>"1552376731137822"</f>
        <v>1552376731137822</v>
      </c>
      <c r="C1258" t="s">
        <v>40</v>
      </c>
      <c r="D1258">
        <v>4.9125389999999998</v>
      </c>
      <c r="E1258">
        <v>0.67329189999999906</v>
      </c>
      <c r="F1258" t="s">
        <v>53</v>
      </c>
      <c r="G1258">
        <v>-202.75360000000001</v>
      </c>
      <c r="H1258" s="1">
        <v>3.0475390000000001E-6</v>
      </c>
      <c r="I1258">
        <v>289.0838</v>
      </c>
      <c r="J1258">
        <v>-197.02520000000001</v>
      </c>
      <c r="K1258">
        <v>1.1047959999999999</v>
      </c>
      <c r="L1258">
        <v>290.62849999999997</v>
      </c>
      <c r="M1258">
        <v>-0.62968550000000001</v>
      </c>
      <c r="N1258">
        <v>0</v>
      </c>
      <c r="O1258">
        <v>-0.77671869999999998</v>
      </c>
      <c r="P1258">
        <v>-0.75575769999999998</v>
      </c>
      <c r="Q1258">
        <v>3.2856160000000002E-2</v>
      </c>
      <c r="R1258">
        <v>-0.65402680000000002</v>
      </c>
      <c r="S1258">
        <v>-3.1856990000000001</v>
      </c>
      <c r="T1258">
        <v>-0.58829609999999999</v>
      </c>
      <c r="U1258">
        <v>-0.9751282</v>
      </c>
      <c r="V1258">
        <v>0.17578769999999999</v>
      </c>
      <c r="W1258">
        <v>4.4659839999999999E-2</v>
      </c>
      <c r="X1258">
        <v>0.98341460000000003</v>
      </c>
      <c r="Y1258">
        <v>0.54180850000000003</v>
      </c>
      <c r="Z1258">
        <v>0.16822419999999999</v>
      </c>
      <c r="AA1258">
        <v>0.82349509999999904</v>
      </c>
      <c r="AB1258">
        <v>19</v>
      </c>
      <c r="AC1258">
        <v>-5.7283999999999899</v>
      </c>
      <c r="AD1258">
        <v>-1.1047929524609901</v>
      </c>
      <c r="AE1258">
        <v>-1.54469999999997</v>
      </c>
      <c r="AF1258">
        <v>3.3605110550194799</v>
      </c>
      <c r="AG1258">
        <v>-1.1047929524609901</v>
      </c>
      <c r="AH1258">
        <v>4.6462713278582397</v>
      </c>
      <c r="AI1258">
        <v>100.905424872148</v>
      </c>
      <c r="AJ1258">
        <v>54.122893402528099</v>
      </c>
      <c r="AK1258">
        <v>5.8396437623191799</v>
      </c>
      <c r="AL1258">
        <v>87.440328413017099</v>
      </c>
      <c r="AM1258">
        <v>79.865281309713197</v>
      </c>
      <c r="AN1258">
        <v>1.0000000461366301</v>
      </c>
    </row>
    <row r="1259" spans="1:40" x14ac:dyDescent="0.25">
      <c r="A1259" t="str">
        <f>"20190312154531165"</f>
        <v>20190312154531165</v>
      </c>
      <c r="B1259" t="str">
        <f>"1552376731157343"</f>
        <v>1552376731157343</v>
      </c>
      <c r="C1259" t="s">
        <v>40</v>
      </c>
      <c r="D1259">
        <v>4.9265210000000002</v>
      </c>
      <c r="E1259">
        <v>0.67223829999999996</v>
      </c>
      <c r="F1259" t="s">
        <v>53</v>
      </c>
      <c r="G1259">
        <v>-203.05869999999999</v>
      </c>
      <c r="H1259" s="1">
        <v>3.200372E-6</v>
      </c>
      <c r="I1259">
        <v>288.88299999999998</v>
      </c>
      <c r="J1259">
        <v>-197.15559999999999</v>
      </c>
      <c r="K1259">
        <v>1.1047469999999999</v>
      </c>
      <c r="L1259">
        <v>290.48649999999998</v>
      </c>
      <c r="M1259">
        <v>-0.6374493</v>
      </c>
      <c r="N1259">
        <v>0</v>
      </c>
      <c r="O1259">
        <v>-0.77035949999999997</v>
      </c>
      <c r="P1259">
        <v>-0.76263040000000004</v>
      </c>
      <c r="Q1259">
        <v>3.3201019999999998E-2</v>
      </c>
      <c r="R1259">
        <v>-0.64598199999999995</v>
      </c>
      <c r="S1259">
        <v>-3.195068</v>
      </c>
      <c r="T1259">
        <v>-0.58505399999999996</v>
      </c>
      <c r="U1259">
        <v>-0.92431640000000004</v>
      </c>
      <c r="V1259">
        <v>0.17633670000000001</v>
      </c>
      <c r="W1259">
        <v>4.498854E-2</v>
      </c>
      <c r="X1259">
        <v>0.98330130000000004</v>
      </c>
      <c r="Y1259">
        <v>0.54628840000000001</v>
      </c>
      <c r="Z1259">
        <v>0.1672246</v>
      </c>
      <c r="AA1259">
        <v>0.82073439999999998</v>
      </c>
      <c r="AB1259">
        <v>19</v>
      </c>
      <c r="AC1259">
        <v>-5.9030999999999896</v>
      </c>
      <c r="AD1259">
        <v>-1.1047437996279901</v>
      </c>
      <c r="AE1259">
        <v>-1.6034999999999899</v>
      </c>
      <c r="AF1259">
        <v>3.414353767977</v>
      </c>
      <c r="AG1259">
        <v>-1.1047437996279901</v>
      </c>
      <c r="AH1259">
        <v>4.8408166618895097</v>
      </c>
      <c r="AI1259">
        <v>100.56388876562001</v>
      </c>
      <c r="AJ1259">
        <v>54.803688936269197</v>
      </c>
      <c r="AK1259">
        <v>6.0259253621118098</v>
      </c>
      <c r="AL1259">
        <v>87.421476284383004</v>
      </c>
      <c r="AM1259">
        <v>79.833141906297001</v>
      </c>
      <c r="AN1259">
        <v>1.00000002353995</v>
      </c>
    </row>
    <row r="1260" spans="1:40" x14ac:dyDescent="0.25">
      <c r="A1260" t="str">
        <f>"20190312154531186"</f>
        <v>20190312154531186</v>
      </c>
      <c r="B1260" t="str">
        <f>"1552376731177840"</f>
        <v>1552376731177840</v>
      </c>
      <c r="C1260" t="s">
        <v>40</v>
      </c>
      <c r="D1260">
        <v>4.9111949999999904</v>
      </c>
      <c r="E1260">
        <v>0.67177580000000003</v>
      </c>
      <c r="F1260" t="s">
        <v>53</v>
      </c>
      <c r="G1260">
        <v>-203.24809999999999</v>
      </c>
      <c r="H1260" s="1">
        <v>3.2935439999999998E-6</v>
      </c>
      <c r="I1260">
        <v>288.77839999999998</v>
      </c>
      <c r="J1260">
        <v>-197.2884</v>
      </c>
      <c r="K1260">
        <v>1.1047149999999999</v>
      </c>
      <c r="L1260">
        <v>290.34519999999998</v>
      </c>
      <c r="M1260">
        <v>-0.64527880000000004</v>
      </c>
      <c r="N1260">
        <v>0</v>
      </c>
      <c r="O1260">
        <v>-0.76381299999999996</v>
      </c>
      <c r="P1260">
        <v>-0.77003239999999995</v>
      </c>
      <c r="Q1260">
        <v>3.3743780000000001E-2</v>
      </c>
      <c r="R1260">
        <v>-0.63711200000000001</v>
      </c>
      <c r="S1260">
        <v>-3.199249</v>
      </c>
      <c r="T1260">
        <v>-0.58011279999999998</v>
      </c>
      <c r="U1260">
        <v>-0.89697269999999896</v>
      </c>
      <c r="V1260">
        <v>0.17767529999999901</v>
      </c>
      <c r="W1260">
        <v>4.5507279999999997E-2</v>
      </c>
      <c r="X1260">
        <v>0.98303640000000003</v>
      </c>
      <c r="Y1260">
        <v>0.5449138</v>
      </c>
      <c r="Z1260">
        <v>0.16519449999999999</v>
      </c>
      <c r="AA1260">
        <v>0.82205830000000002</v>
      </c>
      <c r="AB1260">
        <v>19</v>
      </c>
      <c r="AC1260">
        <v>-5.95969999999999</v>
      </c>
      <c r="AD1260">
        <v>-1.1047117064559999</v>
      </c>
      <c r="AE1260">
        <v>-1.5668</v>
      </c>
      <c r="AF1260">
        <v>3.4311643324566701</v>
      </c>
      <c r="AG1260">
        <v>-1.1047117064559999</v>
      </c>
      <c r="AH1260">
        <v>4.8859020343989101</v>
      </c>
      <c r="AI1260">
        <v>100.48306754101201</v>
      </c>
      <c r="AJ1260">
        <v>54.921239523652602</v>
      </c>
      <c r="AK1260">
        <v>6.0716814244859103</v>
      </c>
      <c r="AL1260">
        <v>87.391724123200902</v>
      </c>
      <c r="AM1260">
        <v>79.754889885173299</v>
      </c>
      <c r="AN1260">
        <v>0.99999999424402397</v>
      </c>
    </row>
    <row r="1261" spans="1:40" x14ac:dyDescent="0.25">
      <c r="A1261" t="str">
        <f>"20190312154531210"</f>
        <v>20190312154531210</v>
      </c>
      <c r="B1261" t="str">
        <f>"1552376731197359"</f>
        <v>1552376731197359</v>
      </c>
      <c r="C1261" t="s">
        <v>40</v>
      </c>
      <c r="D1261">
        <v>4.8816860000000002</v>
      </c>
      <c r="E1261">
        <v>0.65854409999999997</v>
      </c>
      <c r="F1261" t="s">
        <v>53</v>
      </c>
      <c r="G1261">
        <v>-203.41130000000001</v>
      </c>
      <c r="H1261" s="1">
        <v>3.3730129999999999E-6</v>
      </c>
      <c r="I1261">
        <v>288.69690000000003</v>
      </c>
      <c r="J1261">
        <v>-197.42490000000001</v>
      </c>
      <c r="K1261">
        <v>1.104692</v>
      </c>
      <c r="L1261">
        <v>290.2029</v>
      </c>
      <c r="M1261">
        <v>-0.65324209999999905</v>
      </c>
      <c r="N1261">
        <v>0</v>
      </c>
      <c r="O1261">
        <v>-0.75701339999999995</v>
      </c>
      <c r="P1261">
        <v>-0.77759609999999901</v>
      </c>
      <c r="Q1261">
        <v>3.4228649999999999E-2</v>
      </c>
      <c r="R1261">
        <v>-0.62783149999999999</v>
      </c>
      <c r="S1261">
        <v>-3.207001</v>
      </c>
      <c r="T1261">
        <v>-0.57861509999999905</v>
      </c>
      <c r="U1261">
        <v>-0.86334230000000001</v>
      </c>
      <c r="V1261">
        <v>0.17916370000000001</v>
      </c>
      <c r="W1261">
        <v>4.5970270000000001E-2</v>
      </c>
      <c r="X1261">
        <v>0.98274470000000003</v>
      </c>
      <c r="Y1261">
        <v>0.54488110000000001</v>
      </c>
      <c r="Z1261">
        <v>0.16409460000000001</v>
      </c>
      <c r="AA1261">
        <v>0.82230020000000004</v>
      </c>
      <c r="AB1261">
        <v>19</v>
      </c>
      <c r="AC1261">
        <v>-5.9863999999999997</v>
      </c>
      <c r="AD1261">
        <v>-1.104688626987</v>
      </c>
      <c r="AE1261">
        <v>-1.50599999999997</v>
      </c>
      <c r="AF1261">
        <v>3.4382547338666298</v>
      </c>
      <c r="AG1261">
        <v>-1.104688626987</v>
      </c>
      <c r="AH1261">
        <v>4.8944033401100899</v>
      </c>
      <c r="AI1261">
        <v>100.463946164025</v>
      </c>
      <c r="AJ1261">
        <v>54.912457419968099</v>
      </c>
      <c r="AK1261">
        <v>6.0825255143921497</v>
      </c>
      <c r="AL1261">
        <v>87.365169029340606</v>
      </c>
      <c r="AM1261">
        <v>79.667905957221507</v>
      </c>
      <c r="AN1261">
        <v>1.0000000212498199</v>
      </c>
    </row>
    <row r="1262" spans="1:40" x14ac:dyDescent="0.25">
      <c r="A1262" t="str">
        <f>"20190312154531235"</f>
        <v>20190312154531235</v>
      </c>
      <c r="B1262" t="str">
        <f>"1552376731227614"</f>
        <v>1552376731227614</v>
      </c>
      <c r="C1262" t="s">
        <v>40</v>
      </c>
      <c r="D1262">
        <v>4.9164669999999999</v>
      </c>
      <c r="E1262">
        <v>0.65669829999999996</v>
      </c>
      <c r="F1262" t="s">
        <v>53</v>
      </c>
      <c r="G1262">
        <v>-204.02670000000001</v>
      </c>
      <c r="H1262" s="1">
        <v>3.6804960000000001E-6</v>
      </c>
      <c r="I1262">
        <v>288.30169999999998</v>
      </c>
      <c r="J1262">
        <v>-197.57550000000001</v>
      </c>
      <c r="K1262">
        <v>1.104679</v>
      </c>
      <c r="L1262">
        <v>290.0496</v>
      </c>
      <c r="M1262">
        <v>-0.66190079999999996</v>
      </c>
      <c r="N1262">
        <v>0</v>
      </c>
      <c r="O1262">
        <v>-0.74945410000000001</v>
      </c>
      <c r="P1262">
        <v>-0.78571059999999904</v>
      </c>
      <c r="Q1262">
        <v>3.417945E-2</v>
      </c>
      <c r="R1262">
        <v>-0.61764909999999995</v>
      </c>
      <c r="S1262">
        <v>-3.1490330000000002</v>
      </c>
      <c r="T1262">
        <v>-0.52693129999999999</v>
      </c>
      <c r="U1262">
        <v>-0.90689090000000006</v>
      </c>
      <c r="V1262">
        <v>0.18067159999999999</v>
      </c>
      <c r="W1262">
        <v>4.5903579999999999E-2</v>
      </c>
      <c r="X1262">
        <v>0.98247169999999895</v>
      </c>
      <c r="Y1262">
        <v>0.52342860000000002</v>
      </c>
      <c r="Z1262">
        <v>0.14939669999999999</v>
      </c>
      <c r="AA1262">
        <v>0.83887019999999901</v>
      </c>
      <c r="AB1262">
        <v>19</v>
      </c>
      <c r="AC1262">
        <v>-6.4512</v>
      </c>
      <c r="AD1262">
        <v>-1.104675319504</v>
      </c>
      <c r="AE1262">
        <v>-1.74790000000001</v>
      </c>
      <c r="AF1262">
        <v>3.5805139371082699</v>
      </c>
      <c r="AG1262">
        <v>-1.104675319504</v>
      </c>
      <c r="AH1262">
        <v>5.4322115097068799</v>
      </c>
      <c r="AI1262">
        <v>99.636427583945505</v>
      </c>
      <c r="AJ1262">
        <v>56.610069379590897</v>
      </c>
      <c r="AK1262">
        <v>6.5991900640563301</v>
      </c>
      <c r="AL1262">
        <v>87.368994076058101</v>
      </c>
      <c r="AM1262">
        <v>79.580012506883705</v>
      </c>
      <c r="AN1262">
        <v>1.0000000035021299</v>
      </c>
    </row>
    <row r="1263" spans="1:40" x14ac:dyDescent="0.25">
      <c r="A1263" t="str">
        <f>"20190312154531279"</f>
        <v>20190312154531279</v>
      </c>
      <c r="B1263" t="str">
        <f>"1552376731267630"</f>
        <v>1552376731267630</v>
      </c>
      <c r="C1263" t="s">
        <v>40</v>
      </c>
      <c r="D1263">
        <v>4.8504969999999998</v>
      </c>
      <c r="E1263">
        <v>0.67781169999999902</v>
      </c>
      <c r="F1263" t="s">
        <v>53</v>
      </c>
      <c r="G1263">
        <v>-204.33529999999999</v>
      </c>
      <c r="H1263" s="1">
        <v>3.8290220000000003E-6</v>
      </c>
      <c r="I1263">
        <v>288.16800000000001</v>
      </c>
      <c r="J1263">
        <v>-197.8425</v>
      </c>
      <c r="K1263">
        <v>1.1046720000000001</v>
      </c>
      <c r="L1263">
        <v>289.78620000000001</v>
      </c>
      <c r="M1263">
        <v>-0.67692089999999905</v>
      </c>
      <c r="N1263">
        <v>0</v>
      </c>
      <c r="O1263">
        <v>-0.73591549999999994</v>
      </c>
      <c r="P1263">
        <v>-0.79966689999999996</v>
      </c>
      <c r="Q1263">
        <v>3.421358E-2</v>
      </c>
      <c r="R1263">
        <v>-0.59946840000000001</v>
      </c>
      <c r="S1263">
        <v>-3.1511230000000001</v>
      </c>
      <c r="T1263">
        <v>-0.5149473</v>
      </c>
      <c r="U1263">
        <v>-0.87710569999999899</v>
      </c>
      <c r="V1263">
        <v>0.18333550000000001</v>
      </c>
      <c r="W1263">
        <v>4.5911680000000003E-2</v>
      </c>
      <c r="X1263">
        <v>0.98197769999999995</v>
      </c>
      <c r="Y1263">
        <v>0.51452979999999904</v>
      </c>
      <c r="Z1263">
        <v>0.14428750000000001</v>
      </c>
      <c r="AA1263">
        <v>0.84524569999999999</v>
      </c>
      <c r="AB1263">
        <v>19</v>
      </c>
      <c r="AC1263">
        <v>-6.4927999999999804</v>
      </c>
      <c r="AD1263">
        <v>-1.104668170978</v>
      </c>
      <c r="AE1263">
        <v>-1.6182000000000001</v>
      </c>
      <c r="AF1263">
        <v>3.5854224442930902</v>
      </c>
      <c r="AG1263">
        <v>-1.104668170978</v>
      </c>
      <c r="AH1263">
        <v>5.4383317653766001</v>
      </c>
      <c r="AI1263">
        <v>99.625026798431605</v>
      </c>
      <c r="AJ1263">
        <v>56.603647049602301</v>
      </c>
      <c r="AK1263">
        <v>6.6068902111596097</v>
      </c>
      <c r="AL1263">
        <v>87.368529469642695</v>
      </c>
      <c r="AM1263">
        <v>79.424616188866295</v>
      </c>
      <c r="AN1263">
        <v>0.99999999560898101</v>
      </c>
    </row>
    <row r="1264" spans="1:40" x14ac:dyDescent="0.25">
      <c r="A1264" t="str">
        <f>"20190312154531322"</f>
        <v>20190312154531322</v>
      </c>
      <c r="B1264" t="str">
        <f>"1552376731317406"</f>
        <v>1552376731317406</v>
      </c>
      <c r="C1264" t="s">
        <v>40</v>
      </c>
      <c r="D1264">
        <v>4.745673</v>
      </c>
      <c r="E1264">
        <v>0.67924319999999905</v>
      </c>
      <c r="F1264" t="s">
        <v>53</v>
      </c>
      <c r="G1264">
        <v>-203.6987</v>
      </c>
      <c r="H1264" s="1">
        <v>3.5105410000000002E-6</v>
      </c>
      <c r="I1264">
        <v>288.58159999999998</v>
      </c>
      <c r="J1264">
        <v>-198.11619999999999</v>
      </c>
      <c r="K1264">
        <v>1.1047089999999999</v>
      </c>
      <c r="L1264">
        <v>289.52730000000003</v>
      </c>
      <c r="M1264">
        <v>-0.69180319999999995</v>
      </c>
      <c r="N1264">
        <v>0</v>
      </c>
      <c r="O1264">
        <v>-0.721943</v>
      </c>
      <c r="P1264">
        <v>-0.81332389999999999</v>
      </c>
      <c r="Q1264">
        <v>3.4908340000000003E-2</v>
      </c>
      <c r="R1264">
        <v>-0.58076300000000003</v>
      </c>
      <c r="S1264">
        <v>-3.2732540000000001</v>
      </c>
      <c r="T1264">
        <v>-0.61744829999999995</v>
      </c>
      <c r="U1264">
        <v>-0.67327879999999996</v>
      </c>
      <c r="V1264">
        <v>0.18604680000000001</v>
      </c>
      <c r="W1264">
        <v>4.6585210000000002E-2</v>
      </c>
      <c r="X1264">
        <v>0.98143590000000003</v>
      </c>
      <c r="Y1264">
        <v>0.54925330000000006</v>
      </c>
      <c r="Z1264">
        <v>0.1699753</v>
      </c>
      <c r="AA1264">
        <v>0.81818659999999999</v>
      </c>
      <c r="AB1264">
        <v>19</v>
      </c>
      <c r="AC1264">
        <v>-5.5824999999999996</v>
      </c>
      <c r="AD1264">
        <v>-1.1047054894589901</v>
      </c>
      <c r="AE1264">
        <v>-0.94570000000004395</v>
      </c>
      <c r="AF1264">
        <v>3.2525430755069502</v>
      </c>
      <c r="AG1264">
        <v>-1.1047054894589901</v>
      </c>
      <c r="AH1264">
        <v>4.3785255107007703</v>
      </c>
      <c r="AI1264">
        <v>101.44950032836201</v>
      </c>
      <c r="AJ1264">
        <v>53.393564999920798</v>
      </c>
      <c r="AK1264">
        <v>5.5651501618848096</v>
      </c>
      <c r="AL1264">
        <v>87.329897742782705</v>
      </c>
      <c r="AM1264">
        <v>79.266039175322405</v>
      </c>
      <c r="AN1264">
        <v>1.00000000969489</v>
      </c>
    </row>
    <row r="1265" spans="1:40" x14ac:dyDescent="0.25">
      <c r="A1265" t="str">
        <f>"20190312154531344"</f>
        <v>20190312154531344</v>
      </c>
      <c r="B1265" t="str">
        <f>"1552376731337902"</f>
        <v>1552376731337902</v>
      </c>
      <c r="C1265" t="s">
        <v>40</v>
      </c>
      <c r="D1265">
        <v>4.8818849999999996</v>
      </c>
      <c r="E1265">
        <v>0.67864869999999899</v>
      </c>
      <c r="F1265" t="s">
        <v>53</v>
      </c>
      <c r="G1265">
        <v>-204.39099999999999</v>
      </c>
      <c r="H1265" s="1">
        <v>3.8330829999999999E-6</v>
      </c>
      <c r="I1265">
        <v>288.4042</v>
      </c>
      <c r="J1265">
        <v>-198.26070000000001</v>
      </c>
      <c r="K1265">
        <v>1.1047340000000001</v>
      </c>
      <c r="L1265">
        <v>289.39490000000001</v>
      </c>
      <c r="M1265">
        <v>-0.69944139999999999</v>
      </c>
      <c r="N1265">
        <v>0</v>
      </c>
      <c r="O1265">
        <v>-0.71454549999999994</v>
      </c>
      <c r="P1265">
        <v>-0.81979590000000002</v>
      </c>
      <c r="Q1265">
        <v>3.4618250000000003E-2</v>
      </c>
      <c r="R1265">
        <v>-0.57160849999999996</v>
      </c>
      <c r="S1265">
        <v>-3.2926639999999998</v>
      </c>
      <c r="T1265">
        <v>-0.57968260000000005</v>
      </c>
      <c r="U1265">
        <v>-0.58932499999999999</v>
      </c>
      <c r="V1265">
        <v>0.18661520000000001</v>
      </c>
      <c r="W1265">
        <v>4.6298939999999997E-2</v>
      </c>
      <c r="X1265">
        <v>0.98134149999999998</v>
      </c>
      <c r="Y1265">
        <v>0.56359269999999995</v>
      </c>
      <c r="Z1265">
        <v>0.15990660000000001</v>
      </c>
      <c r="AA1265">
        <v>0.81042780000000003</v>
      </c>
      <c r="AB1265">
        <v>19</v>
      </c>
      <c r="AC1265">
        <v>-6.1302999999999699</v>
      </c>
      <c r="AD1265">
        <v>-1.104730166917</v>
      </c>
      <c r="AE1265">
        <v>-0.99070000000000402</v>
      </c>
      <c r="AF1265">
        <v>3.5746890984223998</v>
      </c>
      <c r="AG1265">
        <v>-1.104730166917</v>
      </c>
      <c r="AH1265">
        <v>4.8429304780645399</v>
      </c>
      <c r="AI1265">
        <v>100.39977630779499</v>
      </c>
      <c r="AJ1265">
        <v>53.568030072582502</v>
      </c>
      <c r="AK1265">
        <v>6.1198698113148504</v>
      </c>
      <c r="AL1265">
        <v>87.346317449578095</v>
      </c>
      <c r="AM1265">
        <v>79.232999289089605</v>
      </c>
      <c r="AN1265">
        <v>0.99999998216920605</v>
      </c>
    </row>
    <row r="1266" spans="1:40" x14ac:dyDescent="0.25">
      <c r="A1266" t="str">
        <f>"20190312154531364"</f>
        <v>20190312154531364</v>
      </c>
      <c r="B1266" t="str">
        <f>"1552376731357423"</f>
        <v>1552376731357423</v>
      </c>
      <c r="C1266" t="s">
        <v>40</v>
      </c>
      <c r="D1266">
        <v>4.8050059999999997</v>
      </c>
      <c r="E1266">
        <v>0.67735699999999999</v>
      </c>
      <c r="F1266" t="s">
        <v>53</v>
      </c>
      <c r="G1266">
        <v>-204.73439999999999</v>
      </c>
      <c r="H1266" s="1">
        <v>3.9940229999999998E-6</v>
      </c>
      <c r="I1266">
        <v>288.30509999999998</v>
      </c>
      <c r="J1266">
        <v>-198.38849999999999</v>
      </c>
      <c r="K1266">
        <v>1.1047640000000001</v>
      </c>
      <c r="L1266">
        <v>289.2801</v>
      </c>
      <c r="M1266">
        <v>-0.70607109999999995</v>
      </c>
      <c r="N1266">
        <v>0</v>
      </c>
      <c r="O1266">
        <v>-0.70799499999999904</v>
      </c>
      <c r="P1266">
        <v>-0.82506749999999995</v>
      </c>
      <c r="Q1266">
        <v>3.3865960000000001E-2</v>
      </c>
      <c r="R1266">
        <v>-0.56401849999999998</v>
      </c>
      <c r="S1266">
        <v>-3.2963100000000001</v>
      </c>
      <c r="T1266">
        <v>-0.56250800000000001</v>
      </c>
      <c r="U1266">
        <v>-0.55490109999999904</v>
      </c>
      <c r="V1266">
        <v>0.1865338</v>
      </c>
      <c r="W1266">
        <v>4.5560620000000003E-2</v>
      </c>
      <c r="X1266">
        <v>0.98139149999999997</v>
      </c>
      <c r="Y1266">
        <v>0.5653262</v>
      </c>
      <c r="Z1266">
        <v>0.15474849999999901</v>
      </c>
      <c r="AA1266">
        <v>0.81022169999999905</v>
      </c>
      <c r="AB1266">
        <v>19</v>
      </c>
      <c r="AC1266">
        <v>-6.3459000000000003</v>
      </c>
      <c r="AD1266">
        <v>-1.10476000597699</v>
      </c>
      <c r="AE1266">
        <v>-0.97500000000002196</v>
      </c>
      <c r="AF1266">
        <v>3.69542337008507</v>
      </c>
      <c r="AG1266">
        <v>-1.10476000597699</v>
      </c>
      <c r="AH1266">
        <v>5.0227694341619804</v>
      </c>
      <c r="AI1266">
        <v>100.046617117751</v>
      </c>
      <c r="AJ1266">
        <v>53.656810307145101</v>
      </c>
      <c r="AK1266">
        <v>6.3328399114243403</v>
      </c>
      <c r="AL1266">
        <v>87.388664683939993</v>
      </c>
      <c r="AM1266">
        <v>79.238121564482299</v>
      </c>
      <c r="AN1266">
        <v>0.99999995245473605</v>
      </c>
    </row>
    <row r="1267" spans="1:40" x14ac:dyDescent="0.25">
      <c r="A1267" t="str">
        <f>"20190312154531410"</f>
        <v>20190312154531410</v>
      </c>
      <c r="B1267" t="str">
        <f>"1552376731407199"</f>
        <v>1552376731407199</v>
      </c>
      <c r="C1267" t="s">
        <v>40</v>
      </c>
      <c r="D1267">
        <v>4.8008040000000003</v>
      </c>
      <c r="E1267">
        <v>0.67322459999999995</v>
      </c>
      <c r="F1267" t="s">
        <v>53</v>
      </c>
      <c r="G1267">
        <v>-204.88239999999999</v>
      </c>
      <c r="H1267" s="1">
        <v>4.0661720000000002E-6</v>
      </c>
      <c r="I1267">
        <v>288.23039999999997</v>
      </c>
      <c r="J1267">
        <v>-198.68039999999999</v>
      </c>
      <c r="K1267">
        <v>1.104833</v>
      </c>
      <c r="L1267">
        <v>289.0258</v>
      </c>
      <c r="M1267">
        <v>-0.72076799999999996</v>
      </c>
      <c r="N1267">
        <v>0</v>
      </c>
      <c r="O1267">
        <v>-0.69302730000000001</v>
      </c>
      <c r="P1267">
        <v>-0.83578719999999995</v>
      </c>
      <c r="Q1267">
        <v>3.37668E-2</v>
      </c>
      <c r="R1267">
        <v>-0.54801440000000001</v>
      </c>
      <c r="S1267">
        <v>-3.2949830000000002</v>
      </c>
      <c r="T1267">
        <v>-0.56055069999999996</v>
      </c>
      <c r="U1267">
        <v>-0.53259279999999998</v>
      </c>
      <c r="V1267">
        <v>0.18485090000000001</v>
      </c>
      <c r="W1267">
        <v>4.5514409999999998E-2</v>
      </c>
      <c r="X1267">
        <v>0.98171200000000003</v>
      </c>
      <c r="Y1267">
        <v>0.5537668</v>
      </c>
      <c r="Z1267">
        <v>0.15180189999999999</v>
      </c>
      <c r="AA1267">
        <v>0.81871759999999905</v>
      </c>
      <c r="AB1267">
        <v>19</v>
      </c>
      <c r="AC1267">
        <v>-6.2019999999999902</v>
      </c>
      <c r="AD1267">
        <v>-1.104828933828</v>
      </c>
      <c r="AE1267">
        <v>-0.79540000000002897</v>
      </c>
      <c r="AF1267">
        <v>3.6124582078999299</v>
      </c>
      <c r="AG1267">
        <v>-1.104828933828</v>
      </c>
      <c r="AH1267">
        <v>4.8699142488845499</v>
      </c>
      <c r="AI1267">
        <v>100.32657884701401</v>
      </c>
      <c r="AJ1267">
        <v>53.432311303356698</v>
      </c>
      <c r="AK1267">
        <v>6.1633242709057496</v>
      </c>
      <c r="AL1267">
        <v>87.391315022894702</v>
      </c>
      <c r="AM1267">
        <v>79.336379532230794</v>
      </c>
      <c r="AN1267">
        <v>0.99999993384622599</v>
      </c>
    </row>
    <row r="1268" spans="1:40" x14ac:dyDescent="0.25">
      <c r="A1268" t="str">
        <f>"20190312154531435"</f>
        <v>20190312154531435</v>
      </c>
      <c r="B1268" t="str">
        <f>"1552376731427696"</f>
        <v>1552376731427696</v>
      </c>
      <c r="C1268" t="s">
        <v>40</v>
      </c>
      <c r="D1268">
        <v>4.800478</v>
      </c>
      <c r="E1268">
        <v>0.67123129999999998</v>
      </c>
      <c r="F1268" t="s">
        <v>53</v>
      </c>
      <c r="G1268">
        <v>-205.24780000000001</v>
      </c>
      <c r="H1268" s="1">
        <v>4.2455649999999997E-6</v>
      </c>
      <c r="I1268">
        <v>288.03219999999999</v>
      </c>
      <c r="J1268">
        <v>-198.84</v>
      </c>
      <c r="K1268">
        <v>1.1048659999999999</v>
      </c>
      <c r="L1268">
        <v>288.8913</v>
      </c>
      <c r="M1268">
        <v>-0.72855080000000005</v>
      </c>
      <c r="N1268">
        <v>0</v>
      </c>
      <c r="O1268">
        <v>-0.68484100000000003</v>
      </c>
      <c r="P1268">
        <v>-0.841433599999999</v>
      </c>
      <c r="Q1268">
        <v>3.507768E-2</v>
      </c>
      <c r="R1268">
        <v>-0.53922099999999995</v>
      </c>
      <c r="S1268">
        <v>-3.285812</v>
      </c>
      <c r="T1268">
        <v>-0.55276729999999996</v>
      </c>
      <c r="U1268">
        <v>-0.4971313</v>
      </c>
      <c r="V1268">
        <v>0.18403</v>
      </c>
      <c r="W1268">
        <v>4.6848609999999999E-2</v>
      </c>
      <c r="X1268">
        <v>0.98180350000000005</v>
      </c>
      <c r="Y1268">
        <v>0.55308990000000002</v>
      </c>
      <c r="Z1268">
        <v>0.1493681</v>
      </c>
      <c r="AA1268">
        <v>0.81962230000000003</v>
      </c>
      <c r="AB1268">
        <v>19</v>
      </c>
      <c r="AC1268">
        <v>-6.4077999999999999</v>
      </c>
      <c r="AD1268">
        <v>-1.1048617544349999</v>
      </c>
      <c r="AE1268">
        <v>-0.85910000000001197</v>
      </c>
      <c r="AF1268">
        <v>3.65603924340942</v>
      </c>
      <c r="AG1268">
        <v>-1.1048617544349999</v>
      </c>
      <c r="AH1268">
        <v>5.1081139379680804</v>
      </c>
      <c r="AI1268">
        <v>99.975519556992495</v>
      </c>
      <c r="AJ1268">
        <v>54.407499058700701</v>
      </c>
      <c r="AK1268">
        <v>6.3781008497064997</v>
      </c>
      <c r="AL1268">
        <v>87.314789440044805</v>
      </c>
      <c r="AM1268">
        <v>79.383623359834303</v>
      </c>
      <c r="AN1268">
        <v>0.99999997288558995</v>
      </c>
    </row>
    <row r="1269" spans="1:40" x14ac:dyDescent="0.25">
      <c r="A1269" t="str">
        <f>"20190312154531481"</f>
        <v>20190312154531481</v>
      </c>
      <c r="B1269" t="str">
        <f>"1552376731477471"</f>
        <v>1552376731477471</v>
      </c>
      <c r="C1269" t="s">
        <v>40</v>
      </c>
      <c r="D1269">
        <v>4.7843869999999997</v>
      </c>
      <c r="E1269">
        <v>0.66696489999999997</v>
      </c>
      <c r="F1269" t="s">
        <v>53</v>
      </c>
      <c r="G1269">
        <v>-205.5753</v>
      </c>
      <c r="H1269" s="1">
        <v>4.4011169999999999E-6</v>
      </c>
      <c r="I1269">
        <v>287.91370000000001</v>
      </c>
      <c r="J1269">
        <v>-199.14150000000001</v>
      </c>
      <c r="K1269">
        <v>1.10491299999999</v>
      </c>
      <c r="L1269">
        <v>288.64510000000001</v>
      </c>
      <c r="M1269">
        <v>-0.74280179999999996</v>
      </c>
      <c r="N1269">
        <v>0</v>
      </c>
      <c r="O1269">
        <v>-0.66935730000000004</v>
      </c>
      <c r="P1269">
        <v>-0.8520972</v>
      </c>
      <c r="Q1269">
        <v>3.4304670000000002E-2</v>
      </c>
      <c r="R1269">
        <v>-0.52225820000000001</v>
      </c>
      <c r="S1269">
        <v>-3.282486</v>
      </c>
      <c r="T1269">
        <v>-0.53846340000000004</v>
      </c>
      <c r="U1269">
        <v>-0.4764099</v>
      </c>
      <c r="V1269">
        <v>0.1830388</v>
      </c>
      <c r="W1269">
        <v>4.6106029999999999E-2</v>
      </c>
      <c r="X1269">
        <v>0.98202400000000001</v>
      </c>
      <c r="Y1269">
        <v>0.54158809999999902</v>
      </c>
      <c r="Z1269">
        <v>0.1431415</v>
      </c>
      <c r="AA1269">
        <v>0.82836759999999998</v>
      </c>
      <c r="AB1269">
        <v>19</v>
      </c>
      <c r="AC1269">
        <v>-6.43379999999999</v>
      </c>
      <c r="AD1269">
        <v>-1.1049085988830001</v>
      </c>
      <c r="AE1269">
        <v>-0.73140000000000704</v>
      </c>
      <c r="AF1269">
        <v>3.65713068151473</v>
      </c>
      <c r="AG1269">
        <v>-1.1049085988830001</v>
      </c>
      <c r="AH1269">
        <v>5.1200705001220301</v>
      </c>
      <c r="AI1269">
        <v>99.959836040547998</v>
      </c>
      <c r="AJ1269">
        <v>54.462785571545801</v>
      </c>
      <c r="AK1269">
        <v>6.3883135301722502</v>
      </c>
      <c r="AL1269">
        <v>87.3573823805513</v>
      </c>
      <c r="AM1269">
        <v>79.441832267982704</v>
      </c>
      <c r="AN1269">
        <v>1.0000000524418899</v>
      </c>
    </row>
    <row r="1270" spans="1:40" x14ac:dyDescent="0.25">
      <c r="A1270" t="str">
        <f>"20190312154531523"</f>
        <v>20190312154531523</v>
      </c>
      <c r="B1270" t="str">
        <f>"1552376731517486"</f>
        <v>1552376731517486</v>
      </c>
      <c r="C1270" t="s">
        <v>40</v>
      </c>
      <c r="D1270">
        <v>4.8766679999999996</v>
      </c>
      <c r="E1270">
        <v>0.64225639999999995</v>
      </c>
      <c r="F1270" t="s">
        <v>53</v>
      </c>
      <c r="G1270">
        <v>-206.1191</v>
      </c>
      <c r="H1270" s="1">
        <v>4.6601690000000001E-6</v>
      </c>
      <c r="I1270">
        <v>287.70909999999998</v>
      </c>
      <c r="J1270">
        <v>-199.42660000000001</v>
      </c>
      <c r="K1270">
        <v>1.1049439999999999</v>
      </c>
      <c r="L1270">
        <v>288.42180000000002</v>
      </c>
      <c r="M1270">
        <v>-0.75575380000000003</v>
      </c>
      <c r="N1270">
        <v>0</v>
      </c>
      <c r="O1270">
        <v>-0.65469880000000003</v>
      </c>
      <c r="P1270">
        <v>-0.86206419999999995</v>
      </c>
      <c r="Q1270">
        <v>3.3098089999999997E-2</v>
      </c>
      <c r="R1270">
        <v>-0.50571750000000004</v>
      </c>
      <c r="S1270">
        <v>-3.2725520000000001</v>
      </c>
      <c r="T1270">
        <v>-0.5182137</v>
      </c>
      <c r="U1270">
        <v>-0.43896479999999999</v>
      </c>
      <c r="V1270">
        <v>0.1827906</v>
      </c>
      <c r="W1270">
        <v>4.4912790000000001E-2</v>
      </c>
      <c r="X1270">
        <v>0.98212549999999998</v>
      </c>
      <c r="Y1270">
        <v>0.53532239999999998</v>
      </c>
      <c r="Z1270">
        <v>0.13629349999999901</v>
      </c>
      <c r="AA1270">
        <v>0.83357899999999996</v>
      </c>
      <c r="AB1270">
        <v>19</v>
      </c>
      <c r="AC1270">
        <v>-6.6924999999999901</v>
      </c>
      <c r="AD1270">
        <v>-1.1049393398309999</v>
      </c>
      <c r="AE1270">
        <v>-0.71270000000003997</v>
      </c>
      <c r="AF1270">
        <v>3.7424714461882602</v>
      </c>
      <c r="AG1270">
        <v>-1.1049393398309999</v>
      </c>
      <c r="AH1270">
        <v>5.3800474207152797</v>
      </c>
      <c r="AI1270">
        <v>99.569941127821295</v>
      </c>
      <c r="AJ1270">
        <v>55.1767326003717</v>
      </c>
      <c r="AK1270">
        <v>6.6461939273080004</v>
      </c>
      <c r="AL1270">
        <v>87.425820847529806</v>
      </c>
      <c r="AM1270">
        <v>79.456893110153601</v>
      </c>
      <c r="AN1270">
        <v>1.0000000299520899</v>
      </c>
    </row>
    <row r="1271" spans="1:40" x14ac:dyDescent="0.25">
      <c r="A1271" t="str">
        <f>"20190312154531768"</f>
        <v>20190312154531768</v>
      </c>
      <c r="B1271" t="str">
        <f>"1552376731757968"</f>
        <v>1552376731757968</v>
      </c>
      <c r="C1271" t="s">
        <v>40</v>
      </c>
      <c r="D1271">
        <v>4.5078880000000003</v>
      </c>
      <c r="E1271">
        <v>0.64724139999999997</v>
      </c>
      <c r="F1271" t="s">
        <v>53</v>
      </c>
      <c r="G1271">
        <v>-205.5085</v>
      </c>
      <c r="H1271" s="1">
        <v>4.4181860000000004E-6</v>
      </c>
      <c r="I1271">
        <v>287.37970000000001</v>
      </c>
      <c r="J1271">
        <v>-201.1302</v>
      </c>
      <c r="K1271">
        <v>1.105135</v>
      </c>
      <c r="L1271">
        <v>287.2604</v>
      </c>
      <c r="M1271">
        <v>-0.82399259999999996</v>
      </c>
      <c r="N1271">
        <v>0</v>
      </c>
      <c r="O1271">
        <v>-0.56642009999999998</v>
      </c>
      <c r="P1271">
        <v>-0.91231450000000003</v>
      </c>
      <c r="Q1271">
        <v>3.179514E-2</v>
      </c>
      <c r="R1271">
        <v>-0.4082539</v>
      </c>
      <c r="S1271">
        <v>-3.182312</v>
      </c>
      <c r="T1271">
        <v>-0.57815240000000001</v>
      </c>
      <c r="U1271">
        <v>-0.54528809999999905</v>
      </c>
      <c r="V1271">
        <v>0.18091499999999999</v>
      </c>
      <c r="W1271">
        <v>4.3666120000000003E-2</v>
      </c>
      <c r="X1271">
        <v>0.98252890000000004</v>
      </c>
      <c r="Y1271">
        <v>0.40494219999999997</v>
      </c>
      <c r="Z1271">
        <v>0.1314977</v>
      </c>
      <c r="AA1271">
        <v>0.90483709999999995</v>
      </c>
      <c r="AB1271">
        <v>18</v>
      </c>
      <c r="AC1271">
        <v>-4.3782999999999896</v>
      </c>
      <c r="AD1271">
        <v>-1.105130581814</v>
      </c>
      <c r="AE1271">
        <v>0.119300000000009</v>
      </c>
      <c r="AF1271">
        <v>2.4241894937898998</v>
      </c>
      <c r="AG1271">
        <v>-1.105130581814</v>
      </c>
      <c r="AH1271">
        <v>3.32856512438038</v>
      </c>
      <c r="AI1271">
        <v>105.023067991788</v>
      </c>
      <c r="AJ1271">
        <v>53.9341993125933</v>
      </c>
      <c r="AK1271">
        <v>4.2634908340353297</v>
      </c>
      <c r="AL1271">
        <v>87.497319871896195</v>
      </c>
      <c r="AM1271">
        <v>79.566876916222398</v>
      </c>
      <c r="AN1271">
        <v>1.0000000032980301</v>
      </c>
    </row>
    <row r="1272" spans="1:40" x14ac:dyDescent="0.25">
      <c r="A1272" t="str">
        <f>"20190312154531791"</f>
        <v>20190312154531791</v>
      </c>
      <c r="B1272" t="str">
        <f>"1552376731787249"</f>
        <v>1552376731787249</v>
      </c>
      <c r="C1272" t="s">
        <v>40</v>
      </c>
      <c r="D1272">
        <v>4.5251830000000002</v>
      </c>
      <c r="E1272">
        <v>0.64444179999999995</v>
      </c>
      <c r="F1272" t="s">
        <v>54</v>
      </c>
      <c r="G1272">
        <v>-221.1574</v>
      </c>
      <c r="H1272" s="1">
        <v>-9.208931E-7</v>
      </c>
      <c r="I1272">
        <v>286.30040000000002</v>
      </c>
      <c r="J1272">
        <v>-201.286</v>
      </c>
      <c r="K1272">
        <v>1.1051489999999999</v>
      </c>
      <c r="L1272">
        <v>287.16750000000002</v>
      </c>
      <c r="M1272">
        <v>-0.82952049999999999</v>
      </c>
      <c r="N1272">
        <v>0</v>
      </c>
      <c r="O1272">
        <v>-0.55829329999999999</v>
      </c>
      <c r="P1272">
        <v>-0.91615950000000002</v>
      </c>
      <c r="Q1272">
        <v>3.0946419999999999E-2</v>
      </c>
      <c r="R1272">
        <v>-0.39961760000000002</v>
      </c>
      <c r="S1272">
        <v>-3.2253720000000001</v>
      </c>
      <c r="T1272">
        <v>-0.17798149999999999</v>
      </c>
      <c r="U1272">
        <v>-0.15460209999999999</v>
      </c>
      <c r="V1272">
        <v>0.1805427</v>
      </c>
      <c r="W1272">
        <v>4.2825299999999997E-2</v>
      </c>
      <c r="X1272">
        <v>0.98263440000000002</v>
      </c>
      <c r="Y1272">
        <v>0.51644849999999998</v>
      </c>
      <c r="Z1272">
        <v>4.3464999999999997E-2</v>
      </c>
      <c r="AA1272">
        <v>0.85521449999999999</v>
      </c>
      <c r="AB1272">
        <v>18</v>
      </c>
      <c r="AC1272">
        <v>-19.871400000000001</v>
      </c>
      <c r="AD1272">
        <v>-1.1051499208930999</v>
      </c>
      <c r="AE1272">
        <v>-0.86709999999999299</v>
      </c>
      <c r="AF1272">
        <v>10.3439190189593</v>
      </c>
      <c r="AG1272">
        <v>-1.1051499208930999</v>
      </c>
      <c r="AH1272">
        <v>16.917337030227198</v>
      </c>
      <c r="AI1272">
        <v>93.190008900133904</v>
      </c>
      <c r="AJ1272">
        <v>58.5567595333508</v>
      </c>
      <c r="AK1272">
        <v>19.859866797456998</v>
      </c>
      <c r="AL1272">
        <v>87.545540459649999</v>
      </c>
      <c r="AM1272">
        <v>79.588970355784497</v>
      </c>
      <c r="AN1272">
        <v>1.00000001845336</v>
      </c>
    </row>
    <row r="1273" spans="1:40" x14ac:dyDescent="0.25">
      <c r="A1273" t="str">
        <f>"20190312154531811"</f>
        <v>20190312154531811</v>
      </c>
      <c r="B1273" t="str">
        <f>"1552376731807745"</f>
        <v>1552376731807745</v>
      </c>
      <c r="C1273" t="s">
        <v>40</v>
      </c>
      <c r="D1273">
        <v>4.5673320000000004</v>
      </c>
      <c r="E1273">
        <v>0.64385419999999904</v>
      </c>
      <c r="F1273" t="s">
        <v>54</v>
      </c>
      <c r="G1273">
        <v>-221.03149999999999</v>
      </c>
      <c r="H1273" s="1">
        <v>-9.8786450000000008E-7</v>
      </c>
      <c r="I1273">
        <v>286.28019999999998</v>
      </c>
      <c r="J1273">
        <v>-201.4385</v>
      </c>
      <c r="K1273">
        <v>1.1051629999999999</v>
      </c>
      <c r="L1273">
        <v>287.07859999999999</v>
      </c>
      <c r="M1273">
        <v>-0.83482000000000001</v>
      </c>
      <c r="N1273">
        <v>0</v>
      </c>
      <c r="O1273">
        <v>-0.55033759999999998</v>
      </c>
      <c r="P1273">
        <v>-0.91978930000000003</v>
      </c>
      <c r="Q1273">
        <v>2.9922020000000001E-2</v>
      </c>
      <c r="R1273">
        <v>-0.39127040000000002</v>
      </c>
      <c r="S1273">
        <v>-3.2175750000000001</v>
      </c>
      <c r="T1273">
        <v>-0.180087</v>
      </c>
      <c r="U1273">
        <v>-0.14459229999999901</v>
      </c>
      <c r="V1273">
        <v>0.1800881</v>
      </c>
      <c r="W1273">
        <v>4.181054E-2</v>
      </c>
      <c r="X1273">
        <v>0.98276149999999995</v>
      </c>
      <c r="Y1273">
        <v>0.5107874</v>
      </c>
      <c r="Z1273">
        <v>4.3563169999999998E-2</v>
      </c>
      <c r="AA1273">
        <v>0.85860259999999999</v>
      </c>
      <c r="AB1273">
        <v>18</v>
      </c>
      <c r="AC1273">
        <v>-19.5929999999999</v>
      </c>
      <c r="AD1273">
        <v>-1.1051639878645001</v>
      </c>
      <c r="AE1273">
        <v>-0.79840000000001499</v>
      </c>
      <c r="AF1273">
        <v>10.085242340642999</v>
      </c>
      <c r="AG1273">
        <v>-1.1051639878645001</v>
      </c>
      <c r="AH1273">
        <v>16.744545178865199</v>
      </c>
      <c r="AI1273">
        <v>93.235961347400107</v>
      </c>
      <c r="AJ1273">
        <v>58.939437529607197</v>
      </c>
      <c r="AK1273">
        <v>19.578388436146302</v>
      </c>
      <c r="AL1273">
        <v>87.603734025207999</v>
      </c>
      <c r="AM1273">
        <v>79.615927748977001</v>
      </c>
      <c r="AN1273">
        <v>1.00000000544947</v>
      </c>
    </row>
    <row r="1274" spans="1:40" x14ac:dyDescent="0.25">
      <c r="A1274" t="str">
        <f>"20190312154531835"</f>
        <v>20190312154531835</v>
      </c>
      <c r="B1274" t="str">
        <f>"1552376731827264"</f>
        <v>1552376731827264</v>
      </c>
      <c r="C1274" t="s">
        <v>40</v>
      </c>
      <c r="D1274">
        <v>4.7903140000000004</v>
      </c>
      <c r="E1274">
        <v>0.63797000000000004</v>
      </c>
      <c r="F1274" t="s">
        <v>54</v>
      </c>
      <c r="G1274">
        <v>-219.72149999999999</v>
      </c>
      <c r="H1274" s="1">
        <v>3.6364960000000001E-6</v>
      </c>
      <c r="I1274">
        <v>286.39760000000001</v>
      </c>
      <c r="J1274">
        <v>-201.6054</v>
      </c>
      <c r="K1274">
        <v>1.105175</v>
      </c>
      <c r="L1274">
        <v>286.98360000000002</v>
      </c>
      <c r="M1274">
        <v>-0.84049889999999905</v>
      </c>
      <c r="N1274">
        <v>0</v>
      </c>
      <c r="O1274">
        <v>-0.54162509999999997</v>
      </c>
      <c r="P1274">
        <v>-0.92360980000000004</v>
      </c>
      <c r="Q1274">
        <v>2.8981050000000001E-2</v>
      </c>
      <c r="R1274">
        <v>-0.38223760000000001</v>
      </c>
      <c r="S1274">
        <v>-3.2169949999999998</v>
      </c>
      <c r="T1274">
        <v>-0.19445960000000001</v>
      </c>
      <c r="U1274">
        <v>-0.119812</v>
      </c>
      <c r="V1274">
        <v>0.17950089999999999</v>
      </c>
      <c r="W1274">
        <v>4.0881029999999999E-2</v>
      </c>
      <c r="X1274">
        <v>0.982908</v>
      </c>
      <c r="Y1274">
        <v>0.50820189999999998</v>
      </c>
      <c r="Z1274">
        <v>4.6543929999999997E-2</v>
      </c>
      <c r="AA1274">
        <v>0.8599793</v>
      </c>
      <c r="AB1274">
        <v>18</v>
      </c>
      <c r="AC1274">
        <v>-18.1160999999999</v>
      </c>
      <c r="AD1274">
        <v>-1.1051713635039999</v>
      </c>
      <c r="AE1274">
        <v>-0.58600000000001196</v>
      </c>
      <c r="AF1274">
        <v>9.2860293893771892</v>
      </c>
      <c r="AG1274">
        <v>-1.1051713635039999</v>
      </c>
      <c r="AH1274">
        <v>15.4879592319295</v>
      </c>
      <c r="AI1274">
        <v>93.502117568716599</v>
      </c>
      <c r="AJ1274">
        <v>59.054597393061499</v>
      </c>
      <c r="AK1274">
        <v>18.092225588163402</v>
      </c>
      <c r="AL1274">
        <v>87.657036555962705</v>
      </c>
      <c r="AM1274">
        <v>79.650562703934099</v>
      </c>
      <c r="AN1274">
        <v>0.99999998408933499</v>
      </c>
    </row>
    <row r="1275" spans="1:40" x14ac:dyDescent="0.25">
      <c r="A1275" t="str">
        <f>"20190312154531858"</f>
        <v>20190312154531858</v>
      </c>
      <c r="B1275" t="str">
        <f>"1552376731847761"</f>
        <v>1552376731847761</v>
      </c>
      <c r="C1275" t="s">
        <v>40</v>
      </c>
      <c r="D1275">
        <v>4.8769429999999998</v>
      </c>
      <c r="E1275">
        <v>0.63561769999999995</v>
      </c>
      <c r="F1275" t="s">
        <v>54</v>
      </c>
      <c r="G1275">
        <v>-215.1746</v>
      </c>
      <c r="H1275" s="1">
        <v>1.216887E-6</v>
      </c>
      <c r="I1275">
        <v>286.42509999999999</v>
      </c>
      <c r="J1275">
        <v>-201.77269999999999</v>
      </c>
      <c r="K1275">
        <v>1.1051879999999901</v>
      </c>
      <c r="L1275">
        <v>286.8904</v>
      </c>
      <c r="M1275">
        <v>-0.84607339999999998</v>
      </c>
      <c r="N1275">
        <v>0</v>
      </c>
      <c r="O1275">
        <v>-0.53287479999999998</v>
      </c>
      <c r="P1275">
        <v>-0.92734399999999995</v>
      </c>
      <c r="Q1275">
        <v>2.8339070000000001E-2</v>
      </c>
      <c r="R1275">
        <v>-0.37313570000000001</v>
      </c>
      <c r="S1275">
        <v>-3.2017669999999998</v>
      </c>
      <c r="T1275">
        <v>-0.26077400000000001</v>
      </c>
      <c r="U1275">
        <v>-0.1317749</v>
      </c>
      <c r="V1275">
        <v>0.17896970000000001</v>
      </c>
      <c r="W1275">
        <v>4.0249269999999997E-2</v>
      </c>
      <c r="X1275">
        <v>0.98303090000000004</v>
      </c>
      <c r="Y1275">
        <v>0.49445159999999999</v>
      </c>
      <c r="Z1275">
        <v>6.1485070000000003E-2</v>
      </c>
      <c r="AA1275">
        <v>0.86702780000000002</v>
      </c>
      <c r="AB1275">
        <v>18</v>
      </c>
      <c r="AC1275">
        <v>-13.401899999999999</v>
      </c>
      <c r="AD1275">
        <v>-1.10518678311299</v>
      </c>
      <c r="AE1275">
        <v>-0.46530000000001298</v>
      </c>
      <c r="AF1275">
        <v>6.7030173024336204</v>
      </c>
      <c r="AG1275">
        <v>-1.10518678311299</v>
      </c>
      <c r="AH1275">
        <v>11.509942511619901</v>
      </c>
      <c r="AI1275">
        <v>94.743255293196299</v>
      </c>
      <c r="AJ1275">
        <v>59.784865593447201</v>
      </c>
      <c r="AK1275">
        <v>13.3652779770227</v>
      </c>
      <c r="AL1275">
        <v>87.693263487519104</v>
      </c>
      <c r="AM1275">
        <v>79.681793398581206</v>
      </c>
      <c r="AN1275">
        <v>0.99999995380421502</v>
      </c>
    </row>
    <row r="1276" spans="1:40" x14ac:dyDescent="0.25">
      <c r="A1276" t="str">
        <f>"20190312154531882"</f>
        <v>20190312154531882</v>
      </c>
      <c r="B1276" t="str">
        <f>"1552376731878016"</f>
        <v>1552376731878016</v>
      </c>
      <c r="C1276" t="s">
        <v>40</v>
      </c>
      <c r="D1276">
        <v>4.8029799999999998</v>
      </c>
      <c r="E1276">
        <v>0.60970389999999997</v>
      </c>
      <c r="F1276" t="s">
        <v>54</v>
      </c>
      <c r="G1276">
        <v>-214.2277</v>
      </c>
      <c r="H1276" s="1">
        <v>7.1297359999999899E-7</v>
      </c>
      <c r="I1276">
        <v>286.4332</v>
      </c>
      <c r="J1276">
        <v>-201.94540000000001</v>
      </c>
      <c r="K1276">
        <v>1.105205</v>
      </c>
      <c r="L1276">
        <v>286.79669999999999</v>
      </c>
      <c r="M1276">
        <v>-0.85169879999999998</v>
      </c>
      <c r="N1276">
        <v>0</v>
      </c>
      <c r="O1276">
        <v>-0.52383710000000006</v>
      </c>
      <c r="P1276">
        <v>-0.93124180000000001</v>
      </c>
      <c r="Q1276">
        <v>2.8638779999999999E-2</v>
      </c>
      <c r="R1276">
        <v>-0.36327520000000002</v>
      </c>
      <c r="S1276">
        <v>-3.1964869999999999</v>
      </c>
      <c r="T1276">
        <v>-0.28363929999999998</v>
      </c>
      <c r="U1276">
        <v>-0.1173401</v>
      </c>
      <c r="V1276">
        <v>0.17893129999999999</v>
      </c>
      <c r="W1276">
        <v>4.0552289999999998E-2</v>
      </c>
      <c r="X1276">
        <v>0.9830255</v>
      </c>
      <c r="Y1276">
        <v>0.48850179999999999</v>
      </c>
      <c r="Z1276">
        <v>6.6035010000000005E-2</v>
      </c>
      <c r="AA1276">
        <v>0.87006049999999902</v>
      </c>
      <c r="AB1276">
        <v>18</v>
      </c>
      <c r="AC1276">
        <v>-12.2822999999999</v>
      </c>
      <c r="AD1276">
        <v>-1.1052042870264001</v>
      </c>
      <c r="AE1276">
        <v>-0.363499999999987</v>
      </c>
      <c r="AF1276">
        <v>6.0758033016931101</v>
      </c>
      <c r="AG1276">
        <v>-1.1052042870264001</v>
      </c>
      <c r="AH1276">
        <v>10.5668356289382</v>
      </c>
      <c r="AI1276">
        <v>95.180941813881006</v>
      </c>
      <c r="AJ1276">
        <v>60.101616436040999</v>
      </c>
      <c r="AK1276">
        <v>12.2390717575281</v>
      </c>
      <c r="AL1276">
        <v>87.675887677655695</v>
      </c>
      <c r="AM1276">
        <v>79.683904294654795</v>
      </c>
      <c r="AN1276">
        <v>1.0000000159970901</v>
      </c>
    </row>
    <row r="1277" spans="1:40" x14ac:dyDescent="0.25">
      <c r="A1277" t="str">
        <f>"20190312154531923"</f>
        <v>20190312154531923</v>
      </c>
      <c r="B1277" t="str">
        <f>"1552376731918032"</f>
        <v>1552376731918032</v>
      </c>
      <c r="C1277" t="s">
        <v>40</v>
      </c>
      <c r="D1277">
        <v>4.8124650000000004</v>
      </c>
      <c r="E1277">
        <v>0.60656429999999995</v>
      </c>
      <c r="F1277" t="s">
        <v>54</v>
      </c>
      <c r="G1277">
        <v>-210.5213</v>
      </c>
      <c r="H1277" s="1">
        <v>-1.2593759999999999E-6</v>
      </c>
      <c r="I1277">
        <v>286.03710000000001</v>
      </c>
      <c r="J1277">
        <v>-202.24690000000001</v>
      </c>
      <c r="K1277">
        <v>1.105237</v>
      </c>
      <c r="L1277">
        <v>286.6388</v>
      </c>
      <c r="M1277">
        <v>-0.86121419999999904</v>
      </c>
      <c r="N1277">
        <v>0</v>
      </c>
      <c r="O1277">
        <v>-0.50804170000000004</v>
      </c>
      <c r="P1277">
        <v>-0.93765290000000001</v>
      </c>
      <c r="Q1277">
        <v>2.8659980000000002E-2</v>
      </c>
      <c r="R1277">
        <v>-0.34638920000000001</v>
      </c>
      <c r="S1277">
        <v>-3.1259160000000001</v>
      </c>
      <c r="T1277">
        <v>-0.40284740000000002</v>
      </c>
      <c r="U1277">
        <v>-0.27685549999999998</v>
      </c>
      <c r="V1277">
        <v>0.1785621</v>
      </c>
      <c r="W1277">
        <v>4.0582300000000002E-2</v>
      </c>
      <c r="X1277">
        <v>0.98309139999999995</v>
      </c>
      <c r="Y1277">
        <v>0.42288229999999999</v>
      </c>
      <c r="Z1277">
        <v>8.9377449999999997E-2</v>
      </c>
      <c r="AA1277">
        <v>0.90176619999999996</v>
      </c>
      <c r="AB1277">
        <v>18</v>
      </c>
      <c r="AC1277">
        <v>-8.2743999999999804</v>
      </c>
      <c r="AD1277">
        <v>-1.105238259376</v>
      </c>
      <c r="AE1277">
        <v>-0.60169999999999302</v>
      </c>
      <c r="AF1277">
        <v>3.6216463325521402</v>
      </c>
      <c r="AG1277">
        <v>-1.105238259376</v>
      </c>
      <c r="AH1277">
        <v>7.3028656928776901</v>
      </c>
      <c r="AI1277">
        <v>97.721411685407602</v>
      </c>
      <c r="AJ1277">
        <v>63.622209490009702</v>
      </c>
      <c r="AK1277">
        <v>8.2261607750084007</v>
      </c>
      <c r="AL1277">
        <v>87.674166832646705</v>
      </c>
      <c r="AM1277">
        <v>79.705409823405901</v>
      </c>
      <c r="AN1277">
        <v>1.0000000236918201</v>
      </c>
    </row>
    <row r="1278" spans="1:40" x14ac:dyDescent="0.25">
      <c r="A1278" t="str">
        <f>"20190312154531947"</f>
        <v>20190312154531947</v>
      </c>
      <c r="B1278" t="str">
        <f>"1552376731937552"</f>
        <v>1552376731937552</v>
      </c>
      <c r="C1278" t="s">
        <v>40</v>
      </c>
      <c r="D1278">
        <v>4.853504</v>
      </c>
      <c r="E1278">
        <v>0.60466560000000003</v>
      </c>
      <c r="F1278" t="s">
        <v>54</v>
      </c>
      <c r="G1278">
        <v>-210.5745</v>
      </c>
      <c r="H1278" s="1">
        <v>-1.2310749999999999E-6</v>
      </c>
      <c r="I1278">
        <v>285.98989999999998</v>
      </c>
      <c r="J1278">
        <v>-202.41749999999999</v>
      </c>
      <c r="K1278">
        <v>1.105253</v>
      </c>
      <c r="L1278">
        <v>286.55270000000002</v>
      </c>
      <c r="M1278">
        <v>-0.866432599999999</v>
      </c>
      <c r="N1278">
        <v>0</v>
      </c>
      <c r="O1278">
        <v>-0.49909029999999999</v>
      </c>
      <c r="P1278">
        <v>-0.94107189999999996</v>
      </c>
      <c r="Q1278">
        <v>2.827723E-2</v>
      </c>
      <c r="R1278">
        <v>-0.33702219999999999</v>
      </c>
      <c r="S1278">
        <v>-3.1222690000000002</v>
      </c>
      <c r="T1278">
        <v>-0.41438560000000002</v>
      </c>
      <c r="U1278">
        <v>-0.24328610000000001</v>
      </c>
      <c r="V1278">
        <v>0.17817740000000001</v>
      </c>
      <c r="W1278">
        <v>4.0207329999999999E-2</v>
      </c>
      <c r="X1278">
        <v>0.98317659999999996</v>
      </c>
      <c r="Y1278">
        <v>0.42267189999999999</v>
      </c>
      <c r="Z1278">
        <v>9.106475E-2</v>
      </c>
      <c r="AA1278">
        <v>0.90169600000000005</v>
      </c>
      <c r="AB1278">
        <v>18</v>
      </c>
      <c r="AC1278">
        <v>-8.157</v>
      </c>
      <c r="AD1278">
        <v>-1.105254231075</v>
      </c>
      <c r="AE1278">
        <v>-0.56280000000003805</v>
      </c>
      <c r="AF1278">
        <v>3.5195052457617702</v>
      </c>
      <c r="AG1278">
        <v>-1.105254231075</v>
      </c>
      <c r="AH1278">
        <v>7.2172482012027102</v>
      </c>
      <c r="AI1278">
        <v>97.837302931069402</v>
      </c>
      <c r="AJ1278">
        <v>64.003731941368201</v>
      </c>
      <c r="AK1278">
        <v>8.10537942899761</v>
      </c>
      <c r="AL1278">
        <v>87.695668574356901</v>
      </c>
      <c r="AM1278">
        <v>79.727987325555404</v>
      </c>
      <c r="AN1278">
        <v>1.0000000210220199</v>
      </c>
    </row>
    <row r="1279" spans="1:40" x14ac:dyDescent="0.25">
      <c r="A1279" t="str">
        <f>"20190312154531967"</f>
        <v>20190312154531967</v>
      </c>
      <c r="B1279" t="str">
        <f>"1552376731958048"</f>
        <v>1552376731958048</v>
      </c>
      <c r="C1279" t="s">
        <v>40</v>
      </c>
      <c r="D1279">
        <v>4.8910939999999998</v>
      </c>
      <c r="E1279">
        <v>0.60276879999999999</v>
      </c>
      <c r="F1279" t="s">
        <v>54</v>
      </c>
      <c r="G1279">
        <v>-210.73939999999999</v>
      </c>
      <c r="H1279" s="1">
        <v>-1.143326E-6</v>
      </c>
      <c r="I1279">
        <v>285.94940000000003</v>
      </c>
      <c r="J1279">
        <v>-202.57249999999999</v>
      </c>
      <c r="K1279">
        <v>1.1052649999999999</v>
      </c>
      <c r="L1279">
        <v>286.47629999999998</v>
      </c>
      <c r="M1279">
        <v>-0.87106969999999995</v>
      </c>
      <c r="N1279">
        <v>0</v>
      </c>
      <c r="O1279">
        <v>-0.49095220000000001</v>
      </c>
      <c r="P1279">
        <v>-0.94409560000000003</v>
      </c>
      <c r="Q1279">
        <v>2.8679969999999999E-2</v>
      </c>
      <c r="R1279">
        <v>-0.32842250000000001</v>
      </c>
      <c r="S1279">
        <v>-3.1193240000000002</v>
      </c>
      <c r="T1279">
        <v>-0.41428880000000001</v>
      </c>
      <c r="U1279">
        <v>-0.22613530000000001</v>
      </c>
      <c r="V1279">
        <v>0.1779347</v>
      </c>
      <c r="W1279">
        <v>4.0615180000000001E-2</v>
      </c>
      <c r="X1279">
        <v>0.98320379999999996</v>
      </c>
      <c r="Y1279">
        <v>0.41914309999999999</v>
      </c>
      <c r="Z1279">
        <v>8.9995130000000007E-2</v>
      </c>
      <c r="AA1279">
        <v>0.9034489</v>
      </c>
      <c r="AB1279">
        <v>18</v>
      </c>
      <c r="AC1279">
        <v>-8.1668999999999894</v>
      </c>
      <c r="AD1279">
        <v>-1.105266143326</v>
      </c>
      <c r="AE1279">
        <v>-0.52689999999995496</v>
      </c>
      <c r="AF1279">
        <v>3.4873444832741298</v>
      </c>
      <c r="AG1279">
        <v>-1.105266143326</v>
      </c>
      <c r="AH1279">
        <v>7.2412938775060196</v>
      </c>
      <c r="AI1279">
        <v>97.830054696701396</v>
      </c>
      <c r="AJ1279">
        <v>64.284936200725596</v>
      </c>
      <c r="AK1279">
        <v>8.1129231361459002</v>
      </c>
      <c r="AL1279">
        <v>87.672281410746706</v>
      </c>
      <c r="AM1279">
        <v>79.741959567677597</v>
      </c>
      <c r="AN1279">
        <v>1.0000000313224799</v>
      </c>
    </row>
    <row r="1280" spans="1:40" x14ac:dyDescent="0.25">
      <c r="A1280" t="str">
        <f>"20190312154531994"</f>
        <v>20190312154531994</v>
      </c>
      <c r="B1280" t="str">
        <f>"1552376731987329"</f>
        <v>1552376731987329</v>
      </c>
      <c r="C1280" t="s">
        <v>40</v>
      </c>
      <c r="D1280">
        <v>4.8936780000000004</v>
      </c>
      <c r="E1280">
        <v>0.60103739999999894</v>
      </c>
      <c r="F1280" t="s">
        <v>54</v>
      </c>
      <c r="G1280">
        <v>-210.89269999999999</v>
      </c>
      <c r="H1280" s="1">
        <v>-1.0617130000000001E-6</v>
      </c>
      <c r="I1280">
        <v>285.90929999999997</v>
      </c>
      <c r="J1280">
        <v>-202.76150000000001</v>
      </c>
      <c r="K1280">
        <v>1.1052820000000001</v>
      </c>
      <c r="L1280">
        <v>286.38560000000001</v>
      </c>
      <c r="M1280">
        <v>-0.87659229999999999</v>
      </c>
      <c r="N1280">
        <v>0</v>
      </c>
      <c r="O1280">
        <v>-0.48102289999999998</v>
      </c>
      <c r="P1280">
        <v>-0.94767869999999998</v>
      </c>
      <c r="Q1280">
        <v>2.9175699999999999E-2</v>
      </c>
      <c r="R1280">
        <v>-0.31789060000000002</v>
      </c>
      <c r="S1280">
        <v>-3.1163639999999999</v>
      </c>
      <c r="T1280">
        <v>-0.41398119999999999</v>
      </c>
      <c r="U1280">
        <v>-0.2123718</v>
      </c>
      <c r="V1280">
        <v>0.17770639999999999</v>
      </c>
      <c r="W1280">
        <v>4.1116399999999997E-2</v>
      </c>
      <c r="X1280">
        <v>0.98322419999999999</v>
      </c>
      <c r="Y1280">
        <v>0.41287669999999999</v>
      </c>
      <c r="Z1280">
        <v>8.8474189999999994E-2</v>
      </c>
      <c r="AA1280">
        <v>0.90647949999999999</v>
      </c>
      <c r="AB1280">
        <v>18</v>
      </c>
      <c r="AC1280">
        <v>-8.1311999999999696</v>
      </c>
      <c r="AD1280">
        <v>-1.1052830617129901</v>
      </c>
      <c r="AE1280">
        <v>-0.47630000000003703</v>
      </c>
      <c r="AF1280">
        <v>3.4309492179504799</v>
      </c>
      <c r="AG1280">
        <v>-1.1052830617129901</v>
      </c>
      <c r="AH1280">
        <v>7.22457115723636</v>
      </c>
      <c r="AI1280">
        <v>97.868282030120099</v>
      </c>
      <c r="AJ1280">
        <v>64.596954464440103</v>
      </c>
      <c r="AK1280">
        <v>8.0738771100776798</v>
      </c>
      <c r="AL1280">
        <v>87.643539478816095</v>
      </c>
      <c r="AM1280">
        <v>79.755050328022307</v>
      </c>
      <c r="AN1280">
        <v>0.99999997520777895</v>
      </c>
    </row>
    <row r="1281" spans="1:40" x14ac:dyDescent="0.25">
      <c r="A1281" t="str">
        <f>"20190312154532013"</f>
        <v>20190312154532013</v>
      </c>
      <c r="B1281" t="str">
        <f>"1552376731998065"</f>
        <v>1552376731998065</v>
      </c>
      <c r="C1281" t="s">
        <v>40</v>
      </c>
      <c r="D1281">
        <v>4.8868650000000002</v>
      </c>
      <c r="E1281">
        <v>0.58652850000000001</v>
      </c>
      <c r="F1281" t="s">
        <v>54</v>
      </c>
      <c r="G1281">
        <v>-211.09899999999999</v>
      </c>
      <c r="H1281" s="1">
        <v>-9.5194410000000004E-7</v>
      </c>
      <c r="I1281">
        <v>285.87479999999999</v>
      </c>
      <c r="J1281">
        <v>-202.91050000000001</v>
      </c>
      <c r="K1281">
        <v>1.1052919999999999</v>
      </c>
      <c r="L1281">
        <v>286.3159</v>
      </c>
      <c r="M1281">
        <v>-0.88084649999999998</v>
      </c>
      <c r="N1281">
        <v>0</v>
      </c>
      <c r="O1281">
        <v>-0.47318739999999998</v>
      </c>
      <c r="P1281">
        <v>-0.95053209999999999</v>
      </c>
      <c r="Q1281">
        <v>2.8946610000000001E-2</v>
      </c>
      <c r="R1281">
        <v>-0.30927490000000002</v>
      </c>
      <c r="S1281">
        <v>-3.1143489999999998</v>
      </c>
      <c r="T1281">
        <v>-0.41286040000000002</v>
      </c>
      <c r="U1281">
        <v>-0.19082640000000001</v>
      </c>
      <c r="V1281">
        <v>0.17786370000000001</v>
      </c>
      <c r="W1281">
        <v>4.0886749999999999E-2</v>
      </c>
      <c r="X1281">
        <v>0.98320540000000001</v>
      </c>
      <c r="Y1281">
        <v>0.41108210000000001</v>
      </c>
      <c r="Z1281">
        <v>8.7303339999999993E-2</v>
      </c>
      <c r="AA1281">
        <v>0.9074082</v>
      </c>
      <c r="AB1281">
        <v>18</v>
      </c>
      <c r="AC1281">
        <v>-8.1884999999999994</v>
      </c>
      <c r="AD1281">
        <v>-1.1052929519440999</v>
      </c>
      <c r="AE1281">
        <v>-0.44110000000000499</v>
      </c>
      <c r="AF1281">
        <v>3.4242978945942699</v>
      </c>
      <c r="AG1281">
        <v>-1.1052929519440999</v>
      </c>
      <c r="AH1281">
        <v>7.2898522918691198</v>
      </c>
      <c r="AI1281">
        <v>97.814139767191307</v>
      </c>
      <c r="AJ1281">
        <v>64.838918577524794</v>
      </c>
      <c r="AK1281">
        <v>8.1295408860408305</v>
      </c>
      <c r="AL1281">
        <v>87.656708681753898</v>
      </c>
      <c r="AM1281">
        <v>79.745982232920198</v>
      </c>
      <c r="AN1281">
        <v>1.0000000403461999</v>
      </c>
    </row>
    <row r="1282" spans="1:40" x14ac:dyDescent="0.25">
      <c r="A1282" t="str">
        <f>"20190312154532036"</f>
        <v>20190312154532036</v>
      </c>
      <c r="B1282" t="str">
        <f>"1552376732027344"</f>
        <v>1552376732027344</v>
      </c>
      <c r="C1282" t="s">
        <v>40</v>
      </c>
      <c r="D1282">
        <v>4.7479519999999997</v>
      </c>
      <c r="E1282">
        <v>0.59269340000000004</v>
      </c>
      <c r="F1282" t="s">
        <v>54</v>
      </c>
      <c r="G1282">
        <v>-210.92699999999999</v>
      </c>
      <c r="H1282" s="1">
        <v>-1.0434649999999999E-6</v>
      </c>
      <c r="I1282">
        <v>285.60759999999999</v>
      </c>
      <c r="J1282">
        <v>-203.0754</v>
      </c>
      <c r="K1282">
        <v>1.1053120000000001</v>
      </c>
      <c r="L1282">
        <v>286.2407</v>
      </c>
      <c r="M1282">
        <v>-0.88545589999999996</v>
      </c>
      <c r="N1282">
        <v>0</v>
      </c>
      <c r="O1282">
        <v>-0.46450530000000001</v>
      </c>
      <c r="P1282">
        <v>-0.95364519999999997</v>
      </c>
      <c r="Q1282">
        <v>2.889914E-2</v>
      </c>
      <c r="R1282">
        <v>-0.2995428</v>
      </c>
      <c r="S1282">
        <v>-3.080505</v>
      </c>
      <c r="T1282">
        <v>-0.42472759999999998</v>
      </c>
      <c r="U1282">
        <v>-0.27218629999999999</v>
      </c>
      <c r="V1282">
        <v>0.17824660000000001</v>
      </c>
      <c r="W1282">
        <v>4.0836249999999998E-2</v>
      </c>
      <c r="X1282">
        <v>0.98313810000000001</v>
      </c>
      <c r="Y1282">
        <v>0.37725150000000002</v>
      </c>
      <c r="Z1282">
        <v>8.7202749999999996E-2</v>
      </c>
      <c r="AA1282">
        <v>0.92199620000000004</v>
      </c>
      <c r="AB1282">
        <v>18</v>
      </c>
      <c r="AC1282">
        <v>-7.8516000000000101</v>
      </c>
      <c r="AD1282">
        <v>-1.105313043465</v>
      </c>
      <c r="AE1282">
        <v>-0.63310000000001299</v>
      </c>
      <c r="AF1282">
        <v>3.0272350745726602</v>
      </c>
      <c r="AG1282">
        <v>-1.105313043465</v>
      </c>
      <c r="AH1282">
        <v>7.1071210018655098</v>
      </c>
      <c r="AI1282">
        <v>98.1427814939032</v>
      </c>
      <c r="AJ1282">
        <v>66.928714435967905</v>
      </c>
      <c r="AK1282">
        <v>7.8036554290879998</v>
      </c>
      <c r="AL1282">
        <v>87.659604411436305</v>
      </c>
      <c r="AM1282">
        <v>79.723689062659503</v>
      </c>
      <c r="AN1282">
        <v>0.99999998669861601</v>
      </c>
    </row>
    <row r="1283" spans="1:40" x14ac:dyDescent="0.25">
      <c r="A1283" t="str">
        <f>"20190312154532059"</f>
        <v>20190312154532059</v>
      </c>
      <c r="B1283" t="str">
        <f>"1552376732047840"</f>
        <v>1552376732047840</v>
      </c>
      <c r="C1283" t="s">
        <v>40</v>
      </c>
      <c r="D1283">
        <v>4.7618669999999996</v>
      </c>
      <c r="E1283">
        <v>0.59278169999999897</v>
      </c>
      <c r="F1283" t="s">
        <v>54</v>
      </c>
      <c r="G1283">
        <v>-218.8571</v>
      </c>
      <c r="H1283" s="1">
        <v>3.1765439999999999E-6</v>
      </c>
      <c r="I1283">
        <v>285.25119999999998</v>
      </c>
      <c r="J1283">
        <v>-203.2509</v>
      </c>
      <c r="K1283">
        <v>1.105329</v>
      </c>
      <c r="L1283">
        <v>286.16269999999997</v>
      </c>
      <c r="M1283">
        <v>-0.89024780000000003</v>
      </c>
      <c r="N1283">
        <v>0</v>
      </c>
      <c r="O1283">
        <v>-0.45525409999999999</v>
      </c>
      <c r="P1283">
        <v>-0.95691530000000002</v>
      </c>
      <c r="Q1283">
        <v>2.897773E-2</v>
      </c>
      <c r="R1283">
        <v>-0.28891739999999999</v>
      </c>
      <c r="S1283">
        <v>-3.091507</v>
      </c>
      <c r="T1283">
        <v>-0.21651999999999999</v>
      </c>
      <c r="U1283">
        <v>-0.19384770000000001</v>
      </c>
      <c r="V1283">
        <v>0.17893609999999999</v>
      </c>
      <c r="W1283">
        <v>4.0907239999999997E-2</v>
      </c>
      <c r="X1283">
        <v>0.98300989999999999</v>
      </c>
      <c r="Y1283">
        <v>0.3966904</v>
      </c>
      <c r="Z1283">
        <v>4.4642689999999999E-2</v>
      </c>
      <c r="AA1283">
        <v>0.91686619999999996</v>
      </c>
      <c r="AB1283">
        <v>18</v>
      </c>
      <c r="AC1283">
        <v>-15.606199999999999</v>
      </c>
      <c r="AD1283">
        <v>-1.1053258234559999</v>
      </c>
      <c r="AE1283">
        <v>-0.91149999999998899</v>
      </c>
      <c r="AF1283">
        <v>6.2626543954494798</v>
      </c>
      <c r="AG1283">
        <v>-1.1053258234559999</v>
      </c>
      <c r="AH1283">
        <v>14.2386158882448</v>
      </c>
      <c r="AI1283">
        <v>94.064551763422102</v>
      </c>
      <c r="AJ1283">
        <v>66.258383323106003</v>
      </c>
      <c r="AK1283">
        <v>15.5942543157991</v>
      </c>
      <c r="AL1283">
        <v>87.655533606185998</v>
      </c>
      <c r="AM1283">
        <v>79.683473296909895</v>
      </c>
      <c r="AN1283">
        <v>0.99999999683281804</v>
      </c>
    </row>
    <row r="1284" spans="1:40" x14ac:dyDescent="0.25">
      <c r="A1284" t="str">
        <f>"20190312154532081"</f>
        <v>20190312154532081</v>
      </c>
      <c r="B1284" t="str">
        <f>"1552376732068337"</f>
        <v>1552376732068337</v>
      </c>
      <c r="C1284" t="s">
        <v>40</v>
      </c>
      <c r="D1284">
        <v>4.7395069999999997</v>
      </c>
      <c r="E1284">
        <v>0.59192449999999996</v>
      </c>
      <c r="F1284" t="s">
        <v>54</v>
      </c>
      <c r="G1284">
        <v>-218.8416</v>
      </c>
      <c r="H1284" s="1">
        <v>3.168285E-6</v>
      </c>
      <c r="I1284">
        <v>285.36040000000003</v>
      </c>
      <c r="J1284">
        <v>-203.41149999999999</v>
      </c>
      <c r="K1284">
        <v>1.105343</v>
      </c>
      <c r="L1284">
        <v>286.0933</v>
      </c>
      <c r="M1284">
        <v>-0.89452619999999905</v>
      </c>
      <c r="N1284">
        <v>0</v>
      </c>
      <c r="O1284">
        <v>-0.44678849999999998</v>
      </c>
      <c r="P1284">
        <v>-0.95978969999999997</v>
      </c>
      <c r="Q1284">
        <v>2.8307410000000002E-2</v>
      </c>
      <c r="R1284">
        <v>-0.27928920000000002</v>
      </c>
      <c r="S1284">
        <v>-3.0936129999999999</v>
      </c>
      <c r="T1284">
        <v>-0.21932650000000001</v>
      </c>
      <c r="U1284">
        <v>-0.1592102</v>
      </c>
      <c r="V1284">
        <v>0.1794869</v>
      </c>
      <c r="W1284">
        <v>4.0231160000000002E-2</v>
      </c>
      <c r="X1284">
        <v>0.98293739999999996</v>
      </c>
      <c r="Y1284">
        <v>0.39822220000000003</v>
      </c>
      <c r="Z1284">
        <v>4.4737489999999998E-2</v>
      </c>
      <c r="AA1284">
        <v>0.91619740000000005</v>
      </c>
      <c r="AB1284">
        <v>18</v>
      </c>
      <c r="AC1284">
        <v>-15.430099999999999</v>
      </c>
      <c r="AD1284">
        <v>-1.1053398317150001</v>
      </c>
      <c r="AE1284">
        <v>-0.73289999999997202</v>
      </c>
      <c r="AF1284">
        <v>6.2072445114329398</v>
      </c>
      <c r="AG1284">
        <v>-1.1053398317150001</v>
      </c>
      <c r="AH1284">
        <v>14.0595281260343</v>
      </c>
      <c r="AI1284">
        <v>94.113686262491697</v>
      </c>
      <c r="AJ1284">
        <v>66.1786683126995</v>
      </c>
      <c r="AK1284">
        <v>15.4085038759459</v>
      </c>
      <c r="AL1284">
        <v>87.694302091617004</v>
      </c>
      <c r="AM1284">
        <v>79.651655300406304</v>
      </c>
      <c r="AN1284">
        <v>1.0000000129126501</v>
      </c>
    </row>
    <row r="1285" spans="1:40" x14ac:dyDescent="0.25">
      <c r="A1285" t="str">
        <f>"20190312154532125"</f>
        <v>20190312154532125</v>
      </c>
      <c r="B1285" t="str">
        <f>"1552376732118113"</f>
        <v>1552376732118113</v>
      </c>
      <c r="C1285" t="s">
        <v>40</v>
      </c>
      <c r="D1285">
        <v>4.6097939999999999</v>
      </c>
      <c r="E1285">
        <v>0.58954740000000005</v>
      </c>
      <c r="F1285" t="s">
        <v>54</v>
      </c>
      <c r="G1285">
        <v>-218.82830000000001</v>
      </c>
      <c r="H1285" s="1">
        <v>3.1612100000000002E-6</v>
      </c>
      <c r="I1285">
        <v>285.42230000000001</v>
      </c>
      <c r="J1285">
        <v>-203.74189999999999</v>
      </c>
      <c r="K1285">
        <v>1.105361</v>
      </c>
      <c r="L1285">
        <v>285.95609999999999</v>
      </c>
      <c r="M1285">
        <v>-0.90302899999999997</v>
      </c>
      <c r="N1285">
        <v>0</v>
      </c>
      <c r="O1285">
        <v>-0.42934430000000001</v>
      </c>
      <c r="P1285">
        <v>-0.96525700000000003</v>
      </c>
      <c r="Q1285">
        <v>2.62563E-2</v>
      </c>
      <c r="R1285">
        <v>-0.2599803</v>
      </c>
      <c r="S1285">
        <v>-3.093048</v>
      </c>
      <c r="T1285">
        <v>-0.2217615</v>
      </c>
      <c r="U1285">
        <v>-0.13461300000000001</v>
      </c>
      <c r="V1285">
        <v>0.18012649999999999</v>
      </c>
      <c r="W1285">
        <v>3.8175670000000002E-2</v>
      </c>
      <c r="X1285">
        <v>0.98290230000000001</v>
      </c>
      <c r="Y1285">
        <v>0.38768629999999998</v>
      </c>
      <c r="Z1285">
        <v>4.3751039999999998E-2</v>
      </c>
      <c r="AA1285">
        <v>0.92075249999999997</v>
      </c>
      <c r="AB1285">
        <v>18</v>
      </c>
      <c r="AC1285">
        <v>-15.086399999999999</v>
      </c>
      <c r="AD1285">
        <v>-1.1053578387899901</v>
      </c>
      <c r="AE1285">
        <v>-0.53379999999998495</v>
      </c>
      <c r="AF1285">
        <v>5.9638533099998199</v>
      </c>
      <c r="AG1285">
        <v>-1.1053578387899901</v>
      </c>
      <c r="AH1285">
        <v>13.7801575519649</v>
      </c>
      <c r="AI1285">
        <v>94.210249416448704</v>
      </c>
      <c r="AJ1285">
        <v>66.597735473394195</v>
      </c>
      <c r="AK1285">
        <v>15.0559657415904</v>
      </c>
      <c r="AL1285">
        <v>87.812163447261597</v>
      </c>
      <c r="AM1285">
        <v>79.615217194534196</v>
      </c>
      <c r="AN1285">
        <v>0.99999993456374203</v>
      </c>
    </row>
    <row r="1286" spans="1:40" x14ac:dyDescent="0.25">
      <c r="A1286" t="str">
        <f>"20190312154532147"</f>
        <v>20190312154532147</v>
      </c>
      <c r="B1286" t="str">
        <f>"1552376732137634"</f>
        <v>1552376732137634</v>
      </c>
      <c r="C1286" t="s">
        <v>40</v>
      </c>
      <c r="D1286">
        <v>4.5257940000000003</v>
      </c>
      <c r="E1286">
        <v>0.57849799999999996</v>
      </c>
      <c r="F1286" t="s">
        <v>54</v>
      </c>
      <c r="G1286">
        <v>-218.67570000000001</v>
      </c>
      <c r="H1286" s="1">
        <v>3.0800070000000001E-6</v>
      </c>
      <c r="I1286">
        <v>285.5197</v>
      </c>
      <c r="J1286">
        <v>-203.9068</v>
      </c>
      <c r="K1286">
        <v>1.1053740000000001</v>
      </c>
      <c r="L1286">
        <v>285.89049999999997</v>
      </c>
      <c r="M1286">
        <v>-0.90712329999999997</v>
      </c>
      <c r="N1286">
        <v>0</v>
      </c>
      <c r="O1286">
        <v>-0.42062470000000002</v>
      </c>
      <c r="P1286">
        <v>-0.96769760000000005</v>
      </c>
      <c r="Q1286">
        <v>2.6162299999999999E-2</v>
      </c>
      <c r="R1286">
        <v>-0.2507529</v>
      </c>
      <c r="S1286">
        <v>-3.089874</v>
      </c>
      <c r="T1286">
        <v>-0.22870270000000001</v>
      </c>
      <c r="U1286">
        <v>-9.0301510000000001E-2</v>
      </c>
      <c r="V1286">
        <v>0.180039899999999</v>
      </c>
      <c r="W1286">
        <v>3.8085130000000002E-2</v>
      </c>
      <c r="X1286">
        <v>0.98292179999999996</v>
      </c>
      <c r="Y1286">
        <v>0.3918278</v>
      </c>
      <c r="Z1286">
        <v>4.4760759999999997E-2</v>
      </c>
      <c r="AA1286">
        <v>0.91894909999999996</v>
      </c>
      <c r="AB1286">
        <v>18</v>
      </c>
      <c r="AC1286">
        <v>-14.7689</v>
      </c>
      <c r="AD1286">
        <v>-1.105370919993</v>
      </c>
      <c r="AE1286">
        <v>-0.37079999999997398</v>
      </c>
      <c r="AF1286">
        <v>5.8436829564177097</v>
      </c>
      <c r="AG1286">
        <v>-1.105370919993</v>
      </c>
      <c r="AH1286">
        <v>13.4790929886461</v>
      </c>
      <c r="AI1286">
        <v>94.302814683819193</v>
      </c>
      <c r="AJ1286">
        <v>66.561492724469602</v>
      </c>
      <c r="AK1286">
        <v>14.7328348651053</v>
      </c>
      <c r="AL1286">
        <v>87.817355043179603</v>
      </c>
      <c r="AM1286">
        <v>79.620302817146893</v>
      </c>
      <c r="AN1286">
        <v>1.00000005381718</v>
      </c>
    </row>
    <row r="1287" spans="1:40" x14ac:dyDescent="0.25">
      <c r="A1287" t="str">
        <f>"20190312154532168"</f>
        <v>20190312154532168</v>
      </c>
      <c r="B1287" t="str">
        <f>"1552376732158128"</f>
        <v>1552376732158128</v>
      </c>
      <c r="C1287" t="s">
        <v>40</v>
      </c>
      <c r="D1287">
        <v>4.4426030000000001</v>
      </c>
      <c r="E1287">
        <v>0.57751260000000004</v>
      </c>
      <c r="F1287" t="s">
        <v>54</v>
      </c>
      <c r="G1287">
        <v>-220.44919999999999</v>
      </c>
      <c r="H1287" s="1">
        <v>-1.2977300000000001E-6</v>
      </c>
      <c r="I1287">
        <v>285.10109999999997</v>
      </c>
      <c r="J1287">
        <v>-204.06800000000001</v>
      </c>
      <c r="K1287">
        <v>1.1053959999999901</v>
      </c>
      <c r="L1287">
        <v>285.82810000000001</v>
      </c>
      <c r="M1287">
        <v>-0.91102620000000001</v>
      </c>
      <c r="N1287">
        <v>0</v>
      </c>
      <c r="O1287">
        <v>-0.41210330000000001</v>
      </c>
      <c r="P1287">
        <v>-0.96977729999999995</v>
      </c>
      <c r="Q1287">
        <v>2.6511409999999999E-2</v>
      </c>
      <c r="R1287">
        <v>-0.2425477</v>
      </c>
      <c r="S1287">
        <v>-3.0677340000000002</v>
      </c>
      <c r="T1287">
        <v>-0.20498839999999999</v>
      </c>
      <c r="U1287">
        <v>-0.14639279999999999</v>
      </c>
      <c r="V1287">
        <v>0.1791499</v>
      </c>
      <c r="W1287">
        <v>3.8448219999999998E-2</v>
      </c>
      <c r="X1287">
        <v>0.98307020000000001</v>
      </c>
      <c r="Y1287">
        <v>0.36656569999999999</v>
      </c>
      <c r="Z1287">
        <v>3.9013119999999998E-2</v>
      </c>
      <c r="AA1287">
        <v>0.92957389999999995</v>
      </c>
      <c r="AB1287">
        <v>18</v>
      </c>
      <c r="AC1287">
        <v>-16.3812</v>
      </c>
      <c r="AD1287">
        <v>-1.10539729772999</v>
      </c>
      <c r="AE1287">
        <v>-0.72700000000003195</v>
      </c>
      <c r="AF1287">
        <v>6.0614991779526504</v>
      </c>
      <c r="AG1287">
        <v>-1.10539729772999</v>
      </c>
      <c r="AH1287">
        <v>15.1559632623254</v>
      </c>
      <c r="AI1287">
        <v>93.874134367165496</v>
      </c>
      <c r="AJ1287">
        <v>68.201478438003804</v>
      </c>
      <c r="AK1287">
        <v>16.360528655245499</v>
      </c>
      <c r="AL1287">
        <v>87.796536119905497</v>
      </c>
      <c r="AM1287">
        <v>79.672031767615493</v>
      </c>
      <c r="AN1287">
        <v>0.99999998520960898</v>
      </c>
    </row>
    <row r="1288" spans="1:40" x14ac:dyDescent="0.25">
      <c r="A1288" t="str">
        <f>"20190312154532192"</f>
        <v>20190312154532192</v>
      </c>
      <c r="B1288" t="str">
        <f>"1552376732177649"</f>
        <v>1552376732177649</v>
      </c>
      <c r="C1288" t="s">
        <v>40</v>
      </c>
      <c r="D1288">
        <v>4.4205990000000002</v>
      </c>
      <c r="E1288">
        <v>0.57664709999999997</v>
      </c>
      <c r="F1288" t="s">
        <v>54</v>
      </c>
      <c r="G1288">
        <v>-221.1508</v>
      </c>
      <c r="H1288" s="1">
        <v>-9.2439269999999998E-7</v>
      </c>
      <c r="I1288">
        <v>285.11470000000003</v>
      </c>
      <c r="J1288">
        <v>-204.24340000000001</v>
      </c>
      <c r="K1288">
        <v>1.105415</v>
      </c>
      <c r="L1288">
        <v>285.76220000000001</v>
      </c>
      <c r="M1288">
        <v>-0.91517020000000004</v>
      </c>
      <c r="N1288">
        <v>0</v>
      </c>
      <c r="O1288">
        <v>-0.40281739999999999</v>
      </c>
      <c r="P1288">
        <v>-0.97197880000000003</v>
      </c>
      <c r="Q1288">
        <v>2.7013369999999998E-2</v>
      </c>
      <c r="R1288">
        <v>-0.23351240000000001</v>
      </c>
      <c r="S1288">
        <v>-3.0668790000000001</v>
      </c>
      <c r="T1288">
        <v>-0.19845180000000001</v>
      </c>
      <c r="U1288">
        <v>-0.12808230000000001</v>
      </c>
      <c r="V1288">
        <v>0.1782994</v>
      </c>
      <c r="W1288">
        <v>3.8964249999999999E-2</v>
      </c>
      <c r="X1288">
        <v>0.98320450000000004</v>
      </c>
      <c r="Y1288">
        <v>0.36276180000000002</v>
      </c>
      <c r="Z1288">
        <v>3.7118360000000003E-2</v>
      </c>
      <c r="AA1288">
        <v>0.93114229999999998</v>
      </c>
      <c r="AB1288">
        <v>18</v>
      </c>
      <c r="AC1288">
        <v>-16.9073999999999</v>
      </c>
      <c r="AD1288">
        <v>-1.1054159243927</v>
      </c>
      <c r="AE1288">
        <v>-0.64749999999997898</v>
      </c>
      <c r="AF1288">
        <v>6.1922185896048401</v>
      </c>
      <c r="AG1288">
        <v>-1.1054159243927</v>
      </c>
      <c r="AH1288">
        <v>15.6686798979262</v>
      </c>
      <c r="AI1288">
        <v>93.753885503926895</v>
      </c>
      <c r="AJ1288">
        <v>68.436206437790204</v>
      </c>
      <c r="AK1288">
        <v>16.8841062887861</v>
      </c>
      <c r="AL1288">
        <v>87.766947613441204</v>
      </c>
      <c r="AM1288">
        <v>79.721389321527596</v>
      </c>
      <c r="AN1288">
        <v>0.99999998881933605</v>
      </c>
    </row>
    <row r="1289" spans="1:40" x14ac:dyDescent="0.25">
      <c r="A1289" t="str">
        <f>"20190312154532212"</f>
        <v>20190312154532212</v>
      </c>
      <c r="B1289" t="str">
        <f>"1552376732198145"</f>
        <v>1552376732198145</v>
      </c>
      <c r="C1289" t="s">
        <v>40</v>
      </c>
      <c r="D1289">
        <v>4.4053740000000001</v>
      </c>
      <c r="E1289">
        <v>0.57053330000000002</v>
      </c>
      <c r="F1289" t="s">
        <v>54</v>
      </c>
      <c r="G1289">
        <v>-221.745</v>
      </c>
      <c r="H1289" s="1">
        <v>-6.0819839999999997E-7</v>
      </c>
      <c r="I1289">
        <v>285.15499999999997</v>
      </c>
      <c r="J1289">
        <v>-204.4051</v>
      </c>
      <c r="K1289">
        <v>1.1054330000000001</v>
      </c>
      <c r="L1289">
        <v>285.70319999999998</v>
      </c>
      <c r="M1289">
        <v>-0.91889370000000004</v>
      </c>
      <c r="N1289">
        <v>0</v>
      </c>
      <c r="O1289">
        <v>-0.39424949999999997</v>
      </c>
      <c r="P1289">
        <v>-0.97396360000000004</v>
      </c>
      <c r="Q1289">
        <v>2.7585729999999999E-2</v>
      </c>
      <c r="R1289">
        <v>-0.22502050000000001</v>
      </c>
      <c r="S1289">
        <v>-3.0663149999999999</v>
      </c>
      <c r="T1289">
        <v>-0.19367100000000001</v>
      </c>
      <c r="U1289">
        <v>-0.1063843</v>
      </c>
      <c r="V1289">
        <v>0.17769270000000001</v>
      </c>
      <c r="W1289">
        <v>3.9546970000000001E-2</v>
      </c>
      <c r="X1289">
        <v>0.98329109999999997</v>
      </c>
      <c r="Y1289">
        <v>0.36072320000000002</v>
      </c>
      <c r="Z1289">
        <v>3.5680690000000001E-2</v>
      </c>
      <c r="AA1289">
        <v>0.93199019999999999</v>
      </c>
      <c r="AB1289">
        <v>18</v>
      </c>
      <c r="AC1289">
        <v>-17.3399</v>
      </c>
      <c r="AD1289">
        <v>-1.10543360819839</v>
      </c>
      <c r="AE1289">
        <v>-0.54820000000000801</v>
      </c>
      <c r="AF1289">
        <v>6.3075387783496</v>
      </c>
      <c r="AG1289">
        <v>-1.10543360819839</v>
      </c>
      <c r="AH1289">
        <v>16.085970499027098</v>
      </c>
      <c r="AI1289">
        <v>93.660665079031602</v>
      </c>
      <c r="AJ1289">
        <v>68.589145050115405</v>
      </c>
      <c r="AK1289">
        <v>17.313736621483201</v>
      </c>
      <c r="AL1289">
        <v>87.733534538438505</v>
      </c>
      <c r="AM1289">
        <v>79.756505644392803</v>
      </c>
      <c r="AN1289">
        <v>1.00000002290434</v>
      </c>
    </row>
    <row r="1290" spans="1:40" x14ac:dyDescent="0.25">
      <c r="A1290" t="str">
        <f>"20190312154532237"</f>
        <v>20190312154532237</v>
      </c>
      <c r="B1290" t="str">
        <f>"1552376732227425"</f>
        <v>1552376732227425</v>
      </c>
      <c r="C1290" t="s">
        <v>40</v>
      </c>
      <c r="D1290">
        <v>4.3688459999999996</v>
      </c>
      <c r="E1290">
        <v>0.56841960000000002</v>
      </c>
      <c r="F1290" t="s">
        <v>54</v>
      </c>
      <c r="G1290">
        <v>-228.3466</v>
      </c>
      <c r="H1290" s="1">
        <v>2.904863E-6</v>
      </c>
      <c r="I1290">
        <v>284.7056</v>
      </c>
      <c r="J1290">
        <v>-204.58359999999999</v>
      </c>
      <c r="K1290">
        <v>1.1054489999999999</v>
      </c>
      <c r="L1290">
        <v>285.64010000000002</v>
      </c>
      <c r="M1290">
        <v>-0.92289750000000004</v>
      </c>
      <c r="N1290">
        <v>0</v>
      </c>
      <c r="O1290">
        <v>-0.38478380000000001</v>
      </c>
      <c r="P1290">
        <v>-0.97608110000000003</v>
      </c>
      <c r="Q1290">
        <v>2.8510069999999998E-2</v>
      </c>
      <c r="R1290">
        <v>-0.21552979999999999</v>
      </c>
      <c r="S1290">
        <v>-3.0548099999999998</v>
      </c>
      <c r="T1290">
        <v>-0.141046799999999</v>
      </c>
      <c r="U1290">
        <v>-0.12728879999999901</v>
      </c>
      <c r="V1290">
        <v>0.17715520000000001</v>
      </c>
      <c r="W1290">
        <v>4.0480349999999998E-2</v>
      </c>
      <c r="X1290">
        <v>0.9833501</v>
      </c>
      <c r="Y1290">
        <v>0.3453058</v>
      </c>
      <c r="Z1290">
        <v>2.5323979999999999E-2</v>
      </c>
      <c r="AA1290">
        <v>0.93814850000000005</v>
      </c>
      <c r="AB1290">
        <v>18</v>
      </c>
      <c r="AC1290">
        <v>-23.763000000000002</v>
      </c>
      <c r="AD1290">
        <v>-1.105446095137</v>
      </c>
      <c r="AE1290">
        <v>-0.93450000000001399</v>
      </c>
      <c r="AF1290">
        <v>8.2641480925076394</v>
      </c>
      <c r="AG1290">
        <v>-1.105446095137</v>
      </c>
      <c r="AH1290">
        <v>22.2445766869727</v>
      </c>
      <c r="AI1290">
        <v>92.667146659368896</v>
      </c>
      <c r="AJ1290">
        <v>69.619316960897294</v>
      </c>
      <c r="AK1290">
        <v>23.755827637587299</v>
      </c>
      <c r="AL1290">
        <v>87.680012935837297</v>
      </c>
      <c r="AM1290">
        <v>79.7874377641037</v>
      </c>
      <c r="AN1290">
        <v>1.0000000213965801</v>
      </c>
    </row>
    <row r="1291" spans="1:40" x14ac:dyDescent="0.25">
      <c r="A1291" t="str">
        <f>"20190312154532259"</f>
        <v>20190312154532259</v>
      </c>
      <c r="B1291" t="str">
        <f>"1552376732247920"</f>
        <v>1552376732247920</v>
      </c>
      <c r="C1291" t="s">
        <v>40</v>
      </c>
      <c r="D1291">
        <v>4.3230639999999996</v>
      </c>
      <c r="E1291">
        <v>0.56763200000000003</v>
      </c>
      <c r="F1291" t="s">
        <v>54</v>
      </c>
      <c r="G1291">
        <v>-227.18600000000001</v>
      </c>
      <c r="H1291" s="1">
        <v>2.2872509999999998E-6</v>
      </c>
      <c r="I1291">
        <v>284.79539999999997</v>
      </c>
      <c r="J1291">
        <v>-204.75399999999999</v>
      </c>
      <c r="K1291">
        <v>1.105467</v>
      </c>
      <c r="L1291">
        <v>285.58170000000001</v>
      </c>
      <c r="M1291">
        <v>-0.92661709999999997</v>
      </c>
      <c r="N1291">
        <v>0</v>
      </c>
      <c r="O1291">
        <v>-0.37573800000000002</v>
      </c>
      <c r="P1291">
        <v>-0.97818609999999995</v>
      </c>
      <c r="Q1291">
        <v>2.8667149999999999E-2</v>
      </c>
      <c r="R1291">
        <v>-0.20574249999999999</v>
      </c>
      <c r="S1291">
        <v>-3.052673</v>
      </c>
      <c r="T1291">
        <v>-0.14930109999999999</v>
      </c>
      <c r="U1291">
        <v>-0.1140747</v>
      </c>
      <c r="V1291">
        <v>0.17738409999999999</v>
      </c>
      <c r="W1291">
        <v>4.0636140000000001E-2</v>
      </c>
      <c r="X1291">
        <v>0.98330240000000002</v>
      </c>
      <c r="Y1291">
        <v>0.34007349999999997</v>
      </c>
      <c r="Z1291">
        <v>2.6288079999999998E-2</v>
      </c>
      <c r="AA1291">
        <v>0.94003130000000001</v>
      </c>
      <c r="AB1291">
        <v>18</v>
      </c>
      <c r="AC1291">
        <v>-22.431999999999899</v>
      </c>
      <c r="AD1291">
        <v>-1.105464712749</v>
      </c>
      <c r="AE1291">
        <v>-0.78630000000003897</v>
      </c>
      <c r="AF1291">
        <v>7.6820987141119401</v>
      </c>
      <c r="AG1291">
        <v>-1.105464712749</v>
      </c>
      <c r="AH1291">
        <v>21.032427595445501</v>
      </c>
      <c r="AI1291">
        <v>92.826393038652299</v>
      </c>
      <c r="AJ1291">
        <v>69.935267989052406</v>
      </c>
      <c r="AK1291">
        <v>22.418735545122701</v>
      </c>
      <c r="AL1291">
        <v>87.671079454727106</v>
      </c>
      <c r="AM1291">
        <v>79.774034909916097</v>
      </c>
      <c r="AN1291">
        <v>1.00000001232633</v>
      </c>
    </row>
    <row r="1292" spans="1:40" x14ac:dyDescent="0.25">
      <c r="A1292" t="str">
        <f>"20190312154532283"</f>
        <v>20190312154532283</v>
      </c>
      <c r="B1292" t="str">
        <f>"1552376732268417"</f>
        <v>1552376732268417</v>
      </c>
      <c r="C1292" t="s">
        <v>40</v>
      </c>
      <c r="D1292">
        <v>4.3088649999999999</v>
      </c>
      <c r="E1292">
        <v>0.56643160000000004</v>
      </c>
      <c r="F1292" t="s">
        <v>54</v>
      </c>
      <c r="G1292">
        <v>-227.24029999999999</v>
      </c>
      <c r="H1292" s="1">
        <v>2.3161269999999998E-6</v>
      </c>
      <c r="I1292">
        <v>284.92320000000001</v>
      </c>
      <c r="J1292">
        <v>-204.93180000000001</v>
      </c>
      <c r="K1292">
        <v>1.1054870000000001</v>
      </c>
      <c r="L1292">
        <v>285.52269999999999</v>
      </c>
      <c r="M1292">
        <v>-0.93039050000000001</v>
      </c>
      <c r="N1292">
        <v>0</v>
      </c>
      <c r="O1292">
        <v>-0.36629519999999999</v>
      </c>
      <c r="P1292">
        <v>-0.98018839999999996</v>
      </c>
      <c r="Q1292">
        <v>2.8002409999999998E-2</v>
      </c>
      <c r="R1292">
        <v>-0.1960788</v>
      </c>
      <c r="S1292">
        <v>-3.0524900000000001</v>
      </c>
      <c r="T1292">
        <v>-0.1500658</v>
      </c>
      <c r="U1292">
        <v>-8.9385989999999999E-2</v>
      </c>
      <c r="V1292">
        <v>0.1770864</v>
      </c>
      <c r="W1292">
        <v>3.9977690000000003E-2</v>
      </c>
      <c r="X1292">
        <v>0.98338309999999995</v>
      </c>
      <c r="Y1292">
        <v>0.33810759999999901</v>
      </c>
      <c r="Z1292">
        <v>2.5950810000000001E-2</v>
      </c>
      <c r="AA1292">
        <v>0.94074959999999996</v>
      </c>
      <c r="AB1292">
        <v>18</v>
      </c>
      <c r="AC1292">
        <v>-22.308499999999899</v>
      </c>
      <c r="AD1292">
        <v>-1.1054846838729999</v>
      </c>
      <c r="AE1292">
        <v>-0.59949999999997705</v>
      </c>
      <c r="AF1292">
        <v>7.5958547442210902</v>
      </c>
      <c r="AG1292">
        <v>-1.1054846838729999</v>
      </c>
      <c r="AH1292">
        <v>20.925972801201201</v>
      </c>
      <c r="AI1292">
        <v>92.842863647705997</v>
      </c>
      <c r="AJ1292">
        <v>70.049764176299107</v>
      </c>
      <c r="AK1292">
        <v>22.2893571768725</v>
      </c>
      <c r="AL1292">
        <v>87.708836665309306</v>
      </c>
      <c r="AM1292">
        <v>79.791655865132995</v>
      </c>
      <c r="AN1292">
        <v>1.0000000650641501</v>
      </c>
    </row>
    <row r="1293" spans="1:40" x14ac:dyDescent="0.25">
      <c r="A1293" t="str">
        <f>"20190312154532304"</f>
        <v>20190312154532304</v>
      </c>
      <c r="B1293" t="str">
        <f>"1552376732287937"</f>
        <v>1552376732287937</v>
      </c>
      <c r="C1293" t="s">
        <v>40</v>
      </c>
      <c r="D1293">
        <v>4.3013949999999896</v>
      </c>
      <c r="E1293">
        <v>0.56500779999999995</v>
      </c>
      <c r="F1293" t="s">
        <v>54</v>
      </c>
      <c r="G1293">
        <v>-226.2079</v>
      </c>
      <c r="H1293" s="1">
        <v>1.766739E-6</v>
      </c>
      <c r="I1293">
        <v>285.04399999999998</v>
      </c>
      <c r="J1293">
        <v>-205.09649999999999</v>
      </c>
      <c r="K1293">
        <v>1.105499</v>
      </c>
      <c r="L1293">
        <v>285.4699</v>
      </c>
      <c r="M1293">
        <v>-0.93378989999999995</v>
      </c>
      <c r="N1293">
        <v>0</v>
      </c>
      <c r="O1293">
        <v>-0.35754069999999999</v>
      </c>
      <c r="P1293">
        <v>-0.98207829999999996</v>
      </c>
      <c r="Q1293">
        <v>2.817122E-2</v>
      </c>
      <c r="R1293">
        <v>-0.18635599999999999</v>
      </c>
      <c r="S1293">
        <v>-3.0514070000000002</v>
      </c>
      <c r="T1293">
        <v>-0.1585481</v>
      </c>
      <c r="U1293">
        <v>-6.8664550000000005E-2</v>
      </c>
      <c r="V1293">
        <v>0.1775938</v>
      </c>
      <c r="W1293">
        <v>4.0141120000000002E-2</v>
      </c>
      <c r="X1293">
        <v>0.98328490000000002</v>
      </c>
      <c r="Y1293">
        <v>0.33556049999999998</v>
      </c>
      <c r="Z1293">
        <v>2.6939040000000001E-2</v>
      </c>
      <c r="AA1293">
        <v>0.94163339999999995</v>
      </c>
      <c r="AB1293">
        <v>18</v>
      </c>
      <c r="AC1293">
        <v>-21.1114</v>
      </c>
      <c r="AD1293">
        <v>-1.105497233261</v>
      </c>
      <c r="AE1293">
        <v>-0.42589999999995598</v>
      </c>
      <c r="AF1293">
        <v>7.1316549360701096</v>
      </c>
      <c r="AG1293">
        <v>-1.105497233261</v>
      </c>
      <c r="AH1293">
        <v>19.813577748565098</v>
      </c>
      <c r="AI1293">
        <v>93.005143128261494</v>
      </c>
      <c r="AJ1293">
        <v>70.204280289056499</v>
      </c>
      <c r="AK1293">
        <v>21.086974402658001</v>
      </c>
      <c r="AL1293">
        <v>87.699465215718007</v>
      </c>
      <c r="AM1293">
        <v>79.762023152175004</v>
      </c>
      <c r="AN1293">
        <v>1.00000003094065</v>
      </c>
    </row>
    <row r="1294" spans="1:40" x14ac:dyDescent="0.25">
      <c r="A1294" t="str">
        <f>"20190312154532326"</f>
        <v>20190312154532326</v>
      </c>
      <c r="B1294" t="str">
        <f>"1552376732318193"</f>
        <v>1552376732318193</v>
      </c>
      <c r="C1294" t="s">
        <v>40</v>
      </c>
      <c r="D1294">
        <v>4.2156099999999999</v>
      </c>
      <c r="E1294">
        <v>0.56353039999999999</v>
      </c>
      <c r="F1294" t="s">
        <v>54</v>
      </c>
      <c r="G1294">
        <v>-226.012</v>
      </c>
      <c r="H1294" s="1">
        <v>1.6625120000000001E-6</v>
      </c>
      <c r="I1294">
        <v>285.12920000000003</v>
      </c>
      <c r="J1294">
        <v>-205.2637</v>
      </c>
      <c r="K1294">
        <v>1.105518</v>
      </c>
      <c r="L1294">
        <v>285.41820000000001</v>
      </c>
      <c r="M1294">
        <v>-0.93714699999999995</v>
      </c>
      <c r="N1294">
        <v>0</v>
      </c>
      <c r="O1294">
        <v>-0.34864650000000003</v>
      </c>
      <c r="P1294">
        <v>-0.98374870000000003</v>
      </c>
      <c r="Q1294">
        <v>2.896992E-2</v>
      </c>
      <c r="R1294">
        <v>-0.17719889999999999</v>
      </c>
      <c r="S1294">
        <v>-3.0499420000000002</v>
      </c>
      <c r="T1294">
        <v>-0.16120580000000001</v>
      </c>
      <c r="U1294">
        <v>-4.9682619999999997E-2</v>
      </c>
      <c r="V1294">
        <v>0.177404799999999</v>
      </c>
      <c r="W1294">
        <v>4.0944399999999999E-2</v>
      </c>
      <c r="X1294">
        <v>0.98328579999999999</v>
      </c>
      <c r="Y1294">
        <v>0.33243660000000003</v>
      </c>
      <c r="Z1294">
        <v>2.6882909999999999E-2</v>
      </c>
      <c r="AA1294">
        <v>0.94274239999999998</v>
      </c>
      <c r="AB1294">
        <v>17</v>
      </c>
      <c r="AC1294">
        <v>-20.7483</v>
      </c>
      <c r="AD1294">
        <v>-1.1055163374879999</v>
      </c>
      <c r="AE1294">
        <v>-0.28899999999998699</v>
      </c>
      <c r="AF1294">
        <v>6.9439768692873596</v>
      </c>
      <c r="AG1294">
        <v>-1.1055163374879999</v>
      </c>
      <c r="AH1294">
        <v>19.491605739540301</v>
      </c>
      <c r="AI1294">
        <v>93.058309237284803</v>
      </c>
      <c r="AJ1294">
        <v>70.391317903487405</v>
      </c>
      <c r="AK1294">
        <v>20.721092525234599</v>
      </c>
      <c r="AL1294">
        <v>87.653402566229005</v>
      </c>
      <c r="AM1294">
        <v>79.772697754308396</v>
      </c>
      <c r="AN1294">
        <v>0.99999993571801704</v>
      </c>
    </row>
    <row r="1295" spans="1:40" x14ac:dyDescent="0.25">
      <c r="A1295" t="str">
        <f>"20190312154532348"</f>
        <v>20190312154532348</v>
      </c>
      <c r="B1295" t="str">
        <f>"1552376732337713"</f>
        <v>1552376732337713</v>
      </c>
      <c r="C1295" t="s">
        <v>40</v>
      </c>
      <c r="D1295">
        <v>4.1947900000000002</v>
      </c>
      <c r="E1295">
        <v>0.56257579999999996</v>
      </c>
      <c r="F1295" t="s">
        <v>54</v>
      </c>
      <c r="G1295">
        <v>-228.22839999999999</v>
      </c>
      <c r="H1295" s="1">
        <v>2.8419510000000002E-6</v>
      </c>
      <c r="I1295">
        <v>285.16800000000001</v>
      </c>
      <c r="J1295">
        <v>-205.43039999999999</v>
      </c>
      <c r="K1295">
        <v>1.1055360000000001</v>
      </c>
      <c r="L1295">
        <v>285.36829999999998</v>
      </c>
      <c r="M1295">
        <v>-0.94039890000000004</v>
      </c>
      <c r="N1295">
        <v>0</v>
      </c>
      <c r="O1295">
        <v>-0.33977780000000002</v>
      </c>
      <c r="P1295">
        <v>-0.98528749999999998</v>
      </c>
      <c r="Q1295">
        <v>2.9165940000000001E-2</v>
      </c>
      <c r="R1295">
        <v>-0.16839870000000001</v>
      </c>
      <c r="S1295">
        <v>-3.0478969999999999</v>
      </c>
      <c r="T1295">
        <v>-0.1467253</v>
      </c>
      <c r="U1295">
        <v>-3.3203129999999997E-2</v>
      </c>
      <c r="V1295">
        <v>0.17690310000000001</v>
      </c>
      <c r="W1295">
        <v>4.1148789999999998E-2</v>
      </c>
      <c r="X1295">
        <v>0.98336769999999996</v>
      </c>
      <c r="Y1295">
        <v>0.32878550000000001</v>
      </c>
      <c r="Z1295">
        <v>2.399921E-2</v>
      </c>
      <c r="AA1295">
        <v>0.94409969999999999</v>
      </c>
      <c r="AB1295">
        <v>17</v>
      </c>
      <c r="AC1295">
        <v>-22.797999999999998</v>
      </c>
      <c r="AD1295">
        <v>-1.105533158049</v>
      </c>
      <c r="AE1295">
        <v>-0.20029999999997</v>
      </c>
      <c r="AF1295">
        <v>7.5409205864279603</v>
      </c>
      <c r="AG1295">
        <v>-1.105533158049</v>
      </c>
      <c r="AH1295">
        <v>21.458975469298899</v>
      </c>
      <c r="AI1295">
        <v>92.782654118846096</v>
      </c>
      <c r="AJ1295">
        <v>70.637962477395007</v>
      </c>
      <c r="AK1295">
        <v>22.772248792034802</v>
      </c>
      <c r="AL1295">
        <v>87.641682111541598</v>
      </c>
      <c r="AM1295">
        <v>79.8018441792007</v>
      </c>
      <c r="AN1295">
        <v>0.99999998155568104</v>
      </c>
    </row>
    <row r="1296" spans="1:40" x14ac:dyDescent="0.25">
      <c r="A1296" t="str">
        <f>"20190312154532367"</f>
        <v>20190312154532367</v>
      </c>
      <c r="B1296" t="str">
        <f>"1552376732358208"</f>
        <v>1552376732358208</v>
      </c>
      <c r="C1296" t="s">
        <v>40</v>
      </c>
      <c r="D1296">
        <v>4.3094609999999998</v>
      </c>
      <c r="E1296">
        <v>0.5616565</v>
      </c>
      <c r="F1296" t="s">
        <v>54</v>
      </c>
      <c r="G1296">
        <v>-230.4528</v>
      </c>
      <c r="H1296" s="1">
        <v>-1.3239360000000001E-6</v>
      </c>
      <c r="I1296">
        <v>285.2595</v>
      </c>
      <c r="J1296">
        <v>-205.58770000000001</v>
      </c>
      <c r="K1296">
        <v>1.105551</v>
      </c>
      <c r="L1296">
        <v>285.3227</v>
      </c>
      <c r="M1296">
        <v>-0.94338489999999997</v>
      </c>
      <c r="N1296">
        <v>0</v>
      </c>
      <c r="O1296">
        <v>-0.3313972</v>
      </c>
      <c r="P1296">
        <v>-0.98671430000000004</v>
      </c>
      <c r="Q1296">
        <v>2.862632E-2</v>
      </c>
      <c r="R1296">
        <v>-0.15992319999999999</v>
      </c>
      <c r="S1296">
        <v>-3.0465089999999999</v>
      </c>
      <c r="T1296">
        <v>-0.13460030000000001</v>
      </c>
      <c r="U1296">
        <v>-1.324463E-2</v>
      </c>
      <c r="V1296">
        <v>0.17660410000000001</v>
      </c>
      <c r="W1296">
        <v>4.0615169999999999E-2</v>
      </c>
      <c r="X1296">
        <v>0.98344359999999997</v>
      </c>
      <c r="Y1296">
        <v>0.32669330000000002</v>
      </c>
      <c r="Z1296">
        <v>2.163383E-2</v>
      </c>
      <c r="AA1296">
        <v>0.94488280000000002</v>
      </c>
      <c r="AB1296">
        <v>17</v>
      </c>
      <c r="AC1296">
        <v>-24.865099999999899</v>
      </c>
      <c r="AD1296">
        <v>-1.1055523239359999</v>
      </c>
      <c r="AE1296">
        <v>-6.3199999999994802E-2</v>
      </c>
      <c r="AF1296">
        <v>8.1652825552566402</v>
      </c>
      <c r="AG1296">
        <v>-1.1055523239359999</v>
      </c>
      <c r="AH1296">
        <v>23.434335721765098</v>
      </c>
      <c r="AI1296">
        <v>92.550826656833905</v>
      </c>
      <c r="AJ1296">
        <v>70.790006317547395</v>
      </c>
      <c r="AK1296">
        <v>24.840736218327699</v>
      </c>
      <c r="AL1296">
        <v>87.672281811723295</v>
      </c>
      <c r="AM1296">
        <v>79.819489483209495</v>
      </c>
      <c r="AN1296">
        <v>0.99999995727594804</v>
      </c>
    </row>
    <row r="1297" spans="1:40" x14ac:dyDescent="0.25">
      <c r="A1297" t="str">
        <f>"20190312154532412"</f>
        <v>20190312154532412</v>
      </c>
      <c r="B1297" t="str">
        <f>"1552376732407985"</f>
        <v>1552376732407985</v>
      </c>
      <c r="C1297" t="s">
        <v>40</v>
      </c>
      <c r="D1297">
        <v>4.1791589999999896</v>
      </c>
      <c r="E1297">
        <v>0.55907949999999995</v>
      </c>
      <c r="F1297" t="s">
        <v>54</v>
      </c>
      <c r="G1297">
        <v>-231.66399999999999</v>
      </c>
      <c r="H1297" s="1">
        <v>-6.8425869999999996E-7</v>
      </c>
      <c r="I1297">
        <v>285.37</v>
      </c>
      <c r="J1297">
        <v>-205.92699999999999</v>
      </c>
      <c r="K1297">
        <v>1.1055870000000001</v>
      </c>
      <c r="L1297">
        <v>285.2296</v>
      </c>
      <c r="M1297">
        <v>-0.94954709999999998</v>
      </c>
      <c r="N1297">
        <v>0</v>
      </c>
      <c r="O1297">
        <v>-0.31330449999999999</v>
      </c>
      <c r="P1297">
        <v>-0.98946330000000005</v>
      </c>
      <c r="Q1297">
        <v>2.9740610000000001E-2</v>
      </c>
      <c r="R1297">
        <v>-0.14169689999999999</v>
      </c>
      <c r="S1297">
        <v>-3.045029</v>
      </c>
      <c r="T1297">
        <v>-0.12909960000000001</v>
      </c>
      <c r="U1297">
        <v>5.5236819999999898E-3</v>
      </c>
      <c r="V1297">
        <v>0.17594360000000001</v>
      </c>
      <c r="W1297">
        <v>4.1741470000000003E-2</v>
      </c>
      <c r="X1297">
        <v>0.98351480000000002</v>
      </c>
      <c r="Y1297">
        <v>0.31450129999999998</v>
      </c>
      <c r="Z1297">
        <v>1.9771799999999999E-2</v>
      </c>
      <c r="AA1297">
        <v>0.94905110000000004</v>
      </c>
      <c r="AB1297">
        <v>17</v>
      </c>
      <c r="AC1297">
        <v>-25.736999999999899</v>
      </c>
      <c r="AD1297">
        <v>-1.1055876842587</v>
      </c>
      <c r="AE1297">
        <v>0.140399999999999</v>
      </c>
      <c r="AF1297">
        <v>8.1825576277488796</v>
      </c>
      <c r="AG1297">
        <v>-1.1055876842587</v>
      </c>
      <c r="AH1297">
        <v>24.3520170310784</v>
      </c>
      <c r="AI1297">
        <v>92.464246721026498</v>
      </c>
      <c r="AJ1297">
        <v>71.427059733501395</v>
      </c>
      <c r="AK1297">
        <v>25.713757153340101</v>
      </c>
      <c r="AL1297">
        <v>87.607694724927796</v>
      </c>
      <c r="AM1297">
        <v>79.857491694442103</v>
      </c>
      <c r="AN1297">
        <v>0.99999993125887798</v>
      </c>
    </row>
    <row r="1298" spans="1:40" x14ac:dyDescent="0.25">
      <c r="A1298" t="str">
        <f>"20190312154532437"</f>
        <v>20190312154532437</v>
      </c>
      <c r="B1298" t="str">
        <f>"1552376732427505"</f>
        <v>1552376732427505</v>
      </c>
      <c r="C1298" t="s">
        <v>40</v>
      </c>
      <c r="D1298">
        <v>4.1128770000000001</v>
      </c>
      <c r="E1298">
        <v>0.55781389999999997</v>
      </c>
      <c r="F1298" t="s">
        <v>54</v>
      </c>
      <c r="G1298">
        <v>-235.90479999999999</v>
      </c>
      <c r="H1298" s="1">
        <v>1.560854E-6</v>
      </c>
      <c r="I1298">
        <v>285.63690000000003</v>
      </c>
      <c r="J1298">
        <v>-206.11250000000001</v>
      </c>
      <c r="K1298">
        <v>1.1056140000000001</v>
      </c>
      <c r="L1298">
        <v>285.1816</v>
      </c>
      <c r="M1298">
        <v>-0.95275710000000002</v>
      </c>
      <c r="N1298">
        <v>0</v>
      </c>
      <c r="O1298">
        <v>-0.30340309999999998</v>
      </c>
      <c r="P1298">
        <v>-0.99076140000000001</v>
      </c>
      <c r="Q1298">
        <v>3.1458430000000003E-2</v>
      </c>
      <c r="R1298">
        <v>-0.13191849999999999</v>
      </c>
      <c r="S1298">
        <v>-3.041229</v>
      </c>
      <c r="T1298">
        <v>-0.112161</v>
      </c>
      <c r="U1298">
        <v>4.1320799999999998E-2</v>
      </c>
      <c r="V1298">
        <v>0.1754192</v>
      </c>
      <c r="W1298">
        <v>4.346796E-2</v>
      </c>
      <c r="X1298">
        <v>0.98353369999999996</v>
      </c>
      <c r="Y1298">
        <v>0.3159342</v>
      </c>
      <c r="Z1298">
        <v>1.6880650000000001E-2</v>
      </c>
      <c r="AA1298">
        <v>0.94863090000000005</v>
      </c>
      <c r="AB1298">
        <v>17</v>
      </c>
      <c r="AC1298">
        <v>-29.792299999999901</v>
      </c>
      <c r="AD1298">
        <v>-1.1056124391459901</v>
      </c>
      <c r="AE1298">
        <v>0.45530000000002202</v>
      </c>
      <c r="AF1298">
        <v>9.46078974669277</v>
      </c>
      <c r="AG1298">
        <v>-1.1056124391459901</v>
      </c>
      <c r="AH1298">
        <v>28.210674876260601</v>
      </c>
      <c r="AI1298">
        <v>92.127985249285601</v>
      </c>
      <c r="AJ1298">
        <v>71.460501732362999</v>
      </c>
      <c r="AK1298">
        <v>29.775343801051299</v>
      </c>
      <c r="AL1298">
        <v>87.508684259122901</v>
      </c>
      <c r="AM1298">
        <v>79.887286926394793</v>
      </c>
      <c r="AN1298">
        <v>0.99999994915544399</v>
      </c>
    </row>
    <row r="1299" spans="1:40" x14ac:dyDescent="0.25">
      <c r="A1299" t="str">
        <f>"20190312154532459"</f>
        <v>20190312154532459</v>
      </c>
      <c r="B1299" t="str">
        <f>"1552376732448002"</f>
        <v>1552376732448002</v>
      </c>
      <c r="C1299" t="s">
        <v>40</v>
      </c>
      <c r="D1299">
        <v>4.0877559999999997</v>
      </c>
      <c r="E1299">
        <v>0.55670719999999996</v>
      </c>
      <c r="F1299" t="s">
        <v>54</v>
      </c>
      <c r="G1299">
        <v>-238.6078</v>
      </c>
      <c r="H1299" s="1">
        <v>2.9903399999999998E-6</v>
      </c>
      <c r="I1299">
        <v>285.83999999999997</v>
      </c>
      <c r="J1299">
        <v>-206.28460000000001</v>
      </c>
      <c r="K1299">
        <v>1.1056379999999999</v>
      </c>
      <c r="L1299">
        <v>285.13889999999998</v>
      </c>
      <c r="M1299">
        <v>-0.95563600000000004</v>
      </c>
      <c r="N1299">
        <v>0</v>
      </c>
      <c r="O1299">
        <v>-0.29421019999999998</v>
      </c>
      <c r="P1299">
        <v>-0.99178909999999998</v>
      </c>
      <c r="Q1299">
        <v>3.3360590000000002E-2</v>
      </c>
      <c r="R1299">
        <v>-0.123457399999999</v>
      </c>
      <c r="S1299">
        <v>-3.0394739999999998</v>
      </c>
      <c r="T1299">
        <v>-0.1034144</v>
      </c>
      <c r="U1299">
        <v>6.1584470000000002E-2</v>
      </c>
      <c r="V1299">
        <v>0.17433850000000001</v>
      </c>
      <c r="W1299">
        <v>4.5385330000000002E-2</v>
      </c>
      <c r="X1299">
        <v>0.98363929999999999</v>
      </c>
      <c r="Y1299">
        <v>0.31319190000000002</v>
      </c>
      <c r="Z1299">
        <v>1.5227289999999999E-2</v>
      </c>
      <c r="AA1299">
        <v>0.94956779999999996</v>
      </c>
      <c r="AB1299">
        <v>17</v>
      </c>
      <c r="AC1299">
        <v>-32.3231999999999</v>
      </c>
      <c r="AD1299">
        <v>-1.1056350096599901</v>
      </c>
      <c r="AE1299">
        <v>0.70109999999999595</v>
      </c>
      <c r="AF1299">
        <v>10.168938346870499</v>
      </c>
      <c r="AG1299">
        <v>-1.1056350096599901</v>
      </c>
      <c r="AH1299">
        <v>30.650169932919201</v>
      </c>
      <c r="AI1299">
        <v>91.960902131378205</v>
      </c>
      <c r="AJ1299">
        <v>71.645482721270199</v>
      </c>
      <c r="AK1299">
        <v>32.311958355906903</v>
      </c>
      <c r="AL1299">
        <v>87.398718602588801</v>
      </c>
      <c r="AM1299">
        <v>79.9493708606729</v>
      </c>
      <c r="AN1299">
        <v>1.00000000663297</v>
      </c>
    </row>
    <row r="1300" spans="1:40" x14ac:dyDescent="0.25">
      <c r="A1300" t="str">
        <f>"20190312154532484"</f>
        <v>20190312154532484</v>
      </c>
      <c r="B1300" t="str">
        <f>"1552376732467521"</f>
        <v>1552376732467521</v>
      </c>
      <c r="C1300" t="s">
        <v>40</v>
      </c>
      <c r="D1300">
        <v>4.2649720000000002</v>
      </c>
      <c r="E1300">
        <v>0.55635310000000004</v>
      </c>
      <c r="F1300" t="s">
        <v>54</v>
      </c>
      <c r="G1300">
        <v>-242.41739999999999</v>
      </c>
      <c r="H1300" s="1">
        <v>-2.5035600000000002E-7</v>
      </c>
      <c r="I1300">
        <v>286.07069999999999</v>
      </c>
      <c r="J1300">
        <v>-206.46950000000001</v>
      </c>
      <c r="K1300">
        <v>1.1056619999999999</v>
      </c>
      <c r="L1300">
        <v>285.0949</v>
      </c>
      <c r="M1300">
        <v>-0.95862449999999999</v>
      </c>
      <c r="N1300">
        <v>0</v>
      </c>
      <c r="O1300">
        <v>-0.28432249999999998</v>
      </c>
      <c r="P1300">
        <v>-0.99287510000000001</v>
      </c>
      <c r="Q1300">
        <v>3.4642550000000001E-2</v>
      </c>
      <c r="R1300">
        <v>-0.11401500000000001</v>
      </c>
      <c r="S1300">
        <v>-3.0377040000000002</v>
      </c>
      <c r="T1300">
        <v>-9.2951420000000007E-2</v>
      </c>
      <c r="U1300">
        <v>7.8338619999999998E-2</v>
      </c>
      <c r="V1300">
        <v>0.17353569999999999</v>
      </c>
      <c r="W1300">
        <v>4.6679999999999999E-2</v>
      </c>
      <c r="X1300">
        <v>0.9837207</v>
      </c>
      <c r="Y1300">
        <v>0.30869730000000001</v>
      </c>
      <c r="Z1300">
        <v>1.3334810000000001E-2</v>
      </c>
      <c r="AA1300">
        <v>0.95106690000000005</v>
      </c>
      <c r="AB1300">
        <v>17</v>
      </c>
      <c r="AC1300">
        <v>-35.947899999999898</v>
      </c>
      <c r="AD1300">
        <v>-1.1056622503560001</v>
      </c>
      <c r="AE1300">
        <v>0.97579999999999201</v>
      </c>
      <c r="AF1300">
        <v>11.146799896241999</v>
      </c>
      <c r="AG1300">
        <v>-1.1056622503560001</v>
      </c>
      <c r="AH1300">
        <v>34.1542242871677</v>
      </c>
      <c r="AI1300">
        <v>91.762726552107395</v>
      </c>
      <c r="AJ1300">
        <v>71.925044033478301</v>
      </c>
      <c r="AK1300">
        <v>35.944188314620298</v>
      </c>
      <c r="AL1300">
        <v>87.3244608384164</v>
      </c>
      <c r="AM1300">
        <v>79.995526287680903</v>
      </c>
      <c r="AN1300">
        <v>1.00000003859148</v>
      </c>
    </row>
    <row r="1301" spans="1:40" x14ac:dyDescent="0.25">
      <c r="A1301" t="str">
        <f>"20190312154532528"</f>
        <v>20190312154532528</v>
      </c>
      <c r="B1301" t="str">
        <f>"1552376732517297"</f>
        <v>1552376732517297</v>
      </c>
      <c r="C1301" t="s">
        <v>40</v>
      </c>
      <c r="D1301">
        <v>4.1726020000000004</v>
      </c>
      <c r="E1301">
        <v>0.55738529999999997</v>
      </c>
      <c r="F1301" t="s">
        <v>54</v>
      </c>
      <c r="G1301">
        <v>-244.77510000000001</v>
      </c>
      <c r="H1301" s="1">
        <v>1.004273E-6</v>
      </c>
      <c r="I1301">
        <v>286.4092</v>
      </c>
      <c r="J1301">
        <v>-206.80500000000001</v>
      </c>
      <c r="K1301">
        <v>1.1057090000000001</v>
      </c>
      <c r="L1301">
        <v>285.0204</v>
      </c>
      <c r="M1301">
        <v>-0.96375829999999996</v>
      </c>
      <c r="N1301">
        <v>0</v>
      </c>
      <c r="O1301">
        <v>-0.26640200000000003</v>
      </c>
      <c r="P1301">
        <v>-0.99470510000000001</v>
      </c>
      <c r="Q1301">
        <v>3.5394139999999998E-2</v>
      </c>
      <c r="R1301">
        <v>-9.648669E-2</v>
      </c>
      <c r="S1301">
        <v>-3.036591</v>
      </c>
      <c r="T1301">
        <v>-8.7648870000000004E-2</v>
      </c>
      <c r="U1301">
        <v>0.104187</v>
      </c>
      <c r="V1301">
        <v>0.17254149999999999</v>
      </c>
      <c r="W1301">
        <v>4.7451140000000003E-2</v>
      </c>
      <c r="X1301">
        <v>0.98385860000000003</v>
      </c>
      <c r="Y1301">
        <v>0.299089099999999</v>
      </c>
      <c r="Z1301">
        <v>1.193876E-2</v>
      </c>
      <c r="AA1301">
        <v>0.95415050000000001</v>
      </c>
      <c r="AB1301">
        <v>17</v>
      </c>
      <c r="AC1301">
        <v>-37.970100000000002</v>
      </c>
      <c r="AD1301">
        <v>-1.105707995727</v>
      </c>
      <c r="AE1301">
        <v>1.3888</v>
      </c>
      <c r="AF1301">
        <v>11.445230538239899</v>
      </c>
      <c r="AG1301">
        <v>-1.105707995727</v>
      </c>
      <c r="AH1301">
        <v>36.196987162669998</v>
      </c>
      <c r="AI1301">
        <v>91.668306756875097</v>
      </c>
      <c r="AJ1301">
        <v>72.453415191083906</v>
      </c>
      <c r="AK1301">
        <v>37.979438804434302</v>
      </c>
      <c r="AL1301">
        <v>87.280228546189093</v>
      </c>
      <c r="AM1301">
        <v>80.053061014453206</v>
      </c>
      <c r="AN1301">
        <v>0.99999996235175403</v>
      </c>
    </row>
    <row r="1302" spans="1:40" x14ac:dyDescent="0.25">
      <c r="A1302" t="str">
        <f>"20190312154532547"</f>
        <v>20190312154532547</v>
      </c>
      <c r="B1302" t="str">
        <f>"1552376732537793"</f>
        <v>1552376732537793</v>
      </c>
      <c r="C1302" t="s">
        <v>40</v>
      </c>
      <c r="D1302">
        <v>4.217441</v>
      </c>
      <c r="E1302">
        <v>0.55747159999999996</v>
      </c>
      <c r="F1302" t="s">
        <v>54</v>
      </c>
      <c r="G1302">
        <v>-252.8092</v>
      </c>
      <c r="H1302" s="1">
        <v>-4.1870950000000002E-8</v>
      </c>
      <c r="I1302">
        <v>287.53440000000001</v>
      </c>
      <c r="J1302">
        <v>-206.96289999999999</v>
      </c>
      <c r="K1302">
        <v>1.105734</v>
      </c>
      <c r="L1302">
        <v>284.98759999999999</v>
      </c>
      <c r="M1302">
        <v>-0.96604760000000001</v>
      </c>
      <c r="N1302">
        <v>0</v>
      </c>
      <c r="O1302">
        <v>-0.25797759999999997</v>
      </c>
      <c r="P1302">
        <v>-0.99548250000000005</v>
      </c>
      <c r="Q1302">
        <v>3.5596650000000001E-2</v>
      </c>
      <c r="R1302">
        <v>-8.8021520000000006E-2</v>
      </c>
      <c r="S1302">
        <v>-3.034637</v>
      </c>
      <c r="T1302">
        <v>-7.2937370000000001E-2</v>
      </c>
      <c r="U1302">
        <v>0.16583249999999999</v>
      </c>
      <c r="V1302">
        <v>0.1723182</v>
      </c>
      <c r="W1302">
        <v>4.7660710000000002E-2</v>
      </c>
      <c r="X1302">
        <v>0.98388759999999997</v>
      </c>
      <c r="Y1302">
        <v>0.3101739</v>
      </c>
      <c r="Z1302">
        <v>9.8773720000000006E-3</v>
      </c>
      <c r="AA1302">
        <v>0.95062849999999999</v>
      </c>
      <c r="AB1302">
        <v>17</v>
      </c>
      <c r="AC1302">
        <v>-45.846299999999999</v>
      </c>
      <c r="AD1302">
        <v>-1.10573404187095</v>
      </c>
      <c r="AE1302">
        <v>2.5468000000000202</v>
      </c>
      <c r="AF1302">
        <v>14.280793075937099</v>
      </c>
      <c r="AG1302">
        <v>-1.10573404187095</v>
      </c>
      <c r="AH1302">
        <v>43.611755214781297</v>
      </c>
      <c r="AI1302">
        <v>91.380281631865998</v>
      </c>
      <c r="AJ1302">
        <v>71.868818963174903</v>
      </c>
      <c r="AK1302">
        <v>45.903691480785</v>
      </c>
      <c r="AL1302">
        <v>87.268207454688095</v>
      </c>
      <c r="AM1302">
        <v>80.065964521076197</v>
      </c>
      <c r="AN1302">
        <v>0.99999995738135095</v>
      </c>
    </row>
    <row r="1303" spans="1:40" x14ac:dyDescent="0.25">
      <c r="A1303" t="str">
        <f>"20190312154532570"</f>
        <v>20190312154532570</v>
      </c>
      <c r="B1303" t="str">
        <f>"1552376732557313"</f>
        <v>1552376732557313</v>
      </c>
      <c r="C1303" t="s">
        <v>40</v>
      </c>
      <c r="D1303">
        <v>4.2079519999999997</v>
      </c>
      <c r="E1303">
        <v>0.55745800000000001</v>
      </c>
      <c r="F1303" t="s">
        <v>54</v>
      </c>
      <c r="G1303">
        <v>-256.60359999999997</v>
      </c>
      <c r="H1303" s="1">
        <v>1.9773250000000002E-6</v>
      </c>
      <c r="I1303">
        <v>288.13580000000002</v>
      </c>
      <c r="J1303">
        <v>-207.14349999999999</v>
      </c>
      <c r="K1303">
        <v>1.1057629999999901</v>
      </c>
      <c r="L1303">
        <v>284.95190000000002</v>
      </c>
      <c r="M1303">
        <v>-0.96856620000000004</v>
      </c>
      <c r="N1303">
        <v>0</v>
      </c>
      <c r="O1303">
        <v>-0.24835470000000001</v>
      </c>
      <c r="P1303">
        <v>-0.99629760000000001</v>
      </c>
      <c r="Q1303">
        <v>3.5800800000000001E-2</v>
      </c>
      <c r="R1303">
        <v>-7.8163049999999998E-2</v>
      </c>
      <c r="S1303">
        <v>-3.03302</v>
      </c>
      <c r="T1303">
        <v>-6.7559599999999997E-2</v>
      </c>
      <c r="U1303">
        <v>0.1923523</v>
      </c>
      <c r="V1303">
        <v>0.1722669</v>
      </c>
      <c r="W1303">
        <v>4.7870759999999998E-2</v>
      </c>
      <c r="X1303">
        <v>0.98388640000000005</v>
      </c>
      <c r="Y1303">
        <v>0.30905300000000002</v>
      </c>
      <c r="Z1303">
        <v>8.9314140000000004E-3</v>
      </c>
      <c r="AA1303">
        <v>0.95100280000000004</v>
      </c>
      <c r="AB1303">
        <v>17</v>
      </c>
      <c r="AC1303">
        <v>-49.460099999999898</v>
      </c>
      <c r="AD1303">
        <v>-1.1057610226750001</v>
      </c>
      <c r="AE1303">
        <v>3.1838999999999902</v>
      </c>
      <c r="AF1303">
        <v>15.361352834638</v>
      </c>
      <c r="AG1303">
        <v>-1.1057610226750001</v>
      </c>
      <c r="AH1303">
        <v>47.095901733065901</v>
      </c>
      <c r="AI1303">
        <v>91.278718500127496</v>
      </c>
      <c r="AJ1303">
        <v>71.935136647286697</v>
      </c>
      <c r="AK1303">
        <v>49.550154675844503</v>
      </c>
      <c r="AL1303">
        <v>87.256158761055602</v>
      </c>
      <c r="AM1303">
        <v>80.068851174415897</v>
      </c>
      <c r="AN1303">
        <v>0.99999997130177298</v>
      </c>
    </row>
    <row r="1304" spans="1:40" x14ac:dyDescent="0.25">
      <c r="A1304" t="str">
        <f>"20190312154532592"</f>
        <v>20190312154532592</v>
      </c>
      <c r="B1304" t="str">
        <f>"1552376732577809"</f>
        <v>1552376732577809</v>
      </c>
      <c r="C1304" t="s">
        <v>40</v>
      </c>
      <c r="D1304">
        <v>4.2524319999999998</v>
      </c>
      <c r="E1304">
        <v>0.55725999999999998</v>
      </c>
      <c r="F1304" t="s">
        <v>54</v>
      </c>
      <c r="G1304">
        <v>-260.02050000000003</v>
      </c>
      <c r="H1304" s="1">
        <v>-1.525867E-6</v>
      </c>
      <c r="I1304">
        <v>288.81939999999997</v>
      </c>
      <c r="J1304">
        <v>-207.30279999999999</v>
      </c>
      <c r="K1304">
        <v>1.105782</v>
      </c>
      <c r="L1304">
        <v>284.92180000000002</v>
      </c>
      <c r="M1304">
        <v>-0.97069839999999996</v>
      </c>
      <c r="N1304">
        <v>0</v>
      </c>
      <c r="O1304">
        <v>-0.2398855</v>
      </c>
      <c r="P1304">
        <v>-0.99695049999999996</v>
      </c>
      <c r="Q1304">
        <v>3.5084530000000003E-2</v>
      </c>
      <c r="R1304">
        <v>-6.9703440000000005E-2</v>
      </c>
      <c r="S1304">
        <v>-3.0308380000000001</v>
      </c>
      <c r="T1304">
        <v>-6.3380839999999994E-2</v>
      </c>
      <c r="U1304">
        <v>0.22167970000000001</v>
      </c>
      <c r="V1304">
        <v>0.17201949999999999</v>
      </c>
      <c r="W1304">
        <v>4.7163450000000003E-2</v>
      </c>
      <c r="X1304">
        <v>0.98396380000000006</v>
      </c>
      <c r="Y1304">
        <v>0.3099672</v>
      </c>
      <c r="Z1304">
        <v>8.2199819999999903E-3</v>
      </c>
      <c r="AA1304">
        <v>0.95071170000000005</v>
      </c>
      <c r="AB1304">
        <v>17</v>
      </c>
      <c r="AC1304">
        <v>-52.717700000000001</v>
      </c>
      <c r="AD1304">
        <v>-1.1057835258669999</v>
      </c>
      <c r="AE1304">
        <v>3.89759999999995</v>
      </c>
      <c r="AF1304">
        <v>16.424058645007602</v>
      </c>
      <c r="AG1304">
        <v>-1.1057835258669999</v>
      </c>
      <c r="AH1304">
        <v>50.221047047013599</v>
      </c>
      <c r="AI1304">
        <v>91.198889548836505</v>
      </c>
      <c r="AJ1304">
        <v>71.890424548971396</v>
      </c>
      <c r="AK1304">
        <v>52.850033359299601</v>
      </c>
      <c r="AL1304">
        <v>87.296730356752093</v>
      </c>
      <c r="AM1304">
        <v>80.083594984410198</v>
      </c>
      <c r="AN1304">
        <v>0.99999992955329398</v>
      </c>
    </row>
    <row r="1305" spans="1:40" x14ac:dyDescent="0.25">
      <c r="A1305" t="str">
        <f>"20190312154532614"</f>
        <v>20190312154532614</v>
      </c>
      <c r="B1305" t="str">
        <f>"1552376732608064"</f>
        <v>1552376732608064</v>
      </c>
      <c r="C1305" t="s">
        <v>40</v>
      </c>
      <c r="D1305">
        <v>4.2628209999999997</v>
      </c>
      <c r="E1305">
        <v>0.55679460000000003</v>
      </c>
      <c r="F1305" t="s">
        <v>54</v>
      </c>
      <c r="G1305">
        <v>-260.8125</v>
      </c>
      <c r="H1305" s="1">
        <v>-1.104418E-6</v>
      </c>
      <c r="I1305">
        <v>289.26240000000001</v>
      </c>
      <c r="J1305">
        <v>-207.4785</v>
      </c>
      <c r="K1305">
        <v>1.1058239999999999</v>
      </c>
      <c r="L1305">
        <v>284.89030000000002</v>
      </c>
      <c r="M1305">
        <v>-0.9729487</v>
      </c>
      <c r="N1305">
        <v>0</v>
      </c>
      <c r="O1305">
        <v>-0.23058999999999999</v>
      </c>
      <c r="P1305">
        <v>-0.99753250000000004</v>
      </c>
      <c r="Q1305">
        <v>3.4787150000000003E-2</v>
      </c>
      <c r="R1305">
        <v>-6.098286E-2</v>
      </c>
      <c r="S1305">
        <v>-3.0285190000000002</v>
      </c>
      <c r="T1305">
        <v>-6.2584639999999997E-2</v>
      </c>
      <c r="U1305">
        <v>0.24566650000000001</v>
      </c>
      <c r="V1305">
        <v>0.1712061</v>
      </c>
      <c r="W1305">
        <v>4.6885280000000001E-2</v>
      </c>
      <c r="X1305">
        <v>0.98411899999999997</v>
      </c>
      <c r="Y1305">
        <v>0.30841649999999998</v>
      </c>
      <c r="Z1305">
        <v>7.9171439999999992E-3</v>
      </c>
      <c r="AA1305">
        <v>0.95121840000000002</v>
      </c>
      <c r="AB1305">
        <v>17</v>
      </c>
      <c r="AC1305">
        <v>-53.333999999999897</v>
      </c>
      <c r="AD1305">
        <v>-1.1058251044180001</v>
      </c>
      <c r="AE1305">
        <v>4.3720999999999801</v>
      </c>
      <c r="AF1305">
        <v>16.546698011837201</v>
      </c>
      <c r="AG1305">
        <v>-1.1058251044180001</v>
      </c>
      <c r="AH1305">
        <v>50.866427697167602</v>
      </c>
      <c r="AI1305">
        <v>91.184333789751506</v>
      </c>
      <c r="AJ1305">
        <v>71.980446869828597</v>
      </c>
      <c r="AK1305">
        <v>53.501490922475099</v>
      </c>
      <c r="AL1305">
        <v>87.312686117410493</v>
      </c>
      <c r="AM1305">
        <v>80.131086692575195</v>
      </c>
      <c r="AN1305">
        <v>0.99999998215944397</v>
      </c>
    </row>
    <row r="1306" spans="1:40" x14ac:dyDescent="0.25">
      <c r="A1306" t="str">
        <f>"20190312154532637"</f>
        <v>20190312154532637</v>
      </c>
      <c r="B1306" t="str">
        <f>"1552376732627585"</f>
        <v>1552376732627585</v>
      </c>
      <c r="C1306" t="s">
        <v>40</v>
      </c>
      <c r="D1306">
        <v>4.1806369999999999</v>
      </c>
      <c r="E1306">
        <v>0.55662100000000003</v>
      </c>
      <c r="F1306" t="s">
        <v>54</v>
      </c>
      <c r="G1306">
        <v>-260.96230000000003</v>
      </c>
      <c r="H1306">
        <v>7.2397210000000004E-2</v>
      </c>
      <c r="I1306">
        <v>289.63869999999997</v>
      </c>
      <c r="J1306">
        <v>-207.6498</v>
      </c>
      <c r="K1306">
        <v>1.10588</v>
      </c>
      <c r="L1306">
        <v>284.86110000000002</v>
      </c>
      <c r="M1306">
        <v>-0.97504150000000001</v>
      </c>
      <c r="N1306">
        <v>0</v>
      </c>
      <c r="O1306">
        <v>-0.22157450000000001</v>
      </c>
      <c r="P1306">
        <v>-0.99796929999999995</v>
      </c>
      <c r="Q1306">
        <v>3.5314779999999997E-2</v>
      </c>
      <c r="R1306">
        <v>-5.301467E-2</v>
      </c>
      <c r="S1306">
        <v>-3.0258639999999999</v>
      </c>
      <c r="T1306">
        <v>-5.846643E-2</v>
      </c>
      <c r="U1306">
        <v>0.2686462</v>
      </c>
      <c r="V1306">
        <v>0.16995089999999999</v>
      </c>
      <c r="W1306">
        <v>4.7438760000000003E-2</v>
      </c>
      <c r="X1306">
        <v>0.98431000000000002</v>
      </c>
      <c r="Y1306">
        <v>0.30686729999999901</v>
      </c>
      <c r="Z1306">
        <v>7.2151680000000001E-3</v>
      </c>
      <c r="AA1306">
        <v>0.95172489999999998</v>
      </c>
      <c r="AB1306">
        <v>17</v>
      </c>
      <c r="AC1306">
        <v>-53.3125</v>
      </c>
      <c r="AD1306">
        <v>-1.0334827900000001</v>
      </c>
      <c r="AE1306">
        <v>4.7775999999999499</v>
      </c>
      <c r="AF1306">
        <v>16.466547675026899</v>
      </c>
      <c r="AG1306">
        <v>-1.0334827900000001</v>
      </c>
      <c r="AH1306">
        <v>50.909389568846798</v>
      </c>
      <c r="AI1306">
        <v>91.106541727842398</v>
      </c>
      <c r="AJ1306">
        <v>72.076295329500795</v>
      </c>
      <c r="AK1306">
        <v>53.516177229729102</v>
      </c>
      <c r="AL1306">
        <v>87.280938661894595</v>
      </c>
      <c r="AM1306">
        <v>80.203897803440697</v>
      </c>
      <c r="AN1306">
        <v>0.99999996023057203</v>
      </c>
    </row>
    <row r="1307" spans="1:40" x14ac:dyDescent="0.25">
      <c r="A1307" t="str">
        <f>"20190312154532659"</f>
        <v>20190312154532659</v>
      </c>
      <c r="B1307" t="str">
        <f>"1552376732648082"</f>
        <v>1552376732648082</v>
      </c>
      <c r="C1307" t="s">
        <v>40</v>
      </c>
      <c r="D1307">
        <v>4.2377979999999997</v>
      </c>
      <c r="E1307">
        <v>0.55641399999999996</v>
      </c>
      <c r="F1307" t="s">
        <v>54</v>
      </c>
      <c r="G1307">
        <v>-267.00580000000002</v>
      </c>
      <c r="H1307">
        <v>8.000061E-2</v>
      </c>
      <c r="I1307">
        <v>290.5856</v>
      </c>
      <c r="J1307">
        <v>-207.82</v>
      </c>
      <c r="K1307">
        <v>1.1059490000000001</v>
      </c>
      <c r="L1307">
        <v>284.83370000000002</v>
      </c>
      <c r="M1307">
        <v>-0.97702029999999995</v>
      </c>
      <c r="N1307">
        <v>0</v>
      </c>
      <c r="O1307">
        <v>-0.2126807</v>
      </c>
      <c r="P1307">
        <v>-0.99830929999999996</v>
      </c>
      <c r="Q1307">
        <v>3.6713129999999997E-2</v>
      </c>
      <c r="R1307">
        <v>-4.5064949999999999E-2</v>
      </c>
      <c r="S1307">
        <v>-3.0234679999999998</v>
      </c>
      <c r="T1307">
        <v>-5.2256110000000001E-2</v>
      </c>
      <c r="U1307">
        <v>0.29159550000000001</v>
      </c>
      <c r="V1307">
        <v>0.16881669999999999</v>
      </c>
      <c r="W1307">
        <v>4.8862370000000002E-2</v>
      </c>
      <c r="X1307">
        <v>0.98443559999999997</v>
      </c>
      <c r="Y1307">
        <v>0.30544470000000001</v>
      </c>
      <c r="Z1307">
        <v>6.2889269999999997E-3</v>
      </c>
      <c r="AA1307">
        <v>0.95218910000000001</v>
      </c>
      <c r="AB1307">
        <v>17</v>
      </c>
      <c r="AC1307">
        <v>-59.1858</v>
      </c>
      <c r="AD1307">
        <v>-1.0259483899999999</v>
      </c>
      <c r="AE1307">
        <v>5.7518999999999698</v>
      </c>
      <c r="AF1307">
        <v>18.203786842920501</v>
      </c>
      <c r="AG1307">
        <v>-1.0259483899999999</v>
      </c>
      <c r="AH1307">
        <v>56.591176160324103</v>
      </c>
      <c r="AI1307">
        <v>90.988724977594202</v>
      </c>
      <c r="AJ1307">
        <v>72.168479764381502</v>
      </c>
      <c r="AK1307">
        <v>59.455795720268299</v>
      </c>
      <c r="AL1307">
        <v>87.199277282335103</v>
      </c>
      <c r="AM1307">
        <v>80.269237626949206</v>
      </c>
      <c r="AN1307">
        <v>1.0000000299741301</v>
      </c>
    </row>
    <row r="1308" spans="1:40" x14ac:dyDescent="0.25">
      <c r="A1308" t="str">
        <f>"20190312154532683"</f>
        <v>20190312154532683</v>
      </c>
      <c r="B1308" t="str">
        <f>"1552376732667601"</f>
        <v>1552376732667601</v>
      </c>
      <c r="C1308" t="s">
        <v>40</v>
      </c>
      <c r="D1308">
        <v>4.2135809999999996</v>
      </c>
      <c r="E1308">
        <v>0.55611180000000004</v>
      </c>
      <c r="F1308" t="s">
        <v>54</v>
      </c>
      <c r="G1308">
        <v>-277.423</v>
      </c>
      <c r="H1308">
        <v>8.0000399999999902E-2</v>
      </c>
      <c r="I1308">
        <v>292.07319999999999</v>
      </c>
      <c r="J1308">
        <v>-208.00030000000001</v>
      </c>
      <c r="K1308">
        <v>1.106026</v>
      </c>
      <c r="L1308">
        <v>284.80619999999999</v>
      </c>
      <c r="M1308">
        <v>-0.97900739999999997</v>
      </c>
      <c r="N1308">
        <v>0</v>
      </c>
      <c r="O1308">
        <v>-0.20333860000000001</v>
      </c>
      <c r="P1308">
        <v>-0.9986159</v>
      </c>
      <c r="Q1308">
        <v>3.7860249999999998E-2</v>
      </c>
      <c r="R1308">
        <v>-3.6507440000000002E-2</v>
      </c>
      <c r="S1308">
        <v>-3.020905</v>
      </c>
      <c r="T1308">
        <v>-4.4528129999999999E-2</v>
      </c>
      <c r="U1308">
        <v>0.31420900000000002</v>
      </c>
      <c r="V1308">
        <v>0.16784399999999999</v>
      </c>
      <c r="W1308">
        <v>5.00349E-2</v>
      </c>
      <c r="X1308">
        <v>0.98454299999999995</v>
      </c>
      <c r="Y1308">
        <v>0.30350480000000002</v>
      </c>
      <c r="Z1308">
        <v>5.2121169999999996E-3</v>
      </c>
      <c r="AA1308">
        <v>0.95281570000000004</v>
      </c>
      <c r="AB1308">
        <v>17</v>
      </c>
      <c r="AC1308">
        <v>-69.422699999999907</v>
      </c>
      <c r="AD1308">
        <v>-1.0260256000000001</v>
      </c>
      <c r="AE1308">
        <v>7.2669999999999897</v>
      </c>
      <c r="AF1308">
        <v>21.228276111349199</v>
      </c>
      <c r="AG1308">
        <v>-1.0260256000000001</v>
      </c>
      <c r="AH1308">
        <v>66.479892318936095</v>
      </c>
      <c r="AI1308">
        <v>90.842316752241103</v>
      </c>
      <c r="AJ1308">
        <v>72.290742442972999</v>
      </c>
      <c r="AK1308">
        <v>69.794473405341193</v>
      </c>
      <c r="AL1308">
        <v>87.132013915131495</v>
      </c>
      <c r="AM1308">
        <v>80.325277680912293</v>
      </c>
      <c r="AN1308">
        <v>1.0000000092015</v>
      </c>
    </row>
    <row r="1309" spans="1:40" x14ac:dyDescent="0.25">
      <c r="A1309" t="str">
        <f>"20190312154532728"</f>
        <v>20190312154532728</v>
      </c>
      <c r="B1309" t="str">
        <f>"1552376732717377"</f>
        <v>1552376732717377</v>
      </c>
      <c r="C1309" t="s">
        <v>40</v>
      </c>
      <c r="D1309">
        <v>4.191681</v>
      </c>
      <c r="E1309">
        <v>0.55504929999999997</v>
      </c>
      <c r="F1309" t="s">
        <v>47</v>
      </c>
      <c r="G1309">
        <v>-284.84949999999998</v>
      </c>
      <c r="H1309">
        <v>0.13342979999999999</v>
      </c>
      <c r="I1309">
        <v>293.40629999999999</v>
      </c>
      <c r="J1309">
        <v>-208.34309999999999</v>
      </c>
      <c r="K1309">
        <v>1.1062099999999999</v>
      </c>
      <c r="L1309">
        <v>284.75850000000003</v>
      </c>
      <c r="M1309">
        <v>-0.98246960000000005</v>
      </c>
      <c r="N1309">
        <v>0</v>
      </c>
      <c r="O1309">
        <v>-0.18589359999999999</v>
      </c>
      <c r="P1309">
        <v>-0.9989344</v>
      </c>
      <c r="Q1309">
        <v>4.17849E-2</v>
      </c>
      <c r="R1309">
        <v>-1.9595479999999998E-2</v>
      </c>
      <c r="S1309">
        <v>-3.01796</v>
      </c>
      <c r="T1309">
        <v>-3.8195010000000001E-2</v>
      </c>
      <c r="U1309">
        <v>0.33773799999999998</v>
      </c>
      <c r="V1309">
        <v>0.1669892</v>
      </c>
      <c r="W1309">
        <v>5.399777E-2</v>
      </c>
      <c r="X1309">
        <v>0.98447899999999999</v>
      </c>
      <c r="Y1309">
        <v>0.2939968</v>
      </c>
      <c r="Z1309">
        <v>4.1958050000000004E-3</v>
      </c>
      <c r="AA1309">
        <v>0.95579720000000001</v>
      </c>
      <c r="AB1309">
        <v>17</v>
      </c>
      <c r="AC1309">
        <v>-76.5063999999999</v>
      </c>
      <c r="AD1309">
        <v>-0.97278019999999998</v>
      </c>
      <c r="AE1309">
        <v>8.6477999999999593</v>
      </c>
      <c r="AF1309">
        <v>22.7168630834487</v>
      </c>
      <c r="AG1309">
        <v>-0.97278019999999998</v>
      </c>
      <c r="AH1309">
        <v>73.553148592678198</v>
      </c>
      <c r="AI1309">
        <v>90.723983990783196</v>
      </c>
      <c r="AJ1309">
        <v>72.8367157073112</v>
      </c>
      <c r="AK1309">
        <v>76.987452468348806</v>
      </c>
      <c r="AL1309">
        <v>86.904650298501394</v>
      </c>
      <c r="AM1309">
        <v>80.373010956437895</v>
      </c>
      <c r="AN1309">
        <v>1.0000000267613001</v>
      </c>
    </row>
    <row r="1310" spans="1:40" x14ac:dyDescent="0.25">
      <c r="A1310" t="str">
        <f>"20190312154532748"</f>
        <v>20190312154532748</v>
      </c>
      <c r="B1310" t="str">
        <f>"1552376732737873"</f>
        <v>1552376732737873</v>
      </c>
      <c r="C1310" t="s">
        <v>40</v>
      </c>
      <c r="D1310">
        <v>4.1678189999999997</v>
      </c>
      <c r="E1310">
        <v>0.54125679999999998</v>
      </c>
      <c r="F1310" t="s">
        <v>55</v>
      </c>
      <c r="G1310">
        <v>-344.39490000000001</v>
      </c>
      <c r="H1310">
        <v>6.4079049999999999E-2</v>
      </c>
      <c r="I1310">
        <v>301.88839999999999</v>
      </c>
      <c r="J1310">
        <v>-208.5026</v>
      </c>
      <c r="K1310">
        <v>1.106287</v>
      </c>
      <c r="L1310">
        <v>284.73829999999998</v>
      </c>
      <c r="M1310">
        <v>-0.98394519999999996</v>
      </c>
      <c r="N1310">
        <v>0</v>
      </c>
      <c r="O1310">
        <v>-0.1779201</v>
      </c>
      <c r="P1310">
        <v>-0.99901309999999999</v>
      </c>
      <c r="Q1310">
        <v>4.273105E-2</v>
      </c>
      <c r="R1310">
        <v>-1.211694E-2</v>
      </c>
      <c r="S1310">
        <v>-3.0115970000000001</v>
      </c>
      <c r="T1310">
        <v>-2.306652E-2</v>
      </c>
      <c r="U1310">
        <v>0.37918089999999999</v>
      </c>
      <c r="V1310">
        <v>0.16636670000000001</v>
      </c>
      <c r="W1310">
        <v>5.4961929999999999E-2</v>
      </c>
      <c r="X1310">
        <v>0.98453100000000004</v>
      </c>
      <c r="Y1310">
        <v>0.29945709999999998</v>
      </c>
      <c r="Z1310">
        <v>2.4981159999999999E-3</v>
      </c>
      <c r="AA1310">
        <v>0.95410649999999997</v>
      </c>
      <c r="AB1310">
        <v>17</v>
      </c>
      <c r="AC1310">
        <v>-135.89230000000001</v>
      </c>
      <c r="AD1310">
        <v>-1.0422079500000001</v>
      </c>
      <c r="AE1310">
        <v>17.150099999999998</v>
      </c>
      <c r="AF1310">
        <v>41.054382789376497</v>
      </c>
      <c r="AG1310">
        <v>-1.0422079500000001</v>
      </c>
      <c r="AH1310">
        <v>130.664488583966</v>
      </c>
      <c r="AI1310">
        <v>90.435981036417303</v>
      </c>
      <c r="AJ1310">
        <v>72.5574407163584</v>
      </c>
      <c r="AK1310">
        <v>136.96626270924199</v>
      </c>
      <c r="AL1310">
        <v>86.849325723159794</v>
      </c>
      <c r="AM1310">
        <v>80.408727540669503</v>
      </c>
      <c r="AN1310">
        <v>0.99999999128960704</v>
      </c>
    </row>
    <row r="1311" spans="1:40" x14ac:dyDescent="0.25">
      <c r="A1311" t="str">
        <f>"20190312154532771"</f>
        <v>20190312154532771</v>
      </c>
      <c r="B1311" t="str">
        <f>"1552376732768129"</f>
        <v>1552376732768129</v>
      </c>
      <c r="C1311" t="s">
        <v>40</v>
      </c>
      <c r="D1311">
        <v>4.2460550000000001</v>
      </c>
      <c r="E1311">
        <v>0.53814189999999995</v>
      </c>
      <c r="F1311" t="s">
        <v>56</v>
      </c>
      <c r="G1311">
        <v>-440.19959999999998</v>
      </c>
      <c r="H1311">
        <v>4.8953490000000004</v>
      </c>
      <c r="I1311">
        <v>307.25630000000001</v>
      </c>
      <c r="J1311">
        <v>-208.67269999999999</v>
      </c>
      <c r="K1311">
        <v>1.1063510000000001</v>
      </c>
      <c r="L1311">
        <v>284.71800000000002</v>
      </c>
      <c r="M1311">
        <v>-0.9854309</v>
      </c>
      <c r="N1311">
        <v>0</v>
      </c>
      <c r="O1311">
        <v>-0.16949900000000001</v>
      </c>
      <c r="P1311">
        <v>-0.99904599999999999</v>
      </c>
      <c r="Q1311">
        <v>4.3438839999999999E-2</v>
      </c>
      <c r="R1311">
        <v>-4.4978689999999998E-3</v>
      </c>
      <c r="S1311">
        <v>-3.0044249999999999</v>
      </c>
      <c r="T1311">
        <v>4.9133059999999999E-2</v>
      </c>
      <c r="U1311">
        <v>0.29199219999999998</v>
      </c>
      <c r="V1311">
        <v>0.1654466</v>
      </c>
      <c r="W1311">
        <v>5.5689420000000003E-2</v>
      </c>
      <c r="X1311">
        <v>0.9846452</v>
      </c>
      <c r="Y1311">
        <v>0.26399479999999997</v>
      </c>
      <c r="Z1311">
        <v>-4.9145220000000002E-3</v>
      </c>
      <c r="AA1311">
        <v>0.96451160000000002</v>
      </c>
      <c r="AB1311">
        <v>17</v>
      </c>
      <c r="AC1311">
        <v>-231.52690000000001</v>
      </c>
      <c r="AD1311">
        <v>3.7889979999999999</v>
      </c>
      <c r="AE1311">
        <v>22.5382999999999</v>
      </c>
      <c r="AF1311">
        <v>61.443238179946299</v>
      </c>
      <c r="AG1311">
        <v>3.7889979999999999</v>
      </c>
      <c r="AH1311">
        <v>224.29602600894199</v>
      </c>
      <c r="AI1311">
        <v>89.066586090543495</v>
      </c>
      <c r="AJ1311">
        <v>74.680326169359006</v>
      </c>
      <c r="AK1311">
        <v>232.59048842823699</v>
      </c>
      <c r="AL1311">
        <v>86.807579797234894</v>
      </c>
      <c r="AM1311">
        <v>80.461881175110406</v>
      </c>
      <c r="AN1311">
        <v>1.00000002941726</v>
      </c>
    </row>
    <row r="1312" spans="1:40" x14ac:dyDescent="0.25">
      <c r="A1312" t="str">
        <f>"20190312154532792"</f>
        <v>20190312154532792</v>
      </c>
      <c r="B1312" t="str">
        <f>"1552376732787649"</f>
        <v>1552376732787649</v>
      </c>
      <c r="C1312" t="s">
        <v>40</v>
      </c>
      <c r="D1312">
        <v>4.2305650000000004</v>
      </c>
      <c r="E1312">
        <v>0.53699079999999999</v>
      </c>
      <c r="F1312" t="s">
        <v>56</v>
      </c>
      <c r="G1312">
        <v>-440.8725</v>
      </c>
      <c r="H1312">
        <v>4.3363129999999996</v>
      </c>
      <c r="I1312">
        <v>307.16140000000001</v>
      </c>
      <c r="J1312">
        <v>-208.8432</v>
      </c>
      <c r="K1312">
        <v>1.1064449999999999</v>
      </c>
      <c r="L1312">
        <v>284.69909999999999</v>
      </c>
      <c r="M1312">
        <v>-0.98682250000000005</v>
      </c>
      <c r="N1312">
        <v>0</v>
      </c>
      <c r="O1312">
        <v>-0.16120139999999999</v>
      </c>
      <c r="P1312">
        <v>-0.99899859999999896</v>
      </c>
      <c r="Q1312">
        <v>4.4664929999999999E-2</v>
      </c>
      <c r="R1312">
        <v>2.6479950000000002E-3</v>
      </c>
      <c r="S1312">
        <v>-3.002335</v>
      </c>
      <c r="T1312">
        <v>4.1763420000000002E-2</v>
      </c>
      <c r="U1312">
        <v>0.2901917</v>
      </c>
      <c r="V1312">
        <v>0.164194799999999</v>
      </c>
      <c r="W1312">
        <v>5.6940560000000001E-2</v>
      </c>
      <c r="X1312">
        <v>0.98478319999999997</v>
      </c>
      <c r="Y1312">
        <v>0.25537789999999999</v>
      </c>
      <c r="Z1312">
        <v>-4.0062400000000003E-3</v>
      </c>
      <c r="AA1312">
        <v>0.9668331</v>
      </c>
      <c r="AB1312">
        <v>17</v>
      </c>
      <c r="AC1312">
        <v>-232.02930000000001</v>
      </c>
      <c r="AD1312">
        <v>3.2298680000000002</v>
      </c>
      <c r="AE1312">
        <v>22.462299999999999</v>
      </c>
      <c r="AF1312">
        <v>59.564139200738097</v>
      </c>
      <c r="AG1312">
        <v>3.2298680000000002</v>
      </c>
      <c r="AH1312">
        <v>225.32955024327001</v>
      </c>
      <c r="AI1312">
        <v>89.206047430965995</v>
      </c>
      <c r="AJ1312">
        <v>75.192987617707203</v>
      </c>
      <c r="AK1312">
        <v>233.091666386545</v>
      </c>
      <c r="AL1312">
        <v>86.735780896539097</v>
      </c>
      <c r="AM1312">
        <v>80.534039781406307</v>
      </c>
      <c r="AN1312">
        <v>1.0000000553611901</v>
      </c>
    </row>
    <row r="1313" spans="1:40" x14ac:dyDescent="0.25">
      <c r="A1313" t="str">
        <f>"20190312154532814"</f>
        <v>20190312154532814</v>
      </c>
      <c r="B1313" t="str">
        <f>"1552376732808145"</f>
        <v>1552376732808145</v>
      </c>
      <c r="C1313" t="s">
        <v>40</v>
      </c>
      <c r="D1313">
        <v>4.2682129999999896</v>
      </c>
      <c r="E1313">
        <v>0.53625140000000004</v>
      </c>
      <c r="F1313" t="s">
        <v>56</v>
      </c>
      <c r="G1313">
        <v>-440.8725</v>
      </c>
      <c r="H1313">
        <v>4.3433590000000004</v>
      </c>
      <c r="I1313">
        <v>308.08969999999999</v>
      </c>
      <c r="J1313">
        <v>-209.01419999999999</v>
      </c>
      <c r="K1313">
        <v>1.1065529999999999</v>
      </c>
      <c r="L1313">
        <v>284.68130000000002</v>
      </c>
      <c r="M1313">
        <v>-0.98812069999999996</v>
      </c>
      <c r="N1313">
        <v>0</v>
      </c>
      <c r="O1313">
        <v>-0.15304570000000001</v>
      </c>
      <c r="P1313">
        <v>-0.99888350000000004</v>
      </c>
      <c r="Q1313">
        <v>4.6281080000000002E-2</v>
      </c>
      <c r="R1313">
        <v>9.4872919999999996E-3</v>
      </c>
      <c r="S1313">
        <v>-3.0003359999999999</v>
      </c>
      <c r="T1313">
        <v>4.1856169999999998E-2</v>
      </c>
      <c r="U1313">
        <v>0.3024597</v>
      </c>
      <c r="V1313">
        <v>0.16279070000000001</v>
      </c>
      <c r="W1313">
        <v>5.8588620000000001E-2</v>
      </c>
      <c r="X1313">
        <v>0.98491949999999995</v>
      </c>
      <c r="Y1313">
        <v>0.25136809999999998</v>
      </c>
      <c r="Z1313">
        <v>-3.8764099999999998E-3</v>
      </c>
      <c r="AA1313">
        <v>0.96788379999999996</v>
      </c>
      <c r="AB1313">
        <v>17</v>
      </c>
      <c r="AC1313">
        <v>-231.85830000000001</v>
      </c>
      <c r="AD1313">
        <v>3.2368060000000001</v>
      </c>
      <c r="AE1313">
        <v>23.408399999999901</v>
      </c>
      <c r="AF1313">
        <v>58.609634323763103</v>
      </c>
      <c r="AG1313">
        <v>3.2368060000000001</v>
      </c>
      <c r="AH1313">
        <v>225.49986135221999</v>
      </c>
      <c r="AI1313">
        <v>89.204078313579004</v>
      </c>
      <c r="AJ1313">
        <v>75.430622257451603</v>
      </c>
      <c r="AK1313">
        <v>233.01449229289901</v>
      </c>
      <c r="AL1313">
        <v>86.6411956521126</v>
      </c>
      <c r="AM1313">
        <v>80.614816488888806</v>
      </c>
      <c r="AN1313">
        <v>0.99999992994011899</v>
      </c>
    </row>
    <row r="1314" spans="1:40" x14ac:dyDescent="0.25">
      <c r="A1314" t="str">
        <f>"20190312154532836"</f>
        <v>20190312154532836</v>
      </c>
      <c r="B1314" t="str">
        <f>"1552376732827665"</f>
        <v>1552376732827665</v>
      </c>
      <c r="C1314" t="s">
        <v>40</v>
      </c>
      <c r="D1314">
        <v>4.2668549999999996</v>
      </c>
      <c r="E1314">
        <v>0.53528430000000005</v>
      </c>
      <c r="F1314" t="s">
        <v>56</v>
      </c>
      <c r="G1314">
        <v>-440.1995</v>
      </c>
      <c r="H1314">
        <v>4.6029859999999996</v>
      </c>
      <c r="I1314">
        <v>309.149</v>
      </c>
      <c r="J1314">
        <v>-209.17679999999999</v>
      </c>
      <c r="K1314">
        <v>1.1066849999999999</v>
      </c>
      <c r="L1314">
        <v>284.66539999999998</v>
      </c>
      <c r="M1314">
        <v>-0.98926369999999997</v>
      </c>
      <c r="N1314">
        <v>0</v>
      </c>
      <c r="O1314">
        <v>-0.14547689999999999</v>
      </c>
      <c r="P1314">
        <v>-0.99872430000000001</v>
      </c>
      <c r="Q1314">
        <v>4.7939349999999999E-2</v>
      </c>
      <c r="R1314">
        <v>1.5861440000000001E-2</v>
      </c>
      <c r="S1314">
        <v>-2.9982449999999998</v>
      </c>
      <c r="T1314">
        <v>4.5345429999999999E-2</v>
      </c>
      <c r="U1314">
        <v>0.31732179999999999</v>
      </c>
      <c r="V1314">
        <v>0.16151979999999999</v>
      </c>
      <c r="W1314">
        <v>6.0281250000000001E-2</v>
      </c>
      <c r="X1314">
        <v>0.98502670000000003</v>
      </c>
      <c r="Y1314">
        <v>0.2487665</v>
      </c>
      <c r="Z1314">
        <v>-4.068337E-3</v>
      </c>
      <c r="AA1314">
        <v>0.96855500000000005</v>
      </c>
      <c r="AB1314">
        <v>17</v>
      </c>
      <c r="AC1314">
        <v>-231.02269999999999</v>
      </c>
      <c r="AD1314">
        <v>3.4963009999999999</v>
      </c>
      <c r="AE1314">
        <v>24.483599999999999</v>
      </c>
      <c r="AF1314">
        <v>57.821711214036398</v>
      </c>
      <c r="AG1314">
        <v>3.4963009999999999</v>
      </c>
      <c r="AH1314">
        <v>224.95142666528301</v>
      </c>
      <c r="AI1314">
        <v>89.137583550284404</v>
      </c>
      <c r="AJ1314">
        <v>75.584707831796507</v>
      </c>
      <c r="AK1314">
        <v>232.290160719623</v>
      </c>
      <c r="AL1314">
        <v>86.544043702112404</v>
      </c>
      <c r="AM1314">
        <v>80.687793319368296</v>
      </c>
      <c r="AN1314">
        <v>1.0000000373032401</v>
      </c>
    </row>
    <row r="1315" spans="1:40" x14ac:dyDescent="0.25">
      <c r="A1315" t="str">
        <f>"20190312154532859"</f>
        <v>20190312154532859</v>
      </c>
      <c r="B1315" t="str">
        <f>"1552376732848162"</f>
        <v>1552376732848162</v>
      </c>
      <c r="C1315" t="s">
        <v>40</v>
      </c>
      <c r="D1315">
        <v>4.2843220000000004</v>
      </c>
      <c r="E1315">
        <v>0.53437480000000004</v>
      </c>
      <c r="F1315" t="s">
        <v>56</v>
      </c>
      <c r="G1315">
        <v>-440.1995</v>
      </c>
      <c r="H1315">
        <v>4.8072699999999999</v>
      </c>
      <c r="I1315">
        <v>310.00940000000003</v>
      </c>
      <c r="J1315">
        <v>-209.35470000000001</v>
      </c>
      <c r="K1315">
        <v>1.1068530000000001</v>
      </c>
      <c r="L1315">
        <v>284.64929999999998</v>
      </c>
      <c r="M1315">
        <v>-0.99041460000000003</v>
      </c>
      <c r="N1315">
        <v>0</v>
      </c>
      <c r="O1315">
        <v>-0.137426399999999</v>
      </c>
      <c r="P1315">
        <v>-0.99851639999999997</v>
      </c>
      <c r="Q1315">
        <v>4.9453360000000002E-2</v>
      </c>
      <c r="R1315">
        <v>2.2795650000000001E-2</v>
      </c>
      <c r="S1315">
        <v>-2.9963069999999998</v>
      </c>
      <c r="T1315">
        <v>4.799581E-2</v>
      </c>
      <c r="U1315">
        <v>0.32870480000000002</v>
      </c>
      <c r="V1315">
        <v>0.16032469999999999</v>
      </c>
      <c r="W1315">
        <v>6.1838079999999997E-2</v>
      </c>
      <c r="X1315">
        <v>0.98512540000000004</v>
      </c>
      <c r="Y1315">
        <v>0.24458569999999999</v>
      </c>
      <c r="Z1315">
        <v>-4.1466790000000003E-3</v>
      </c>
      <c r="AA1315">
        <v>0.9696188</v>
      </c>
      <c r="AB1315">
        <v>17</v>
      </c>
      <c r="AC1315">
        <v>-230.84479999999999</v>
      </c>
      <c r="AD1315">
        <v>3.7004169999999998</v>
      </c>
      <c r="AE1315">
        <v>25.360099999999999</v>
      </c>
      <c r="AF1315">
        <v>56.832237058218702</v>
      </c>
      <c r="AG1315">
        <v>3.7004169999999998</v>
      </c>
      <c r="AH1315">
        <v>225.11147781549599</v>
      </c>
      <c r="AI1315">
        <v>89.086892982396094</v>
      </c>
      <c r="AJ1315">
        <v>75.831034951530398</v>
      </c>
      <c r="AK1315">
        <v>232.204163828498</v>
      </c>
      <c r="AL1315">
        <v>86.454677048082701</v>
      </c>
      <c r="AM1315">
        <v>80.756411513805105</v>
      </c>
      <c r="AN1315">
        <v>1.00000000564666</v>
      </c>
    </row>
    <row r="1316" spans="1:40" x14ac:dyDescent="0.25">
      <c r="A1316" t="str">
        <f>"20190312154532883"</f>
        <v>20190312154532883</v>
      </c>
      <c r="B1316" t="str">
        <f>"1552376732867681"</f>
        <v>1552376732867681</v>
      </c>
      <c r="C1316" t="s">
        <v>40</v>
      </c>
      <c r="D1316">
        <v>4.263757</v>
      </c>
      <c r="E1316">
        <v>0.53396809999999995</v>
      </c>
      <c r="F1316" t="s">
        <v>56</v>
      </c>
      <c r="G1316">
        <v>-440.19959999999998</v>
      </c>
      <c r="H1316">
        <v>4.9751989999999999</v>
      </c>
      <c r="I1316">
        <v>311.00119999999998</v>
      </c>
      <c r="J1316">
        <v>-209.52690000000001</v>
      </c>
      <c r="K1316">
        <v>1.107029</v>
      </c>
      <c r="L1316">
        <v>284.63470000000001</v>
      </c>
      <c r="M1316">
        <v>-0.99143179999999997</v>
      </c>
      <c r="N1316">
        <v>0</v>
      </c>
      <c r="O1316">
        <v>-0.1298889</v>
      </c>
      <c r="P1316">
        <v>-0.99839960000000005</v>
      </c>
      <c r="Q1316">
        <v>4.9297090000000002E-2</v>
      </c>
      <c r="R1316">
        <v>2.771815E-2</v>
      </c>
      <c r="S1316">
        <v>-2.9941710000000001</v>
      </c>
      <c r="T1316">
        <v>5.0174469999999999E-2</v>
      </c>
      <c r="U1316">
        <v>0.34179690000000001</v>
      </c>
      <c r="V1316">
        <v>0.1576582</v>
      </c>
      <c r="W1316">
        <v>6.1743850000000003E-2</v>
      </c>
      <c r="X1316">
        <v>0.98556149999999998</v>
      </c>
      <c r="Y1316">
        <v>0.24146809999999999</v>
      </c>
      <c r="Z1316">
        <v>-4.1855159999999898E-3</v>
      </c>
      <c r="AA1316">
        <v>0.97039969999999998</v>
      </c>
      <c r="AB1316">
        <v>17</v>
      </c>
      <c r="AC1316">
        <v>-230.67269999999999</v>
      </c>
      <c r="AD1316">
        <v>3.8681699999999899</v>
      </c>
      <c r="AE1316">
        <v>26.366499999999899</v>
      </c>
      <c r="AF1316">
        <v>56.092222650612698</v>
      </c>
      <c r="AG1316">
        <v>3.8681699999999899</v>
      </c>
      <c r="AH1316">
        <v>225.2306293172</v>
      </c>
      <c r="AI1316">
        <v>89.045241261575995</v>
      </c>
      <c r="AJ1316">
        <v>76.015348191004705</v>
      </c>
      <c r="AK1316">
        <v>232.14249193901799</v>
      </c>
      <c r="AL1316">
        <v>86.460086135618795</v>
      </c>
      <c r="AM1316">
        <v>80.911516571575504</v>
      </c>
      <c r="AN1316">
        <v>0.99999994066115405</v>
      </c>
    </row>
    <row r="1317" spans="1:40" x14ac:dyDescent="0.25">
      <c r="A1317" t="str">
        <f>"20190312154532907"</f>
        <v>20190312154532907</v>
      </c>
      <c r="B1317" t="str">
        <f>"1552376732897937"</f>
        <v>1552376732897937</v>
      </c>
      <c r="C1317" t="s">
        <v>40</v>
      </c>
      <c r="D1317">
        <v>4.2994529999999997</v>
      </c>
      <c r="E1317">
        <v>0.52598769999999995</v>
      </c>
      <c r="F1317" t="s">
        <v>56</v>
      </c>
      <c r="G1317">
        <v>-440.1995</v>
      </c>
      <c r="H1317">
        <v>4.7410860000000001</v>
      </c>
      <c r="I1317">
        <v>311.86</v>
      </c>
      <c r="J1317">
        <v>-209.71209999999999</v>
      </c>
      <c r="K1317">
        <v>1.1072310000000001</v>
      </c>
      <c r="L1317">
        <v>284.62009999999998</v>
      </c>
      <c r="M1317">
        <v>-0.99241690000000005</v>
      </c>
      <c r="N1317">
        <v>0</v>
      </c>
      <c r="O1317">
        <v>-0.1221387</v>
      </c>
      <c r="P1317">
        <v>-0.99834239999999996</v>
      </c>
      <c r="Q1317">
        <v>4.7936109999999997E-2</v>
      </c>
      <c r="R1317">
        <v>3.1848880000000003E-2</v>
      </c>
      <c r="S1317">
        <v>-2.992661</v>
      </c>
      <c r="T1317">
        <v>4.7147040000000001E-2</v>
      </c>
      <c r="U1317">
        <v>0.35321039999999998</v>
      </c>
      <c r="V1317">
        <v>0.1539992</v>
      </c>
      <c r="W1317">
        <v>6.0456889999999999E-2</v>
      </c>
      <c r="X1317">
        <v>0.98621959999999997</v>
      </c>
      <c r="Y1317">
        <v>0.23759849999999999</v>
      </c>
      <c r="Z1317">
        <v>-3.782466E-3</v>
      </c>
      <c r="AA1317">
        <v>0.97135609999999994</v>
      </c>
      <c r="AB1317">
        <v>17</v>
      </c>
      <c r="AC1317">
        <v>-230.48740000000001</v>
      </c>
      <c r="AD1317">
        <v>3.6338550000000001</v>
      </c>
      <c r="AE1317">
        <v>27.239899999999999</v>
      </c>
      <c r="AF1317">
        <v>55.176508799865303</v>
      </c>
      <c r="AG1317">
        <v>3.6338550000000001</v>
      </c>
      <c r="AH1317">
        <v>225.37880665923501</v>
      </c>
      <c r="AI1317">
        <v>89.102773725698498</v>
      </c>
      <c r="AJ1317">
        <v>76.243604203336702</v>
      </c>
      <c r="AK1317">
        <v>232.06304858086199</v>
      </c>
      <c r="AL1317">
        <v>86.533961560987294</v>
      </c>
      <c r="AM1317">
        <v>81.124876714118201</v>
      </c>
      <c r="AN1317">
        <v>0.99999994428663397</v>
      </c>
    </row>
    <row r="1318" spans="1:40" x14ac:dyDescent="0.25">
      <c r="A1318" t="str">
        <f>"20190312154532928"</f>
        <v>20190312154532928</v>
      </c>
      <c r="B1318" t="str">
        <f>"1552376732917457"</f>
        <v>1552376732917457</v>
      </c>
      <c r="C1318" t="s">
        <v>40</v>
      </c>
      <c r="D1318">
        <v>4.358161</v>
      </c>
      <c r="E1318">
        <v>0.5256729</v>
      </c>
      <c r="F1318" t="s">
        <v>56</v>
      </c>
      <c r="G1318">
        <v>-440.1986</v>
      </c>
      <c r="H1318">
        <v>2.0472899999999998</v>
      </c>
      <c r="I1318">
        <v>307.84899999999999</v>
      </c>
      <c r="J1318">
        <v>-209.86920000000001</v>
      </c>
      <c r="K1318">
        <v>1.10738799999999</v>
      </c>
      <c r="L1318">
        <v>284.60849999999999</v>
      </c>
      <c r="M1318">
        <v>-0.99317180000000005</v>
      </c>
      <c r="N1318">
        <v>0</v>
      </c>
      <c r="O1318">
        <v>-0.1158455</v>
      </c>
      <c r="P1318">
        <v>-0.9982472</v>
      </c>
      <c r="Q1318">
        <v>4.8208130000000002E-2</v>
      </c>
      <c r="R1318">
        <v>3.4334400000000001E-2</v>
      </c>
      <c r="S1318">
        <v>-2.9947659999999998</v>
      </c>
      <c r="T1318">
        <v>1.2214539999999999E-2</v>
      </c>
      <c r="U1318">
        <v>0.3018188</v>
      </c>
      <c r="V1318">
        <v>0.15017440000000001</v>
      </c>
      <c r="W1318">
        <v>6.0791959999999999E-2</v>
      </c>
      <c r="X1318">
        <v>0.98678869999999996</v>
      </c>
      <c r="Y1318">
        <v>0.2148688</v>
      </c>
      <c r="Z1318">
        <v>-9.0830809999999996E-4</v>
      </c>
      <c r="AA1318">
        <v>0.97664249999999997</v>
      </c>
      <c r="AB1318">
        <v>17</v>
      </c>
      <c r="AC1318">
        <v>-230.32939999999999</v>
      </c>
      <c r="AD1318">
        <v>0.93990200000000002</v>
      </c>
      <c r="AE1318">
        <v>23.240500000000001</v>
      </c>
      <c r="AF1318">
        <v>49.768331570880598</v>
      </c>
      <c r="AG1318">
        <v>0.93990200000000002</v>
      </c>
      <c r="AH1318">
        <v>226.08206414797201</v>
      </c>
      <c r="AI1318">
        <v>89.767372530927403</v>
      </c>
      <c r="AJ1318">
        <v>77.585262725867906</v>
      </c>
      <c r="AK1318">
        <v>231.497019359918</v>
      </c>
      <c r="AL1318">
        <v>86.514728195230504</v>
      </c>
      <c r="AM1318">
        <v>81.346839525263107</v>
      </c>
      <c r="AN1318">
        <v>0.99999997563184495</v>
      </c>
    </row>
    <row r="1319" spans="1:40" x14ac:dyDescent="0.25">
      <c r="A1319" t="str">
        <f>"20190312154532949"</f>
        <v>20190312154532949</v>
      </c>
      <c r="B1319" t="str">
        <f>"1552376732937954"</f>
        <v>1552376732937954</v>
      </c>
      <c r="C1319" t="s">
        <v>40</v>
      </c>
      <c r="D1319">
        <v>4.3726520000000004</v>
      </c>
      <c r="E1319">
        <v>0.518642099999999</v>
      </c>
      <c r="F1319" t="s">
        <v>56</v>
      </c>
      <c r="G1319">
        <v>-440.19869999999997</v>
      </c>
      <c r="H1319">
        <v>2.1762329999999999</v>
      </c>
      <c r="I1319">
        <v>308.19819999999999</v>
      </c>
      <c r="J1319">
        <v>-210.03380000000001</v>
      </c>
      <c r="K1319">
        <v>1.1075299999999999</v>
      </c>
      <c r="L1319">
        <v>284.59719999999999</v>
      </c>
      <c r="M1319">
        <v>-0.99389130000000003</v>
      </c>
      <c r="N1319">
        <v>0</v>
      </c>
      <c r="O1319">
        <v>-0.10950509999999999</v>
      </c>
      <c r="P1319">
        <v>-0.99812590000000001</v>
      </c>
      <c r="Q1319">
        <v>4.923197E-2</v>
      </c>
      <c r="R1319">
        <v>3.635157E-2</v>
      </c>
      <c r="S1319">
        <v>-2.9940340000000001</v>
      </c>
      <c r="T1319">
        <v>1.389396E-2</v>
      </c>
      <c r="U1319">
        <v>0.30664059999999999</v>
      </c>
      <c r="V1319">
        <v>0.14584520000000001</v>
      </c>
      <c r="W1319">
        <v>6.1871870000000002E-2</v>
      </c>
      <c r="X1319">
        <v>0.98737079999999999</v>
      </c>
      <c r="Y1319">
        <v>0.2102135</v>
      </c>
      <c r="Z1319">
        <v>-9.9330779999999997E-4</v>
      </c>
      <c r="AA1319">
        <v>0.97765500000000005</v>
      </c>
      <c r="AB1319">
        <v>17</v>
      </c>
      <c r="AC1319">
        <v>-230.16489999999999</v>
      </c>
      <c r="AD1319">
        <v>1.068703</v>
      </c>
      <c r="AE1319">
        <v>23.600999999999999</v>
      </c>
      <c r="AF1319">
        <v>48.664612932088303</v>
      </c>
      <c r="AG1319">
        <v>1.068703</v>
      </c>
      <c r="AH1319">
        <v>226.19098050557901</v>
      </c>
      <c r="AI1319">
        <v>89.735347805475996</v>
      </c>
      <c r="AJ1319">
        <v>77.857996594228197</v>
      </c>
      <c r="AK1319">
        <v>231.369285645281</v>
      </c>
      <c r="AL1319">
        <v>86.452737373429102</v>
      </c>
      <c r="AM1319">
        <v>81.597559998095406</v>
      </c>
      <c r="AN1319">
        <v>1.0000000236764801</v>
      </c>
    </row>
    <row r="1320" spans="1:40" x14ac:dyDescent="0.25">
      <c r="A1320" t="str">
        <f>"20190312154532973"</f>
        <v>20190312154532973</v>
      </c>
      <c r="B1320" t="str">
        <f>"1552376732967233"</f>
        <v>1552376732967233</v>
      </c>
      <c r="C1320" t="s">
        <v>40</v>
      </c>
      <c r="D1320">
        <v>4.3359379999999996</v>
      </c>
      <c r="E1320">
        <v>0.51766429999999997</v>
      </c>
      <c r="F1320" t="s">
        <v>56</v>
      </c>
      <c r="G1320">
        <v>-440.87119999999999</v>
      </c>
      <c r="H1320">
        <v>0.36974119999999999</v>
      </c>
      <c r="I1320">
        <v>304.32679999999999</v>
      </c>
      <c r="J1320">
        <v>-210.20939999999999</v>
      </c>
      <c r="K1320">
        <v>1.107664</v>
      </c>
      <c r="L1320">
        <v>284.58580000000001</v>
      </c>
      <c r="M1320">
        <v>-0.9945851</v>
      </c>
      <c r="N1320">
        <v>0</v>
      </c>
      <c r="O1320">
        <v>-0.1030176</v>
      </c>
      <c r="P1320">
        <v>-0.99807579999999996</v>
      </c>
      <c r="Q1320">
        <v>4.8715069999999999E-2</v>
      </c>
      <c r="R1320">
        <v>3.835968E-2</v>
      </c>
      <c r="S1320">
        <v>-2.9967800000000002</v>
      </c>
      <c r="T1320">
        <v>-9.5779899999999998E-3</v>
      </c>
      <c r="U1320">
        <v>0.25613399999999997</v>
      </c>
      <c r="V1320">
        <v>0.14136219999999999</v>
      </c>
      <c r="W1320">
        <v>6.1405469999999997E-2</v>
      </c>
      <c r="X1320">
        <v>0.98805169999999998</v>
      </c>
      <c r="Y1320">
        <v>0.18735769999999999</v>
      </c>
      <c r="Z1320">
        <v>6.2746929999999996E-4</v>
      </c>
      <c r="AA1320">
        <v>0.98229160000000004</v>
      </c>
      <c r="AB1320">
        <v>17</v>
      </c>
      <c r="AC1320">
        <v>-230.6618</v>
      </c>
      <c r="AD1320">
        <v>-0.73792279999999999</v>
      </c>
      <c r="AE1320">
        <v>19.7409999999999</v>
      </c>
      <c r="AF1320">
        <v>43.399965194271999</v>
      </c>
      <c r="AG1320">
        <v>-0.73792279999999999</v>
      </c>
      <c r="AH1320">
        <v>227.39816850154199</v>
      </c>
      <c r="AI1320">
        <v>90.1826316721192</v>
      </c>
      <c r="AJ1320">
        <v>79.194786578636595</v>
      </c>
      <c r="AK1320">
        <v>231.50384132186301</v>
      </c>
      <c r="AL1320">
        <v>86.479511065401695</v>
      </c>
      <c r="AM1320">
        <v>81.857852722352106</v>
      </c>
      <c r="AN1320">
        <v>1.0000000326038201</v>
      </c>
    </row>
    <row r="1321" spans="1:40" x14ac:dyDescent="0.25">
      <c r="A1321" t="str">
        <f>"20190312154532995"</f>
        <v>20190312154532995</v>
      </c>
      <c r="B1321" t="str">
        <f>"1552376732988705"</f>
        <v>1552376732988705</v>
      </c>
      <c r="C1321" t="s">
        <v>40</v>
      </c>
      <c r="D1321">
        <v>4.3703830000000004</v>
      </c>
      <c r="E1321">
        <v>0.5171424</v>
      </c>
      <c r="F1321" t="s">
        <v>43</v>
      </c>
      <c r="G1321">
        <v>-354.65550000000002</v>
      </c>
      <c r="H1321">
        <v>-0.05</v>
      </c>
      <c r="I1321">
        <v>296.83870000000002</v>
      </c>
      <c r="J1321">
        <v>-210.37950000000001</v>
      </c>
      <c r="K1321">
        <v>1.1077870000000001</v>
      </c>
      <c r="L1321">
        <v>284.57569999999998</v>
      </c>
      <c r="M1321">
        <v>-0.99518759999999995</v>
      </c>
      <c r="N1321">
        <v>0</v>
      </c>
      <c r="O1321">
        <v>-9.7029199999999996E-2</v>
      </c>
      <c r="P1321">
        <v>-0.99817089999999997</v>
      </c>
      <c r="Q1321">
        <v>4.6556170000000001E-2</v>
      </c>
      <c r="R1321">
        <v>3.857008E-2</v>
      </c>
      <c r="S1321">
        <v>-2.9971920000000001</v>
      </c>
      <c r="T1321">
        <v>-2.4021029999999999E-2</v>
      </c>
      <c r="U1321">
        <v>0.25424190000000002</v>
      </c>
      <c r="V1321">
        <v>0.13559399999999999</v>
      </c>
      <c r="W1321">
        <v>5.9303580000000002E-2</v>
      </c>
      <c r="X1321">
        <v>0.98898799999999998</v>
      </c>
      <c r="Y1321">
        <v>0.18080640000000001</v>
      </c>
      <c r="Z1321">
        <v>1.4994159999999999E-3</v>
      </c>
      <c r="AA1321">
        <v>0.98351759999999999</v>
      </c>
      <c r="AB1321">
        <v>17</v>
      </c>
      <c r="AC1321">
        <v>-144.27600000000001</v>
      </c>
      <c r="AD1321">
        <v>-1.1577869999999999</v>
      </c>
      <c r="AE1321">
        <v>12.263</v>
      </c>
      <c r="AF1321">
        <v>26.203745041065002</v>
      </c>
      <c r="AG1321">
        <v>-1.1577869999999999</v>
      </c>
      <c r="AH1321">
        <v>142.39602665256299</v>
      </c>
      <c r="AI1321">
        <v>90.4581551640687</v>
      </c>
      <c r="AJ1321">
        <v>79.573072106557802</v>
      </c>
      <c r="AK1321">
        <v>144.79159206028501</v>
      </c>
      <c r="AL1321">
        <v>86.600160191846896</v>
      </c>
      <c r="AM1321">
        <v>82.193204785265607</v>
      </c>
      <c r="AN1321">
        <v>0.99999995579040701</v>
      </c>
    </row>
    <row r="1322" spans="1:40" x14ac:dyDescent="0.25">
      <c r="A1322" t="str">
        <f>"20190312154533016"</f>
        <v>20190312154533016</v>
      </c>
      <c r="B1322" t="str">
        <f>"1552376733007250"</f>
        <v>1552376733007250</v>
      </c>
      <c r="C1322" t="s">
        <v>40</v>
      </c>
      <c r="D1322">
        <v>4.3073739999999896</v>
      </c>
      <c r="E1322">
        <v>0.51704099999999997</v>
      </c>
      <c r="F1322" t="s">
        <v>57</v>
      </c>
      <c r="G1322">
        <v>-303.16489999999999</v>
      </c>
      <c r="H1322" s="1">
        <v>2.0040249999999998E-6</v>
      </c>
      <c r="I1322">
        <v>292.33789999999999</v>
      </c>
      <c r="J1322">
        <v>-210.53639999999999</v>
      </c>
      <c r="K1322">
        <v>1.107915</v>
      </c>
      <c r="L1322">
        <v>284.56689999999998</v>
      </c>
      <c r="M1322">
        <v>-0.99568639999999997</v>
      </c>
      <c r="N1322">
        <v>0</v>
      </c>
      <c r="O1322">
        <v>-9.1775899999999994E-2</v>
      </c>
      <c r="P1322">
        <v>-0.99830850000000004</v>
      </c>
      <c r="Q1322">
        <v>4.4109200000000001E-2</v>
      </c>
      <c r="R1322">
        <v>3.7881339999999999E-2</v>
      </c>
      <c r="S1322">
        <v>-2.9974820000000002</v>
      </c>
      <c r="T1322">
        <v>-3.5787579999999999E-2</v>
      </c>
      <c r="U1322">
        <v>0.25076290000000001</v>
      </c>
      <c r="V1322">
        <v>0.12966269999999999</v>
      </c>
      <c r="W1322">
        <v>5.6915340000000002E-2</v>
      </c>
      <c r="X1322">
        <v>0.98992340000000001</v>
      </c>
      <c r="Y1322">
        <v>0.1744608</v>
      </c>
      <c r="Z1322">
        <v>2.133387E-3</v>
      </c>
      <c r="AA1322">
        <v>0.98466180000000003</v>
      </c>
      <c r="AB1322">
        <v>17</v>
      </c>
      <c r="AC1322">
        <v>-92.628500000000003</v>
      </c>
      <c r="AD1322">
        <v>-1.107912995975</v>
      </c>
      <c r="AE1322">
        <v>7.7710000000000097</v>
      </c>
      <c r="AF1322">
        <v>16.237744795192601</v>
      </c>
      <c r="AG1322">
        <v>-1.107912995975</v>
      </c>
      <c r="AH1322">
        <v>91.511248914177997</v>
      </c>
      <c r="AI1322">
        <v>90.682970266932799</v>
      </c>
      <c r="AJ1322">
        <v>79.938170231850705</v>
      </c>
      <c r="AK1322">
        <v>92.947299611516996</v>
      </c>
      <c r="AL1322">
        <v>86.737228241307506</v>
      </c>
      <c r="AM1322">
        <v>82.537733965164705</v>
      </c>
      <c r="AN1322">
        <v>1.0000000547830801</v>
      </c>
    </row>
    <row r="1323" spans="1:40" x14ac:dyDescent="0.25">
      <c r="A1323" t="str">
        <f>"20190312154533039"</f>
        <v>20190312154533039</v>
      </c>
      <c r="B1323" t="str">
        <f>"1552376733027746"</f>
        <v>1552376733027746</v>
      </c>
      <c r="C1323" t="s">
        <v>40</v>
      </c>
      <c r="D1323">
        <v>4.2720830000000003</v>
      </c>
      <c r="E1323">
        <v>0.51684529999999995</v>
      </c>
      <c r="F1323" t="s">
        <v>57</v>
      </c>
      <c r="G1323">
        <v>-284.21980000000002</v>
      </c>
      <c r="H1323">
        <v>8.0000169999999995E-2</v>
      </c>
      <c r="I1323">
        <v>290.6687</v>
      </c>
      <c r="J1323">
        <v>-210.70939999999999</v>
      </c>
      <c r="K1323">
        <v>1.108074</v>
      </c>
      <c r="L1323">
        <v>284.55779999999999</v>
      </c>
      <c r="M1323">
        <v>-0.99617540000000004</v>
      </c>
      <c r="N1323">
        <v>0</v>
      </c>
      <c r="O1323">
        <v>-8.6309590000000005E-2</v>
      </c>
      <c r="P1323">
        <v>-0.99834080000000003</v>
      </c>
      <c r="Q1323">
        <v>4.3675159999999998E-2</v>
      </c>
      <c r="R1323">
        <v>3.7525080000000002E-2</v>
      </c>
      <c r="S1323">
        <v>-2.997528</v>
      </c>
      <c r="T1323">
        <v>-4.1816829999999999E-2</v>
      </c>
      <c r="U1323">
        <v>0.24823000000000001</v>
      </c>
      <c r="V1323">
        <v>0.12384389999999899</v>
      </c>
      <c r="W1323">
        <v>5.6541139999999997E-2</v>
      </c>
      <c r="X1323">
        <v>0.99068959999999995</v>
      </c>
      <c r="Y1323">
        <v>0.1682196</v>
      </c>
      <c r="Z1323">
        <v>2.37331E-3</v>
      </c>
      <c r="AA1323">
        <v>0.98574669999999998</v>
      </c>
      <c r="AB1323">
        <v>17</v>
      </c>
      <c r="AC1323">
        <v>-73.510400000000004</v>
      </c>
      <c r="AD1323">
        <v>-1.0280738300000001</v>
      </c>
      <c r="AE1323">
        <v>6.1109000000000098</v>
      </c>
      <c r="AF1323">
        <v>12.4309175841904</v>
      </c>
      <c r="AG1323">
        <v>-1.0280738300000001</v>
      </c>
      <c r="AH1323">
        <v>72.694436094888303</v>
      </c>
      <c r="AI1323">
        <v>90.798654473685403</v>
      </c>
      <c r="AJ1323">
        <v>80.296148033301193</v>
      </c>
      <c r="AK1323">
        <v>73.756800953801303</v>
      </c>
      <c r="AL1323">
        <v>86.758702879911397</v>
      </c>
      <c r="AM1323">
        <v>82.8745451790071</v>
      </c>
      <c r="AN1323">
        <v>1.0000000478139299</v>
      </c>
    </row>
    <row r="1324" spans="1:40" x14ac:dyDescent="0.25">
      <c r="A1324" t="str">
        <f>"20190312154533060"</f>
        <v>20190312154533060</v>
      </c>
      <c r="B1324" t="str">
        <f>"1552376733058002"</f>
        <v>1552376733058002</v>
      </c>
      <c r="C1324" t="s">
        <v>40</v>
      </c>
      <c r="D1324">
        <v>4.0337059999999996</v>
      </c>
      <c r="E1324">
        <v>0.51828220000000003</v>
      </c>
      <c r="F1324" t="s">
        <v>57</v>
      </c>
      <c r="G1324">
        <v>-288.07029999999997</v>
      </c>
      <c r="H1324">
        <v>8.0000130000000003E-2</v>
      </c>
      <c r="I1324">
        <v>290.89089999999999</v>
      </c>
      <c r="J1324">
        <v>-210.87209999999999</v>
      </c>
      <c r="K1324">
        <v>1.1082689999999999</v>
      </c>
      <c r="L1324">
        <v>284.54969999999997</v>
      </c>
      <c r="M1324">
        <v>-0.99658049999999998</v>
      </c>
      <c r="N1324">
        <v>0</v>
      </c>
      <c r="O1324">
        <v>-8.1504960000000001E-2</v>
      </c>
      <c r="P1324">
        <v>-0.99839650000000002</v>
      </c>
      <c r="Q1324">
        <v>4.2666780000000001E-2</v>
      </c>
      <c r="R1324">
        <v>3.7204630000000002E-2</v>
      </c>
      <c r="S1324">
        <v>-2.9975130000000001</v>
      </c>
      <c r="T1324">
        <v>-3.983486E-2</v>
      </c>
      <c r="U1324">
        <v>0.24539179999999999</v>
      </c>
      <c r="V1324">
        <v>0.1187144</v>
      </c>
      <c r="W1324">
        <v>5.5591349999999998E-2</v>
      </c>
      <c r="X1324">
        <v>0.991371</v>
      </c>
      <c r="Y1324">
        <v>0.16253999999999999</v>
      </c>
      <c r="Z1324">
        <v>2.1595590000000001E-3</v>
      </c>
      <c r="AA1324">
        <v>0.98669960000000001</v>
      </c>
      <c r="AB1324">
        <v>17</v>
      </c>
      <c r="AC1324">
        <v>-77.1981999999999</v>
      </c>
      <c r="AD1324">
        <v>-1.02826887</v>
      </c>
      <c r="AE1324">
        <v>6.3412000000000104</v>
      </c>
      <c r="AF1324">
        <v>12.6104921196627</v>
      </c>
      <c r="AG1324">
        <v>-1.02826887</v>
      </c>
      <c r="AH1324">
        <v>76.410956506985002</v>
      </c>
      <c r="AI1324">
        <v>90.760699138371606</v>
      </c>
      <c r="AJ1324">
        <v>80.628655475236897</v>
      </c>
      <c r="AK1324">
        <v>77.451379088312194</v>
      </c>
      <c r="AL1324">
        <v>86.813207365095593</v>
      </c>
      <c r="AM1324">
        <v>83.171477364705197</v>
      </c>
      <c r="AN1324">
        <v>0.99999998330159101</v>
      </c>
    </row>
    <row r="1325" spans="1:40" x14ac:dyDescent="0.25">
      <c r="A1325" t="str">
        <f>"20190312154533173"</f>
        <v>20190312154533173</v>
      </c>
      <c r="B1325" t="str">
        <f>"1552376733167294"</f>
        <v>1552376733167294</v>
      </c>
      <c r="C1325" t="s">
        <v>40</v>
      </c>
      <c r="D1325">
        <v>3.8180079999999998</v>
      </c>
      <c r="E1325">
        <v>0.51102429999999999</v>
      </c>
      <c r="F1325" t="s">
        <v>57</v>
      </c>
      <c r="G1325">
        <v>-285.68720000000002</v>
      </c>
      <c r="H1325">
        <v>8.000032E-2</v>
      </c>
      <c r="I1325">
        <v>290.92059999999998</v>
      </c>
      <c r="J1325">
        <v>-211.7062</v>
      </c>
      <c r="K1325">
        <v>1.1093409999999999</v>
      </c>
      <c r="L1325">
        <v>284.51139999999998</v>
      </c>
      <c r="M1325">
        <v>-0.99791430000000003</v>
      </c>
      <c r="N1325">
        <v>0</v>
      </c>
      <c r="O1325">
        <v>-6.3144270000000002E-2</v>
      </c>
      <c r="P1325">
        <v>-0.99867220000000001</v>
      </c>
      <c r="Q1325">
        <v>3.8969610000000002E-2</v>
      </c>
      <c r="R1325">
        <v>3.3693140000000003E-2</v>
      </c>
      <c r="S1325">
        <v>-2.997055</v>
      </c>
      <c r="T1325">
        <v>-4.1191940000000003E-2</v>
      </c>
      <c r="U1325">
        <v>0.25521850000000001</v>
      </c>
      <c r="V1325">
        <v>9.6786979999999995E-2</v>
      </c>
      <c r="W1325">
        <v>5.2125009999999999E-2</v>
      </c>
      <c r="X1325">
        <v>0.99393929999999997</v>
      </c>
      <c r="Y1325">
        <v>0.147582399999999</v>
      </c>
      <c r="Z1325">
        <v>1.878799E-3</v>
      </c>
      <c r="AA1325">
        <v>0.98904800000000004</v>
      </c>
      <c r="AB1325">
        <v>16</v>
      </c>
      <c r="AC1325">
        <v>-73.980999999999995</v>
      </c>
      <c r="AD1325">
        <v>-1.02934068</v>
      </c>
      <c r="AE1325">
        <v>6.4091999999999896</v>
      </c>
      <c r="AF1325">
        <v>11.0661776202382</v>
      </c>
      <c r="AG1325">
        <v>-1.02934068</v>
      </c>
      <c r="AH1325">
        <v>73.414490699378803</v>
      </c>
      <c r="AI1325">
        <v>90.794316383592204</v>
      </c>
      <c r="AJ1325">
        <v>81.428019263367005</v>
      </c>
      <c r="AK1325">
        <v>74.250974902740097</v>
      </c>
      <c r="AL1325">
        <v>87.012102951203104</v>
      </c>
      <c r="AM1325">
        <v>84.438235297980697</v>
      </c>
      <c r="AN1325">
        <v>1.0000000341247499</v>
      </c>
    </row>
    <row r="1326" spans="1:40" x14ac:dyDescent="0.25">
      <c r="A1326" t="str">
        <f>"20190312154533195"</f>
        <v>20190312154533195</v>
      </c>
      <c r="B1326" t="str">
        <f>"1552376733187789"</f>
        <v>1552376733187789</v>
      </c>
      <c r="C1326" t="s">
        <v>40</v>
      </c>
      <c r="D1326">
        <v>4.1140230000000004</v>
      </c>
      <c r="E1326">
        <v>0.49897439999999998</v>
      </c>
      <c r="F1326" t="s">
        <v>41</v>
      </c>
      <c r="G1326">
        <v>-212.46940000000001</v>
      </c>
      <c r="H1326">
        <v>0.94570569999999998</v>
      </c>
      <c r="I1326">
        <v>284.55689999999998</v>
      </c>
      <c r="J1326">
        <v>-211.8707</v>
      </c>
      <c r="K1326">
        <v>1.1094900000000001</v>
      </c>
      <c r="L1326">
        <v>284.50409999999999</v>
      </c>
      <c r="M1326">
        <v>-0.99806459999999997</v>
      </c>
      <c r="N1326">
        <v>0</v>
      </c>
      <c r="O1326">
        <v>-6.0729810000000002E-2</v>
      </c>
      <c r="P1326">
        <v>-0.99889589999999995</v>
      </c>
      <c r="Q1326">
        <v>3.5357399999999997E-2</v>
      </c>
      <c r="R1326">
        <v>3.093856E-2</v>
      </c>
      <c r="S1326">
        <v>-3.023209</v>
      </c>
      <c r="T1326">
        <v>-0.64826949999999905</v>
      </c>
      <c r="U1326">
        <v>0.18054200000000001</v>
      </c>
      <c r="V1326">
        <v>9.1619919999999994E-2</v>
      </c>
      <c r="W1326">
        <v>4.8539939999999997E-2</v>
      </c>
      <c r="X1326">
        <v>0.99461029999999995</v>
      </c>
      <c r="Y1326">
        <v>0.1161211</v>
      </c>
      <c r="Z1326">
        <v>2.5165300000000002E-2</v>
      </c>
      <c r="AA1326">
        <v>0.99291620000000003</v>
      </c>
      <c r="AB1326">
        <v>16</v>
      </c>
      <c r="AC1326">
        <v>-0.598700000000007</v>
      </c>
      <c r="AD1326">
        <v>-0.16378429999999999</v>
      </c>
      <c r="AE1326">
        <v>5.2799999999990598E-2</v>
      </c>
      <c r="AF1326">
        <v>8.2907887590640605E-2</v>
      </c>
      <c r="AG1326">
        <v>-0.16378429999999999</v>
      </c>
      <c r="AH1326">
        <v>0.55329931781246</v>
      </c>
      <c r="AI1326">
        <v>106.31716397650899</v>
      </c>
      <c r="AJ1326">
        <v>81.478046476940094</v>
      </c>
      <c r="AK1326">
        <v>0.582957245295885</v>
      </c>
      <c r="AL1326">
        <v>87.217773002088705</v>
      </c>
      <c r="AM1326">
        <v>84.736971888304296</v>
      </c>
      <c r="AN1326">
        <v>0.99999999219104996</v>
      </c>
    </row>
    <row r="1327" spans="1:40" x14ac:dyDescent="0.25">
      <c r="A1327" t="str">
        <f>"20190312154533217"</f>
        <v>20190312154533217</v>
      </c>
      <c r="B1327" t="str">
        <f>"1552376733207309"</f>
        <v>1552376733207309</v>
      </c>
      <c r="C1327" t="s">
        <v>40</v>
      </c>
      <c r="D1327">
        <v>4.3630680000000002</v>
      </c>
      <c r="E1327">
        <v>0.49593490000000001</v>
      </c>
      <c r="F1327" t="s">
        <v>41</v>
      </c>
      <c r="G1327">
        <v>-212.6224</v>
      </c>
      <c r="H1327">
        <v>0.9612174</v>
      </c>
      <c r="I1327">
        <v>284.52350000000001</v>
      </c>
      <c r="J1327">
        <v>-212.0283</v>
      </c>
      <c r="K1327">
        <v>1.1096280000000001</v>
      </c>
      <c r="L1327">
        <v>284.49709999999999</v>
      </c>
      <c r="M1327">
        <v>-0.99818119999999999</v>
      </c>
      <c r="N1327">
        <v>0</v>
      </c>
      <c r="O1327">
        <v>-5.8788229999999997E-2</v>
      </c>
      <c r="P1327">
        <v>-0.99909879999999995</v>
      </c>
      <c r="Q1327">
        <v>3.1743269999999997E-2</v>
      </c>
      <c r="R1327">
        <v>2.818791E-2</v>
      </c>
      <c r="S1327">
        <v>-3.0220180000000001</v>
      </c>
      <c r="T1327">
        <v>-0.59601059999999995</v>
      </c>
      <c r="U1327">
        <v>7.7392580000000002E-2</v>
      </c>
      <c r="V1327">
        <v>8.6927450000000003E-2</v>
      </c>
      <c r="W1327">
        <v>4.4950900000000002E-2</v>
      </c>
      <c r="X1327">
        <v>0.99519999999999997</v>
      </c>
      <c r="Y1327">
        <v>8.1627900000000003E-2</v>
      </c>
      <c r="Z1327">
        <v>1.9451469999999998E-2</v>
      </c>
      <c r="AA1327">
        <v>0.99647300000000005</v>
      </c>
      <c r="AB1327">
        <v>16</v>
      </c>
      <c r="AC1327">
        <v>-0.59409999999999696</v>
      </c>
      <c r="AD1327">
        <v>-0.148410599999999</v>
      </c>
      <c r="AE1327">
        <v>2.64000000000237E-2</v>
      </c>
      <c r="AF1327">
        <v>5.7690522406181402E-2</v>
      </c>
      <c r="AG1327">
        <v>-0.148410599999999</v>
      </c>
      <c r="AH1327">
        <v>0.55683974820969995</v>
      </c>
      <c r="AI1327">
        <v>104.84779611264</v>
      </c>
      <c r="AJ1327">
        <v>84.085061995375895</v>
      </c>
      <c r="AK1327">
        <v>0.57915836155070699</v>
      </c>
      <c r="AL1327">
        <v>87.423635027142893</v>
      </c>
      <c r="AM1327">
        <v>85.008071415083606</v>
      </c>
      <c r="AN1327">
        <v>1.00000000248715</v>
      </c>
    </row>
    <row r="1328" spans="1:40" x14ac:dyDescent="0.25">
      <c r="A1328" t="str">
        <f>"20190312154533239"</f>
        <v>20190312154533239</v>
      </c>
      <c r="B1328" t="str">
        <f>"1552376733227804"</f>
        <v>1552376733227804</v>
      </c>
      <c r="C1328" t="s">
        <v>40</v>
      </c>
      <c r="D1328">
        <v>4.3776120000000001</v>
      </c>
      <c r="E1328">
        <v>0.49084109999999997</v>
      </c>
      <c r="F1328" t="s">
        <v>41</v>
      </c>
      <c r="G1328">
        <v>-212.77590000000001</v>
      </c>
      <c r="H1328">
        <v>0.97536049999999996</v>
      </c>
      <c r="I1328">
        <v>284.50850000000003</v>
      </c>
      <c r="J1328">
        <v>-212.1919</v>
      </c>
      <c r="K1328">
        <v>1.1097919999999999</v>
      </c>
      <c r="L1328">
        <v>284.48970000000003</v>
      </c>
      <c r="M1328">
        <v>-0.99827710000000003</v>
      </c>
      <c r="N1328">
        <v>0</v>
      </c>
      <c r="O1328">
        <v>-5.7139040000000002E-2</v>
      </c>
      <c r="P1328">
        <v>-0.99931139999999996</v>
      </c>
      <c r="Q1328">
        <v>2.7066070000000001E-2</v>
      </c>
      <c r="R1328">
        <v>2.538406E-2</v>
      </c>
      <c r="S1328">
        <v>-3.0186459999999999</v>
      </c>
      <c r="T1328">
        <v>-0.54211960000000003</v>
      </c>
      <c r="U1328">
        <v>4.6020510000000001E-2</v>
      </c>
      <c r="V1328">
        <v>8.2472519999999994E-2</v>
      </c>
      <c r="W1328">
        <v>4.0301200000000002E-2</v>
      </c>
      <c r="X1328">
        <v>0.9957781</v>
      </c>
      <c r="Y1328">
        <v>7.0317809999999994E-2</v>
      </c>
      <c r="Z1328">
        <v>1.6441150000000002E-2</v>
      </c>
      <c r="AA1328">
        <v>0.99738910000000003</v>
      </c>
      <c r="AB1328">
        <v>16</v>
      </c>
      <c r="AC1328">
        <v>-0.58400000000000296</v>
      </c>
      <c r="AD1328">
        <v>-0.13443150000000001</v>
      </c>
      <c r="AE1328">
        <v>1.87999999999988E-2</v>
      </c>
      <c r="AF1328">
        <v>4.9520195779953598E-2</v>
      </c>
      <c r="AG1328">
        <v>-0.13443150000000001</v>
      </c>
      <c r="AH1328">
        <v>0.55271455575761697</v>
      </c>
      <c r="AI1328">
        <v>103.617572406826</v>
      </c>
      <c r="AJ1328">
        <v>84.880281850995502</v>
      </c>
      <c r="AK1328">
        <v>0.57097938502950796</v>
      </c>
      <c r="AL1328">
        <v>87.690285724679697</v>
      </c>
      <c r="AM1328">
        <v>85.265444089213801</v>
      </c>
      <c r="AN1328">
        <v>0.99999996385809897</v>
      </c>
    </row>
    <row r="1329" spans="1:40" x14ac:dyDescent="0.25">
      <c r="A1329" t="str">
        <f>"20190312154533260"</f>
        <v>20190312154533260</v>
      </c>
      <c r="B1329" t="str">
        <f>"1552376733258061"</f>
        <v>1552376733258061</v>
      </c>
      <c r="C1329" t="s">
        <v>40</v>
      </c>
      <c r="D1329">
        <v>4.4238949999999999</v>
      </c>
      <c r="E1329">
        <v>0.49066920000000003</v>
      </c>
      <c r="F1329" t="s">
        <v>57</v>
      </c>
      <c r="G1329">
        <v>-285.01549999999997</v>
      </c>
      <c r="H1329" s="1">
        <v>6.1944700000000002E-6</v>
      </c>
      <c r="I1329">
        <v>284.53710000000001</v>
      </c>
      <c r="J1329">
        <v>-212.3518</v>
      </c>
      <c r="K1329">
        <v>1.1099669999999999</v>
      </c>
      <c r="L1329">
        <v>284.48230000000001</v>
      </c>
      <c r="M1329">
        <v>-0.99834860000000003</v>
      </c>
      <c r="N1329">
        <v>0</v>
      </c>
      <c r="O1329">
        <v>-5.5883540000000002E-2</v>
      </c>
      <c r="P1329">
        <v>-0.99952039999999998</v>
      </c>
      <c r="Q1329">
        <v>2.0651050000000001E-2</v>
      </c>
      <c r="R1329">
        <v>2.3077420000000001E-2</v>
      </c>
      <c r="S1329">
        <v>-3.00325</v>
      </c>
      <c r="T1329">
        <v>-4.5767660000000002E-2</v>
      </c>
      <c r="U1329">
        <v>1.953125E-3</v>
      </c>
      <c r="V1329">
        <v>7.8907899999999906E-2</v>
      </c>
      <c r="W1329">
        <v>3.3914569999999998E-2</v>
      </c>
      <c r="X1329">
        <v>0.99630490000000005</v>
      </c>
      <c r="Y1329">
        <v>5.652476E-2</v>
      </c>
      <c r="Z1329">
        <v>1.2820030000000001E-3</v>
      </c>
      <c r="AA1329">
        <v>0.99840039999999997</v>
      </c>
      <c r="AB1329">
        <v>16</v>
      </c>
      <c r="AC1329">
        <v>-72.663699999999906</v>
      </c>
      <c r="AD1329">
        <v>-1.1099608055300001</v>
      </c>
      <c r="AE1329">
        <v>5.4800000000000099E-2</v>
      </c>
      <c r="AF1329">
        <v>4.1148186314534501</v>
      </c>
      <c r="AG1329">
        <v>-1.1099608055300001</v>
      </c>
      <c r="AH1329">
        <v>72.530141351908995</v>
      </c>
      <c r="AI1329">
        <v>90.875346858462393</v>
      </c>
      <c r="AJ1329">
        <v>86.752945952768897</v>
      </c>
      <c r="AK1329">
        <v>72.655248605227897</v>
      </c>
      <c r="AL1329">
        <v>88.056465684071</v>
      </c>
      <c r="AM1329">
        <v>85.471595219673105</v>
      </c>
      <c r="AN1329">
        <v>1.0000000542523499</v>
      </c>
    </row>
    <row r="1330" spans="1:40" x14ac:dyDescent="0.25">
      <c r="A1330" t="str">
        <f>"20190312154533283"</f>
        <v>20190312154533283</v>
      </c>
      <c r="B1330" t="str">
        <f>"1552376733277581"</f>
        <v>1552376733277581</v>
      </c>
      <c r="C1330" t="s">
        <v>40</v>
      </c>
      <c r="D1330">
        <v>4.3739229999999996</v>
      </c>
      <c r="E1330">
        <v>0.49098259999999999</v>
      </c>
      <c r="F1330" t="s">
        <v>54</v>
      </c>
      <c r="G1330">
        <v>-277.67610000000002</v>
      </c>
      <c r="H1330" s="1">
        <v>2.5600110000000001E-6</v>
      </c>
      <c r="I1330">
        <v>284.34280000000001</v>
      </c>
      <c r="J1330">
        <v>-212.5155</v>
      </c>
      <c r="K1330">
        <v>1.110158</v>
      </c>
      <c r="L1330">
        <v>284.4744</v>
      </c>
      <c r="M1330">
        <v>-0.99839990000000001</v>
      </c>
      <c r="N1330">
        <v>0</v>
      </c>
      <c r="O1330">
        <v>-5.4960639999999998E-2</v>
      </c>
      <c r="P1330">
        <v>-0.99964140000000001</v>
      </c>
      <c r="Q1330">
        <v>1.554466E-2</v>
      </c>
      <c r="R1330">
        <v>2.1800139999999999E-2</v>
      </c>
      <c r="S1330">
        <v>-3.00264</v>
      </c>
      <c r="T1330">
        <v>-5.1019670000000003E-2</v>
      </c>
      <c r="U1330">
        <v>-6.4086909999999898E-3</v>
      </c>
      <c r="V1330">
        <v>7.6703099999999996E-2</v>
      </c>
      <c r="W1330">
        <v>2.8835889999999999E-2</v>
      </c>
      <c r="X1330">
        <v>0.99663690000000005</v>
      </c>
      <c r="Y1330">
        <v>5.2818709999999998E-2</v>
      </c>
      <c r="Z1330">
        <v>1.3822210000000001E-3</v>
      </c>
      <c r="AA1330">
        <v>0.99860320000000002</v>
      </c>
      <c r="AB1330">
        <v>16</v>
      </c>
      <c r="AC1330">
        <v>-65.160600000000002</v>
      </c>
      <c r="AD1330">
        <v>-1.1101554399889999</v>
      </c>
      <c r="AE1330">
        <v>-0.131599999999991</v>
      </c>
      <c r="AF1330">
        <v>3.4491829717038902</v>
      </c>
      <c r="AG1330">
        <v>-1.1101554399889999</v>
      </c>
      <c r="AH1330">
        <v>65.050445273957195</v>
      </c>
      <c r="AI1330">
        <v>90.976347607921596</v>
      </c>
      <c r="AJ1330">
        <v>86.964836530175504</v>
      </c>
      <c r="AK1330">
        <v>65.151283476331699</v>
      </c>
      <c r="AL1330">
        <v>88.347596139760498</v>
      </c>
      <c r="AM1330">
        <v>85.599081590952594</v>
      </c>
      <c r="AN1330">
        <v>0.99999999227165604</v>
      </c>
    </row>
    <row r="1331" spans="1:40" x14ac:dyDescent="0.25">
      <c r="A1331" t="str">
        <f>"20190312154533307"</f>
        <v>20190312154533307</v>
      </c>
      <c r="B1331" t="str">
        <f>"1552376733298077"</f>
        <v>1552376733298077</v>
      </c>
      <c r="C1331" t="s">
        <v>40</v>
      </c>
      <c r="D1331">
        <v>4.4230210000000003</v>
      </c>
      <c r="E1331">
        <v>0.49089149999999998</v>
      </c>
      <c r="F1331" t="s">
        <v>54</v>
      </c>
      <c r="G1331">
        <v>-267.20830000000001</v>
      </c>
      <c r="H1331" s="1">
        <v>2.299126E-6</v>
      </c>
      <c r="I1331">
        <v>284.33600000000001</v>
      </c>
      <c r="J1331">
        <v>-212.69290000000001</v>
      </c>
      <c r="K1331">
        <v>1.1103540000000001</v>
      </c>
      <c r="L1331">
        <v>284.46550000000002</v>
      </c>
      <c r="M1331">
        <v>-0.99842880000000001</v>
      </c>
      <c r="N1331">
        <v>0</v>
      </c>
      <c r="O1331">
        <v>-5.4437220000000001E-2</v>
      </c>
      <c r="P1331">
        <v>-0.99971569999999998</v>
      </c>
      <c r="Q1331">
        <v>1.256961E-2</v>
      </c>
      <c r="R1331">
        <v>2.0271069999999999E-2</v>
      </c>
      <c r="S1331">
        <v>-3.0021969999999998</v>
      </c>
      <c r="T1331">
        <v>-6.0938600000000002E-2</v>
      </c>
      <c r="U1331">
        <v>-7.59887699999999E-3</v>
      </c>
      <c r="V1331">
        <v>7.464606E-2</v>
      </c>
      <c r="W1331">
        <v>2.588681E-2</v>
      </c>
      <c r="X1331">
        <v>0.99687400000000004</v>
      </c>
      <c r="Y1331">
        <v>5.18925999999999E-2</v>
      </c>
      <c r="Z1331">
        <v>1.631122E-3</v>
      </c>
      <c r="AA1331">
        <v>0.99865130000000002</v>
      </c>
      <c r="AB1331">
        <v>16</v>
      </c>
      <c r="AC1331">
        <v>-54.5154</v>
      </c>
      <c r="AD1331">
        <v>-1.110351700874</v>
      </c>
      <c r="AE1331">
        <v>-0.129500000000007</v>
      </c>
      <c r="AF1331">
        <v>2.8374437577032401</v>
      </c>
      <c r="AG1331">
        <v>-1.110351700874</v>
      </c>
      <c r="AH1331">
        <v>54.4190250925909</v>
      </c>
      <c r="AI1331">
        <v>91.167300840494093</v>
      </c>
      <c r="AJ1331">
        <v>87.015263233141198</v>
      </c>
      <c r="AK1331">
        <v>54.504259099686898</v>
      </c>
      <c r="AL1331">
        <v>88.516629286393297</v>
      </c>
      <c r="AM1331">
        <v>85.717676058493197</v>
      </c>
      <c r="AN1331">
        <v>0.99999996654074896</v>
      </c>
    </row>
    <row r="1332" spans="1:40" x14ac:dyDescent="0.25">
      <c r="A1332" t="str">
        <f>"20190312154533330"</f>
        <v>20190312154533330</v>
      </c>
      <c r="B1332" t="str">
        <f>"1552376733317596"</f>
        <v>1552376733317596</v>
      </c>
      <c r="C1332" t="s">
        <v>40</v>
      </c>
      <c r="D1332">
        <v>4.4401599999999997</v>
      </c>
      <c r="E1332">
        <v>0.49084240000000001</v>
      </c>
      <c r="F1332" t="s">
        <v>54</v>
      </c>
      <c r="G1332">
        <v>-262.63440000000003</v>
      </c>
      <c r="H1332" s="1">
        <v>-1.34902E-7</v>
      </c>
      <c r="I1332">
        <v>284.25420000000003</v>
      </c>
      <c r="J1332">
        <v>-212.85409999999999</v>
      </c>
      <c r="K1332">
        <v>1.1105069999999999</v>
      </c>
      <c r="L1332">
        <v>284.45690000000002</v>
      </c>
      <c r="M1332">
        <v>-0.99843510000000002</v>
      </c>
      <c r="N1332">
        <v>0</v>
      </c>
      <c r="O1332">
        <v>-5.4323829999999997E-2</v>
      </c>
      <c r="P1332">
        <v>-0.99973599999999996</v>
      </c>
      <c r="Q1332">
        <v>1.2696580000000001E-2</v>
      </c>
      <c r="R1332">
        <v>1.9158540000000002E-2</v>
      </c>
      <c r="S1332">
        <v>-3.0019680000000002</v>
      </c>
      <c r="T1332">
        <v>-6.6743140000000006E-2</v>
      </c>
      <c r="U1332">
        <v>-1.269531E-2</v>
      </c>
      <c r="V1332">
        <v>7.3413389999999995E-2</v>
      </c>
      <c r="W1332">
        <v>2.603219E-2</v>
      </c>
      <c r="X1332">
        <v>0.99696180000000001</v>
      </c>
      <c r="Y1332">
        <v>5.007963E-2</v>
      </c>
      <c r="Z1332">
        <v>1.763901E-3</v>
      </c>
      <c r="AA1332">
        <v>0.99874370000000001</v>
      </c>
      <c r="AB1332">
        <v>16</v>
      </c>
      <c r="AC1332">
        <v>-49.780299999999997</v>
      </c>
      <c r="AD1332">
        <v>-1.1105071349019999</v>
      </c>
      <c r="AE1332">
        <v>-0.202699999999993</v>
      </c>
      <c r="AF1332">
        <v>2.5008497570197199</v>
      </c>
      <c r="AG1332">
        <v>-1.1105071349019999</v>
      </c>
      <c r="AH1332">
        <v>49.693062831632403</v>
      </c>
      <c r="AI1332">
        <v>91.278576886097795</v>
      </c>
      <c r="AJ1332">
        <v>87.118967054741702</v>
      </c>
      <c r="AK1332">
        <v>49.768343042464501</v>
      </c>
      <c r="AL1332">
        <v>88.508296890953702</v>
      </c>
      <c r="AM1332">
        <v>85.788505331071406</v>
      </c>
      <c r="AN1332">
        <v>1.0000000157033599</v>
      </c>
    </row>
    <row r="1333" spans="1:40" x14ac:dyDescent="0.25">
      <c r="A1333" t="str">
        <f>"20190312154533352"</f>
        <v>20190312154533352</v>
      </c>
      <c r="B1333" t="str">
        <f>"1552376733347852"</f>
        <v>1552376733347852</v>
      </c>
      <c r="C1333" t="s">
        <v>40</v>
      </c>
      <c r="D1333">
        <v>4.4693519999999998</v>
      </c>
      <c r="E1333">
        <v>0.490867</v>
      </c>
      <c r="F1333" t="s">
        <v>54</v>
      </c>
      <c r="G1333">
        <v>-265.7174</v>
      </c>
      <c r="H1333" s="1">
        <v>1.5057250000000001E-6</v>
      </c>
      <c r="I1333">
        <v>284.17</v>
      </c>
      <c r="J1333">
        <v>-213.0189</v>
      </c>
      <c r="K1333">
        <v>1.1106279999999999</v>
      </c>
      <c r="L1333">
        <v>284.4479</v>
      </c>
      <c r="M1333">
        <v>-0.99842589999999998</v>
      </c>
      <c r="N1333">
        <v>0</v>
      </c>
      <c r="O1333">
        <v>-5.4497259999999999E-2</v>
      </c>
      <c r="P1333">
        <v>-0.99970999999999999</v>
      </c>
      <c r="Q1333">
        <v>1.639529E-2</v>
      </c>
      <c r="R1333">
        <v>1.7649000000000001E-2</v>
      </c>
      <c r="S1333">
        <v>-3.0019230000000001</v>
      </c>
      <c r="T1333">
        <v>-6.3061710000000007E-2</v>
      </c>
      <c r="U1333">
        <v>-1.6296390000000001E-2</v>
      </c>
      <c r="V1333">
        <v>7.2065850000000001E-2</v>
      </c>
      <c r="W1333">
        <v>2.9739580000000002E-2</v>
      </c>
      <c r="X1333">
        <v>0.99695639999999996</v>
      </c>
      <c r="Y1333">
        <v>4.9057919999999998E-2</v>
      </c>
      <c r="Z1333">
        <v>1.6595500000000001E-3</v>
      </c>
      <c r="AA1333">
        <v>0.99879459999999998</v>
      </c>
      <c r="AB1333">
        <v>16</v>
      </c>
      <c r="AC1333">
        <v>-52.698500000000003</v>
      </c>
      <c r="AD1333">
        <v>-1.1106264942749999</v>
      </c>
      <c r="AE1333">
        <v>-0.27789999999998799</v>
      </c>
      <c r="AF1333">
        <v>2.5935374300765699</v>
      </c>
      <c r="AG1333">
        <v>-1.1106264942749999</v>
      </c>
      <c r="AH1333">
        <v>52.6119506806535</v>
      </c>
      <c r="AI1333">
        <v>91.207855207518193</v>
      </c>
      <c r="AJ1333">
        <v>87.177854949655995</v>
      </c>
      <c r="AK1333">
        <v>52.687543898292603</v>
      </c>
      <c r="AL1333">
        <v>88.2957963007091</v>
      </c>
      <c r="AM1333">
        <v>85.865516570426607</v>
      </c>
      <c r="AN1333">
        <v>0.99999999642787896</v>
      </c>
    </row>
    <row r="1334" spans="1:40" x14ac:dyDescent="0.25">
      <c r="A1334" t="str">
        <f>"20190312154533374"</f>
        <v>20190312154533374</v>
      </c>
      <c r="B1334" t="str">
        <f>"1552376733367372"</f>
        <v>1552376733367372</v>
      </c>
      <c r="C1334" t="s">
        <v>40</v>
      </c>
      <c r="D1334">
        <v>4.5282859999999996</v>
      </c>
      <c r="E1334">
        <v>0.49047289999999999</v>
      </c>
      <c r="F1334" t="s">
        <v>57</v>
      </c>
      <c r="G1334">
        <v>-284.71409999999997</v>
      </c>
      <c r="H1334" s="1">
        <v>6.4474819999999996E-6</v>
      </c>
      <c r="I1334">
        <v>283.95960000000002</v>
      </c>
      <c r="J1334">
        <v>-213.178</v>
      </c>
      <c r="K1334">
        <v>1.1106990000000001</v>
      </c>
      <c r="L1334">
        <v>284.43880000000001</v>
      </c>
      <c r="M1334">
        <v>-0.99840419999999996</v>
      </c>
      <c r="N1334">
        <v>0</v>
      </c>
      <c r="O1334">
        <v>-5.4892660000000003E-2</v>
      </c>
      <c r="P1334">
        <v>-0.99962450000000003</v>
      </c>
      <c r="Q1334">
        <v>2.18829E-2</v>
      </c>
      <c r="R1334">
        <v>1.6501330000000002E-2</v>
      </c>
      <c r="S1334">
        <v>-3.002014</v>
      </c>
      <c r="T1334">
        <v>-4.6503900000000001E-2</v>
      </c>
      <c r="U1334">
        <v>-2.0446780000000001E-2</v>
      </c>
      <c r="V1334">
        <v>7.1297429999999995E-2</v>
      </c>
      <c r="W1334">
        <v>3.5228420000000003E-2</v>
      </c>
      <c r="X1334">
        <v>0.99683279999999996</v>
      </c>
      <c r="Y1334">
        <v>4.8083269999999997E-2</v>
      </c>
      <c r="Z1334">
        <v>1.2223900000000001E-3</v>
      </c>
      <c r="AA1334">
        <v>0.99884260000000002</v>
      </c>
      <c r="AB1334">
        <v>16</v>
      </c>
      <c r="AC1334">
        <v>-71.536099999999905</v>
      </c>
      <c r="AD1334">
        <v>-1.11069255251799</v>
      </c>
      <c r="AE1334">
        <v>-0.47919999999999102</v>
      </c>
      <c r="AF1334">
        <v>3.4478436362897602</v>
      </c>
      <c r="AG1334">
        <v>-1.11069255251799</v>
      </c>
      <c r="AH1334">
        <v>71.437309762179595</v>
      </c>
      <c r="AI1334">
        <v>90.889715703313499</v>
      </c>
      <c r="AJ1334">
        <v>87.236826042542305</v>
      </c>
      <c r="AK1334">
        <v>71.529088416840096</v>
      </c>
      <c r="AL1334">
        <v>87.981142483359704</v>
      </c>
      <c r="AM1334">
        <v>85.908945598067106</v>
      </c>
      <c r="AN1334">
        <v>0.99999999812806994</v>
      </c>
    </row>
    <row r="1335" spans="1:40" x14ac:dyDescent="0.25">
      <c r="A1335" t="str">
        <f>"20190312154533395"</f>
        <v>20190312154533395</v>
      </c>
      <c r="B1335" t="str">
        <f>"1552376733387868"</f>
        <v>1552376733387868</v>
      </c>
      <c r="C1335" t="s">
        <v>40</v>
      </c>
      <c r="D1335">
        <v>4.5357719999999997</v>
      </c>
      <c r="E1335">
        <v>0.48942550000000001</v>
      </c>
      <c r="F1335" t="s">
        <v>54</v>
      </c>
      <c r="G1335">
        <v>-338.19529999999997</v>
      </c>
      <c r="H1335" s="1">
        <v>2.880862E-6</v>
      </c>
      <c r="I1335">
        <v>283.32299999999998</v>
      </c>
      <c r="J1335">
        <v>-213.3304</v>
      </c>
      <c r="K1335">
        <v>1.1107370000000001</v>
      </c>
      <c r="L1335">
        <v>284.42989999999998</v>
      </c>
      <c r="M1335">
        <v>-0.99837350000000002</v>
      </c>
      <c r="N1335">
        <v>0</v>
      </c>
      <c r="O1335">
        <v>-5.5448070000000002E-2</v>
      </c>
      <c r="P1335">
        <v>-0.99957249999999997</v>
      </c>
      <c r="Q1335">
        <v>2.5208319999999999E-2</v>
      </c>
      <c r="R1335">
        <v>1.4821930000000001E-2</v>
      </c>
      <c r="S1335">
        <v>-3.0021360000000001</v>
      </c>
      <c r="T1335">
        <v>-2.6672009999999999E-2</v>
      </c>
      <c r="U1335">
        <v>-2.6794430000000001E-2</v>
      </c>
      <c r="V1335">
        <v>7.016501E-2</v>
      </c>
      <c r="W1335">
        <v>3.8551139999999998E-2</v>
      </c>
      <c r="X1335">
        <v>0.99679019999999996</v>
      </c>
      <c r="Y1335">
        <v>4.6535689999999998E-2</v>
      </c>
      <c r="Z1335">
        <v>6.9913470000000004E-4</v>
      </c>
      <c r="AA1335">
        <v>0.99891640000000004</v>
      </c>
      <c r="AB1335">
        <v>16</v>
      </c>
      <c r="AC1335">
        <v>-124.864899999999</v>
      </c>
      <c r="AD1335">
        <v>-1.110734119138</v>
      </c>
      <c r="AE1335">
        <v>-1.10689999999999</v>
      </c>
      <c r="AF1335">
        <v>5.8184694096183902</v>
      </c>
      <c r="AG1335">
        <v>-1.110734119138</v>
      </c>
      <c r="AH1335">
        <v>124.724282822563</v>
      </c>
      <c r="AI1335">
        <v>90.509680729180801</v>
      </c>
      <c r="AJ1335">
        <v>87.3290508507433</v>
      </c>
      <c r="AK1335">
        <v>124.86486712505101</v>
      </c>
      <c r="AL1335">
        <v>87.790634919901393</v>
      </c>
      <c r="AM1335">
        <v>85.973537056352001</v>
      </c>
      <c r="AN1335">
        <v>1.0000000109198099</v>
      </c>
    </row>
    <row r="1336" spans="1:40" x14ac:dyDescent="0.25">
      <c r="A1336" t="str">
        <f>"20190312154533418"</f>
        <v>20190312154533418</v>
      </c>
      <c r="B1336" t="str">
        <f>"1552376733407390"</f>
        <v>1552376733407390</v>
      </c>
      <c r="C1336" t="s">
        <v>40</v>
      </c>
      <c r="D1336">
        <v>4.5798750000000004</v>
      </c>
      <c r="E1336">
        <v>0.4887263</v>
      </c>
      <c r="F1336" t="s">
        <v>54</v>
      </c>
      <c r="G1336">
        <v>-393.40320000000003</v>
      </c>
      <c r="H1336" s="1">
        <v>2.7424299999999998E-7</v>
      </c>
      <c r="I1336">
        <v>282.03210000000001</v>
      </c>
      <c r="J1336">
        <v>-213.4924</v>
      </c>
      <c r="K1336">
        <v>1.1107549999999999</v>
      </c>
      <c r="L1336">
        <v>284.42009999999999</v>
      </c>
      <c r="M1336">
        <v>-0.99833320000000003</v>
      </c>
      <c r="N1336">
        <v>0</v>
      </c>
      <c r="O1336">
        <v>-5.6172119999999999E-2</v>
      </c>
      <c r="P1336">
        <v>-0.99960009999999999</v>
      </c>
      <c r="Q1336">
        <v>2.5406140000000001E-2</v>
      </c>
      <c r="R1336">
        <v>1.2444240000000001E-2</v>
      </c>
      <c r="S1336">
        <v>-3.0023499999999999</v>
      </c>
      <c r="T1336">
        <v>-1.8519279999999999E-2</v>
      </c>
      <c r="U1336">
        <v>-3.9978029999999998E-2</v>
      </c>
      <c r="V1336">
        <v>6.8514240000000004E-2</v>
      </c>
      <c r="W1336">
        <v>3.8745059999999998E-2</v>
      </c>
      <c r="X1336">
        <v>0.99689749999999999</v>
      </c>
      <c r="Y1336">
        <v>4.2876820000000003E-2</v>
      </c>
      <c r="Z1336">
        <v>4.7855750000000001E-4</v>
      </c>
      <c r="AA1336">
        <v>0.99908019999999997</v>
      </c>
      <c r="AB1336">
        <v>16</v>
      </c>
      <c r="AC1336">
        <v>-179.91079999999999</v>
      </c>
      <c r="AD1336">
        <v>-1.1107547257570001</v>
      </c>
      <c r="AE1336">
        <v>-2.3879999999999701</v>
      </c>
      <c r="AF1336">
        <v>7.7223348100238303</v>
      </c>
      <c r="AG1336">
        <v>-1.1107547257570001</v>
      </c>
      <c r="AH1336">
        <v>179.75398920372399</v>
      </c>
      <c r="AI1336">
        <v>90.353717337562003</v>
      </c>
      <c r="AJ1336">
        <v>87.540052967409594</v>
      </c>
      <c r="AK1336">
        <v>179.92321936212599</v>
      </c>
      <c r="AL1336">
        <v>87.779515797868996</v>
      </c>
      <c r="AM1336">
        <v>86.068388703972303</v>
      </c>
      <c r="AN1336">
        <v>1.00000000313171</v>
      </c>
    </row>
    <row r="1337" spans="1:40" x14ac:dyDescent="0.25">
      <c r="A1337" t="str">
        <f>"20190312154533442"</f>
        <v>20190312154533442</v>
      </c>
      <c r="B1337" t="str">
        <f>"1552376733437646"</f>
        <v>1552376733437646</v>
      </c>
      <c r="C1337" t="s">
        <v>40</v>
      </c>
      <c r="D1337">
        <v>4.5586900000000004</v>
      </c>
      <c r="E1337">
        <v>0.48834149999999998</v>
      </c>
      <c r="F1337" t="s">
        <v>54</v>
      </c>
      <c r="G1337">
        <v>-378.36279999999999</v>
      </c>
      <c r="H1337" s="1">
        <v>2.9134750000000001E-6</v>
      </c>
      <c r="I1337">
        <v>281.5376</v>
      </c>
      <c r="J1337">
        <v>-213.6678</v>
      </c>
      <c r="K1337">
        <v>1.110768</v>
      </c>
      <c r="L1337">
        <v>284.4092</v>
      </c>
      <c r="M1337">
        <v>-0.99828340000000004</v>
      </c>
      <c r="N1337">
        <v>0</v>
      </c>
      <c r="O1337">
        <v>-5.7049839999999997E-2</v>
      </c>
      <c r="P1337">
        <v>-0.9996583</v>
      </c>
      <c r="Q1337">
        <v>2.423616E-2</v>
      </c>
      <c r="R1337">
        <v>9.8131659999999999E-3</v>
      </c>
      <c r="S1337">
        <v>-3.0023499999999999</v>
      </c>
      <c r="T1337">
        <v>-2.0227189999999999E-2</v>
      </c>
      <c r="U1337">
        <v>-5.2490229999999999E-2</v>
      </c>
      <c r="V1337">
        <v>6.6768569999999999E-2</v>
      </c>
      <c r="W1337">
        <v>3.7572899999999999E-2</v>
      </c>
      <c r="X1337">
        <v>0.99706079999999997</v>
      </c>
      <c r="Y1337">
        <v>3.9592040000000002E-2</v>
      </c>
      <c r="Z1337">
        <v>5.1750359999999998E-4</v>
      </c>
      <c r="AA1337">
        <v>0.99921579999999999</v>
      </c>
      <c r="AB1337">
        <v>16</v>
      </c>
      <c r="AC1337">
        <v>-164.69499999999999</v>
      </c>
      <c r="AD1337">
        <v>-1.1107650865250001</v>
      </c>
      <c r="AE1337">
        <v>-2.8715999999999999</v>
      </c>
      <c r="AF1337">
        <v>6.5294291100279596</v>
      </c>
      <c r="AG1337">
        <v>-1.1107650865250001</v>
      </c>
      <c r="AH1337">
        <v>164.583073969363</v>
      </c>
      <c r="AI1337">
        <v>90.386377295679793</v>
      </c>
      <c r="AJ1337">
        <v>87.728122123898302</v>
      </c>
      <c r="AK1337">
        <v>164.71628784302101</v>
      </c>
      <c r="AL1337">
        <v>87.846724569059504</v>
      </c>
      <c r="AM1337">
        <v>86.168885383083605</v>
      </c>
      <c r="AN1337">
        <v>1.00000000182544</v>
      </c>
    </row>
    <row r="1338" spans="1:40" x14ac:dyDescent="0.25">
      <c r="A1338" t="str">
        <f>"20190312154533464"</f>
        <v>20190312154533464</v>
      </c>
      <c r="B1338" t="str">
        <f>"1552376733458141"</f>
        <v>1552376733458141</v>
      </c>
      <c r="C1338" t="s">
        <v>40</v>
      </c>
      <c r="D1338">
        <v>4.5772500000000003</v>
      </c>
      <c r="E1338">
        <v>0.48784420000000001</v>
      </c>
      <c r="F1338" t="s">
        <v>54</v>
      </c>
      <c r="G1338">
        <v>-338.68979999999999</v>
      </c>
      <c r="H1338" s="1">
        <v>3.2120820000000001E-6</v>
      </c>
      <c r="I1338">
        <v>281.76589999999999</v>
      </c>
      <c r="J1338">
        <v>-213.82159999999999</v>
      </c>
      <c r="K1338">
        <v>1.1107769999999999</v>
      </c>
      <c r="L1338">
        <v>284.39940000000001</v>
      </c>
      <c r="M1338">
        <v>-0.99823640000000002</v>
      </c>
      <c r="N1338">
        <v>0</v>
      </c>
      <c r="O1338">
        <v>-5.7866590000000002E-2</v>
      </c>
      <c r="P1338">
        <v>-0.99963329999999995</v>
      </c>
      <c r="Q1338">
        <v>2.622938E-2</v>
      </c>
      <c r="R1338">
        <v>6.7366029999999999E-3</v>
      </c>
      <c r="S1338">
        <v>-3.0023040000000001</v>
      </c>
      <c r="T1338">
        <v>-2.6674150000000001E-2</v>
      </c>
      <c r="U1338">
        <v>-6.3476560000000001E-2</v>
      </c>
      <c r="V1338">
        <v>6.4509109999999995E-2</v>
      </c>
      <c r="W1338">
        <v>3.9558879999999998E-2</v>
      </c>
      <c r="X1338">
        <v>0.99713269999999998</v>
      </c>
      <c r="Y1338">
        <v>3.6752550000000002E-2</v>
      </c>
      <c r="Z1338">
        <v>6.7704630000000004E-4</v>
      </c>
      <c r="AA1338">
        <v>0.99932410000000005</v>
      </c>
      <c r="AB1338">
        <v>16</v>
      </c>
      <c r="AC1338">
        <v>-124.8682</v>
      </c>
      <c r="AD1338">
        <v>-1.110773787918</v>
      </c>
      <c r="AE1338">
        <v>-2.6335000000000202</v>
      </c>
      <c r="AF1338">
        <v>4.5968813142873399</v>
      </c>
      <c r="AG1338">
        <v>-1.110773787918</v>
      </c>
      <c r="AH1338">
        <v>124.801458451397</v>
      </c>
      <c r="AI1338">
        <v>90.509592158371007</v>
      </c>
      <c r="AJ1338">
        <v>87.890546413899898</v>
      </c>
      <c r="AK1338">
        <v>124.89102917272</v>
      </c>
      <c r="AL1338">
        <v>87.732851504544001</v>
      </c>
      <c r="AM1338">
        <v>86.298430378182104</v>
      </c>
      <c r="AN1338">
        <v>0.99999997583456801</v>
      </c>
    </row>
    <row r="1339" spans="1:40" x14ac:dyDescent="0.25">
      <c r="A1339" t="str">
        <f>"20190312154533487"</f>
        <v>20190312154533487</v>
      </c>
      <c r="B1339" t="str">
        <f>"1552376733477662"</f>
        <v>1552376733477662</v>
      </c>
      <c r="C1339" t="s">
        <v>40</v>
      </c>
      <c r="D1339">
        <v>4.5988629999999997</v>
      </c>
      <c r="E1339">
        <v>0.48747620000000003</v>
      </c>
      <c r="F1339" t="s">
        <v>54</v>
      </c>
      <c r="G1339">
        <v>-349.03769999999997</v>
      </c>
      <c r="H1339" s="1">
        <v>3.2726170000000001E-6</v>
      </c>
      <c r="I1339">
        <v>280.96460000000002</v>
      </c>
      <c r="J1339">
        <v>-213.98249999999999</v>
      </c>
      <c r="K1339">
        <v>1.1107579999999999</v>
      </c>
      <c r="L1339">
        <v>284.38889999999998</v>
      </c>
      <c r="M1339">
        <v>-0.99818549999999995</v>
      </c>
      <c r="N1339">
        <v>0</v>
      </c>
      <c r="O1339">
        <v>-5.8739369999999999E-2</v>
      </c>
      <c r="P1339">
        <v>-0.99953170000000002</v>
      </c>
      <c r="Q1339">
        <v>3.039244E-2</v>
      </c>
      <c r="R1339">
        <v>3.6006100000000002E-3</v>
      </c>
      <c r="S1339">
        <v>-3.0022739999999999</v>
      </c>
      <c r="T1339">
        <v>-2.4663089999999999E-2</v>
      </c>
      <c r="U1339">
        <v>-7.6263429999999993E-2</v>
      </c>
      <c r="V1339">
        <v>6.2241459999999998E-2</v>
      </c>
      <c r="W1339">
        <v>4.3710430000000002E-2</v>
      </c>
      <c r="X1339">
        <v>0.99710350000000003</v>
      </c>
      <c r="Y1339">
        <v>3.3372640000000002E-2</v>
      </c>
      <c r="Z1339">
        <v>6.1924080000000002E-4</v>
      </c>
      <c r="AA1339">
        <v>0.99944279999999996</v>
      </c>
      <c r="AB1339">
        <v>16</v>
      </c>
      <c r="AC1339">
        <v>-135.05520000000001</v>
      </c>
      <c r="AD1339">
        <v>-1.1107547273830001</v>
      </c>
      <c r="AE1339">
        <v>-3.4242999999999602</v>
      </c>
      <c r="AF1339">
        <v>4.51506154739028</v>
      </c>
      <c r="AG1339">
        <v>-1.1107547273830001</v>
      </c>
      <c r="AH1339">
        <v>135.013998514245</v>
      </c>
      <c r="AI1339">
        <v>90.471096101209994</v>
      </c>
      <c r="AJ1339">
        <v>88.084660824931603</v>
      </c>
      <c r="AK1339">
        <v>135.09403891973099</v>
      </c>
      <c r="AL1339">
        <v>87.494778649736702</v>
      </c>
      <c r="AM1339">
        <v>86.428102141160394</v>
      </c>
      <c r="AN1339">
        <v>0.99999999537298301</v>
      </c>
    </row>
    <row r="1340" spans="1:40" x14ac:dyDescent="0.25">
      <c r="A1340" t="str">
        <f>"20190312154533509"</f>
        <v>20190312154533509</v>
      </c>
      <c r="B1340" t="str">
        <f>"1552376733497997"</f>
        <v>1552376733497997</v>
      </c>
      <c r="C1340" t="s">
        <v>40</v>
      </c>
      <c r="D1340">
        <v>4.6534449999999996</v>
      </c>
      <c r="E1340">
        <v>0.487182</v>
      </c>
      <c r="F1340" t="s">
        <v>57</v>
      </c>
      <c r="G1340">
        <v>-428.20949999999999</v>
      </c>
      <c r="H1340" s="1">
        <v>3.351659E-6</v>
      </c>
      <c r="I1340">
        <v>278.08249999999998</v>
      </c>
      <c r="J1340">
        <v>-214.1455</v>
      </c>
      <c r="K1340">
        <v>1.110719</v>
      </c>
      <c r="L1340">
        <v>284.37810000000002</v>
      </c>
      <c r="M1340">
        <v>-0.99813320000000005</v>
      </c>
      <c r="N1340">
        <v>0</v>
      </c>
      <c r="O1340">
        <v>-5.9621130000000001E-2</v>
      </c>
      <c r="P1340">
        <v>-0.99938369999999999</v>
      </c>
      <c r="Q1340">
        <v>3.510916E-2</v>
      </c>
      <c r="R1340" s="1">
        <v>-5.4915139999999998E-6</v>
      </c>
      <c r="S1340">
        <v>-3.0021969999999998</v>
      </c>
      <c r="T1340">
        <v>-1.556623E-2</v>
      </c>
      <c r="U1340">
        <v>-8.8378910000000005E-2</v>
      </c>
      <c r="V1340">
        <v>5.9513400000000001E-2</v>
      </c>
      <c r="W1340">
        <v>4.8410870000000002E-2</v>
      </c>
      <c r="X1340">
        <v>0.99705290000000002</v>
      </c>
      <c r="Y1340">
        <v>3.0226369999999999E-2</v>
      </c>
      <c r="Z1340">
        <v>3.8722859999999997E-4</v>
      </c>
      <c r="AA1340">
        <v>0.99954299999999996</v>
      </c>
      <c r="AB1340">
        <v>16</v>
      </c>
      <c r="AC1340">
        <v>-214.06399999999999</v>
      </c>
      <c r="AD1340">
        <v>-1.1107156483409999</v>
      </c>
      <c r="AE1340">
        <v>-6.2956000000000296</v>
      </c>
      <c r="AF1340">
        <v>6.4792842991681896</v>
      </c>
      <c r="AG1340">
        <v>-1.1107156483409999</v>
      </c>
      <c r="AH1340">
        <v>214.05275581356199</v>
      </c>
      <c r="AI1340">
        <v>90.297167927728395</v>
      </c>
      <c r="AJ1340">
        <v>88.266210942521596</v>
      </c>
      <c r="AK1340">
        <v>214.153676330016</v>
      </c>
      <c r="AL1340">
        <v>87.225176814441198</v>
      </c>
      <c r="AM1340">
        <v>86.584107316723802</v>
      </c>
      <c r="AN1340">
        <v>0.99999997125606299</v>
      </c>
    </row>
    <row r="1341" spans="1:40" x14ac:dyDescent="0.25">
      <c r="A1341" t="str">
        <f>"20190312154533533"</f>
        <v>20190312154533533</v>
      </c>
      <c r="B1341" t="str">
        <f>"1552376733528254"</f>
        <v>1552376733528254</v>
      </c>
      <c r="C1341" t="s">
        <v>40</v>
      </c>
      <c r="D1341">
        <v>4.6171249999999997</v>
      </c>
      <c r="E1341">
        <v>0.48713679999999898</v>
      </c>
      <c r="F1341" t="s">
        <v>58</v>
      </c>
      <c r="G1341">
        <v>-512.82539999999995</v>
      </c>
      <c r="H1341">
        <v>0.65155149999999995</v>
      </c>
      <c r="I1341">
        <v>274.27330000000001</v>
      </c>
      <c r="J1341">
        <v>-214.31389999999999</v>
      </c>
      <c r="K1341">
        <v>1.110657</v>
      </c>
      <c r="L1341">
        <v>284.36689999999999</v>
      </c>
      <c r="M1341">
        <v>-0.99807959999999996</v>
      </c>
      <c r="N1341">
        <v>0</v>
      </c>
      <c r="O1341">
        <v>-6.0512620000000003E-2</v>
      </c>
      <c r="P1341">
        <v>-0.99927100000000002</v>
      </c>
      <c r="Q1341">
        <v>3.795163E-2</v>
      </c>
      <c r="R1341">
        <v>-4.1642190000000003E-3</v>
      </c>
      <c r="S1341">
        <v>-3.0019990000000001</v>
      </c>
      <c r="T1341">
        <v>-4.614234E-3</v>
      </c>
      <c r="U1341">
        <v>-0.1015625</v>
      </c>
      <c r="V1341">
        <v>5.625144E-2</v>
      </c>
      <c r="W1341">
        <v>5.1235950000000002E-2</v>
      </c>
      <c r="X1341">
        <v>0.99710109999999996</v>
      </c>
      <c r="Y1341">
        <v>2.6732909999999999E-2</v>
      </c>
      <c r="Z1341">
        <v>1.1346530000000001E-4</v>
      </c>
      <c r="AA1341">
        <v>0.99964260000000005</v>
      </c>
      <c r="AB1341">
        <v>16</v>
      </c>
      <c r="AC1341">
        <v>-298.51150000000001</v>
      </c>
      <c r="AD1341">
        <v>-0.4591055</v>
      </c>
      <c r="AE1341">
        <v>-10.093599999999901</v>
      </c>
      <c r="AF1341">
        <v>7.9901783471231802</v>
      </c>
      <c r="AG1341">
        <v>-0.4591055</v>
      </c>
      <c r="AH1341">
        <v>298.57449972990798</v>
      </c>
      <c r="AI1341">
        <v>90.088069720292495</v>
      </c>
      <c r="AJ1341">
        <v>88.467068493842703</v>
      </c>
      <c r="AK1341">
        <v>298.68174637369998</v>
      </c>
      <c r="AL1341">
        <v>87.063110326978006</v>
      </c>
      <c r="AM1341">
        <v>86.771082267798704</v>
      </c>
      <c r="AN1341">
        <v>0.99999997534784202</v>
      </c>
    </row>
    <row r="1342" spans="1:40" x14ac:dyDescent="0.25">
      <c r="A1342" t="str">
        <f>"20190312154533554"</f>
        <v>20190312154533554</v>
      </c>
      <c r="B1342" t="str">
        <f>"1552376733547774"</f>
        <v>1552376733547774</v>
      </c>
      <c r="C1342" t="s">
        <v>40</v>
      </c>
      <c r="D1342">
        <v>4.6391640000000001</v>
      </c>
      <c r="E1342">
        <v>0.48715199999999997</v>
      </c>
      <c r="F1342" t="s">
        <v>58</v>
      </c>
      <c r="G1342">
        <v>-512.82560000000001</v>
      </c>
      <c r="H1342">
        <v>1.2579959999999999</v>
      </c>
      <c r="I1342">
        <v>272.98289999999997</v>
      </c>
      <c r="J1342">
        <v>-214.4676</v>
      </c>
      <c r="K1342">
        <v>1.1105940000000001</v>
      </c>
      <c r="L1342">
        <v>284.35660000000001</v>
      </c>
      <c r="M1342">
        <v>-0.99803249999999999</v>
      </c>
      <c r="N1342">
        <v>0</v>
      </c>
      <c r="O1342">
        <v>-6.1286140000000003E-2</v>
      </c>
      <c r="P1342">
        <v>-0.99918220000000002</v>
      </c>
      <c r="Q1342">
        <v>3.9657499999999998E-2</v>
      </c>
      <c r="R1342">
        <v>-7.9037259999999998E-3</v>
      </c>
      <c r="S1342">
        <v>-3.0016780000000001</v>
      </c>
      <c r="T1342">
        <v>1.482368E-3</v>
      </c>
      <c r="U1342">
        <v>-0.1144714</v>
      </c>
      <c r="V1342">
        <v>5.3293939999999998E-2</v>
      </c>
      <c r="W1342">
        <v>5.2927370000000001E-2</v>
      </c>
      <c r="X1342">
        <v>0.99717520000000004</v>
      </c>
      <c r="Y1342">
        <v>2.321053E-2</v>
      </c>
      <c r="Z1342" s="1">
        <v>-3.596366E-5</v>
      </c>
      <c r="AA1342">
        <v>0.99973060000000002</v>
      </c>
      <c r="AB1342">
        <v>16</v>
      </c>
      <c r="AC1342">
        <v>-298.358</v>
      </c>
      <c r="AD1342">
        <v>0.14740199999999901</v>
      </c>
      <c r="AE1342">
        <v>-11.373699999999999</v>
      </c>
      <c r="AF1342">
        <v>6.9344934961145199</v>
      </c>
      <c r="AG1342">
        <v>0.14740199999999901</v>
      </c>
      <c r="AH1342">
        <v>298.494098033711</v>
      </c>
      <c r="AI1342">
        <v>89.971713900767995</v>
      </c>
      <c r="AJ1342">
        <v>88.669167136439796</v>
      </c>
      <c r="AK1342">
        <v>298.57467321987599</v>
      </c>
      <c r="AL1342">
        <v>86.9660673503098</v>
      </c>
      <c r="AM1342">
        <v>86.940742715851997</v>
      </c>
      <c r="AN1342">
        <v>0.99999996501543897</v>
      </c>
    </row>
    <row r="1343" spans="1:40" x14ac:dyDescent="0.25">
      <c r="A1343" t="str">
        <f>"20190312154533576"</f>
        <v>20190312154533576</v>
      </c>
      <c r="B1343" t="str">
        <f>"1552376733567294"</f>
        <v>1552376733567294</v>
      </c>
      <c r="C1343" t="s">
        <v>40</v>
      </c>
      <c r="D1343">
        <v>4.6624569999999999</v>
      </c>
      <c r="E1343">
        <v>0.48721900000000001</v>
      </c>
      <c r="F1343" t="s">
        <v>58</v>
      </c>
      <c r="G1343">
        <v>-512.82569999999998</v>
      </c>
      <c r="H1343">
        <v>1.582997</v>
      </c>
      <c r="I1343">
        <v>271.87880000000001</v>
      </c>
      <c r="J1343">
        <v>-214.62129999999999</v>
      </c>
      <c r="K1343">
        <v>1.110527</v>
      </c>
      <c r="L1343">
        <v>284.34620000000001</v>
      </c>
      <c r="M1343">
        <v>-0.9979884</v>
      </c>
      <c r="N1343">
        <v>0</v>
      </c>
      <c r="O1343">
        <v>-6.1999989999999998E-2</v>
      </c>
      <c r="P1343">
        <v>-0.9991139</v>
      </c>
      <c r="Q1343">
        <v>4.0398169999999997E-2</v>
      </c>
      <c r="R1343">
        <v>-1.1808880000000001E-2</v>
      </c>
      <c r="S1343">
        <v>-3.0012970000000001</v>
      </c>
      <c r="T1343">
        <v>4.7528739999999998E-3</v>
      </c>
      <c r="U1343">
        <v>-0.12551880000000001</v>
      </c>
      <c r="V1343">
        <v>5.0114249999999999E-2</v>
      </c>
      <c r="W1343">
        <v>5.3654470000000003E-2</v>
      </c>
      <c r="X1343">
        <v>0.9973012</v>
      </c>
      <c r="Y1343">
        <v>2.0246569999999998E-2</v>
      </c>
      <c r="Z1343">
        <v>-1.140945E-4</v>
      </c>
      <c r="AA1343">
        <v>0.99979499999999999</v>
      </c>
      <c r="AB1343">
        <v>16</v>
      </c>
      <c r="AC1343">
        <v>-298.20440000000002</v>
      </c>
      <c r="AD1343">
        <v>0.47247</v>
      </c>
      <c r="AE1343">
        <v>-12.4673999999999</v>
      </c>
      <c r="AF1343">
        <v>6.04686367985496</v>
      </c>
      <c r="AG1343">
        <v>0.47247</v>
      </c>
      <c r="AH1343">
        <v>298.40289748531802</v>
      </c>
      <c r="AI1343">
        <v>89.909300619246906</v>
      </c>
      <c r="AJ1343">
        <v>88.839111952014605</v>
      </c>
      <c r="AK1343">
        <v>298.46453225785001</v>
      </c>
      <c r="AL1343">
        <v>86.924348295391098</v>
      </c>
      <c r="AM1343">
        <v>87.123314481541001</v>
      </c>
      <c r="AN1343">
        <v>0.99999996186274098</v>
      </c>
    </row>
    <row r="1344" spans="1:40" x14ac:dyDescent="0.25">
      <c r="A1344" t="str">
        <f>"20190312154533598"</f>
        <v>20190312154533598</v>
      </c>
      <c r="B1344" t="str">
        <f>"1552376733587789"</f>
        <v>1552376733587789</v>
      </c>
      <c r="C1344" t="s">
        <v>40</v>
      </c>
      <c r="D1344">
        <v>4.6935659999999997</v>
      </c>
      <c r="E1344">
        <v>0.48731869999999999</v>
      </c>
      <c r="F1344" t="s">
        <v>58</v>
      </c>
      <c r="G1344">
        <v>-512.82569999999998</v>
      </c>
      <c r="H1344">
        <v>1.6264099999999999</v>
      </c>
      <c r="I1344">
        <v>270.7509</v>
      </c>
      <c r="J1344">
        <v>-214.7791</v>
      </c>
      <c r="K1344">
        <v>1.1104620000000001</v>
      </c>
      <c r="L1344">
        <v>284.33550000000002</v>
      </c>
      <c r="M1344">
        <v>-0.99794729999999998</v>
      </c>
      <c r="N1344">
        <v>0</v>
      </c>
      <c r="O1344">
        <v>-6.2659889999999996E-2</v>
      </c>
      <c r="P1344">
        <v>-0.99902800000000003</v>
      </c>
      <c r="Q1344">
        <v>4.1656980000000003E-2</v>
      </c>
      <c r="R1344">
        <v>-1.441657E-2</v>
      </c>
      <c r="S1344">
        <v>-3.0008539999999999</v>
      </c>
      <c r="T1344">
        <v>5.1921609999999998E-3</v>
      </c>
      <c r="U1344">
        <v>-0.1368103</v>
      </c>
      <c r="V1344">
        <v>4.8174160000000001E-2</v>
      </c>
      <c r="W1344">
        <v>5.4900989999999997E-2</v>
      </c>
      <c r="X1344">
        <v>0.99732900000000002</v>
      </c>
      <c r="Y1344">
        <v>1.714659E-2</v>
      </c>
      <c r="Z1344">
        <v>-1.2310309999999901E-4</v>
      </c>
      <c r="AA1344">
        <v>0.99985299999999999</v>
      </c>
      <c r="AB1344">
        <v>16</v>
      </c>
      <c r="AC1344">
        <v>-298.04660000000001</v>
      </c>
      <c r="AD1344">
        <v>0.51594799999999996</v>
      </c>
      <c r="AE1344">
        <v>-13.5846</v>
      </c>
      <c r="AF1344">
        <v>5.1192847354867101</v>
      </c>
      <c r="AG1344">
        <v>0.51594799999999996</v>
      </c>
      <c r="AH1344">
        <v>298.31120939419498</v>
      </c>
      <c r="AI1344">
        <v>89.900918032839897</v>
      </c>
      <c r="AJ1344">
        <v>89.016850148068301</v>
      </c>
      <c r="AK1344">
        <v>298.35557800847198</v>
      </c>
      <c r="AL1344">
        <v>86.852822639436795</v>
      </c>
      <c r="AM1344">
        <v>87.234581194753801</v>
      </c>
      <c r="AN1344">
        <v>1.0000000013178401</v>
      </c>
    </row>
    <row r="1345" spans="1:40" x14ac:dyDescent="0.25">
      <c r="A1345" t="str">
        <f>"20190312154533619"</f>
        <v>20190312154533619</v>
      </c>
      <c r="B1345" t="str">
        <f>"1552376733607313"</f>
        <v>1552376733607313</v>
      </c>
      <c r="C1345" t="s">
        <v>40</v>
      </c>
      <c r="D1345">
        <v>4.7647309999999896</v>
      </c>
      <c r="E1345">
        <v>0.4873498</v>
      </c>
      <c r="F1345" t="s">
        <v>58</v>
      </c>
      <c r="G1345">
        <v>-512.82569999999998</v>
      </c>
      <c r="H1345">
        <v>1.7919240000000001</v>
      </c>
      <c r="I1345">
        <v>270.0428</v>
      </c>
      <c r="J1345">
        <v>-214.93270000000001</v>
      </c>
      <c r="K1345">
        <v>1.110395</v>
      </c>
      <c r="L1345">
        <v>284.32510000000002</v>
      </c>
      <c r="M1345">
        <v>-0.99791149999999995</v>
      </c>
      <c r="N1345">
        <v>0</v>
      </c>
      <c r="O1345">
        <v>-6.3227999999999895E-2</v>
      </c>
      <c r="P1345">
        <v>-0.99897749999999996</v>
      </c>
      <c r="Q1345">
        <v>4.2195219999999999E-2</v>
      </c>
      <c r="R1345">
        <v>-1.62373E-2</v>
      </c>
      <c r="S1345">
        <v>-3.0005489999999999</v>
      </c>
      <c r="T1345">
        <v>6.8613290000000002E-3</v>
      </c>
      <c r="U1345">
        <v>-0.1438904</v>
      </c>
      <c r="V1345">
        <v>4.6930060000000003E-2</v>
      </c>
      <c r="W1345">
        <v>5.5428989999999997E-2</v>
      </c>
      <c r="X1345">
        <v>0.99735910000000005</v>
      </c>
      <c r="Y1345">
        <v>1.5356969999999999E-2</v>
      </c>
      <c r="Z1345">
        <v>-1.6193349999999999E-4</v>
      </c>
      <c r="AA1345">
        <v>0.99988200000000005</v>
      </c>
      <c r="AB1345">
        <v>16</v>
      </c>
      <c r="AC1345">
        <v>-297.89299999999997</v>
      </c>
      <c r="AD1345">
        <v>0.68152900000000005</v>
      </c>
      <c r="AE1345">
        <v>-14.282299999999999</v>
      </c>
      <c r="AF1345">
        <v>4.5830839683900502</v>
      </c>
      <c r="AG1345">
        <v>0.68152900000000005</v>
      </c>
      <c r="AH1345">
        <v>298.19840698325299</v>
      </c>
      <c r="AI1345">
        <v>89.869066851697795</v>
      </c>
      <c r="AJ1345">
        <v>89.119476531613699</v>
      </c>
      <c r="AK1345">
        <v>298.23440289106298</v>
      </c>
      <c r="AL1345">
        <v>86.822524291395197</v>
      </c>
      <c r="AM1345">
        <v>87.305972843461305</v>
      </c>
      <c r="AN1345">
        <v>0.99999998890841602</v>
      </c>
    </row>
    <row r="1346" spans="1:40" x14ac:dyDescent="0.25">
      <c r="A1346" t="str">
        <f>"20190312154533642"</f>
        <v>20190312154533642</v>
      </c>
      <c r="B1346" t="str">
        <f>"1552376733637566"</f>
        <v>1552376733637566</v>
      </c>
      <c r="C1346" t="s">
        <v>40</v>
      </c>
      <c r="D1346">
        <v>4.596762</v>
      </c>
      <c r="E1346">
        <v>0.45308039999999999</v>
      </c>
      <c r="F1346" t="s">
        <v>58</v>
      </c>
      <c r="G1346">
        <v>-512.82569999999998</v>
      </c>
      <c r="H1346">
        <v>1.737195</v>
      </c>
      <c r="I1346">
        <v>269.5299</v>
      </c>
      <c r="J1346">
        <v>-215.09049999999999</v>
      </c>
      <c r="K1346">
        <v>1.110331</v>
      </c>
      <c r="L1346">
        <v>284.31439999999998</v>
      </c>
      <c r="M1346">
        <v>-0.99787899999999996</v>
      </c>
      <c r="N1346">
        <v>0</v>
      </c>
      <c r="O1346">
        <v>-6.3740270000000002E-2</v>
      </c>
      <c r="P1346">
        <v>-0.99897919999999996</v>
      </c>
      <c r="Q1346">
        <v>4.1819450000000001E-2</v>
      </c>
      <c r="R1346">
        <v>-1.7094479999999999E-2</v>
      </c>
      <c r="S1346">
        <v>-3.000381</v>
      </c>
      <c r="T1346">
        <v>6.3139199999999998E-3</v>
      </c>
      <c r="U1346">
        <v>-0.14901729999999899</v>
      </c>
      <c r="V1346">
        <v>4.6595440000000002E-2</v>
      </c>
      <c r="W1346">
        <v>5.5043830000000002E-2</v>
      </c>
      <c r="X1346">
        <v>0.99739610000000001</v>
      </c>
      <c r="Y1346">
        <v>1.416309E-2</v>
      </c>
      <c r="Z1346">
        <v>-1.4883400000000001E-4</v>
      </c>
      <c r="AA1346">
        <v>0.99989969999999995</v>
      </c>
      <c r="AB1346">
        <v>16</v>
      </c>
      <c r="AC1346">
        <v>-297.73520000000002</v>
      </c>
      <c r="AD1346">
        <v>0.62686399999999998</v>
      </c>
      <c r="AE1346">
        <v>-14.7844999999999</v>
      </c>
      <c r="AF1346">
        <v>4.2249303002124696</v>
      </c>
      <c r="AG1346">
        <v>0.62686399999999998</v>
      </c>
      <c r="AH1346">
        <v>298.07078825593101</v>
      </c>
      <c r="AI1346">
        <v>89.879515193860698</v>
      </c>
      <c r="AJ1346">
        <v>89.187929595904507</v>
      </c>
      <c r="AK1346">
        <v>298.10138846712601</v>
      </c>
      <c r="AL1346">
        <v>86.844626014900101</v>
      </c>
      <c r="AM1346">
        <v>87.325252840465495</v>
      </c>
      <c r="AN1346">
        <v>0.99999996927253498</v>
      </c>
    </row>
    <row r="1347" spans="1:40" x14ac:dyDescent="0.25">
      <c r="A1347" t="str">
        <f>"20190312154533664"</f>
        <v>20190312154533664</v>
      </c>
      <c r="B1347" t="str">
        <f>"1552376733658061"</f>
        <v>1552376733658061</v>
      </c>
      <c r="C1347" t="s">
        <v>40</v>
      </c>
      <c r="D1347">
        <v>4.584257</v>
      </c>
      <c r="E1347">
        <v>0.44481939999999998</v>
      </c>
      <c r="F1347" t="s">
        <v>59</v>
      </c>
      <c r="G1347">
        <v>-329.41</v>
      </c>
      <c r="H1347">
        <v>1.9260710000000001</v>
      </c>
      <c r="I1347">
        <v>268.08980000000003</v>
      </c>
      <c r="J1347">
        <v>-215.2458</v>
      </c>
      <c r="K1347">
        <v>1.1102639999999999</v>
      </c>
      <c r="L1347">
        <v>284.3039</v>
      </c>
      <c r="M1347">
        <v>-0.99785100000000004</v>
      </c>
      <c r="N1347">
        <v>0</v>
      </c>
      <c r="O1347">
        <v>-6.417639E-2</v>
      </c>
      <c r="P1347">
        <v>-0.99902930000000001</v>
      </c>
      <c r="Q1347">
        <v>4.0482249999999997E-2</v>
      </c>
      <c r="R1347">
        <v>-1.7371790000000002E-2</v>
      </c>
      <c r="S1347">
        <v>-2.994904</v>
      </c>
      <c r="T1347">
        <v>2.1370650000000001E-2</v>
      </c>
      <c r="U1347">
        <v>-0.4250488</v>
      </c>
      <c r="V1347">
        <v>4.6765500000000002E-2</v>
      </c>
      <c r="W1347">
        <v>5.3698280000000001E-2</v>
      </c>
      <c r="X1347">
        <v>0.9974615</v>
      </c>
      <c r="Y1347">
        <v>-7.6680689999999996E-2</v>
      </c>
      <c r="Z1347">
        <v>-1.827257E-4</v>
      </c>
      <c r="AA1347">
        <v>0.99705569999999999</v>
      </c>
      <c r="AB1347">
        <v>16</v>
      </c>
      <c r="AC1347">
        <v>-114.16419999999999</v>
      </c>
      <c r="AD1347">
        <v>0.81580699999999995</v>
      </c>
      <c r="AE1347">
        <v>-16.214099999999899</v>
      </c>
      <c r="AF1347">
        <v>-8.8529402464320199</v>
      </c>
      <c r="AG1347">
        <v>0.81580699999999995</v>
      </c>
      <c r="AH1347">
        <v>114.963716307597</v>
      </c>
      <c r="AI1347">
        <v>89.5946238980424</v>
      </c>
      <c r="AJ1347">
        <v>94.403450471801506</v>
      </c>
      <c r="AK1347">
        <v>115.306964921126</v>
      </c>
      <c r="AL1347">
        <v>86.921834601134904</v>
      </c>
      <c r="AM1347">
        <v>87.315680789807601</v>
      </c>
      <c r="AN1347">
        <v>0.99999998062372897</v>
      </c>
    </row>
    <row r="1348" spans="1:40" x14ac:dyDescent="0.25">
      <c r="A1348" t="str">
        <f>"20190312154533687"</f>
        <v>20190312154533687</v>
      </c>
      <c r="B1348" t="str">
        <f>"1552376733677582"</f>
        <v>1552376733677582</v>
      </c>
      <c r="C1348" t="s">
        <v>40</v>
      </c>
      <c r="D1348">
        <v>4.5605120000000001</v>
      </c>
      <c r="E1348">
        <v>0.44211610000000001</v>
      </c>
      <c r="F1348" t="s">
        <v>60</v>
      </c>
      <c r="G1348">
        <v>-338.1078</v>
      </c>
      <c r="H1348">
        <v>2.5389390000000001</v>
      </c>
      <c r="I1348">
        <v>264.11680000000001</v>
      </c>
      <c r="J1348">
        <v>-215.4023</v>
      </c>
      <c r="K1348">
        <v>1.1102190000000001</v>
      </c>
      <c r="L1348">
        <v>284.29329999999999</v>
      </c>
      <c r="M1348">
        <v>-0.99782660000000001</v>
      </c>
      <c r="N1348">
        <v>0</v>
      </c>
      <c r="O1348">
        <v>-6.4551849999999994E-2</v>
      </c>
      <c r="P1348">
        <v>-0.99905909999999998</v>
      </c>
      <c r="Q1348">
        <v>3.9928440000000003E-2</v>
      </c>
      <c r="R1348">
        <v>-1.6925320000000001E-2</v>
      </c>
      <c r="S1348">
        <v>-2.9929350000000001</v>
      </c>
      <c r="T1348">
        <v>3.4803029999999999E-2</v>
      </c>
      <c r="U1348">
        <v>-0.49176029999999998</v>
      </c>
      <c r="V1348">
        <v>4.7594329999999997E-2</v>
      </c>
      <c r="W1348">
        <v>5.3136889999999999E-2</v>
      </c>
      <c r="X1348">
        <v>0.99745240000000002</v>
      </c>
      <c r="Y1348">
        <v>-9.8089309999999999E-2</v>
      </c>
      <c r="Z1348">
        <v>-1.7781359999999999E-4</v>
      </c>
      <c r="AA1348">
        <v>0.9951776</v>
      </c>
      <c r="AB1348">
        <v>16</v>
      </c>
      <c r="AC1348">
        <v>-122.7055</v>
      </c>
      <c r="AD1348">
        <v>1.42872</v>
      </c>
      <c r="AE1348">
        <v>-20.176499999999901</v>
      </c>
      <c r="AF1348">
        <v>-12.211238954396199</v>
      </c>
      <c r="AG1348">
        <v>1.42872</v>
      </c>
      <c r="AH1348">
        <v>123.735746056756</v>
      </c>
      <c r="AI1348">
        <v>89.341659116626104</v>
      </c>
      <c r="AJ1348">
        <v>95.636158314878699</v>
      </c>
      <c r="AK1348">
        <v>124.34504594016499</v>
      </c>
      <c r="AL1348">
        <v>86.954045988543299</v>
      </c>
      <c r="AM1348">
        <v>87.268152868015406</v>
      </c>
      <c r="AN1348">
        <v>1.0000000197963901</v>
      </c>
    </row>
    <row r="1349" spans="1:40" x14ac:dyDescent="0.25">
      <c r="A1349" t="str">
        <f>"20190312154533711"</f>
        <v>20190312154533711</v>
      </c>
      <c r="B1349" t="str">
        <f>"1552376733707837"</f>
        <v>1552376733707837</v>
      </c>
      <c r="C1349" t="s">
        <v>40</v>
      </c>
      <c r="D1349">
        <v>4.5217749999999999</v>
      </c>
      <c r="E1349">
        <v>0.44045640000000003</v>
      </c>
      <c r="F1349" t="s">
        <v>60</v>
      </c>
      <c r="G1349">
        <v>-332.88959999999997</v>
      </c>
      <c r="H1349">
        <v>2.5609250000000001</v>
      </c>
      <c r="I1349">
        <v>264.19470000000001</v>
      </c>
      <c r="J1349">
        <v>-215.57499999999999</v>
      </c>
      <c r="K1349">
        <v>1.110185</v>
      </c>
      <c r="L1349">
        <v>284.28160000000003</v>
      </c>
      <c r="M1349">
        <v>-0.99780329999999995</v>
      </c>
      <c r="N1349">
        <v>0</v>
      </c>
      <c r="O1349">
        <v>-6.4914239999999998E-2</v>
      </c>
      <c r="P1349">
        <v>-0.99907789999999996</v>
      </c>
      <c r="Q1349">
        <v>3.9984550000000001E-2</v>
      </c>
      <c r="R1349">
        <v>-1.564252E-2</v>
      </c>
      <c r="S1349">
        <v>-2.9926910000000002</v>
      </c>
      <c r="T1349">
        <v>3.695333E-2</v>
      </c>
      <c r="U1349">
        <v>-0.5119629</v>
      </c>
      <c r="V1349">
        <v>4.9242790000000002E-2</v>
      </c>
      <c r="W1349">
        <v>5.318498E-2</v>
      </c>
      <c r="X1349">
        <v>0.99736979999999997</v>
      </c>
      <c r="Y1349">
        <v>-0.10427259999999999</v>
      </c>
      <c r="Z1349">
        <v>-1.551925E-4</v>
      </c>
      <c r="AA1349">
        <v>0.99454869999999995</v>
      </c>
      <c r="AB1349">
        <v>16</v>
      </c>
      <c r="AC1349">
        <v>-117.314599999999</v>
      </c>
      <c r="AD1349">
        <v>1.4507399999999999</v>
      </c>
      <c r="AE1349">
        <v>-20.0869</v>
      </c>
      <c r="AF1349">
        <v>-12.4266265791038</v>
      </c>
      <c r="AG1349">
        <v>1.4507399999999999</v>
      </c>
      <c r="AH1349">
        <v>118.353578405568</v>
      </c>
      <c r="AI1349">
        <v>89.301560882104994</v>
      </c>
      <c r="AJ1349">
        <v>95.993853940447494</v>
      </c>
      <c r="AK1349">
        <v>119.013004399045</v>
      </c>
      <c r="AL1349">
        <v>86.951286691391502</v>
      </c>
      <c r="AM1349">
        <v>87.173450764425198</v>
      </c>
      <c r="AN1349">
        <v>1.0000000062083101</v>
      </c>
    </row>
    <row r="1350" spans="1:40" x14ac:dyDescent="0.25">
      <c r="A1350" t="str">
        <f>"20190312154533733"</f>
        <v>20190312154533733</v>
      </c>
      <c r="B1350" t="str">
        <f>"1552376733727357"</f>
        <v>1552376733727357</v>
      </c>
      <c r="C1350" t="s">
        <v>40</v>
      </c>
      <c r="D1350">
        <v>4.4976139999999996</v>
      </c>
      <c r="E1350">
        <v>0.43979509999999999</v>
      </c>
      <c r="F1350" t="s">
        <v>60</v>
      </c>
      <c r="G1350">
        <v>-332.88940000000002</v>
      </c>
      <c r="H1350">
        <v>2.729711</v>
      </c>
      <c r="I1350">
        <v>263.84350000000001</v>
      </c>
      <c r="J1350">
        <v>-215.7319</v>
      </c>
      <c r="K1350">
        <v>1.110171</v>
      </c>
      <c r="L1350">
        <v>284.27109999999999</v>
      </c>
      <c r="M1350">
        <v>-0.99778429999999996</v>
      </c>
      <c r="N1350">
        <v>0</v>
      </c>
      <c r="O1350">
        <v>-6.5205719999999995E-2</v>
      </c>
      <c r="P1350">
        <v>-0.99910100000000002</v>
      </c>
      <c r="Q1350">
        <v>4.0052669999999999E-2</v>
      </c>
      <c r="R1350">
        <v>-1.390185E-2</v>
      </c>
      <c r="S1350">
        <v>-2.99295</v>
      </c>
      <c r="T1350">
        <v>4.1317939999999997E-2</v>
      </c>
      <c r="U1350">
        <v>-0.52142330000000003</v>
      </c>
      <c r="V1350">
        <v>5.1275260000000003E-2</v>
      </c>
      <c r="W1350">
        <v>5.3247360000000001E-2</v>
      </c>
      <c r="X1350">
        <v>0.99726400000000004</v>
      </c>
      <c r="Y1350">
        <v>-0.10701910000000001</v>
      </c>
      <c r="Z1350">
        <v>-1.5859889999999901E-4</v>
      </c>
      <c r="AA1350">
        <v>0.99425699999999995</v>
      </c>
      <c r="AB1350">
        <v>16</v>
      </c>
      <c r="AC1350">
        <v>-117.1575</v>
      </c>
      <c r="AD1350">
        <v>1.61954</v>
      </c>
      <c r="AE1350">
        <v>-20.427599999999899</v>
      </c>
      <c r="AF1350">
        <v>-12.741749691799701</v>
      </c>
      <c r="AG1350">
        <v>1.61954</v>
      </c>
      <c r="AH1350">
        <v>118.218315425768</v>
      </c>
      <c r="AI1350">
        <v>89.219640608966799</v>
      </c>
      <c r="AJ1350">
        <v>96.151678481275795</v>
      </c>
      <c r="AK1350">
        <v>118.914024392107</v>
      </c>
      <c r="AL1350">
        <v>86.947707366845194</v>
      </c>
      <c r="AM1350">
        <v>87.056675812020799</v>
      </c>
      <c r="AN1350">
        <v>0.99999995966551702</v>
      </c>
    </row>
    <row r="1351" spans="1:40" x14ac:dyDescent="0.25">
      <c r="A1351" t="str">
        <f>"20190312154533775"</f>
        <v>20190312154533775</v>
      </c>
      <c r="B1351" t="str">
        <f>"1552376733767375"</f>
        <v>1552376733767375</v>
      </c>
      <c r="C1351" t="s">
        <v>40</v>
      </c>
      <c r="D1351">
        <v>4.4795579999999999</v>
      </c>
      <c r="E1351">
        <v>0.43891730000000001</v>
      </c>
      <c r="F1351" t="s">
        <v>60</v>
      </c>
      <c r="G1351">
        <v>-332.88940000000002</v>
      </c>
      <c r="H1351">
        <v>2.8192870000000001</v>
      </c>
      <c r="I1351">
        <v>263.85210000000001</v>
      </c>
      <c r="J1351">
        <v>-216.0284</v>
      </c>
      <c r="K1351">
        <v>1.1101270000000001</v>
      </c>
      <c r="L1351">
        <v>284.25110000000001</v>
      </c>
      <c r="M1351">
        <v>-0.99775539999999996</v>
      </c>
      <c r="N1351">
        <v>0</v>
      </c>
      <c r="O1351">
        <v>-6.5674410000000003E-2</v>
      </c>
      <c r="P1351">
        <v>-0.99911150000000004</v>
      </c>
      <c r="Q1351">
        <v>4.0950390000000003E-2</v>
      </c>
      <c r="R1351">
        <v>-9.9768970000000002E-3</v>
      </c>
      <c r="S1351">
        <v>-2.9936829999999999</v>
      </c>
      <c r="T1351">
        <v>4.3672679999999998E-2</v>
      </c>
      <c r="U1351">
        <v>-0.52175899999999997</v>
      </c>
      <c r="V1351">
        <v>5.5663110000000002E-2</v>
      </c>
      <c r="W1351">
        <v>5.4006810000000002E-2</v>
      </c>
      <c r="X1351">
        <v>0.99698790000000004</v>
      </c>
      <c r="Y1351">
        <v>-0.1066188</v>
      </c>
      <c r="Z1351">
        <v>-1.772461E-4</v>
      </c>
      <c r="AA1351">
        <v>0.99429990000000001</v>
      </c>
      <c r="AB1351">
        <v>16</v>
      </c>
      <c r="AC1351">
        <v>-116.861</v>
      </c>
      <c r="AD1351">
        <v>1.70915999999999</v>
      </c>
      <c r="AE1351">
        <v>-20.399000000000001</v>
      </c>
      <c r="AF1351">
        <v>-12.6768880362142</v>
      </c>
      <c r="AG1351">
        <v>1.70915999999999</v>
      </c>
      <c r="AH1351">
        <v>117.923994142795</v>
      </c>
      <c r="AI1351">
        <v>89.174384058553102</v>
      </c>
      <c r="AJ1351">
        <v>96.135761518556293</v>
      </c>
      <c r="AK1351">
        <v>118.61573720539</v>
      </c>
      <c r="AL1351">
        <v>86.904131489483106</v>
      </c>
      <c r="AM1351">
        <v>86.804420917279103</v>
      </c>
      <c r="AN1351">
        <v>0.99999999504382897</v>
      </c>
    </row>
    <row r="1352" spans="1:40" x14ac:dyDescent="0.25">
      <c r="A1352" t="str">
        <f>"20190312154533797"</f>
        <v>20190312154533797</v>
      </c>
      <c r="B1352" t="str">
        <f>"1552376733787869"</f>
        <v>1552376733787869</v>
      </c>
      <c r="C1352" t="s">
        <v>40</v>
      </c>
      <c r="D1352">
        <v>4.46469</v>
      </c>
      <c r="E1352">
        <v>0.43854650000000001</v>
      </c>
      <c r="F1352" t="s">
        <v>60</v>
      </c>
      <c r="G1352">
        <v>-332.8895</v>
      </c>
      <c r="H1352">
        <v>3.1329030000000002</v>
      </c>
      <c r="I1352">
        <v>264.07619999999997</v>
      </c>
      <c r="J1352">
        <v>-216.19</v>
      </c>
      <c r="K1352">
        <v>1.110055</v>
      </c>
      <c r="L1352">
        <v>284.24020000000002</v>
      </c>
      <c r="M1352">
        <v>-0.99774430000000003</v>
      </c>
      <c r="N1352">
        <v>0</v>
      </c>
      <c r="O1352">
        <v>-6.5901849999999998E-2</v>
      </c>
      <c r="P1352">
        <v>-0.9990424</v>
      </c>
      <c r="Q1352">
        <v>4.2938940000000002E-2</v>
      </c>
      <c r="R1352">
        <v>-8.4037119999999903E-3</v>
      </c>
      <c r="S1352">
        <v>-2.995377</v>
      </c>
      <c r="T1352">
        <v>5.184793E-2</v>
      </c>
      <c r="U1352">
        <v>-0.51712040000000004</v>
      </c>
      <c r="V1352">
        <v>5.745575E-2</v>
      </c>
      <c r="W1352">
        <v>5.5684659999999997E-2</v>
      </c>
      <c r="X1352">
        <v>0.99679390000000001</v>
      </c>
      <c r="Y1352">
        <v>-0.1048009</v>
      </c>
      <c r="Z1352">
        <v>-2.2984930000000001E-4</v>
      </c>
      <c r="AA1352">
        <v>0.99449319999999997</v>
      </c>
      <c r="AB1352">
        <v>16</v>
      </c>
      <c r="AC1352">
        <v>-116.6995</v>
      </c>
      <c r="AD1352">
        <v>2.0228480000000002</v>
      </c>
      <c r="AE1352">
        <v>-20.164000000000001</v>
      </c>
      <c r="AF1352">
        <v>-12.425192650982799</v>
      </c>
      <c r="AG1352">
        <v>2.0228480000000002</v>
      </c>
      <c r="AH1352">
        <v>117.740369185093</v>
      </c>
      <c r="AI1352">
        <v>89.021156403910396</v>
      </c>
      <c r="AJ1352">
        <v>96.024151694556394</v>
      </c>
      <c r="AK1352">
        <v>118.41145156735099</v>
      </c>
      <c r="AL1352">
        <v>86.807852892770399</v>
      </c>
      <c r="AM1352">
        <v>86.701089915725206</v>
      </c>
      <c r="AN1352">
        <v>1.00000001182229</v>
      </c>
    </row>
    <row r="1353" spans="1:40" x14ac:dyDescent="0.25">
      <c r="A1353" t="str">
        <f>"20190312154533820"</f>
        <v>20190312154533820</v>
      </c>
      <c r="B1353" t="str">
        <f>"1552376733807389"</f>
        <v>1552376733807389</v>
      </c>
      <c r="C1353" t="s">
        <v>40</v>
      </c>
      <c r="D1353">
        <v>4.4653999999999998</v>
      </c>
      <c r="E1353">
        <v>0.43824879999999999</v>
      </c>
      <c r="F1353" t="s">
        <v>60</v>
      </c>
      <c r="G1353">
        <v>-332.8895</v>
      </c>
      <c r="H1353">
        <v>3.5051549999999998</v>
      </c>
      <c r="I1353">
        <v>264.16090000000003</v>
      </c>
      <c r="J1353">
        <v>-216.34780000000001</v>
      </c>
      <c r="K1353">
        <v>1.110026</v>
      </c>
      <c r="L1353">
        <v>284.2296</v>
      </c>
      <c r="M1353">
        <v>-0.99773350000000005</v>
      </c>
      <c r="N1353">
        <v>0</v>
      </c>
      <c r="O1353">
        <v>-6.6104140000000006E-2</v>
      </c>
      <c r="P1353">
        <v>-0.99897179999999997</v>
      </c>
      <c r="Q1353">
        <v>4.4751279999999997E-2</v>
      </c>
      <c r="R1353">
        <v>-7.29056199999999E-3</v>
      </c>
      <c r="S1353">
        <v>-2.995895</v>
      </c>
      <c r="T1353">
        <v>6.148696E-2</v>
      </c>
      <c r="U1353">
        <v>-0.51547240000000005</v>
      </c>
      <c r="V1353">
        <v>5.8764419999999998E-2</v>
      </c>
      <c r="W1353">
        <v>5.7305229999999999E-2</v>
      </c>
      <c r="X1353">
        <v>0.99662569999999995</v>
      </c>
      <c r="Y1353">
        <v>-0.1040372</v>
      </c>
      <c r="Z1353">
        <v>-2.8442380000000001E-4</v>
      </c>
      <c r="AA1353">
        <v>0.99457340000000005</v>
      </c>
      <c r="AB1353">
        <v>16</v>
      </c>
      <c r="AC1353">
        <v>-116.54170000000001</v>
      </c>
      <c r="AD1353">
        <v>2.3951289999999998</v>
      </c>
      <c r="AE1353">
        <v>-20.0686999999999</v>
      </c>
      <c r="AF1353">
        <v>-12.3152476198734</v>
      </c>
      <c r="AG1353">
        <v>2.3951289999999998</v>
      </c>
      <c r="AH1353">
        <v>117.56525424026201</v>
      </c>
      <c r="AI1353">
        <v>88.839237583685801</v>
      </c>
      <c r="AJ1353">
        <v>95.980063303083796</v>
      </c>
      <c r="AK1353">
        <v>118.23278298104501</v>
      </c>
      <c r="AL1353">
        <v>86.714852379787004</v>
      </c>
      <c r="AM1353">
        <v>86.625554176501595</v>
      </c>
      <c r="AN1353">
        <v>0.99999996617188902</v>
      </c>
    </row>
    <row r="1354" spans="1:40" x14ac:dyDescent="0.25">
      <c r="A1354" t="str">
        <f>"20190312154533843"</f>
        <v>20190312154533843</v>
      </c>
      <c r="B1354" t="str">
        <f>"1552376733837645"</f>
        <v>1552376733837645</v>
      </c>
      <c r="C1354" t="s">
        <v>40</v>
      </c>
      <c r="D1354">
        <v>4.3388799999999996</v>
      </c>
      <c r="E1354">
        <v>0.43799070000000001</v>
      </c>
      <c r="F1354" t="s">
        <v>60</v>
      </c>
      <c r="G1354">
        <v>-332.68290000000002</v>
      </c>
      <c r="H1354">
        <v>3.8373759999999999</v>
      </c>
      <c r="I1354">
        <v>264.24439999999998</v>
      </c>
      <c r="J1354">
        <v>-216.50909999999999</v>
      </c>
      <c r="K1354">
        <v>1.1100540000000001</v>
      </c>
      <c r="L1354">
        <v>284.21870000000001</v>
      </c>
      <c r="M1354">
        <v>-0.99772070000000002</v>
      </c>
      <c r="N1354">
        <v>0</v>
      </c>
      <c r="O1354">
        <v>-6.6296939999999999E-2</v>
      </c>
      <c r="P1354">
        <v>-0.99893730000000003</v>
      </c>
      <c r="Q1354">
        <v>4.5580269999999999E-2</v>
      </c>
      <c r="R1354">
        <v>-6.8262560000000002E-3</v>
      </c>
      <c r="S1354">
        <v>-2.9961549999999999</v>
      </c>
      <c r="T1354">
        <v>7.0241810000000002E-2</v>
      </c>
      <c r="U1354">
        <v>-0.51470950000000004</v>
      </c>
      <c r="V1354">
        <v>5.9418260000000001E-2</v>
      </c>
      <c r="W1354">
        <v>5.8126869999999997E-2</v>
      </c>
      <c r="X1354">
        <v>0.99653939999999996</v>
      </c>
      <c r="Y1354">
        <v>-0.10358239999999901</v>
      </c>
      <c r="Z1354">
        <v>-3.3465209999999999E-4</v>
      </c>
      <c r="AA1354">
        <v>0.99462079999999997</v>
      </c>
      <c r="AB1354">
        <v>16</v>
      </c>
      <c r="AC1354">
        <v>-116.1738</v>
      </c>
      <c r="AD1354">
        <v>2.727322</v>
      </c>
      <c r="AE1354">
        <v>-19.974299999999999</v>
      </c>
      <c r="AF1354">
        <v>-12.2212297708208</v>
      </c>
      <c r="AG1354">
        <v>2.727322</v>
      </c>
      <c r="AH1354">
        <v>117.17978228366501</v>
      </c>
      <c r="AI1354">
        <v>88.673889961958494</v>
      </c>
      <c r="AJ1354">
        <v>95.954119757435606</v>
      </c>
      <c r="AK1354">
        <v>117.846926639815</v>
      </c>
      <c r="AL1354">
        <v>86.667697443741304</v>
      </c>
      <c r="AM1354">
        <v>86.587801977263496</v>
      </c>
      <c r="AN1354">
        <v>1.0000000191948899</v>
      </c>
    </row>
    <row r="1355" spans="1:40" x14ac:dyDescent="0.25">
      <c r="A1355" t="str">
        <f>"20190312154533864"</f>
        <v>20190312154533864</v>
      </c>
      <c r="B1355" t="str">
        <f>"1552376733858141"</f>
        <v>1552376733858141</v>
      </c>
      <c r="C1355" t="s">
        <v>40</v>
      </c>
      <c r="D1355">
        <v>4.4719319999999998</v>
      </c>
      <c r="E1355">
        <v>0.4375174</v>
      </c>
      <c r="F1355" t="s">
        <v>60</v>
      </c>
      <c r="G1355">
        <v>-332.68290000000002</v>
      </c>
      <c r="H1355">
        <v>4.024324</v>
      </c>
      <c r="I1355">
        <v>264.23809999999997</v>
      </c>
      <c r="J1355">
        <v>-216.66249999999999</v>
      </c>
      <c r="K1355">
        <v>1.1100840000000001</v>
      </c>
      <c r="L1355">
        <v>284.20830000000001</v>
      </c>
      <c r="M1355">
        <v>-0.99770890000000001</v>
      </c>
      <c r="N1355">
        <v>0</v>
      </c>
      <c r="O1355">
        <v>-6.6468250000000006E-2</v>
      </c>
      <c r="P1355">
        <v>-0.99889790000000001</v>
      </c>
      <c r="Q1355">
        <v>4.6469820000000002E-2</v>
      </c>
      <c r="R1355">
        <v>-6.5976109999999998E-3</v>
      </c>
      <c r="S1355">
        <v>-2.9962460000000002</v>
      </c>
      <c r="T1355">
        <v>7.5162409999999999E-2</v>
      </c>
      <c r="U1355">
        <v>-0.51531979999999999</v>
      </c>
      <c r="V1355">
        <v>5.981496E-2</v>
      </c>
      <c r="W1355">
        <v>5.9036070000000003E-2</v>
      </c>
      <c r="X1355">
        <v>0.99646219999999996</v>
      </c>
      <c r="Y1355">
        <v>-0.1036019</v>
      </c>
      <c r="Z1355">
        <v>-3.6207310000000001E-4</v>
      </c>
      <c r="AA1355">
        <v>0.99461880000000003</v>
      </c>
      <c r="AB1355">
        <v>16</v>
      </c>
      <c r="AC1355">
        <v>-116.0204</v>
      </c>
      <c r="AD1355">
        <v>2.9142399999999999</v>
      </c>
      <c r="AE1355">
        <v>-19.970199999999998</v>
      </c>
      <c r="AF1355">
        <v>-12.2062641752849</v>
      </c>
      <c r="AG1355">
        <v>2.9142399999999999</v>
      </c>
      <c r="AH1355">
        <v>117.01956771978</v>
      </c>
      <c r="AI1355">
        <v>88.581103372688801</v>
      </c>
      <c r="AJ1355">
        <v>95.954964442791606</v>
      </c>
      <c r="AK1355">
        <v>117.690547238164</v>
      </c>
      <c r="AL1355">
        <v>86.615514442920102</v>
      </c>
      <c r="AM1355">
        <v>86.564809667776004</v>
      </c>
      <c r="AN1355">
        <v>1.00000000151484</v>
      </c>
    </row>
    <row r="1356" spans="1:40" x14ac:dyDescent="0.25">
      <c r="A1356" t="str">
        <f>"20190312154533888"</f>
        <v>20190312154533888</v>
      </c>
      <c r="B1356" t="str">
        <f>"1552376733877662"</f>
        <v>1552376733877662</v>
      </c>
      <c r="C1356" t="s">
        <v>40</v>
      </c>
      <c r="D1356">
        <v>4.6969859999999999</v>
      </c>
      <c r="E1356">
        <v>0.4595245</v>
      </c>
      <c r="F1356" t="s">
        <v>60</v>
      </c>
      <c r="G1356">
        <v>-332.8895</v>
      </c>
      <c r="H1356">
        <v>4.2267060000000001</v>
      </c>
      <c r="I1356">
        <v>264.0804</v>
      </c>
      <c r="J1356">
        <v>-216.82669999999999</v>
      </c>
      <c r="K1356">
        <v>1.110077</v>
      </c>
      <c r="L1356">
        <v>284.19720000000001</v>
      </c>
      <c r="M1356">
        <v>-0.99769839999999999</v>
      </c>
      <c r="N1356">
        <v>0</v>
      </c>
      <c r="O1356">
        <v>-6.6638630000000004E-2</v>
      </c>
      <c r="P1356">
        <v>-0.99890820000000002</v>
      </c>
      <c r="Q1356">
        <v>4.6306300000000002E-2</v>
      </c>
      <c r="R1356">
        <v>-6.1827610000000002E-3</v>
      </c>
      <c r="S1356">
        <v>-2.996124</v>
      </c>
      <c r="T1356">
        <v>8.0341220000000005E-2</v>
      </c>
      <c r="U1356">
        <v>-0.51885990000000004</v>
      </c>
      <c r="V1356">
        <v>6.0399429999999997E-2</v>
      </c>
      <c r="W1356">
        <v>5.8811870000000002E-2</v>
      </c>
      <c r="X1356">
        <v>0.9964402</v>
      </c>
      <c r="Y1356">
        <v>-0.10457809999999999</v>
      </c>
      <c r="Z1356">
        <v>-3.7849519999999997E-4</v>
      </c>
      <c r="AA1356">
        <v>0.99451659999999997</v>
      </c>
      <c r="AB1356">
        <v>16</v>
      </c>
      <c r="AC1356">
        <v>-116.0628</v>
      </c>
      <c r="AD1356">
        <v>3.1166290000000001</v>
      </c>
      <c r="AE1356">
        <v>-20.116800000000001</v>
      </c>
      <c r="AF1356">
        <v>-12.3285722844203</v>
      </c>
      <c r="AG1356">
        <v>3.1166290000000001</v>
      </c>
      <c r="AH1356">
        <v>117.063483287427</v>
      </c>
      <c r="AI1356">
        <v>88.483335032383295</v>
      </c>
      <c r="AJ1356">
        <v>96.011958992496801</v>
      </c>
      <c r="AK1356">
        <v>117.752138792812</v>
      </c>
      <c r="AL1356">
        <v>86.6283825091419</v>
      </c>
      <c r="AM1356">
        <v>86.531248551355603</v>
      </c>
      <c r="AN1356">
        <v>0.99999999968663</v>
      </c>
    </row>
    <row r="1357" spans="1:40" x14ac:dyDescent="0.25">
      <c r="A1357" t="str">
        <f>"20190312154533910"</f>
        <v>20190312154533910</v>
      </c>
      <c r="B1357" t="str">
        <f>"1552376733898161"</f>
        <v>1552376733898161</v>
      </c>
      <c r="C1357" t="s">
        <v>40</v>
      </c>
      <c r="D1357">
        <v>4.540203</v>
      </c>
      <c r="E1357">
        <v>0.48149399999999998</v>
      </c>
      <c r="F1357" t="s">
        <v>61</v>
      </c>
      <c r="G1357">
        <v>-359.28590000000003</v>
      </c>
      <c r="H1357">
        <v>6.6770990000000001</v>
      </c>
      <c r="I1357">
        <v>267.9579</v>
      </c>
      <c r="J1357">
        <v>-216.9828</v>
      </c>
      <c r="K1357">
        <v>1.1100669999999999</v>
      </c>
      <c r="L1357">
        <v>284.1866</v>
      </c>
      <c r="M1357">
        <v>-0.99768920000000005</v>
      </c>
      <c r="N1357">
        <v>0</v>
      </c>
      <c r="O1357">
        <v>-6.6790829999999995E-2</v>
      </c>
      <c r="P1357">
        <v>-0.99895230000000002</v>
      </c>
      <c r="Q1357">
        <v>4.5413559999999999E-2</v>
      </c>
      <c r="R1357">
        <v>-5.620814E-3</v>
      </c>
      <c r="S1357">
        <v>-2.995743</v>
      </c>
      <c r="T1357">
        <v>0.1170692</v>
      </c>
      <c r="U1357">
        <v>-0.34149170000000001</v>
      </c>
      <c r="V1357">
        <v>6.1114309999999998E-2</v>
      </c>
      <c r="W1357">
        <v>5.784077E-2</v>
      </c>
      <c r="X1357">
        <v>0.99645349999999999</v>
      </c>
      <c r="Y1357">
        <v>-4.665478E-2</v>
      </c>
      <c r="Z1357">
        <v>-1.688651E-3</v>
      </c>
      <c r="AA1357">
        <v>0.99890970000000001</v>
      </c>
      <c r="AB1357">
        <v>16</v>
      </c>
      <c r="AC1357">
        <v>-142.3031</v>
      </c>
      <c r="AD1357">
        <v>5.5670320000000002</v>
      </c>
      <c r="AE1357">
        <v>-16.2287</v>
      </c>
      <c r="AF1357">
        <v>-6.67708791628033</v>
      </c>
      <c r="AG1357">
        <v>5.5670320000000002</v>
      </c>
      <c r="AH1357">
        <v>142.853477257734</v>
      </c>
      <c r="AI1357">
        <v>87.770731286757297</v>
      </c>
      <c r="AJ1357">
        <v>92.676103718709797</v>
      </c>
      <c r="AK1357">
        <v>143.11775331158799</v>
      </c>
      <c r="AL1357">
        <v>86.684117479880101</v>
      </c>
      <c r="AM1357">
        <v>86.490341603813306</v>
      </c>
      <c r="AN1357">
        <v>1.0000000456116001</v>
      </c>
    </row>
    <row r="1358" spans="1:40" x14ac:dyDescent="0.25">
      <c r="A1358" t="str">
        <f>"20190312154533934"</f>
        <v>20190312154533934</v>
      </c>
      <c r="B1358" t="str">
        <f>"1552376733927438"</f>
        <v>1552376733927438</v>
      </c>
      <c r="C1358" t="s">
        <v>40</v>
      </c>
      <c r="D1358">
        <v>4.4892450000000004</v>
      </c>
      <c r="E1358">
        <v>0.49378379999999999</v>
      </c>
      <c r="F1358" t="s">
        <v>58</v>
      </c>
      <c r="G1358">
        <v>-511.0761</v>
      </c>
      <c r="H1358">
        <v>7.2659890000000003</v>
      </c>
      <c r="I1358">
        <v>267.9803</v>
      </c>
      <c r="J1358">
        <v>-217.14660000000001</v>
      </c>
      <c r="K1358">
        <v>1.110066</v>
      </c>
      <c r="L1358">
        <v>284.1755</v>
      </c>
      <c r="M1358">
        <v>-0.99767969999999895</v>
      </c>
      <c r="N1358">
        <v>0</v>
      </c>
      <c r="O1358">
        <v>-6.6940609999999998E-2</v>
      </c>
      <c r="P1358">
        <v>-0.99904179999999998</v>
      </c>
      <c r="Q1358">
        <v>4.3534490000000002E-2</v>
      </c>
      <c r="R1358">
        <v>-4.5298739999999997E-3</v>
      </c>
      <c r="S1358">
        <v>-2.999374</v>
      </c>
      <c r="T1358">
        <v>6.2783240000000004E-2</v>
      </c>
      <c r="U1358">
        <v>-0.16528319999999999</v>
      </c>
      <c r="V1358">
        <v>6.2358080000000003E-2</v>
      </c>
      <c r="W1358">
        <v>5.5921289999999998E-2</v>
      </c>
      <c r="X1358">
        <v>0.99648590000000004</v>
      </c>
      <c r="Y1358">
        <v>1.192819E-2</v>
      </c>
      <c r="Z1358">
        <v>-1.5234039999999999E-3</v>
      </c>
      <c r="AA1358">
        <v>0.99992769999999997</v>
      </c>
      <c r="AB1358">
        <v>16</v>
      </c>
      <c r="AC1358">
        <v>-293.92950000000002</v>
      </c>
      <c r="AD1358">
        <v>6.1559229999999996</v>
      </c>
      <c r="AE1358">
        <v>-16.1952</v>
      </c>
      <c r="AF1358">
        <v>3.5169310145533101</v>
      </c>
      <c r="AG1358">
        <v>6.1559229999999996</v>
      </c>
      <c r="AH1358">
        <v>294.22563719026402</v>
      </c>
      <c r="AI1358">
        <v>88.801492030532899</v>
      </c>
      <c r="AJ1358">
        <v>89.315166041277706</v>
      </c>
      <c r="AK1358">
        <v>294.31104255831099</v>
      </c>
      <c r="AL1358">
        <v>86.794273586717793</v>
      </c>
      <c r="AM1358">
        <v>86.419214804276393</v>
      </c>
      <c r="AN1358">
        <v>0.99999993485767802</v>
      </c>
    </row>
    <row r="1359" spans="1:40" x14ac:dyDescent="0.25">
      <c r="A1359" t="str">
        <f>"20190312154533957"</f>
        <v>20190312154533957</v>
      </c>
      <c r="B1359" t="str">
        <f>"1552376733947933"</f>
        <v>1552376733947933</v>
      </c>
      <c r="C1359" t="s">
        <v>40</v>
      </c>
      <c r="D1359">
        <v>4.5198289999999997</v>
      </c>
      <c r="E1359">
        <v>0.49616179999999899</v>
      </c>
      <c r="F1359" t="s">
        <v>58</v>
      </c>
      <c r="G1359">
        <v>-511.95940000000002</v>
      </c>
      <c r="H1359">
        <v>2.4146890000000001</v>
      </c>
      <c r="I1359">
        <v>277.82190000000003</v>
      </c>
      <c r="J1359">
        <v>-217.315</v>
      </c>
      <c r="K1359">
        <v>1.110063</v>
      </c>
      <c r="L1359">
        <v>284.16399999999999</v>
      </c>
      <c r="M1359">
        <v>-0.9976701</v>
      </c>
      <c r="N1359">
        <v>0</v>
      </c>
      <c r="O1359">
        <v>-6.708327E-2</v>
      </c>
      <c r="P1359">
        <v>-0.9991409</v>
      </c>
      <c r="Q1359">
        <v>4.1296279999999998E-2</v>
      </c>
      <c r="R1359">
        <v>-3.4877799999999998E-3</v>
      </c>
      <c r="S1359">
        <v>-3.002014</v>
      </c>
      <c r="T1359">
        <v>1.328552E-2</v>
      </c>
      <c r="U1359">
        <v>-6.4697270000000001E-2</v>
      </c>
      <c r="V1359">
        <v>6.3547220000000001E-2</v>
      </c>
      <c r="W1359">
        <v>5.3678280000000002E-2</v>
      </c>
      <c r="X1359">
        <v>0.99653420000000004</v>
      </c>
      <c r="Y1359">
        <v>4.5574040000000003E-2</v>
      </c>
      <c r="Z1359">
        <v>-3.9747779999999998E-4</v>
      </c>
      <c r="AA1359">
        <v>0.99896090000000004</v>
      </c>
      <c r="AB1359">
        <v>16</v>
      </c>
      <c r="AC1359">
        <v>-294.64440000000002</v>
      </c>
      <c r="AD1359">
        <v>1.3046260000000001</v>
      </c>
      <c r="AE1359">
        <v>-6.3420999999999497</v>
      </c>
      <c r="AF1359">
        <v>13.4391592027079</v>
      </c>
      <c r="AG1359">
        <v>1.3046260000000001</v>
      </c>
      <c r="AH1359">
        <v>294.40028818897798</v>
      </c>
      <c r="AI1359">
        <v>89.746361275090095</v>
      </c>
      <c r="AJ1359">
        <v>87.386303818998996</v>
      </c>
      <c r="AK1359">
        <v>294.70976016214502</v>
      </c>
      <c r="AL1359">
        <v>86.922982260288293</v>
      </c>
      <c r="AM1359">
        <v>86.351290010170203</v>
      </c>
      <c r="AN1359">
        <v>1.00000000934156</v>
      </c>
    </row>
    <row r="1360" spans="1:40" x14ac:dyDescent="0.25">
      <c r="A1360" t="str">
        <f>"20190312154533979"</f>
        <v>20190312154533979</v>
      </c>
      <c r="B1360" t="str">
        <f>"1552376733967454"</f>
        <v>1552376733967454</v>
      </c>
      <c r="C1360" t="s">
        <v>40</v>
      </c>
      <c r="D1360">
        <v>4.5263660000000003</v>
      </c>
      <c r="E1360">
        <v>0.49830459999999899</v>
      </c>
      <c r="F1360" t="s">
        <v>54</v>
      </c>
      <c r="G1360">
        <v>-364.46719999999999</v>
      </c>
      <c r="H1360" s="1">
        <v>8.4044580000000005E-7</v>
      </c>
      <c r="I1360">
        <v>282.06029999999998</v>
      </c>
      <c r="J1360">
        <v>-217.46440000000001</v>
      </c>
      <c r="K1360">
        <v>1.1100540000000001</v>
      </c>
      <c r="L1360">
        <v>284.15379999999999</v>
      </c>
      <c r="M1360">
        <v>-0.99766290000000002</v>
      </c>
      <c r="N1360">
        <v>0</v>
      </c>
      <c r="O1360">
        <v>-6.7191139999999996E-2</v>
      </c>
      <c r="P1360">
        <v>-0.99922339999999998</v>
      </c>
      <c r="Q1360">
        <v>3.9313689999999998E-2</v>
      </c>
      <c r="R1360">
        <v>-2.6183090000000001E-3</v>
      </c>
      <c r="S1360">
        <v>-3.003403</v>
      </c>
      <c r="T1360">
        <v>-2.2656559999999999E-2</v>
      </c>
      <c r="U1360">
        <v>-4.2938230000000001E-2</v>
      </c>
      <c r="V1360">
        <v>6.4529050000000004E-2</v>
      </c>
      <c r="W1360">
        <v>5.1689770000000003E-2</v>
      </c>
      <c r="X1360">
        <v>0.99657620000000002</v>
      </c>
      <c r="Y1360">
        <v>5.2923280000000003E-2</v>
      </c>
      <c r="Z1360">
        <v>7.061274E-4</v>
      </c>
      <c r="AA1360">
        <v>0.99859830000000005</v>
      </c>
      <c r="AB1360">
        <v>16</v>
      </c>
      <c r="AC1360">
        <v>-147.00279999999901</v>
      </c>
      <c r="AD1360">
        <v>-1.1100531595542</v>
      </c>
      <c r="AE1360">
        <v>-2.0935000000000001</v>
      </c>
      <c r="AF1360">
        <v>7.7888345383231101</v>
      </c>
      <c r="AG1360">
        <v>-1.1100531595542</v>
      </c>
      <c r="AH1360">
        <v>146.80284663901901</v>
      </c>
      <c r="AI1360">
        <v>90.4326266529131</v>
      </c>
      <c r="AJ1360">
        <v>86.962938272645104</v>
      </c>
      <c r="AK1360">
        <v>147.013516190865</v>
      </c>
      <c r="AL1360">
        <v>87.037073858209297</v>
      </c>
      <c r="AM1360">
        <v>86.295227511159297</v>
      </c>
      <c r="AN1360">
        <v>0.99999997651149697</v>
      </c>
    </row>
    <row r="1361" spans="1:40" x14ac:dyDescent="0.25">
      <c r="A1361" t="str">
        <f>"20190312154534003"</f>
        <v>20190312154534003</v>
      </c>
      <c r="B1361" t="str">
        <f>"1552376733997710"</f>
        <v>1552376733997710</v>
      </c>
      <c r="C1361" t="s">
        <v>40</v>
      </c>
      <c r="D1361">
        <v>4.6313700000000004</v>
      </c>
      <c r="E1361">
        <v>0.49995980000000001</v>
      </c>
      <c r="F1361" t="s">
        <v>57</v>
      </c>
      <c r="G1361">
        <v>-315.2577</v>
      </c>
      <c r="H1361" s="1">
        <v>4.6558740000000003E-6</v>
      </c>
      <c r="I1361">
        <v>283.38869999999997</v>
      </c>
      <c r="J1361">
        <v>-217.63460000000001</v>
      </c>
      <c r="K1361">
        <v>1.1100380000000001</v>
      </c>
      <c r="L1361">
        <v>284.1422</v>
      </c>
      <c r="M1361">
        <v>-0.99765680000000001</v>
      </c>
      <c r="N1361">
        <v>0</v>
      </c>
      <c r="O1361">
        <v>-6.7287540000000007E-2</v>
      </c>
      <c r="P1361">
        <v>-0.99928229999999996</v>
      </c>
      <c r="Q1361">
        <v>3.7811549999999999E-2</v>
      </c>
      <c r="R1361">
        <v>-2.2575910000000002E-3</v>
      </c>
      <c r="S1361">
        <v>-3.0036160000000001</v>
      </c>
      <c r="T1361">
        <v>-3.4093980000000003E-2</v>
      </c>
      <c r="U1361">
        <v>-2.3498539999999998E-2</v>
      </c>
      <c r="V1361">
        <v>6.4990409999999998E-2</v>
      </c>
      <c r="W1361">
        <v>5.016777E-2</v>
      </c>
      <c r="X1361">
        <v>0.99662399999999995</v>
      </c>
      <c r="Y1361">
        <v>5.9477040000000002E-2</v>
      </c>
      <c r="Z1361">
        <v>1.1008630000000001E-3</v>
      </c>
      <c r="AA1361">
        <v>0.99822909999999998</v>
      </c>
      <c r="AB1361">
        <v>16</v>
      </c>
      <c r="AC1361">
        <v>-97.623099999999994</v>
      </c>
      <c r="AD1361">
        <v>-1.110033344126</v>
      </c>
      <c r="AE1361">
        <v>-0.75350000000003003</v>
      </c>
      <c r="AF1361">
        <v>5.8167777578460296</v>
      </c>
      <c r="AG1361">
        <v>-1.110033344126</v>
      </c>
      <c r="AH1361">
        <v>97.439923245763595</v>
      </c>
      <c r="AI1361">
        <v>90.6515241980794</v>
      </c>
      <c r="AJ1361">
        <v>86.583722987700199</v>
      </c>
      <c r="AK1361">
        <v>97.619699444576995</v>
      </c>
      <c r="AL1361">
        <v>87.124391362300898</v>
      </c>
      <c r="AM1361">
        <v>86.268992699513703</v>
      </c>
      <c r="AN1361">
        <v>0.99999997795736995</v>
      </c>
    </row>
    <row r="1362" spans="1:40" x14ac:dyDescent="0.25">
      <c r="A1362" t="str">
        <f>"20190312154534023"</f>
        <v>20190312154534023</v>
      </c>
      <c r="B1362" t="str">
        <f>"1552376734018206"</f>
        <v>1552376734018206</v>
      </c>
      <c r="C1362" t="s">
        <v>40</v>
      </c>
      <c r="D1362">
        <v>5.0751390000000001</v>
      </c>
      <c r="E1362">
        <v>0.50090990000000002</v>
      </c>
      <c r="F1362" t="s">
        <v>57</v>
      </c>
      <c r="G1362">
        <v>-292.9375</v>
      </c>
      <c r="H1362" s="1">
        <v>2.7890650000000002E-6</v>
      </c>
      <c r="I1362">
        <v>283.90429999999998</v>
      </c>
      <c r="J1362">
        <v>-217.7764</v>
      </c>
      <c r="K1362">
        <v>1.110026</v>
      </c>
      <c r="L1362">
        <v>284.13260000000002</v>
      </c>
      <c r="M1362">
        <v>-0.99765239999999999</v>
      </c>
      <c r="N1362">
        <v>0</v>
      </c>
      <c r="O1362">
        <v>-6.7354189999999994E-2</v>
      </c>
      <c r="P1362">
        <v>-0.99932609999999999</v>
      </c>
      <c r="Q1362">
        <v>3.6666039999999997E-2</v>
      </c>
      <c r="R1362">
        <v>-1.807686E-3</v>
      </c>
      <c r="S1362">
        <v>-3.0038299999999998</v>
      </c>
      <c r="T1362">
        <v>-4.4279220000000001E-2</v>
      </c>
      <c r="U1362">
        <v>-9.4909669999999995E-3</v>
      </c>
      <c r="V1362">
        <v>6.5510269999999995E-2</v>
      </c>
      <c r="W1362">
        <v>4.900525E-2</v>
      </c>
      <c r="X1362">
        <v>0.99664779999999997</v>
      </c>
      <c r="Y1362">
        <v>6.4192299999999994E-2</v>
      </c>
      <c r="Z1362">
        <v>1.465392E-3</v>
      </c>
      <c r="AA1362">
        <v>0.9979365</v>
      </c>
      <c r="AB1362">
        <v>16</v>
      </c>
      <c r="AC1362">
        <v>-75.161100000000005</v>
      </c>
      <c r="AD1362">
        <v>-1.1100232109349999</v>
      </c>
      <c r="AE1362">
        <v>-0.22830000000004699</v>
      </c>
      <c r="AF1362">
        <v>4.8339667743088901</v>
      </c>
      <c r="AG1362">
        <v>-1.1100232109349999</v>
      </c>
      <c r="AH1362">
        <v>74.989414868122296</v>
      </c>
      <c r="AI1362">
        <v>90.846296782104403</v>
      </c>
      <c r="AJ1362">
        <v>86.311703208833194</v>
      </c>
      <c r="AK1362">
        <v>75.1532549432644</v>
      </c>
      <c r="AL1362">
        <v>87.191080884285</v>
      </c>
      <c r="AM1362">
        <v>86.239323130855894</v>
      </c>
      <c r="AN1362">
        <v>0.999999973623937</v>
      </c>
    </row>
    <row r="1363" spans="1:40" x14ac:dyDescent="0.25">
      <c r="A1363" t="str">
        <f>"20190312154534044"</f>
        <v>20190312154534044</v>
      </c>
      <c r="B1363" t="str">
        <f>"1552376734037726"</f>
        <v>1552376734037726</v>
      </c>
      <c r="C1363" t="s">
        <v>40</v>
      </c>
      <c r="D1363">
        <v>5.0145850000000003</v>
      </c>
      <c r="E1363">
        <v>0.50161489999999997</v>
      </c>
      <c r="F1363" t="s">
        <v>57</v>
      </c>
      <c r="G1363">
        <v>-289.23869999999999</v>
      </c>
      <c r="H1363" s="1">
        <v>4.4079099999999996E-6</v>
      </c>
      <c r="I1363">
        <v>284.11959999999999</v>
      </c>
      <c r="J1363">
        <v>-217.9237</v>
      </c>
      <c r="K1363">
        <v>1.110015</v>
      </c>
      <c r="L1363">
        <v>284.12259999999998</v>
      </c>
      <c r="M1363">
        <v>-0.99764870000000005</v>
      </c>
      <c r="N1363">
        <v>0</v>
      </c>
      <c r="O1363">
        <v>-6.7412180000000002E-2</v>
      </c>
      <c r="P1363">
        <v>-0.99933740000000004</v>
      </c>
      <c r="Q1363">
        <v>3.6351040000000001E-2</v>
      </c>
      <c r="R1363">
        <v>-1.9545600000000002E-3</v>
      </c>
      <c r="S1363">
        <v>-3.0037379999999998</v>
      </c>
      <c r="T1363">
        <v>-4.6656969999999999E-2</v>
      </c>
      <c r="U1363">
        <v>-5.4931640000000002E-4</v>
      </c>
      <c r="V1363">
        <v>6.5423319999999993E-2</v>
      </c>
      <c r="W1363">
        <v>4.8679489999999999E-2</v>
      </c>
      <c r="X1363">
        <v>0.99666949999999999</v>
      </c>
      <c r="Y1363">
        <v>6.7218630000000001E-2</v>
      </c>
      <c r="Z1363">
        <v>1.5685510000000001E-3</v>
      </c>
      <c r="AA1363">
        <v>0.99773710000000004</v>
      </c>
      <c r="AB1363">
        <v>16</v>
      </c>
      <c r="AC1363">
        <v>-71.314999999999998</v>
      </c>
      <c r="AD1363">
        <v>-1.1100105920899901</v>
      </c>
      <c r="AE1363">
        <v>-2.9999999999858998E-3</v>
      </c>
      <c r="AF1363">
        <v>4.8037096875766299</v>
      </c>
      <c r="AG1363">
        <v>-1.1100105920899901</v>
      </c>
      <c r="AH1363">
        <v>71.135717156883302</v>
      </c>
      <c r="AI1363">
        <v>90.891946869568997</v>
      </c>
      <c r="AJ1363">
        <v>86.136749902513301</v>
      </c>
      <c r="AK1363">
        <v>71.3063672171089</v>
      </c>
      <c r="AL1363">
        <v>87.209767928674097</v>
      </c>
      <c r="AM1363">
        <v>86.2443818169629</v>
      </c>
      <c r="AN1363">
        <v>0.99999999788836602</v>
      </c>
    </row>
    <row r="1364" spans="1:40" x14ac:dyDescent="0.25">
      <c r="A1364" t="str">
        <f>"20190312154534067"</f>
        <v>20190312154534067</v>
      </c>
      <c r="B1364" t="str">
        <f>"1552376734058221"</f>
        <v>1552376734058221</v>
      </c>
      <c r="C1364" t="s">
        <v>40</v>
      </c>
      <c r="D1364">
        <v>4.5651080000000004</v>
      </c>
      <c r="E1364">
        <v>0.50216439999999996</v>
      </c>
      <c r="F1364" t="s">
        <v>57</v>
      </c>
      <c r="G1364">
        <v>-295.8152</v>
      </c>
      <c r="H1364" s="1">
        <v>3.2701350000000002E-6</v>
      </c>
      <c r="I1364">
        <v>284.2405</v>
      </c>
      <c r="J1364">
        <v>-218.0806</v>
      </c>
      <c r="K1364">
        <v>1.110039</v>
      </c>
      <c r="L1364">
        <v>284.11189999999999</v>
      </c>
      <c r="M1364">
        <v>-0.99764410000000003</v>
      </c>
      <c r="N1364">
        <v>0</v>
      </c>
      <c r="O1364">
        <v>-6.7458699999999996E-2</v>
      </c>
      <c r="P1364">
        <v>-0.99935510000000005</v>
      </c>
      <c r="Q1364">
        <v>3.5866410000000001E-2</v>
      </c>
      <c r="R1364">
        <v>-1.7726179999999999E-3</v>
      </c>
      <c r="S1364">
        <v>-3.0035400000000001</v>
      </c>
      <c r="T1364">
        <v>-4.2802689999999997E-2</v>
      </c>
      <c r="U1364">
        <v>4.5471189999999996E-3</v>
      </c>
      <c r="V1364">
        <v>6.5653680000000006E-2</v>
      </c>
      <c r="W1364">
        <v>4.8305130000000002E-2</v>
      </c>
      <c r="X1364">
        <v>0.99667260000000002</v>
      </c>
      <c r="Y1364">
        <v>6.8960499999999994E-2</v>
      </c>
      <c r="Z1364">
        <v>1.4521709999999999E-3</v>
      </c>
      <c r="AA1364">
        <v>0.99761829999999996</v>
      </c>
      <c r="AB1364">
        <v>16</v>
      </c>
      <c r="AC1364">
        <v>-77.7346</v>
      </c>
      <c r="AD1364">
        <v>-1.1100357298649901</v>
      </c>
      <c r="AE1364">
        <v>0.12860000000000499</v>
      </c>
      <c r="AF1364">
        <v>5.3714947096584602</v>
      </c>
      <c r="AG1364">
        <v>-1.1100357298649901</v>
      </c>
      <c r="AH1364">
        <v>77.533012418108697</v>
      </c>
      <c r="AI1364">
        <v>90.818283225384405</v>
      </c>
      <c r="AJ1364">
        <v>86.036875322357801</v>
      </c>
      <c r="AK1364">
        <v>77.726785276145804</v>
      </c>
      <c r="AL1364">
        <v>87.231242533385</v>
      </c>
      <c r="AM1364">
        <v>86.231207760564402</v>
      </c>
      <c r="AN1364">
        <v>1.0000000314363</v>
      </c>
    </row>
    <row r="1365" spans="1:40" x14ac:dyDescent="0.25">
      <c r="A1365" t="str">
        <f>"20190312154534088"</f>
        <v>20190312154534088</v>
      </c>
      <c r="B1365" t="str">
        <f>"1552376734077741"</f>
        <v>1552376734077741</v>
      </c>
      <c r="C1365" t="s">
        <v>40</v>
      </c>
      <c r="D1365">
        <v>4.5570550000000001</v>
      </c>
      <c r="E1365">
        <v>0.50261990000000001</v>
      </c>
      <c r="F1365" t="s">
        <v>57</v>
      </c>
      <c r="G1365">
        <v>-301.97699999999998</v>
      </c>
      <c r="H1365" s="1">
        <v>3.6351309999999999E-6</v>
      </c>
      <c r="I1365">
        <v>284.37360000000001</v>
      </c>
      <c r="J1365">
        <v>-218.233</v>
      </c>
      <c r="K1365">
        <v>1.1103419999999999</v>
      </c>
      <c r="L1365">
        <v>284.10160000000002</v>
      </c>
      <c r="M1365">
        <v>-0.99762569999999995</v>
      </c>
      <c r="N1365">
        <v>0</v>
      </c>
      <c r="O1365">
        <v>-6.7499550000000005E-2</v>
      </c>
      <c r="P1365">
        <v>-0.99940499999999999</v>
      </c>
      <c r="Q1365">
        <v>3.4473589999999998E-2</v>
      </c>
      <c r="R1365">
        <v>-1.1639459999999999E-3</v>
      </c>
      <c r="S1365">
        <v>-3.0033569999999998</v>
      </c>
      <c r="T1365">
        <v>-3.9737460000000002E-2</v>
      </c>
      <c r="U1365">
        <v>9.3688959999999998E-3</v>
      </c>
      <c r="V1365">
        <v>6.6306740000000003E-2</v>
      </c>
      <c r="W1365">
        <v>4.8089850000000003E-2</v>
      </c>
      <c r="X1365">
        <v>0.99663970000000002</v>
      </c>
      <c r="Y1365">
        <v>7.0605780000000007E-2</v>
      </c>
      <c r="Z1365">
        <v>1.3597150000000001E-3</v>
      </c>
      <c r="AA1365">
        <v>0.99750340000000004</v>
      </c>
      <c r="AB1365">
        <v>16</v>
      </c>
      <c r="AC1365">
        <v>-83.744</v>
      </c>
      <c r="AD1365">
        <v>-1.1103383648689999</v>
      </c>
      <c r="AE1365">
        <v>0.27199999999999103</v>
      </c>
      <c r="AF1365">
        <v>5.9235484979923196</v>
      </c>
      <c r="AG1365">
        <v>-1.1103383648689999</v>
      </c>
      <c r="AH1365">
        <v>83.519926009582605</v>
      </c>
      <c r="AI1365">
        <v>90.759753780702795</v>
      </c>
      <c r="AJ1365">
        <v>85.943160099688399</v>
      </c>
      <c r="AK1365">
        <v>83.7370844891242</v>
      </c>
      <c r="AL1365">
        <v>87.243591307958596</v>
      </c>
      <c r="AM1365">
        <v>86.193703797558101</v>
      </c>
      <c r="AN1365">
        <v>0.99999995452926904</v>
      </c>
    </row>
    <row r="1366" spans="1:40" x14ac:dyDescent="0.25">
      <c r="A1366" t="str">
        <f>"20190312154534110"</f>
        <v>20190312154534110</v>
      </c>
      <c r="B1366" t="str">
        <f>"1552376734097262"</f>
        <v>1552376734097262</v>
      </c>
      <c r="C1366" t="s">
        <v>40</v>
      </c>
      <c r="D1366">
        <v>4.5852240000000002</v>
      </c>
      <c r="E1366">
        <v>0.50293999999999905</v>
      </c>
      <c r="F1366" t="s">
        <v>57</v>
      </c>
      <c r="G1366">
        <v>-301.24869999999999</v>
      </c>
      <c r="H1366" s="1">
        <v>3.7518959999999999E-6</v>
      </c>
      <c r="I1366">
        <v>284.51580000000001</v>
      </c>
      <c r="J1366">
        <v>-218.38249999999999</v>
      </c>
      <c r="K1366">
        <v>1.1107260000000001</v>
      </c>
      <c r="L1366">
        <v>284.09140000000002</v>
      </c>
      <c r="M1366">
        <v>-0.99759929999999997</v>
      </c>
      <c r="N1366">
        <v>0</v>
      </c>
      <c r="O1366">
        <v>-6.7534289999999997E-2</v>
      </c>
      <c r="P1366">
        <v>-0.99950240000000001</v>
      </c>
      <c r="Q1366">
        <v>3.154241E-2</v>
      </c>
      <c r="R1366">
        <v>-4.6554179999999998E-4</v>
      </c>
      <c r="S1366">
        <v>-3.003174</v>
      </c>
      <c r="T1366">
        <v>-4.016757E-2</v>
      </c>
      <c r="U1366">
        <v>1.498413E-2</v>
      </c>
      <c r="V1366">
        <v>6.7046560000000005E-2</v>
      </c>
      <c r="W1366">
        <v>4.681337E-2</v>
      </c>
      <c r="X1366">
        <v>0.99665110000000001</v>
      </c>
      <c r="Y1366">
        <v>7.250682E-2</v>
      </c>
      <c r="Z1366">
        <v>1.3877220000000001E-3</v>
      </c>
      <c r="AA1366">
        <v>0.997367</v>
      </c>
      <c r="AB1366">
        <v>15</v>
      </c>
      <c r="AC1366">
        <v>-82.866199999999907</v>
      </c>
      <c r="AD1366">
        <v>-1.110722248104</v>
      </c>
      <c r="AE1366">
        <v>0.42439999999999101</v>
      </c>
      <c r="AF1366">
        <v>6.0193164158741101</v>
      </c>
      <c r="AG1366">
        <v>-1.110722248104</v>
      </c>
      <c r="AH1366">
        <v>82.6334575376884</v>
      </c>
      <c r="AI1366">
        <v>90.768063250057907</v>
      </c>
      <c r="AJ1366">
        <v>85.83372922449</v>
      </c>
      <c r="AK1366">
        <v>82.859846600508504</v>
      </c>
      <c r="AL1366">
        <v>87.316811032548301</v>
      </c>
      <c r="AM1366">
        <v>86.151405721324295</v>
      </c>
      <c r="AN1366">
        <v>1.00000007397489</v>
      </c>
    </row>
    <row r="1367" spans="1:40" x14ac:dyDescent="0.25">
      <c r="A1367" t="str">
        <f>"20190312154534134"</f>
        <v>20190312154534134</v>
      </c>
      <c r="B1367" t="str">
        <f>"1552376734127518"</f>
        <v>1552376734127518</v>
      </c>
      <c r="C1367" t="s">
        <v>40</v>
      </c>
      <c r="D1367">
        <v>4.6001130000000003</v>
      </c>
      <c r="E1367">
        <v>0.50328539999999999</v>
      </c>
      <c r="F1367" t="s">
        <v>57</v>
      </c>
      <c r="G1367">
        <v>-287.94959999999998</v>
      </c>
      <c r="H1367" s="1">
        <v>4.8933829999999998E-6</v>
      </c>
      <c r="I1367">
        <v>284.53680000000003</v>
      </c>
      <c r="J1367">
        <v>-218.53190000000001</v>
      </c>
      <c r="K1367">
        <v>1.1110880000000001</v>
      </c>
      <c r="L1367">
        <v>284.0813</v>
      </c>
      <c r="M1367">
        <v>-0.99756710000000004</v>
      </c>
      <c r="N1367">
        <v>0</v>
      </c>
      <c r="O1367">
        <v>-6.7562040000000004E-2</v>
      </c>
      <c r="P1367">
        <v>-0.99958369999999996</v>
      </c>
      <c r="Q1367">
        <v>2.8851950000000001E-2</v>
      </c>
      <c r="R1367">
        <v>5.5513959999999897E-4</v>
      </c>
      <c r="S1367">
        <v>-3.0030209999999999</v>
      </c>
      <c r="T1367">
        <v>-4.7946809999999999E-2</v>
      </c>
      <c r="U1367">
        <v>1.9226070000000001E-2</v>
      </c>
      <c r="V1367">
        <v>6.8100140000000003E-2</v>
      </c>
      <c r="W1367">
        <v>4.5975509999999997E-2</v>
      </c>
      <c r="X1367">
        <v>0.99661860000000002</v>
      </c>
      <c r="Y1367">
        <v>7.3940080000000005E-2</v>
      </c>
      <c r="Z1367">
        <v>1.668456E-3</v>
      </c>
      <c r="AA1367">
        <v>0.99726130000000002</v>
      </c>
      <c r="AB1367">
        <v>15</v>
      </c>
      <c r="AC1367">
        <v>-69.417699999999897</v>
      </c>
      <c r="AD1367">
        <v>-1.1110831066169999</v>
      </c>
      <c r="AE1367">
        <v>0.45550000000002899</v>
      </c>
      <c r="AF1367">
        <v>5.1438351384338503</v>
      </c>
      <c r="AG1367">
        <v>-1.1110831066169999</v>
      </c>
      <c r="AH1367">
        <v>69.210529911910101</v>
      </c>
      <c r="AI1367">
        <v>90.9171993704378</v>
      </c>
      <c r="AJ1367">
        <v>85.749502456134806</v>
      </c>
      <c r="AK1367">
        <v>69.4103090058573</v>
      </c>
      <c r="AL1367">
        <v>87.364868439437302</v>
      </c>
      <c r="AM1367">
        <v>86.090987279983096</v>
      </c>
      <c r="AN1367">
        <v>1.0000000052268601</v>
      </c>
    </row>
    <row r="1368" spans="1:40" x14ac:dyDescent="0.25">
      <c r="A1368" t="str">
        <f>"20190312154534158"</f>
        <v>20190312154534158</v>
      </c>
      <c r="B1368" t="str">
        <f>"1552376734148016"</f>
        <v>1552376734148016</v>
      </c>
      <c r="C1368" t="s">
        <v>40</v>
      </c>
      <c r="D1368">
        <v>4.5966480000000001</v>
      </c>
      <c r="E1368">
        <v>0.50325390000000003</v>
      </c>
      <c r="F1368" t="s">
        <v>54</v>
      </c>
      <c r="G1368">
        <v>-276.81580000000002</v>
      </c>
      <c r="H1368" s="1">
        <v>2.0922879999999999E-6</v>
      </c>
      <c r="I1368">
        <v>284.56939999999997</v>
      </c>
      <c r="J1368">
        <v>-218.68299999999999</v>
      </c>
      <c r="K1368">
        <v>1.1114010000000001</v>
      </c>
      <c r="L1368">
        <v>284.07100000000003</v>
      </c>
      <c r="M1368">
        <v>-0.9975311</v>
      </c>
      <c r="N1368">
        <v>0</v>
      </c>
      <c r="O1368">
        <v>-6.758343E-2</v>
      </c>
      <c r="P1368">
        <v>-0.99965570000000004</v>
      </c>
      <c r="Q1368">
        <v>2.6186939999999999E-2</v>
      </c>
      <c r="R1368">
        <v>1.7603989999999999E-3</v>
      </c>
      <c r="S1368">
        <v>-3.0028839999999999</v>
      </c>
      <c r="T1368">
        <v>-5.7245020000000001E-2</v>
      </c>
      <c r="U1368">
        <v>2.5146479999999999E-2</v>
      </c>
      <c r="V1368">
        <v>6.9331119999999996E-2</v>
      </c>
      <c r="W1368">
        <v>4.5219559999999999E-2</v>
      </c>
      <c r="X1368">
        <v>0.99656829999999996</v>
      </c>
      <c r="Y1368">
        <v>7.5921970000000005E-2</v>
      </c>
      <c r="Z1368">
        <v>2.0114E-3</v>
      </c>
      <c r="AA1368">
        <v>0.99711170000000005</v>
      </c>
      <c r="AB1368">
        <v>15</v>
      </c>
      <c r="AC1368">
        <v>-58.132800000000003</v>
      </c>
      <c r="AD1368">
        <v>-1.1113989077119999</v>
      </c>
      <c r="AE1368">
        <v>0.49840000000000301</v>
      </c>
      <c r="AF1368">
        <v>4.4251723581814799</v>
      </c>
      <c r="AG1368">
        <v>-1.1113989077119999</v>
      </c>
      <c r="AH1368">
        <v>57.944970675749602</v>
      </c>
      <c r="AI1368">
        <v>91.095623034415297</v>
      </c>
      <c r="AJ1368">
        <v>85.632882153760306</v>
      </c>
      <c r="AK1368">
        <v>58.1243235190326</v>
      </c>
      <c r="AL1368">
        <v>87.408226254295698</v>
      </c>
      <c r="AM1368">
        <v>86.020352661318796</v>
      </c>
      <c r="AN1368">
        <v>0.99999999468596901</v>
      </c>
    </row>
    <row r="1369" spans="1:40" x14ac:dyDescent="0.25">
      <c r="A1369" t="str">
        <f>"20190312154534180"</f>
        <v>20190312154534180</v>
      </c>
      <c r="B1369" t="str">
        <f>"1552376734167534"</f>
        <v>1552376734167534</v>
      </c>
      <c r="C1369" t="s">
        <v>40</v>
      </c>
      <c r="D1369">
        <v>4.581143</v>
      </c>
      <c r="E1369">
        <v>0.50343919999999998</v>
      </c>
      <c r="F1369" t="s">
        <v>54</v>
      </c>
      <c r="G1369">
        <v>-266.86219999999997</v>
      </c>
      <c r="H1369" s="1">
        <v>2.114904E-6</v>
      </c>
      <c r="I1369">
        <v>284.5215</v>
      </c>
      <c r="J1369">
        <v>-218.81610000000001</v>
      </c>
      <c r="K1369">
        <v>1.1114459999999999</v>
      </c>
      <c r="L1369">
        <v>284.06200000000001</v>
      </c>
      <c r="M1369">
        <v>-0.99751029999999996</v>
      </c>
      <c r="N1369">
        <v>0</v>
      </c>
      <c r="O1369">
        <v>-6.7600569999999999E-2</v>
      </c>
      <c r="P1369">
        <v>-0.9997028</v>
      </c>
      <c r="Q1369">
        <v>2.4233629999999999E-2</v>
      </c>
      <c r="R1369">
        <v>2.698761E-3</v>
      </c>
      <c r="S1369">
        <v>-3.002777</v>
      </c>
      <c r="T1369">
        <v>-6.926823E-2</v>
      </c>
      <c r="U1369">
        <v>2.8076170000000001E-2</v>
      </c>
      <c r="V1369">
        <v>7.0288989999999996E-2</v>
      </c>
      <c r="W1369">
        <v>4.4254929999999998E-2</v>
      </c>
      <c r="X1369">
        <v>0.99654450000000006</v>
      </c>
      <c r="Y1369">
        <v>7.6901079999999997E-2</v>
      </c>
      <c r="Z1369">
        <v>2.445558E-3</v>
      </c>
      <c r="AA1369">
        <v>0.99703569999999997</v>
      </c>
      <c r="AB1369">
        <v>14</v>
      </c>
      <c r="AC1369">
        <v>-48.046099999999903</v>
      </c>
      <c r="AD1369">
        <v>-1.111443885096</v>
      </c>
      <c r="AE1369">
        <v>0.45949999999999103</v>
      </c>
      <c r="AF1369">
        <v>3.7050649420950901</v>
      </c>
      <c r="AG1369">
        <v>-1.111443885096</v>
      </c>
      <c r="AH1369">
        <v>47.879460374656603</v>
      </c>
      <c r="AI1369">
        <v>91.325827328014597</v>
      </c>
      <c r="AJ1369">
        <v>85.575088625293404</v>
      </c>
      <c r="AK1369">
        <v>48.035461270848302</v>
      </c>
      <c r="AL1369">
        <v>87.463550866118297</v>
      </c>
      <c r="AM1369">
        <v>85.965454652544693</v>
      </c>
      <c r="AN1369">
        <v>0.99999999071238699</v>
      </c>
    </row>
    <row r="1370" spans="1:40" x14ac:dyDescent="0.25">
      <c r="A1370" t="str">
        <f>"20190312154534200"</f>
        <v>20190312154534200</v>
      </c>
      <c r="B1370" t="str">
        <f>"1552376734188030"</f>
        <v>1552376734188030</v>
      </c>
      <c r="C1370" t="s">
        <v>40</v>
      </c>
      <c r="D1370">
        <v>4.636539</v>
      </c>
      <c r="E1370">
        <v>0.50353859999999995</v>
      </c>
      <c r="F1370" t="s">
        <v>54</v>
      </c>
      <c r="G1370">
        <v>-263.3356</v>
      </c>
      <c r="H1370" s="1">
        <v>2.3826909999999999E-7</v>
      </c>
      <c r="I1370">
        <v>284.54250000000002</v>
      </c>
      <c r="J1370">
        <v>-218.9504</v>
      </c>
      <c r="K1370">
        <v>1.111051</v>
      </c>
      <c r="L1370">
        <v>284.05290000000002</v>
      </c>
      <c r="M1370">
        <v>-0.99752229999999997</v>
      </c>
      <c r="N1370">
        <v>0</v>
      </c>
      <c r="O1370">
        <v>-6.7623409999999995E-2</v>
      </c>
      <c r="P1370">
        <v>-0.99972430000000001</v>
      </c>
      <c r="Q1370">
        <v>2.3178290000000001E-2</v>
      </c>
      <c r="R1370">
        <v>3.814642E-3</v>
      </c>
      <c r="S1370">
        <v>-3.0026250000000001</v>
      </c>
      <c r="T1370">
        <v>-7.4961539999999993E-2</v>
      </c>
      <c r="U1370">
        <v>3.2409670000000002E-2</v>
      </c>
      <c r="V1370">
        <v>7.1425600000000006E-2</v>
      </c>
      <c r="W1370">
        <v>4.2517550000000001E-2</v>
      </c>
      <c r="X1370">
        <v>0.99653939999999996</v>
      </c>
      <c r="Y1370">
        <v>7.8355190000000005E-2</v>
      </c>
      <c r="Z1370">
        <v>2.665335E-3</v>
      </c>
      <c r="AA1370">
        <v>0.99692199999999997</v>
      </c>
      <c r="AB1370">
        <v>14</v>
      </c>
      <c r="AC1370">
        <v>-44.385199999999998</v>
      </c>
      <c r="AD1370">
        <v>-1.1110507617309</v>
      </c>
      <c r="AE1370">
        <v>0.48959999999999498</v>
      </c>
      <c r="AF1370">
        <v>3.48833682980744</v>
      </c>
      <c r="AG1370">
        <v>-1.1110507617309</v>
      </c>
      <c r="AH1370">
        <v>44.222738993042398</v>
      </c>
      <c r="AI1370">
        <v>91.434739833553905</v>
      </c>
      <c r="AJ1370">
        <v>85.489786833029797</v>
      </c>
      <c r="AK1370">
        <v>44.374019106680898</v>
      </c>
      <c r="AL1370">
        <v>87.563189429368094</v>
      </c>
      <c r="AM1370">
        <v>85.900413699610198</v>
      </c>
      <c r="AN1370">
        <v>1.0000000670728499</v>
      </c>
    </row>
    <row r="1371" spans="1:40" x14ac:dyDescent="0.25">
      <c r="A1371" t="str">
        <f>"20190312154534223"</f>
        <v>20190312154534223</v>
      </c>
      <c r="B1371" t="str">
        <f>"1552376734217310"</f>
        <v>1552376734217310</v>
      </c>
      <c r="C1371" t="s">
        <v>40</v>
      </c>
      <c r="D1371">
        <v>4.621823</v>
      </c>
      <c r="E1371">
        <v>0.50367489999999904</v>
      </c>
      <c r="F1371" t="s">
        <v>54</v>
      </c>
      <c r="G1371">
        <v>-261.62479999999999</v>
      </c>
      <c r="H1371" s="1">
        <v>-6.7215640000000002E-7</v>
      </c>
      <c r="I1371">
        <v>284.57080000000002</v>
      </c>
      <c r="J1371">
        <v>-219.0908</v>
      </c>
      <c r="K1371">
        <v>1.110468</v>
      </c>
      <c r="L1371">
        <v>284.04340000000002</v>
      </c>
      <c r="M1371">
        <v>-0.99755139999999998</v>
      </c>
      <c r="N1371">
        <v>0</v>
      </c>
      <c r="O1371">
        <v>-6.7652790000000004E-2</v>
      </c>
      <c r="P1371">
        <v>-0.99972830000000001</v>
      </c>
      <c r="Q1371">
        <v>2.285792E-2</v>
      </c>
      <c r="R1371">
        <v>4.6023720000000004E-3</v>
      </c>
      <c r="S1371">
        <v>-3.0025019999999998</v>
      </c>
      <c r="T1371">
        <v>-7.8171729999999995E-2</v>
      </c>
      <c r="U1371">
        <v>3.6437990000000003E-2</v>
      </c>
      <c r="V1371">
        <v>7.223868E-2</v>
      </c>
      <c r="W1371">
        <v>4.05318E-2</v>
      </c>
      <c r="X1371">
        <v>0.99656350000000005</v>
      </c>
      <c r="Y1371">
        <v>7.9715679999999997E-2</v>
      </c>
      <c r="Z1371">
        <v>2.7979659999999998E-3</v>
      </c>
      <c r="AA1371">
        <v>0.99681370000000002</v>
      </c>
      <c r="AB1371">
        <v>14</v>
      </c>
      <c r="AC1371">
        <v>-42.533999999999899</v>
      </c>
      <c r="AD1371">
        <v>-1.1104686721563899</v>
      </c>
      <c r="AE1371">
        <v>0.52739999999999998</v>
      </c>
      <c r="AF1371">
        <v>3.4018689817669698</v>
      </c>
      <c r="AG1371">
        <v>-1.1104686721563899</v>
      </c>
      <c r="AH1371">
        <v>42.371958082652597</v>
      </c>
      <c r="AI1371">
        <v>91.496430134255604</v>
      </c>
      <c r="AJ1371">
        <v>85.409804846593204</v>
      </c>
      <c r="AK1371">
        <v>42.522801942005401</v>
      </c>
      <c r="AL1371">
        <v>87.677062670470406</v>
      </c>
      <c r="AM1371">
        <v>85.854007424718503</v>
      </c>
      <c r="AN1371">
        <v>1.00000003161581</v>
      </c>
    </row>
    <row r="1372" spans="1:40" x14ac:dyDescent="0.25">
      <c r="A1372" t="str">
        <f>"20190312154534244"</f>
        <v>20190312154534244</v>
      </c>
      <c r="B1372" t="str">
        <f>"1552376734237806"</f>
        <v>1552376734237806</v>
      </c>
      <c r="C1372" t="s">
        <v>40</v>
      </c>
      <c r="D1372">
        <v>4.6154219999999997</v>
      </c>
      <c r="E1372">
        <v>0.50377249999999996</v>
      </c>
      <c r="F1372" t="s">
        <v>54</v>
      </c>
      <c r="G1372">
        <v>-261.42189999999999</v>
      </c>
      <c r="H1372" s="1">
        <v>-7.8013779999999996E-7</v>
      </c>
      <c r="I1372">
        <v>284.60399999999998</v>
      </c>
      <c r="J1372">
        <v>-219.2372</v>
      </c>
      <c r="K1372">
        <v>1.109985</v>
      </c>
      <c r="L1372">
        <v>284.03339999999997</v>
      </c>
      <c r="M1372">
        <v>-0.99757899999999999</v>
      </c>
      <c r="N1372">
        <v>0</v>
      </c>
      <c r="O1372">
        <v>-6.7685540000000002E-2</v>
      </c>
      <c r="P1372">
        <v>-0.99971489999999996</v>
      </c>
      <c r="Q1372">
        <v>2.3240050000000002E-2</v>
      </c>
      <c r="R1372">
        <v>5.5031969999999996E-3</v>
      </c>
      <c r="S1372">
        <v>-3.0024410000000001</v>
      </c>
      <c r="T1372">
        <v>-7.8762890000000002E-2</v>
      </c>
      <c r="U1372">
        <v>3.9764399999999998E-2</v>
      </c>
      <c r="V1372">
        <v>7.3166819999999994E-2</v>
      </c>
      <c r="W1372">
        <v>3.9158169999999999E-2</v>
      </c>
      <c r="X1372">
        <v>0.99655070000000001</v>
      </c>
      <c r="Y1372">
        <v>8.0849649999999995E-2</v>
      </c>
      <c r="Z1372">
        <v>2.8348480000000001E-3</v>
      </c>
      <c r="AA1372">
        <v>0.99672229999999995</v>
      </c>
      <c r="AB1372">
        <v>14</v>
      </c>
      <c r="AC1372">
        <v>-42.1846999999999</v>
      </c>
      <c r="AD1372">
        <v>-1.1099857801377999</v>
      </c>
      <c r="AE1372">
        <v>0.57060000000006905</v>
      </c>
      <c r="AF1372">
        <v>3.4225799685441598</v>
      </c>
      <c r="AG1372">
        <v>-1.1099857801377999</v>
      </c>
      <c r="AH1372">
        <v>42.020219706472098</v>
      </c>
      <c r="AI1372">
        <v>91.508153559293206</v>
      </c>
      <c r="AJ1372">
        <v>85.343492954943798</v>
      </c>
      <c r="AK1372">
        <v>42.173984709218203</v>
      </c>
      <c r="AL1372">
        <v>87.755828403654704</v>
      </c>
      <c r="AM1372">
        <v>85.800874303750803</v>
      </c>
      <c r="AN1372">
        <v>1.0000000217485701</v>
      </c>
    </row>
    <row r="1373" spans="1:40" x14ac:dyDescent="0.25">
      <c r="A1373" t="str">
        <f>"20190312154534267"</f>
        <v>20190312154534267</v>
      </c>
      <c r="B1373" t="str">
        <f>"1552376734257326"</f>
        <v>1552376734257326</v>
      </c>
      <c r="C1373" t="s">
        <v>40</v>
      </c>
      <c r="D1373">
        <v>4.6467090000000004</v>
      </c>
      <c r="E1373">
        <v>0.50385089999999999</v>
      </c>
      <c r="F1373" t="s">
        <v>54</v>
      </c>
      <c r="G1373">
        <v>-262.2629</v>
      </c>
      <c r="H1373" s="1">
        <v>-3.3256180000000003E-7</v>
      </c>
      <c r="I1373">
        <v>284.64879999999999</v>
      </c>
      <c r="J1373">
        <v>-219.38640000000001</v>
      </c>
      <c r="K1373">
        <v>1.1096469999999901</v>
      </c>
      <c r="L1373">
        <v>284.02330000000001</v>
      </c>
      <c r="M1373">
        <v>-0.9976005</v>
      </c>
      <c r="N1373">
        <v>0</v>
      </c>
      <c r="O1373">
        <v>-6.7719790000000002E-2</v>
      </c>
      <c r="P1373">
        <v>-0.99970329999999996</v>
      </c>
      <c r="Q1373">
        <v>2.3593099999999999E-2</v>
      </c>
      <c r="R1373">
        <v>6.0611800000000002E-3</v>
      </c>
      <c r="S1373">
        <v>-3.0024259999999998</v>
      </c>
      <c r="T1373">
        <v>-7.7457070000000003E-2</v>
      </c>
      <c r="U1373">
        <v>4.2938230000000001E-2</v>
      </c>
      <c r="V1373">
        <v>7.3754970000000003E-2</v>
      </c>
      <c r="W1373">
        <v>3.7942190000000001E-2</v>
      </c>
      <c r="X1373">
        <v>0.99655439999999995</v>
      </c>
      <c r="Y1373">
        <v>8.1936999999999996E-2</v>
      </c>
      <c r="Z1373">
        <v>2.802737E-3</v>
      </c>
      <c r="AA1373">
        <v>0.99663360000000001</v>
      </c>
      <c r="AB1373">
        <v>15</v>
      </c>
      <c r="AC1373">
        <v>-42.876499999999901</v>
      </c>
      <c r="AD1373">
        <v>-1.1096473325617999</v>
      </c>
      <c r="AE1373">
        <v>0.62549999999998795</v>
      </c>
      <c r="AF1373">
        <v>3.52559146786388</v>
      </c>
      <c r="AG1373">
        <v>-1.1096473325617999</v>
      </c>
      <c r="AH1373">
        <v>42.707090093954399</v>
      </c>
      <c r="AI1373">
        <v>91.483323068660596</v>
      </c>
      <c r="AJ1373">
        <v>85.280771879659497</v>
      </c>
      <c r="AK1373">
        <v>42.866731350711603</v>
      </c>
      <c r="AL1373">
        <v>87.825550792485402</v>
      </c>
      <c r="AM1373">
        <v>85.767257567527906</v>
      </c>
      <c r="AN1373">
        <v>1.0000000387705199</v>
      </c>
    </row>
    <row r="1374" spans="1:40" x14ac:dyDescent="0.25">
      <c r="A1374" t="str">
        <f>"20190312154534289"</f>
        <v>20190312154534289</v>
      </c>
      <c r="B1374" t="str">
        <f>"1552376734277822"</f>
        <v>1552376734277822</v>
      </c>
      <c r="C1374" t="s">
        <v>40</v>
      </c>
      <c r="D1374">
        <v>4.6176349999999999</v>
      </c>
      <c r="E1374">
        <v>0.50937109999999997</v>
      </c>
      <c r="F1374" t="s">
        <v>54</v>
      </c>
      <c r="G1374">
        <v>-262.1463</v>
      </c>
      <c r="H1374" s="1">
        <v>-3.9463749999999998E-7</v>
      </c>
      <c r="I1374">
        <v>284.66609999999997</v>
      </c>
      <c r="J1374">
        <v>-219.54069999999999</v>
      </c>
      <c r="K1374">
        <v>1.109394</v>
      </c>
      <c r="L1374">
        <v>284.01280000000003</v>
      </c>
      <c r="M1374">
        <v>-0.99761920000000004</v>
      </c>
      <c r="N1374">
        <v>0</v>
      </c>
      <c r="O1374">
        <v>-6.7754560000000005E-2</v>
      </c>
      <c r="P1374">
        <v>-0.99970199999999998</v>
      </c>
      <c r="Q1374">
        <v>2.3611199999999999E-2</v>
      </c>
      <c r="R1374">
        <v>6.2104269999999897E-3</v>
      </c>
      <c r="S1374">
        <v>-3.0024410000000001</v>
      </c>
      <c r="T1374">
        <v>-7.7915429999999994E-2</v>
      </c>
      <c r="U1374">
        <v>4.5135500000000002E-2</v>
      </c>
      <c r="V1374">
        <v>7.393661E-2</v>
      </c>
      <c r="W1374">
        <v>3.6428799999999997E-2</v>
      </c>
      <c r="X1374">
        <v>0.99659730000000002</v>
      </c>
      <c r="Y1374">
        <v>8.2698549999999996E-2</v>
      </c>
      <c r="Z1374">
        <v>2.8300410000000002E-3</v>
      </c>
      <c r="AA1374">
        <v>0.99657059999999997</v>
      </c>
      <c r="AB1374">
        <v>15</v>
      </c>
      <c r="AC1374">
        <v>-42.605600000000003</v>
      </c>
      <c r="AD1374">
        <v>-1.1093943946375</v>
      </c>
      <c r="AE1374">
        <v>0.65329999999994404</v>
      </c>
      <c r="AF1374">
        <v>3.53636356969354</v>
      </c>
      <c r="AG1374">
        <v>-1.1093943946375</v>
      </c>
      <c r="AH1374">
        <v>42.434644733605197</v>
      </c>
      <c r="AI1374">
        <v>91.492405768540095</v>
      </c>
      <c r="AJ1374">
        <v>85.236166325595093</v>
      </c>
      <c r="AK1374">
        <v>42.596193455368798</v>
      </c>
      <c r="AL1374">
        <v>87.912321440517999</v>
      </c>
      <c r="AM1374">
        <v>85.757053393929993</v>
      </c>
      <c r="AN1374">
        <v>0.99999992906750801</v>
      </c>
    </row>
    <row r="1375" spans="1:40" x14ac:dyDescent="0.25">
      <c r="A1375" t="str">
        <f>"20190312154534311"</f>
        <v>20190312154534311</v>
      </c>
      <c r="B1375" t="str">
        <f>"1552376734298318"</f>
        <v>1552376734298318</v>
      </c>
      <c r="C1375" t="s">
        <v>40</v>
      </c>
      <c r="D1375">
        <v>4.6287469999999997</v>
      </c>
      <c r="E1375">
        <v>0.50972390000000001</v>
      </c>
      <c r="F1375" t="s">
        <v>41</v>
      </c>
      <c r="G1375">
        <v>-220.34350000000001</v>
      </c>
      <c r="H1375">
        <v>0.99471569999999998</v>
      </c>
      <c r="I1375">
        <v>284.0342</v>
      </c>
      <c r="J1375">
        <v>-219.6908</v>
      </c>
      <c r="K1375">
        <v>1.109181</v>
      </c>
      <c r="L1375">
        <v>284.00259999999997</v>
      </c>
      <c r="M1375">
        <v>-0.99763500000000005</v>
      </c>
      <c r="N1375">
        <v>0</v>
      </c>
      <c r="O1375">
        <v>-6.7787479999999997E-2</v>
      </c>
      <c r="P1375">
        <v>-0.99968120000000005</v>
      </c>
      <c r="Q1375">
        <v>2.4350449999999999E-2</v>
      </c>
      <c r="R1375">
        <v>6.6752909999999999E-3</v>
      </c>
      <c r="S1375">
        <v>-3.0105590000000002</v>
      </c>
      <c r="T1375">
        <v>-0.4300697</v>
      </c>
      <c r="U1375">
        <v>8.0413819999999997E-2</v>
      </c>
      <c r="V1375">
        <v>7.4430490000000002E-2</v>
      </c>
      <c r="W1375">
        <v>3.5691140000000003E-2</v>
      </c>
      <c r="X1375">
        <v>0.99658729999999995</v>
      </c>
      <c r="Y1375">
        <v>9.2778440000000004E-2</v>
      </c>
      <c r="Z1375">
        <v>1.6222569999999999E-2</v>
      </c>
      <c r="AA1375">
        <v>0.99555459999999996</v>
      </c>
      <c r="AB1375">
        <v>15</v>
      </c>
      <c r="AC1375">
        <v>-0.65270000000000905</v>
      </c>
      <c r="AD1375">
        <v>-0.11446530000000001</v>
      </c>
      <c r="AE1375">
        <v>3.1600000000025802E-2</v>
      </c>
      <c r="AF1375">
        <v>7.3519230729825205E-2</v>
      </c>
      <c r="AG1375">
        <v>-0.11446530000000001</v>
      </c>
      <c r="AH1375">
        <v>0.62973384592213</v>
      </c>
      <c r="AI1375">
        <v>100.234025049438</v>
      </c>
      <c r="AJ1375">
        <v>83.341061561297707</v>
      </c>
      <c r="AK1375">
        <v>0.64426089349817905</v>
      </c>
      <c r="AL1375">
        <v>87.954613901970603</v>
      </c>
      <c r="AM1375">
        <v>85.728773298606001</v>
      </c>
      <c r="AN1375">
        <v>1.00000000091871</v>
      </c>
    </row>
    <row r="1376" spans="1:40" x14ac:dyDescent="0.25">
      <c r="A1376" t="str">
        <f>"20190312154534335"</f>
        <v>20190312154534335</v>
      </c>
      <c r="B1376" t="str">
        <f>"1552376734327598"</f>
        <v>1552376734327598</v>
      </c>
      <c r="C1376" t="s">
        <v>40</v>
      </c>
      <c r="D1376">
        <v>4.6661130000000002</v>
      </c>
      <c r="E1376">
        <v>0.51038479999999997</v>
      </c>
      <c r="F1376" t="s">
        <v>41</v>
      </c>
      <c r="G1376">
        <v>-220.4675</v>
      </c>
      <c r="H1376">
        <v>0.96520530000000004</v>
      </c>
      <c r="I1376">
        <v>284.02339999999998</v>
      </c>
      <c r="J1376">
        <v>-219.8553</v>
      </c>
      <c r="K1376">
        <v>1.10902099999999</v>
      </c>
      <c r="L1376">
        <v>283.9914</v>
      </c>
      <c r="M1376">
        <v>-0.99764819999999999</v>
      </c>
      <c r="N1376">
        <v>0</v>
      </c>
      <c r="O1376">
        <v>-6.7823809999999998E-2</v>
      </c>
      <c r="P1376">
        <v>-0.99964509999999995</v>
      </c>
      <c r="Q1376">
        <v>2.5779300000000002E-2</v>
      </c>
      <c r="R1376">
        <v>6.7043349999999996E-3</v>
      </c>
      <c r="S1376">
        <v>-3.0140530000000001</v>
      </c>
      <c r="T1376">
        <v>-0.55880509999999906</v>
      </c>
      <c r="U1376">
        <v>8.0444340000000003E-2</v>
      </c>
      <c r="V1376">
        <v>7.4491979999999999E-2</v>
      </c>
      <c r="W1376">
        <v>3.5643479999999998E-2</v>
      </c>
      <c r="X1376">
        <v>0.99658440000000004</v>
      </c>
      <c r="Y1376">
        <v>9.1705170000000003E-2</v>
      </c>
      <c r="Z1376">
        <v>2.0890059999999998E-2</v>
      </c>
      <c r="AA1376">
        <v>0.99556710000000004</v>
      </c>
      <c r="AB1376">
        <v>15</v>
      </c>
      <c r="AC1376">
        <v>-0.61220000000000097</v>
      </c>
      <c r="AD1376">
        <v>-0.14381569999999899</v>
      </c>
      <c r="AE1376">
        <v>3.1999999999982202E-2</v>
      </c>
      <c r="AF1376">
        <v>6.9618600567212405E-2</v>
      </c>
      <c r="AG1376">
        <v>-0.14381569999999899</v>
      </c>
      <c r="AH1376">
        <v>0.57687142315893303</v>
      </c>
      <c r="AI1376">
        <v>103.901728030444</v>
      </c>
      <c r="AJ1376">
        <v>83.118649603858898</v>
      </c>
      <c r="AK1376">
        <v>0.59859029725584401</v>
      </c>
      <c r="AL1376">
        <v>87.957346334170694</v>
      </c>
      <c r="AM1376">
        <v>85.725245349119703</v>
      </c>
      <c r="AN1376">
        <v>0.99999998953709501</v>
      </c>
    </row>
    <row r="1377" spans="1:40" x14ac:dyDescent="0.25">
      <c r="A1377" t="str">
        <f>"20190312154534357"</f>
        <v>20190312154534357</v>
      </c>
      <c r="B1377" t="str">
        <f>"1552376734348095"</f>
        <v>1552376734348095</v>
      </c>
      <c r="C1377" t="s">
        <v>40</v>
      </c>
      <c r="D1377">
        <v>4.6251790000000002</v>
      </c>
      <c r="E1377">
        <v>0.51051190000000002</v>
      </c>
      <c r="F1377" t="s">
        <v>41</v>
      </c>
      <c r="G1377">
        <v>-220.60290000000001</v>
      </c>
      <c r="H1377">
        <v>0.95561419999999997</v>
      </c>
      <c r="I1377">
        <v>284.012</v>
      </c>
      <c r="J1377">
        <v>-220.01329999999999</v>
      </c>
      <c r="K1377">
        <v>1.108968</v>
      </c>
      <c r="L1377">
        <v>283.98050000000001</v>
      </c>
      <c r="M1377">
        <v>-0.99765599999999999</v>
      </c>
      <c r="N1377">
        <v>0</v>
      </c>
      <c r="O1377">
        <v>-6.785853E-2</v>
      </c>
      <c r="P1377">
        <v>-0.99956599999999995</v>
      </c>
      <c r="Q1377">
        <v>2.8818E-2</v>
      </c>
      <c r="R1377">
        <v>6.1207800000000001E-3</v>
      </c>
      <c r="S1377">
        <v>-3.0164490000000002</v>
      </c>
      <c r="T1377">
        <v>-0.61896300000000004</v>
      </c>
      <c r="U1377">
        <v>8.3587649999999999E-2</v>
      </c>
      <c r="V1377">
        <v>7.3938439999999994E-2</v>
      </c>
      <c r="W1377">
        <v>3.7595780000000002E-2</v>
      </c>
      <c r="X1377">
        <v>0.99655389999999999</v>
      </c>
      <c r="Y1377">
        <v>9.2140120000000006E-2</v>
      </c>
      <c r="Z1377">
        <v>2.3128050000000001E-2</v>
      </c>
      <c r="AA1377">
        <v>0.99547739999999996</v>
      </c>
      <c r="AB1377">
        <v>16</v>
      </c>
      <c r="AC1377">
        <v>-0.589600000000018</v>
      </c>
      <c r="AD1377">
        <v>-0.15335379999999901</v>
      </c>
      <c r="AE1377">
        <v>3.1499999999993998E-2</v>
      </c>
      <c r="AF1377">
        <v>6.6923757550072405E-2</v>
      </c>
      <c r="AG1377">
        <v>-0.15335379999999901</v>
      </c>
      <c r="AH1377">
        <v>0.54906419924225702</v>
      </c>
      <c r="AI1377">
        <v>105.49595089640501</v>
      </c>
      <c r="AJ1377">
        <v>83.0506712831599</v>
      </c>
      <c r="AK1377">
        <v>0.57399274576304604</v>
      </c>
      <c r="AL1377">
        <v>87.845412722872098</v>
      </c>
      <c r="AM1377">
        <v>85.756764650263193</v>
      </c>
      <c r="AN1377">
        <v>1.0000000055943199</v>
      </c>
    </row>
    <row r="1378" spans="1:40" x14ac:dyDescent="0.25">
      <c r="A1378" t="str">
        <f>"20190312154534382"</f>
        <v>20190312154534382</v>
      </c>
      <c r="B1378" t="str">
        <f>"1552376734378349"</f>
        <v>1552376734378349</v>
      </c>
      <c r="C1378" t="s">
        <v>40</v>
      </c>
      <c r="D1378">
        <v>4.6633399999999998</v>
      </c>
      <c r="E1378">
        <v>0.51130549999999997</v>
      </c>
      <c r="F1378" t="s">
        <v>41</v>
      </c>
      <c r="G1378">
        <v>-220.7439</v>
      </c>
      <c r="H1378">
        <v>0.95507039999999999</v>
      </c>
      <c r="I1378">
        <v>284.00040000000001</v>
      </c>
      <c r="J1378">
        <v>-220.179</v>
      </c>
      <c r="K1378">
        <v>1.109</v>
      </c>
      <c r="L1378">
        <v>283.9692</v>
      </c>
      <c r="M1378">
        <v>-0.99766010000000005</v>
      </c>
      <c r="N1378">
        <v>0</v>
      </c>
      <c r="O1378">
        <v>-6.7895159999999996E-2</v>
      </c>
      <c r="P1378">
        <v>-0.99950760000000005</v>
      </c>
      <c r="Q1378">
        <v>3.075818E-2</v>
      </c>
      <c r="R1378">
        <v>6.2243109999999997E-3</v>
      </c>
      <c r="S1378">
        <v>-3.0191349999999999</v>
      </c>
      <c r="T1378">
        <v>-0.63598489999999996</v>
      </c>
      <c r="U1378">
        <v>8.1665039999999994E-2</v>
      </c>
      <c r="V1378">
        <v>7.4073810000000004E-2</v>
      </c>
      <c r="W1378">
        <v>3.8785090000000001E-2</v>
      </c>
      <c r="X1378">
        <v>0.99649829999999995</v>
      </c>
      <c r="Y1378">
        <v>9.1356999999999994E-2</v>
      </c>
      <c r="Z1378">
        <v>2.3656E-2</v>
      </c>
      <c r="AA1378">
        <v>0.99553720000000001</v>
      </c>
      <c r="AB1378">
        <v>16</v>
      </c>
      <c r="AC1378">
        <v>-0.56489999999999396</v>
      </c>
      <c r="AD1378">
        <v>-0.1539296</v>
      </c>
      <c r="AE1378">
        <v>3.1200000000012499E-2</v>
      </c>
      <c r="AF1378">
        <v>6.4694225109415304E-2</v>
      </c>
      <c r="AG1378">
        <v>-0.1539296</v>
      </c>
      <c r="AH1378">
        <v>0.52277926092245997</v>
      </c>
      <c r="AI1378">
        <v>106.289191981317</v>
      </c>
      <c r="AJ1378">
        <v>82.945480874879493</v>
      </c>
      <c r="AK1378">
        <v>0.54879670203938102</v>
      </c>
      <c r="AL1378">
        <v>87.777220598388595</v>
      </c>
      <c r="AM1378">
        <v>85.748788070913605</v>
      </c>
      <c r="AN1378">
        <v>1.00000003721855</v>
      </c>
    </row>
    <row r="1379" spans="1:40" x14ac:dyDescent="0.25">
      <c r="A1379" t="str">
        <f>"20190312154534400"</f>
        <v>20190312154534400</v>
      </c>
      <c r="B1379" t="str">
        <f>"1552376734397872"</f>
        <v>1552376734397872</v>
      </c>
      <c r="C1379" t="s">
        <v>40</v>
      </c>
      <c r="D1379">
        <v>4.6357660000000003</v>
      </c>
      <c r="E1379">
        <v>0.51156509999999999</v>
      </c>
      <c r="F1379" t="s">
        <v>41</v>
      </c>
      <c r="G1379">
        <v>-220.887</v>
      </c>
      <c r="H1379">
        <v>0.95695319999999995</v>
      </c>
      <c r="I1379">
        <v>283.9898</v>
      </c>
      <c r="J1379">
        <v>-220.32400000000001</v>
      </c>
      <c r="K1379">
        <v>1.109064</v>
      </c>
      <c r="L1379">
        <v>283.95940000000002</v>
      </c>
      <c r="M1379">
        <v>-0.99766120000000003</v>
      </c>
      <c r="N1379">
        <v>0</v>
      </c>
      <c r="O1379">
        <v>-6.7927589999999996E-2</v>
      </c>
      <c r="P1379">
        <v>-0.99948230000000005</v>
      </c>
      <c r="Q1379">
        <v>3.1454629999999997E-2</v>
      </c>
      <c r="R1379">
        <v>6.8009890000000003E-3</v>
      </c>
      <c r="S1379">
        <v>-3.0209350000000001</v>
      </c>
      <c r="T1379">
        <v>-0.64881040000000001</v>
      </c>
      <c r="U1379">
        <v>8.7432860000000001E-2</v>
      </c>
      <c r="V1379">
        <v>7.4679659999999995E-2</v>
      </c>
      <c r="W1379">
        <v>3.9061449999999998E-2</v>
      </c>
      <c r="X1379">
        <v>0.9964423</v>
      </c>
      <c r="Y1379">
        <v>9.3095620000000004E-2</v>
      </c>
      <c r="Z1379">
        <v>2.429945E-2</v>
      </c>
      <c r="AA1379">
        <v>0.99536060000000004</v>
      </c>
      <c r="AB1379">
        <v>16</v>
      </c>
      <c r="AC1379">
        <v>-0.56299999999998795</v>
      </c>
      <c r="AD1379">
        <v>-0.15211079999999999</v>
      </c>
      <c r="AE1379">
        <v>3.03999999999859E-2</v>
      </c>
      <c r="AF1379">
        <v>6.3921618210495496E-2</v>
      </c>
      <c r="AG1379">
        <v>-0.15211079999999999</v>
      </c>
      <c r="AH1379">
        <v>0.52166532751443195</v>
      </c>
      <c r="AI1379">
        <v>106.14162083579799</v>
      </c>
      <c r="AJ1379">
        <v>83.014156388627896</v>
      </c>
      <c r="AK1379">
        <v>0.54713653020249697</v>
      </c>
      <c r="AL1379">
        <v>87.761374364073603</v>
      </c>
      <c r="AM1379">
        <v>85.713906459591598</v>
      </c>
      <c r="AN1379">
        <v>1.00000005286155</v>
      </c>
    </row>
    <row r="1380" spans="1:40" x14ac:dyDescent="0.25">
      <c r="A1380" t="str">
        <f>"20190312154534424"</f>
        <v>20190312154534424</v>
      </c>
      <c r="B1380" t="str">
        <f>"1552376734418366"</f>
        <v>1552376734418366</v>
      </c>
      <c r="C1380" t="s">
        <v>40</v>
      </c>
      <c r="D1380">
        <v>4.6300919999999897</v>
      </c>
      <c r="E1380">
        <v>0.51183409999999996</v>
      </c>
      <c r="F1380" t="s">
        <v>41</v>
      </c>
      <c r="G1380">
        <v>-221.029</v>
      </c>
      <c r="H1380">
        <v>0.95450040000000003</v>
      </c>
      <c r="I1380">
        <v>283.98050000000001</v>
      </c>
      <c r="J1380">
        <v>-220.48650000000001</v>
      </c>
      <c r="K1380">
        <v>1.109135</v>
      </c>
      <c r="L1380">
        <v>283.94819999999999</v>
      </c>
      <c r="M1380">
        <v>-0.99766140000000003</v>
      </c>
      <c r="N1380">
        <v>0</v>
      </c>
      <c r="O1380">
        <v>-6.7963410000000002E-2</v>
      </c>
      <c r="P1380">
        <v>-0.99945349999999999</v>
      </c>
      <c r="Q1380">
        <v>3.2133830000000002E-2</v>
      </c>
      <c r="R1380">
        <v>7.7591409999999998E-3</v>
      </c>
      <c r="S1380">
        <v>-3.0217900000000002</v>
      </c>
      <c r="T1380">
        <v>-0.66265790000000002</v>
      </c>
      <c r="U1380">
        <v>8.9904789999999998E-2</v>
      </c>
      <c r="V1380">
        <v>7.5669299999999995E-2</v>
      </c>
      <c r="W1380">
        <v>3.9381159999999998E-2</v>
      </c>
      <c r="X1380">
        <v>0.99635499999999999</v>
      </c>
      <c r="Y1380">
        <v>9.3765559999999998E-2</v>
      </c>
      <c r="Z1380">
        <v>2.4879410000000001E-2</v>
      </c>
      <c r="AA1380">
        <v>0.99528340000000004</v>
      </c>
      <c r="AB1380">
        <v>16</v>
      </c>
      <c r="AC1380">
        <v>-0.54250000000001797</v>
      </c>
      <c r="AD1380">
        <v>-0.15463459999999901</v>
      </c>
      <c r="AE1380">
        <v>3.2300000000020597E-2</v>
      </c>
      <c r="AF1380">
        <v>6.3921288470123599E-2</v>
      </c>
      <c r="AG1380">
        <v>-0.15463459999999901</v>
      </c>
      <c r="AH1380">
        <v>0.498676813185432</v>
      </c>
      <c r="AI1380">
        <v>107.096500135019</v>
      </c>
      <c r="AJ1380">
        <v>82.695555810440496</v>
      </c>
      <c r="AK1380">
        <v>0.52600033711549898</v>
      </c>
      <c r="AL1380">
        <v>87.743042111602506</v>
      </c>
      <c r="AM1380">
        <v>85.656944819566903</v>
      </c>
      <c r="AN1380">
        <v>1.00000000237521</v>
      </c>
    </row>
    <row r="1381" spans="1:40" x14ac:dyDescent="0.25">
      <c r="A1381" t="str">
        <f>"20190312154534446"</f>
        <v>20190312154534446</v>
      </c>
      <c r="B1381" t="str">
        <f>"1552376734437886"</f>
        <v>1552376734437886</v>
      </c>
      <c r="C1381" t="s">
        <v>40</v>
      </c>
      <c r="D1381">
        <v>4.6666480000000004</v>
      </c>
      <c r="E1381">
        <v>0.51202550000000002</v>
      </c>
      <c r="F1381" t="s">
        <v>41</v>
      </c>
      <c r="G1381">
        <v>-221.30590000000001</v>
      </c>
      <c r="H1381">
        <v>0.9270505</v>
      </c>
      <c r="I1381">
        <v>283.97390000000001</v>
      </c>
      <c r="J1381">
        <v>-220.65299999999999</v>
      </c>
      <c r="K1381">
        <v>1.1091899999999999</v>
      </c>
      <c r="L1381">
        <v>283.93680000000001</v>
      </c>
      <c r="M1381">
        <v>-0.99766089999999996</v>
      </c>
      <c r="N1381">
        <v>0</v>
      </c>
      <c r="O1381">
        <v>-6.8001640000000002E-2</v>
      </c>
      <c r="P1381">
        <v>-0.99942719999999896</v>
      </c>
      <c r="Q1381">
        <v>3.2828900000000001E-2</v>
      </c>
      <c r="R1381">
        <v>8.2349780000000004E-3</v>
      </c>
      <c r="S1381">
        <v>-3.0225219999999999</v>
      </c>
      <c r="T1381">
        <v>-0.67186049999999997</v>
      </c>
      <c r="U1381">
        <v>9.3627929999999998E-2</v>
      </c>
      <c r="V1381">
        <v>7.6180380000000006E-2</v>
      </c>
      <c r="W1381">
        <v>3.977758E-2</v>
      </c>
      <c r="X1381">
        <v>0.99630030000000003</v>
      </c>
      <c r="Y1381">
        <v>9.4888749999999994E-2</v>
      </c>
      <c r="Z1381">
        <v>2.5342119999999999E-2</v>
      </c>
      <c r="AA1381">
        <v>0.99516530000000003</v>
      </c>
      <c r="AB1381">
        <v>16</v>
      </c>
      <c r="AC1381">
        <v>-0.65290000000001602</v>
      </c>
      <c r="AD1381">
        <v>-0.18213950000000001</v>
      </c>
      <c r="AE1381">
        <v>3.7100000000009403E-2</v>
      </c>
      <c r="AF1381">
        <v>7.55525670686195E-2</v>
      </c>
      <c r="AG1381">
        <v>-0.18213950000000001</v>
      </c>
      <c r="AH1381">
        <v>0.60215429762154304</v>
      </c>
      <c r="AI1381">
        <v>106.705897932128</v>
      </c>
      <c r="AJ1381">
        <v>82.848445418797795</v>
      </c>
      <c r="AK1381">
        <v>0.63361880180042196</v>
      </c>
      <c r="AL1381">
        <v>87.720311094933507</v>
      </c>
      <c r="AM1381">
        <v>85.627485523293302</v>
      </c>
      <c r="AN1381">
        <v>0.99999999697384501</v>
      </c>
    </row>
    <row r="1382" spans="1:40" x14ac:dyDescent="0.25">
      <c r="A1382" t="str">
        <f>"20190312154534471"</f>
        <v>20190312154534471</v>
      </c>
      <c r="B1382" t="str">
        <f>"1552376734458382"</f>
        <v>1552376734458382</v>
      </c>
      <c r="C1382" t="s">
        <v>40</v>
      </c>
      <c r="D1382">
        <v>4.7230460000000001</v>
      </c>
      <c r="E1382">
        <v>0.51222579999999995</v>
      </c>
      <c r="F1382" t="s">
        <v>41</v>
      </c>
      <c r="G1382">
        <v>-221.4537</v>
      </c>
      <c r="H1382">
        <v>0.9309518</v>
      </c>
      <c r="I1382">
        <v>283.9624</v>
      </c>
      <c r="J1382">
        <v>-220.82499999999999</v>
      </c>
      <c r="K1382">
        <v>1.1092329999999999</v>
      </c>
      <c r="L1382">
        <v>283.92509999999999</v>
      </c>
      <c r="M1382">
        <v>-0.99765990000000004</v>
      </c>
      <c r="N1382">
        <v>0</v>
      </c>
      <c r="O1382">
        <v>-6.804077E-2</v>
      </c>
      <c r="P1382">
        <v>-0.99941190000000002</v>
      </c>
      <c r="Q1382">
        <v>3.3307799999999999E-2</v>
      </c>
      <c r="R1382">
        <v>8.1462489999999995E-3</v>
      </c>
      <c r="S1382">
        <v>-3.023056</v>
      </c>
      <c r="T1382">
        <v>-0.67299569999999997</v>
      </c>
      <c r="U1382">
        <v>9.6405030000000003E-2</v>
      </c>
      <c r="V1382">
        <v>7.6129600000000006E-2</v>
      </c>
      <c r="W1382">
        <v>4.00077E-2</v>
      </c>
      <c r="X1382">
        <v>0.99629500000000004</v>
      </c>
      <c r="Y1382">
        <v>9.5800449999999995E-2</v>
      </c>
      <c r="Z1382">
        <v>2.5488110000000001E-2</v>
      </c>
      <c r="AA1382">
        <v>0.99507420000000002</v>
      </c>
      <c r="AB1382">
        <v>16</v>
      </c>
      <c r="AC1382">
        <v>-0.62870000000000903</v>
      </c>
      <c r="AD1382">
        <v>-0.178281199999999</v>
      </c>
      <c r="AE1382">
        <v>3.7300000000016098E-2</v>
      </c>
      <c r="AF1382">
        <v>7.4057485414773597E-2</v>
      </c>
      <c r="AG1382">
        <v>-0.178281199999999</v>
      </c>
      <c r="AH1382">
        <v>0.57836060949388302</v>
      </c>
      <c r="AI1382">
        <v>107.001339882257</v>
      </c>
      <c r="AJ1382">
        <v>82.703140135483395</v>
      </c>
      <c r="AK1382">
        <v>0.60972919565454198</v>
      </c>
      <c r="AL1382">
        <v>87.707115760876107</v>
      </c>
      <c r="AM1382">
        <v>85.6303656887833</v>
      </c>
      <c r="AN1382">
        <v>1.00000002954022</v>
      </c>
    </row>
    <row r="1383" spans="1:40" x14ac:dyDescent="0.25">
      <c r="A1383" t="str">
        <f>"20190312154534492"</f>
        <v>20190312154534492</v>
      </c>
      <c r="B1383" t="str">
        <f>"1552376734487662"</f>
        <v>1552376734487662</v>
      </c>
      <c r="C1383" t="s">
        <v>40</v>
      </c>
      <c r="D1383">
        <v>4.6639210000000002</v>
      </c>
      <c r="E1383">
        <v>0.51425370000000004</v>
      </c>
      <c r="F1383" t="s">
        <v>41</v>
      </c>
      <c r="G1383">
        <v>-221.60300000000001</v>
      </c>
      <c r="H1383">
        <v>0.93598599999999998</v>
      </c>
      <c r="I1383">
        <v>283.95060000000001</v>
      </c>
      <c r="J1383">
        <v>-220.98269999999999</v>
      </c>
      <c r="K1383">
        <v>1.1092630000000001</v>
      </c>
      <c r="L1383">
        <v>283.91430000000003</v>
      </c>
      <c r="M1383">
        <v>-0.99765879999999996</v>
      </c>
      <c r="N1383">
        <v>0</v>
      </c>
      <c r="O1383">
        <v>-6.8076220000000007E-2</v>
      </c>
      <c r="P1383">
        <v>-0.99940260000000003</v>
      </c>
      <c r="Q1383">
        <v>3.3602760000000002E-2</v>
      </c>
      <c r="R1383">
        <v>8.1347769999999993E-3</v>
      </c>
      <c r="S1383">
        <v>-3.0234220000000001</v>
      </c>
      <c r="T1383">
        <v>-0.67326660000000005</v>
      </c>
      <c r="U1383">
        <v>9.7900390000000004E-2</v>
      </c>
      <c r="V1383">
        <v>7.6153170000000006E-2</v>
      </c>
      <c r="W1383">
        <v>4.0123489999999998E-2</v>
      </c>
      <c r="X1383">
        <v>0.99628850000000002</v>
      </c>
      <c r="Y1383">
        <v>9.6308030000000003E-2</v>
      </c>
      <c r="Z1383">
        <v>2.5558560000000001E-2</v>
      </c>
      <c r="AA1383">
        <v>0.9950234</v>
      </c>
      <c r="AB1383">
        <v>16</v>
      </c>
      <c r="AC1383">
        <v>-0.62029999999998597</v>
      </c>
      <c r="AD1383">
        <v>-0.17327699999999899</v>
      </c>
      <c r="AE1383">
        <v>3.6299999999982901E-2</v>
      </c>
      <c r="AF1383">
        <v>7.2784178874218106E-2</v>
      </c>
      <c r="AG1383">
        <v>-0.17327699999999899</v>
      </c>
      <c r="AH1383">
        <v>0.57191386006724398</v>
      </c>
      <c r="AI1383">
        <v>106.72832462930199</v>
      </c>
      <c r="AJ1383">
        <v>82.747284303032998</v>
      </c>
      <c r="AK1383">
        <v>0.60200325477559402</v>
      </c>
      <c r="AL1383">
        <v>87.700476054751803</v>
      </c>
      <c r="AM1383">
        <v>85.6289896695002</v>
      </c>
      <c r="AN1383">
        <v>0.99999998749153896</v>
      </c>
    </row>
    <row r="1384" spans="1:40" x14ac:dyDescent="0.25">
      <c r="A1384" t="str">
        <f>"20190312154534512"</f>
        <v>20190312154534512</v>
      </c>
      <c r="B1384" t="str">
        <f>"1552376734507667"</f>
        <v>1552376734507667</v>
      </c>
      <c r="C1384" t="s">
        <v>40</v>
      </c>
      <c r="D1384">
        <v>4.6797300000000002</v>
      </c>
      <c r="E1384">
        <v>0.51550479999999999</v>
      </c>
      <c r="F1384" t="s">
        <v>41</v>
      </c>
      <c r="G1384">
        <v>-221.751</v>
      </c>
      <c r="H1384">
        <v>0.93554590000000004</v>
      </c>
      <c r="I1384">
        <v>283.94319999999999</v>
      </c>
      <c r="J1384">
        <v>-221.13800000000001</v>
      </c>
      <c r="K1384">
        <v>1.109283</v>
      </c>
      <c r="L1384">
        <v>283.90370000000001</v>
      </c>
      <c r="M1384">
        <v>-0.99765729999999997</v>
      </c>
      <c r="N1384">
        <v>0</v>
      </c>
      <c r="O1384">
        <v>-6.8111080000000004E-2</v>
      </c>
      <c r="P1384">
        <v>-0.99944219999999895</v>
      </c>
      <c r="Q1384">
        <v>3.238477E-2</v>
      </c>
      <c r="R1384">
        <v>8.1699679999999997E-3</v>
      </c>
      <c r="S1384">
        <v>-3.0238489999999998</v>
      </c>
      <c r="T1384">
        <v>-0.68375019999999997</v>
      </c>
      <c r="U1384">
        <v>0.1133728</v>
      </c>
      <c r="V1384">
        <v>7.6225429999999997E-2</v>
      </c>
      <c r="W1384">
        <v>3.876317E-2</v>
      </c>
      <c r="X1384">
        <v>0.99633680000000002</v>
      </c>
      <c r="Y1384">
        <v>0.1011755</v>
      </c>
      <c r="Z1384">
        <v>2.6492680000000001E-2</v>
      </c>
      <c r="AA1384">
        <v>0.99451579999999995</v>
      </c>
      <c r="AB1384">
        <v>17</v>
      </c>
      <c r="AC1384">
        <v>-0.61299999999997101</v>
      </c>
      <c r="AD1384">
        <v>-0.17373709999999901</v>
      </c>
      <c r="AE1384">
        <v>3.9499999999975402E-2</v>
      </c>
      <c r="AF1384">
        <v>7.51495938280142E-2</v>
      </c>
      <c r="AG1384">
        <v>-0.17373709999999901</v>
      </c>
      <c r="AH1384">
        <v>0.56378572795709303</v>
      </c>
      <c r="AI1384">
        <v>106.985810735358</v>
      </c>
      <c r="AJ1384">
        <v>82.407537061373901</v>
      </c>
      <c r="AK1384">
        <v>0.59471538437897697</v>
      </c>
      <c r="AL1384">
        <v>87.778477293765604</v>
      </c>
      <c r="AM1384">
        <v>85.625069487069297</v>
      </c>
      <c r="AN1384">
        <v>0.99999995928068597</v>
      </c>
    </row>
    <row r="1385" spans="1:40" x14ac:dyDescent="0.25">
      <c r="A1385" t="str">
        <f>"20190312154534534"</f>
        <v>20190312154534534</v>
      </c>
      <c r="B1385" t="str">
        <f>"1552376734528162"</f>
        <v>1552376734528162</v>
      </c>
      <c r="C1385" t="s">
        <v>40</v>
      </c>
      <c r="D1385">
        <v>4.6850589999999999</v>
      </c>
      <c r="E1385">
        <v>0.51647069999999995</v>
      </c>
      <c r="F1385" t="s">
        <v>41</v>
      </c>
      <c r="G1385">
        <v>-221.89959999999999</v>
      </c>
      <c r="H1385">
        <v>0.934415</v>
      </c>
      <c r="I1385">
        <v>283.9348</v>
      </c>
      <c r="J1385">
        <v>-221.3047</v>
      </c>
      <c r="K1385">
        <v>1.109283</v>
      </c>
      <c r="L1385">
        <v>283.89229999999998</v>
      </c>
      <c r="M1385">
        <v>-0.99765559999999998</v>
      </c>
      <c r="N1385">
        <v>0</v>
      </c>
      <c r="O1385">
        <v>-6.8148230000000004E-2</v>
      </c>
      <c r="P1385">
        <v>-0.99944889999999997</v>
      </c>
      <c r="Q1385">
        <v>3.1985899999999998E-2</v>
      </c>
      <c r="R1385">
        <v>8.8750519999999996E-3</v>
      </c>
      <c r="S1385">
        <v>-3.0231780000000001</v>
      </c>
      <c r="T1385">
        <v>-0.69419409999999904</v>
      </c>
      <c r="U1385">
        <v>0.1230164</v>
      </c>
      <c r="V1385">
        <v>7.6966380000000001E-2</v>
      </c>
      <c r="W1385">
        <v>3.8229989999999998E-2</v>
      </c>
      <c r="X1385">
        <v>0.99630050000000003</v>
      </c>
      <c r="Y1385">
        <v>0.1041776</v>
      </c>
      <c r="Z1385">
        <v>2.724029E-2</v>
      </c>
      <c r="AA1385">
        <v>0.9941856</v>
      </c>
      <c r="AB1385">
        <v>17</v>
      </c>
      <c r="AC1385">
        <v>-0.59489999999999499</v>
      </c>
      <c r="AD1385">
        <v>-0.174868</v>
      </c>
      <c r="AE1385">
        <v>4.25000000000181E-2</v>
      </c>
      <c r="AF1385">
        <v>7.6377567168836702E-2</v>
      </c>
      <c r="AG1385">
        <v>-0.174868</v>
      </c>
      <c r="AH1385">
        <v>0.54386702168078405</v>
      </c>
      <c r="AI1385">
        <v>107.66161666108</v>
      </c>
      <c r="AJ1385">
        <v>82.005987636328797</v>
      </c>
      <c r="AK1385">
        <v>0.57637113690968</v>
      </c>
      <c r="AL1385">
        <v>87.809049056251496</v>
      </c>
      <c r="AM1385">
        <v>85.582550136867397</v>
      </c>
      <c r="AN1385">
        <v>1.00000002104297</v>
      </c>
    </row>
    <row r="1386" spans="1:40" x14ac:dyDescent="0.25">
      <c r="A1386" t="str">
        <f>"20190312154534559"</f>
        <v>20190312154534559</v>
      </c>
      <c r="B1386" t="str">
        <f>"1552376734547683"</f>
        <v>1552376734547683</v>
      </c>
      <c r="C1386" t="s">
        <v>40</v>
      </c>
      <c r="D1386">
        <v>4.7202520000000003</v>
      </c>
      <c r="E1386">
        <v>0.51714280000000001</v>
      </c>
      <c r="F1386" t="s">
        <v>41</v>
      </c>
      <c r="G1386">
        <v>-222.0504</v>
      </c>
      <c r="H1386">
        <v>0.93623970000000001</v>
      </c>
      <c r="I1386">
        <v>283.92489999999998</v>
      </c>
      <c r="J1386">
        <v>-221.4855</v>
      </c>
      <c r="K1386">
        <v>1.109278</v>
      </c>
      <c r="L1386">
        <v>283.87990000000002</v>
      </c>
      <c r="M1386">
        <v>-0.99765380000000004</v>
      </c>
      <c r="N1386">
        <v>0</v>
      </c>
      <c r="O1386">
        <v>-6.8188139999999994E-2</v>
      </c>
      <c r="P1386">
        <v>-0.99946140000000006</v>
      </c>
      <c r="Q1386">
        <v>3.145556E-2</v>
      </c>
      <c r="R1386">
        <v>9.3785199999999996E-3</v>
      </c>
      <c r="S1386">
        <v>-3.0229490000000001</v>
      </c>
      <c r="T1386">
        <v>-0.70142360000000004</v>
      </c>
      <c r="U1386">
        <v>0.13220209999999999</v>
      </c>
      <c r="V1386">
        <v>7.7509389999999997E-2</v>
      </c>
      <c r="W1386">
        <v>3.7564800000000002E-2</v>
      </c>
      <c r="X1386">
        <v>0.99628369999999999</v>
      </c>
      <c r="Y1386">
        <v>0.1070651</v>
      </c>
      <c r="Z1386">
        <v>2.7856990000000002E-2</v>
      </c>
      <c r="AA1386">
        <v>0.99386169999999996</v>
      </c>
      <c r="AB1386">
        <v>17</v>
      </c>
      <c r="AC1386">
        <v>-0.56489999999999396</v>
      </c>
      <c r="AD1386">
        <v>-0.17303830000000001</v>
      </c>
      <c r="AE1386">
        <v>4.4999999999959003E-2</v>
      </c>
      <c r="AF1386">
        <v>7.6301259824410606E-2</v>
      </c>
      <c r="AG1386">
        <v>-0.17303830000000001</v>
      </c>
      <c r="AH1386">
        <v>0.51271222055243004</v>
      </c>
      <c r="AI1386">
        <v>108.46002192969701</v>
      </c>
      <c r="AJ1386">
        <v>81.535429727229698</v>
      </c>
      <c r="AK1386">
        <v>0.54647777321816704</v>
      </c>
      <c r="AL1386">
        <v>87.847189021782995</v>
      </c>
      <c r="AM1386">
        <v>85.551434276853101</v>
      </c>
      <c r="AN1386">
        <v>1.0000000153114501</v>
      </c>
    </row>
    <row r="1387" spans="1:40" x14ac:dyDescent="0.25">
      <c r="A1387" t="str">
        <f>"20190312154534581"</f>
        <v>20190312154534581</v>
      </c>
      <c r="B1387" t="str">
        <f>"1552376734577939"</f>
        <v>1552376734577939</v>
      </c>
      <c r="C1387" t="s">
        <v>40</v>
      </c>
      <c r="D1387">
        <v>4.6658480000000004</v>
      </c>
      <c r="E1387">
        <v>0.51802649999999995</v>
      </c>
      <c r="F1387" t="s">
        <v>41</v>
      </c>
      <c r="G1387">
        <v>-222.20330000000001</v>
      </c>
      <c r="H1387">
        <v>0.94063209999999997</v>
      </c>
      <c r="I1387">
        <v>283.91309999999999</v>
      </c>
      <c r="J1387">
        <v>-221.65969999999999</v>
      </c>
      <c r="K1387">
        <v>1.1092679999999999</v>
      </c>
      <c r="L1387">
        <v>283.86790000000002</v>
      </c>
      <c r="M1387">
        <v>-0.99765179999999998</v>
      </c>
      <c r="N1387">
        <v>0</v>
      </c>
      <c r="O1387">
        <v>-6.8226430000000005E-2</v>
      </c>
      <c r="P1387">
        <v>-0.99944109999999997</v>
      </c>
      <c r="Q1387">
        <v>3.1953130000000003E-2</v>
      </c>
      <c r="R1387">
        <v>9.8381030000000008E-3</v>
      </c>
      <c r="S1387">
        <v>-3.0226440000000001</v>
      </c>
      <c r="T1387">
        <v>-0.71024580000000004</v>
      </c>
      <c r="U1387">
        <v>0.13925170000000001</v>
      </c>
      <c r="V1387">
        <v>7.8004729999999994E-2</v>
      </c>
      <c r="W1387">
        <v>3.7947429999999997E-2</v>
      </c>
      <c r="X1387">
        <v>0.99623050000000002</v>
      </c>
      <c r="Y1387">
        <v>0.1092437</v>
      </c>
      <c r="Z1387">
        <v>2.846104E-2</v>
      </c>
      <c r="AA1387">
        <v>0.99360749999999998</v>
      </c>
      <c r="AB1387">
        <v>17</v>
      </c>
      <c r="AC1387">
        <v>-0.54360000000002595</v>
      </c>
      <c r="AD1387">
        <v>-0.16863589999999901</v>
      </c>
      <c r="AE1387">
        <v>4.5199999999965698E-2</v>
      </c>
      <c r="AF1387">
        <v>7.5013718183289696E-2</v>
      </c>
      <c r="AG1387">
        <v>-0.16863589999999901</v>
      </c>
      <c r="AH1387">
        <v>0.492206290485037</v>
      </c>
      <c r="AI1387">
        <v>108.71131066876001</v>
      </c>
      <c r="AJ1387">
        <v>81.334629672770703</v>
      </c>
      <c r="AK1387">
        <v>0.52567305150400501</v>
      </c>
      <c r="AL1387">
        <v>87.825250212360004</v>
      </c>
      <c r="AM1387">
        <v>85.522881893660298</v>
      </c>
      <c r="AN1387">
        <v>0.99999997723811296</v>
      </c>
    </row>
    <row r="1388" spans="1:40" x14ac:dyDescent="0.25">
      <c r="A1388" t="str">
        <f>"20190312154534603"</f>
        <v>20190312154534603</v>
      </c>
      <c r="B1388" t="str">
        <f>"1552376734597460"</f>
        <v>1552376734597460</v>
      </c>
      <c r="C1388" t="s">
        <v>40</v>
      </c>
      <c r="D1388">
        <v>4.6685549999999996</v>
      </c>
      <c r="E1388">
        <v>0.51865620000000001</v>
      </c>
      <c r="F1388" t="s">
        <v>41</v>
      </c>
      <c r="G1388">
        <v>-222.35669999999999</v>
      </c>
      <c r="H1388">
        <v>0.94399069999999996</v>
      </c>
      <c r="I1388">
        <v>283.90179999999998</v>
      </c>
      <c r="J1388">
        <v>-221.82</v>
      </c>
      <c r="K1388">
        <v>1.1092599999999999</v>
      </c>
      <c r="L1388">
        <v>283.8569</v>
      </c>
      <c r="M1388">
        <v>-0.99764980000000003</v>
      </c>
      <c r="N1388">
        <v>0</v>
      </c>
      <c r="O1388">
        <v>-6.8261470000000005E-2</v>
      </c>
      <c r="P1388">
        <v>-0.99943499999999996</v>
      </c>
      <c r="Q1388">
        <v>3.2034310000000003E-2</v>
      </c>
      <c r="R1388">
        <v>1.017294E-2</v>
      </c>
      <c r="S1388">
        <v>-3.0231479999999999</v>
      </c>
      <c r="T1388">
        <v>-0.716862</v>
      </c>
      <c r="U1388">
        <v>0.14694209999999999</v>
      </c>
      <c r="V1388">
        <v>7.8373070000000003E-2</v>
      </c>
      <c r="W1388">
        <v>3.7937419999999999E-2</v>
      </c>
      <c r="X1388">
        <v>0.99620200000000003</v>
      </c>
      <c r="Y1388">
        <v>0.1116384</v>
      </c>
      <c r="Z1388">
        <v>2.9001119999999998E-2</v>
      </c>
      <c r="AA1388">
        <v>0.99332569999999998</v>
      </c>
      <c r="AB1388">
        <v>17</v>
      </c>
      <c r="AC1388">
        <v>-0.53669999999999596</v>
      </c>
      <c r="AD1388">
        <v>-0.16526930000000001</v>
      </c>
      <c r="AE1388">
        <v>4.4899999999984098E-2</v>
      </c>
      <c r="AF1388">
        <v>7.4423691950398205E-2</v>
      </c>
      <c r="AG1388">
        <v>-0.16526930000000001</v>
      </c>
      <c r="AH1388">
        <v>0.48656537890381701</v>
      </c>
      <c r="AI1388">
        <v>108.559999069488</v>
      </c>
      <c r="AJ1388">
        <v>81.303598419939206</v>
      </c>
      <c r="AK1388">
        <v>0.51922894313956802</v>
      </c>
      <c r="AL1388">
        <v>87.825824217602303</v>
      </c>
      <c r="AM1388">
        <v>85.501699246780902</v>
      </c>
      <c r="AN1388">
        <v>1.0000000053707401</v>
      </c>
    </row>
    <row r="1389" spans="1:40" x14ac:dyDescent="0.25">
      <c r="A1389" t="str">
        <f>"20190312154534626"</f>
        <v>20190312154534626</v>
      </c>
      <c r="B1389" t="str">
        <f>"1552376734617955"</f>
        <v>1552376734617955</v>
      </c>
      <c r="C1389" t="s">
        <v>40</v>
      </c>
      <c r="D1389">
        <v>4.7084219999999997</v>
      </c>
      <c r="E1389">
        <v>0.51891529999999997</v>
      </c>
      <c r="F1389" t="s">
        <v>41</v>
      </c>
      <c r="G1389">
        <v>-222.51009999999999</v>
      </c>
      <c r="H1389">
        <v>0.94507030000000003</v>
      </c>
      <c r="I1389">
        <v>283.89179999999999</v>
      </c>
      <c r="J1389">
        <v>-221.9973</v>
      </c>
      <c r="K1389">
        <v>1.1092420000000001</v>
      </c>
      <c r="L1389">
        <v>283.84480000000002</v>
      </c>
      <c r="M1389">
        <v>-0.99764790000000003</v>
      </c>
      <c r="N1389">
        <v>0</v>
      </c>
      <c r="O1389">
        <v>-6.8300429999999995E-2</v>
      </c>
      <c r="P1389">
        <v>-0.99942350000000002</v>
      </c>
      <c r="Q1389">
        <v>3.2326760000000003E-2</v>
      </c>
      <c r="R1389">
        <v>1.0382000000000001E-2</v>
      </c>
      <c r="S1389">
        <v>-3.023193</v>
      </c>
      <c r="T1389">
        <v>-0.71931420000000001</v>
      </c>
      <c r="U1389">
        <v>0.15267939999999999</v>
      </c>
      <c r="V1389">
        <v>7.8619599999999998E-2</v>
      </c>
      <c r="W1389">
        <v>3.8137070000000002E-2</v>
      </c>
      <c r="X1389">
        <v>0.99617489999999997</v>
      </c>
      <c r="Y1389">
        <v>0.1134715</v>
      </c>
      <c r="Z1389">
        <v>2.9320229999999999E-2</v>
      </c>
      <c r="AA1389">
        <v>0.99310849999999995</v>
      </c>
      <c r="AB1389">
        <v>17</v>
      </c>
      <c r="AC1389">
        <v>-0.51279999999999804</v>
      </c>
      <c r="AD1389">
        <v>-0.164171699999999</v>
      </c>
      <c r="AE1389">
        <v>4.6999999999968602E-2</v>
      </c>
      <c r="AF1389">
        <v>7.43575419315054E-2</v>
      </c>
      <c r="AG1389">
        <v>-0.164171699999999</v>
      </c>
      <c r="AH1389">
        <v>0.46148649430930599</v>
      </c>
      <c r="AI1389">
        <v>109.352068143105</v>
      </c>
      <c r="AJ1389">
        <v>80.846821108912394</v>
      </c>
      <c r="AK1389">
        <v>0.49543029333386501</v>
      </c>
      <c r="AL1389">
        <v>87.814376719809104</v>
      </c>
      <c r="AM1389">
        <v>85.487485508656107</v>
      </c>
      <c r="AN1389">
        <v>0.99999995450117596</v>
      </c>
    </row>
    <row r="1390" spans="1:40" x14ac:dyDescent="0.25">
      <c r="A1390" t="str">
        <f>"20190312154534646"</f>
        <v>20190312154534646</v>
      </c>
      <c r="B1390" t="str">
        <f>"1552376734637475"</f>
        <v>1552376734637475</v>
      </c>
      <c r="C1390" t="s">
        <v>40</v>
      </c>
      <c r="D1390">
        <v>4.6831860000000001</v>
      </c>
      <c r="E1390">
        <v>0.51935019999999998</v>
      </c>
      <c r="F1390" t="s">
        <v>41</v>
      </c>
      <c r="G1390">
        <v>-222.80699999999999</v>
      </c>
      <c r="H1390">
        <v>0.91648940000000001</v>
      </c>
      <c r="I1390">
        <v>283.88630000000001</v>
      </c>
      <c r="J1390">
        <v>-222.15190000000001</v>
      </c>
      <c r="K1390">
        <v>1.109218</v>
      </c>
      <c r="L1390">
        <v>283.83409999999998</v>
      </c>
      <c r="M1390">
        <v>-0.99764600000000003</v>
      </c>
      <c r="N1390">
        <v>0</v>
      </c>
      <c r="O1390">
        <v>-6.8334290000000006E-2</v>
      </c>
      <c r="P1390">
        <v>-0.99943289999999996</v>
      </c>
      <c r="Q1390">
        <v>3.2125969999999997E-2</v>
      </c>
      <c r="R1390">
        <v>1.009934E-2</v>
      </c>
      <c r="S1390">
        <v>-3.0234220000000001</v>
      </c>
      <c r="T1390">
        <v>-0.71975</v>
      </c>
      <c r="U1390">
        <v>0.1548157</v>
      </c>
      <c r="V1390">
        <v>7.8372120000000003E-2</v>
      </c>
      <c r="W1390">
        <v>3.7847359999999997E-2</v>
      </c>
      <c r="X1390">
        <v>0.99620549999999997</v>
      </c>
      <c r="Y1390">
        <v>0.1141755</v>
      </c>
      <c r="Z1390">
        <v>2.9425469999999999E-2</v>
      </c>
      <c r="AA1390">
        <v>0.99302469999999998</v>
      </c>
      <c r="AB1390">
        <v>17</v>
      </c>
      <c r="AC1390">
        <v>-0.65510000000000401</v>
      </c>
      <c r="AD1390">
        <v>-0.1927286</v>
      </c>
      <c r="AE1390">
        <v>5.2200000000027502E-2</v>
      </c>
      <c r="AF1390">
        <v>8.9174933943415302E-2</v>
      </c>
      <c r="AG1390">
        <v>-0.1927286</v>
      </c>
      <c r="AH1390">
        <v>0.59852484705278797</v>
      </c>
      <c r="AI1390">
        <v>107.66617943908599</v>
      </c>
      <c r="AJ1390">
        <v>81.525770955615897</v>
      </c>
      <c r="AK1390">
        <v>0.63508147086916</v>
      </c>
      <c r="AL1390">
        <v>87.830987983249599</v>
      </c>
      <c r="AM1390">
        <v>85.501769288171204</v>
      </c>
      <c r="AN1390">
        <v>1.0000000050412501</v>
      </c>
    </row>
    <row r="1391" spans="1:40" x14ac:dyDescent="0.25">
      <c r="A1391" t="str">
        <f>"20190312154534668"</f>
        <v>20190312154534668</v>
      </c>
      <c r="B1391" t="str">
        <f>"1552376734657971"</f>
        <v>1552376734657971</v>
      </c>
      <c r="C1391" t="s">
        <v>40</v>
      </c>
      <c r="D1391">
        <v>4.6893779999999996</v>
      </c>
      <c r="E1391">
        <v>0.51975070000000001</v>
      </c>
      <c r="F1391" t="s">
        <v>41</v>
      </c>
      <c r="G1391">
        <v>-222.96260000000001</v>
      </c>
      <c r="H1391">
        <v>0.91544579999999998</v>
      </c>
      <c r="I1391">
        <v>283.87639999999999</v>
      </c>
      <c r="J1391">
        <v>-222.33160000000001</v>
      </c>
      <c r="K1391">
        <v>1.109192</v>
      </c>
      <c r="L1391">
        <v>283.8218</v>
      </c>
      <c r="M1391">
        <v>-0.99764410000000003</v>
      </c>
      <c r="N1391">
        <v>0</v>
      </c>
      <c r="O1391">
        <v>-6.8373899999999904E-2</v>
      </c>
      <c r="P1391">
        <v>-0.99943890000000002</v>
      </c>
      <c r="Q1391">
        <v>3.1962310000000001E-2</v>
      </c>
      <c r="R1391">
        <v>1.0029939999999999E-2</v>
      </c>
      <c r="S1391">
        <v>-3.0233460000000001</v>
      </c>
      <c r="T1391">
        <v>-0.72272930000000002</v>
      </c>
      <c r="U1391">
        <v>0.15762329999999999</v>
      </c>
      <c r="V1391">
        <v>7.834294E-2</v>
      </c>
      <c r="W1391">
        <v>3.756433E-2</v>
      </c>
      <c r="X1391">
        <v>0.99621850000000001</v>
      </c>
      <c r="Y1391">
        <v>0.1150679</v>
      </c>
      <c r="Z1391">
        <v>2.9658540000000001E-2</v>
      </c>
      <c r="AA1391">
        <v>0.99291479999999999</v>
      </c>
      <c r="AB1391">
        <v>17</v>
      </c>
      <c r="AC1391">
        <v>-0.63100000000000001</v>
      </c>
      <c r="AD1391">
        <v>-0.19374619999999901</v>
      </c>
      <c r="AE1391">
        <v>5.4599999999993501E-2</v>
      </c>
      <c r="AF1391">
        <v>8.9263805386588804E-2</v>
      </c>
      <c r="AG1391">
        <v>-0.19374619999999901</v>
      </c>
      <c r="AH1391">
        <v>0.57224148040944101</v>
      </c>
      <c r="AI1391">
        <v>108.496564631129</v>
      </c>
      <c r="AJ1391">
        <v>81.133897293977199</v>
      </c>
      <c r="AK1391">
        <v>0.61070936530212405</v>
      </c>
      <c r="AL1391">
        <v>87.847215931325707</v>
      </c>
      <c r="AM1391">
        <v>85.503495664592904</v>
      </c>
      <c r="AN1391">
        <v>0.99999999743922097</v>
      </c>
    </row>
    <row r="1392" spans="1:40" x14ac:dyDescent="0.25">
      <c r="A1392" t="str">
        <f>"20190312154534691"</f>
        <v>20190312154534691</v>
      </c>
      <c r="B1392" t="str">
        <f>"1552376734677491"</f>
        <v>1552376734677491</v>
      </c>
      <c r="C1392" t="s">
        <v>40</v>
      </c>
      <c r="D1392">
        <v>4.6954779999999996</v>
      </c>
      <c r="E1392">
        <v>0.52022400000000002</v>
      </c>
      <c r="F1392" t="s">
        <v>41</v>
      </c>
      <c r="G1392">
        <v>-223.1215</v>
      </c>
      <c r="H1392">
        <v>0.91968419999999895</v>
      </c>
      <c r="I1392">
        <v>283.86399999999998</v>
      </c>
      <c r="J1392">
        <v>-222.5042</v>
      </c>
      <c r="K1392">
        <v>1.1091580000000001</v>
      </c>
      <c r="L1392">
        <v>283.80990000000003</v>
      </c>
      <c r="M1392">
        <v>-0.99764219999999904</v>
      </c>
      <c r="N1392">
        <v>0</v>
      </c>
      <c r="O1392">
        <v>-6.8411810000000003E-2</v>
      </c>
      <c r="P1392">
        <v>-0.99944200000000005</v>
      </c>
      <c r="Q1392">
        <v>3.2022330000000002E-2</v>
      </c>
      <c r="R1392">
        <v>9.5189799999999998E-3</v>
      </c>
      <c r="S1392">
        <v>-3.0232700000000001</v>
      </c>
      <c r="T1392">
        <v>-0.72539779999999998</v>
      </c>
      <c r="U1392">
        <v>0.16101070000000001</v>
      </c>
      <c r="V1392">
        <v>7.7871339999999997E-2</v>
      </c>
      <c r="W1392">
        <v>3.7484749999999997E-2</v>
      </c>
      <c r="X1392">
        <v>0.99625850000000005</v>
      </c>
      <c r="Y1392">
        <v>0.116147</v>
      </c>
      <c r="Z1392">
        <v>2.9901569999999999E-2</v>
      </c>
      <c r="AA1392">
        <v>0.99278180000000005</v>
      </c>
      <c r="AB1392">
        <v>17</v>
      </c>
      <c r="AC1392">
        <v>-0.61729999999999996</v>
      </c>
      <c r="AD1392">
        <v>-0.1894738</v>
      </c>
      <c r="AE1392">
        <v>5.4100000000005297E-2</v>
      </c>
      <c r="AF1392">
        <v>8.7978998721658194E-2</v>
      </c>
      <c r="AG1392">
        <v>-0.1894738</v>
      </c>
      <c r="AH1392">
        <v>0.55981349904569699</v>
      </c>
      <c r="AI1392">
        <v>108.487612866527</v>
      </c>
      <c r="AJ1392">
        <v>81.068580284152702</v>
      </c>
      <c r="AK1392">
        <v>0.59752136264429201</v>
      </c>
      <c r="AL1392">
        <v>87.8517788032308</v>
      </c>
      <c r="AM1392">
        <v>85.530631935042194</v>
      </c>
      <c r="AN1392">
        <v>1.0000000254490999</v>
      </c>
    </row>
    <row r="1393" spans="1:40" x14ac:dyDescent="0.25">
      <c r="A1393" t="str">
        <f>"20190312154534713"</f>
        <v>20190312154534713</v>
      </c>
      <c r="B1393" t="str">
        <f>"1552376734707747"</f>
        <v>1552376734707747</v>
      </c>
      <c r="C1393" t="s">
        <v>40</v>
      </c>
      <c r="D1393">
        <v>4.6590959999999999</v>
      </c>
      <c r="E1393">
        <v>0.52106490000000005</v>
      </c>
      <c r="F1393" t="s">
        <v>41</v>
      </c>
      <c r="G1393">
        <v>-223.2809</v>
      </c>
      <c r="H1393">
        <v>0.92232360000000002</v>
      </c>
      <c r="I1393">
        <v>283.85199999999998</v>
      </c>
      <c r="J1393">
        <v>-222.6858</v>
      </c>
      <c r="K1393">
        <v>1.1091139999999999</v>
      </c>
      <c r="L1393">
        <v>283.79739999999998</v>
      </c>
      <c r="M1393">
        <v>-0.99764039999999998</v>
      </c>
      <c r="N1393">
        <v>0</v>
      </c>
      <c r="O1393">
        <v>-6.8451999999999999E-2</v>
      </c>
      <c r="P1393">
        <v>-0.99941029999999997</v>
      </c>
      <c r="Q1393">
        <v>3.3151140000000003E-2</v>
      </c>
      <c r="R1393">
        <v>8.9441490000000002E-3</v>
      </c>
      <c r="S1393">
        <v>-3.0234220000000001</v>
      </c>
      <c r="T1393">
        <v>-0.72731919999999906</v>
      </c>
      <c r="U1393">
        <v>0.16345209999999999</v>
      </c>
      <c r="V1393">
        <v>7.7335479999999998E-2</v>
      </c>
      <c r="W1393">
        <v>3.8429629999999999E-2</v>
      </c>
      <c r="X1393">
        <v>0.99626420000000004</v>
      </c>
      <c r="Y1393">
        <v>0.1169335</v>
      </c>
      <c r="Z1393">
        <v>3.0079310000000001E-2</v>
      </c>
      <c r="AA1393">
        <v>0.99268409999999996</v>
      </c>
      <c r="AB1393">
        <v>18</v>
      </c>
      <c r="AC1393">
        <v>-0.59510000000000196</v>
      </c>
      <c r="AD1393">
        <v>-0.1867904</v>
      </c>
      <c r="AE1393">
        <v>5.4600000000050303E-2</v>
      </c>
      <c r="AF1393">
        <v>8.6734442354527E-2</v>
      </c>
      <c r="AG1393">
        <v>-0.1867904</v>
      </c>
      <c r="AH1393">
        <v>0.53745767073681305</v>
      </c>
      <c r="AI1393">
        <v>108.937367551538</v>
      </c>
      <c r="AJ1393">
        <v>80.832694677673601</v>
      </c>
      <c r="AK1393">
        <v>0.57556430123536195</v>
      </c>
      <c r="AL1393">
        <v>87.797602034806502</v>
      </c>
      <c r="AM1393">
        <v>85.561289187070997</v>
      </c>
      <c r="AN1393">
        <v>0.999999984565203</v>
      </c>
    </row>
    <row r="1394" spans="1:40" x14ac:dyDescent="0.25">
      <c r="A1394" t="str">
        <f>"20190312154534736"</f>
        <v>20190312154534736</v>
      </c>
      <c r="B1394" t="str">
        <f>"1552376734728243"</f>
        <v>1552376734728243</v>
      </c>
      <c r="C1394" t="s">
        <v>40</v>
      </c>
      <c r="D1394">
        <v>4.6706640000000004</v>
      </c>
      <c r="E1394">
        <v>0.52154089999999997</v>
      </c>
      <c r="F1394" t="s">
        <v>41</v>
      </c>
      <c r="G1394">
        <v>-223.4425</v>
      </c>
      <c r="H1394">
        <v>0.92689319999999997</v>
      </c>
      <c r="I1394">
        <v>283.83960000000002</v>
      </c>
      <c r="J1394">
        <v>-222.86259999999999</v>
      </c>
      <c r="K1394">
        <v>1.1090549999999999</v>
      </c>
      <c r="L1394">
        <v>283.78519999999997</v>
      </c>
      <c r="M1394">
        <v>-0.9976389</v>
      </c>
      <c r="N1394">
        <v>0</v>
      </c>
      <c r="O1394">
        <v>-6.8490789999999996E-2</v>
      </c>
      <c r="P1394">
        <v>-0.99938590000000005</v>
      </c>
      <c r="Q1394">
        <v>3.398909E-2</v>
      </c>
      <c r="R1394">
        <v>8.5290929999999997E-3</v>
      </c>
      <c r="S1394">
        <v>-3.024429</v>
      </c>
      <c r="T1394">
        <v>-0.72840930000000004</v>
      </c>
      <c r="U1394">
        <v>0.1682739</v>
      </c>
      <c r="V1394">
        <v>7.6958579999999999E-2</v>
      </c>
      <c r="W1394">
        <v>3.904096E-2</v>
      </c>
      <c r="X1394">
        <v>0.99626959999999998</v>
      </c>
      <c r="Y1394">
        <v>0.1184751</v>
      </c>
      <c r="Z1394">
        <v>3.0304419999999999E-2</v>
      </c>
      <c r="AA1394">
        <v>0.99249449999999995</v>
      </c>
      <c r="AB1394">
        <v>18</v>
      </c>
      <c r="AC1394">
        <v>-0.57990000000000896</v>
      </c>
      <c r="AD1394">
        <v>-0.18216180000000001</v>
      </c>
      <c r="AE1394">
        <v>5.4400000000043698E-2</v>
      </c>
      <c r="AF1394">
        <v>8.5616076221350895E-2</v>
      </c>
      <c r="AG1394">
        <v>-0.18216180000000001</v>
      </c>
      <c r="AH1394">
        <v>0.52359689747354998</v>
      </c>
      <c r="AI1394">
        <v>108.949647007075</v>
      </c>
      <c r="AJ1394">
        <v>80.713450010112595</v>
      </c>
      <c r="AK1394">
        <v>0.56095164223906802</v>
      </c>
      <c r="AL1394">
        <v>87.762549060169704</v>
      </c>
      <c r="AM1394">
        <v>85.582859588261499</v>
      </c>
      <c r="AN1394">
        <v>0.999999967738748</v>
      </c>
    </row>
    <row r="1395" spans="1:40" x14ac:dyDescent="0.25">
      <c r="A1395" t="str">
        <f>"20190312154534760"</f>
        <v>20190312154534760</v>
      </c>
      <c r="B1395" t="str">
        <f>"1552376734748739"</f>
        <v>1552376734748739</v>
      </c>
      <c r="C1395" t="s">
        <v>40</v>
      </c>
      <c r="D1395">
        <v>4.6592630000000002</v>
      </c>
      <c r="E1395">
        <v>0.52190509999999901</v>
      </c>
      <c r="F1395" t="s">
        <v>41</v>
      </c>
      <c r="G1395">
        <v>-223.60489999999999</v>
      </c>
      <c r="H1395">
        <v>0.93021770000000004</v>
      </c>
      <c r="I1395">
        <v>283.82690000000002</v>
      </c>
      <c r="J1395">
        <v>-223.06379999999999</v>
      </c>
      <c r="K1395">
        <v>1.108978</v>
      </c>
      <c r="L1395">
        <v>283.7713</v>
      </c>
      <c r="M1395">
        <v>-0.99763749999999995</v>
      </c>
      <c r="N1395">
        <v>0</v>
      </c>
      <c r="O1395">
        <v>-6.8535579999999999E-2</v>
      </c>
      <c r="P1395">
        <v>-0.99938550000000004</v>
      </c>
      <c r="Q1395">
        <v>3.4105759999999999E-2</v>
      </c>
      <c r="R1395">
        <v>8.0954210000000002E-3</v>
      </c>
      <c r="S1395">
        <v>-3.0251920000000001</v>
      </c>
      <c r="T1395">
        <v>-0.72872409999999999</v>
      </c>
      <c r="U1395">
        <v>0.17025760000000001</v>
      </c>
      <c r="V1395">
        <v>7.6570289999999999E-2</v>
      </c>
      <c r="W1395">
        <v>3.8832270000000002E-2</v>
      </c>
      <c r="X1395">
        <v>0.99630770000000002</v>
      </c>
      <c r="Y1395">
        <v>0.11913269999999999</v>
      </c>
      <c r="Z1395">
        <v>3.039791E-2</v>
      </c>
      <c r="AA1395">
        <v>0.99241290000000004</v>
      </c>
      <c r="AB1395">
        <v>18</v>
      </c>
      <c r="AC1395">
        <v>-0.54110000000000003</v>
      </c>
      <c r="AD1395">
        <v>-0.17876030000000001</v>
      </c>
      <c r="AE1395">
        <v>5.5600000000026698E-2</v>
      </c>
      <c r="AF1395">
        <v>8.3532706262383905E-2</v>
      </c>
      <c r="AG1395">
        <v>-0.17876030000000001</v>
      </c>
      <c r="AH1395">
        <v>0.48376968720431901</v>
      </c>
      <c r="AI1395">
        <v>110.007927469579</v>
      </c>
      <c r="AJ1395">
        <v>80.203315427123897</v>
      </c>
      <c r="AK1395">
        <v>0.522461547034202</v>
      </c>
      <c r="AL1395">
        <v>87.774515248940503</v>
      </c>
      <c r="AM1395">
        <v>85.605225883395605</v>
      </c>
      <c r="AN1395">
        <v>0.99999999379166304</v>
      </c>
    </row>
    <row r="1396" spans="1:40" x14ac:dyDescent="0.25">
      <c r="A1396" t="str">
        <f>"20190312154534783"</f>
        <v>20190312154534783</v>
      </c>
      <c r="B1396" t="str">
        <f>"1552376734778019"</f>
        <v>1552376734778019</v>
      </c>
      <c r="C1396" t="s">
        <v>40</v>
      </c>
      <c r="D1396">
        <v>4.6959960000000001</v>
      </c>
      <c r="E1396">
        <v>0.52233779999999996</v>
      </c>
      <c r="F1396" t="s">
        <v>41</v>
      </c>
      <c r="G1396">
        <v>-223.77090000000001</v>
      </c>
      <c r="H1396">
        <v>0.9382007</v>
      </c>
      <c r="I1396">
        <v>283.81169999999997</v>
      </c>
      <c r="J1396">
        <v>-223.2527</v>
      </c>
      <c r="K1396">
        <v>1.108892</v>
      </c>
      <c r="L1396">
        <v>283.75830000000002</v>
      </c>
      <c r="M1396">
        <v>-0.99763639999999998</v>
      </c>
      <c r="N1396">
        <v>0</v>
      </c>
      <c r="O1396">
        <v>-6.8577449999999998E-2</v>
      </c>
      <c r="P1396">
        <v>-0.99939359999999999</v>
      </c>
      <c r="Q1396">
        <v>3.3914199999999999E-2</v>
      </c>
      <c r="R1396">
        <v>7.9321959999999903E-3</v>
      </c>
      <c r="S1396">
        <v>-3.0253909999999999</v>
      </c>
      <c r="T1396">
        <v>-0.73079969999999905</v>
      </c>
      <c r="U1396">
        <v>0.17184449999999901</v>
      </c>
      <c r="V1396">
        <v>7.6449920000000005E-2</v>
      </c>
      <c r="W1396">
        <v>3.826239E-2</v>
      </c>
      <c r="X1396">
        <v>0.99633899999999997</v>
      </c>
      <c r="Y1396">
        <v>0.1196443</v>
      </c>
      <c r="Z1396">
        <v>3.0550569999999999E-2</v>
      </c>
      <c r="AA1396">
        <v>0.99234659999999997</v>
      </c>
      <c r="AB1396">
        <v>18</v>
      </c>
      <c r="AC1396">
        <v>-0.51820000000000699</v>
      </c>
      <c r="AD1396">
        <v>-0.17069129999999999</v>
      </c>
      <c r="AE1396">
        <v>5.33999999999537E-2</v>
      </c>
      <c r="AF1396">
        <v>8.0201101227617699E-2</v>
      </c>
      <c r="AG1396">
        <v>-0.17069129999999999</v>
      </c>
      <c r="AH1396">
        <v>0.46355132303800201</v>
      </c>
      <c r="AI1396">
        <v>109.942530365227</v>
      </c>
      <c r="AJ1396">
        <v>80.184171852184704</v>
      </c>
      <c r="AK1396">
        <v>0.500447365488215</v>
      </c>
      <c r="AL1396">
        <v>87.8071912716794</v>
      </c>
      <c r="AM1396">
        <v>85.612244859743697</v>
      </c>
      <c r="AN1396">
        <v>1.00000000183875</v>
      </c>
    </row>
    <row r="1397" spans="1:40" x14ac:dyDescent="0.25">
      <c r="A1397" t="str">
        <f>"20190312154534804"</f>
        <v>20190312154534804</v>
      </c>
      <c r="B1397" t="str">
        <f>"1552376734797539"</f>
        <v>1552376734797539</v>
      </c>
      <c r="C1397" t="s">
        <v>40</v>
      </c>
      <c r="D1397">
        <v>4.6973260000000003</v>
      </c>
      <c r="E1397">
        <v>0.52267730000000001</v>
      </c>
      <c r="F1397" t="s">
        <v>41</v>
      </c>
      <c r="G1397">
        <v>-223.93700000000001</v>
      </c>
      <c r="H1397">
        <v>0.94256249999999997</v>
      </c>
      <c r="I1397">
        <v>283.79790000000003</v>
      </c>
      <c r="J1397">
        <v>-223.42529999999999</v>
      </c>
      <c r="K1397">
        <v>1.1088</v>
      </c>
      <c r="L1397">
        <v>283.74639999999999</v>
      </c>
      <c r="M1397">
        <v>-0.99763539999999995</v>
      </c>
      <c r="N1397">
        <v>0</v>
      </c>
      <c r="O1397">
        <v>-6.8615510000000005E-2</v>
      </c>
      <c r="P1397">
        <v>-0.99937900000000002</v>
      </c>
      <c r="Q1397">
        <v>3.4338609999999999E-2</v>
      </c>
      <c r="R1397">
        <v>7.9139929999999994E-3</v>
      </c>
      <c r="S1397">
        <v>-3.0253749999999999</v>
      </c>
      <c r="T1397">
        <v>-0.73523380000000005</v>
      </c>
      <c r="U1397">
        <v>0.1746521</v>
      </c>
      <c r="V1397">
        <v>7.6468480000000005E-2</v>
      </c>
      <c r="W1397">
        <v>3.8273830000000002E-2</v>
      </c>
      <c r="X1397">
        <v>0.99633709999999998</v>
      </c>
      <c r="Y1397">
        <v>0.1205094</v>
      </c>
      <c r="Z1397">
        <v>3.0842830000000002E-2</v>
      </c>
      <c r="AA1397">
        <v>0.99223289999999997</v>
      </c>
      <c r="AB1397">
        <v>18</v>
      </c>
      <c r="AC1397">
        <v>-0.51170000000001803</v>
      </c>
      <c r="AD1397">
        <v>-0.16623750000000001</v>
      </c>
      <c r="AE1397">
        <v>5.15000000000327E-2</v>
      </c>
      <c r="AF1397">
        <v>7.8307557110329495E-2</v>
      </c>
      <c r="AG1397">
        <v>-0.16623750000000001</v>
      </c>
      <c r="AH1397">
        <v>0.459001877315034</v>
      </c>
      <c r="AI1397">
        <v>109.64724646629701</v>
      </c>
      <c r="AJ1397">
        <v>80.318323332420505</v>
      </c>
      <c r="AK1397">
        <v>0.49441855070938001</v>
      </c>
      <c r="AL1397">
        <v>87.806535248107195</v>
      </c>
      <c r="AM1397">
        <v>85.6111754546057</v>
      </c>
      <c r="AN1397">
        <v>0.99999996566639404</v>
      </c>
    </row>
    <row r="1398" spans="1:40" x14ac:dyDescent="0.25">
      <c r="A1398" t="str">
        <f>"20190312154534836"</f>
        <v>20190312154534836</v>
      </c>
      <c r="B1398" t="str">
        <f>"1552376734827795"</f>
        <v>1552376734827795</v>
      </c>
      <c r="C1398" t="s">
        <v>40</v>
      </c>
      <c r="D1398">
        <v>4.6885969999999997</v>
      </c>
      <c r="E1398">
        <v>0.52315</v>
      </c>
      <c r="F1398" t="s">
        <v>41</v>
      </c>
      <c r="G1398">
        <v>-224.25710000000001</v>
      </c>
      <c r="H1398">
        <v>0.90642259999999997</v>
      </c>
      <c r="I1398">
        <v>283.79520000000002</v>
      </c>
      <c r="J1398">
        <v>-223.69810000000001</v>
      </c>
      <c r="K1398">
        <v>1.1086590000000001</v>
      </c>
      <c r="L1398">
        <v>283.7276</v>
      </c>
      <c r="M1398">
        <v>-0.99763409999999997</v>
      </c>
      <c r="N1398">
        <v>0</v>
      </c>
      <c r="O1398">
        <v>-6.8675659999999999E-2</v>
      </c>
      <c r="P1398">
        <v>-0.99933510000000003</v>
      </c>
      <c r="Q1398">
        <v>3.5560380000000003E-2</v>
      </c>
      <c r="R1398">
        <v>8.065549E-3</v>
      </c>
      <c r="S1398">
        <v>-3.0257719999999999</v>
      </c>
      <c r="T1398">
        <v>-0.73616019999999904</v>
      </c>
      <c r="U1398">
        <v>0.1773071</v>
      </c>
      <c r="V1398">
        <v>7.6676380000000002E-2</v>
      </c>
      <c r="W1398">
        <v>3.8749829999999999E-2</v>
      </c>
      <c r="X1398">
        <v>0.99630280000000004</v>
      </c>
      <c r="Y1398">
        <v>0.1213899</v>
      </c>
      <c r="Z1398">
        <v>3.099586E-2</v>
      </c>
      <c r="AA1398">
        <v>0.99212080000000002</v>
      </c>
      <c r="AB1398">
        <v>19</v>
      </c>
      <c r="AC1398">
        <v>-0.55899999999999705</v>
      </c>
      <c r="AD1398">
        <v>-0.20223640000000001</v>
      </c>
      <c r="AE1398">
        <v>6.7600000000027194E-2</v>
      </c>
      <c r="AF1398">
        <v>9.3738066138695397E-2</v>
      </c>
      <c r="AG1398">
        <v>-0.20223640000000001</v>
      </c>
      <c r="AH1398">
        <v>0.48984737994198502</v>
      </c>
      <c r="AI1398">
        <v>112.072463561544</v>
      </c>
      <c r="AJ1398">
        <v>79.166746092215206</v>
      </c>
      <c r="AK1398">
        <v>0.53817919150075899</v>
      </c>
      <c r="AL1398">
        <v>87.7792423800379</v>
      </c>
      <c r="AM1398">
        <v>85.599139162004704</v>
      </c>
      <c r="AN1398">
        <v>1.00000004293138</v>
      </c>
    </row>
    <row r="1399" spans="1:40" x14ac:dyDescent="0.25">
      <c r="A1399" t="str">
        <f>"20190312154534859"</f>
        <v>20190312154534859</v>
      </c>
      <c r="B1399" t="str">
        <f>"1552376734848292"</f>
        <v>1552376734848292</v>
      </c>
      <c r="C1399" t="s">
        <v>40</v>
      </c>
      <c r="D1399">
        <v>4.738435</v>
      </c>
      <c r="E1399">
        <v>0.52328710000000001</v>
      </c>
      <c r="F1399" t="s">
        <v>41</v>
      </c>
      <c r="G1399">
        <v>-224.43629999999999</v>
      </c>
      <c r="H1399">
        <v>0.92935679999999998</v>
      </c>
      <c r="I1399">
        <v>283.77199999999999</v>
      </c>
      <c r="J1399">
        <v>-223.88849999999999</v>
      </c>
      <c r="K1399">
        <v>1.1085670000000001</v>
      </c>
      <c r="L1399">
        <v>283.71440000000001</v>
      </c>
      <c r="M1399">
        <v>-0.99763270000000004</v>
      </c>
      <c r="N1399">
        <v>0</v>
      </c>
      <c r="O1399">
        <v>-6.8717349999999996E-2</v>
      </c>
      <c r="P1399">
        <v>-0.99930350000000001</v>
      </c>
      <c r="Q1399">
        <v>3.6411789999999999E-2</v>
      </c>
      <c r="R1399">
        <v>8.1895519999999992E-3</v>
      </c>
      <c r="S1399">
        <v>-3.0267029999999999</v>
      </c>
      <c r="T1399">
        <v>-0.73522189999999998</v>
      </c>
      <c r="U1399">
        <v>0.1809692</v>
      </c>
      <c r="V1399">
        <v>7.683951E-2</v>
      </c>
      <c r="W1399">
        <v>3.9060499999999998E-2</v>
      </c>
      <c r="X1399">
        <v>0.996278</v>
      </c>
      <c r="Y1399">
        <v>0.12259109999999999</v>
      </c>
      <c r="Z1399">
        <v>3.110096E-2</v>
      </c>
      <c r="AA1399">
        <v>0.99196980000000001</v>
      </c>
      <c r="AB1399">
        <v>19</v>
      </c>
      <c r="AC1399">
        <v>-0.54779999999999496</v>
      </c>
      <c r="AD1399">
        <v>-0.17921019999999999</v>
      </c>
      <c r="AE1399">
        <v>5.7599999999979397E-2</v>
      </c>
      <c r="AF1399">
        <v>8.6003541643410703E-2</v>
      </c>
      <c r="AG1399">
        <v>-0.17921019999999999</v>
      </c>
      <c r="AH1399">
        <v>0.490613666586875</v>
      </c>
      <c r="AI1399">
        <v>109.78829428161799</v>
      </c>
      <c r="AJ1399">
        <v>80.057194539173395</v>
      </c>
      <c r="AK1399">
        <v>0.52935307196715797</v>
      </c>
      <c r="AL1399">
        <v>87.761428590845298</v>
      </c>
      <c r="AM1399">
        <v>85.589703823946294</v>
      </c>
      <c r="AN1399">
        <v>0.999999943120643</v>
      </c>
    </row>
    <row r="1400" spans="1:40" x14ac:dyDescent="0.25">
      <c r="A1400" t="str">
        <f>"20190312154534882"</f>
        <v>20190312154534882</v>
      </c>
      <c r="B1400" t="str">
        <f>"1552376734867811"</f>
        <v>1552376734867811</v>
      </c>
      <c r="C1400" t="s">
        <v>40</v>
      </c>
      <c r="D1400">
        <v>4.76091</v>
      </c>
      <c r="E1400">
        <v>0.52340200000000003</v>
      </c>
      <c r="F1400" t="s">
        <v>41</v>
      </c>
      <c r="G1400">
        <v>-224.6104</v>
      </c>
      <c r="H1400">
        <v>0.93362529999999999</v>
      </c>
      <c r="I1400">
        <v>283.75779999999997</v>
      </c>
      <c r="J1400">
        <v>-224.0915</v>
      </c>
      <c r="K1400">
        <v>1.1084689999999999</v>
      </c>
      <c r="L1400">
        <v>283.7004</v>
      </c>
      <c r="M1400">
        <v>-0.99763109999999999</v>
      </c>
      <c r="N1400">
        <v>0</v>
      </c>
      <c r="O1400">
        <v>-6.8761539999999996E-2</v>
      </c>
      <c r="P1400">
        <v>-0.99931170000000002</v>
      </c>
      <c r="Q1400">
        <v>3.6226880000000003E-2</v>
      </c>
      <c r="R1400">
        <v>8.0077540000000006E-3</v>
      </c>
      <c r="S1400">
        <v>-3.0273279999999998</v>
      </c>
      <c r="T1400">
        <v>-0.73361209999999999</v>
      </c>
      <c r="U1400">
        <v>0.18185419999999999</v>
      </c>
      <c r="V1400">
        <v>7.6702729999999997E-2</v>
      </c>
      <c r="W1400">
        <v>3.830766E-2</v>
      </c>
      <c r="X1400">
        <v>0.99631780000000003</v>
      </c>
      <c r="Y1400">
        <v>0.12292699999999999</v>
      </c>
      <c r="Z1400">
        <v>3.1078939999999999E-2</v>
      </c>
      <c r="AA1400">
        <v>0.9919289</v>
      </c>
      <c r="AB1400">
        <v>19</v>
      </c>
      <c r="AC1400">
        <v>-0.51890000000000203</v>
      </c>
      <c r="AD1400">
        <v>-0.17484369999999999</v>
      </c>
      <c r="AE1400">
        <v>5.7399999999972799E-2</v>
      </c>
      <c r="AF1400">
        <v>8.3570981606596206E-2</v>
      </c>
      <c r="AG1400">
        <v>-0.17484369999999999</v>
      </c>
      <c r="AH1400">
        <v>0.46191500655309198</v>
      </c>
      <c r="AI1400">
        <v>110.42896394491299</v>
      </c>
      <c r="AJ1400">
        <v>79.744818260046699</v>
      </c>
      <c r="AK1400">
        <v>0.50091905700953598</v>
      </c>
      <c r="AL1400">
        <v>87.804595523426002</v>
      </c>
      <c r="AM1400">
        <v>85.597698760259803</v>
      </c>
      <c r="AN1400">
        <v>0.99999997210048297</v>
      </c>
    </row>
    <row r="1401" spans="1:40" x14ac:dyDescent="0.25">
      <c r="A1401" t="str">
        <f>"20190312154534904"</f>
        <v>20190312154534904</v>
      </c>
      <c r="B1401" t="str">
        <f>"1552376734898067"</f>
        <v>1552376734898067</v>
      </c>
      <c r="C1401" t="s">
        <v>40</v>
      </c>
      <c r="D1401">
        <v>4.7415779999999996</v>
      </c>
      <c r="E1401">
        <v>0.52368230000000004</v>
      </c>
      <c r="F1401" t="s">
        <v>41</v>
      </c>
      <c r="G1401">
        <v>-224.78720000000001</v>
      </c>
      <c r="H1401">
        <v>0.93957290000000004</v>
      </c>
      <c r="I1401">
        <v>283.7423</v>
      </c>
      <c r="J1401">
        <v>-224.2893</v>
      </c>
      <c r="K1401">
        <v>1.108392</v>
      </c>
      <c r="L1401">
        <v>283.68680000000001</v>
      </c>
      <c r="M1401">
        <v>-0.99762899999999999</v>
      </c>
      <c r="N1401">
        <v>0</v>
      </c>
      <c r="O1401">
        <v>-6.8804489999999996E-2</v>
      </c>
      <c r="P1401">
        <v>-0.9993052</v>
      </c>
      <c r="Q1401">
        <v>3.6411819999999998E-2</v>
      </c>
      <c r="R1401">
        <v>7.9512200000000002E-3</v>
      </c>
      <c r="S1401">
        <v>-3.0272519999999998</v>
      </c>
      <c r="T1401">
        <v>-0.73489550000000003</v>
      </c>
      <c r="U1401">
        <v>0.18179319999999999</v>
      </c>
      <c r="V1401">
        <v>7.6688419999999993E-2</v>
      </c>
      <c r="W1401">
        <v>3.7966010000000001E-2</v>
      </c>
      <c r="X1401">
        <v>0.996332</v>
      </c>
      <c r="Y1401">
        <v>0.1229305</v>
      </c>
      <c r="Z1401">
        <v>3.1143210000000001E-2</v>
      </c>
      <c r="AA1401">
        <v>0.99192650000000004</v>
      </c>
      <c r="AB1401">
        <v>19</v>
      </c>
      <c r="AC1401">
        <v>-0.497900000000015</v>
      </c>
      <c r="AD1401">
        <v>-0.1688191</v>
      </c>
      <c r="AE1401">
        <v>5.5499999999994998E-2</v>
      </c>
      <c r="AF1401">
        <v>8.0486806107803399E-2</v>
      </c>
      <c r="AG1401">
        <v>-0.1688191</v>
      </c>
      <c r="AH1401">
        <v>0.442638748355626</v>
      </c>
      <c r="AI1401">
        <v>110.568077719435</v>
      </c>
      <c r="AJ1401">
        <v>79.694272218750896</v>
      </c>
      <c r="AK1401">
        <v>0.48052791389062899</v>
      </c>
      <c r="AL1401">
        <v>87.824184923267595</v>
      </c>
      <c r="AM1401">
        <v>85.598579329938801</v>
      </c>
      <c r="AN1401">
        <v>0.99999999295070796</v>
      </c>
    </row>
    <row r="1402" spans="1:40" x14ac:dyDescent="0.25">
      <c r="A1402" t="str">
        <f>"20190312154534927"</f>
        <v>20190312154534927</v>
      </c>
      <c r="B1402" t="str">
        <f>"1552376734917587"</f>
        <v>1552376734917587</v>
      </c>
      <c r="C1402" t="s">
        <v>40</v>
      </c>
      <c r="D1402">
        <v>4.7830709999999996</v>
      </c>
      <c r="E1402">
        <v>0.52391670000000001</v>
      </c>
      <c r="F1402" t="s">
        <v>41</v>
      </c>
      <c r="G1402">
        <v>-225.1292</v>
      </c>
      <c r="H1402">
        <v>0.90417700000000001</v>
      </c>
      <c r="I1402">
        <v>283.73779999999999</v>
      </c>
      <c r="J1402">
        <v>-224.4932</v>
      </c>
      <c r="K1402">
        <v>1.10833</v>
      </c>
      <c r="L1402">
        <v>283.67259999999999</v>
      </c>
      <c r="M1402">
        <v>-0.99762669999999998</v>
      </c>
      <c r="N1402">
        <v>0</v>
      </c>
      <c r="O1402">
        <v>-6.8847809999999995E-2</v>
      </c>
      <c r="P1402">
        <v>-0.99927969999999999</v>
      </c>
      <c r="Q1402">
        <v>3.7188449999999998E-2</v>
      </c>
      <c r="R1402">
        <v>7.5562240000000003E-3</v>
      </c>
      <c r="S1402">
        <v>-3.0274510000000001</v>
      </c>
      <c r="T1402">
        <v>-0.73613240000000002</v>
      </c>
      <c r="U1402">
        <v>0.18386839999999999</v>
      </c>
      <c r="V1402">
        <v>7.6335730000000004E-2</v>
      </c>
      <c r="W1402">
        <v>3.8243810000000003E-2</v>
      </c>
      <c r="X1402">
        <v>0.99634840000000002</v>
      </c>
      <c r="Y1402">
        <v>0.1236086</v>
      </c>
      <c r="Z1402">
        <v>3.1283180000000001E-2</v>
      </c>
      <c r="AA1402">
        <v>0.99183790000000005</v>
      </c>
      <c r="AB1402">
        <v>20</v>
      </c>
      <c r="AC1402">
        <v>-0.63599999999999501</v>
      </c>
      <c r="AD1402">
        <v>-0.204153</v>
      </c>
      <c r="AE1402">
        <v>6.5200000000004296E-2</v>
      </c>
      <c r="AF1402">
        <v>9.8762107045549899E-2</v>
      </c>
      <c r="AG1402">
        <v>-0.204153</v>
      </c>
      <c r="AH1402">
        <v>0.571707109758265</v>
      </c>
      <c r="AI1402">
        <v>109.386042023925</v>
      </c>
      <c r="AJ1402">
        <v>80.198915704925</v>
      </c>
      <c r="AK1402">
        <v>0.61504586865145705</v>
      </c>
      <c r="AL1402">
        <v>87.808256456991401</v>
      </c>
      <c r="AM1402">
        <v>85.618814300252396</v>
      </c>
      <c r="AN1402">
        <v>0.99999993343025195</v>
      </c>
    </row>
    <row r="1403" spans="1:40" x14ac:dyDescent="0.25">
      <c r="A1403" t="str">
        <f>"20190312154534949"</f>
        <v>20190312154534949</v>
      </c>
      <c r="B1403" t="str">
        <f>"1552376734938083"</f>
        <v>1552376734938083</v>
      </c>
      <c r="C1403" t="s">
        <v>40</v>
      </c>
      <c r="D1403">
        <v>4.7613709999999996</v>
      </c>
      <c r="E1403">
        <v>0.52409890000000003</v>
      </c>
      <c r="F1403" t="s">
        <v>41</v>
      </c>
      <c r="G1403">
        <v>-225.31209999999999</v>
      </c>
      <c r="H1403">
        <v>0.90950469999999894</v>
      </c>
      <c r="I1403">
        <v>283.7226</v>
      </c>
      <c r="J1403">
        <v>-224.69669999999999</v>
      </c>
      <c r="K1403">
        <v>1.1082780000000001</v>
      </c>
      <c r="L1403">
        <v>283.6585</v>
      </c>
      <c r="M1403">
        <v>-0.99762399999999996</v>
      </c>
      <c r="N1403">
        <v>0</v>
      </c>
      <c r="O1403">
        <v>-6.8891729999999998E-2</v>
      </c>
      <c r="P1403">
        <v>-0.99922390000000005</v>
      </c>
      <c r="Q1403">
        <v>3.8744199999999902E-2</v>
      </c>
      <c r="R1403">
        <v>7.1154449999999998E-3</v>
      </c>
      <c r="S1403">
        <v>-3.0281069999999999</v>
      </c>
      <c r="T1403">
        <v>-0.73524149999999999</v>
      </c>
      <c r="U1403">
        <v>0.1847229</v>
      </c>
      <c r="V1403">
        <v>7.593606E-2</v>
      </c>
      <c r="W1403">
        <v>3.9347809999999997E-2</v>
      </c>
      <c r="X1403">
        <v>0.996336</v>
      </c>
      <c r="Y1403">
        <v>0.12392350000000001</v>
      </c>
      <c r="Z1403">
        <v>3.1287740000000001E-2</v>
      </c>
      <c r="AA1403">
        <v>0.99179839999999997</v>
      </c>
      <c r="AB1403">
        <v>20</v>
      </c>
      <c r="AC1403">
        <v>-0.61539999999999395</v>
      </c>
      <c r="AD1403">
        <v>-0.19877330000000001</v>
      </c>
      <c r="AE1403">
        <v>6.4099999999996202E-2</v>
      </c>
      <c r="AF1403">
        <v>9.6394925899352293E-2</v>
      </c>
      <c r="AG1403">
        <v>-0.19877330000000001</v>
      </c>
      <c r="AH1403">
        <v>0.55249940185286595</v>
      </c>
      <c r="AI1403">
        <v>109.51520587228499</v>
      </c>
      <c r="AJ1403">
        <v>80.103185805057294</v>
      </c>
      <c r="AK1403">
        <v>0.59502806285065701</v>
      </c>
      <c r="AL1403">
        <v>87.744954357836505</v>
      </c>
      <c r="AM1403">
        <v>85.641610170859906</v>
      </c>
      <c r="AN1403">
        <v>0.99999998012805902</v>
      </c>
    </row>
    <row r="1404" spans="1:40" x14ac:dyDescent="0.25">
      <c r="A1404" t="str">
        <f>"20190312154534973"</f>
        <v>20190312154534973</v>
      </c>
      <c r="B1404" t="str">
        <f>"1552376734968341"</f>
        <v>1552376734968341</v>
      </c>
      <c r="C1404" t="s">
        <v>40</v>
      </c>
      <c r="D1404">
        <v>4.7772009999999998</v>
      </c>
      <c r="E1404">
        <v>0.52438499999999999</v>
      </c>
      <c r="F1404" t="s">
        <v>41</v>
      </c>
      <c r="G1404">
        <v>-225.4974</v>
      </c>
      <c r="H1404">
        <v>0.91497660000000003</v>
      </c>
      <c r="I1404">
        <v>283.70780000000002</v>
      </c>
      <c r="J1404">
        <v>-224.91149999999999</v>
      </c>
      <c r="K1404">
        <v>1.1082379999999901</v>
      </c>
      <c r="L1404">
        <v>283.64370000000002</v>
      </c>
      <c r="M1404">
        <v>-0.99762110000000004</v>
      </c>
      <c r="N1404">
        <v>0</v>
      </c>
      <c r="O1404">
        <v>-6.8937670000000006E-2</v>
      </c>
      <c r="P1404">
        <v>-0.99919409999999997</v>
      </c>
      <c r="Q1404">
        <v>3.9569840000000002E-2</v>
      </c>
      <c r="R1404">
        <v>6.7791609999999997E-3</v>
      </c>
      <c r="S1404">
        <v>-3.0293730000000001</v>
      </c>
      <c r="T1404">
        <v>-0.73138930000000002</v>
      </c>
      <c r="U1404">
        <v>0.18545529999999999</v>
      </c>
      <c r="V1404">
        <v>7.5644400000000001E-2</v>
      </c>
      <c r="W1404">
        <v>3.9749939999999997E-2</v>
      </c>
      <c r="X1404">
        <v>0.99634219999999896</v>
      </c>
      <c r="Y1404">
        <v>0.12423480000000001</v>
      </c>
      <c r="Z1404">
        <v>3.11635E-2</v>
      </c>
      <c r="AA1404">
        <v>0.99176339999999996</v>
      </c>
      <c r="AB1404">
        <v>20</v>
      </c>
      <c r="AC1404">
        <v>-0.58590000000000897</v>
      </c>
      <c r="AD1404">
        <v>-0.193261399999999</v>
      </c>
      <c r="AE1404">
        <v>6.4099999999996202E-2</v>
      </c>
      <c r="AF1404">
        <v>9.4209035589791601E-2</v>
      </c>
      <c r="AG1404">
        <v>-0.193261399999999</v>
      </c>
      <c r="AH1404">
        <v>0.52377289181957898</v>
      </c>
      <c r="AI1404">
        <v>109.958583102205</v>
      </c>
      <c r="AJ1404">
        <v>79.803452474833193</v>
      </c>
      <c r="AK1404">
        <v>0.56618314468179098</v>
      </c>
      <c r="AL1404">
        <v>87.721895910932005</v>
      </c>
      <c r="AM1404">
        <v>85.658312931269805</v>
      </c>
      <c r="AN1404">
        <v>0.99999995624110005</v>
      </c>
    </row>
    <row r="1405" spans="1:40" x14ac:dyDescent="0.25">
      <c r="A1405" t="str">
        <f>"20190312154535001"</f>
        <v>20190312154535001</v>
      </c>
      <c r="B1405" t="str">
        <f>"1552376734987860"</f>
        <v>1552376734987860</v>
      </c>
      <c r="C1405" t="s">
        <v>40</v>
      </c>
      <c r="D1405">
        <v>4.7648539999999997</v>
      </c>
      <c r="E1405">
        <v>0.52457140000000002</v>
      </c>
      <c r="F1405" t="s">
        <v>41</v>
      </c>
      <c r="G1405">
        <v>-225.68530000000001</v>
      </c>
      <c r="H1405">
        <v>0.92161579999999999</v>
      </c>
      <c r="I1405">
        <v>283.69130000000001</v>
      </c>
      <c r="J1405">
        <v>-225.17320000000001</v>
      </c>
      <c r="K1405">
        <v>1.1081989999999999</v>
      </c>
      <c r="L1405">
        <v>283.62549999999999</v>
      </c>
      <c r="M1405">
        <v>-0.99761710000000003</v>
      </c>
      <c r="N1405">
        <v>0</v>
      </c>
      <c r="O1405">
        <v>-6.8993230000000003E-2</v>
      </c>
      <c r="P1405">
        <v>-0.99913510000000005</v>
      </c>
      <c r="Q1405">
        <v>4.1075E-2</v>
      </c>
      <c r="R1405">
        <v>6.4851569999999897E-3</v>
      </c>
      <c r="S1405">
        <v>-3.030106</v>
      </c>
      <c r="T1405">
        <v>-0.73080809999999996</v>
      </c>
      <c r="U1405">
        <v>0.18609619999999999</v>
      </c>
      <c r="V1405">
        <v>7.540239E-2</v>
      </c>
      <c r="W1405">
        <v>4.0811470000000002E-2</v>
      </c>
      <c r="X1405">
        <v>0.99631769999999997</v>
      </c>
      <c r="Y1405">
        <v>0.1244869</v>
      </c>
      <c r="Z1405">
        <v>3.1175109999999999E-2</v>
      </c>
      <c r="AA1405">
        <v>0.99173129999999998</v>
      </c>
      <c r="AB1405">
        <v>21</v>
      </c>
      <c r="AC1405">
        <v>-0.512100000000003</v>
      </c>
      <c r="AD1405">
        <v>-0.18658319999999901</v>
      </c>
      <c r="AE1405">
        <v>6.58000000000242E-2</v>
      </c>
      <c r="AF1405">
        <v>8.9311124691422702E-2</v>
      </c>
      <c r="AG1405">
        <v>-0.18658319999999901</v>
      </c>
      <c r="AH1405">
        <v>0.44785296876446401</v>
      </c>
      <c r="AI1405">
        <v>112.22355619228</v>
      </c>
      <c r="AJ1405">
        <v>78.721989354597895</v>
      </c>
      <c r="AK1405">
        <v>0.49331739189595902</v>
      </c>
      <c r="AL1405">
        <v>87.661025481917093</v>
      </c>
      <c r="AM1405">
        <v>85.672044461812504</v>
      </c>
      <c r="AN1405">
        <v>1.00000002791728</v>
      </c>
    </row>
    <row r="1406" spans="1:40" x14ac:dyDescent="0.25">
      <c r="A1406" t="str">
        <f>"20190312154535049"</f>
        <v>20190312154535049</v>
      </c>
      <c r="B1406" t="str">
        <f>"1552376735037636"</f>
        <v>1552376735037636</v>
      </c>
      <c r="C1406" t="s">
        <v>40</v>
      </c>
      <c r="D1406">
        <v>4.7754099999999999</v>
      </c>
      <c r="E1406">
        <v>0.52505239999999997</v>
      </c>
      <c r="F1406" t="s">
        <v>41</v>
      </c>
      <c r="G1406">
        <v>-225.87970000000001</v>
      </c>
      <c r="H1406">
        <v>0.93861989999999995</v>
      </c>
      <c r="I1406">
        <v>283.66899999999998</v>
      </c>
      <c r="J1406">
        <v>-225.63229999999999</v>
      </c>
      <c r="K1406">
        <v>1.1081570000000001</v>
      </c>
      <c r="L1406">
        <v>283.59359999999998</v>
      </c>
      <c r="M1406">
        <v>-0.9976102</v>
      </c>
      <c r="N1406">
        <v>0</v>
      </c>
      <c r="O1406">
        <v>-6.9089460000000005E-2</v>
      </c>
      <c r="P1406">
        <v>-0.99904990000000005</v>
      </c>
      <c r="Q1406">
        <v>4.331521E-2</v>
      </c>
      <c r="R1406">
        <v>4.8240449999999999E-3</v>
      </c>
      <c r="S1406">
        <v>-3.0312960000000002</v>
      </c>
      <c r="T1406">
        <v>-0.72755919999999996</v>
      </c>
      <c r="U1406">
        <v>0.186554</v>
      </c>
      <c r="V1406">
        <v>7.3835219999999993E-2</v>
      </c>
      <c r="W1406">
        <v>4.2456090000000002E-2</v>
      </c>
      <c r="X1406">
        <v>0.99636630000000004</v>
      </c>
      <c r="Y1406">
        <v>0.1247505</v>
      </c>
      <c r="Z1406">
        <v>3.1082289999999999E-2</v>
      </c>
      <c r="AA1406">
        <v>0.99170119999999895</v>
      </c>
      <c r="AB1406">
        <v>21</v>
      </c>
      <c r="AC1406">
        <v>-0.24740000000002699</v>
      </c>
      <c r="AD1406">
        <v>-0.1695371</v>
      </c>
      <c r="AE1406">
        <v>7.5400000000058698E-2</v>
      </c>
      <c r="AF1406">
        <v>6.4568212958079796E-2</v>
      </c>
      <c r="AG1406">
        <v>-0.1695371</v>
      </c>
      <c r="AH1406">
        <v>0.16898725171944901</v>
      </c>
      <c r="AI1406">
        <v>133.14243022740899</v>
      </c>
      <c r="AJ1406">
        <v>69.088680569496702</v>
      </c>
      <c r="AK1406">
        <v>0.247928565608528</v>
      </c>
      <c r="AL1406">
        <v>87.566713802073096</v>
      </c>
      <c r="AM1406">
        <v>85.761871811294299</v>
      </c>
      <c r="AN1406">
        <v>0.99999998153311298</v>
      </c>
    </row>
    <row r="1407" spans="1:40" x14ac:dyDescent="0.25">
      <c r="A1407" t="str">
        <f>"20190312154535070"</f>
        <v>20190312154535070</v>
      </c>
      <c r="B1407" t="str">
        <f>"1552376735058131"</f>
        <v>1552376735058131</v>
      </c>
      <c r="C1407" t="s">
        <v>40</v>
      </c>
      <c r="D1407">
        <v>4.7949210000000004</v>
      </c>
      <c r="E1407">
        <v>0.52521770000000001</v>
      </c>
      <c r="F1407" t="s">
        <v>41</v>
      </c>
      <c r="G1407">
        <v>-226.44579999999999</v>
      </c>
      <c r="H1407">
        <v>0.91382479999999999</v>
      </c>
      <c r="I1407">
        <v>283.64330000000001</v>
      </c>
      <c r="J1407">
        <v>-225.8467</v>
      </c>
      <c r="K1407">
        <v>1.1081379999999901</v>
      </c>
      <c r="L1407">
        <v>283.5788</v>
      </c>
      <c r="M1407">
        <v>-0.99760689999999996</v>
      </c>
      <c r="N1407">
        <v>0</v>
      </c>
      <c r="O1407">
        <v>-6.9134130000000002E-2</v>
      </c>
      <c r="P1407">
        <v>-0.99907539999999995</v>
      </c>
      <c r="Q1407">
        <v>4.2782460000000001E-2</v>
      </c>
      <c r="R1407">
        <v>4.2542969999999998E-3</v>
      </c>
      <c r="S1407">
        <v>-3.0333709999999998</v>
      </c>
      <c r="T1407">
        <v>-0.72457169999999904</v>
      </c>
      <c r="U1407">
        <v>0.18530269999999999</v>
      </c>
      <c r="V1407">
        <v>7.3313180000000006E-2</v>
      </c>
      <c r="W1407">
        <v>4.1712399999999997E-2</v>
      </c>
      <c r="X1407">
        <v>0.99643630000000005</v>
      </c>
      <c r="Y1407">
        <v>0.12440569999999999</v>
      </c>
      <c r="Z1407">
        <v>3.0907839999999999E-2</v>
      </c>
      <c r="AA1407">
        <v>0.99174989999999996</v>
      </c>
      <c r="AB1407">
        <v>22</v>
      </c>
      <c r="AC1407">
        <v>-0.59909999999999197</v>
      </c>
      <c r="AD1407">
        <v>-0.19431319999999899</v>
      </c>
      <c r="AE1407">
        <v>6.4500000000009494E-2</v>
      </c>
      <c r="AF1407">
        <v>9.5801353165914205E-2</v>
      </c>
      <c r="AG1407">
        <v>-0.19431319999999899</v>
      </c>
      <c r="AH1407">
        <v>0.53732933161966601</v>
      </c>
      <c r="AI1407">
        <v>109.596418825924</v>
      </c>
      <c r="AJ1407">
        <v>79.890861788189895</v>
      </c>
      <c r="AK1407">
        <v>0.57936027615077101</v>
      </c>
      <c r="AL1407">
        <v>87.609361985462598</v>
      </c>
      <c r="AM1407">
        <v>85.792023351142504</v>
      </c>
      <c r="AN1407">
        <v>1.00000002331658</v>
      </c>
    </row>
    <row r="1408" spans="1:40" x14ac:dyDescent="0.25">
      <c r="A1408" t="str">
        <f>"20190312154535094"</f>
        <v>20190312154535094</v>
      </c>
      <c r="B1408" t="str">
        <f>"1552376735087412"</f>
        <v>1552376735087412</v>
      </c>
      <c r="C1408" t="s">
        <v>40</v>
      </c>
      <c r="D1408">
        <v>4.7551379999999996</v>
      </c>
      <c r="E1408">
        <v>0.52524329999999997</v>
      </c>
      <c r="F1408" t="s">
        <v>41</v>
      </c>
      <c r="G1408">
        <v>-226.6431</v>
      </c>
      <c r="H1408">
        <v>0.91715820000000003</v>
      </c>
      <c r="I1408">
        <v>283.62720000000002</v>
      </c>
      <c r="J1408">
        <v>-226.07149999999999</v>
      </c>
      <c r="K1408">
        <v>1.1081270000000001</v>
      </c>
      <c r="L1408">
        <v>283.56310000000002</v>
      </c>
      <c r="M1408">
        <v>-0.99760329999999997</v>
      </c>
      <c r="N1408">
        <v>0</v>
      </c>
      <c r="O1408">
        <v>-6.9180599999999995E-2</v>
      </c>
      <c r="P1408">
        <v>-0.9991042</v>
      </c>
      <c r="Q1408">
        <v>4.2101729999999997E-2</v>
      </c>
      <c r="R1408">
        <v>4.2845219999999998E-3</v>
      </c>
      <c r="S1408">
        <v>-3.0331419999999998</v>
      </c>
      <c r="T1408">
        <v>-0.72734209999999999</v>
      </c>
      <c r="U1408">
        <v>0.18429570000000001</v>
      </c>
      <c r="V1408">
        <v>7.3391869999999998E-2</v>
      </c>
      <c r="W1408">
        <v>4.0846729999999998E-2</v>
      </c>
      <c r="X1408">
        <v>0.99646630000000003</v>
      </c>
      <c r="Y1408">
        <v>0.124094</v>
      </c>
      <c r="Z1408">
        <v>3.099946E-2</v>
      </c>
      <c r="AA1408">
        <v>0.9917861</v>
      </c>
      <c r="AB1408">
        <v>22</v>
      </c>
      <c r="AC1408">
        <v>-0.57160000000001698</v>
      </c>
      <c r="AD1408">
        <v>-0.19096879999999999</v>
      </c>
      <c r="AE1408">
        <v>6.4099999999996202E-2</v>
      </c>
      <c r="AF1408">
        <v>9.3214721832883499E-2</v>
      </c>
      <c r="AG1408">
        <v>-0.19096879999999999</v>
      </c>
      <c r="AH1408">
        <v>0.50961904904918898</v>
      </c>
      <c r="AI1408">
        <v>110.234544936505</v>
      </c>
      <c r="AJ1408">
        <v>79.634577616648897</v>
      </c>
      <c r="AK1408">
        <v>0.55215001774302397</v>
      </c>
      <c r="AL1408">
        <v>87.659003374785399</v>
      </c>
      <c r="AM1408">
        <v>85.787649375452702</v>
      </c>
      <c r="AN1408">
        <v>0.999999954484738</v>
      </c>
    </row>
    <row r="1409" spans="1:40" x14ac:dyDescent="0.25">
      <c r="A1409" t="str">
        <f>"20190312154535115"</f>
        <v>20190312154535115</v>
      </c>
      <c r="B1409" t="str">
        <f>"1552376735107907"</f>
        <v>1552376735107907</v>
      </c>
      <c r="C1409" t="s">
        <v>40</v>
      </c>
      <c r="D1409">
        <v>4.7758609999999999</v>
      </c>
      <c r="E1409">
        <v>0.50580829999999999</v>
      </c>
      <c r="F1409" t="s">
        <v>41</v>
      </c>
      <c r="G1409">
        <v>-226.8434</v>
      </c>
      <c r="H1409">
        <v>0.92233779999999999</v>
      </c>
      <c r="I1409">
        <v>283.6103</v>
      </c>
      <c r="J1409">
        <v>-226.29220000000001</v>
      </c>
      <c r="K1409">
        <v>1.1081019999999999</v>
      </c>
      <c r="L1409">
        <v>283.54770000000002</v>
      </c>
      <c r="M1409">
        <v>-0.99760009999999999</v>
      </c>
      <c r="N1409">
        <v>0</v>
      </c>
      <c r="O1409">
        <v>-6.9227300000000005E-2</v>
      </c>
      <c r="P1409">
        <v>-0.99908609999999998</v>
      </c>
      <c r="Q1409">
        <v>4.2580779999999999E-2</v>
      </c>
      <c r="R1409">
        <v>3.7482869999999999E-3</v>
      </c>
      <c r="S1409">
        <v>-3.032654</v>
      </c>
      <c r="T1409">
        <v>-0.72993409999999903</v>
      </c>
      <c r="U1409">
        <v>0.18539430000000001</v>
      </c>
      <c r="V1409">
        <v>7.2902140000000004E-2</v>
      </c>
      <c r="W1409">
        <v>4.117643E-2</v>
      </c>
      <c r="X1409">
        <v>0.99648870000000001</v>
      </c>
      <c r="Y1409">
        <v>0.12445630000000001</v>
      </c>
      <c r="Z1409">
        <v>3.1165470000000001E-2</v>
      </c>
      <c r="AA1409">
        <v>0.99173549999999999</v>
      </c>
      <c r="AB1409">
        <v>22</v>
      </c>
      <c r="AC1409">
        <v>-0.55119999999999403</v>
      </c>
      <c r="AD1409">
        <v>-0.18576419999999999</v>
      </c>
      <c r="AE1409">
        <v>6.2599999999974898E-2</v>
      </c>
      <c r="AF1409">
        <v>9.0463808549376107E-2</v>
      </c>
      <c r="AG1409">
        <v>-0.18576419999999999</v>
      </c>
      <c r="AH1409">
        <v>0.490537715907925</v>
      </c>
      <c r="AI1409">
        <v>110.426090265056</v>
      </c>
      <c r="AJ1409">
        <v>79.551047723393197</v>
      </c>
      <c r="AK1409">
        <v>0.53227745526845505</v>
      </c>
      <c r="AL1409">
        <v>87.640097096903503</v>
      </c>
      <c r="AM1409">
        <v>85.815751146470006</v>
      </c>
      <c r="AN1409">
        <v>0.99999997481590697</v>
      </c>
    </row>
    <row r="1410" spans="1:40" x14ac:dyDescent="0.25">
      <c r="A1410" t="str">
        <f>"20190312154535138"</f>
        <v>20190312154535138</v>
      </c>
      <c r="B1410" t="str">
        <f>"1552376735128403"</f>
        <v>1552376735128403</v>
      </c>
      <c r="C1410" t="s">
        <v>40</v>
      </c>
      <c r="D1410">
        <v>4.8325129999999996</v>
      </c>
      <c r="E1410">
        <v>0.5016389</v>
      </c>
      <c r="F1410" t="s">
        <v>41</v>
      </c>
      <c r="G1410">
        <v>-227.0729</v>
      </c>
      <c r="H1410">
        <v>0.99107749999999994</v>
      </c>
      <c r="I1410">
        <v>283.55759999999998</v>
      </c>
      <c r="J1410">
        <v>-226.51929999999999</v>
      </c>
      <c r="K1410">
        <v>1.108087</v>
      </c>
      <c r="L1410">
        <v>283.53190000000001</v>
      </c>
      <c r="M1410">
        <v>-0.99759659999999994</v>
      </c>
      <c r="N1410">
        <v>0</v>
      </c>
      <c r="O1410">
        <v>-6.9274719999999998E-2</v>
      </c>
      <c r="P1410">
        <v>-0.99909499999999996</v>
      </c>
      <c r="Q1410">
        <v>4.2396990000000002E-2</v>
      </c>
      <c r="R1410">
        <v>3.4762090000000001E-3</v>
      </c>
      <c r="S1410">
        <v>-3.0219119999999999</v>
      </c>
      <c r="T1410">
        <v>-0.45308209999999999</v>
      </c>
      <c r="U1410">
        <v>3.7750239999999997E-2</v>
      </c>
      <c r="V1410">
        <v>7.2678770000000004E-2</v>
      </c>
      <c r="W1410">
        <v>4.0868170000000002E-2</v>
      </c>
      <c r="X1410">
        <v>0.99651769999999995</v>
      </c>
      <c r="Y1410">
        <v>8.0062220000000003E-2</v>
      </c>
      <c r="Z1410">
        <v>1.629164E-2</v>
      </c>
      <c r="AA1410">
        <v>0.99665669999999995</v>
      </c>
      <c r="AB1410">
        <v>22</v>
      </c>
      <c r="AC1410">
        <v>-0.55360000000001697</v>
      </c>
      <c r="AD1410">
        <v>-0.1170095</v>
      </c>
      <c r="AE1410">
        <v>2.5699999999971999E-2</v>
      </c>
      <c r="AF1410">
        <v>6.1258055457606701E-2</v>
      </c>
      <c r="AG1410">
        <v>-0.1170095</v>
      </c>
      <c r="AH1410">
        <v>0.52699747931219498</v>
      </c>
      <c r="AI1410">
        <v>102.437227223337</v>
      </c>
      <c r="AJ1410">
        <v>83.369708174782602</v>
      </c>
      <c r="AK1410">
        <v>0.54329560613914796</v>
      </c>
      <c r="AL1410">
        <v>87.657773959854794</v>
      </c>
      <c r="AM1410">
        <v>85.828647202132501</v>
      </c>
      <c r="AN1410">
        <v>0.99999996867057495</v>
      </c>
    </row>
    <row r="1411" spans="1:40" x14ac:dyDescent="0.25">
      <c r="A1411" t="str">
        <f>"20190312154535163"</f>
        <v>20190312154535163</v>
      </c>
      <c r="B1411" t="str">
        <f>"1552376735157683"</f>
        <v>1552376735157683</v>
      </c>
      <c r="C1411" t="s">
        <v>40</v>
      </c>
      <c r="D1411">
        <v>4.837809</v>
      </c>
      <c r="E1411">
        <v>0.49946239999999997</v>
      </c>
      <c r="F1411" t="s">
        <v>41</v>
      </c>
      <c r="G1411">
        <v>-227.2868</v>
      </c>
      <c r="H1411">
        <v>1.016381</v>
      </c>
      <c r="I1411">
        <v>283.53370000000001</v>
      </c>
      <c r="J1411">
        <v>-226.76779999999999</v>
      </c>
      <c r="K1411">
        <v>1.1080749999999999</v>
      </c>
      <c r="L1411">
        <v>283.51459999999997</v>
      </c>
      <c r="M1411">
        <v>-0.99759279999999995</v>
      </c>
      <c r="N1411">
        <v>0</v>
      </c>
      <c r="O1411">
        <v>-6.9327E-2</v>
      </c>
      <c r="P1411">
        <v>-0.99910429999999995</v>
      </c>
      <c r="Q1411">
        <v>4.220865E-2</v>
      </c>
      <c r="R1411">
        <v>3.0569360000000001E-3</v>
      </c>
      <c r="S1411">
        <v>-3.0179749999999999</v>
      </c>
      <c r="T1411">
        <v>-0.36059809999999998</v>
      </c>
      <c r="U1411">
        <v>7.0495610000000002E-3</v>
      </c>
      <c r="V1411">
        <v>7.2313249999999996E-2</v>
      </c>
      <c r="W1411">
        <v>4.0572299999999999E-2</v>
      </c>
      <c r="X1411">
        <v>0.99655640000000001</v>
      </c>
      <c r="Y1411">
        <v>7.0661979999999999E-2</v>
      </c>
      <c r="Z1411">
        <v>1.245576E-2</v>
      </c>
      <c r="AA1411">
        <v>0.99742260000000005</v>
      </c>
      <c r="AB1411">
        <v>22</v>
      </c>
      <c r="AC1411">
        <v>-0.51900000000000501</v>
      </c>
      <c r="AD1411">
        <v>-9.1693999999999901E-2</v>
      </c>
      <c r="AE1411">
        <v>1.9100000000037198E-2</v>
      </c>
      <c r="AF1411">
        <v>5.3371136150689898E-2</v>
      </c>
      <c r="AG1411">
        <v>-9.1693999999999901E-2</v>
      </c>
      <c r="AH1411">
        <v>0.50081588903642205</v>
      </c>
      <c r="AI1411">
        <v>100.31816650695001</v>
      </c>
      <c r="AJ1411">
        <v>83.917040168675598</v>
      </c>
      <c r="AK1411">
        <v>0.51193048602457403</v>
      </c>
      <c r="AL1411">
        <v>87.674740179704997</v>
      </c>
      <c r="AM1411">
        <v>85.849713112564402</v>
      </c>
      <c r="AN1411">
        <v>0.99999998801690604</v>
      </c>
    </row>
    <row r="1412" spans="1:40" x14ac:dyDescent="0.25">
      <c r="A1412" t="str">
        <f>"20190312154535185"</f>
        <v>20190312154535185</v>
      </c>
      <c r="B1412" t="str">
        <f>"1552376735178180"</f>
        <v>1552376735178180</v>
      </c>
      <c r="C1412" t="s">
        <v>40</v>
      </c>
      <c r="D1412">
        <v>4.8510589999999896</v>
      </c>
      <c r="E1412">
        <v>0.49926870000000001</v>
      </c>
      <c r="F1412" t="s">
        <v>41</v>
      </c>
      <c r="G1412">
        <v>-227.4982</v>
      </c>
      <c r="H1412">
        <v>1.031539</v>
      </c>
      <c r="I1412">
        <v>283.51229999999998</v>
      </c>
      <c r="J1412">
        <v>-227.0026</v>
      </c>
      <c r="K1412">
        <v>1.1080700000000001</v>
      </c>
      <c r="L1412">
        <v>283.4982</v>
      </c>
      <c r="M1412">
        <v>-0.99758919999999995</v>
      </c>
      <c r="N1412">
        <v>0</v>
      </c>
      <c r="O1412">
        <v>-6.9375930000000002E-2</v>
      </c>
      <c r="P1412">
        <v>-0.99911269999999996</v>
      </c>
      <c r="Q1412">
        <v>4.2067210000000001E-2</v>
      </c>
      <c r="R1412">
        <v>2.092296E-3</v>
      </c>
      <c r="S1412">
        <v>-3.0160830000000001</v>
      </c>
      <c r="T1412">
        <v>-0.31619720000000001</v>
      </c>
      <c r="U1412">
        <v>-1.0162350000000001E-2</v>
      </c>
      <c r="V1412">
        <v>7.1400459999999999E-2</v>
      </c>
      <c r="W1412">
        <v>4.0355509999999997E-2</v>
      </c>
      <c r="X1412">
        <v>0.99663100000000004</v>
      </c>
      <c r="Y1412">
        <v>6.527695E-2</v>
      </c>
      <c r="Z1412">
        <v>1.066105E-2</v>
      </c>
      <c r="AA1412">
        <v>0.99781019999999998</v>
      </c>
      <c r="AB1412">
        <v>23</v>
      </c>
      <c r="AC1412">
        <v>-0.49559999999999599</v>
      </c>
      <c r="AD1412">
        <v>-7.6531000000000099E-2</v>
      </c>
      <c r="AE1412">
        <v>1.4099999999984901E-2</v>
      </c>
      <c r="AF1412">
        <v>4.7321283712249501E-2</v>
      </c>
      <c r="AG1412">
        <v>-7.6531000000000099E-2</v>
      </c>
      <c r="AH1412">
        <v>0.48194462199140697</v>
      </c>
      <c r="AI1412">
        <v>98.980538557850494</v>
      </c>
      <c r="AJ1412">
        <v>84.392204845640507</v>
      </c>
      <c r="AK1412">
        <v>0.490272288141616</v>
      </c>
      <c r="AL1412">
        <v>87.687171474991899</v>
      </c>
      <c r="AM1412">
        <v>85.902227108964397</v>
      </c>
      <c r="AN1412">
        <v>0.99999997151828501</v>
      </c>
    </row>
    <row r="1413" spans="1:40" x14ac:dyDescent="0.25">
      <c r="A1413" t="str">
        <f>"20190312154535207"</f>
        <v>20190312154535207</v>
      </c>
      <c r="B1413" t="str">
        <f>"1552376735198209"</f>
        <v>1552376735198209</v>
      </c>
      <c r="C1413" t="s">
        <v>40</v>
      </c>
      <c r="D1413">
        <v>4.8586989999999997</v>
      </c>
      <c r="E1413">
        <v>0.49935289999999999</v>
      </c>
      <c r="F1413" t="s">
        <v>41</v>
      </c>
      <c r="G1413">
        <v>-227.90729999999999</v>
      </c>
      <c r="H1413">
        <v>1.016616</v>
      </c>
      <c r="I1413">
        <v>283.49400000000003</v>
      </c>
      <c r="J1413">
        <v>-227.2388</v>
      </c>
      <c r="K1413">
        <v>1.1080650000000001</v>
      </c>
      <c r="L1413">
        <v>283.48180000000002</v>
      </c>
      <c r="M1413">
        <v>-0.99758570000000002</v>
      </c>
      <c r="N1413">
        <v>0</v>
      </c>
      <c r="O1413">
        <v>-6.9425210000000001E-2</v>
      </c>
      <c r="P1413">
        <v>-0.99910840000000001</v>
      </c>
      <c r="Q1413">
        <v>4.2200050000000003E-2</v>
      </c>
      <c r="R1413">
        <v>1.3303739999999901E-3</v>
      </c>
      <c r="S1413">
        <v>-3.0155180000000001</v>
      </c>
      <c r="T1413">
        <v>-0.30499280000000001</v>
      </c>
      <c r="U1413">
        <v>-1.4709470000000001E-2</v>
      </c>
      <c r="V1413">
        <v>7.0689299999999997E-2</v>
      </c>
      <c r="W1413">
        <v>4.0434610000000003E-2</v>
      </c>
      <c r="X1413">
        <v>0.99667850000000002</v>
      </c>
      <c r="Y1413">
        <v>6.3878799999999999E-2</v>
      </c>
      <c r="Z1413">
        <v>1.022146E-2</v>
      </c>
      <c r="AA1413">
        <v>0.9979053</v>
      </c>
      <c r="AB1413">
        <v>23</v>
      </c>
      <c r="AC1413">
        <v>-0.66849999999999399</v>
      </c>
      <c r="AD1413">
        <v>-9.1448999999999794E-2</v>
      </c>
      <c r="AE1413">
        <v>1.2200000000007E-2</v>
      </c>
      <c r="AF1413">
        <v>5.75056105597819E-2</v>
      </c>
      <c r="AG1413">
        <v>-9.1448999999999794E-2</v>
      </c>
      <c r="AH1413">
        <v>0.65380903842570703</v>
      </c>
      <c r="AI1413">
        <v>97.932137182149106</v>
      </c>
      <c r="AJ1413">
        <v>84.973499136083603</v>
      </c>
      <c r="AK1413">
        <v>0.66267342905385895</v>
      </c>
      <c r="AL1413">
        <v>87.682635704514695</v>
      </c>
      <c r="AM1413">
        <v>85.943097316329599</v>
      </c>
      <c r="AN1413">
        <v>0.99999998359129505</v>
      </c>
    </row>
    <row r="1414" spans="1:40" x14ac:dyDescent="0.25">
      <c r="A1414" t="str">
        <f>"20190312154535228"</f>
        <v>20190312154535228</v>
      </c>
      <c r="B1414" t="str">
        <f>"1552376735217729"</f>
        <v>1552376735217729</v>
      </c>
      <c r="C1414" t="s">
        <v>40</v>
      </c>
      <c r="D1414">
        <v>4.8612970000000004</v>
      </c>
      <c r="E1414">
        <v>0.4992722</v>
      </c>
      <c r="F1414" t="s">
        <v>41</v>
      </c>
      <c r="G1414">
        <v>-228.12010000000001</v>
      </c>
      <c r="H1414">
        <v>1.020886</v>
      </c>
      <c r="I1414">
        <v>283.4769</v>
      </c>
      <c r="J1414">
        <v>-227.45429999999999</v>
      </c>
      <c r="K1414">
        <v>1.1080589999999999</v>
      </c>
      <c r="L1414">
        <v>283.4667</v>
      </c>
      <c r="M1414">
        <v>-0.99758230000000003</v>
      </c>
      <c r="N1414">
        <v>0</v>
      </c>
      <c r="O1414">
        <v>-6.947006E-2</v>
      </c>
      <c r="P1414">
        <v>-0.99906260000000002</v>
      </c>
      <c r="Q1414">
        <v>4.3286409999999997E-2</v>
      </c>
      <c r="R1414">
        <v>3.3677339999999998E-4</v>
      </c>
      <c r="S1414">
        <v>-3.0153349999999999</v>
      </c>
      <c r="T1414">
        <v>-0.2983035</v>
      </c>
      <c r="U1414">
        <v>-1.6662599999999899E-2</v>
      </c>
      <c r="V1414">
        <v>6.9739570000000001E-2</v>
      </c>
      <c r="W1414">
        <v>4.1486099999999998E-2</v>
      </c>
      <c r="X1414">
        <v>0.99670219999999998</v>
      </c>
      <c r="Y1414">
        <v>6.3308950000000003E-2</v>
      </c>
      <c r="Z1414">
        <v>9.9752230000000001E-3</v>
      </c>
      <c r="AA1414">
        <v>0.9979441</v>
      </c>
      <c r="AB1414">
        <v>23</v>
      </c>
      <c r="AC1414">
        <v>-0.66580000000001804</v>
      </c>
      <c r="AD1414">
        <v>-8.7172999999999903E-2</v>
      </c>
      <c r="AE1414">
        <v>1.0199999999997499E-2</v>
      </c>
      <c r="AF1414">
        <v>5.5477793351530802E-2</v>
      </c>
      <c r="AG1414">
        <v>-8.7172999999999903E-2</v>
      </c>
      <c r="AH1414">
        <v>0.65230330697884398</v>
      </c>
      <c r="AI1414">
        <v>97.584774496841902</v>
      </c>
      <c r="AJ1414">
        <v>85.138745430315595</v>
      </c>
      <c r="AK1414">
        <v>0.66043661450565505</v>
      </c>
      <c r="AL1414">
        <v>87.622339173784297</v>
      </c>
      <c r="AM1414">
        <v>85.997519416987501</v>
      </c>
      <c r="AN1414">
        <v>0.99999998980091698</v>
      </c>
    </row>
    <row r="1415" spans="1:40" x14ac:dyDescent="0.25">
      <c r="A1415" t="str">
        <f>"20190312154535250"</f>
        <v>20190312154535250</v>
      </c>
      <c r="B1415" t="str">
        <f>"1552376735238225"</f>
        <v>1552376735238225</v>
      </c>
      <c r="C1415" t="s">
        <v>40</v>
      </c>
      <c r="D1415">
        <v>4.8744129999999997</v>
      </c>
      <c r="E1415">
        <v>0.49910680000000002</v>
      </c>
      <c r="F1415" t="s">
        <v>41</v>
      </c>
      <c r="G1415">
        <v>-228.33439999999999</v>
      </c>
      <c r="H1415">
        <v>1.0239769999999999</v>
      </c>
      <c r="I1415">
        <v>283.46089999999998</v>
      </c>
      <c r="J1415">
        <v>-227.68889999999999</v>
      </c>
      <c r="K1415">
        <v>1.1080540000000001</v>
      </c>
      <c r="L1415">
        <v>283.4504</v>
      </c>
      <c r="M1415">
        <v>-0.99757899999999999</v>
      </c>
      <c r="N1415">
        <v>0</v>
      </c>
      <c r="O1415">
        <v>-6.9519070000000002E-2</v>
      </c>
      <c r="P1415">
        <v>-0.99904329999999997</v>
      </c>
      <c r="Q1415">
        <v>4.3730829999999998E-2</v>
      </c>
      <c r="R1415">
        <v>-5.1588220000000002E-4</v>
      </c>
      <c r="S1415">
        <v>-3.0153349999999999</v>
      </c>
      <c r="T1415">
        <v>-0.28816969999999997</v>
      </c>
      <c r="U1415">
        <v>-2.056885E-2</v>
      </c>
      <c r="V1415">
        <v>6.8936590000000006E-2</v>
      </c>
      <c r="W1415">
        <v>4.1907739999999999E-2</v>
      </c>
      <c r="X1415">
        <v>0.99674050000000003</v>
      </c>
      <c r="Y1415">
        <v>6.2113549999999997E-2</v>
      </c>
      <c r="Z1415">
        <v>9.5854770000000002E-3</v>
      </c>
      <c r="AA1415">
        <v>0.99802299999999999</v>
      </c>
      <c r="AB1415">
        <v>24</v>
      </c>
      <c r="AC1415">
        <v>-0.64549999999999796</v>
      </c>
      <c r="AD1415">
        <v>-8.4076999999999902E-2</v>
      </c>
      <c r="AE1415">
        <v>1.0499999999979E-2</v>
      </c>
      <c r="AF1415">
        <v>5.4426116837939402E-2</v>
      </c>
      <c r="AG1415">
        <v>-8.4076999999999902E-2</v>
      </c>
      <c r="AH1415">
        <v>0.63248093582243503</v>
      </c>
      <c r="AI1415">
        <v>97.544494363248702</v>
      </c>
      <c r="AJ1415">
        <v>85.081711547584902</v>
      </c>
      <c r="AK1415">
        <v>0.64036183388915402</v>
      </c>
      <c r="AL1415">
        <v>87.598160140817498</v>
      </c>
      <c r="AM1415">
        <v>86.043608233308603</v>
      </c>
      <c r="AN1415">
        <v>1.00000006822649</v>
      </c>
    </row>
    <row r="1416" spans="1:40" x14ac:dyDescent="0.25">
      <c r="A1416" t="str">
        <f>"20190312154535272"</f>
        <v>20190312154535272</v>
      </c>
      <c r="B1416" t="str">
        <f>"1552376735267506"</f>
        <v>1552376735267506</v>
      </c>
      <c r="C1416" t="s">
        <v>40</v>
      </c>
      <c r="D1416">
        <v>4.8713949999999997</v>
      </c>
      <c r="E1416">
        <v>0.49900899999999998</v>
      </c>
      <c r="F1416" t="s">
        <v>41</v>
      </c>
      <c r="G1416">
        <v>-228.55099999999999</v>
      </c>
      <c r="H1416">
        <v>1.027687</v>
      </c>
      <c r="I1416">
        <v>283.44330000000002</v>
      </c>
      <c r="J1416">
        <v>-227.92529999999999</v>
      </c>
      <c r="K1416">
        <v>1.1080479999999999</v>
      </c>
      <c r="L1416">
        <v>283.43380000000002</v>
      </c>
      <c r="M1416">
        <v>-0.99757549999999995</v>
      </c>
      <c r="N1416">
        <v>0</v>
      </c>
      <c r="O1416">
        <v>-6.9567840000000006E-2</v>
      </c>
      <c r="P1416">
        <v>-0.99905619999999995</v>
      </c>
      <c r="Q1416">
        <v>4.3412369999999999E-2</v>
      </c>
      <c r="R1416">
        <v>-1.3970689999999999E-3</v>
      </c>
      <c r="S1416">
        <v>-3.0151669999999999</v>
      </c>
      <c r="T1416">
        <v>-0.28112779999999998</v>
      </c>
      <c r="U1416">
        <v>-2.4688720000000001E-2</v>
      </c>
      <c r="V1416">
        <v>6.8106899999999998E-2</v>
      </c>
      <c r="W1416">
        <v>4.1579480000000002E-2</v>
      </c>
      <c r="X1416">
        <v>0.99681120000000001</v>
      </c>
      <c r="Y1416">
        <v>6.0832480000000001E-2</v>
      </c>
      <c r="Z1416">
        <v>9.2975939999999993E-3</v>
      </c>
      <c r="AA1416">
        <v>0.99810469999999896</v>
      </c>
      <c r="AB1416">
        <v>24</v>
      </c>
      <c r="AC1416">
        <v>-0.62569999999999404</v>
      </c>
      <c r="AD1416">
        <v>-8.0360999999999905E-2</v>
      </c>
      <c r="AE1416">
        <v>9.5000000000027198E-3</v>
      </c>
      <c r="AF1416">
        <v>5.2145698825269003E-2</v>
      </c>
      <c r="AG1416">
        <v>-8.0360999999999905E-2</v>
      </c>
      <c r="AH1416">
        <v>0.61340720701398899</v>
      </c>
      <c r="AI1416">
        <v>97.437153315904993</v>
      </c>
      <c r="AJ1416">
        <v>85.140972670325297</v>
      </c>
      <c r="AK1416">
        <v>0.62084254513014703</v>
      </c>
      <c r="AL1416">
        <v>87.616984263572604</v>
      </c>
      <c r="AM1416">
        <v>86.091353470193894</v>
      </c>
      <c r="AN1416">
        <v>0.99999998571505999</v>
      </c>
    </row>
    <row r="1417" spans="1:40" x14ac:dyDescent="0.25">
      <c r="A1417" t="str">
        <f>"20190312154535294"</f>
        <v>20190312154535294</v>
      </c>
      <c r="B1417" t="str">
        <f>"1552376735288001"</f>
        <v>1552376735288001</v>
      </c>
      <c r="C1417" t="s">
        <v>40</v>
      </c>
      <c r="D1417">
        <v>4.9169850000000004</v>
      </c>
      <c r="E1417">
        <v>0.49893280000000001</v>
      </c>
      <c r="F1417" t="s">
        <v>41</v>
      </c>
      <c r="G1417">
        <v>-228.76939999999999</v>
      </c>
      <c r="H1417">
        <v>1.0310539999999999</v>
      </c>
      <c r="I1417">
        <v>283.42599999999999</v>
      </c>
      <c r="J1417">
        <v>-228.17500000000001</v>
      </c>
      <c r="K1417">
        <v>1.108039</v>
      </c>
      <c r="L1417">
        <v>283.41640000000001</v>
      </c>
      <c r="M1417">
        <v>-0.99757209999999996</v>
      </c>
      <c r="N1417">
        <v>0</v>
      </c>
      <c r="O1417">
        <v>-6.9619810000000004E-2</v>
      </c>
      <c r="P1417">
        <v>-0.99905929999999998</v>
      </c>
      <c r="Q1417">
        <v>4.3312120000000003E-2</v>
      </c>
      <c r="R1417">
        <v>-2.2255299999999999E-3</v>
      </c>
      <c r="S1417">
        <v>-3.0147710000000001</v>
      </c>
      <c r="T1417">
        <v>-0.27509899999999998</v>
      </c>
      <c r="U1417">
        <v>-2.8137209999999999E-2</v>
      </c>
      <c r="V1417">
        <v>6.7332610000000001E-2</v>
      </c>
      <c r="W1417">
        <v>4.1481810000000001E-2</v>
      </c>
      <c r="X1417">
        <v>0.99686790000000003</v>
      </c>
      <c r="Y1417">
        <v>5.9769740000000002E-2</v>
      </c>
      <c r="Z1417">
        <v>9.056461E-3</v>
      </c>
      <c r="AA1417">
        <v>0.99817109999999998</v>
      </c>
      <c r="AB1417">
        <v>24</v>
      </c>
      <c r="AC1417">
        <v>-0.59439999999997895</v>
      </c>
      <c r="AD1417">
        <v>-7.6984999999999804E-2</v>
      </c>
      <c r="AE1417">
        <v>9.5999999999776195E-3</v>
      </c>
      <c r="AF1417">
        <v>5.0118283670119397E-2</v>
      </c>
      <c r="AG1417">
        <v>-7.6984999999999804E-2</v>
      </c>
      <c r="AH1417">
        <v>0.58252033810424397</v>
      </c>
      <c r="AI1417">
        <v>97.501100193538704</v>
      </c>
      <c r="AJ1417">
        <v>85.082554561460199</v>
      </c>
      <c r="AK1417">
        <v>0.58971898128525702</v>
      </c>
      <c r="AL1417">
        <v>87.622585245563798</v>
      </c>
      <c r="AM1417">
        <v>86.135873602320999</v>
      </c>
      <c r="AN1417">
        <v>1.0000000154903399</v>
      </c>
    </row>
    <row r="1418" spans="1:40" x14ac:dyDescent="0.25">
      <c r="A1418" t="str">
        <f>"20190312154535316"</f>
        <v>20190312154535316</v>
      </c>
      <c r="B1418" t="str">
        <f>"1552376735307521"</f>
        <v>1552376735307521</v>
      </c>
      <c r="C1418" t="s">
        <v>40</v>
      </c>
      <c r="D1418">
        <v>4.8723789999999996</v>
      </c>
      <c r="E1418">
        <v>0.49875900000000001</v>
      </c>
      <c r="F1418" t="s">
        <v>41</v>
      </c>
      <c r="G1418">
        <v>-228.98990000000001</v>
      </c>
      <c r="H1418">
        <v>1.034375</v>
      </c>
      <c r="I1418">
        <v>283.40780000000001</v>
      </c>
      <c r="J1418">
        <v>-228.4093</v>
      </c>
      <c r="K1418">
        <v>1.108028</v>
      </c>
      <c r="L1418">
        <v>283.3999</v>
      </c>
      <c r="M1418">
        <v>-0.99756869999999997</v>
      </c>
      <c r="N1418">
        <v>0</v>
      </c>
      <c r="O1418">
        <v>-6.9668430000000003E-2</v>
      </c>
      <c r="P1418">
        <v>-0.99904329999999997</v>
      </c>
      <c r="Q1418">
        <v>4.3636979999999999E-2</v>
      </c>
      <c r="R1418">
        <v>-2.9715789999999998E-3</v>
      </c>
      <c r="S1418">
        <v>-3.0145719999999998</v>
      </c>
      <c r="T1418">
        <v>-0.272532</v>
      </c>
      <c r="U1418">
        <v>-3.1555180000000002E-2</v>
      </c>
      <c r="V1418">
        <v>6.6635890000000003E-2</v>
      </c>
      <c r="W1418">
        <v>4.1819120000000001E-2</v>
      </c>
      <c r="X1418">
        <v>0.99690060000000003</v>
      </c>
      <c r="Y1418">
        <v>5.8700179999999998E-2</v>
      </c>
      <c r="Z1418">
        <v>8.9289039999999997E-3</v>
      </c>
      <c r="AA1418">
        <v>0.99823569999999995</v>
      </c>
      <c r="AB1418">
        <v>24</v>
      </c>
      <c r="AC1418">
        <v>-0.580600000000004</v>
      </c>
      <c r="AD1418">
        <v>-7.3652999999999899E-2</v>
      </c>
      <c r="AE1418">
        <v>7.9000000000064505E-3</v>
      </c>
      <c r="AF1418">
        <v>4.7565050938560102E-2</v>
      </c>
      <c r="AG1418">
        <v>-7.3652999999999899E-2</v>
      </c>
      <c r="AH1418">
        <v>0.569476205073011</v>
      </c>
      <c r="AI1418">
        <v>97.344127942221405</v>
      </c>
      <c r="AJ1418">
        <v>85.225497397663105</v>
      </c>
      <c r="AK1418">
        <v>0.57618603473543695</v>
      </c>
      <c r="AL1418">
        <v>87.6032419683238</v>
      </c>
      <c r="AM1418">
        <v>86.175863216110301</v>
      </c>
      <c r="AN1418">
        <v>0.99999999345701296</v>
      </c>
    </row>
    <row r="1419" spans="1:40" x14ac:dyDescent="0.25">
      <c r="A1419" t="str">
        <f>"20190312154535339"</f>
        <v>20190312154535339</v>
      </c>
      <c r="B1419" t="str">
        <f>"1552376735328030"</f>
        <v>1552376735328030</v>
      </c>
      <c r="C1419" t="s">
        <v>40</v>
      </c>
      <c r="D1419">
        <v>4.8811549999999997</v>
      </c>
      <c r="E1419">
        <v>0.47759010000000002</v>
      </c>
      <c r="F1419" t="s">
        <v>41</v>
      </c>
      <c r="G1419">
        <v>-229.21170000000001</v>
      </c>
      <c r="H1419">
        <v>1.0363579999999999</v>
      </c>
      <c r="I1419">
        <v>283.39069999999998</v>
      </c>
      <c r="J1419">
        <v>-228.66679999999999</v>
      </c>
      <c r="K1419">
        <v>1.108025</v>
      </c>
      <c r="L1419">
        <v>283.38189999999997</v>
      </c>
      <c r="M1419">
        <v>-0.99756489999999998</v>
      </c>
      <c r="N1419">
        <v>0</v>
      </c>
      <c r="O1419">
        <v>-6.9721820000000004E-2</v>
      </c>
      <c r="P1419">
        <v>-0.99901030000000002</v>
      </c>
      <c r="Q1419">
        <v>4.4300300000000001E-2</v>
      </c>
      <c r="R1419">
        <v>-4.0039159999999997E-3</v>
      </c>
      <c r="S1419">
        <v>-3.0145420000000001</v>
      </c>
      <c r="T1419">
        <v>-0.26944200000000001</v>
      </c>
      <c r="U1419">
        <v>-3.5186769999999999E-2</v>
      </c>
      <c r="V1419">
        <v>6.5656969999999995E-2</v>
      </c>
      <c r="W1419">
        <v>4.2508490000000003E-2</v>
      </c>
      <c r="X1419">
        <v>0.99693639999999994</v>
      </c>
      <c r="Y1419">
        <v>5.7567109999999998E-2</v>
      </c>
      <c r="Z1419">
        <v>8.7822549999999992E-3</v>
      </c>
      <c r="AA1419">
        <v>0.99830300000000005</v>
      </c>
      <c r="AB1419">
        <v>25</v>
      </c>
      <c r="AC1419">
        <v>-0.54490000000001204</v>
      </c>
      <c r="AD1419">
        <v>-7.1667000000000106E-2</v>
      </c>
      <c r="AE1419">
        <v>8.8000000000079091E-3</v>
      </c>
      <c r="AF1419">
        <v>4.5974980013733999E-2</v>
      </c>
      <c r="AG1419">
        <v>-7.1667000000000106E-2</v>
      </c>
      <c r="AH1419">
        <v>0.53373016679434604</v>
      </c>
      <c r="AI1419">
        <v>97.619804586414105</v>
      </c>
      <c r="AJ1419">
        <v>85.076751864383795</v>
      </c>
      <c r="AK1419">
        <v>0.54047918426391195</v>
      </c>
      <c r="AL1419">
        <v>87.563708829323105</v>
      </c>
      <c r="AM1419">
        <v>86.232013884360398</v>
      </c>
      <c r="AN1419">
        <v>0.99999999753831004</v>
      </c>
    </row>
    <row r="1420" spans="1:40" x14ac:dyDescent="0.25">
      <c r="A1420" t="str">
        <f>"20190312154535363"</f>
        <v>20190312154535363</v>
      </c>
      <c r="B1420" t="str">
        <f>"1552376735347537"</f>
        <v>1552376735347537</v>
      </c>
      <c r="C1420" t="s">
        <v>40</v>
      </c>
      <c r="D1420">
        <v>4.8772669999999998</v>
      </c>
      <c r="E1420">
        <v>0.47519309999999998</v>
      </c>
      <c r="F1420" t="s">
        <v>54</v>
      </c>
      <c r="G1420">
        <v>-257.48419999999999</v>
      </c>
      <c r="H1420" s="1">
        <v>2.4459090000000002E-6</v>
      </c>
      <c r="I1420">
        <v>281.45299999999997</v>
      </c>
      <c r="J1420">
        <v>-228.92259999999999</v>
      </c>
      <c r="K1420">
        <v>1.108025</v>
      </c>
      <c r="L1420">
        <v>283.36399999999998</v>
      </c>
      <c r="M1420">
        <v>-0.99756140000000004</v>
      </c>
      <c r="N1420">
        <v>0</v>
      </c>
      <c r="O1420">
        <v>-6.9774230000000007E-2</v>
      </c>
      <c r="P1420">
        <v>-0.99900259999999996</v>
      </c>
      <c r="Q1420">
        <v>4.4470229999999999E-2</v>
      </c>
      <c r="R1420">
        <v>-4.0885499999999998E-3</v>
      </c>
      <c r="S1420">
        <v>-3.0072939999999999</v>
      </c>
      <c r="T1420">
        <v>-0.11562989999999999</v>
      </c>
      <c r="U1420">
        <v>-0.2012939</v>
      </c>
      <c r="V1420">
        <v>6.5624360000000007E-2</v>
      </c>
      <c r="W1420">
        <v>4.2720019999999997E-2</v>
      </c>
      <c r="X1420">
        <v>0.99692950000000002</v>
      </c>
      <c r="Y1420">
        <v>2.9421429999999999E-3</v>
      </c>
      <c r="Z1420">
        <v>2.7321099999999998E-3</v>
      </c>
      <c r="AA1420">
        <v>0.99999199999999999</v>
      </c>
      <c r="AB1420">
        <v>25</v>
      </c>
      <c r="AC1420">
        <v>-28.561599999999999</v>
      </c>
      <c r="AD1420">
        <v>-1.108022554091</v>
      </c>
      <c r="AE1420">
        <v>-1.91100000000005</v>
      </c>
      <c r="AF1420">
        <v>8.6394490809403604E-2</v>
      </c>
      <c r="AG1420">
        <v>-1.108022554091</v>
      </c>
      <c r="AH1420">
        <v>28.5825039308436</v>
      </c>
      <c r="AI1420">
        <v>92.219992823237504</v>
      </c>
      <c r="AJ1420">
        <v>89.826816270766102</v>
      </c>
      <c r="AK1420">
        <v>28.604103008923499</v>
      </c>
      <c r="AL1420">
        <v>87.551578020710096</v>
      </c>
      <c r="AM1420">
        <v>86.2338539603399</v>
      </c>
      <c r="AN1420">
        <v>0.99999999235223003</v>
      </c>
    </row>
    <row r="1421" spans="1:40" x14ac:dyDescent="0.25">
      <c r="A1421" t="str">
        <f>"20190312154535386"</f>
        <v>20190312154535386</v>
      </c>
      <c r="B1421" t="str">
        <f>"1552376735377793"</f>
        <v>1552376735377793</v>
      </c>
      <c r="C1421" t="s">
        <v>40</v>
      </c>
      <c r="D1421">
        <v>4.8710969999999998</v>
      </c>
      <c r="E1421">
        <v>0.47446899999999997</v>
      </c>
      <c r="F1421" t="s">
        <v>54</v>
      </c>
      <c r="G1421">
        <v>-257.91669999999999</v>
      </c>
      <c r="H1421" s="1">
        <v>2.6760739999999998E-6</v>
      </c>
      <c r="I1421">
        <v>281.23340000000002</v>
      </c>
      <c r="J1421">
        <v>-229.1867</v>
      </c>
      <c r="K1421">
        <v>1.1080270000000001</v>
      </c>
      <c r="L1421">
        <v>283.34550000000002</v>
      </c>
      <c r="M1421">
        <v>-0.99755749999999999</v>
      </c>
      <c r="N1421">
        <v>0</v>
      </c>
      <c r="O1421">
        <v>-6.9828420000000002E-2</v>
      </c>
      <c r="P1421">
        <v>-0.99902179999999996</v>
      </c>
      <c r="Q1421">
        <v>4.4033040000000002E-2</v>
      </c>
      <c r="R1421">
        <v>-4.0937450000000002E-3</v>
      </c>
      <c r="S1421">
        <v>-3.0071870000000001</v>
      </c>
      <c r="T1421">
        <v>-0.1149211</v>
      </c>
      <c r="U1421">
        <v>-0.2209778</v>
      </c>
      <c r="V1421">
        <v>6.5674529999999995E-2</v>
      </c>
      <c r="W1421">
        <v>4.2347460000000003E-2</v>
      </c>
      <c r="X1421">
        <v>0.99694210000000005</v>
      </c>
      <c r="Y1421">
        <v>-3.5139989999999999E-3</v>
      </c>
      <c r="Z1421">
        <v>2.5936079999999999E-3</v>
      </c>
      <c r="AA1421">
        <v>0.9999905</v>
      </c>
      <c r="AB1421">
        <v>25</v>
      </c>
      <c r="AC1421">
        <v>-28.729999999999901</v>
      </c>
      <c r="AD1421">
        <v>-1.1080243239259999</v>
      </c>
      <c r="AE1421">
        <v>-2.1120999999999901</v>
      </c>
      <c r="AF1421">
        <v>-0.100621981151503</v>
      </c>
      <c r="AG1421">
        <v>-1.1080243239259999</v>
      </c>
      <c r="AH1421">
        <v>28.7648004332124</v>
      </c>
      <c r="AI1421">
        <v>92.205937698494793</v>
      </c>
      <c r="AJ1421">
        <v>90.200425215677001</v>
      </c>
      <c r="AK1421">
        <v>28.786309013974702</v>
      </c>
      <c r="AL1421">
        <v>87.572943492699494</v>
      </c>
      <c r="AM1421">
        <v>86.231030525261104</v>
      </c>
      <c r="AN1421">
        <v>1.0000000010057899</v>
      </c>
    </row>
    <row r="1422" spans="1:40" x14ac:dyDescent="0.25">
      <c r="A1422" t="str">
        <f>"20190312154535408"</f>
        <v>20190312154535408</v>
      </c>
      <c r="B1422" t="str">
        <f>"1552376735398290"</f>
        <v>1552376735398290</v>
      </c>
      <c r="C1422" t="s">
        <v>40</v>
      </c>
      <c r="D1422">
        <v>4.8715580000000003</v>
      </c>
      <c r="E1422">
        <v>0.47453620000000002</v>
      </c>
      <c r="F1422" t="s">
        <v>54</v>
      </c>
      <c r="G1422">
        <v>-260.45760000000001</v>
      </c>
      <c r="H1422" s="1">
        <v>-1.293248E-6</v>
      </c>
      <c r="I1422">
        <v>280.99259999999998</v>
      </c>
      <c r="J1422">
        <v>-229.44239999999999</v>
      </c>
      <c r="K1422">
        <v>1.1080289999999999</v>
      </c>
      <c r="L1422">
        <v>283.32749999999999</v>
      </c>
      <c r="M1422">
        <v>-0.99755419999999995</v>
      </c>
      <c r="N1422">
        <v>0</v>
      </c>
      <c r="O1422">
        <v>-6.9880810000000002E-2</v>
      </c>
      <c r="P1422">
        <v>-0.99903889999999995</v>
      </c>
      <c r="Q1422">
        <v>4.3688820000000003E-2</v>
      </c>
      <c r="R1422">
        <v>-3.5877510000000001E-3</v>
      </c>
      <c r="S1422">
        <v>-3.0067140000000001</v>
      </c>
      <c r="T1422">
        <v>-0.1065372</v>
      </c>
      <c r="U1422">
        <v>-0.22622680000000001</v>
      </c>
      <c r="V1422">
        <v>6.6232700000000005E-2</v>
      </c>
      <c r="W1422">
        <v>4.2086400000000003E-2</v>
      </c>
      <c r="X1422">
        <v>0.99691620000000003</v>
      </c>
      <c r="Y1422">
        <v>-5.201392E-3</v>
      </c>
      <c r="Z1422">
        <v>2.3767060000000001E-3</v>
      </c>
      <c r="AA1422">
        <v>0.99998370000000003</v>
      </c>
      <c r="AB1422">
        <v>25</v>
      </c>
      <c r="AC1422">
        <v>-31.0152</v>
      </c>
      <c r="AD1422">
        <v>-1.108030293248</v>
      </c>
      <c r="AE1422">
        <v>-2.3349000000000002</v>
      </c>
      <c r="AF1422">
        <v>-0.16161707853411</v>
      </c>
      <c r="AG1422">
        <v>-1.108030293248</v>
      </c>
      <c r="AH1422">
        <v>31.063120789667501</v>
      </c>
      <c r="AI1422">
        <v>92.042862870707197</v>
      </c>
      <c r="AJ1422">
        <v>90.298099247857095</v>
      </c>
      <c r="AK1422">
        <v>31.083296549823999</v>
      </c>
      <c r="AL1422">
        <v>87.587914407765595</v>
      </c>
      <c r="AM1422">
        <v>86.198992973034706</v>
      </c>
      <c r="AN1422">
        <v>0.99999997271834395</v>
      </c>
    </row>
    <row r="1423" spans="1:40" x14ac:dyDescent="0.25">
      <c r="A1423" t="str">
        <f>"20190312154535431"</f>
        <v>20190312154535431</v>
      </c>
      <c r="B1423" t="str">
        <f>"1552376735427569"</f>
        <v>1552376735427569</v>
      </c>
      <c r="C1423" t="s">
        <v>40</v>
      </c>
      <c r="D1423">
        <v>4.9029439999999997</v>
      </c>
      <c r="E1423">
        <v>0.47420040000000002</v>
      </c>
      <c r="F1423" t="s">
        <v>54</v>
      </c>
      <c r="G1423">
        <v>-261.0204</v>
      </c>
      <c r="H1423" s="1">
        <v>-9.9380919999999898E-7</v>
      </c>
      <c r="I1423">
        <v>280.97559999999999</v>
      </c>
      <c r="J1423">
        <v>-229.71010000000001</v>
      </c>
      <c r="K1423">
        <v>1.1080369999999999</v>
      </c>
      <c r="L1423">
        <v>283.30869999999999</v>
      </c>
      <c r="M1423">
        <v>-0.99755050000000001</v>
      </c>
      <c r="N1423">
        <v>0</v>
      </c>
      <c r="O1423">
        <v>-6.9935689999999995E-2</v>
      </c>
      <c r="P1423">
        <v>-0.99903229999999998</v>
      </c>
      <c r="Q1423">
        <v>4.3887900000000001E-2</v>
      </c>
      <c r="R1423">
        <v>-2.9273200000000002E-3</v>
      </c>
      <c r="S1423">
        <v>-3.0066989999999998</v>
      </c>
      <c r="T1423">
        <v>-0.10550130000000001</v>
      </c>
      <c r="U1423">
        <v>-0.223938</v>
      </c>
      <c r="V1423">
        <v>6.6945920000000006E-2</v>
      </c>
      <c r="W1423">
        <v>4.2389860000000001E-2</v>
      </c>
      <c r="X1423">
        <v>0.99685570000000001</v>
      </c>
      <c r="Y1423">
        <v>-4.3895189999999997E-3</v>
      </c>
      <c r="Z1423">
        <v>2.3698410000000001E-3</v>
      </c>
      <c r="AA1423">
        <v>0.99998750000000003</v>
      </c>
      <c r="AB1423">
        <v>26</v>
      </c>
      <c r="AC1423">
        <v>-31.310299999999899</v>
      </c>
      <c r="AD1423">
        <v>-1.1080379938092</v>
      </c>
      <c r="AE1423">
        <v>-2.3331</v>
      </c>
      <c r="AF1423">
        <v>-0.13750651558650101</v>
      </c>
      <c r="AG1423">
        <v>-1.1080379938092</v>
      </c>
      <c r="AH1423">
        <v>31.357748914704601</v>
      </c>
      <c r="AI1423">
        <v>92.023706750057599</v>
      </c>
      <c r="AJ1423">
        <v>90.251245474342596</v>
      </c>
      <c r="AK1423">
        <v>31.377620579566099</v>
      </c>
      <c r="AL1423">
        <v>87.570511896594695</v>
      </c>
      <c r="AM1423">
        <v>86.157951679570601</v>
      </c>
      <c r="AN1423">
        <v>0.99999997152897702</v>
      </c>
    </row>
    <row r="1424" spans="1:40" x14ac:dyDescent="0.25">
      <c r="A1424" t="str">
        <f>"20190312154535452"</f>
        <v>20190312154535452</v>
      </c>
      <c r="B1424" t="str">
        <f>"1552376735448065"</f>
        <v>1552376735448065</v>
      </c>
      <c r="C1424" t="s">
        <v>40</v>
      </c>
      <c r="D1424">
        <v>4.9026199999999998</v>
      </c>
      <c r="E1424">
        <v>0.47392079999999998</v>
      </c>
      <c r="F1424" t="s">
        <v>54</v>
      </c>
      <c r="G1424">
        <v>-259.79500000000002</v>
      </c>
      <c r="H1424" s="1">
        <v>3.6756169999999998E-6</v>
      </c>
      <c r="I1424">
        <v>281.0582</v>
      </c>
      <c r="J1424">
        <v>-229.9572</v>
      </c>
      <c r="K1424">
        <v>1.1080540000000001</v>
      </c>
      <c r="L1424">
        <v>283.29129999999998</v>
      </c>
      <c r="M1424">
        <v>-0.99754710000000002</v>
      </c>
      <c r="N1424">
        <v>0</v>
      </c>
      <c r="O1424">
        <v>-6.9986880000000001E-2</v>
      </c>
      <c r="P1424">
        <v>-0.99902299999999999</v>
      </c>
      <c r="Q1424">
        <v>4.416262E-2</v>
      </c>
      <c r="R1424">
        <v>-1.755181E-3</v>
      </c>
      <c r="S1424">
        <v>-3.0071110000000001</v>
      </c>
      <c r="T1424">
        <v>-0.1107523</v>
      </c>
      <c r="U1424">
        <v>-0.22494510000000001</v>
      </c>
      <c r="V1424">
        <v>6.8165509999999999E-2</v>
      </c>
      <c r="W1424">
        <v>4.2777179999999998E-2</v>
      </c>
      <c r="X1424">
        <v>0.99675659999999999</v>
      </c>
      <c r="Y1424">
        <v>-4.6650370000000004E-3</v>
      </c>
      <c r="Z1424">
        <v>2.4841490000000002E-3</v>
      </c>
      <c r="AA1424">
        <v>0.99998609999999999</v>
      </c>
      <c r="AB1424">
        <v>26</v>
      </c>
      <c r="AC1424">
        <v>-29.837800000000001</v>
      </c>
      <c r="AD1424">
        <v>-1.108050324383</v>
      </c>
      <c r="AE1424">
        <v>-2.2330999999999701</v>
      </c>
      <c r="AF1424">
        <v>-0.13917714829248901</v>
      </c>
      <c r="AG1424">
        <v>-1.108050324383</v>
      </c>
      <c r="AH1424">
        <v>29.8799458695817</v>
      </c>
      <c r="AI1424">
        <v>92.123726789055993</v>
      </c>
      <c r="AJ1424">
        <v>90.266874831967996</v>
      </c>
      <c r="AK1424">
        <v>29.900807864823701</v>
      </c>
      <c r="AL1424">
        <v>87.548300192168</v>
      </c>
      <c r="AM1424">
        <v>86.087786664223202</v>
      </c>
      <c r="AN1424">
        <v>1.00000007176293</v>
      </c>
    </row>
    <row r="1425" spans="1:40" x14ac:dyDescent="0.25">
      <c r="A1425" t="str">
        <f>"20190312154535474"</f>
        <v>20190312154535474</v>
      </c>
      <c r="B1425" t="str">
        <f>"1552376735467585"</f>
        <v>1552376735467585</v>
      </c>
      <c r="C1425" t="s">
        <v>40</v>
      </c>
      <c r="D1425">
        <v>4.9058400000000004</v>
      </c>
      <c r="E1425">
        <v>0.47373520000000002</v>
      </c>
      <c r="F1425" t="s">
        <v>54</v>
      </c>
      <c r="G1425">
        <v>-259.72160000000002</v>
      </c>
      <c r="H1425" s="1">
        <v>3.6365900000000002E-6</v>
      </c>
      <c r="I1425">
        <v>281.07569999999998</v>
      </c>
      <c r="J1425">
        <v>-230.21530000000001</v>
      </c>
      <c r="K1425">
        <v>1.1080719999999999</v>
      </c>
      <c r="L1425">
        <v>283.27319999999997</v>
      </c>
      <c r="M1425">
        <v>-0.99754330000000002</v>
      </c>
      <c r="N1425">
        <v>0</v>
      </c>
      <c r="O1425">
        <v>-7.0040199999999997E-2</v>
      </c>
      <c r="P1425">
        <v>-0.9989673</v>
      </c>
      <c r="Q1425">
        <v>4.5430329999999998E-2</v>
      </c>
      <c r="R1425">
        <v>-7.0126629999999997E-4</v>
      </c>
      <c r="S1425">
        <v>-3.0074920000000001</v>
      </c>
      <c r="T1425">
        <v>-0.1119609</v>
      </c>
      <c r="U1425">
        <v>-0.22387699999999999</v>
      </c>
      <c r="V1425">
        <v>6.9266019999999998E-2</v>
      </c>
      <c r="W1425">
        <v>4.418014E-2</v>
      </c>
      <c r="X1425">
        <v>0.99661949999999999</v>
      </c>
      <c r="Y1425">
        <v>-4.2502410000000001E-3</v>
      </c>
      <c r="Z1425">
        <v>2.5206439999999998E-3</v>
      </c>
      <c r="AA1425">
        <v>0.99998779999999998</v>
      </c>
      <c r="AB1425">
        <v>26</v>
      </c>
      <c r="AC1425">
        <v>-29.5063</v>
      </c>
      <c r="AD1425">
        <v>-1.1080683634099999</v>
      </c>
      <c r="AE1425">
        <v>-2.19749999999999</v>
      </c>
      <c r="AF1425">
        <v>-0.12529862661307301</v>
      </c>
      <c r="AG1425">
        <v>-1.1080683634099999</v>
      </c>
      <c r="AH1425">
        <v>29.5463123176282</v>
      </c>
      <c r="AI1425">
        <v>92.147724249179902</v>
      </c>
      <c r="AJ1425">
        <v>90.242975819480293</v>
      </c>
      <c r="AK1425">
        <v>29.5673483223411</v>
      </c>
      <c r="AL1425">
        <v>87.467840355525396</v>
      </c>
      <c r="AM1425">
        <v>86.024281052493606</v>
      </c>
      <c r="AN1425">
        <v>1.0000000470386501</v>
      </c>
    </row>
    <row r="1426" spans="1:40" x14ac:dyDescent="0.25">
      <c r="A1426" t="str">
        <f>"20190312154535496"</f>
        <v>20190312154535496</v>
      </c>
      <c r="B1426" t="str">
        <f>"1552376735488081"</f>
        <v>1552376735488081</v>
      </c>
      <c r="C1426" t="s">
        <v>40</v>
      </c>
      <c r="D1426">
        <v>4.8090020000000004</v>
      </c>
      <c r="E1426">
        <v>0.47369820000000001</v>
      </c>
      <c r="F1426" t="s">
        <v>54</v>
      </c>
      <c r="G1426">
        <v>-260.4914</v>
      </c>
      <c r="H1426" s="1">
        <v>-1.2753159999999999E-6</v>
      </c>
      <c r="I1426">
        <v>281.03120000000001</v>
      </c>
      <c r="J1426">
        <v>-230.4796</v>
      </c>
      <c r="K1426">
        <v>1.10809</v>
      </c>
      <c r="L1426">
        <v>283.25450000000001</v>
      </c>
      <c r="M1426">
        <v>-0.99753990000000003</v>
      </c>
      <c r="N1426">
        <v>0</v>
      </c>
      <c r="O1426">
        <v>-7.0095080000000004E-2</v>
      </c>
      <c r="P1426">
        <v>-0.99893220000000005</v>
      </c>
      <c r="Q1426">
        <v>4.6201739999999998E-2</v>
      </c>
      <c r="R1426">
        <v>6.1206499999999996E-4</v>
      </c>
      <c r="S1426">
        <v>-3.007965</v>
      </c>
      <c r="T1426">
        <v>-0.1100887</v>
      </c>
      <c r="U1426">
        <v>-0.2227478</v>
      </c>
      <c r="V1426">
        <v>7.0628369999999996E-2</v>
      </c>
      <c r="W1426">
        <v>4.510952E-2</v>
      </c>
      <c r="X1426">
        <v>0.99648219999999998</v>
      </c>
      <c r="Y1426">
        <v>-3.8091169999999999E-3</v>
      </c>
      <c r="Z1426">
        <v>2.4882340000000002E-3</v>
      </c>
      <c r="AA1426">
        <v>0.99998960000000003</v>
      </c>
      <c r="AB1426">
        <v>26</v>
      </c>
      <c r="AC1426">
        <v>-30.011799999999901</v>
      </c>
      <c r="AD1426">
        <v>-1.1080912753159999</v>
      </c>
      <c r="AE1426">
        <v>-2.2232999999999898</v>
      </c>
      <c r="AF1426">
        <v>-0.113996430571789</v>
      </c>
      <c r="AG1426">
        <v>-1.1080912753159999</v>
      </c>
      <c r="AH1426">
        <v>30.053077372242001</v>
      </c>
      <c r="AI1426">
        <v>92.111589081339105</v>
      </c>
      <c r="AJ1426">
        <v>90.217331587885198</v>
      </c>
      <c r="AK1426">
        <v>30.073714785549502</v>
      </c>
      <c r="AL1426">
        <v>87.414537549321494</v>
      </c>
      <c r="AM1426">
        <v>85.945786633487003</v>
      </c>
      <c r="AN1426">
        <v>1.0000000051801601</v>
      </c>
    </row>
    <row r="1427" spans="1:40" x14ac:dyDescent="0.25">
      <c r="A1427" t="str">
        <f>"20190312154535518"</f>
        <v>20190312154535518</v>
      </c>
      <c r="B1427" t="str">
        <f>"1552376735507602"</f>
        <v>1552376735507602</v>
      </c>
      <c r="C1427" t="s">
        <v>40</v>
      </c>
      <c r="D1427">
        <v>4.8261390000000004</v>
      </c>
      <c r="E1427">
        <v>0.4741785</v>
      </c>
      <c r="F1427" t="s">
        <v>54</v>
      </c>
      <c r="G1427">
        <v>-261.49579999999997</v>
      </c>
      <c r="H1427" s="1">
        <v>-7.4080799999999997E-7</v>
      </c>
      <c r="I1427">
        <v>280.99160000000001</v>
      </c>
      <c r="J1427">
        <v>-230.7433</v>
      </c>
      <c r="K1427">
        <v>1.108112</v>
      </c>
      <c r="L1427">
        <v>283.23599999999999</v>
      </c>
      <c r="M1427">
        <v>-0.99753610000000004</v>
      </c>
      <c r="N1427">
        <v>0</v>
      </c>
      <c r="O1427">
        <v>-7.0149240000000002E-2</v>
      </c>
      <c r="P1427">
        <v>-0.99890950000000001</v>
      </c>
      <c r="Q1427">
        <v>4.6622950000000003E-2</v>
      </c>
      <c r="R1427">
        <v>2.4571660000000002E-3</v>
      </c>
      <c r="S1427">
        <v>-3.0083160000000002</v>
      </c>
      <c r="T1427">
        <v>-0.1074758</v>
      </c>
      <c r="U1427">
        <v>-0.21948239999999999</v>
      </c>
      <c r="V1427">
        <v>7.2521050000000004E-2</v>
      </c>
      <c r="W1427">
        <v>4.5707329999999997E-2</v>
      </c>
      <c r="X1427">
        <v>0.99631899999999995</v>
      </c>
      <c r="Y1427">
        <v>-2.6653219999999999E-3</v>
      </c>
      <c r="Z1427">
        <v>2.451375E-3</v>
      </c>
      <c r="AA1427">
        <v>0.99999340000000003</v>
      </c>
      <c r="AB1427">
        <v>26</v>
      </c>
      <c r="AC1427">
        <v>-30.752499999999898</v>
      </c>
      <c r="AD1427">
        <v>-1.108112740808</v>
      </c>
      <c r="AE1427">
        <v>-2.2443999999999802</v>
      </c>
      <c r="AF1427">
        <v>-8.1500293960003994E-2</v>
      </c>
      <c r="AG1427">
        <v>-1.108112740808</v>
      </c>
      <c r="AH1427">
        <v>30.794412919432101</v>
      </c>
      <c r="AI1427">
        <v>92.060847171570799</v>
      </c>
      <c r="AJ1427">
        <v>90.151638285247401</v>
      </c>
      <c r="AK1427">
        <v>30.814451531655401</v>
      </c>
      <c r="AL1427">
        <v>87.380250194577997</v>
      </c>
      <c r="AM1427">
        <v>85.836840401133003</v>
      </c>
      <c r="AN1427">
        <v>1.0000000062349099</v>
      </c>
    </row>
    <row r="1428" spans="1:40" x14ac:dyDescent="0.25">
      <c r="A1428" t="str">
        <f>"20190312154535541"</f>
        <v>20190312154535541</v>
      </c>
      <c r="B1428" t="str">
        <f>"1552376735528097"</f>
        <v>1552376735528097</v>
      </c>
      <c r="C1428" t="s">
        <v>40</v>
      </c>
      <c r="D1428">
        <v>4.8941869999999996</v>
      </c>
      <c r="E1428">
        <v>0.47419289999999997</v>
      </c>
      <c r="F1428" t="s">
        <v>54</v>
      </c>
      <c r="G1428">
        <v>-262.61590000000001</v>
      </c>
      <c r="H1428" s="1">
        <v>-1.4475209999999999E-7</v>
      </c>
      <c r="I1428">
        <v>281.0059</v>
      </c>
      <c r="J1428">
        <v>-231.01079999999999</v>
      </c>
      <c r="K1428">
        <v>1.108133</v>
      </c>
      <c r="L1428">
        <v>283.21710000000002</v>
      </c>
      <c r="M1428">
        <v>-0.99753250000000004</v>
      </c>
      <c r="N1428">
        <v>0</v>
      </c>
      <c r="O1428">
        <v>-7.0204359999999993E-2</v>
      </c>
      <c r="P1428">
        <v>-0.99892570000000003</v>
      </c>
      <c r="Q1428">
        <v>4.6122700000000003E-2</v>
      </c>
      <c r="R1428">
        <v>4.5341499999999998E-3</v>
      </c>
      <c r="S1428">
        <v>-3.008667</v>
      </c>
      <c r="T1428">
        <v>-0.1046021</v>
      </c>
      <c r="U1428">
        <v>-0.21051030000000001</v>
      </c>
      <c r="V1428">
        <v>7.4649389999999996E-2</v>
      </c>
      <c r="W1428">
        <v>4.5403430000000002E-2</v>
      </c>
      <c r="X1428">
        <v>0.9961757</v>
      </c>
      <c r="Y1428">
        <v>3.6574189999999998E-4</v>
      </c>
      <c r="Z1428">
        <v>2.4404269999999998E-3</v>
      </c>
      <c r="AA1428">
        <v>0.99999700000000002</v>
      </c>
      <c r="AB1428">
        <v>27</v>
      </c>
      <c r="AC1428">
        <v>-31.6051</v>
      </c>
      <c r="AD1428">
        <v>-1.1081331447520999</v>
      </c>
      <c r="AE1428">
        <v>-2.2112000000000198</v>
      </c>
      <c r="AF1428">
        <v>1.3055983959066699E-2</v>
      </c>
      <c r="AG1428">
        <v>-1.1081331447520999</v>
      </c>
      <c r="AH1428">
        <v>31.6436433138004</v>
      </c>
      <c r="AI1428">
        <v>92.005629105004203</v>
      </c>
      <c r="AJ1428">
        <v>89.976360094557407</v>
      </c>
      <c r="AK1428">
        <v>31.6630429948898</v>
      </c>
      <c r="AL1428">
        <v>87.397680498214697</v>
      </c>
      <c r="AM1428">
        <v>85.714494952186399</v>
      </c>
      <c r="AN1428">
        <v>1.0000000140768099</v>
      </c>
    </row>
    <row r="1429" spans="1:40" x14ac:dyDescent="0.25">
      <c r="A1429" t="str">
        <f>"20190312154535562"</f>
        <v>20190312154535562</v>
      </c>
      <c r="B1429" t="str">
        <f>"1552376735547617"</f>
        <v>1552376735547617</v>
      </c>
      <c r="C1429" t="s">
        <v>40</v>
      </c>
      <c r="D1429">
        <v>4.8667030000000002</v>
      </c>
      <c r="E1429">
        <v>0.49134820000000001</v>
      </c>
      <c r="F1429" t="s">
        <v>54</v>
      </c>
      <c r="G1429">
        <v>-262.49790000000002</v>
      </c>
      <c r="H1429" s="1">
        <v>-2.075409E-7</v>
      </c>
      <c r="I1429">
        <v>281.07850000000002</v>
      </c>
      <c r="J1429">
        <v>-231.26730000000001</v>
      </c>
      <c r="K1429">
        <v>1.108155</v>
      </c>
      <c r="L1429">
        <v>283.19900000000001</v>
      </c>
      <c r="M1429">
        <v>-0.99752890000000005</v>
      </c>
      <c r="N1429">
        <v>0</v>
      </c>
      <c r="O1429">
        <v>-7.0257230000000004E-2</v>
      </c>
      <c r="P1429">
        <v>-0.99891750000000001</v>
      </c>
      <c r="Q1429">
        <v>4.610881E-2</v>
      </c>
      <c r="R1429">
        <v>6.1694990000000002E-3</v>
      </c>
      <c r="S1429">
        <v>-3.0090180000000002</v>
      </c>
      <c r="T1429">
        <v>-0.1058973</v>
      </c>
      <c r="U1429">
        <v>-0.20437620000000001</v>
      </c>
      <c r="V1429">
        <v>7.6332730000000001E-2</v>
      </c>
      <c r="W1429">
        <v>4.5593010000000003E-2</v>
      </c>
      <c r="X1429">
        <v>0.99603949999999997</v>
      </c>
      <c r="Y1429">
        <v>2.453378E-3</v>
      </c>
      <c r="Z1429">
        <v>2.5090899999999998E-3</v>
      </c>
      <c r="AA1429">
        <v>0.99999389999999999</v>
      </c>
      <c r="AB1429">
        <v>27</v>
      </c>
      <c r="AC1429">
        <v>-31.230599999999999</v>
      </c>
      <c r="AD1429">
        <v>-1.1081552075409</v>
      </c>
      <c r="AE1429">
        <v>-2.1204999999999901</v>
      </c>
      <c r="AF1429">
        <v>7.8816637247220905E-2</v>
      </c>
      <c r="AG1429">
        <v>-1.1081552075409</v>
      </c>
      <c r="AH1429">
        <v>31.263225648920201</v>
      </c>
      <c r="AI1429">
        <v>92.030047846117199</v>
      </c>
      <c r="AJ1429">
        <v>89.855553897311495</v>
      </c>
      <c r="AK1429">
        <v>31.282958587729699</v>
      </c>
      <c r="AL1429">
        <v>87.386807190019894</v>
      </c>
      <c r="AM1429">
        <v>85.617632426544702</v>
      </c>
      <c r="AN1429">
        <v>1.00000004689518</v>
      </c>
    </row>
    <row r="1430" spans="1:40" x14ac:dyDescent="0.25">
      <c r="A1430" t="str">
        <f>"20190312154535587"</f>
        <v>20190312154535587</v>
      </c>
      <c r="B1430" t="str">
        <f>"1552376735577874"</f>
        <v>1552376735577874</v>
      </c>
      <c r="C1430" t="s">
        <v>40</v>
      </c>
      <c r="D1430">
        <v>4.8014449999999904</v>
      </c>
      <c r="E1430">
        <v>0.52383409999999997</v>
      </c>
      <c r="F1430" t="s">
        <v>41</v>
      </c>
      <c r="G1430">
        <v>-232.01339999999999</v>
      </c>
      <c r="H1430">
        <v>1.0477259999999999</v>
      </c>
      <c r="I1430">
        <v>283.18209999999999</v>
      </c>
      <c r="J1430">
        <v>-231.57060000000001</v>
      </c>
      <c r="K1430">
        <v>1.108187</v>
      </c>
      <c r="L1430">
        <v>283.17759999999998</v>
      </c>
      <c r="M1430">
        <v>-0.99752459999999998</v>
      </c>
      <c r="N1430">
        <v>0</v>
      </c>
      <c r="O1430">
        <v>-7.0319779999999998E-2</v>
      </c>
      <c r="P1430">
        <v>-0.99887809999999999</v>
      </c>
      <c r="Q1430">
        <v>4.665358E-2</v>
      </c>
      <c r="R1430">
        <v>8.1383959999999905E-3</v>
      </c>
      <c r="S1430">
        <v>-3.0149689999999998</v>
      </c>
      <c r="T1430">
        <v>-0.24439130000000001</v>
      </c>
      <c r="U1430">
        <v>-6.9580080000000002E-2</v>
      </c>
      <c r="V1430">
        <v>7.8356170000000003E-2</v>
      </c>
      <c r="W1430">
        <v>4.6401820000000003E-2</v>
      </c>
      <c r="X1430">
        <v>0.99584499999999998</v>
      </c>
      <c r="Y1430">
        <v>4.6902279999999998E-2</v>
      </c>
      <c r="Z1430">
        <v>7.5828739999999999E-3</v>
      </c>
      <c r="AA1430">
        <v>0.9988707</v>
      </c>
      <c r="AB1430">
        <v>27</v>
      </c>
      <c r="AC1430">
        <v>-0.44279999999997699</v>
      </c>
      <c r="AD1430">
        <v>-6.0461000000000098E-2</v>
      </c>
      <c r="AE1430">
        <v>4.5000000000072699E-3</v>
      </c>
      <c r="AF1430">
        <v>3.4974464660912599E-2</v>
      </c>
      <c r="AG1430">
        <v>-6.0461000000000098E-2</v>
      </c>
      <c r="AH1430">
        <v>0.43330968660352398</v>
      </c>
      <c r="AI1430">
        <v>97.917943753009297</v>
      </c>
      <c r="AJ1430">
        <v>85.385391740206103</v>
      </c>
      <c r="AK1430">
        <v>0.43890321279726502</v>
      </c>
      <c r="AL1430">
        <v>87.340416674588297</v>
      </c>
      <c r="AM1430">
        <v>85.501059629701103</v>
      </c>
      <c r="AN1430">
        <v>1.00000004115068</v>
      </c>
    </row>
    <row r="1431" spans="1:40" x14ac:dyDescent="0.25">
      <c r="A1431" t="str">
        <f>"20190312154535609"</f>
        <v>20190312154535609</v>
      </c>
      <c r="B1431" t="str">
        <f>"1552376735597394"</f>
        <v>1552376735597394</v>
      </c>
      <c r="C1431" t="s">
        <v>40</v>
      </c>
      <c r="D1431">
        <v>4.8186330000000002</v>
      </c>
      <c r="E1431">
        <v>0.52540799999999999</v>
      </c>
      <c r="F1431" t="s">
        <v>41</v>
      </c>
      <c r="G1431">
        <v>-232.44970000000001</v>
      </c>
      <c r="H1431">
        <v>0.92206169999999998</v>
      </c>
      <c r="I1431">
        <v>283.22859999999997</v>
      </c>
      <c r="J1431">
        <v>-231.83840000000001</v>
      </c>
      <c r="K1431">
        <v>1.1082259999999999</v>
      </c>
      <c r="L1431">
        <v>283.15870000000001</v>
      </c>
      <c r="M1431">
        <v>-0.99752070000000004</v>
      </c>
      <c r="N1431">
        <v>0</v>
      </c>
      <c r="O1431">
        <v>-7.0374850000000003E-2</v>
      </c>
      <c r="P1431">
        <v>-0.99881549999999997</v>
      </c>
      <c r="Q1431">
        <v>4.7750500000000001E-2</v>
      </c>
      <c r="R1431">
        <v>9.3674120000000003E-3</v>
      </c>
      <c r="S1431">
        <v>-3.031952</v>
      </c>
      <c r="T1431">
        <v>-0.64198089999999997</v>
      </c>
      <c r="U1431">
        <v>0.1752319</v>
      </c>
      <c r="V1431">
        <v>7.9632629999999996E-2</v>
      </c>
      <c r="W1431">
        <v>4.7753589999999999E-2</v>
      </c>
      <c r="X1431">
        <v>0.9956798</v>
      </c>
      <c r="Y1431">
        <v>0.1235261</v>
      </c>
      <c r="Z1431">
        <v>2.7647769999999999E-2</v>
      </c>
      <c r="AA1431">
        <v>0.99195610000000001</v>
      </c>
      <c r="AB1431">
        <v>27</v>
      </c>
      <c r="AC1431">
        <v>-0.61129999999999995</v>
      </c>
      <c r="AD1431">
        <v>-0.18616429999999901</v>
      </c>
      <c r="AE1431">
        <v>6.9899999999961396E-2</v>
      </c>
      <c r="AF1431">
        <v>0.10329089954719201</v>
      </c>
      <c r="AG1431">
        <v>-0.18616429999999901</v>
      </c>
      <c r="AH1431">
        <v>0.55413587904538097</v>
      </c>
      <c r="AI1431">
        <v>108.27661743790399</v>
      </c>
      <c r="AJ1431">
        <v>79.441244536537695</v>
      </c>
      <c r="AK1431">
        <v>0.59362675897330897</v>
      </c>
      <c r="AL1431">
        <v>87.262879907476304</v>
      </c>
      <c r="AM1431">
        <v>85.427322602058894</v>
      </c>
      <c r="AN1431">
        <v>1.0000000126233199</v>
      </c>
    </row>
    <row r="1432" spans="1:40" x14ac:dyDescent="0.25">
      <c r="A1432" t="str">
        <f>"20190312154535630"</f>
        <v>20190312154535630</v>
      </c>
      <c r="B1432" t="str">
        <f>"1552376735617890"</f>
        <v>1552376735617890</v>
      </c>
      <c r="C1432" t="s">
        <v>40</v>
      </c>
      <c r="D1432">
        <v>4.8194549999999996</v>
      </c>
      <c r="E1432">
        <v>0.52606759999999997</v>
      </c>
      <c r="F1432" t="s">
        <v>41</v>
      </c>
      <c r="G1432">
        <v>-232.6968</v>
      </c>
      <c r="H1432">
        <v>0.92264029999999997</v>
      </c>
      <c r="I1432">
        <v>283.21269999999998</v>
      </c>
      <c r="J1432">
        <v>-232.1044</v>
      </c>
      <c r="K1432">
        <v>1.108271</v>
      </c>
      <c r="L1432">
        <v>283.13990000000001</v>
      </c>
      <c r="M1432">
        <v>-0.99751679999999998</v>
      </c>
      <c r="N1432">
        <v>0</v>
      </c>
      <c r="O1432">
        <v>-7.0430309999999996E-2</v>
      </c>
      <c r="P1432">
        <v>-0.99879490000000004</v>
      </c>
      <c r="Q1432">
        <v>4.8074859999999997E-2</v>
      </c>
      <c r="R1432">
        <v>9.8961899999999992E-3</v>
      </c>
      <c r="S1432">
        <v>-3.0331419999999998</v>
      </c>
      <c r="T1432">
        <v>-0.65577549999999996</v>
      </c>
      <c r="U1432">
        <v>0.1904602</v>
      </c>
      <c r="V1432">
        <v>8.0213899999999894E-2</v>
      </c>
      <c r="W1432">
        <v>4.8348479999999999E-2</v>
      </c>
      <c r="X1432">
        <v>0.99560439999999994</v>
      </c>
      <c r="Y1432">
        <v>0.1282305</v>
      </c>
      <c r="Z1432">
        <v>2.8728409999999999E-2</v>
      </c>
      <c r="AA1432">
        <v>0.99132819999999999</v>
      </c>
      <c r="AB1432">
        <v>27</v>
      </c>
      <c r="AC1432">
        <v>-0.59239999999999704</v>
      </c>
      <c r="AD1432">
        <v>-0.18563069999999901</v>
      </c>
      <c r="AE1432">
        <v>7.2799999999972401E-2</v>
      </c>
      <c r="AF1432">
        <v>0.104257345603903</v>
      </c>
      <c r="AG1432">
        <v>-0.18563069999999901</v>
      </c>
      <c r="AH1432">
        <v>0.53413486273994104</v>
      </c>
      <c r="AI1432">
        <v>108.834420576387</v>
      </c>
      <c r="AJ1432">
        <v>78.955349242492005</v>
      </c>
      <c r="AK1432">
        <v>0.57500295867854201</v>
      </c>
      <c r="AL1432">
        <v>87.228755722388996</v>
      </c>
      <c r="AM1432">
        <v>85.393740601962094</v>
      </c>
      <c r="AN1432">
        <v>0.99999998328544004</v>
      </c>
    </row>
    <row r="1433" spans="1:40" x14ac:dyDescent="0.25">
      <c r="A1433" t="str">
        <f>"20190312154535652"</f>
        <v>20190312154535652</v>
      </c>
      <c r="B1433" t="str">
        <f>"1552376735637409"</f>
        <v>1552376735637409</v>
      </c>
      <c r="C1433" t="s">
        <v>40</v>
      </c>
      <c r="D1433">
        <v>4.815518</v>
      </c>
      <c r="E1433">
        <v>0.52650410000000003</v>
      </c>
      <c r="F1433" t="s">
        <v>41</v>
      </c>
      <c r="G1433">
        <v>-232.94579999999999</v>
      </c>
      <c r="H1433">
        <v>0.92504330000000001</v>
      </c>
      <c r="I1433">
        <v>283.19499999999999</v>
      </c>
      <c r="J1433">
        <v>-232.36429999999999</v>
      </c>
      <c r="K1433">
        <v>1.1083050000000001</v>
      </c>
      <c r="L1433">
        <v>283.12139999999999</v>
      </c>
      <c r="M1433">
        <v>-0.99751279999999998</v>
      </c>
      <c r="N1433">
        <v>0</v>
      </c>
      <c r="O1433">
        <v>-7.0484130000000006E-2</v>
      </c>
      <c r="P1433">
        <v>-0.99884669999999998</v>
      </c>
      <c r="Q1433">
        <v>4.705869E-2</v>
      </c>
      <c r="R1433">
        <v>9.5324769999999993E-3</v>
      </c>
      <c r="S1433">
        <v>-3.0334629999999998</v>
      </c>
      <c r="T1433">
        <v>-0.6606611</v>
      </c>
      <c r="U1433">
        <v>0.1975403</v>
      </c>
      <c r="V1433">
        <v>7.9908450000000006E-2</v>
      </c>
      <c r="W1433">
        <v>4.761547E-2</v>
      </c>
      <c r="X1433">
        <v>0.99566429999999995</v>
      </c>
      <c r="Y1433">
        <v>0.1304621</v>
      </c>
      <c r="Z1433">
        <v>2.9184330000000001E-2</v>
      </c>
      <c r="AA1433">
        <v>0.99102369999999995</v>
      </c>
      <c r="AB1433">
        <v>28</v>
      </c>
      <c r="AC1433">
        <v>-0.58150000000000501</v>
      </c>
      <c r="AD1433">
        <v>-0.183261699999999</v>
      </c>
      <c r="AE1433">
        <v>7.3599999999999E-2</v>
      </c>
      <c r="AF1433">
        <v>0.10421579352184</v>
      </c>
      <c r="AG1433">
        <v>-0.183261699999999</v>
      </c>
      <c r="AH1433">
        <v>0.52367402887610603</v>
      </c>
      <c r="AI1433">
        <v>108.943407865577</v>
      </c>
      <c r="AJ1433">
        <v>78.744679581038795</v>
      </c>
      <c r="AK1433">
        <v>0.56451773295939001</v>
      </c>
      <c r="AL1433">
        <v>87.270802567087898</v>
      </c>
      <c r="AM1433">
        <v>85.411480811719599</v>
      </c>
      <c r="AN1433">
        <v>0.99999999582960597</v>
      </c>
    </row>
    <row r="1434" spans="1:40" x14ac:dyDescent="0.25">
      <c r="A1434" t="str">
        <f>"20190312154535675"</f>
        <v>20190312154535675</v>
      </c>
      <c r="B1434" t="str">
        <f>"1552376735667665"</f>
        <v>1552376735667665</v>
      </c>
      <c r="C1434" t="s">
        <v>40</v>
      </c>
      <c r="D1434">
        <v>4.8627979999999997</v>
      </c>
      <c r="E1434">
        <v>0.52676619999999996</v>
      </c>
      <c r="F1434" t="s">
        <v>41</v>
      </c>
      <c r="G1434">
        <v>-233.1951</v>
      </c>
      <c r="H1434">
        <v>0.92534039999999995</v>
      </c>
      <c r="I1434">
        <v>283.17610000000002</v>
      </c>
      <c r="J1434">
        <v>-232.6643</v>
      </c>
      <c r="K1434">
        <v>1.1083510000000001</v>
      </c>
      <c r="L1434">
        <v>283.10019999999997</v>
      </c>
      <c r="M1434">
        <v>-0.99750810000000001</v>
      </c>
      <c r="N1434">
        <v>0</v>
      </c>
      <c r="O1434">
        <v>-7.0545899999999995E-2</v>
      </c>
      <c r="P1434">
        <v>-0.99892340000000002</v>
      </c>
      <c r="Q1434">
        <v>4.5626529999999998E-2</v>
      </c>
      <c r="R1434">
        <v>8.3972400000000003E-3</v>
      </c>
      <c r="S1434">
        <v>-3.0330349999999999</v>
      </c>
      <c r="T1434">
        <v>-0.66799019999999898</v>
      </c>
      <c r="U1434">
        <v>0.199707</v>
      </c>
      <c r="V1434">
        <v>7.8843120000000003E-2</v>
      </c>
      <c r="W1434">
        <v>4.6541859999999997E-2</v>
      </c>
      <c r="X1434">
        <v>0.99580000000000002</v>
      </c>
      <c r="Y1434">
        <v>0.1311157</v>
      </c>
      <c r="Z1434">
        <v>2.958852E-2</v>
      </c>
      <c r="AA1434">
        <v>0.99092539999999996</v>
      </c>
      <c r="AB1434">
        <v>28</v>
      </c>
      <c r="AC1434">
        <v>-0.53079999999999905</v>
      </c>
      <c r="AD1434">
        <v>-0.1830106</v>
      </c>
      <c r="AE1434">
        <v>7.5900000000046902E-2</v>
      </c>
      <c r="AF1434">
        <v>0.101350087240624</v>
      </c>
      <c r="AG1434">
        <v>-0.1830106</v>
      </c>
      <c r="AH1434">
        <v>0.46943691111956098</v>
      </c>
      <c r="AI1434">
        <v>110.86040794521099</v>
      </c>
      <c r="AJ1434">
        <v>77.816997569925604</v>
      </c>
      <c r="AK1434">
        <v>0.51394137157609399</v>
      </c>
      <c r="AL1434">
        <v>87.332384215687398</v>
      </c>
      <c r="AM1434">
        <v>85.473012777946593</v>
      </c>
      <c r="AN1434">
        <v>1.0000000111517899</v>
      </c>
    </row>
    <row r="1435" spans="1:40" x14ac:dyDescent="0.25">
      <c r="A1435" t="str">
        <f>"20190312154535695"</f>
        <v>20190312154535695</v>
      </c>
      <c r="B1435" t="str">
        <f>"1552376735688162"</f>
        <v>1552376735688162</v>
      </c>
      <c r="C1435" t="s">
        <v>40</v>
      </c>
      <c r="D1435">
        <v>4.8257709999999996</v>
      </c>
      <c r="E1435">
        <v>0.52667830000000004</v>
      </c>
      <c r="F1435" t="s">
        <v>41</v>
      </c>
      <c r="G1435">
        <v>-233.4485</v>
      </c>
      <c r="H1435">
        <v>0.93367049999999996</v>
      </c>
      <c r="I1435">
        <v>283.15170000000001</v>
      </c>
      <c r="J1435">
        <v>-232.9195</v>
      </c>
      <c r="K1435">
        <v>1.108417</v>
      </c>
      <c r="L1435">
        <v>283.08210000000003</v>
      </c>
      <c r="M1435">
        <v>-0.99750419999999995</v>
      </c>
      <c r="N1435">
        <v>0</v>
      </c>
      <c r="O1435">
        <v>-7.0595790000000005E-2</v>
      </c>
      <c r="P1435">
        <v>-0.99895829999999997</v>
      </c>
      <c r="Q1435">
        <v>4.5006320000000002E-2</v>
      </c>
      <c r="R1435">
        <v>7.537518E-3</v>
      </c>
      <c r="S1435">
        <v>-3.0324249999999999</v>
      </c>
      <c r="T1435">
        <v>-0.67551340000000004</v>
      </c>
      <c r="U1435">
        <v>0.19839480000000001</v>
      </c>
      <c r="V1435">
        <v>7.8037949999999995E-2</v>
      </c>
      <c r="W1435">
        <v>4.6259880000000003E-2</v>
      </c>
      <c r="X1435">
        <v>0.9958766</v>
      </c>
      <c r="Y1435">
        <v>0.13065160000000001</v>
      </c>
      <c r="Z1435">
        <v>2.988002E-2</v>
      </c>
      <c r="AA1435">
        <v>0.99097800000000003</v>
      </c>
      <c r="AB1435">
        <v>28</v>
      </c>
      <c r="AC1435">
        <v>-0.52899999999999603</v>
      </c>
      <c r="AD1435">
        <v>-0.1747465</v>
      </c>
      <c r="AE1435">
        <v>6.95999999999799E-2</v>
      </c>
      <c r="AF1435">
        <v>9.6428308769942794E-2</v>
      </c>
      <c r="AG1435">
        <v>-0.1747465</v>
      </c>
      <c r="AH1435">
        <v>0.47212488585151902</v>
      </c>
      <c r="AI1435">
        <v>109.932727903122</v>
      </c>
      <c r="AJ1435">
        <v>78.456491323115799</v>
      </c>
      <c r="AK1435">
        <v>0.51257844846890699</v>
      </c>
      <c r="AL1435">
        <v>87.348558003977999</v>
      </c>
      <c r="AM1435">
        <v>85.519397765854606</v>
      </c>
      <c r="AN1435">
        <v>1.00000005028268</v>
      </c>
    </row>
    <row r="1436" spans="1:40" x14ac:dyDescent="0.25">
      <c r="A1436" t="str">
        <f>"20190312154535718"</f>
        <v>20190312154535718</v>
      </c>
      <c r="B1436" t="str">
        <f>"1552376735707698"</f>
        <v>1552376735707698</v>
      </c>
      <c r="C1436" t="s">
        <v>40</v>
      </c>
      <c r="D1436">
        <v>4.9910839999999999</v>
      </c>
      <c r="E1436">
        <v>0.5365875</v>
      </c>
      <c r="F1436" t="s">
        <v>41</v>
      </c>
      <c r="G1436">
        <v>-233.6994</v>
      </c>
      <c r="H1436">
        <v>0.93301069999999997</v>
      </c>
      <c r="I1436">
        <v>283.1327</v>
      </c>
      <c r="J1436">
        <v>-233.2037</v>
      </c>
      <c r="K1436">
        <v>1.108479</v>
      </c>
      <c r="L1436">
        <v>283.06189999999998</v>
      </c>
      <c r="M1436">
        <v>-0.99750030000000001</v>
      </c>
      <c r="N1436">
        <v>0</v>
      </c>
      <c r="O1436">
        <v>-7.0642930000000007E-2</v>
      </c>
      <c r="P1436">
        <v>-0.99892029999999998</v>
      </c>
      <c r="Q1436">
        <v>4.5948530000000001E-2</v>
      </c>
      <c r="R1436">
        <v>6.8767200000000002E-3</v>
      </c>
      <c r="S1436">
        <v>-3.0323639999999998</v>
      </c>
      <c r="T1436">
        <v>-0.68186190000000002</v>
      </c>
      <c r="U1436">
        <v>0.197052</v>
      </c>
      <c r="V1436">
        <v>7.7423779999999998E-2</v>
      </c>
      <c r="W1436">
        <v>4.7614980000000001E-2</v>
      </c>
      <c r="X1436">
        <v>0.99586059999999998</v>
      </c>
      <c r="Y1436">
        <v>0.1301813</v>
      </c>
      <c r="Z1436">
        <v>3.0113279999999999E-2</v>
      </c>
      <c r="AA1436">
        <v>0.99103280000000005</v>
      </c>
      <c r="AB1436">
        <v>28</v>
      </c>
      <c r="AC1436">
        <v>-0.49569999999999897</v>
      </c>
      <c r="AD1436">
        <v>-0.17546829999999999</v>
      </c>
      <c r="AE1436">
        <v>7.0800000000019694E-2</v>
      </c>
      <c r="AF1436">
        <v>9.4087204150189105E-2</v>
      </c>
      <c r="AG1436">
        <v>-0.17546829999999999</v>
      </c>
      <c r="AH1436">
        <v>0.43592909840880101</v>
      </c>
      <c r="AI1436">
        <v>111.47744368271501</v>
      </c>
      <c r="AJ1436">
        <v>77.820594500789696</v>
      </c>
      <c r="AK1436">
        <v>0.47924493229370602</v>
      </c>
      <c r="AL1436">
        <v>87.270830634301305</v>
      </c>
      <c r="AM1436">
        <v>85.554447711627404</v>
      </c>
      <c r="AN1436">
        <v>0.999999981331124</v>
      </c>
    </row>
    <row r="1437" spans="1:40" x14ac:dyDescent="0.25">
      <c r="A1437" t="str">
        <f>"20190312154535742"</f>
        <v>20190312154535742</v>
      </c>
      <c r="B1437" t="str">
        <f>"1552376735737938"</f>
        <v>1552376735737938</v>
      </c>
      <c r="C1437" t="s">
        <v>40</v>
      </c>
      <c r="D1437">
        <v>4.805097</v>
      </c>
      <c r="E1437">
        <v>0.53449119999999894</v>
      </c>
      <c r="F1437" t="s">
        <v>41</v>
      </c>
      <c r="G1437">
        <v>-233.94710000000001</v>
      </c>
      <c r="H1437">
        <v>0.9191492</v>
      </c>
      <c r="I1437">
        <v>283.12860000000001</v>
      </c>
      <c r="J1437">
        <v>-233.5087</v>
      </c>
      <c r="K1437">
        <v>1.108541</v>
      </c>
      <c r="L1437">
        <v>283.0403</v>
      </c>
      <c r="M1437">
        <v>-0.99749690000000002</v>
      </c>
      <c r="N1437">
        <v>0</v>
      </c>
      <c r="O1437">
        <v>-7.0679099999999995E-2</v>
      </c>
      <c r="P1437">
        <v>-0.99889269999999997</v>
      </c>
      <c r="Q1437">
        <v>4.6391960000000003E-2</v>
      </c>
      <c r="R1437">
        <v>7.8395569999999901E-3</v>
      </c>
      <c r="S1437">
        <v>-3.0369570000000001</v>
      </c>
      <c r="T1437">
        <v>-0.77348729999999999</v>
      </c>
      <c r="U1437">
        <v>0.27154539999999999</v>
      </c>
      <c r="V1437">
        <v>7.8419429999999998E-2</v>
      </c>
      <c r="W1437">
        <v>4.8526600000000003E-2</v>
      </c>
      <c r="X1437">
        <v>0.99573869999999998</v>
      </c>
      <c r="Y1437">
        <v>0.15216689999999999</v>
      </c>
      <c r="Z1437">
        <v>3.6724569999999998E-2</v>
      </c>
      <c r="AA1437">
        <v>0.98767229999999995</v>
      </c>
      <c r="AB1437">
        <v>28</v>
      </c>
      <c r="AC1437">
        <v>-0.43840000000000101</v>
      </c>
      <c r="AD1437">
        <v>-0.1893918</v>
      </c>
      <c r="AE1437">
        <v>8.8300000000003806E-2</v>
      </c>
      <c r="AF1437">
        <v>0.100957780260252</v>
      </c>
      <c r="AG1437">
        <v>-0.1893918</v>
      </c>
      <c r="AH1437">
        <v>0.36550742837025801</v>
      </c>
      <c r="AI1437">
        <v>116.540236326769</v>
      </c>
      <c r="AJ1437">
        <v>74.559173339577796</v>
      </c>
      <c r="AK1437">
        <v>0.42386012727804001</v>
      </c>
      <c r="AL1437">
        <v>87.218538246549898</v>
      </c>
      <c r="AM1437">
        <v>85.496963695104</v>
      </c>
      <c r="AN1437">
        <v>0.99999999829338704</v>
      </c>
    </row>
    <row r="1438" spans="1:40" x14ac:dyDescent="0.25">
      <c r="A1438" t="str">
        <f>"20190312154535763"</f>
        <v>20190312154535763</v>
      </c>
      <c r="B1438" t="str">
        <f>"1552376735757457"</f>
        <v>1552376735757457</v>
      </c>
      <c r="C1438" t="s">
        <v>40</v>
      </c>
      <c r="D1438">
        <v>4.8400290000000004</v>
      </c>
      <c r="E1438">
        <v>0.52641890000000002</v>
      </c>
      <c r="F1438" t="s">
        <v>41</v>
      </c>
      <c r="G1438">
        <v>-234.2045</v>
      </c>
      <c r="H1438">
        <v>0.93139890000000003</v>
      </c>
      <c r="I1438">
        <v>283.09969999999998</v>
      </c>
      <c r="J1438">
        <v>-233.77099999999999</v>
      </c>
      <c r="K1438">
        <v>1.1085830000000001</v>
      </c>
      <c r="L1438">
        <v>283.02159999999998</v>
      </c>
      <c r="M1438">
        <v>-0.99749460000000001</v>
      </c>
      <c r="N1438">
        <v>0</v>
      </c>
      <c r="O1438">
        <v>-7.0699419999999999E-2</v>
      </c>
      <c r="P1438">
        <v>-0.99890389999999996</v>
      </c>
      <c r="Q1438">
        <v>4.6118600000000003E-2</v>
      </c>
      <c r="R1438">
        <v>8.0215119999999997E-3</v>
      </c>
      <c r="S1438">
        <v>-3.037201</v>
      </c>
      <c r="T1438">
        <v>-0.77335640000000005</v>
      </c>
      <c r="U1438">
        <v>0.25891110000000001</v>
      </c>
      <c r="V1438">
        <v>7.8623040000000005E-2</v>
      </c>
      <c r="W1438">
        <v>4.8655190000000001E-2</v>
      </c>
      <c r="X1438">
        <v>0.99571639999999995</v>
      </c>
      <c r="Y1438">
        <v>0.14822639999999901</v>
      </c>
      <c r="Z1438">
        <v>3.623353E-2</v>
      </c>
      <c r="AA1438">
        <v>0.98828950000000004</v>
      </c>
      <c r="AB1438">
        <v>28</v>
      </c>
      <c r="AC1438">
        <v>-0.43350000000000899</v>
      </c>
      <c r="AD1438">
        <v>-0.17718410000000001</v>
      </c>
      <c r="AE1438">
        <v>7.8100000000006206E-2</v>
      </c>
      <c r="AF1438">
        <v>9.3434456553661699E-2</v>
      </c>
      <c r="AG1438">
        <v>-0.17718410000000001</v>
      </c>
      <c r="AH1438">
        <v>0.36743915378534903</v>
      </c>
      <c r="AI1438">
        <v>115.04859876794799</v>
      </c>
      <c r="AJ1438">
        <v>75.732891988264001</v>
      </c>
      <c r="AK1438">
        <v>0.41849221581623403</v>
      </c>
      <c r="AL1438">
        <v>87.211161956332404</v>
      </c>
      <c r="AM1438">
        <v>85.485219488797</v>
      </c>
      <c r="AN1438">
        <v>1.00000002958086</v>
      </c>
    </row>
    <row r="1439" spans="1:40" x14ac:dyDescent="0.25">
      <c r="A1439" t="str">
        <f>"20190312154535787"</f>
        <v>20190312154535787</v>
      </c>
      <c r="B1439" t="str">
        <f>"1552376735777954"</f>
        <v>1552376735777954</v>
      </c>
      <c r="C1439" t="s">
        <v>40</v>
      </c>
      <c r="D1439">
        <v>4.8203740000000002</v>
      </c>
      <c r="E1439">
        <v>0.52666169999999901</v>
      </c>
      <c r="F1439" t="s">
        <v>41</v>
      </c>
      <c r="G1439">
        <v>-234.46960000000001</v>
      </c>
      <c r="H1439">
        <v>0.9579337</v>
      </c>
      <c r="I1439">
        <v>283.06920000000002</v>
      </c>
      <c r="J1439">
        <v>-234.084</v>
      </c>
      <c r="K1439">
        <v>1.1086279999999999</v>
      </c>
      <c r="L1439">
        <v>282.99939999999998</v>
      </c>
      <c r="M1439">
        <v>-0.99749279999999996</v>
      </c>
      <c r="N1439">
        <v>0</v>
      </c>
      <c r="O1439">
        <v>-7.0704030000000001E-2</v>
      </c>
      <c r="P1439">
        <v>-0.99889910000000004</v>
      </c>
      <c r="Q1439">
        <v>4.6398219999999997E-2</v>
      </c>
      <c r="R1439">
        <v>6.9212249999999996E-3</v>
      </c>
      <c r="S1439">
        <v>-3.0318450000000001</v>
      </c>
      <c r="T1439">
        <v>-0.65387359999999894</v>
      </c>
      <c r="U1439">
        <v>0.20593259999999999</v>
      </c>
      <c r="V1439">
        <v>7.7531569999999994E-2</v>
      </c>
      <c r="W1439">
        <v>4.9393880000000001E-2</v>
      </c>
      <c r="X1439">
        <v>0.99576560000000003</v>
      </c>
      <c r="Y1439">
        <v>0.13346269999999999</v>
      </c>
      <c r="Z1439">
        <v>2.927049E-2</v>
      </c>
      <c r="AA1439">
        <v>0.99062150000000004</v>
      </c>
      <c r="AB1439">
        <v>28</v>
      </c>
      <c r="AC1439">
        <v>-0.38560000000000999</v>
      </c>
      <c r="AD1439">
        <v>-0.1506943</v>
      </c>
      <c r="AE1439">
        <v>6.98000000000433E-2</v>
      </c>
      <c r="AF1439">
        <v>8.4406632902234505E-2</v>
      </c>
      <c r="AG1439">
        <v>-0.1506943</v>
      </c>
      <c r="AH1439">
        <v>0.33078276690592201</v>
      </c>
      <c r="AI1439">
        <v>113.8178226623</v>
      </c>
      <c r="AJ1439">
        <v>75.685173767786907</v>
      </c>
      <c r="AK1439">
        <v>0.373162820511797</v>
      </c>
      <c r="AL1439">
        <v>87.168787143247201</v>
      </c>
      <c r="AM1439">
        <v>85.547860435795101</v>
      </c>
      <c r="AN1439">
        <v>1.00000001493573</v>
      </c>
    </row>
    <row r="1440" spans="1:40" x14ac:dyDescent="0.25">
      <c r="A1440" t="str">
        <f>"20190312154535810"</f>
        <v>20190312154535810</v>
      </c>
      <c r="B1440" t="str">
        <f>"1552376735798449"</f>
        <v>1552376735798449</v>
      </c>
      <c r="C1440" t="s">
        <v>40</v>
      </c>
      <c r="D1440">
        <v>4.8480089999999896</v>
      </c>
      <c r="E1440">
        <v>0.52614890000000003</v>
      </c>
      <c r="F1440" t="s">
        <v>41</v>
      </c>
      <c r="G1440">
        <v>-234.9639</v>
      </c>
      <c r="H1440">
        <v>0.91616200000000003</v>
      </c>
      <c r="I1440">
        <v>283.06049999999999</v>
      </c>
      <c r="J1440">
        <v>-234.3741</v>
      </c>
      <c r="K1440">
        <v>1.1086659999999999</v>
      </c>
      <c r="L1440">
        <v>282.97890000000001</v>
      </c>
      <c r="M1440">
        <v>-0.99749350000000003</v>
      </c>
      <c r="N1440">
        <v>0</v>
      </c>
      <c r="O1440">
        <v>-7.0677489999999996E-2</v>
      </c>
      <c r="P1440">
        <v>-0.99881310000000001</v>
      </c>
      <c r="Q1440">
        <v>4.8453980000000001E-2</v>
      </c>
      <c r="R1440">
        <v>5.0232200000000001E-3</v>
      </c>
      <c r="S1440">
        <v>-3.032654</v>
      </c>
      <c r="T1440">
        <v>-0.66343830000000004</v>
      </c>
      <c r="U1440">
        <v>0.20977779999999999</v>
      </c>
      <c r="V1440">
        <v>7.5608289999999995E-2</v>
      </c>
      <c r="W1440">
        <v>5.1849779999999998E-2</v>
      </c>
      <c r="X1440">
        <v>0.99578860000000002</v>
      </c>
      <c r="Y1440">
        <v>0.134511299999999</v>
      </c>
      <c r="Z1440">
        <v>2.9787569999999999E-2</v>
      </c>
      <c r="AA1440">
        <v>0.99046420000000002</v>
      </c>
      <c r="AB1440">
        <v>29</v>
      </c>
      <c r="AC1440">
        <v>-0.58979999999999599</v>
      </c>
      <c r="AD1440">
        <v>-0.19250399999999901</v>
      </c>
      <c r="AE1440">
        <v>8.1599999999980299E-2</v>
      </c>
      <c r="AF1440">
        <v>0.111433731211789</v>
      </c>
      <c r="AG1440">
        <v>-0.19250399999999901</v>
      </c>
      <c r="AH1440">
        <v>0.52742649543198505</v>
      </c>
      <c r="AI1440">
        <v>109.651853264349</v>
      </c>
      <c r="AJ1440">
        <v>78.070095642453495</v>
      </c>
      <c r="AK1440">
        <v>0.57241066949476704</v>
      </c>
      <c r="AL1440">
        <v>87.027893644222104</v>
      </c>
      <c r="AM1440">
        <v>85.657974230667904</v>
      </c>
      <c r="AN1440">
        <v>0.99999997454636602</v>
      </c>
    </row>
    <row r="1441" spans="1:40" x14ac:dyDescent="0.25">
      <c r="A1441" t="str">
        <f>"20190312154535831"</f>
        <v>20190312154535831</v>
      </c>
      <c r="B1441" t="str">
        <f>"1552376735827730"</f>
        <v>1552376735827730</v>
      </c>
      <c r="C1441" t="s">
        <v>40</v>
      </c>
      <c r="D1441">
        <v>4.8417629999999896</v>
      </c>
      <c r="E1441">
        <v>0.535286699999999</v>
      </c>
      <c r="F1441" t="s">
        <v>41</v>
      </c>
      <c r="G1441">
        <v>-235.22329999999999</v>
      </c>
      <c r="H1441">
        <v>0.92495729999999998</v>
      </c>
      <c r="I1441">
        <v>283.03539999999998</v>
      </c>
      <c r="J1441">
        <v>-234.64580000000001</v>
      </c>
      <c r="K1441">
        <v>1.1086910000000001</v>
      </c>
      <c r="L1441">
        <v>282.9597</v>
      </c>
      <c r="M1441">
        <v>-0.9974961</v>
      </c>
      <c r="N1441">
        <v>0</v>
      </c>
      <c r="O1441">
        <v>-7.0623379999999999E-2</v>
      </c>
      <c r="P1441">
        <v>-0.99864240000000004</v>
      </c>
      <c r="Q1441">
        <v>5.2004929999999998E-2</v>
      </c>
      <c r="R1441">
        <v>3.0703570000000001E-3</v>
      </c>
      <c r="S1441">
        <v>-3.0343629999999999</v>
      </c>
      <c r="T1441">
        <v>-0.65642889999999998</v>
      </c>
      <c r="U1441">
        <v>0.20101930000000001</v>
      </c>
      <c r="V1441">
        <v>7.3597419999999997E-2</v>
      </c>
      <c r="W1441">
        <v>5.575037E-2</v>
      </c>
      <c r="X1441">
        <v>0.99572859999999996</v>
      </c>
      <c r="Y1441">
        <v>0.13174269999999999</v>
      </c>
      <c r="Z1441">
        <v>2.9158920000000001E-2</v>
      </c>
      <c r="AA1441">
        <v>0.99085500000000004</v>
      </c>
      <c r="AB1441">
        <v>29</v>
      </c>
      <c r="AC1441">
        <v>-0.57749999999998602</v>
      </c>
      <c r="AD1441">
        <v>-0.1837337</v>
      </c>
      <c r="AE1441">
        <v>7.5699999999983406E-2</v>
      </c>
      <c r="AF1441">
        <v>0.105770814673648</v>
      </c>
      <c r="AG1441">
        <v>-0.1837337</v>
      </c>
      <c r="AH1441">
        <v>0.51905922624171796</v>
      </c>
      <c r="AI1441">
        <v>109.128923047664</v>
      </c>
      <c r="AJ1441">
        <v>78.482297428957395</v>
      </c>
      <c r="AK1441">
        <v>0.56068531111405895</v>
      </c>
      <c r="AL1441">
        <v>86.804082297814404</v>
      </c>
      <c r="AM1441">
        <v>85.772776258717499</v>
      </c>
      <c r="AN1441">
        <v>1.0000000644218701</v>
      </c>
    </row>
    <row r="1442" spans="1:40" x14ac:dyDescent="0.25">
      <c r="A1442" t="str">
        <f>"20190312154535853"</f>
        <v>20190312154535853</v>
      </c>
      <c r="B1442" t="str">
        <f>"1552376735848226"</f>
        <v>1552376735848226</v>
      </c>
      <c r="C1442" t="s">
        <v>40</v>
      </c>
      <c r="D1442">
        <v>4.8843759999999996</v>
      </c>
      <c r="E1442">
        <v>0.53460790000000002</v>
      </c>
      <c r="F1442" t="s">
        <v>41</v>
      </c>
      <c r="G1442">
        <v>-235.46690000000001</v>
      </c>
      <c r="H1442">
        <v>0.8889089</v>
      </c>
      <c r="I1442">
        <v>283.03100000000001</v>
      </c>
      <c r="J1442">
        <v>-234.9315</v>
      </c>
      <c r="K1442">
        <v>1.1087070000000001</v>
      </c>
      <c r="L1442">
        <v>282.93959999999998</v>
      </c>
      <c r="M1442">
        <v>-0.99750209999999995</v>
      </c>
      <c r="N1442">
        <v>0</v>
      </c>
      <c r="O1442">
        <v>-7.0517979999999994E-2</v>
      </c>
      <c r="P1442">
        <v>-0.99851190000000001</v>
      </c>
      <c r="Q1442">
        <v>5.4523919999999997E-2</v>
      </c>
      <c r="R1442">
        <v>1.0996999999999999E-3</v>
      </c>
      <c r="S1442">
        <v>-3.0457000000000001</v>
      </c>
      <c r="T1442">
        <v>-0.8152045</v>
      </c>
      <c r="U1442">
        <v>0.26348880000000002</v>
      </c>
      <c r="V1442">
        <v>7.1522440000000007E-2</v>
      </c>
      <c r="W1442">
        <v>5.861098E-2</v>
      </c>
      <c r="X1442">
        <v>0.99571540000000003</v>
      </c>
      <c r="Y1442">
        <v>0.148566899999999</v>
      </c>
      <c r="Z1442">
        <v>3.8021739999999998E-2</v>
      </c>
      <c r="AA1442">
        <v>0.98817120000000003</v>
      </c>
      <c r="AB1442">
        <v>29</v>
      </c>
      <c r="AC1442">
        <v>-0.53540000000000898</v>
      </c>
      <c r="AD1442">
        <v>-0.219798099999999</v>
      </c>
      <c r="AE1442">
        <v>9.1400000000021395E-2</v>
      </c>
      <c r="AF1442">
        <v>0.11078554411946</v>
      </c>
      <c r="AG1442">
        <v>-0.219798099999999</v>
      </c>
      <c r="AH1442">
        <v>0.45337562498345102</v>
      </c>
      <c r="AI1442">
        <v>115.217957186524</v>
      </c>
      <c r="AJ1442">
        <v>76.2684551366618</v>
      </c>
      <c r="AK1442">
        <v>0.51588186523523905</v>
      </c>
      <c r="AL1442">
        <v>86.639912320306394</v>
      </c>
      <c r="AM1442">
        <v>85.891488852503301</v>
      </c>
      <c r="AN1442">
        <v>0.99999993209863403</v>
      </c>
    </row>
    <row r="1443" spans="1:40" x14ac:dyDescent="0.25">
      <c r="A1443" t="str">
        <f>"20190312154535875"</f>
        <v>20190312154535875</v>
      </c>
      <c r="B1443" t="str">
        <f>"1552376735867746"</f>
        <v>1552376735867746</v>
      </c>
      <c r="C1443" t="s">
        <v>40</v>
      </c>
      <c r="D1443">
        <v>4.8914720000000003</v>
      </c>
      <c r="E1443">
        <v>0.53410150000000001</v>
      </c>
      <c r="F1443" t="s">
        <v>41</v>
      </c>
      <c r="G1443">
        <v>-235.72810000000001</v>
      </c>
      <c r="H1443">
        <v>0.89859529999999999</v>
      </c>
      <c r="I1443">
        <v>283.00560000000002</v>
      </c>
      <c r="J1443">
        <v>-235.21299999999999</v>
      </c>
      <c r="K1443">
        <v>1.1087020000000001</v>
      </c>
      <c r="L1443">
        <v>282.91989999999998</v>
      </c>
      <c r="M1443">
        <v>-0.99751270000000003</v>
      </c>
      <c r="N1443">
        <v>0</v>
      </c>
      <c r="O1443">
        <v>-7.0348240000000006E-2</v>
      </c>
      <c r="P1443">
        <v>-0.99838260000000001</v>
      </c>
      <c r="Q1443">
        <v>5.6840670000000003E-2</v>
      </c>
      <c r="R1443">
        <v>-1.239303E-3</v>
      </c>
      <c r="S1443">
        <v>-3.0480960000000001</v>
      </c>
      <c r="T1443">
        <v>-0.80392919999999901</v>
      </c>
      <c r="U1443">
        <v>0.25201420000000002</v>
      </c>
      <c r="V1443">
        <v>6.9018360000000001E-2</v>
      </c>
      <c r="W1443">
        <v>6.1244100000000003E-2</v>
      </c>
      <c r="X1443">
        <v>0.99573370000000005</v>
      </c>
      <c r="Y1443">
        <v>0.14498139999999901</v>
      </c>
      <c r="Z1443">
        <v>3.6981880000000002E-2</v>
      </c>
      <c r="AA1443">
        <v>0.98874300000000004</v>
      </c>
      <c r="AB1443">
        <v>29</v>
      </c>
      <c r="AC1443">
        <v>-0.51510000000001799</v>
      </c>
      <c r="AD1443">
        <v>-0.21010670000000001</v>
      </c>
      <c r="AE1443">
        <v>8.5700000000031196E-2</v>
      </c>
      <c r="AF1443">
        <v>0.10476351963274</v>
      </c>
      <c r="AG1443">
        <v>-0.21010670000000001</v>
      </c>
      <c r="AH1443">
        <v>0.437039568434895</v>
      </c>
      <c r="AI1443">
        <v>115.056352015851</v>
      </c>
      <c r="AJ1443">
        <v>76.519883782611103</v>
      </c>
      <c r="AK1443">
        <v>0.49610866229938799</v>
      </c>
      <c r="AL1443">
        <v>86.488774161390793</v>
      </c>
      <c r="AM1443">
        <v>86.034937916268703</v>
      </c>
      <c r="AN1443">
        <v>0.99999998755879405</v>
      </c>
    </row>
    <row r="1444" spans="1:40" x14ac:dyDescent="0.25">
      <c r="A1444" t="str">
        <f>"20190312154535897"</f>
        <v>20190312154535897</v>
      </c>
      <c r="B1444" t="str">
        <f>"1552376735888242"</f>
        <v>1552376735888242</v>
      </c>
      <c r="C1444" t="s">
        <v>40</v>
      </c>
      <c r="D1444">
        <v>4.8853619999999998</v>
      </c>
      <c r="E1444">
        <v>0.53384540000000003</v>
      </c>
      <c r="F1444" t="s">
        <v>41</v>
      </c>
      <c r="G1444">
        <v>-235.9897</v>
      </c>
      <c r="H1444">
        <v>0.90702550000000004</v>
      </c>
      <c r="I1444">
        <v>282.9812</v>
      </c>
      <c r="J1444">
        <v>-235.49770000000001</v>
      </c>
      <c r="K1444">
        <v>1.1086780000000001</v>
      </c>
      <c r="L1444">
        <v>282.89999999999998</v>
      </c>
      <c r="M1444">
        <v>-0.997529</v>
      </c>
      <c r="N1444">
        <v>0</v>
      </c>
      <c r="O1444">
        <v>-7.0096430000000001E-2</v>
      </c>
      <c r="P1444">
        <v>-0.99821340000000003</v>
      </c>
      <c r="Q1444">
        <v>5.9630309999999999E-2</v>
      </c>
      <c r="R1444">
        <v>-3.8119400000000002E-3</v>
      </c>
      <c r="S1444">
        <v>-3.0502470000000002</v>
      </c>
      <c r="T1444">
        <v>-0.79213199999999995</v>
      </c>
      <c r="U1444">
        <v>0.23999019999999999</v>
      </c>
      <c r="V1444">
        <v>6.6199380000000002E-2</v>
      </c>
      <c r="W1444">
        <v>6.4344109999999996E-2</v>
      </c>
      <c r="X1444">
        <v>0.99572959999999999</v>
      </c>
      <c r="Y1444">
        <v>0.1411531</v>
      </c>
      <c r="Z1444">
        <v>3.5884319999999997E-2</v>
      </c>
      <c r="AA1444">
        <v>0.98933720000000003</v>
      </c>
      <c r="AB1444">
        <v>29</v>
      </c>
      <c r="AC1444">
        <v>-0.49199999999999</v>
      </c>
      <c r="AD1444">
        <v>-0.20165250000000001</v>
      </c>
      <c r="AE1444">
        <v>8.1200000000023906E-2</v>
      </c>
      <c r="AF1444">
        <v>9.9256383383829402E-2</v>
      </c>
      <c r="AG1444">
        <v>-0.20165250000000001</v>
      </c>
      <c r="AH1444">
        <v>0.41691796529945802</v>
      </c>
      <c r="AI1444">
        <v>115.198103152009</v>
      </c>
      <c r="AJ1444">
        <v>76.608776632956904</v>
      </c>
      <c r="AK1444">
        <v>0.47364137296917702</v>
      </c>
      <c r="AL1444">
        <v>86.310805346293606</v>
      </c>
      <c r="AM1444">
        <v>86.196385498262799</v>
      </c>
      <c r="AN1444">
        <v>0.99999997936011797</v>
      </c>
    </row>
    <row r="1445" spans="1:40" x14ac:dyDescent="0.25">
      <c r="A1445" t="str">
        <f>"20190312154535921"</f>
        <v>20190312154535921</v>
      </c>
      <c r="B1445" t="str">
        <f>"1552376735917522"</f>
        <v>1552376735917522</v>
      </c>
      <c r="C1445" t="s">
        <v>40</v>
      </c>
      <c r="D1445">
        <v>4.8676909999999998</v>
      </c>
      <c r="E1445">
        <v>0.53411309999999901</v>
      </c>
      <c r="F1445" t="s">
        <v>41</v>
      </c>
      <c r="G1445">
        <v>-236.25210000000001</v>
      </c>
      <c r="H1445">
        <v>0.91592189999999996</v>
      </c>
      <c r="I1445">
        <v>282.95679999999999</v>
      </c>
      <c r="J1445">
        <v>-235.80459999999999</v>
      </c>
      <c r="K1445">
        <v>1.108641</v>
      </c>
      <c r="L1445">
        <v>282.87880000000001</v>
      </c>
      <c r="M1445">
        <v>-0.99755309999999997</v>
      </c>
      <c r="N1445">
        <v>0</v>
      </c>
      <c r="O1445">
        <v>-6.9724549999999996E-2</v>
      </c>
      <c r="P1445">
        <v>-0.99811729999999999</v>
      </c>
      <c r="Q1445">
        <v>6.1032830000000003E-2</v>
      </c>
      <c r="R1445">
        <v>-6.0742610000000001E-3</v>
      </c>
      <c r="S1445">
        <v>-3.052826</v>
      </c>
      <c r="T1445">
        <v>-0.78010029999999997</v>
      </c>
      <c r="U1445">
        <v>0.229126</v>
      </c>
      <c r="V1445">
        <v>6.3578229999999999E-2</v>
      </c>
      <c r="W1445">
        <v>6.6085140000000001E-2</v>
      </c>
      <c r="X1445">
        <v>0.99578639999999996</v>
      </c>
      <c r="Y1445">
        <v>0.13756099999999999</v>
      </c>
      <c r="Z1445">
        <v>3.4787110000000003E-2</v>
      </c>
      <c r="AA1445">
        <v>0.98988220000000005</v>
      </c>
      <c r="AB1445">
        <v>29</v>
      </c>
      <c r="AC1445">
        <v>-0.44750000000001899</v>
      </c>
      <c r="AD1445">
        <v>-0.19271909999999901</v>
      </c>
      <c r="AE1445">
        <v>7.7999999999974506E-2</v>
      </c>
      <c r="AF1445">
        <v>9.2383539964425707E-2</v>
      </c>
      <c r="AG1445">
        <v>-0.19271909999999901</v>
      </c>
      <c r="AH1445">
        <v>0.37370624662747398</v>
      </c>
      <c r="AI1445">
        <v>116.593755166853</v>
      </c>
      <c r="AJ1445">
        <v>76.114362082093905</v>
      </c>
      <c r="AK1445">
        <v>0.43050171745251198</v>
      </c>
      <c r="AL1445">
        <v>86.210838919964203</v>
      </c>
      <c r="AM1445">
        <v>86.346780349822794</v>
      </c>
      <c r="AN1445">
        <v>0.99999999574185605</v>
      </c>
    </row>
    <row r="1446" spans="1:40" x14ac:dyDescent="0.25">
      <c r="A1446" t="str">
        <f>"20190312154535942"</f>
        <v>20190312154535942</v>
      </c>
      <c r="B1446" t="str">
        <f>"1552376735938018"</f>
        <v>1552376735938018</v>
      </c>
      <c r="C1446" t="s">
        <v>40</v>
      </c>
      <c r="D1446">
        <v>4.8625590000000001</v>
      </c>
      <c r="E1446">
        <v>0.51064409999999905</v>
      </c>
      <c r="F1446" t="s">
        <v>41</v>
      </c>
      <c r="G1446">
        <v>-236.51679999999999</v>
      </c>
      <c r="H1446">
        <v>0.92786219999999997</v>
      </c>
      <c r="I1446">
        <v>282.93130000000002</v>
      </c>
      <c r="J1446">
        <v>-236.08670000000001</v>
      </c>
      <c r="K1446">
        <v>1.1086</v>
      </c>
      <c r="L1446">
        <v>282.8596</v>
      </c>
      <c r="M1446">
        <v>-0.99758259999999999</v>
      </c>
      <c r="N1446">
        <v>0</v>
      </c>
      <c r="O1446">
        <v>-6.9275879999999998E-2</v>
      </c>
      <c r="P1446">
        <v>-0.9980521</v>
      </c>
      <c r="Q1446">
        <v>6.1848439999999998E-2</v>
      </c>
      <c r="R1446">
        <v>-8.1756590000000001E-3</v>
      </c>
      <c r="S1446">
        <v>-3.0544280000000001</v>
      </c>
      <c r="T1446">
        <v>-0.77534709999999996</v>
      </c>
      <c r="U1446">
        <v>0.2233887</v>
      </c>
      <c r="V1446">
        <v>6.104358E-2</v>
      </c>
      <c r="W1446">
        <v>6.7230319999999996E-2</v>
      </c>
      <c r="X1446">
        <v>0.99586830000000004</v>
      </c>
      <c r="Y1446">
        <v>0.1353955</v>
      </c>
      <c r="Z1446">
        <v>3.4184029999999997E-2</v>
      </c>
      <c r="AA1446">
        <v>0.99020180000000002</v>
      </c>
      <c r="AB1446">
        <v>29</v>
      </c>
      <c r="AC1446">
        <v>-0.430099999999981</v>
      </c>
      <c r="AD1446">
        <v>-0.1807378</v>
      </c>
      <c r="AE1446">
        <v>7.1700000000021094E-2</v>
      </c>
      <c r="AF1446">
        <v>8.6467545148015301E-2</v>
      </c>
      <c r="AG1446">
        <v>-0.1807378</v>
      </c>
      <c r="AH1446">
        <v>0.361917598134258</v>
      </c>
      <c r="AI1446">
        <v>115.90673651437901</v>
      </c>
      <c r="AJ1446">
        <v>76.563061029187807</v>
      </c>
      <c r="AK1446">
        <v>0.41367515824863699</v>
      </c>
      <c r="AL1446">
        <v>86.145078511990206</v>
      </c>
      <c r="AM1446">
        <v>86.492338483892595</v>
      </c>
      <c r="AN1446">
        <v>0.99999995276570297</v>
      </c>
    </row>
    <row r="1447" spans="1:40" x14ac:dyDescent="0.25">
      <c r="A1447" t="str">
        <f>"20190312154535965"</f>
        <v>20190312154535965</v>
      </c>
      <c r="B1447" t="str">
        <f>"1552376735957538"</f>
        <v>1552376735957538</v>
      </c>
      <c r="C1447" t="s">
        <v>40</v>
      </c>
      <c r="D1447">
        <v>4.8856279999999996</v>
      </c>
      <c r="E1447">
        <v>0.49860850000000001</v>
      </c>
      <c r="F1447" t="s">
        <v>41</v>
      </c>
      <c r="G1447">
        <v>-236.7996</v>
      </c>
      <c r="H1447">
        <v>0.98197999999999996</v>
      </c>
      <c r="I1447">
        <v>282.86790000000002</v>
      </c>
      <c r="J1447">
        <v>-236.37370000000001</v>
      </c>
      <c r="K1447">
        <v>1.10856</v>
      </c>
      <c r="L1447">
        <v>282.84019999999998</v>
      </c>
      <c r="M1447">
        <v>-0.99762010000000001</v>
      </c>
      <c r="N1447">
        <v>0</v>
      </c>
      <c r="O1447">
        <v>-6.8703630000000002E-2</v>
      </c>
      <c r="P1447">
        <v>-0.99802489999999999</v>
      </c>
      <c r="Q1447">
        <v>6.218659E-2</v>
      </c>
      <c r="R1447">
        <v>-8.8901599999999994E-3</v>
      </c>
      <c r="S1447">
        <v>-3.0395810000000001</v>
      </c>
      <c r="T1447">
        <v>-0.53980850000000002</v>
      </c>
      <c r="U1447">
        <v>3.5797120000000002E-2</v>
      </c>
      <c r="V1447">
        <v>5.9773159999999999E-2</v>
      </c>
      <c r="W1447">
        <v>6.7935850000000006E-2</v>
      </c>
      <c r="X1447">
        <v>0.99589749999999999</v>
      </c>
      <c r="Y1447">
        <v>7.8151620000000005E-2</v>
      </c>
      <c r="Z1447">
        <v>1.8985849999999999E-2</v>
      </c>
      <c r="AA1447">
        <v>0.99676070000000005</v>
      </c>
      <c r="AB1447">
        <v>29</v>
      </c>
      <c r="AC1447">
        <v>-0.42589999999998401</v>
      </c>
      <c r="AD1447">
        <v>-0.12658</v>
      </c>
      <c r="AE1447">
        <v>2.7700000000038399E-2</v>
      </c>
      <c r="AF1447">
        <v>5.2295999733765398E-2</v>
      </c>
      <c r="AG1447">
        <v>-0.12658</v>
      </c>
      <c r="AH1447">
        <v>0.38879257272581103</v>
      </c>
      <c r="AI1447">
        <v>107.883137034424</v>
      </c>
      <c r="AJ1447">
        <v>82.339197258788403</v>
      </c>
      <c r="AK1447">
        <v>0.41220993752566099</v>
      </c>
      <c r="AL1447">
        <v>86.104562051867603</v>
      </c>
      <c r="AM1447">
        <v>86.565262684737306</v>
      </c>
      <c r="AN1447">
        <v>0.99999997043892797</v>
      </c>
    </row>
    <row r="1448" spans="1:40" x14ac:dyDescent="0.25">
      <c r="A1448" t="str">
        <f>"20190312154535988"</f>
        <v>20190312154535988</v>
      </c>
      <c r="B1448" t="str">
        <f>"1552376735978034"</f>
        <v>1552376735978034</v>
      </c>
      <c r="C1448" t="s">
        <v>40</v>
      </c>
      <c r="D1448">
        <v>4.8990780000000003</v>
      </c>
      <c r="E1448">
        <v>0.48950630000000001</v>
      </c>
      <c r="F1448" t="s">
        <v>41</v>
      </c>
      <c r="G1448">
        <v>-237.31880000000001</v>
      </c>
      <c r="H1448">
        <v>0.97653599999999996</v>
      </c>
      <c r="I1448">
        <v>282.82190000000003</v>
      </c>
      <c r="J1448">
        <v>-236.68279999999999</v>
      </c>
      <c r="K1448">
        <v>1.108527</v>
      </c>
      <c r="L1448">
        <v>282.81970000000001</v>
      </c>
      <c r="M1448">
        <v>-0.99766860000000002</v>
      </c>
      <c r="N1448">
        <v>0</v>
      </c>
      <c r="O1448">
        <v>-6.7954979999999998E-2</v>
      </c>
      <c r="P1448">
        <v>-0.99804800000000005</v>
      </c>
      <c r="Q1448">
        <v>6.19088E-2</v>
      </c>
      <c r="R1448">
        <v>-8.2316439999999998E-3</v>
      </c>
      <c r="S1448">
        <v>-3.0317989999999999</v>
      </c>
      <c r="T1448">
        <v>-0.4234792</v>
      </c>
      <c r="U1448">
        <v>-5.859375E-2</v>
      </c>
      <c r="V1448">
        <v>5.9700709999999997E-2</v>
      </c>
      <c r="W1448">
        <v>6.810331E-2</v>
      </c>
      <c r="X1448">
        <v>0.99589039999999995</v>
      </c>
      <c r="Y1448">
        <v>4.7545780000000003E-2</v>
      </c>
      <c r="Z1448">
        <v>1.274256E-2</v>
      </c>
      <c r="AA1448">
        <v>0.9987878</v>
      </c>
      <c r="AB1448">
        <v>29</v>
      </c>
      <c r="AC1448">
        <v>-0.63600000000002399</v>
      </c>
      <c r="AD1448">
        <v>-0.131990999999999</v>
      </c>
      <c r="AE1448">
        <v>2.2000000000161799E-3</v>
      </c>
      <c r="AF1448">
        <v>4.35398959491895E-2</v>
      </c>
      <c r="AG1448">
        <v>-0.131990999999999</v>
      </c>
      <c r="AH1448">
        <v>0.60818602256491505</v>
      </c>
      <c r="AI1448">
        <v>102.214362303672</v>
      </c>
      <c r="AJ1448">
        <v>85.905194353590602</v>
      </c>
      <c r="AK1448">
        <v>0.62386503721846598</v>
      </c>
      <c r="AL1448">
        <v>86.094944994989007</v>
      </c>
      <c r="AM1448">
        <v>86.569391521485102</v>
      </c>
      <c r="AN1448">
        <v>0.99999996220980902</v>
      </c>
    </row>
    <row r="1449" spans="1:40" x14ac:dyDescent="0.25">
      <c r="A1449" t="str">
        <f>"20190312154536012"</f>
        <v>20190312154536012</v>
      </c>
      <c r="B1449" t="str">
        <f>"1552376736008289"</f>
        <v>1552376736008289</v>
      </c>
      <c r="C1449" t="s">
        <v>40</v>
      </c>
      <c r="D1449">
        <v>4.8593890000000002</v>
      </c>
      <c r="E1449">
        <v>0.4834966</v>
      </c>
      <c r="F1449" t="s">
        <v>41</v>
      </c>
      <c r="G1449">
        <v>-237.5925</v>
      </c>
      <c r="H1449">
        <v>1.0037700000000001</v>
      </c>
      <c r="I1449">
        <v>282.7817</v>
      </c>
      <c r="J1449">
        <v>-236.9924</v>
      </c>
      <c r="K1449">
        <v>1.1085100000000001</v>
      </c>
      <c r="L1449">
        <v>282.7996</v>
      </c>
      <c r="M1449">
        <v>-0.99772329999999998</v>
      </c>
      <c r="N1449">
        <v>0</v>
      </c>
      <c r="O1449">
        <v>-6.7100170000000001E-2</v>
      </c>
      <c r="P1449">
        <v>-0.99807120000000005</v>
      </c>
      <c r="Q1449">
        <v>6.1796009999999998E-2</v>
      </c>
      <c r="R1449">
        <v>-5.965578E-3</v>
      </c>
      <c r="S1449">
        <v>-3.026443</v>
      </c>
      <c r="T1449">
        <v>-0.34857739999999998</v>
      </c>
      <c r="U1449">
        <v>-0.1267395</v>
      </c>
      <c r="V1449">
        <v>6.1124959999999999E-2</v>
      </c>
      <c r="W1449">
        <v>6.8467239999999999E-2</v>
      </c>
      <c r="X1449">
        <v>0.99577910000000003</v>
      </c>
      <c r="Y1449">
        <v>2.4691689999999999E-2</v>
      </c>
      <c r="Z1449">
        <v>9.1093960000000005E-3</v>
      </c>
      <c r="AA1449">
        <v>0.99965360000000003</v>
      </c>
      <c r="AB1449">
        <v>29</v>
      </c>
      <c r="AC1449">
        <v>-0.60009999999999697</v>
      </c>
      <c r="AD1449">
        <v>-0.10474</v>
      </c>
      <c r="AE1449">
        <v>-1.78999999999973E-2</v>
      </c>
      <c r="AF1449">
        <v>2.1746204231779601E-2</v>
      </c>
      <c r="AG1449">
        <v>-0.10474</v>
      </c>
      <c r="AH1449">
        <v>0.58222772996972005</v>
      </c>
      <c r="AI1449">
        <v>100.191203030973</v>
      </c>
      <c r="AJ1449">
        <v>87.860997063610697</v>
      </c>
      <c r="AK1449">
        <v>0.59197339006426897</v>
      </c>
      <c r="AL1449">
        <v>86.074044782617307</v>
      </c>
      <c r="AM1449">
        <v>86.487360118079096</v>
      </c>
      <c r="AN1449">
        <v>1.0000000198425101</v>
      </c>
    </row>
    <row r="1450" spans="1:40" x14ac:dyDescent="0.25">
      <c r="A1450" t="str">
        <f>"20190312154536033"</f>
        <v>20190312154536033</v>
      </c>
      <c r="B1450" t="str">
        <f>"1552376736027810"</f>
        <v>1552376736027810</v>
      </c>
      <c r="C1450" t="s">
        <v>40</v>
      </c>
      <c r="D1450">
        <v>4.8974679999999999</v>
      </c>
      <c r="E1450">
        <v>0.4815642</v>
      </c>
      <c r="F1450" t="s">
        <v>41</v>
      </c>
      <c r="G1450">
        <v>-237.86349999999999</v>
      </c>
      <c r="H1450">
        <v>1.024405</v>
      </c>
      <c r="I1450">
        <v>282.75189999999998</v>
      </c>
      <c r="J1450">
        <v>-237.27440000000001</v>
      </c>
      <c r="K1450">
        <v>1.108508</v>
      </c>
      <c r="L1450">
        <v>282.78160000000003</v>
      </c>
      <c r="M1450">
        <v>-0.99777749999999998</v>
      </c>
      <c r="N1450">
        <v>0</v>
      </c>
      <c r="O1450">
        <v>-6.6234639999999997E-2</v>
      </c>
      <c r="P1450">
        <v>-0.99806950000000005</v>
      </c>
      <c r="Q1450">
        <v>6.2022389999999997E-2</v>
      </c>
      <c r="R1450">
        <v>-3.259114E-3</v>
      </c>
      <c r="S1450">
        <v>-3.022888</v>
      </c>
      <c r="T1450">
        <v>-0.29182669999999999</v>
      </c>
      <c r="U1450">
        <v>-0.16577149999999999</v>
      </c>
      <c r="V1450">
        <v>6.2974509999999997E-2</v>
      </c>
      <c r="W1450">
        <v>6.9165099999999993E-2</v>
      </c>
      <c r="X1450">
        <v>0.99561560000000005</v>
      </c>
      <c r="Y1450">
        <v>1.114277E-2</v>
      </c>
      <c r="Z1450">
        <v>6.9046269999999896E-3</v>
      </c>
      <c r="AA1450">
        <v>0.99991410000000003</v>
      </c>
      <c r="AB1450">
        <v>29</v>
      </c>
      <c r="AC1450">
        <v>-0.58909999999997298</v>
      </c>
      <c r="AD1450">
        <v>-8.4102999999999997E-2</v>
      </c>
      <c r="AE1450">
        <v>-2.9700000000048001E-2</v>
      </c>
      <c r="AF1450">
        <v>9.1980842961970292E-3</v>
      </c>
      <c r="AG1450">
        <v>-8.4102999999999997E-2</v>
      </c>
      <c r="AH1450">
        <v>0.57802220415775596</v>
      </c>
      <c r="AI1450">
        <v>98.277484439009498</v>
      </c>
      <c r="AJ1450">
        <v>89.088327526733096</v>
      </c>
      <c r="AK1450">
        <v>0.58418112590455296</v>
      </c>
      <c r="AL1450">
        <v>86.033965302576206</v>
      </c>
      <c r="AM1450">
        <v>86.380758493148406</v>
      </c>
      <c r="AN1450">
        <v>1.0000000114655501</v>
      </c>
    </row>
    <row r="1451" spans="1:40" x14ac:dyDescent="0.25">
      <c r="A1451" t="str">
        <f>"20190312154536056"</f>
        <v>20190312154536056</v>
      </c>
      <c r="B1451" t="str">
        <f>"1552376736048305"</f>
        <v>1552376736048305</v>
      </c>
      <c r="C1451" t="s">
        <v>40</v>
      </c>
      <c r="D1451">
        <v>4.8814219999999997</v>
      </c>
      <c r="E1451">
        <v>0.48040959999999999</v>
      </c>
      <c r="F1451" t="s">
        <v>41</v>
      </c>
      <c r="G1451">
        <v>-238.12880000000001</v>
      </c>
      <c r="H1451">
        <v>1.031801</v>
      </c>
      <c r="I1451">
        <v>282.733</v>
      </c>
      <c r="J1451">
        <v>-237.57650000000001</v>
      </c>
      <c r="K1451">
        <v>1.1085210000000001</v>
      </c>
      <c r="L1451">
        <v>282.76260000000002</v>
      </c>
      <c r="M1451">
        <v>-0.99783980000000005</v>
      </c>
      <c r="N1451">
        <v>0</v>
      </c>
      <c r="O1451">
        <v>-6.5221119999999994E-2</v>
      </c>
      <c r="P1451">
        <v>-0.99821230000000005</v>
      </c>
      <c r="Q1451">
        <v>5.9768429999999997E-2</v>
      </c>
      <c r="R1451">
        <v>-2.2469849999999999E-4</v>
      </c>
      <c r="S1451">
        <v>-3.0220950000000002</v>
      </c>
      <c r="T1451">
        <v>-0.271493599999999</v>
      </c>
      <c r="U1451">
        <v>-0.17263789999999901</v>
      </c>
      <c r="V1451">
        <v>6.5009189999999994E-2</v>
      </c>
      <c r="W1451">
        <v>6.7478679999999999E-2</v>
      </c>
      <c r="X1451">
        <v>0.9956005</v>
      </c>
      <c r="Y1451">
        <v>7.9131099999999992E-3</v>
      </c>
      <c r="Z1451">
        <v>6.1915009999999899E-3</v>
      </c>
      <c r="AA1451">
        <v>0.99994950000000005</v>
      </c>
      <c r="AB1451">
        <v>29</v>
      </c>
      <c r="AC1451">
        <v>-0.55230000000000201</v>
      </c>
      <c r="AD1451">
        <v>-7.6719999999999899E-2</v>
      </c>
      <c r="AE1451">
        <v>-2.96000000000162E-2</v>
      </c>
      <c r="AF1451">
        <v>6.3633322281398501E-3</v>
      </c>
      <c r="AG1451">
        <v>-7.6719999999999899E-2</v>
      </c>
      <c r="AH1451">
        <v>0.54261430167268099</v>
      </c>
      <c r="AI1451">
        <v>98.047135091926506</v>
      </c>
      <c r="AJ1451">
        <v>89.328113234643098</v>
      </c>
      <c r="AK1451">
        <v>0.54804810991077801</v>
      </c>
      <c r="AL1451">
        <v>86.130816176314099</v>
      </c>
      <c r="AM1451">
        <v>86.264091806863902</v>
      </c>
      <c r="AN1451">
        <v>0.99999996131962299</v>
      </c>
    </row>
    <row r="1452" spans="1:40" x14ac:dyDescent="0.25">
      <c r="A1452" t="str">
        <f>"20190312154536076"</f>
        <v>20190312154536076</v>
      </c>
      <c r="B1452" t="str">
        <f>"1552376736067827"</f>
        <v>1552376736067827</v>
      </c>
      <c r="C1452" t="s">
        <v>40</v>
      </c>
      <c r="D1452">
        <v>4.8759079999999999</v>
      </c>
      <c r="E1452">
        <v>0.47929670000000002</v>
      </c>
      <c r="F1452" t="s">
        <v>41</v>
      </c>
      <c r="G1452">
        <v>-238.39250000000001</v>
      </c>
      <c r="H1452">
        <v>1.036268</v>
      </c>
      <c r="I1452">
        <v>282.71600000000001</v>
      </c>
      <c r="J1452">
        <v>-237.84010000000001</v>
      </c>
      <c r="K1452">
        <v>1.1085430000000001</v>
      </c>
      <c r="L1452">
        <v>282.74639999999999</v>
      </c>
      <c r="M1452">
        <v>-0.99789709999999998</v>
      </c>
      <c r="N1452">
        <v>0</v>
      </c>
      <c r="O1452">
        <v>-6.4267119999999997E-2</v>
      </c>
      <c r="P1452">
        <v>-0.99842900000000001</v>
      </c>
      <c r="Q1452">
        <v>5.5937899999999999E-2</v>
      </c>
      <c r="R1452">
        <v>3.2791500000000002E-3</v>
      </c>
      <c r="S1452">
        <v>-3.0213320000000001</v>
      </c>
      <c r="T1452">
        <v>-0.2675573</v>
      </c>
      <c r="U1452">
        <v>-0.17279050000000001</v>
      </c>
      <c r="V1452">
        <v>6.7570140000000001E-2</v>
      </c>
      <c r="W1452">
        <v>6.4204189999999994E-2</v>
      </c>
      <c r="X1452">
        <v>0.99564660000000005</v>
      </c>
      <c r="Y1452">
        <v>6.9085759999999996E-3</v>
      </c>
      <c r="Z1452">
        <v>5.9752329999999999E-3</v>
      </c>
      <c r="AA1452">
        <v>0.99995829999999997</v>
      </c>
      <c r="AB1452">
        <v>29</v>
      </c>
      <c r="AC1452">
        <v>-0.552400000000005</v>
      </c>
      <c r="AD1452">
        <v>-7.2275000000000006E-2</v>
      </c>
      <c r="AE1452">
        <v>-3.03999999999859E-2</v>
      </c>
      <c r="AF1452">
        <v>5.0785928974768904E-3</v>
      </c>
      <c r="AG1452">
        <v>-7.2275000000000006E-2</v>
      </c>
      <c r="AH1452">
        <v>0.54392855603490997</v>
      </c>
      <c r="AI1452">
        <v>97.568564925925003</v>
      </c>
      <c r="AJ1452">
        <v>89.465052017516498</v>
      </c>
      <c r="AK1452">
        <v>0.54873285103139302</v>
      </c>
      <c r="AL1452">
        <v>86.318838958313705</v>
      </c>
      <c r="AM1452">
        <v>86.117541570976996</v>
      </c>
      <c r="AN1452">
        <v>1.0000000269623599</v>
      </c>
    </row>
    <row r="1453" spans="1:40" x14ac:dyDescent="0.25">
      <c r="A1453" t="str">
        <f>"20190312154536099"</f>
        <v>20190312154536099</v>
      </c>
      <c r="B1453" t="str">
        <f>"1552376736088322"</f>
        <v>1552376736088322</v>
      </c>
      <c r="C1453" t="s">
        <v>40</v>
      </c>
      <c r="D1453">
        <v>4.9475669999999896</v>
      </c>
      <c r="E1453">
        <v>0.47817130000000002</v>
      </c>
      <c r="F1453" t="s">
        <v>41</v>
      </c>
      <c r="G1453">
        <v>-238.65369999999999</v>
      </c>
      <c r="H1453">
        <v>1.0360199999999999</v>
      </c>
      <c r="I1453">
        <v>282.70049999999998</v>
      </c>
      <c r="J1453">
        <v>-238.13310000000001</v>
      </c>
      <c r="K1453">
        <v>1.1085860000000001</v>
      </c>
      <c r="L1453">
        <v>282.72879999999998</v>
      </c>
      <c r="M1453">
        <v>-0.99796339999999994</v>
      </c>
      <c r="N1453">
        <v>0</v>
      </c>
      <c r="O1453">
        <v>-6.313394E-2</v>
      </c>
      <c r="P1453">
        <v>-0.99858020000000003</v>
      </c>
      <c r="Q1453">
        <v>5.2775530000000001E-2</v>
      </c>
      <c r="R1453">
        <v>7.2474919999999899E-3</v>
      </c>
      <c r="S1453">
        <v>-3.0203700000000002</v>
      </c>
      <c r="T1453">
        <v>-0.26931310000000003</v>
      </c>
      <c r="U1453">
        <v>-0.17095949999999999</v>
      </c>
      <c r="V1453">
        <v>7.0412230000000006E-2</v>
      </c>
      <c r="W1453">
        <v>6.1705780000000002E-2</v>
      </c>
      <c r="X1453">
        <v>0.99560760000000004</v>
      </c>
      <c r="Y1453">
        <v>6.3623569999999999E-3</v>
      </c>
      <c r="Z1453">
        <v>5.8915549999999997E-3</v>
      </c>
      <c r="AA1453">
        <v>0.99996240000000003</v>
      </c>
      <c r="AB1453">
        <v>29</v>
      </c>
      <c r="AC1453">
        <v>-0.52059999999997297</v>
      </c>
      <c r="AD1453">
        <v>-7.2565999999999894E-2</v>
      </c>
      <c r="AE1453">
        <v>-2.8300000000001501E-2</v>
      </c>
      <c r="AF1453">
        <v>4.5374572167002601E-3</v>
      </c>
      <c r="AG1453">
        <v>-7.2565999999999894E-2</v>
      </c>
      <c r="AH1453">
        <v>0.51144044166777203</v>
      </c>
      <c r="AI1453">
        <v>98.075225618412702</v>
      </c>
      <c r="AJ1453">
        <v>89.491689928353097</v>
      </c>
      <c r="AK1453">
        <v>0.51658275062889902</v>
      </c>
      <c r="AL1453">
        <v>86.462271725501097</v>
      </c>
      <c r="AM1453">
        <v>85.954613517734202</v>
      </c>
      <c r="AN1453">
        <v>0.99999998929836997</v>
      </c>
    </row>
    <row r="1454" spans="1:40" x14ac:dyDescent="0.25">
      <c r="A1454" t="str">
        <f>"20190312154536121"</f>
        <v>20190312154536121</v>
      </c>
      <c r="B1454" t="str">
        <f>"1552376736117602"</f>
        <v>1552376736117602</v>
      </c>
      <c r="C1454" t="s">
        <v>40</v>
      </c>
      <c r="D1454">
        <v>4.9642589999999904</v>
      </c>
      <c r="E1454">
        <v>0.47669119999999998</v>
      </c>
      <c r="F1454" t="s">
        <v>41</v>
      </c>
      <c r="G1454">
        <v>-238.91659999999999</v>
      </c>
      <c r="H1454">
        <v>1.0383020000000001</v>
      </c>
      <c r="I1454">
        <v>282.68520000000001</v>
      </c>
      <c r="J1454">
        <v>-238.41550000000001</v>
      </c>
      <c r="K1454">
        <v>1.108633</v>
      </c>
      <c r="L1454">
        <v>282.71230000000003</v>
      </c>
      <c r="M1454">
        <v>-0.99802990000000003</v>
      </c>
      <c r="N1454">
        <v>0</v>
      </c>
      <c r="O1454">
        <v>-6.1975280000000001E-2</v>
      </c>
      <c r="P1454">
        <v>-0.99859949999999997</v>
      </c>
      <c r="Q1454">
        <v>5.1894750000000003E-2</v>
      </c>
      <c r="R1454">
        <v>1.0295E-2</v>
      </c>
      <c r="S1454">
        <v>-3.0198209999999999</v>
      </c>
      <c r="T1454">
        <v>-0.27089049999999998</v>
      </c>
      <c r="U1454">
        <v>-0.16839599999999999</v>
      </c>
      <c r="V1454">
        <v>7.2305060000000004E-2</v>
      </c>
      <c r="W1454">
        <v>6.1471619999999998E-2</v>
      </c>
      <c r="X1454">
        <v>0.99548639999999999</v>
      </c>
      <c r="Y1454">
        <v>6.0402669999999898E-3</v>
      </c>
      <c r="Z1454">
        <v>5.8093909999999997E-3</v>
      </c>
      <c r="AA1454">
        <v>0.99996490000000005</v>
      </c>
      <c r="AB1454">
        <v>29</v>
      </c>
      <c r="AC1454">
        <v>-0.50109999999997901</v>
      </c>
      <c r="AD1454">
        <v>-7.0330999999999894E-2</v>
      </c>
      <c r="AE1454">
        <v>-2.7100000000018502E-2</v>
      </c>
      <c r="AF1454">
        <v>3.9321599026814601E-3</v>
      </c>
      <c r="AG1454">
        <v>-7.0330999999999894E-2</v>
      </c>
      <c r="AH1454">
        <v>0.49214964914265302</v>
      </c>
      <c r="AI1454">
        <v>98.132573840122902</v>
      </c>
      <c r="AJ1454">
        <v>89.542229942980299</v>
      </c>
      <c r="AK1454">
        <v>0.49716515223186802</v>
      </c>
      <c r="AL1454">
        <v>86.475713580540003</v>
      </c>
      <c r="AM1454">
        <v>85.845736689771101</v>
      </c>
      <c r="AN1454">
        <v>0.99999997717599298</v>
      </c>
    </row>
    <row r="1455" spans="1:40" x14ac:dyDescent="0.25">
      <c r="A1455" t="str">
        <f>"20190312154536143"</f>
        <v>20190312154536143</v>
      </c>
      <c r="B1455" t="str">
        <f>"1552376736138098"</f>
        <v>1552376736138098</v>
      </c>
      <c r="C1455" t="s">
        <v>40</v>
      </c>
      <c r="D1455">
        <v>4.8994589999999896</v>
      </c>
      <c r="E1455">
        <v>0.4759235</v>
      </c>
      <c r="F1455" t="s">
        <v>41</v>
      </c>
      <c r="G1455">
        <v>-239.18029999999999</v>
      </c>
      <c r="H1455">
        <v>1.041831</v>
      </c>
      <c r="I1455">
        <v>282.66890000000001</v>
      </c>
      <c r="J1455">
        <v>-238.70820000000001</v>
      </c>
      <c r="K1455">
        <v>1.1086819999999999</v>
      </c>
      <c r="L1455">
        <v>282.69540000000001</v>
      </c>
      <c r="M1455">
        <v>-0.99810030000000005</v>
      </c>
      <c r="N1455">
        <v>0</v>
      </c>
      <c r="O1455">
        <v>-6.072056E-2</v>
      </c>
      <c r="P1455">
        <v>-0.99848709999999996</v>
      </c>
      <c r="Q1455">
        <v>5.3389140000000002E-2</v>
      </c>
      <c r="R1455">
        <v>1.316758E-2</v>
      </c>
      <c r="S1455">
        <v>-3.0196689999999999</v>
      </c>
      <c r="T1455">
        <v>-0.26383379999999901</v>
      </c>
      <c r="U1455">
        <v>-0.17169189999999901</v>
      </c>
      <c r="V1455">
        <v>7.3925450000000004E-2</v>
      </c>
      <c r="W1455">
        <v>6.3606999999999997E-2</v>
      </c>
      <c r="X1455">
        <v>0.99523320000000004</v>
      </c>
      <c r="Y1455">
        <v>3.7202300000000002E-3</v>
      </c>
      <c r="Z1455">
        <v>5.4485749999999998E-3</v>
      </c>
      <c r="AA1455">
        <v>0.99997820000000004</v>
      </c>
      <c r="AB1455">
        <v>29</v>
      </c>
      <c r="AC1455">
        <v>-0.47209999999998298</v>
      </c>
      <c r="AD1455">
        <v>-6.6850999999999994E-2</v>
      </c>
      <c r="AE1455">
        <v>-2.6499999999998601E-2</v>
      </c>
      <c r="AF1455">
        <v>2.1731998761492402E-3</v>
      </c>
      <c r="AG1455">
        <v>-6.6850999999999994E-2</v>
      </c>
      <c r="AH1455">
        <v>0.46357183563979698</v>
      </c>
      <c r="AI1455">
        <v>98.205877649450699</v>
      </c>
      <c r="AJ1455">
        <v>89.731402429503007</v>
      </c>
      <c r="AK1455">
        <v>0.46837231536156398</v>
      </c>
      <c r="AL1455">
        <v>86.353125309042298</v>
      </c>
      <c r="AM1455">
        <v>85.751898107936597</v>
      </c>
      <c r="AN1455">
        <v>0.99999997249447004</v>
      </c>
    </row>
    <row r="1456" spans="1:40" x14ac:dyDescent="0.25">
      <c r="A1456" t="str">
        <f>"20190312154536166"</f>
        <v>20190312154536166</v>
      </c>
      <c r="B1456" t="str">
        <f>"1552376736157617"</f>
        <v>1552376736157617</v>
      </c>
      <c r="C1456" t="s">
        <v>40</v>
      </c>
      <c r="D1456">
        <v>4.9008260000000003</v>
      </c>
      <c r="E1456">
        <v>0.47507919999999998</v>
      </c>
      <c r="F1456" t="s">
        <v>54</v>
      </c>
      <c r="G1456">
        <v>-251.94370000000001</v>
      </c>
      <c r="H1456" s="1">
        <v>-5.0243090000000002E-7</v>
      </c>
      <c r="I1456">
        <v>281.95330000000001</v>
      </c>
      <c r="J1456">
        <v>-238.99860000000001</v>
      </c>
      <c r="K1456">
        <v>1.1087020000000001</v>
      </c>
      <c r="L1456">
        <v>282.67919999999998</v>
      </c>
      <c r="M1456">
        <v>-0.99817120000000004</v>
      </c>
      <c r="N1456">
        <v>0</v>
      </c>
      <c r="O1456">
        <v>-5.9436500000000003E-2</v>
      </c>
      <c r="P1456">
        <v>-0.9983919</v>
      </c>
      <c r="Q1456">
        <v>5.4486359999999998E-2</v>
      </c>
      <c r="R1456">
        <v>1.5656119999999999E-2</v>
      </c>
      <c r="S1456">
        <v>-3.0203250000000001</v>
      </c>
      <c r="T1456">
        <v>-0.25299969999999999</v>
      </c>
      <c r="U1456">
        <v>-0.16934199999999999</v>
      </c>
      <c r="V1456">
        <v>7.5133030000000003E-2</v>
      </c>
      <c r="W1456">
        <v>6.5288159999999998E-2</v>
      </c>
      <c r="X1456">
        <v>0.99503390000000003</v>
      </c>
      <c r="Y1456">
        <v>3.2478189999999999E-3</v>
      </c>
      <c r="Z1456">
        <v>5.0978819999999998E-3</v>
      </c>
      <c r="AA1456">
        <v>0.99998180000000003</v>
      </c>
      <c r="AB1456">
        <v>29</v>
      </c>
      <c r="AC1456">
        <v>-12.945099999999901</v>
      </c>
      <c r="AD1456">
        <v>-1.1087025024308901</v>
      </c>
      <c r="AE1456">
        <v>-0.72589999999996702</v>
      </c>
      <c r="AF1456">
        <v>4.4516170665910203E-2</v>
      </c>
      <c r="AG1456">
        <v>-1.1087025024308901</v>
      </c>
      <c r="AH1456">
        <v>12.8712402487622</v>
      </c>
      <c r="AI1456">
        <v>94.923160538922005</v>
      </c>
      <c r="AJ1456">
        <v>89.801838946350003</v>
      </c>
      <c r="AK1456">
        <v>12.918979389630699</v>
      </c>
      <c r="AL1456">
        <v>86.256601319929501</v>
      </c>
      <c r="AM1456">
        <v>85.681903732571001</v>
      </c>
      <c r="AN1456">
        <v>0.99999998909118804</v>
      </c>
    </row>
    <row r="1457" spans="1:40" x14ac:dyDescent="0.25">
      <c r="A1457" t="str">
        <f>"20190312154536189"</f>
        <v>20190312154536189</v>
      </c>
      <c r="B1457" t="str">
        <f>"1552376736178114"</f>
        <v>1552376736178114</v>
      </c>
      <c r="C1457" t="s">
        <v>40</v>
      </c>
      <c r="D1457">
        <v>4.8843300000000003</v>
      </c>
      <c r="E1457">
        <v>0.47467969999999998</v>
      </c>
      <c r="F1457" t="s">
        <v>41</v>
      </c>
      <c r="G1457">
        <v>-239.9502</v>
      </c>
      <c r="H1457">
        <v>1.0313810000000001</v>
      </c>
      <c r="I1457">
        <v>282.62610000000001</v>
      </c>
      <c r="J1457">
        <v>-239.30410000000001</v>
      </c>
      <c r="K1457">
        <v>1.1087290000000001</v>
      </c>
      <c r="L1457">
        <v>282.6626</v>
      </c>
      <c r="M1457">
        <v>-0.99824570000000001</v>
      </c>
      <c r="N1457">
        <v>0</v>
      </c>
      <c r="O1457">
        <v>-5.8060149999999998E-2</v>
      </c>
      <c r="P1457">
        <v>-0.99834480000000003</v>
      </c>
      <c r="Q1457">
        <v>5.4303690000000002E-2</v>
      </c>
      <c r="R1457">
        <v>1.8941409999999999E-2</v>
      </c>
      <c r="S1457">
        <v>-3.0208740000000001</v>
      </c>
      <c r="T1457">
        <v>-0.245481</v>
      </c>
      <c r="U1457">
        <v>-0.16882320000000001</v>
      </c>
      <c r="V1457">
        <v>7.7042830000000007E-2</v>
      </c>
      <c r="W1457">
        <v>6.565928E-2</v>
      </c>
      <c r="X1457">
        <v>0.99486350000000001</v>
      </c>
      <c r="Y1457">
        <v>2.071959E-3</v>
      </c>
      <c r="Z1457">
        <v>4.7870489999999998E-3</v>
      </c>
      <c r="AA1457">
        <v>0.99998640000000005</v>
      </c>
      <c r="AB1457">
        <v>29</v>
      </c>
      <c r="AC1457">
        <v>-0.64609999999998902</v>
      </c>
      <c r="AD1457">
        <v>-7.7348000000000194E-2</v>
      </c>
      <c r="AE1457">
        <v>-3.6499999999989499E-2</v>
      </c>
      <c r="AF1457">
        <v>1.06160112091344E-3</v>
      </c>
      <c r="AG1457">
        <v>-7.7348000000000194E-2</v>
      </c>
      <c r="AH1457">
        <v>0.63801451239214602</v>
      </c>
      <c r="AI1457">
        <v>96.912359999542304</v>
      </c>
      <c r="AJ1457">
        <v>89.904664852539199</v>
      </c>
      <c r="AK1457">
        <v>0.64268682740812999</v>
      </c>
      <c r="AL1457">
        <v>86.235292258054599</v>
      </c>
      <c r="AM1457">
        <v>85.571818140408496</v>
      </c>
      <c r="AN1457">
        <v>1.0000000611683799</v>
      </c>
    </row>
    <row r="1458" spans="1:40" x14ac:dyDescent="0.25">
      <c r="A1458" t="str">
        <f>"20190312154536213"</f>
        <v>20190312154536213</v>
      </c>
      <c r="B1458" t="str">
        <f>"1552376736207394"</f>
        <v>1552376736207394</v>
      </c>
      <c r="C1458" t="s">
        <v>40</v>
      </c>
      <c r="D1458">
        <v>5.0703480000000001</v>
      </c>
      <c r="E1458">
        <v>0.47358220000000001</v>
      </c>
      <c r="F1458" t="s">
        <v>41</v>
      </c>
      <c r="G1458">
        <v>-240.21190000000001</v>
      </c>
      <c r="H1458">
        <v>1.0355460000000001</v>
      </c>
      <c r="I1458">
        <v>282.61410000000001</v>
      </c>
      <c r="J1458">
        <v>-239.60059999999999</v>
      </c>
      <c r="K1458">
        <v>1.1087590000000001</v>
      </c>
      <c r="L1458">
        <v>282.64690000000002</v>
      </c>
      <c r="M1458">
        <v>-0.99831760000000003</v>
      </c>
      <c r="N1458">
        <v>0</v>
      </c>
      <c r="O1458">
        <v>-5.6706859999999998E-2</v>
      </c>
      <c r="P1458">
        <v>-0.99820370000000003</v>
      </c>
      <c r="Q1458">
        <v>5.5396639999999997E-2</v>
      </c>
      <c r="R1458">
        <v>2.2813690000000001E-2</v>
      </c>
      <c r="S1458">
        <v>-3.0213320000000001</v>
      </c>
      <c r="T1458">
        <v>-0.2436951</v>
      </c>
      <c r="U1458">
        <v>-0.16241459999999999</v>
      </c>
      <c r="V1458">
        <v>7.9557920000000004E-2</v>
      </c>
      <c r="W1458">
        <v>6.7229380000000005E-2</v>
      </c>
      <c r="X1458">
        <v>0.99456060000000002</v>
      </c>
      <c r="Y1458">
        <v>2.8446330000000001E-3</v>
      </c>
      <c r="Z1458">
        <v>4.6743929999999998E-3</v>
      </c>
      <c r="AA1458">
        <v>0.99998500000000001</v>
      </c>
      <c r="AB1458">
        <v>29</v>
      </c>
      <c r="AC1458">
        <v>-0.61130000000002804</v>
      </c>
      <c r="AD1458">
        <v>-7.3213000000000195E-2</v>
      </c>
      <c r="AE1458">
        <v>-3.2800000000008801E-2</v>
      </c>
      <c r="AF1458">
        <v>1.8931494941274701E-3</v>
      </c>
      <c r="AG1458">
        <v>-7.3213000000000195E-2</v>
      </c>
      <c r="AH1458">
        <v>0.60354398713415902</v>
      </c>
      <c r="AI1458">
        <v>96.916446914482293</v>
      </c>
      <c r="AJ1458">
        <v>89.820279677089601</v>
      </c>
      <c r="AK1458">
        <v>0.607971275464396</v>
      </c>
      <c r="AL1458">
        <v>86.145132750263201</v>
      </c>
      <c r="AM1458">
        <v>85.426475318332095</v>
      </c>
      <c r="AN1458">
        <v>1.0000000196211301</v>
      </c>
    </row>
    <row r="1459" spans="1:40" x14ac:dyDescent="0.25">
      <c r="A1459" t="str">
        <f>"20190312154536234"</f>
        <v>20190312154536234</v>
      </c>
      <c r="B1459" t="str">
        <f>"1552376736227890"</f>
        <v>1552376736227890</v>
      </c>
      <c r="C1459" t="s">
        <v>40</v>
      </c>
      <c r="D1459">
        <v>4.9016650000000004</v>
      </c>
      <c r="E1459">
        <v>0.47282819999999998</v>
      </c>
      <c r="F1459" t="s">
        <v>41</v>
      </c>
      <c r="G1459">
        <v>-240.4753</v>
      </c>
      <c r="H1459">
        <v>1.0419119999999999</v>
      </c>
      <c r="I1459">
        <v>282.60079999999999</v>
      </c>
      <c r="J1459">
        <v>-239.87970000000001</v>
      </c>
      <c r="K1459">
        <v>1.1087899999999999</v>
      </c>
      <c r="L1459">
        <v>282.63240000000002</v>
      </c>
      <c r="M1459">
        <v>-0.99838490000000002</v>
      </c>
      <c r="N1459">
        <v>0</v>
      </c>
      <c r="O1459">
        <v>-5.5420419999999998E-2</v>
      </c>
      <c r="P1459">
        <v>-0.99803220000000004</v>
      </c>
      <c r="Q1459">
        <v>5.6957170000000001E-2</v>
      </c>
      <c r="R1459">
        <v>2.6229269999999999E-2</v>
      </c>
      <c r="S1459">
        <v>-3.0218959999999999</v>
      </c>
      <c r="T1459">
        <v>-0.2309542</v>
      </c>
      <c r="U1459">
        <v>-0.1595154</v>
      </c>
      <c r="V1459">
        <v>8.1682260000000007E-2</v>
      </c>
      <c r="W1459">
        <v>6.9187949999999998E-2</v>
      </c>
      <c r="X1459">
        <v>0.99425399999999997</v>
      </c>
      <c r="Y1459">
        <v>2.5472479999999998E-3</v>
      </c>
      <c r="Z1459">
        <v>4.3208049999999996E-3</v>
      </c>
      <c r="AA1459">
        <v>0.99998739999999997</v>
      </c>
      <c r="AB1459">
        <v>29</v>
      </c>
      <c r="AC1459">
        <v>-0.59559999999999003</v>
      </c>
      <c r="AD1459">
        <v>-6.6877999999999702E-2</v>
      </c>
      <c r="AE1459">
        <v>-3.1600000000025802E-2</v>
      </c>
      <c r="AF1459">
        <v>1.44143028683639E-3</v>
      </c>
      <c r="AG1459">
        <v>-6.6877999999999702E-2</v>
      </c>
      <c r="AH1459">
        <v>0.589030073688524</v>
      </c>
      <c r="AI1459">
        <v>96.477557987709005</v>
      </c>
      <c r="AJ1459">
        <v>89.859790338845499</v>
      </c>
      <c r="AK1459">
        <v>0.59281630570926402</v>
      </c>
      <c r="AL1459">
        <v>86.032652865978804</v>
      </c>
      <c r="AM1459">
        <v>85.303451506996495</v>
      </c>
      <c r="AN1459">
        <v>0.99999999026995501</v>
      </c>
    </row>
    <row r="1460" spans="1:40" x14ac:dyDescent="0.25">
      <c r="A1460" t="str">
        <f>"20190312154536256"</f>
        <v>20190312154536256</v>
      </c>
      <c r="B1460" t="str">
        <f>"1552376736248386"</f>
        <v>1552376736248386</v>
      </c>
      <c r="C1460" t="s">
        <v>40</v>
      </c>
      <c r="D1460">
        <v>5.018669</v>
      </c>
      <c r="E1460">
        <v>0.4555534</v>
      </c>
      <c r="F1460" t="s">
        <v>54</v>
      </c>
      <c r="G1460">
        <v>-255.05090000000001</v>
      </c>
      <c r="H1460" s="1">
        <v>1.15105E-6</v>
      </c>
      <c r="I1460">
        <v>281.85059999999999</v>
      </c>
      <c r="J1460">
        <v>-240.1576</v>
      </c>
      <c r="K1460">
        <v>1.108824</v>
      </c>
      <c r="L1460">
        <v>282.61849999999998</v>
      </c>
      <c r="M1460">
        <v>-0.99845079999999997</v>
      </c>
      <c r="N1460">
        <v>0</v>
      </c>
      <c r="O1460">
        <v>-5.4134010000000003E-2</v>
      </c>
      <c r="P1460">
        <v>-0.997923</v>
      </c>
      <c r="Q1460">
        <v>5.7614770000000003E-2</v>
      </c>
      <c r="R1460">
        <v>2.8813160000000001E-2</v>
      </c>
      <c r="S1460">
        <v>-3.0226289999999998</v>
      </c>
      <c r="T1460">
        <v>-0.22090979999999999</v>
      </c>
      <c r="U1460">
        <v>-0.1557617</v>
      </c>
      <c r="V1460">
        <v>8.2976820000000007E-2</v>
      </c>
      <c r="W1460">
        <v>7.0199230000000001E-2</v>
      </c>
      <c r="X1460">
        <v>0.99407590000000001</v>
      </c>
      <c r="Y1460">
        <v>2.5281169999999999E-3</v>
      </c>
      <c r="Z1460">
        <v>4.0382279999999996E-3</v>
      </c>
      <c r="AA1460">
        <v>0.99998869999999895</v>
      </c>
      <c r="AB1460">
        <v>29</v>
      </c>
      <c r="AC1460">
        <v>-14.8933</v>
      </c>
      <c r="AD1460">
        <v>-1.1088228489500001</v>
      </c>
      <c r="AE1460">
        <v>-0.76789999999999703</v>
      </c>
      <c r="AF1460">
        <v>3.9309638586323803E-2</v>
      </c>
      <c r="AG1460">
        <v>-1.1088228489500001</v>
      </c>
      <c r="AH1460">
        <v>14.8310409411433</v>
      </c>
      <c r="AI1460">
        <v>94.275672382754294</v>
      </c>
      <c r="AJ1460">
        <v>89.848138028884307</v>
      </c>
      <c r="AK1460">
        <v>14.8724849556457</v>
      </c>
      <c r="AL1460">
        <v>85.974569552177599</v>
      </c>
      <c r="AM1460">
        <v>85.228507302194402</v>
      </c>
      <c r="AN1460">
        <v>0.99999998975535698</v>
      </c>
    </row>
    <row r="1461" spans="1:40" x14ac:dyDescent="0.25">
      <c r="A1461" t="str">
        <f>"20190312154536277"</f>
        <v>20190312154536277</v>
      </c>
      <c r="B1461" t="str">
        <f>"1552376736267906"</f>
        <v>1552376736267906</v>
      </c>
      <c r="C1461" t="s">
        <v>40</v>
      </c>
      <c r="D1461">
        <v>4.8362949999999998</v>
      </c>
      <c r="E1461">
        <v>0.45906849999999999</v>
      </c>
      <c r="F1461" t="s">
        <v>54</v>
      </c>
      <c r="G1461">
        <v>-257.67790000000002</v>
      </c>
      <c r="H1461" s="1">
        <v>2.5490219999999998E-6</v>
      </c>
      <c r="I1461">
        <v>280.96969999999999</v>
      </c>
      <c r="J1461">
        <v>-240.4265</v>
      </c>
      <c r="K1461">
        <v>1.108841</v>
      </c>
      <c r="L1461">
        <v>282.6053</v>
      </c>
      <c r="M1461">
        <v>-0.9985136</v>
      </c>
      <c r="N1461">
        <v>0</v>
      </c>
      <c r="O1461">
        <v>-5.2888440000000002E-2</v>
      </c>
      <c r="P1461">
        <v>-0.99790959999999995</v>
      </c>
      <c r="Q1461">
        <v>5.708945E-2</v>
      </c>
      <c r="R1461">
        <v>3.0293150000000001E-2</v>
      </c>
      <c r="S1461">
        <v>-3.0254970000000001</v>
      </c>
      <c r="T1461">
        <v>-0.19147629999999999</v>
      </c>
      <c r="U1461">
        <v>-0.28472900000000001</v>
      </c>
      <c r="V1461">
        <v>8.3211830000000001E-2</v>
      </c>
      <c r="W1461">
        <v>6.9979E-2</v>
      </c>
      <c r="X1461">
        <v>0.99407179999999995</v>
      </c>
      <c r="Y1461">
        <v>-4.0927940000000003E-2</v>
      </c>
      <c r="Z1461">
        <v>2.0425619999999999E-3</v>
      </c>
      <c r="AA1461">
        <v>0.99916000000000005</v>
      </c>
      <c r="AB1461">
        <v>29</v>
      </c>
      <c r="AC1461">
        <v>-17.2514</v>
      </c>
      <c r="AD1461">
        <v>-1.108838450978</v>
      </c>
      <c r="AE1461">
        <v>-1.6356000000000099</v>
      </c>
      <c r="AF1461">
        <v>-0.71789229629875295</v>
      </c>
      <c r="AG1461">
        <v>-1.108838450978</v>
      </c>
      <c r="AH1461">
        <v>17.243160829205902</v>
      </c>
      <c r="AI1461">
        <v>93.6762194448511</v>
      </c>
      <c r="AJ1461">
        <v>92.384044224572605</v>
      </c>
      <c r="AK1461">
        <v>17.293683454987601</v>
      </c>
      <c r="AL1461">
        <v>85.987218976587101</v>
      </c>
      <c r="AM1461">
        <v>85.215036320907899</v>
      </c>
      <c r="AN1461">
        <v>1.0000000063240899</v>
      </c>
    </row>
    <row r="1462" spans="1:40" x14ac:dyDescent="0.25">
      <c r="A1462" t="str">
        <f>"20190312154536300"</f>
        <v>20190312154536300</v>
      </c>
      <c r="B1462" t="str">
        <f>"1552376736298162"</f>
        <v>1552376736298162</v>
      </c>
      <c r="C1462" t="s">
        <v>40</v>
      </c>
      <c r="D1462">
        <v>4.8703370000000001</v>
      </c>
      <c r="E1462">
        <v>0.45993689999999998</v>
      </c>
      <c r="F1462" t="s">
        <v>54</v>
      </c>
      <c r="G1462">
        <v>-258.40300000000002</v>
      </c>
      <c r="H1462" s="1">
        <v>2.934843E-6</v>
      </c>
      <c r="I1462">
        <v>281.10910000000001</v>
      </c>
      <c r="J1462">
        <v>-240.7251</v>
      </c>
      <c r="K1462">
        <v>1.1088530000000001</v>
      </c>
      <c r="L1462">
        <v>282.59100000000001</v>
      </c>
      <c r="M1462">
        <v>-0.99858179999999996</v>
      </c>
      <c r="N1462">
        <v>0</v>
      </c>
      <c r="O1462">
        <v>-5.1508190000000002E-2</v>
      </c>
      <c r="P1462">
        <v>-0.99799760000000004</v>
      </c>
      <c r="Q1462">
        <v>5.4674649999999998E-2</v>
      </c>
      <c r="R1462">
        <v>3.1800500000000002E-2</v>
      </c>
      <c r="S1462">
        <v>-3.024597</v>
      </c>
      <c r="T1462">
        <v>-0.1865656</v>
      </c>
      <c r="U1462">
        <v>-0.2517395</v>
      </c>
      <c r="V1462">
        <v>8.3340199999999906E-2</v>
      </c>
      <c r="W1462">
        <v>6.786259E-2</v>
      </c>
      <c r="X1462">
        <v>0.99420770000000003</v>
      </c>
      <c r="Y1462">
        <v>-3.1536069999999999E-2</v>
      </c>
      <c r="Z1462">
        <v>2.196211E-3</v>
      </c>
      <c r="AA1462">
        <v>0.99950019999999995</v>
      </c>
      <c r="AB1462">
        <v>29</v>
      </c>
      <c r="AC1462">
        <v>-17.677900000000001</v>
      </c>
      <c r="AD1462">
        <v>-1.1088500651569999</v>
      </c>
      <c r="AE1462">
        <v>-1.48189999999999</v>
      </c>
      <c r="AF1462">
        <v>-0.56707777328592202</v>
      </c>
      <c r="AG1462">
        <v>-1.1088500651569999</v>
      </c>
      <c r="AH1462">
        <v>17.661762049817501</v>
      </c>
      <c r="AI1462">
        <v>93.5906132856542</v>
      </c>
      <c r="AJ1462">
        <v>91.8390013867741</v>
      </c>
      <c r="AK1462">
        <v>17.7056195704169</v>
      </c>
      <c r="AL1462">
        <v>86.108769113675294</v>
      </c>
      <c r="AM1462">
        <v>85.208340981225007</v>
      </c>
      <c r="AN1462">
        <v>0.99999993539841603</v>
      </c>
    </row>
    <row r="1463" spans="1:40" x14ac:dyDescent="0.25">
      <c r="A1463" t="str">
        <f>"20190312154536321"</f>
        <v>20190312154536321</v>
      </c>
      <c r="B1463" t="str">
        <f>"1552376736317682"</f>
        <v>1552376736317682</v>
      </c>
      <c r="C1463" t="s">
        <v>40</v>
      </c>
      <c r="D1463">
        <v>5.154236</v>
      </c>
      <c r="E1463">
        <v>0.45997080000000001</v>
      </c>
      <c r="F1463" t="s">
        <v>54</v>
      </c>
      <c r="G1463">
        <v>-258.63670000000002</v>
      </c>
      <c r="H1463" s="1">
        <v>3.0592249999999999E-6</v>
      </c>
      <c r="I1463">
        <v>281.17110000000002</v>
      </c>
      <c r="J1463">
        <v>-240.99080000000001</v>
      </c>
      <c r="K1463">
        <v>1.1088610000000001</v>
      </c>
      <c r="L1463">
        <v>282.57870000000003</v>
      </c>
      <c r="M1463">
        <v>-0.99864109999999995</v>
      </c>
      <c r="N1463">
        <v>0</v>
      </c>
      <c r="O1463">
        <v>-5.0283670000000003E-2</v>
      </c>
      <c r="P1463">
        <v>-0.99804740000000003</v>
      </c>
      <c r="Q1463">
        <v>5.3229430000000001E-2</v>
      </c>
      <c r="R1463">
        <v>3.268563E-2</v>
      </c>
      <c r="S1463">
        <v>-3.023911</v>
      </c>
      <c r="T1463">
        <v>-0.18720110000000001</v>
      </c>
      <c r="U1463">
        <v>-0.2397156</v>
      </c>
      <c r="V1463">
        <v>8.3003069999999998E-2</v>
      </c>
      <c r="W1463">
        <v>6.6648929999999995E-2</v>
      </c>
      <c r="X1463">
        <v>0.99431809999999998</v>
      </c>
      <c r="Y1463">
        <v>-2.8835070000000001E-2</v>
      </c>
      <c r="Z1463">
        <v>2.2125410000000002E-3</v>
      </c>
      <c r="AA1463">
        <v>0.99958179999999996</v>
      </c>
      <c r="AB1463">
        <v>29</v>
      </c>
      <c r="AC1463">
        <v>-17.645900000000001</v>
      </c>
      <c r="AD1463">
        <v>-1.1088579407750001</v>
      </c>
      <c r="AE1463">
        <v>-1.4076</v>
      </c>
      <c r="AF1463">
        <v>-0.51640890954737295</v>
      </c>
      <c r="AG1463">
        <v>-1.1088579407750001</v>
      </c>
      <c r="AH1463">
        <v>17.625201076531798</v>
      </c>
      <c r="AI1463">
        <v>93.598376581434295</v>
      </c>
      <c r="AJ1463">
        <v>91.678255388151896</v>
      </c>
      <c r="AK1463">
        <v>17.667596245184502</v>
      </c>
      <c r="AL1463">
        <v>86.178464912747202</v>
      </c>
      <c r="AM1463">
        <v>85.228162052884102</v>
      </c>
      <c r="AN1463">
        <v>1.00000003674358</v>
      </c>
    </row>
    <row r="1464" spans="1:40" x14ac:dyDescent="0.25">
      <c r="A1464" t="str">
        <f>"20190312154536343"</f>
        <v>20190312154536343</v>
      </c>
      <c r="B1464" t="str">
        <f>"1552376736338178"</f>
        <v>1552376736338178</v>
      </c>
      <c r="C1464" t="s">
        <v>40</v>
      </c>
      <c r="D1464">
        <v>4.8651679999999997</v>
      </c>
      <c r="E1464">
        <v>0.45971420000000002</v>
      </c>
      <c r="F1464" t="s">
        <v>54</v>
      </c>
      <c r="G1464">
        <v>-261.11489999999998</v>
      </c>
      <c r="H1464" s="1">
        <v>-9.4349349999999998E-7</v>
      </c>
      <c r="I1464">
        <v>281.01029999999997</v>
      </c>
      <c r="J1464">
        <v>-241.27670000000001</v>
      </c>
      <c r="K1464">
        <v>1.108876</v>
      </c>
      <c r="L1464">
        <v>282.56580000000002</v>
      </c>
      <c r="M1464">
        <v>-0.99870349999999997</v>
      </c>
      <c r="N1464">
        <v>0</v>
      </c>
      <c r="O1464">
        <v>-4.8968739999999997E-2</v>
      </c>
      <c r="P1464">
        <v>-0.99803620000000004</v>
      </c>
      <c r="Q1464">
        <v>5.286043E-2</v>
      </c>
      <c r="R1464">
        <v>3.360929E-2</v>
      </c>
      <c r="S1464">
        <v>-3.0224609999999998</v>
      </c>
      <c r="T1464">
        <v>-0.1665412</v>
      </c>
      <c r="U1464">
        <v>-0.2355652</v>
      </c>
      <c r="V1464">
        <v>8.2613740000000005E-2</v>
      </c>
      <c r="W1464">
        <v>6.649621E-2</v>
      </c>
      <c r="X1464">
        <v>0.99436069999999999</v>
      </c>
      <c r="Y1464">
        <v>-2.8814240000000001E-2</v>
      </c>
      <c r="Z1464">
        <v>1.89824E-3</v>
      </c>
      <c r="AA1464">
        <v>0.999583</v>
      </c>
      <c r="AB1464">
        <v>29</v>
      </c>
      <c r="AC1464">
        <v>-19.838199999999901</v>
      </c>
      <c r="AD1464">
        <v>-1.1088769434935</v>
      </c>
      <c r="AE1464">
        <v>-1.5555000000000501</v>
      </c>
      <c r="AF1464">
        <v>-0.58028597315516595</v>
      </c>
      <c r="AG1464">
        <v>-1.1088769434935</v>
      </c>
      <c r="AH1464">
        <v>19.8289994478734</v>
      </c>
      <c r="AI1464">
        <v>93.199392906466699</v>
      </c>
      <c r="AJ1464">
        <v>91.676254559766505</v>
      </c>
      <c r="AK1464">
        <v>19.868456381667301</v>
      </c>
      <c r="AL1464">
        <v>86.187234395727103</v>
      </c>
      <c r="AM1464">
        <v>85.250644506961905</v>
      </c>
      <c r="AN1464">
        <v>0.99999998884282004</v>
      </c>
    </row>
    <row r="1465" spans="1:40" x14ac:dyDescent="0.25">
      <c r="A1465" t="str">
        <f>"20190312154536366"</f>
        <v>20190312154536366</v>
      </c>
      <c r="B1465" t="str">
        <f>"1552376736357698"</f>
        <v>1552376736357698</v>
      </c>
      <c r="C1465" t="s">
        <v>40</v>
      </c>
      <c r="D1465">
        <v>4.7792019999999997</v>
      </c>
      <c r="E1465">
        <v>0.46020129999999998</v>
      </c>
      <c r="F1465" t="s">
        <v>54</v>
      </c>
      <c r="G1465">
        <v>-263.23779999999999</v>
      </c>
      <c r="H1465" s="1">
        <v>1.8621760000000001E-7</v>
      </c>
      <c r="I1465">
        <v>280.8612</v>
      </c>
      <c r="J1465">
        <v>-241.5635</v>
      </c>
      <c r="K1465">
        <v>1.1089059999999999</v>
      </c>
      <c r="L1465">
        <v>282.5532</v>
      </c>
      <c r="M1465">
        <v>-0.9987646</v>
      </c>
      <c r="N1465">
        <v>0</v>
      </c>
      <c r="O1465">
        <v>-4.7650449999999997E-2</v>
      </c>
      <c r="P1465">
        <v>-0.99791470000000004</v>
      </c>
      <c r="Q1465">
        <v>5.4841260000000003E-2</v>
      </c>
      <c r="R1465">
        <v>3.4043419999999998E-2</v>
      </c>
      <c r="S1465">
        <v>-3.0218959999999999</v>
      </c>
      <c r="T1465">
        <v>-0.15258339999999901</v>
      </c>
      <c r="U1465">
        <v>-0.23455809999999999</v>
      </c>
      <c r="V1465">
        <v>8.1732659999999999E-2</v>
      </c>
      <c r="W1465">
        <v>6.8662760000000003E-2</v>
      </c>
      <c r="X1465">
        <v>0.99428629999999996</v>
      </c>
      <c r="Y1465">
        <v>-2.980909E-2</v>
      </c>
      <c r="Z1465">
        <v>1.648346E-3</v>
      </c>
      <c r="AA1465">
        <v>0.99955430000000001</v>
      </c>
      <c r="AB1465">
        <v>29</v>
      </c>
      <c r="AC1465">
        <v>-21.674299999999899</v>
      </c>
      <c r="AD1465">
        <v>-1.1089058137823999</v>
      </c>
      <c r="AE1465">
        <v>-1.6919999999999999</v>
      </c>
      <c r="AF1465">
        <v>-0.65547947803023299</v>
      </c>
      <c r="AG1465">
        <v>-1.1089058137823999</v>
      </c>
      <c r="AH1465">
        <v>21.6739177708425</v>
      </c>
      <c r="AI1465">
        <v>92.927542322724605</v>
      </c>
      <c r="AJ1465">
        <v>91.732255532594095</v>
      </c>
      <c r="AK1465">
        <v>21.712163341942698</v>
      </c>
      <c r="AL1465">
        <v>86.062815904256993</v>
      </c>
      <c r="AM1465">
        <v>85.300718574544106</v>
      </c>
      <c r="AN1465">
        <v>1.0000000243445899</v>
      </c>
    </row>
    <row r="1466" spans="1:40" x14ac:dyDescent="0.25">
      <c r="A1466" t="str">
        <f>"20190312154536388"</f>
        <v>20190312154536388</v>
      </c>
      <c r="B1466" t="str">
        <f>"1552376736378196"</f>
        <v>1552376736378196</v>
      </c>
      <c r="C1466" t="s">
        <v>40</v>
      </c>
      <c r="D1466">
        <v>4.8092680000000003</v>
      </c>
      <c r="E1466">
        <v>0.46480110000000002</v>
      </c>
      <c r="F1466" t="s">
        <v>54</v>
      </c>
      <c r="G1466">
        <v>-265.8682</v>
      </c>
      <c r="H1466" s="1">
        <v>1.5859830000000001E-6</v>
      </c>
      <c r="I1466">
        <v>280.70999999999998</v>
      </c>
      <c r="J1466">
        <v>-241.858</v>
      </c>
      <c r="K1466">
        <v>1.1089290000000001</v>
      </c>
      <c r="L1466">
        <v>282.54070000000002</v>
      </c>
      <c r="M1466">
        <v>-0.99882610000000005</v>
      </c>
      <c r="N1466">
        <v>0</v>
      </c>
      <c r="O1466">
        <v>-4.6297020000000001E-2</v>
      </c>
      <c r="P1466">
        <v>-0.99774249999999998</v>
      </c>
      <c r="Q1466">
        <v>5.7725949999999998E-2</v>
      </c>
      <c r="R1466">
        <v>3.4321629999999999E-2</v>
      </c>
      <c r="S1466">
        <v>-3.0216829999999999</v>
      </c>
      <c r="T1466">
        <v>-0.1378644</v>
      </c>
      <c r="U1466">
        <v>-0.22915650000000001</v>
      </c>
      <c r="V1466">
        <v>8.0661099999999999E-2</v>
      </c>
      <c r="W1466">
        <v>7.1711269999999994E-2</v>
      </c>
      <c r="X1466">
        <v>0.9941586</v>
      </c>
      <c r="Y1466">
        <v>-2.9387440000000001E-2</v>
      </c>
      <c r="Z1466">
        <v>1.4378139999999999E-3</v>
      </c>
      <c r="AA1466">
        <v>0.99956710000000004</v>
      </c>
      <c r="AB1466">
        <v>28</v>
      </c>
      <c r="AC1466">
        <v>-24.010200000000001</v>
      </c>
      <c r="AD1466">
        <v>-1.108927414017</v>
      </c>
      <c r="AE1466">
        <v>-1.83070000000003</v>
      </c>
      <c r="AF1466">
        <v>-0.71550558059857206</v>
      </c>
      <c r="AG1466">
        <v>-1.108927414017</v>
      </c>
      <c r="AH1466">
        <v>24.018275960918899</v>
      </c>
      <c r="AI1466">
        <v>92.642306942276207</v>
      </c>
      <c r="AJ1466">
        <v>91.706339348039293</v>
      </c>
      <c r="AK1466">
        <v>24.054505781251901</v>
      </c>
      <c r="AL1466">
        <v>85.887717248006197</v>
      </c>
      <c r="AM1466">
        <v>85.361465032861503</v>
      </c>
      <c r="AN1466">
        <v>1.0000000206260899</v>
      </c>
    </row>
    <row r="1467" spans="1:40" x14ac:dyDescent="0.25">
      <c r="A1467" t="str">
        <f>"20190312154536412"</f>
        <v>20190312154536412</v>
      </c>
      <c r="B1467" t="str">
        <f>"1552376736407474"</f>
        <v>1552376736407474</v>
      </c>
      <c r="C1467" t="s">
        <v>40</v>
      </c>
      <c r="D1467">
        <v>4.9174369999999996</v>
      </c>
      <c r="E1467">
        <v>0.52547089999999996</v>
      </c>
      <c r="F1467" t="s">
        <v>54</v>
      </c>
      <c r="G1467">
        <v>-264.9393</v>
      </c>
      <c r="H1467" s="1">
        <v>1.0916380000000001E-6</v>
      </c>
      <c r="I1467">
        <v>281.07069999999999</v>
      </c>
      <c r="J1467">
        <v>-242.15129999999999</v>
      </c>
      <c r="K1467">
        <v>1.108948</v>
      </c>
      <c r="L1467">
        <v>282.52859999999998</v>
      </c>
      <c r="M1467">
        <v>-0.99888549999999998</v>
      </c>
      <c r="N1467">
        <v>0</v>
      </c>
      <c r="O1467">
        <v>-4.4948710000000003E-2</v>
      </c>
      <c r="P1467">
        <v>-0.99768389999999996</v>
      </c>
      <c r="Q1467">
        <v>5.8665250000000002E-2</v>
      </c>
      <c r="R1467">
        <v>3.4431990000000003E-2</v>
      </c>
      <c r="S1467">
        <v>-3.0218050000000001</v>
      </c>
      <c r="T1467">
        <v>-0.14518120000000001</v>
      </c>
      <c r="U1467">
        <v>-0.1924438</v>
      </c>
      <c r="V1467">
        <v>7.942747E-2</v>
      </c>
      <c r="W1467">
        <v>7.2792770000000007E-2</v>
      </c>
      <c r="X1467">
        <v>0.99417929999999999</v>
      </c>
      <c r="Y1467">
        <v>-1.8659740000000001E-2</v>
      </c>
      <c r="Z1467">
        <v>1.707484E-3</v>
      </c>
      <c r="AA1467">
        <v>0.99982439999999995</v>
      </c>
      <c r="AB1467">
        <v>28</v>
      </c>
      <c r="AC1467">
        <v>-22.788</v>
      </c>
      <c r="AD1467">
        <v>-1.1089469083620001</v>
      </c>
      <c r="AE1467">
        <v>-1.45789999999999</v>
      </c>
      <c r="AF1467">
        <v>-0.43101222388578198</v>
      </c>
      <c r="AG1467">
        <v>-1.1089469083620001</v>
      </c>
      <c r="AH1467">
        <v>22.776781868274998</v>
      </c>
      <c r="AI1467">
        <v>92.786894905111694</v>
      </c>
      <c r="AJ1467">
        <v>91.084096709038903</v>
      </c>
      <c r="AK1467">
        <v>22.807834773552798</v>
      </c>
      <c r="AL1467">
        <v>85.825589378723194</v>
      </c>
      <c r="AM1467">
        <v>85.4321989041227</v>
      </c>
      <c r="AN1467">
        <v>0.99999999545168095</v>
      </c>
    </row>
    <row r="1468" spans="1:40" x14ac:dyDescent="0.25">
      <c r="A1468" t="str">
        <f>"20190312154536436"</f>
        <v>20190312154536436</v>
      </c>
      <c r="B1468" t="str">
        <f>"1552376736427970"</f>
        <v>1552376736427970</v>
      </c>
      <c r="C1468" t="s">
        <v>40</v>
      </c>
      <c r="D1468">
        <v>4.7516290000000003</v>
      </c>
      <c r="E1468">
        <v>0.52635989999999999</v>
      </c>
      <c r="F1468" t="s">
        <v>41</v>
      </c>
      <c r="G1468">
        <v>-242.9933</v>
      </c>
      <c r="H1468">
        <v>0.97179340000000003</v>
      </c>
      <c r="I1468">
        <v>282.60520000000002</v>
      </c>
      <c r="J1468">
        <v>-242.4503</v>
      </c>
      <c r="K1468">
        <v>1.108965</v>
      </c>
      <c r="L1468">
        <v>282.51670000000001</v>
      </c>
      <c r="M1468">
        <v>-0.99894479999999997</v>
      </c>
      <c r="N1468">
        <v>0</v>
      </c>
      <c r="O1468">
        <v>-4.3573729999999998E-2</v>
      </c>
      <c r="P1468">
        <v>-0.99766469999999896</v>
      </c>
      <c r="Q1468">
        <v>5.8646040000000003E-2</v>
      </c>
      <c r="R1468">
        <v>3.5014829999999997E-2</v>
      </c>
      <c r="S1468">
        <v>-3.026459</v>
      </c>
      <c r="T1468">
        <v>-0.4930216</v>
      </c>
      <c r="U1468">
        <v>0.27526859999999997</v>
      </c>
      <c r="V1468">
        <v>7.8638650000000004E-2</v>
      </c>
      <c r="W1468">
        <v>7.2897390000000006E-2</v>
      </c>
      <c r="X1468">
        <v>0.99423430000000002</v>
      </c>
      <c r="Y1468">
        <v>0.13160089999999999</v>
      </c>
      <c r="Z1468">
        <v>1.766757E-2</v>
      </c>
      <c r="AA1468">
        <v>0.99114530000000001</v>
      </c>
      <c r="AB1468">
        <v>28</v>
      </c>
      <c r="AC1468">
        <v>-0.54300000000000603</v>
      </c>
      <c r="AD1468">
        <v>-0.13717159999999901</v>
      </c>
      <c r="AE1468">
        <v>8.8500000000010404E-2</v>
      </c>
      <c r="AF1468">
        <v>0.105519387001138</v>
      </c>
      <c r="AG1468">
        <v>-0.13717159999999901</v>
      </c>
      <c r="AH1468">
        <v>0.50710360205498595</v>
      </c>
      <c r="AI1468">
        <v>104.832997298981</v>
      </c>
      <c r="AJ1468">
        <v>78.2454854378704</v>
      </c>
      <c r="AK1468">
        <v>0.535821287461405</v>
      </c>
      <c r="AL1468">
        <v>85.819578957287703</v>
      </c>
      <c r="AM1468">
        <v>85.477623232487602</v>
      </c>
      <c r="AN1468">
        <v>0.99999995501956096</v>
      </c>
    </row>
    <row r="1469" spans="1:40" x14ac:dyDescent="0.25">
      <c r="A1469" t="str">
        <f>"20190312154536478"</f>
        <v>20190312154536478</v>
      </c>
      <c r="B1469" t="str">
        <f>"1552376736467987"</f>
        <v>1552376736467987</v>
      </c>
      <c r="C1469" t="s">
        <v>40</v>
      </c>
      <c r="D1469">
        <v>4.6726890000000001</v>
      </c>
      <c r="E1469">
        <v>0.52661420000000003</v>
      </c>
      <c r="F1469" t="s">
        <v>41</v>
      </c>
      <c r="G1469">
        <v>-243.24629999999999</v>
      </c>
      <c r="H1469">
        <v>0.97369399999999995</v>
      </c>
      <c r="I1469">
        <v>282.59129999999999</v>
      </c>
      <c r="J1469">
        <v>-242.983</v>
      </c>
      <c r="K1469">
        <v>1.109016</v>
      </c>
      <c r="L1469">
        <v>282.49650000000003</v>
      </c>
      <c r="M1469">
        <v>-0.9990462</v>
      </c>
      <c r="N1469">
        <v>0</v>
      </c>
      <c r="O1469">
        <v>-4.112209E-2</v>
      </c>
      <c r="P1469">
        <v>-0.99746979999999996</v>
      </c>
      <c r="Q1469">
        <v>6.164116E-2</v>
      </c>
      <c r="R1469">
        <v>3.5420889999999997E-2</v>
      </c>
      <c r="S1469">
        <v>-3.0273590000000001</v>
      </c>
      <c r="T1469">
        <v>-0.51463440000000005</v>
      </c>
      <c r="U1469">
        <v>0.28234860000000001</v>
      </c>
      <c r="V1469">
        <v>7.6600370000000001E-2</v>
      </c>
      <c r="W1469">
        <v>7.60686E-2</v>
      </c>
      <c r="X1469">
        <v>0.99415589999999998</v>
      </c>
      <c r="Y1469">
        <v>0.1312786</v>
      </c>
      <c r="Z1469">
        <v>1.7983969999999998E-2</v>
      </c>
      <c r="AA1469">
        <v>0.99118240000000002</v>
      </c>
      <c r="AB1469">
        <v>28</v>
      </c>
      <c r="AC1469">
        <v>-0.26329999999998599</v>
      </c>
      <c r="AD1469">
        <v>-0.135321999999999</v>
      </c>
      <c r="AE1469">
        <v>9.4799999999963802E-2</v>
      </c>
      <c r="AF1469">
        <v>8.5545431870317906E-2</v>
      </c>
      <c r="AG1469">
        <v>-0.135321999999999</v>
      </c>
      <c r="AH1469">
        <v>0.21006031193779001</v>
      </c>
      <c r="AI1469">
        <v>120.821493015771</v>
      </c>
      <c r="AJ1469">
        <v>67.841770922489999</v>
      </c>
      <c r="AK1469">
        <v>0.26411247461882698</v>
      </c>
      <c r="AL1469">
        <v>85.637376014859299</v>
      </c>
      <c r="AM1469">
        <v>85.594027642975902</v>
      </c>
      <c r="AN1469">
        <v>1.0000000010474499</v>
      </c>
    </row>
    <row r="1470" spans="1:40" x14ac:dyDescent="0.25">
      <c r="A1470" t="str">
        <f>"20190312154536501"</f>
        <v>20190312154536501</v>
      </c>
      <c r="B1470" t="str">
        <f>"1552376736498242"</f>
        <v>1552376736498242</v>
      </c>
      <c r="C1470" t="s">
        <v>40</v>
      </c>
      <c r="D1470">
        <v>4.7832330000000001</v>
      </c>
      <c r="E1470">
        <v>0.52883349999999996</v>
      </c>
      <c r="F1470" t="s">
        <v>41</v>
      </c>
      <c r="G1470">
        <v>-243.75069999999999</v>
      </c>
      <c r="H1470">
        <v>0.97633389999999998</v>
      </c>
      <c r="I1470">
        <v>282.56880000000001</v>
      </c>
      <c r="J1470">
        <v>-243.27180000000001</v>
      </c>
      <c r="K1470">
        <v>1.10904</v>
      </c>
      <c r="L1470">
        <v>282.48610000000002</v>
      </c>
      <c r="M1470">
        <v>-0.99909890000000001</v>
      </c>
      <c r="N1470">
        <v>0</v>
      </c>
      <c r="O1470">
        <v>-3.9791439999999997E-2</v>
      </c>
      <c r="P1470">
        <v>-0.99735390000000002</v>
      </c>
      <c r="Q1470">
        <v>6.3029059999999998E-2</v>
      </c>
      <c r="R1470">
        <v>3.6233250000000002E-2</v>
      </c>
      <c r="S1470">
        <v>-3.0298769999999999</v>
      </c>
      <c r="T1470">
        <v>-0.5237366</v>
      </c>
      <c r="U1470">
        <v>0.28463749999999999</v>
      </c>
      <c r="V1470">
        <v>7.6084789999999999E-2</v>
      </c>
      <c r="W1470">
        <v>7.7530539999999995E-2</v>
      </c>
      <c r="X1470">
        <v>0.99408260000000004</v>
      </c>
      <c r="Y1470">
        <v>0.1305723</v>
      </c>
      <c r="Z1470">
        <v>1.7993550000000001E-2</v>
      </c>
      <c r="AA1470">
        <v>0.99127549999999998</v>
      </c>
      <c r="AB1470">
        <v>28</v>
      </c>
      <c r="AC1470">
        <v>-0.47889999999998101</v>
      </c>
      <c r="AD1470">
        <v>-0.13270609999999999</v>
      </c>
      <c r="AE1470">
        <v>8.2699999999988394E-2</v>
      </c>
      <c r="AF1470">
        <v>9.4636212494907404E-2</v>
      </c>
      <c r="AG1470">
        <v>-0.13270609999999999</v>
      </c>
      <c r="AH1470">
        <v>0.44225325918501202</v>
      </c>
      <c r="AI1470">
        <v>106.353023299489</v>
      </c>
      <c r="AJ1470">
        <v>77.921636794907997</v>
      </c>
      <c r="AK1470">
        <v>0.47133307432468202</v>
      </c>
      <c r="AL1470">
        <v>85.553365101037201</v>
      </c>
      <c r="AM1470">
        <v>85.623246210072594</v>
      </c>
      <c r="AN1470">
        <v>1.00000004776239</v>
      </c>
    </row>
    <row r="1471" spans="1:40" x14ac:dyDescent="0.25">
      <c r="A1471" t="str">
        <f>"20190312154536523"</f>
        <v>20190312154536523</v>
      </c>
      <c r="B1471" t="str">
        <f>"1552376736517762"</f>
        <v>1552376736517762</v>
      </c>
      <c r="C1471" t="s">
        <v>40</v>
      </c>
      <c r="D1471">
        <v>4.8568049999999996</v>
      </c>
      <c r="E1471">
        <v>0.52929440000000005</v>
      </c>
      <c r="F1471" t="s">
        <v>41</v>
      </c>
      <c r="G1471">
        <v>-244.0027</v>
      </c>
      <c r="H1471">
        <v>0.97830220000000001</v>
      </c>
      <c r="I1471">
        <v>282.5598</v>
      </c>
      <c r="J1471">
        <v>-243.55029999999999</v>
      </c>
      <c r="K1471">
        <v>1.1090580000000001</v>
      </c>
      <c r="L1471">
        <v>282.47640000000001</v>
      </c>
      <c r="M1471">
        <v>-0.99914829999999999</v>
      </c>
      <c r="N1471">
        <v>0</v>
      </c>
      <c r="O1471">
        <v>-3.8508029999999999E-2</v>
      </c>
      <c r="P1471">
        <v>-0.9973651</v>
      </c>
      <c r="Q1471">
        <v>6.2174479999999997E-2</v>
      </c>
      <c r="R1471">
        <v>3.7382159999999998E-2</v>
      </c>
      <c r="S1471">
        <v>-3.0311279999999998</v>
      </c>
      <c r="T1471">
        <v>-0.542265199999999</v>
      </c>
      <c r="U1471">
        <v>0.30502319999999999</v>
      </c>
      <c r="V1471">
        <v>7.5952489999999998E-2</v>
      </c>
      <c r="W1471">
        <v>7.6737529999999998E-2</v>
      </c>
      <c r="X1471">
        <v>0.99415419999999999</v>
      </c>
      <c r="Y1471">
        <v>0.13562939999999901</v>
      </c>
      <c r="Z1471">
        <v>1.882752E-2</v>
      </c>
      <c r="AA1471">
        <v>0.99058069999999998</v>
      </c>
      <c r="AB1471">
        <v>28</v>
      </c>
      <c r="AC1471">
        <v>-0.45240000000001102</v>
      </c>
      <c r="AD1471">
        <v>-0.13075580000000001</v>
      </c>
      <c r="AE1471">
        <v>8.3399999999983196E-2</v>
      </c>
      <c r="AF1471">
        <v>9.3229018239872202E-2</v>
      </c>
      <c r="AG1471">
        <v>-0.13075580000000001</v>
      </c>
      <c r="AH1471">
        <v>0.415299989699005</v>
      </c>
      <c r="AI1471">
        <v>107.077021676744</v>
      </c>
      <c r="AJ1471">
        <v>77.347652557701906</v>
      </c>
      <c r="AK1471">
        <v>0.44526712265740498</v>
      </c>
      <c r="AL1471">
        <v>85.598936792231399</v>
      </c>
      <c r="AM1471">
        <v>85.631140685325903</v>
      </c>
      <c r="AN1471">
        <v>1.00000000131267</v>
      </c>
    </row>
    <row r="1472" spans="1:40" x14ac:dyDescent="0.25">
      <c r="A1472" t="str">
        <f>"20190312154536545"</f>
        <v>20190312154536545</v>
      </c>
      <c r="B1472" t="str">
        <f>"1552376736538258"</f>
        <v>1552376736538258</v>
      </c>
      <c r="C1472" t="s">
        <v>40</v>
      </c>
      <c r="D1472">
        <v>4.8068109999999997</v>
      </c>
      <c r="E1472">
        <v>0.52985979999999999</v>
      </c>
      <c r="F1472" t="s">
        <v>41</v>
      </c>
      <c r="G1472">
        <v>-244.2551</v>
      </c>
      <c r="H1472">
        <v>0.98229529999999998</v>
      </c>
      <c r="I1472">
        <v>282.54969999999997</v>
      </c>
      <c r="J1472">
        <v>-243.81399999999999</v>
      </c>
      <c r="K1472">
        <v>1.1090739999999999</v>
      </c>
      <c r="L1472">
        <v>282.46769999999998</v>
      </c>
      <c r="M1472">
        <v>-0.99919380000000002</v>
      </c>
      <c r="N1472">
        <v>0</v>
      </c>
      <c r="O1472">
        <v>-3.7292260000000001E-2</v>
      </c>
      <c r="P1472">
        <v>-0.99741329999999995</v>
      </c>
      <c r="Q1472">
        <v>6.1088780000000002E-2</v>
      </c>
      <c r="R1472">
        <v>3.7880539999999997E-2</v>
      </c>
      <c r="S1472">
        <v>-3.0301360000000002</v>
      </c>
      <c r="T1472">
        <v>-0.54508140000000005</v>
      </c>
      <c r="U1472">
        <v>0.31356810000000002</v>
      </c>
      <c r="V1472">
        <v>7.5238139999999995E-2</v>
      </c>
      <c r="W1472">
        <v>7.5703900000000005E-2</v>
      </c>
      <c r="X1472">
        <v>0.9942877</v>
      </c>
      <c r="Y1472">
        <v>0.13718649999999999</v>
      </c>
      <c r="Z1472">
        <v>1.8849359999999999E-2</v>
      </c>
      <c r="AA1472">
        <v>0.99036590000000002</v>
      </c>
      <c r="AB1472">
        <v>28</v>
      </c>
      <c r="AC1472">
        <v>-0.44109999999997701</v>
      </c>
      <c r="AD1472">
        <v>-0.12677869999999899</v>
      </c>
      <c r="AE1472">
        <v>8.1999999999993606E-2</v>
      </c>
      <c r="AF1472">
        <v>9.1118742840665803E-2</v>
      </c>
      <c r="AG1472">
        <v>-0.12677869999999899</v>
      </c>
      <c r="AH1472">
        <v>0.40536709205809701</v>
      </c>
      <c r="AI1472">
        <v>106.968866627061</v>
      </c>
      <c r="AJ1472">
        <v>77.331570646174498</v>
      </c>
      <c r="AK1472">
        <v>0.43439376537214602</v>
      </c>
      <c r="AL1472">
        <v>85.658331966392296</v>
      </c>
      <c r="AM1472">
        <v>85.672652806643399</v>
      </c>
      <c r="AN1472">
        <v>0.99999994427857797</v>
      </c>
    </row>
    <row r="1473" spans="1:40" x14ac:dyDescent="0.25">
      <c r="A1473" t="str">
        <f>"20190312154536566"</f>
        <v>20190312154536566</v>
      </c>
      <c r="B1473" t="str">
        <f>"1552376736557778"</f>
        <v>1552376736557778</v>
      </c>
      <c r="C1473" t="s">
        <v>40</v>
      </c>
      <c r="D1473">
        <v>4.702515</v>
      </c>
      <c r="E1473">
        <v>0.52985419999999905</v>
      </c>
      <c r="F1473" t="s">
        <v>41</v>
      </c>
      <c r="G1473">
        <v>-244.7364</v>
      </c>
      <c r="H1473">
        <v>0.94030400000000003</v>
      </c>
      <c r="I1473">
        <v>282.56549999999999</v>
      </c>
      <c r="J1473">
        <v>-244.08879999999999</v>
      </c>
      <c r="K1473">
        <v>1.109089</v>
      </c>
      <c r="L1473">
        <v>282.4588</v>
      </c>
      <c r="M1473">
        <v>-0.99923960000000001</v>
      </c>
      <c r="N1473">
        <v>0</v>
      </c>
      <c r="O1473">
        <v>-3.6025559999999998E-2</v>
      </c>
      <c r="P1473">
        <v>-0.99742109999999995</v>
      </c>
      <c r="Q1473">
        <v>6.0940109999999999E-2</v>
      </c>
      <c r="R1473">
        <v>3.7917159999999998E-2</v>
      </c>
      <c r="S1473">
        <v>-3.0295719999999999</v>
      </c>
      <c r="T1473">
        <v>-0.55430869999999999</v>
      </c>
      <c r="U1473">
        <v>0.32040410000000002</v>
      </c>
      <c r="V1473">
        <v>7.4012289999999994E-2</v>
      </c>
      <c r="W1473">
        <v>7.5602630000000004E-2</v>
      </c>
      <c r="X1473">
        <v>0.99438740000000003</v>
      </c>
      <c r="Y1473">
        <v>0.1380728</v>
      </c>
      <c r="Z1473">
        <v>1.9015529999999999E-2</v>
      </c>
      <c r="AA1473">
        <v>0.99023950000000005</v>
      </c>
      <c r="AB1473">
        <v>28</v>
      </c>
      <c r="AC1473">
        <v>-0.64760000000001094</v>
      </c>
      <c r="AD1473">
        <v>-0.16878499999999899</v>
      </c>
      <c r="AE1473">
        <v>0.106699999999989</v>
      </c>
      <c r="AF1473">
        <v>0.121901682979173</v>
      </c>
      <c r="AG1473">
        <v>-0.16878499999999899</v>
      </c>
      <c r="AH1473">
        <v>0.60342833872280799</v>
      </c>
      <c r="AI1473">
        <v>105.33211261009799</v>
      </c>
      <c r="AJ1473">
        <v>78.579090318469099</v>
      </c>
      <c r="AK1473">
        <v>0.63833702423713701</v>
      </c>
      <c r="AL1473">
        <v>85.664150963641504</v>
      </c>
      <c r="AM1473">
        <v>85.743321913195302</v>
      </c>
      <c r="AN1473">
        <v>0.99999993900635797</v>
      </c>
    </row>
    <row r="1474" spans="1:40" x14ac:dyDescent="0.25">
      <c r="A1474" t="str">
        <f>"20190312154536589"</f>
        <v>20190312154536589</v>
      </c>
      <c r="B1474" t="str">
        <f>"1552376736578274"</f>
        <v>1552376736578274</v>
      </c>
      <c r="C1474" t="s">
        <v>40</v>
      </c>
      <c r="D1474">
        <v>4.8061959999999999</v>
      </c>
      <c r="E1474">
        <v>0.53048660000000003</v>
      </c>
      <c r="F1474" t="s">
        <v>41</v>
      </c>
      <c r="G1474">
        <v>-244.9864</v>
      </c>
      <c r="H1474">
        <v>0.94286879999999995</v>
      </c>
      <c r="I1474">
        <v>282.55380000000002</v>
      </c>
      <c r="J1474">
        <v>-244.37299999999999</v>
      </c>
      <c r="K1474">
        <v>1.1090930000000001</v>
      </c>
      <c r="L1474">
        <v>282.45</v>
      </c>
      <c r="M1474">
        <v>-0.99928530000000004</v>
      </c>
      <c r="N1474">
        <v>0</v>
      </c>
      <c r="O1474">
        <v>-3.4716400000000001E-2</v>
      </c>
      <c r="P1474">
        <v>-0.99746639999999998</v>
      </c>
      <c r="Q1474">
        <v>6.0772850000000003E-2</v>
      </c>
      <c r="R1474">
        <v>3.6980789999999999E-2</v>
      </c>
      <c r="S1474">
        <v>-3.0298609999999999</v>
      </c>
      <c r="T1474">
        <v>-0.56108049999999998</v>
      </c>
      <c r="U1474">
        <v>0.32043460000000001</v>
      </c>
      <c r="V1474">
        <v>7.1772870000000002E-2</v>
      </c>
      <c r="W1474">
        <v>7.5480920000000007E-2</v>
      </c>
      <c r="X1474">
        <v>0.99456080000000002</v>
      </c>
      <c r="Y1474">
        <v>0.1367507</v>
      </c>
      <c r="Z1474">
        <v>1.888128E-2</v>
      </c>
      <c r="AA1474">
        <v>0.99042549999999996</v>
      </c>
      <c r="AB1474">
        <v>28</v>
      </c>
      <c r="AC1474">
        <v>-0.61340000000001205</v>
      </c>
      <c r="AD1474">
        <v>-0.16622419999999999</v>
      </c>
      <c r="AE1474">
        <v>0.103800000000035</v>
      </c>
      <c r="AF1474">
        <v>0.11670334701587</v>
      </c>
      <c r="AG1474">
        <v>-0.16622419999999999</v>
      </c>
      <c r="AH1474">
        <v>0.56881808644168996</v>
      </c>
      <c r="AI1474">
        <v>105.97453459203101</v>
      </c>
      <c r="AJ1474">
        <v>78.405629069336698</v>
      </c>
      <c r="AK1474">
        <v>0.60399020797818603</v>
      </c>
      <c r="AL1474">
        <v>85.671144461842601</v>
      </c>
      <c r="AM1474">
        <v>85.872383015804601</v>
      </c>
      <c r="AN1474">
        <v>0.99999994952436</v>
      </c>
    </row>
    <row r="1475" spans="1:40" x14ac:dyDescent="0.25">
      <c r="A1475" t="str">
        <f>"20190312154536613"</f>
        <v>20190312154536613</v>
      </c>
      <c r="B1475" t="str">
        <f>"1552376736608385"</f>
        <v>1552376736608385</v>
      </c>
      <c r="C1475" t="s">
        <v>40</v>
      </c>
      <c r="D1475">
        <v>4.8692830000000002</v>
      </c>
      <c r="E1475">
        <v>0.53145259999999905</v>
      </c>
      <c r="F1475" t="s">
        <v>41</v>
      </c>
      <c r="G1475">
        <v>-245.23660000000001</v>
      </c>
      <c r="H1475">
        <v>0.94670299999999996</v>
      </c>
      <c r="I1475">
        <v>282.54230000000001</v>
      </c>
      <c r="J1475">
        <v>-244.6644</v>
      </c>
      <c r="K1475">
        <v>1.109103</v>
      </c>
      <c r="L1475">
        <v>282.44139999999999</v>
      </c>
      <c r="M1475">
        <v>-0.99933050000000001</v>
      </c>
      <c r="N1475">
        <v>0</v>
      </c>
      <c r="O1475">
        <v>-3.337408E-2</v>
      </c>
      <c r="P1475">
        <v>-0.99747989999999997</v>
      </c>
      <c r="Q1475">
        <v>6.0872330000000002E-2</v>
      </c>
      <c r="R1475">
        <v>3.6449929999999998E-2</v>
      </c>
      <c r="S1475">
        <v>-3.0303339999999999</v>
      </c>
      <c r="T1475">
        <v>-0.56978909999999905</v>
      </c>
      <c r="U1475">
        <v>0.32330320000000001</v>
      </c>
      <c r="V1475">
        <v>6.9905049999999996E-2</v>
      </c>
      <c r="W1475">
        <v>7.56193E-2</v>
      </c>
      <c r="X1475">
        <v>0.9946834</v>
      </c>
      <c r="Y1475">
        <v>0.13627500000000001</v>
      </c>
      <c r="Z1475">
        <v>1.887167E-2</v>
      </c>
      <c r="AA1475">
        <v>0.99049129999999996</v>
      </c>
      <c r="AB1475">
        <v>28</v>
      </c>
      <c r="AC1475">
        <v>-0.57220000000000903</v>
      </c>
      <c r="AD1475">
        <v>-0.16239999999999999</v>
      </c>
      <c r="AE1475">
        <v>0.100900000000024</v>
      </c>
      <c r="AF1475">
        <v>0.111251310221353</v>
      </c>
      <c r="AG1475">
        <v>-0.16239999999999999</v>
      </c>
      <c r="AH1475">
        <v>0.52731780811783302</v>
      </c>
      <c r="AI1475">
        <v>106.769667471909</v>
      </c>
      <c r="AJ1475">
        <v>78.086682201316506</v>
      </c>
      <c r="AK1475">
        <v>0.56286293605474103</v>
      </c>
      <c r="AL1475">
        <v>85.663193498034104</v>
      </c>
      <c r="AM1475">
        <v>85.979937256764103</v>
      </c>
      <c r="AN1475">
        <v>1.00000003039177</v>
      </c>
    </row>
    <row r="1476" spans="1:40" x14ac:dyDescent="0.25">
      <c r="A1476" t="str">
        <f>"20190312154536635"</f>
        <v>20190312154536635</v>
      </c>
      <c r="B1476" t="str">
        <f>"1552376736627905"</f>
        <v>1552376736627905</v>
      </c>
      <c r="C1476" t="s">
        <v>40</v>
      </c>
      <c r="D1476">
        <v>4.8085339999999999</v>
      </c>
      <c r="E1476">
        <v>0.53159829999999997</v>
      </c>
      <c r="F1476" t="s">
        <v>41</v>
      </c>
      <c r="G1476">
        <v>-245.48650000000001</v>
      </c>
      <c r="H1476">
        <v>0.9508704</v>
      </c>
      <c r="I1476">
        <v>282.53089999999997</v>
      </c>
      <c r="J1476">
        <v>-244.9451</v>
      </c>
      <c r="K1476">
        <v>1.109121</v>
      </c>
      <c r="L1476">
        <v>282.43349999999998</v>
      </c>
      <c r="M1476">
        <v>-0.99937260000000006</v>
      </c>
      <c r="N1476">
        <v>0</v>
      </c>
      <c r="O1476">
        <v>-3.2082619999999999E-2</v>
      </c>
      <c r="P1476">
        <v>-0.99750130000000004</v>
      </c>
      <c r="Q1476">
        <v>6.0657959999999997E-2</v>
      </c>
      <c r="R1476">
        <v>3.6222360000000002E-2</v>
      </c>
      <c r="S1476">
        <v>-3.0311129999999999</v>
      </c>
      <c r="T1476">
        <v>-0.58344759999999996</v>
      </c>
      <c r="U1476">
        <v>0.3294067</v>
      </c>
      <c r="V1476">
        <v>6.8389969999999994E-2</v>
      </c>
      <c r="W1476">
        <v>7.5436210000000004E-2</v>
      </c>
      <c r="X1476">
        <v>0.99480259999999998</v>
      </c>
      <c r="Y1476">
        <v>0.13681470000000001</v>
      </c>
      <c r="Z1476">
        <v>1.9114780000000001E-2</v>
      </c>
      <c r="AA1476">
        <v>0.99041219999999996</v>
      </c>
      <c r="AB1476">
        <v>28</v>
      </c>
      <c r="AC1476">
        <v>-0.54140000000000998</v>
      </c>
      <c r="AD1476">
        <v>-0.15825059999999999</v>
      </c>
      <c r="AE1476">
        <v>9.73999999999932E-2</v>
      </c>
      <c r="AF1476">
        <v>0.105952684911281</v>
      </c>
      <c r="AG1476">
        <v>-0.15825059999999999</v>
      </c>
      <c r="AH1476">
        <v>0.49687466188067497</v>
      </c>
      <c r="AI1476">
        <v>107.301233165071</v>
      </c>
      <c r="AJ1476">
        <v>77.962635515759501</v>
      </c>
      <c r="AK1476">
        <v>0.53212184080274705</v>
      </c>
      <c r="AL1476">
        <v>85.673713748783499</v>
      </c>
      <c r="AM1476">
        <v>86.0672590046658</v>
      </c>
      <c r="AN1476">
        <v>1.0000000113712599</v>
      </c>
    </row>
    <row r="1477" spans="1:40" x14ac:dyDescent="0.25">
      <c r="A1477" t="str">
        <f>"20190312154536656"</f>
        <v>20190312154536656</v>
      </c>
      <c r="B1477" t="str">
        <f>"1552376736648401"</f>
        <v>1552376736648401</v>
      </c>
      <c r="C1477" t="s">
        <v>40</v>
      </c>
      <c r="D1477">
        <v>4.8392189999999999</v>
      </c>
      <c r="E1477">
        <v>0.53254429999999997</v>
      </c>
      <c r="F1477" t="s">
        <v>41</v>
      </c>
      <c r="G1477">
        <v>-245.7363</v>
      </c>
      <c r="H1477">
        <v>0.95565389999999995</v>
      </c>
      <c r="I1477">
        <v>282.51960000000003</v>
      </c>
      <c r="J1477">
        <v>-245.20679999999999</v>
      </c>
      <c r="K1477">
        <v>1.1091359999999999</v>
      </c>
      <c r="L1477">
        <v>282.42649999999998</v>
      </c>
      <c r="M1477">
        <v>-0.99941020000000003</v>
      </c>
      <c r="N1477">
        <v>0</v>
      </c>
      <c r="O1477">
        <v>-3.0879340000000002E-2</v>
      </c>
      <c r="P1477">
        <v>-0.99751559999999995</v>
      </c>
      <c r="Q1477">
        <v>6.06721E-2</v>
      </c>
      <c r="R1477">
        <v>3.5803500000000002E-2</v>
      </c>
      <c r="S1477">
        <v>-3.031326</v>
      </c>
      <c r="T1477">
        <v>-0.58797540000000004</v>
      </c>
      <c r="U1477">
        <v>0.32922360000000001</v>
      </c>
      <c r="V1477">
        <v>6.6772239999999997E-2</v>
      </c>
      <c r="W1477">
        <v>7.547616E-2</v>
      </c>
      <c r="X1477">
        <v>0.9949095</v>
      </c>
      <c r="Y1477">
        <v>0.13555429999999999</v>
      </c>
      <c r="Z1477">
        <v>1.8907710000000001E-2</v>
      </c>
      <c r="AA1477">
        <v>0.99058950000000001</v>
      </c>
      <c r="AB1477">
        <v>28</v>
      </c>
      <c r="AC1477">
        <v>-0.52950000000001296</v>
      </c>
      <c r="AD1477">
        <v>-0.15348210000000001</v>
      </c>
      <c r="AE1477">
        <v>9.3100000000049393E-2</v>
      </c>
      <c r="AF1477">
        <v>0.10116318932634701</v>
      </c>
      <c r="AG1477">
        <v>-0.15348210000000001</v>
      </c>
      <c r="AH1477">
        <v>0.48670546312882701</v>
      </c>
      <c r="AI1477">
        <v>107.158078525965</v>
      </c>
      <c r="AJ1477">
        <v>78.258090012277094</v>
      </c>
      <c r="AK1477">
        <v>0.52026238931382895</v>
      </c>
      <c r="AL1477">
        <v>85.671418396940197</v>
      </c>
      <c r="AM1477">
        <v>86.160415682255405</v>
      </c>
      <c r="AN1477">
        <v>1.0000000479766</v>
      </c>
    </row>
    <row r="1478" spans="1:40" x14ac:dyDescent="0.25">
      <c r="A1478" t="str">
        <f>"20190312154536680"</f>
        <v>20190312154536680</v>
      </c>
      <c r="B1478" t="str">
        <f>"1552376736677681"</f>
        <v>1552376736677681</v>
      </c>
      <c r="C1478" t="s">
        <v>40</v>
      </c>
      <c r="D1478">
        <v>4.8339379999999998</v>
      </c>
      <c r="E1478">
        <v>0.53337999999999997</v>
      </c>
      <c r="F1478" t="s">
        <v>41</v>
      </c>
      <c r="G1478">
        <v>-245.98310000000001</v>
      </c>
      <c r="H1478">
        <v>0.95460409999999996</v>
      </c>
      <c r="I1478">
        <v>282.51240000000001</v>
      </c>
      <c r="J1478">
        <v>-245.49950000000001</v>
      </c>
      <c r="K1478">
        <v>1.1091500000000001</v>
      </c>
      <c r="L1478">
        <v>282.41890000000001</v>
      </c>
      <c r="M1478">
        <v>-0.99945070000000003</v>
      </c>
      <c r="N1478">
        <v>0</v>
      </c>
      <c r="O1478">
        <v>-2.9534330000000001E-2</v>
      </c>
      <c r="P1478">
        <v>-0.99748130000000002</v>
      </c>
      <c r="Q1478">
        <v>6.0828220000000002E-2</v>
      </c>
      <c r="R1478">
        <v>3.6487840000000001E-2</v>
      </c>
      <c r="S1478">
        <v>-3.0321660000000001</v>
      </c>
      <c r="T1478">
        <v>-0.60357299999999903</v>
      </c>
      <c r="U1478">
        <v>0.33486939999999998</v>
      </c>
      <c r="V1478">
        <v>6.6114110000000004E-2</v>
      </c>
      <c r="W1478">
        <v>7.5653020000000001E-2</v>
      </c>
      <c r="X1478">
        <v>0.99494000000000005</v>
      </c>
      <c r="Y1478">
        <v>0.13587379999999999</v>
      </c>
      <c r="Z1478">
        <v>1.9159610000000001E-2</v>
      </c>
      <c r="AA1478">
        <v>0.99054089999999995</v>
      </c>
      <c r="AB1478">
        <v>28</v>
      </c>
      <c r="AC1478">
        <v>-0.48359999999999498</v>
      </c>
      <c r="AD1478">
        <v>-0.15454590000000001</v>
      </c>
      <c r="AE1478">
        <v>9.3500000000005898E-2</v>
      </c>
      <c r="AF1478">
        <v>9.8087193254817295E-2</v>
      </c>
      <c r="AG1478">
        <v>-0.15454590000000001</v>
      </c>
      <c r="AH1478">
        <v>0.437551430832338</v>
      </c>
      <c r="AI1478">
        <v>109.016634873922</v>
      </c>
      <c r="AJ1478">
        <v>77.364727838366505</v>
      </c>
      <c r="AK1478">
        <v>0.47429609666414502</v>
      </c>
      <c r="AL1478">
        <v>85.661255929425593</v>
      </c>
      <c r="AM1478">
        <v>86.198264604331001</v>
      </c>
      <c r="AN1478">
        <v>1.0000000292880999</v>
      </c>
    </row>
    <row r="1479" spans="1:40" x14ac:dyDescent="0.25">
      <c r="A1479" t="str">
        <f>"20190312154536700"</f>
        <v>20190312154536700</v>
      </c>
      <c r="B1479" t="str">
        <f>"1552376736698177"</f>
        <v>1552376736698177</v>
      </c>
      <c r="C1479" t="s">
        <v>40</v>
      </c>
      <c r="D1479">
        <v>4.7934449999999904</v>
      </c>
      <c r="E1479">
        <v>0.53367790000000004</v>
      </c>
      <c r="F1479" t="s">
        <v>41</v>
      </c>
      <c r="G1479">
        <v>-246.23230000000001</v>
      </c>
      <c r="H1479">
        <v>0.95981309999999997</v>
      </c>
      <c r="I1479">
        <v>282.50200000000001</v>
      </c>
      <c r="J1479">
        <v>-245.75280000000001</v>
      </c>
      <c r="K1479">
        <v>1.109167</v>
      </c>
      <c r="L1479">
        <v>282.41269999999997</v>
      </c>
      <c r="M1479">
        <v>-0.99948389999999998</v>
      </c>
      <c r="N1479">
        <v>0</v>
      </c>
      <c r="O1479">
        <v>-2.8373329999999999E-2</v>
      </c>
      <c r="P1479">
        <v>-0.99743809999999999</v>
      </c>
      <c r="Q1479">
        <v>6.1244149999999997E-2</v>
      </c>
      <c r="R1479">
        <v>3.6967760000000002E-2</v>
      </c>
      <c r="S1479">
        <v>-3.0327000000000002</v>
      </c>
      <c r="T1479">
        <v>-0.61812509999999998</v>
      </c>
      <c r="U1479">
        <v>0.34329219999999999</v>
      </c>
      <c r="V1479">
        <v>6.5435720000000003E-2</v>
      </c>
      <c r="W1479">
        <v>7.6084269999999996E-2</v>
      </c>
      <c r="X1479">
        <v>0.99495199999999995</v>
      </c>
      <c r="Y1479">
        <v>0.1372642</v>
      </c>
      <c r="Z1479">
        <v>1.9512370000000001E-2</v>
      </c>
      <c r="AA1479">
        <v>0.99034230000000001</v>
      </c>
      <c r="AB1479">
        <v>28</v>
      </c>
      <c r="AC1479">
        <v>-0.47950000000000098</v>
      </c>
      <c r="AD1479">
        <v>-0.14935390000000001</v>
      </c>
      <c r="AE1479">
        <v>8.9300000000037003E-2</v>
      </c>
      <c r="AF1479">
        <v>9.4051685369684099E-2</v>
      </c>
      <c r="AG1479">
        <v>-0.14935390000000001</v>
      </c>
      <c r="AH1479">
        <v>0.435900008080988</v>
      </c>
      <c r="AI1479">
        <v>108.517035458045</v>
      </c>
      <c r="AJ1479">
        <v>77.824266883556106</v>
      </c>
      <c r="AK1479">
        <v>0.47027770945590602</v>
      </c>
      <c r="AL1479">
        <v>85.636475864273294</v>
      </c>
      <c r="AM1479">
        <v>86.237206420551402</v>
      </c>
      <c r="AN1479">
        <v>1.0000000659486701</v>
      </c>
    </row>
    <row r="1480" spans="1:40" x14ac:dyDescent="0.25">
      <c r="A1480" t="str">
        <f>"20190312154536724"</f>
        <v>20190312154536724</v>
      </c>
      <c r="B1480" t="str">
        <f>"1552376736717697"</f>
        <v>1552376736717697</v>
      </c>
      <c r="C1480" t="s">
        <v>40</v>
      </c>
      <c r="D1480">
        <v>4.7907929999999999</v>
      </c>
      <c r="E1480">
        <v>0.53418750000000004</v>
      </c>
      <c r="F1480" t="s">
        <v>41</v>
      </c>
      <c r="G1480">
        <v>-246.47909999999999</v>
      </c>
      <c r="H1480">
        <v>0.96065029999999996</v>
      </c>
      <c r="I1480">
        <v>282.49579999999997</v>
      </c>
      <c r="J1480">
        <v>-246.04159999999999</v>
      </c>
      <c r="K1480">
        <v>1.109189</v>
      </c>
      <c r="L1480">
        <v>282.40600000000001</v>
      </c>
      <c r="M1480">
        <v>-0.99952039999999998</v>
      </c>
      <c r="N1480">
        <v>0</v>
      </c>
      <c r="O1480">
        <v>-2.705861E-2</v>
      </c>
      <c r="P1480">
        <v>-0.99737480000000001</v>
      </c>
      <c r="Q1480">
        <v>6.1558580000000002E-2</v>
      </c>
      <c r="R1480">
        <v>3.813619E-2</v>
      </c>
      <c r="S1480">
        <v>-3.0329440000000001</v>
      </c>
      <c r="T1480">
        <v>-0.62028059999999996</v>
      </c>
      <c r="U1480">
        <v>0.3463135</v>
      </c>
      <c r="V1480">
        <v>6.5290890000000004E-2</v>
      </c>
      <c r="W1480">
        <v>7.6411380000000001E-2</v>
      </c>
      <c r="X1480">
        <v>0.99493640000000005</v>
      </c>
      <c r="Y1480">
        <v>0.13693830000000001</v>
      </c>
      <c r="Z1480">
        <v>1.9278139999999999E-2</v>
      </c>
      <c r="AA1480">
        <v>0.99039200000000005</v>
      </c>
      <c r="AB1480">
        <v>28</v>
      </c>
      <c r="AC1480">
        <v>-0.4375</v>
      </c>
      <c r="AD1480">
        <v>-0.148538699999999</v>
      </c>
      <c r="AE1480">
        <v>8.9799999999968294E-2</v>
      </c>
      <c r="AF1480">
        <v>9.1487058757810893E-2</v>
      </c>
      <c r="AG1480">
        <v>-0.148538699999999</v>
      </c>
      <c r="AH1480">
        <v>0.39159468479139697</v>
      </c>
      <c r="AI1480">
        <v>110.27276582878901</v>
      </c>
      <c r="AJ1480">
        <v>76.850026177115893</v>
      </c>
      <c r="AK1480">
        <v>0.42869572481507001</v>
      </c>
      <c r="AL1480">
        <v>85.617678920582605</v>
      </c>
      <c r="AM1480">
        <v>86.245452129754497</v>
      </c>
      <c r="AN1480">
        <v>1.0000000196777199</v>
      </c>
    </row>
    <row r="1481" spans="1:40" x14ac:dyDescent="0.25">
      <c r="A1481" t="str">
        <f>"20190312154536745"</f>
        <v>20190312154536745</v>
      </c>
      <c r="B1481" t="str">
        <f>"1552376736738193"</f>
        <v>1552376736738193</v>
      </c>
      <c r="C1481" t="s">
        <v>40</v>
      </c>
      <c r="D1481">
        <v>4.8167609999999996</v>
      </c>
      <c r="E1481">
        <v>0.53479030000000005</v>
      </c>
      <c r="F1481" t="s">
        <v>41</v>
      </c>
      <c r="G1481">
        <v>-246.95339999999999</v>
      </c>
      <c r="H1481">
        <v>0.92131609999999997</v>
      </c>
      <c r="I1481">
        <v>282.51280000000003</v>
      </c>
      <c r="J1481">
        <v>-246.3015</v>
      </c>
      <c r="K1481">
        <v>1.1092120000000001</v>
      </c>
      <c r="L1481">
        <v>282.40030000000002</v>
      </c>
      <c r="M1481">
        <v>-0.99955119999999997</v>
      </c>
      <c r="N1481">
        <v>0</v>
      </c>
      <c r="O1481">
        <v>-2.5888870000000001E-2</v>
      </c>
      <c r="P1481">
        <v>-0.99733720000000003</v>
      </c>
      <c r="Q1481">
        <v>6.1118220000000001E-2</v>
      </c>
      <c r="R1481">
        <v>3.9791340000000001E-2</v>
      </c>
      <c r="S1481">
        <v>-3.0329280000000001</v>
      </c>
      <c r="T1481">
        <v>-0.62490049999999997</v>
      </c>
      <c r="U1481">
        <v>0.35452270000000002</v>
      </c>
      <c r="V1481">
        <v>6.5775979999999998E-2</v>
      </c>
      <c r="W1481">
        <v>7.5979679999999994E-2</v>
      </c>
      <c r="X1481">
        <v>0.99493750000000003</v>
      </c>
      <c r="Y1481">
        <v>0.13837160000000001</v>
      </c>
      <c r="Z1481">
        <v>1.932381E-2</v>
      </c>
      <c r="AA1481">
        <v>0.99019179999999996</v>
      </c>
      <c r="AB1481">
        <v>27</v>
      </c>
      <c r="AC1481">
        <v>-0.65189999999998305</v>
      </c>
      <c r="AD1481">
        <v>-0.1878959</v>
      </c>
      <c r="AE1481">
        <v>0.11250000000001099</v>
      </c>
      <c r="AF1481">
        <v>0.119685759001534</v>
      </c>
      <c r="AG1481">
        <v>-0.1878959</v>
      </c>
      <c r="AH1481">
        <v>0.60033764453930105</v>
      </c>
      <c r="AI1481">
        <v>107.063514806431</v>
      </c>
      <c r="AJ1481">
        <v>78.725106264975807</v>
      </c>
      <c r="AK1481">
        <v>0.640339626757223</v>
      </c>
      <c r="AL1481">
        <v>85.6424855822344</v>
      </c>
      <c r="AM1481">
        <v>86.217641909777001</v>
      </c>
      <c r="AN1481">
        <v>1.0000000101120501</v>
      </c>
    </row>
    <row r="1482" spans="1:40" x14ac:dyDescent="0.25">
      <c r="A1482" t="str">
        <f>"20190312154536767"</f>
        <v>20190312154536767</v>
      </c>
      <c r="B1482" t="str">
        <f>"1552376736757713"</f>
        <v>1552376736757713</v>
      </c>
      <c r="C1482" t="s">
        <v>40</v>
      </c>
      <c r="D1482">
        <v>4.8158659999999998</v>
      </c>
      <c r="E1482">
        <v>0.53532460000000004</v>
      </c>
      <c r="F1482" t="s">
        <v>41</v>
      </c>
      <c r="G1482">
        <v>-247.19880000000001</v>
      </c>
      <c r="H1482">
        <v>0.92209359999999996</v>
      </c>
      <c r="I1482">
        <v>282.50810000000001</v>
      </c>
      <c r="J1482">
        <v>-246.57560000000001</v>
      </c>
      <c r="K1482">
        <v>1.1092360000000001</v>
      </c>
      <c r="L1482">
        <v>282.39460000000003</v>
      </c>
      <c r="M1482">
        <v>-0.99958190000000002</v>
      </c>
      <c r="N1482">
        <v>0</v>
      </c>
      <c r="O1482">
        <v>-2.466755E-2</v>
      </c>
      <c r="P1482">
        <v>-0.99731460000000005</v>
      </c>
      <c r="Q1482">
        <v>5.9960579999999999E-2</v>
      </c>
      <c r="R1482">
        <v>4.2052630000000001E-2</v>
      </c>
      <c r="S1482">
        <v>-3.0322269999999998</v>
      </c>
      <c r="T1482">
        <v>-0.63230549999999996</v>
      </c>
      <c r="U1482">
        <v>0.36380000000000001</v>
      </c>
      <c r="V1482">
        <v>6.6813510000000007E-2</v>
      </c>
      <c r="W1482">
        <v>7.4829019999999996E-2</v>
      </c>
      <c r="X1482">
        <v>0.99495549999999999</v>
      </c>
      <c r="Y1482">
        <v>0.14008519999999999</v>
      </c>
      <c r="Z1482">
        <v>1.947401E-2</v>
      </c>
      <c r="AA1482">
        <v>0.98994789999999999</v>
      </c>
      <c r="AB1482">
        <v>27</v>
      </c>
      <c r="AC1482">
        <v>-0.62319999999999698</v>
      </c>
      <c r="AD1482">
        <v>-0.18714239999999999</v>
      </c>
      <c r="AE1482">
        <v>0.113499999999987</v>
      </c>
      <c r="AF1482">
        <v>0.118497483745723</v>
      </c>
      <c r="AG1482">
        <v>-0.18714239999999999</v>
      </c>
      <c r="AH1482">
        <v>0.57042331755859199</v>
      </c>
      <c r="AI1482">
        <v>107.807983203821</v>
      </c>
      <c r="AJ1482">
        <v>78.264513549906198</v>
      </c>
      <c r="AK1482">
        <v>0.61192049544559102</v>
      </c>
      <c r="AL1482">
        <v>85.708601463515194</v>
      </c>
      <c r="AM1482">
        <v>86.158226744529898</v>
      </c>
      <c r="AN1482">
        <v>0.99999993716646296</v>
      </c>
    </row>
    <row r="1483" spans="1:40" x14ac:dyDescent="0.25">
      <c r="A1483" t="str">
        <f>"20190312154536789"</f>
        <v>20190312154536789</v>
      </c>
      <c r="B1483" t="str">
        <f>"1552376736778209"</f>
        <v>1552376736778209</v>
      </c>
      <c r="C1483" t="s">
        <v>40</v>
      </c>
      <c r="D1483">
        <v>4.7360059999999997</v>
      </c>
      <c r="E1483">
        <v>0.5357054</v>
      </c>
      <c r="F1483" t="s">
        <v>41</v>
      </c>
      <c r="G1483">
        <v>-247.44479999999999</v>
      </c>
      <c r="H1483">
        <v>0.92524799999999996</v>
      </c>
      <c r="I1483">
        <v>282.50209999999998</v>
      </c>
      <c r="J1483">
        <v>-246.8509</v>
      </c>
      <c r="K1483">
        <v>1.1092580000000001</v>
      </c>
      <c r="L1483">
        <v>282.38920000000002</v>
      </c>
      <c r="M1483">
        <v>-0.99961100000000003</v>
      </c>
      <c r="N1483">
        <v>0</v>
      </c>
      <c r="O1483">
        <v>-2.345889E-2</v>
      </c>
      <c r="P1483">
        <v>-0.99724959999999996</v>
      </c>
      <c r="Q1483">
        <v>5.911164E-2</v>
      </c>
      <c r="R1483">
        <v>4.4712420000000003E-2</v>
      </c>
      <c r="S1483">
        <v>-3.030853</v>
      </c>
      <c r="T1483">
        <v>-0.64154769999999905</v>
      </c>
      <c r="U1483">
        <v>0.37475589999999998</v>
      </c>
      <c r="V1483">
        <v>6.8261669999999997E-2</v>
      </c>
      <c r="W1483">
        <v>7.3983069999999998E-2</v>
      </c>
      <c r="X1483">
        <v>0.99492060000000004</v>
      </c>
      <c r="Y1483">
        <v>0.14234140000000001</v>
      </c>
      <c r="Z1483">
        <v>1.9740219999999999E-2</v>
      </c>
      <c r="AA1483">
        <v>0.98962070000000002</v>
      </c>
      <c r="AB1483">
        <v>27</v>
      </c>
      <c r="AC1483">
        <v>-0.59389999999998999</v>
      </c>
      <c r="AD1483">
        <v>-0.18401000000000001</v>
      </c>
      <c r="AE1483">
        <v>0.112899999999967</v>
      </c>
      <c r="AF1483">
        <v>0.116050802762555</v>
      </c>
      <c r="AG1483">
        <v>-0.18401000000000001</v>
      </c>
      <c r="AH1483">
        <v>0.54096782040026803</v>
      </c>
      <c r="AI1483">
        <v>108.396240490349</v>
      </c>
      <c r="AJ1483">
        <v>77.892167700112196</v>
      </c>
      <c r="AK1483">
        <v>0.58307259550629698</v>
      </c>
      <c r="AL1483">
        <v>85.757206148941407</v>
      </c>
      <c r="AM1483">
        <v>86.075077869473105</v>
      </c>
      <c r="AN1483">
        <v>1.00000007527108</v>
      </c>
    </row>
    <row r="1484" spans="1:40" x14ac:dyDescent="0.25">
      <c r="A1484" t="str">
        <f>"20190312154536814"</f>
        <v>20190312154536814</v>
      </c>
      <c r="B1484" t="str">
        <f>"1552376736808465"</f>
        <v>1552376736808465</v>
      </c>
      <c r="C1484" t="s">
        <v>40</v>
      </c>
      <c r="D1484">
        <v>4.7853050000000001</v>
      </c>
      <c r="E1484">
        <v>0.53632089999999999</v>
      </c>
      <c r="F1484" t="s">
        <v>41</v>
      </c>
      <c r="G1484">
        <v>-247.6908</v>
      </c>
      <c r="H1484">
        <v>0.92948909999999996</v>
      </c>
      <c r="I1484">
        <v>282.49630000000002</v>
      </c>
      <c r="J1484">
        <v>-247.14490000000001</v>
      </c>
      <c r="K1484">
        <v>1.1092799999999901</v>
      </c>
      <c r="L1484">
        <v>282.38369999999998</v>
      </c>
      <c r="M1484">
        <v>-0.99963970000000002</v>
      </c>
      <c r="N1484">
        <v>0</v>
      </c>
      <c r="O1484">
        <v>-2.2194499999999999E-2</v>
      </c>
      <c r="P1484">
        <v>-0.99720010000000003</v>
      </c>
      <c r="Q1484">
        <v>5.7860790000000002E-2</v>
      </c>
      <c r="R1484">
        <v>4.7372780000000003E-2</v>
      </c>
      <c r="S1484">
        <v>-3.0294189999999999</v>
      </c>
      <c r="T1484">
        <v>-0.64837250000000002</v>
      </c>
      <c r="U1484">
        <v>0.38610840000000002</v>
      </c>
      <c r="V1484">
        <v>6.9653960000000001E-2</v>
      </c>
      <c r="W1484">
        <v>7.27357E-2</v>
      </c>
      <c r="X1484">
        <v>0.99491600000000002</v>
      </c>
      <c r="Y1484">
        <v>0.1446955</v>
      </c>
      <c r="Z1484">
        <v>1.99318E-2</v>
      </c>
      <c r="AA1484">
        <v>0.98927549999999997</v>
      </c>
      <c r="AB1484">
        <v>27</v>
      </c>
      <c r="AC1484">
        <v>-0.54589999999998895</v>
      </c>
      <c r="AD1484">
        <v>-0.179790899999999</v>
      </c>
      <c r="AE1484">
        <v>0.112600000000043</v>
      </c>
      <c r="AF1484">
        <v>0.112939057402989</v>
      </c>
      <c r="AG1484">
        <v>-0.179790899999999</v>
      </c>
      <c r="AH1484">
        <v>0.49206954863693397</v>
      </c>
      <c r="AI1484">
        <v>109.60170326820401</v>
      </c>
      <c r="AJ1484">
        <v>77.073440888499107</v>
      </c>
      <c r="AK1484">
        <v>0.53592204573579705</v>
      </c>
      <c r="AL1484">
        <v>85.828867965588799</v>
      </c>
      <c r="AM1484">
        <v>85.995263151401701</v>
      </c>
      <c r="AN1484">
        <v>1.00000000162708</v>
      </c>
    </row>
    <row r="1485" spans="1:40" x14ac:dyDescent="0.25">
      <c r="A1485" t="str">
        <f>"20190312154536836"</f>
        <v>20190312154536836</v>
      </c>
      <c r="B1485" t="str">
        <f>"1552376736827985"</f>
        <v>1552376736827985</v>
      </c>
      <c r="C1485" t="s">
        <v>40</v>
      </c>
      <c r="D1485">
        <v>4.693594</v>
      </c>
      <c r="E1485">
        <v>0.53649409999999997</v>
      </c>
      <c r="F1485" t="s">
        <v>41</v>
      </c>
      <c r="G1485">
        <v>-247.93770000000001</v>
      </c>
      <c r="H1485">
        <v>0.93689</v>
      </c>
      <c r="I1485">
        <v>282.48869999999999</v>
      </c>
      <c r="J1485">
        <v>-247.41069999999999</v>
      </c>
      <c r="K1485">
        <v>1.1092959999999901</v>
      </c>
      <c r="L1485">
        <v>282.37909999999999</v>
      </c>
      <c r="M1485">
        <v>-0.99966379999999999</v>
      </c>
      <c r="N1485">
        <v>0</v>
      </c>
      <c r="O1485">
        <v>-2.1081409999999998E-2</v>
      </c>
      <c r="P1485">
        <v>-0.99713649999999998</v>
      </c>
      <c r="Q1485">
        <v>5.679791E-2</v>
      </c>
      <c r="R1485">
        <v>4.9928710000000001E-2</v>
      </c>
      <c r="S1485">
        <v>-3.0276179999999999</v>
      </c>
      <c r="T1485">
        <v>-0.65831079999999997</v>
      </c>
      <c r="U1485">
        <v>0.40039059999999999</v>
      </c>
      <c r="V1485">
        <v>7.1092660000000002E-2</v>
      </c>
      <c r="W1485">
        <v>7.1674650000000006E-2</v>
      </c>
      <c r="X1485">
        <v>0.99489119999999998</v>
      </c>
      <c r="Y1485">
        <v>0.14808879999999999</v>
      </c>
      <c r="Z1485">
        <v>2.0361029999999999E-2</v>
      </c>
      <c r="AA1485">
        <v>0.98876450000000005</v>
      </c>
      <c r="AB1485">
        <v>27</v>
      </c>
      <c r="AC1485">
        <v>-0.52700000000001501</v>
      </c>
      <c r="AD1485">
        <v>-0.172405999999999</v>
      </c>
      <c r="AE1485">
        <v>0.1096</v>
      </c>
      <c r="AF1485">
        <v>0.109457801202754</v>
      </c>
      <c r="AG1485">
        <v>-0.172405999999999</v>
      </c>
      <c r="AH1485">
        <v>0.47576455909842802</v>
      </c>
      <c r="AI1485">
        <v>109.450720861685</v>
      </c>
      <c r="AJ1485">
        <v>77.043580856853595</v>
      </c>
      <c r="AK1485">
        <v>0.51774197702548996</v>
      </c>
      <c r="AL1485">
        <v>85.889820586132501</v>
      </c>
      <c r="AM1485">
        <v>85.912721427612595</v>
      </c>
      <c r="AN1485">
        <v>0.99999996079796805</v>
      </c>
    </row>
    <row r="1486" spans="1:40" x14ac:dyDescent="0.25">
      <c r="A1486" t="str">
        <f>"20190312154536859"</f>
        <v>20190312154536859</v>
      </c>
      <c r="B1486" t="str">
        <f>"1552376736848481"</f>
        <v>1552376736848481</v>
      </c>
      <c r="C1486" t="s">
        <v>40</v>
      </c>
      <c r="D1486">
        <v>4.8387359999999999</v>
      </c>
      <c r="E1486">
        <v>0.53667900000000002</v>
      </c>
      <c r="F1486" t="s">
        <v>41</v>
      </c>
      <c r="G1486">
        <v>-248.18219999999999</v>
      </c>
      <c r="H1486">
        <v>0.93971459999999996</v>
      </c>
      <c r="I1486">
        <v>282.48399999999998</v>
      </c>
      <c r="J1486">
        <v>-247.68350000000001</v>
      </c>
      <c r="K1486">
        <v>1.109326</v>
      </c>
      <c r="L1486">
        <v>282.37450000000001</v>
      </c>
      <c r="M1486">
        <v>-0.99968670000000004</v>
      </c>
      <c r="N1486">
        <v>0</v>
      </c>
      <c r="O1486">
        <v>-1.9970990000000001E-2</v>
      </c>
      <c r="P1486">
        <v>-0.99708830000000004</v>
      </c>
      <c r="Q1486">
        <v>5.6121280000000003E-2</v>
      </c>
      <c r="R1486">
        <v>5.1630679999999998E-2</v>
      </c>
      <c r="S1486">
        <v>-3.025925</v>
      </c>
      <c r="T1486">
        <v>-0.66510000000000002</v>
      </c>
      <c r="U1486">
        <v>0.41085820000000001</v>
      </c>
      <c r="V1486">
        <v>7.1680969999999997E-2</v>
      </c>
      <c r="W1486">
        <v>7.1002129999999997E-2</v>
      </c>
      <c r="X1486">
        <v>0.99489720000000004</v>
      </c>
      <c r="Y1486">
        <v>0.1503147</v>
      </c>
      <c r="Z1486">
        <v>2.0573250000000001E-2</v>
      </c>
      <c r="AA1486">
        <v>0.98842410000000003</v>
      </c>
      <c r="AB1486">
        <v>27</v>
      </c>
      <c r="AC1486">
        <v>-0.49869999999998499</v>
      </c>
      <c r="AD1486">
        <v>-0.169611399999999</v>
      </c>
      <c r="AE1486">
        <v>0.10950000000002499</v>
      </c>
      <c r="AF1486">
        <v>0.10756837563984301</v>
      </c>
      <c r="AG1486">
        <v>-0.169611399999999</v>
      </c>
      <c r="AH1486">
        <v>0.44707731139885298</v>
      </c>
      <c r="AI1486">
        <v>110.246596863872</v>
      </c>
      <c r="AJ1486">
        <v>76.471575235582904</v>
      </c>
      <c r="AK1486">
        <v>0.49011948014273199</v>
      </c>
      <c r="AL1486">
        <v>85.928451532204903</v>
      </c>
      <c r="AM1486">
        <v>85.879038968859007</v>
      </c>
      <c r="AN1486">
        <v>0.99999995124625696</v>
      </c>
    </row>
    <row r="1487" spans="1:40" x14ac:dyDescent="0.25">
      <c r="A1487" t="str">
        <f>"20190312154536880"</f>
        <v>20190312154536880</v>
      </c>
      <c r="B1487" t="str">
        <f>"1552376736877761"</f>
        <v>1552376736877761</v>
      </c>
      <c r="C1487" t="s">
        <v>40</v>
      </c>
      <c r="D1487">
        <v>4.7963089999999999</v>
      </c>
      <c r="E1487">
        <v>0.53697419999999996</v>
      </c>
      <c r="F1487" t="s">
        <v>41</v>
      </c>
      <c r="G1487">
        <v>-248.42699999999999</v>
      </c>
      <c r="H1487">
        <v>0.94431279999999995</v>
      </c>
      <c r="I1487">
        <v>282.47739999999999</v>
      </c>
      <c r="J1487">
        <v>-247.9425</v>
      </c>
      <c r="K1487">
        <v>1.109354</v>
      </c>
      <c r="L1487">
        <v>282.37049999999999</v>
      </c>
      <c r="M1487">
        <v>-0.9997066</v>
      </c>
      <c r="N1487">
        <v>0</v>
      </c>
      <c r="O1487">
        <v>-1.8948309999999999E-2</v>
      </c>
      <c r="P1487">
        <v>-0.99704769999999998</v>
      </c>
      <c r="Q1487">
        <v>5.524482E-2</v>
      </c>
      <c r="R1487">
        <v>5.3329010000000003E-2</v>
      </c>
      <c r="S1487">
        <v>-3.024902</v>
      </c>
      <c r="T1487">
        <v>-0.67134819999999995</v>
      </c>
      <c r="U1487">
        <v>0.41812129999999997</v>
      </c>
      <c r="V1487">
        <v>7.2352890000000003E-2</v>
      </c>
      <c r="W1487">
        <v>7.0128360000000001E-2</v>
      </c>
      <c r="X1487">
        <v>0.99491059999999998</v>
      </c>
      <c r="Y1487">
        <v>0.15159629999999999</v>
      </c>
      <c r="Z1487">
        <v>2.0682079999999999E-2</v>
      </c>
      <c r="AA1487">
        <v>0.9882261</v>
      </c>
      <c r="AB1487">
        <v>27</v>
      </c>
      <c r="AC1487">
        <v>-0.48450000000002502</v>
      </c>
      <c r="AD1487">
        <v>-0.1650412</v>
      </c>
      <c r="AE1487">
        <v>0.106899999999996</v>
      </c>
      <c r="AF1487">
        <v>0.104499394159296</v>
      </c>
      <c r="AG1487">
        <v>-0.1650412</v>
      </c>
      <c r="AH1487">
        <v>0.43432852076776302</v>
      </c>
      <c r="AI1487">
        <v>110.276683967727</v>
      </c>
      <c r="AJ1487">
        <v>76.471771955754093</v>
      </c>
      <c r="AK1487">
        <v>0.47623522027398701</v>
      </c>
      <c r="AL1487">
        <v>85.978640236932193</v>
      </c>
      <c r="AM1487">
        <v>85.840600858852795</v>
      </c>
      <c r="AN1487">
        <v>1.0000000147799999</v>
      </c>
    </row>
    <row r="1488" spans="1:40" x14ac:dyDescent="0.25">
      <c r="A1488" t="str">
        <f>"20190312154536902"</f>
        <v>20190312154536902</v>
      </c>
      <c r="B1488" t="str">
        <f>"1552376736898257"</f>
        <v>1552376736898257</v>
      </c>
      <c r="C1488" t="s">
        <v>40</v>
      </c>
      <c r="D1488">
        <v>5.447667</v>
      </c>
      <c r="E1488">
        <v>0.53687859999999998</v>
      </c>
      <c r="F1488" t="s">
        <v>41</v>
      </c>
      <c r="G1488">
        <v>-248.67009999999999</v>
      </c>
      <c r="H1488">
        <v>0.94604250000000001</v>
      </c>
      <c r="I1488">
        <v>282.47340000000003</v>
      </c>
      <c r="J1488">
        <v>-248.2037</v>
      </c>
      <c r="K1488">
        <v>1.109381</v>
      </c>
      <c r="L1488">
        <v>282.36669999999998</v>
      </c>
      <c r="M1488">
        <v>-0.99972490000000003</v>
      </c>
      <c r="N1488">
        <v>0</v>
      </c>
      <c r="O1488">
        <v>-1.7947330000000001E-2</v>
      </c>
      <c r="P1488">
        <v>-0.99706950000000005</v>
      </c>
      <c r="Q1488">
        <v>5.4170929999999999E-2</v>
      </c>
      <c r="R1488">
        <v>5.4016439999999999E-2</v>
      </c>
      <c r="S1488">
        <v>-3.0237120000000002</v>
      </c>
      <c r="T1488">
        <v>-0.67866990000000005</v>
      </c>
      <c r="U1488">
        <v>0.4256897</v>
      </c>
      <c r="V1488">
        <v>7.2036470000000005E-2</v>
      </c>
      <c r="W1488">
        <v>6.9059499999999996E-2</v>
      </c>
      <c r="X1488">
        <v>0.99500829999999996</v>
      </c>
      <c r="Y1488">
        <v>0.15298689999999901</v>
      </c>
      <c r="Z1488">
        <v>2.0839199999999999E-2</v>
      </c>
      <c r="AA1488">
        <v>0.98800840000000001</v>
      </c>
      <c r="AB1488">
        <v>27</v>
      </c>
      <c r="AC1488">
        <v>-0.46639999999999299</v>
      </c>
      <c r="AD1488">
        <v>-0.1633385</v>
      </c>
      <c r="AE1488">
        <v>0.10670000000004599</v>
      </c>
      <c r="AF1488">
        <v>0.103044735308291</v>
      </c>
      <c r="AG1488">
        <v>-0.1633385</v>
      </c>
      <c r="AH1488">
        <v>0.41593342810495698</v>
      </c>
      <c r="AI1488">
        <v>110.865839163191</v>
      </c>
      <c r="AJ1488">
        <v>76.085512561223197</v>
      </c>
      <c r="AK1488">
        <v>0.45858292562212499</v>
      </c>
      <c r="AL1488">
        <v>86.040030162800093</v>
      </c>
      <c r="AM1488">
        <v>85.859132899860398</v>
      </c>
      <c r="AN1488">
        <v>0.99999999230960002</v>
      </c>
    </row>
    <row r="1489" spans="1:40" x14ac:dyDescent="0.25">
      <c r="A1489" t="str">
        <f>"20190312154536924"</f>
        <v>20190312154536924</v>
      </c>
      <c r="B1489" t="str">
        <f>"1552376736917777"</f>
        <v>1552376736917777</v>
      </c>
      <c r="C1489" t="s">
        <v>40</v>
      </c>
      <c r="D1489">
        <v>4.6067479999999996</v>
      </c>
      <c r="E1489">
        <v>0.53705059999999905</v>
      </c>
      <c r="F1489" t="s">
        <v>41</v>
      </c>
      <c r="G1489">
        <v>-248.91309999999999</v>
      </c>
      <c r="H1489">
        <v>0.94884299999999999</v>
      </c>
      <c r="I1489">
        <v>282.4667</v>
      </c>
      <c r="J1489">
        <v>-248.47450000000001</v>
      </c>
      <c r="K1489">
        <v>1.1094059999999999</v>
      </c>
      <c r="L1489">
        <v>282.363</v>
      </c>
      <c r="M1489">
        <v>-0.99974269999999998</v>
      </c>
      <c r="N1489">
        <v>0</v>
      </c>
      <c r="O1489">
        <v>-1.6940230000000001E-2</v>
      </c>
      <c r="P1489">
        <v>-0.99715770000000004</v>
      </c>
      <c r="Q1489">
        <v>5.224786E-2</v>
      </c>
      <c r="R1489">
        <v>5.4286319999999999E-2</v>
      </c>
      <c r="S1489">
        <v>-3.022888</v>
      </c>
      <c r="T1489">
        <v>-0.68406339999999999</v>
      </c>
      <c r="U1489">
        <v>0.42611690000000002</v>
      </c>
      <c r="V1489">
        <v>7.1296739999999997E-2</v>
      </c>
      <c r="W1489">
        <v>6.7142779999999999E-2</v>
      </c>
      <c r="X1489">
        <v>0.99519279999999999</v>
      </c>
      <c r="Y1489">
        <v>0.15214430000000001</v>
      </c>
      <c r="Z1489">
        <v>2.06883E-2</v>
      </c>
      <c r="AA1489">
        <v>0.98814179999999996</v>
      </c>
      <c r="AB1489">
        <v>27</v>
      </c>
      <c r="AC1489">
        <v>-0.43859999999997901</v>
      </c>
      <c r="AD1489">
        <v>-0.16056299999999901</v>
      </c>
      <c r="AE1489">
        <v>0.103700000000003</v>
      </c>
      <c r="AF1489">
        <v>9.8601440366268694E-2</v>
      </c>
      <c r="AG1489">
        <v>-0.16056299999999901</v>
      </c>
      <c r="AH1489">
        <v>0.38758749697068101</v>
      </c>
      <c r="AI1489">
        <v>111.87422021197401</v>
      </c>
      <c r="AJ1489">
        <v>75.726845034231602</v>
      </c>
      <c r="AK1489">
        <v>0.43096031002785001</v>
      </c>
      <c r="AL1489">
        <v>86.150105893947696</v>
      </c>
      <c r="AM1489">
        <v>85.902266329462407</v>
      </c>
      <c r="AN1489">
        <v>1.0000000436062899</v>
      </c>
    </row>
    <row r="1490" spans="1:40" x14ac:dyDescent="0.25">
      <c r="A1490" t="str">
        <f>"20190312154536946"</f>
        <v>20190312154536946</v>
      </c>
      <c r="B1490" t="str">
        <f>"1552376736938273"</f>
        <v>1552376736938273</v>
      </c>
      <c r="C1490" t="s">
        <v>40</v>
      </c>
      <c r="D1490">
        <v>4.722391</v>
      </c>
      <c r="E1490">
        <v>0.52358379999999904</v>
      </c>
      <c r="F1490" t="s">
        <v>41</v>
      </c>
      <c r="G1490">
        <v>-249.37569999999999</v>
      </c>
      <c r="H1490">
        <v>0.90200849999999999</v>
      </c>
      <c r="I1490">
        <v>282.49040000000002</v>
      </c>
      <c r="J1490">
        <v>-248.73990000000001</v>
      </c>
      <c r="K1490">
        <v>1.1094310000000001</v>
      </c>
      <c r="L1490">
        <v>282.3596</v>
      </c>
      <c r="M1490">
        <v>-0.99975849999999999</v>
      </c>
      <c r="N1490">
        <v>0</v>
      </c>
      <c r="O1490">
        <v>-1.5979070000000001E-2</v>
      </c>
      <c r="P1490">
        <v>-0.99719329999999995</v>
      </c>
      <c r="Q1490">
        <v>5.2106159999999999E-2</v>
      </c>
      <c r="R1490">
        <v>5.3763819999999997E-2</v>
      </c>
      <c r="S1490">
        <v>-3.021744</v>
      </c>
      <c r="T1490">
        <v>-0.69534929999999995</v>
      </c>
      <c r="U1490">
        <v>0.42669679999999999</v>
      </c>
      <c r="V1490">
        <v>6.9813340000000002E-2</v>
      </c>
      <c r="W1490">
        <v>6.7006239999999995E-2</v>
      </c>
      <c r="X1490">
        <v>0.9953071</v>
      </c>
      <c r="Y1490">
        <v>0.1513369</v>
      </c>
      <c r="Z1490">
        <v>2.0719870000000001E-2</v>
      </c>
      <c r="AA1490">
        <v>0.98826499999999995</v>
      </c>
      <c r="AB1490">
        <v>27</v>
      </c>
      <c r="AC1490">
        <v>-0.63579999999998904</v>
      </c>
      <c r="AD1490">
        <v>-0.20742250000000001</v>
      </c>
      <c r="AE1490">
        <v>0.13080000000002101</v>
      </c>
      <c r="AF1490">
        <v>0.127885547388849</v>
      </c>
      <c r="AG1490">
        <v>-0.20742250000000001</v>
      </c>
      <c r="AH1490">
        <v>0.57492308758482302</v>
      </c>
      <c r="AI1490">
        <v>109.40101650612399</v>
      </c>
      <c r="AJ1490">
        <v>77.459334966323595</v>
      </c>
      <c r="AK1490">
        <v>0.62443203263066305</v>
      </c>
      <c r="AL1490">
        <v>86.157946476129396</v>
      </c>
      <c r="AM1490">
        <v>85.987701630699405</v>
      </c>
      <c r="AN1490">
        <v>0.99999998097565101</v>
      </c>
    </row>
    <row r="1491" spans="1:40" x14ac:dyDescent="0.25">
      <c r="A1491" t="str">
        <f>"20190312154537103"</f>
        <v>20190312154537103</v>
      </c>
      <c r="B1491" t="str">
        <f>"1552376737098338"</f>
        <v>1552376737098338</v>
      </c>
      <c r="C1491" t="s">
        <v>40</v>
      </c>
      <c r="D1491">
        <v>8.7131369999999997</v>
      </c>
      <c r="E1491">
        <v>0.42875049999999998</v>
      </c>
      <c r="F1491" t="s">
        <v>41</v>
      </c>
      <c r="G1491">
        <v>-251.035</v>
      </c>
      <c r="H1491">
        <v>0.8606393</v>
      </c>
      <c r="I1491">
        <v>282.24040000000002</v>
      </c>
      <c r="J1491">
        <v>-250.61750000000001</v>
      </c>
      <c r="K1491">
        <v>1.109491</v>
      </c>
      <c r="L1491">
        <v>282.34230000000002</v>
      </c>
      <c r="M1491">
        <v>-0.99984249999999997</v>
      </c>
      <c r="N1491">
        <v>0</v>
      </c>
      <c r="O1491">
        <v>-9.4183310000000003E-3</v>
      </c>
      <c r="P1491">
        <v>-0.99750589999999995</v>
      </c>
      <c r="Q1491">
        <v>5.1868369999999997E-2</v>
      </c>
      <c r="R1491">
        <v>4.7875670000000002E-2</v>
      </c>
      <c r="S1491">
        <v>-3.0904539999999998</v>
      </c>
      <c r="T1491">
        <v>-1.1242289999999999</v>
      </c>
      <c r="U1491">
        <v>-0.46966550000000001</v>
      </c>
      <c r="V1491">
        <v>5.738087E-2</v>
      </c>
      <c r="W1491">
        <v>6.6780249999999999E-2</v>
      </c>
      <c r="X1491">
        <v>0.99611640000000001</v>
      </c>
      <c r="Y1491">
        <v>-0.1331715</v>
      </c>
      <c r="Z1491">
        <v>-2.0045520000000001E-2</v>
      </c>
      <c r="AA1491">
        <v>0.9908903</v>
      </c>
      <c r="AB1491">
        <v>27</v>
      </c>
      <c r="AC1491">
        <v>-0.41749999999998899</v>
      </c>
      <c r="AD1491">
        <v>-0.24885170000000001</v>
      </c>
      <c r="AE1491">
        <v>-0.1019</v>
      </c>
      <c r="AF1491">
        <v>-7.3363753193222705E-2</v>
      </c>
      <c r="AG1491">
        <v>-0.24885170000000001</v>
      </c>
      <c r="AH1491">
        <v>0.31336793036149602</v>
      </c>
      <c r="AI1491">
        <v>127.711658341157</v>
      </c>
      <c r="AJ1491">
        <v>103.17642285699699</v>
      </c>
      <c r="AK1491">
        <v>0.40682781204648899</v>
      </c>
      <c r="AL1491">
        <v>86.170923982784402</v>
      </c>
      <c r="AM1491">
        <v>86.703143922460995</v>
      </c>
      <c r="AN1491">
        <v>1.0000000241904801</v>
      </c>
    </row>
    <row r="1492" spans="1:40" x14ac:dyDescent="0.25">
      <c r="A1492" t="str">
        <f>"20190312154537124"</f>
        <v>20190312154537124</v>
      </c>
      <c r="B1492" t="str">
        <f>"1552376737117858"</f>
        <v>1552376737117858</v>
      </c>
      <c r="C1492" t="s">
        <v>40</v>
      </c>
      <c r="D1492">
        <v>4.7565970000000002</v>
      </c>
      <c r="E1492">
        <v>0.42733840000000001</v>
      </c>
      <c r="F1492" t="s">
        <v>41</v>
      </c>
      <c r="G1492">
        <v>-251.29140000000001</v>
      </c>
      <c r="H1492">
        <v>0.9041865</v>
      </c>
      <c r="I1492">
        <v>282.24079999999998</v>
      </c>
      <c r="J1492">
        <v>-250.86969999999999</v>
      </c>
      <c r="K1492">
        <v>1.109491</v>
      </c>
      <c r="L1492">
        <v>282.34089999999998</v>
      </c>
      <c r="M1492">
        <v>-0.99985040000000003</v>
      </c>
      <c r="N1492">
        <v>0</v>
      </c>
      <c r="O1492">
        <v>-8.5389779999999992E-3</v>
      </c>
      <c r="P1492">
        <v>-0.99754690000000001</v>
      </c>
      <c r="Q1492">
        <v>5.1609950000000002E-2</v>
      </c>
      <c r="R1492">
        <v>4.7299210000000001E-2</v>
      </c>
      <c r="S1492">
        <v>-3.0785680000000002</v>
      </c>
      <c r="T1492">
        <v>-0.93786329999999996</v>
      </c>
      <c r="U1492">
        <v>-0.46450809999999998</v>
      </c>
      <c r="V1492">
        <v>5.5927169999999998E-2</v>
      </c>
      <c r="W1492">
        <v>6.6520960000000004E-2</v>
      </c>
      <c r="X1492">
        <v>0.9962164</v>
      </c>
      <c r="Y1492">
        <v>-0.1351291</v>
      </c>
      <c r="Z1492">
        <v>-1.7490309999999998E-2</v>
      </c>
      <c r="AA1492">
        <v>0.99067360000000004</v>
      </c>
      <c r="AB1492">
        <v>27</v>
      </c>
      <c r="AC1492">
        <v>-0.42170000000001501</v>
      </c>
      <c r="AD1492">
        <v>-0.2053045</v>
      </c>
      <c r="AE1492">
        <v>-0.100099999999997</v>
      </c>
      <c r="AF1492">
        <v>-7.8811378085021297E-2</v>
      </c>
      <c r="AG1492">
        <v>-0.2053045</v>
      </c>
      <c r="AH1492">
        <v>0.345104916332023</v>
      </c>
      <c r="AI1492">
        <v>120.112586458197</v>
      </c>
      <c r="AJ1492">
        <v>102.863996539715</v>
      </c>
      <c r="AK1492">
        <v>0.40921702593177001</v>
      </c>
      <c r="AL1492">
        <v>86.185813224998896</v>
      </c>
      <c r="AM1492">
        <v>86.786811803869696</v>
      </c>
      <c r="AN1492">
        <v>1.00000000104624</v>
      </c>
    </row>
    <row r="1493" spans="1:40" x14ac:dyDescent="0.25">
      <c r="A1493" t="str">
        <f>"20190312154537149"</f>
        <v>20190312154537149</v>
      </c>
      <c r="B1493" t="str">
        <f>"1552376737138354"</f>
        <v>1552376737138354</v>
      </c>
      <c r="C1493" t="s">
        <v>40</v>
      </c>
      <c r="D1493">
        <v>4.7283400000000002</v>
      </c>
      <c r="E1493">
        <v>0.42692190000000002</v>
      </c>
      <c r="F1493" t="s">
        <v>54</v>
      </c>
      <c r="G1493">
        <v>-254.8494</v>
      </c>
      <c r="H1493" s="1">
        <v>1.043843E-6</v>
      </c>
      <c r="I1493">
        <v>281.72649999999999</v>
      </c>
      <c r="J1493">
        <v>-251.15539999999999</v>
      </c>
      <c r="K1493">
        <v>1.109497</v>
      </c>
      <c r="L1493">
        <v>282.33960000000002</v>
      </c>
      <c r="M1493">
        <v>-0.99985840000000004</v>
      </c>
      <c r="N1493">
        <v>0</v>
      </c>
      <c r="O1493">
        <v>-7.5416069999999997E-3</v>
      </c>
      <c r="P1493">
        <v>-0.99753420000000004</v>
      </c>
      <c r="Q1493">
        <v>5.2201820000000003E-2</v>
      </c>
      <c r="R1493">
        <v>4.6911509999999997E-2</v>
      </c>
      <c r="S1493">
        <v>-3.0742029999999998</v>
      </c>
      <c r="T1493">
        <v>-0.85703379999999996</v>
      </c>
      <c r="U1493">
        <v>-0.4746399</v>
      </c>
      <c r="V1493">
        <v>5.4545299999999998E-2</v>
      </c>
      <c r="W1493">
        <v>6.7110909999999996E-2</v>
      </c>
      <c r="X1493">
        <v>0.99625339999999996</v>
      </c>
      <c r="Y1493">
        <v>-0.14018699999999901</v>
      </c>
      <c r="Z1493">
        <v>-1.701685E-2</v>
      </c>
      <c r="AA1493">
        <v>0.98997880000000005</v>
      </c>
      <c r="AB1493">
        <v>26</v>
      </c>
      <c r="AC1493">
        <v>-3.6940000000000102</v>
      </c>
      <c r="AD1493">
        <v>-1.1094959561569999</v>
      </c>
      <c r="AE1493">
        <v>-0.61310000000003095</v>
      </c>
      <c r="AF1493">
        <v>-0.537989416991148</v>
      </c>
      <c r="AG1493">
        <v>-1.1094959561569999</v>
      </c>
      <c r="AH1493">
        <v>3.4000235351710599</v>
      </c>
      <c r="AI1493">
        <v>107.86465916352201</v>
      </c>
      <c r="AJ1493">
        <v>98.991428273503601</v>
      </c>
      <c r="AK1493">
        <v>3.61670760903344</v>
      </c>
      <c r="AL1493">
        <v>86.151935679534205</v>
      </c>
      <c r="AM1493">
        <v>86.866160394893896</v>
      </c>
      <c r="AN1493">
        <v>0.99999995050233703</v>
      </c>
    </row>
    <row r="1494" spans="1:40" x14ac:dyDescent="0.25">
      <c r="A1494" t="str">
        <f>"20190312154537170"</f>
        <v>20190312154537170</v>
      </c>
      <c r="B1494" t="str">
        <f>"1552376737157873"</f>
        <v>1552376737157873</v>
      </c>
      <c r="C1494" t="s">
        <v>40</v>
      </c>
      <c r="D1494">
        <v>4.7508480000000004</v>
      </c>
      <c r="E1494">
        <v>0.4298246</v>
      </c>
      <c r="F1494" t="s">
        <v>54</v>
      </c>
      <c r="G1494">
        <v>-269.3689</v>
      </c>
      <c r="H1494">
        <v>4.1098780000000001E-2</v>
      </c>
      <c r="I1494">
        <v>279.61630000000002</v>
      </c>
      <c r="J1494">
        <v>-251.4083</v>
      </c>
      <c r="K1494">
        <v>1.109502</v>
      </c>
      <c r="L1494">
        <v>282.33870000000002</v>
      </c>
      <c r="M1494">
        <v>-0.99986470000000005</v>
      </c>
      <c r="N1494">
        <v>0</v>
      </c>
      <c r="O1494">
        <v>-6.6580830000000004E-3</v>
      </c>
      <c r="P1494">
        <v>-0.99755309999999997</v>
      </c>
      <c r="Q1494">
        <v>5.2751529999999998E-2</v>
      </c>
      <c r="R1494">
        <v>4.5883689999999998E-2</v>
      </c>
      <c r="S1494">
        <v>-3.0381010000000002</v>
      </c>
      <c r="T1494">
        <v>-0.17821419999999999</v>
      </c>
      <c r="U1494">
        <v>-0.4542542</v>
      </c>
      <c r="V1494">
        <v>5.2637089999999997E-2</v>
      </c>
      <c r="W1494">
        <v>6.7659929999999993E-2</v>
      </c>
      <c r="X1494">
        <v>0.99631890000000001</v>
      </c>
      <c r="Y1494">
        <v>-0.1410604</v>
      </c>
      <c r="Z1494">
        <v>-3.7228719999999999E-3</v>
      </c>
      <c r="AA1494">
        <v>0.98999400000000004</v>
      </c>
      <c r="AB1494">
        <v>26</v>
      </c>
      <c r="AC1494">
        <v>-17.960599999999999</v>
      </c>
      <c r="AD1494">
        <v>-1.06840322</v>
      </c>
      <c r="AE1494">
        <v>-2.7223999999999902</v>
      </c>
      <c r="AF1494">
        <v>-2.59377082673327</v>
      </c>
      <c r="AG1494">
        <v>-1.06840322</v>
      </c>
      <c r="AH1494">
        <v>17.916355301436202</v>
      </c>
      <c r="AI1494">
        <v>93.377540805034499</v>
      </c>
      <c r="AJ1494">
        <v>98.237543005594205</v>
      </c>
      <c r="AK1494">
        <v>18.134633159494001</v>
      </c>
      <c r="AL1494">
        <v>86.120407444662803</v>
      </c>
      <c r="AM1494">
        <v>86.975785724298404</v>
      </c>
      <c r="AN1494">
        <v>0.99999993993423897</v>
      </c>
    </row>
    <row r="1495" spans="1:40" x14ac:dyDescent="0.25">
      <c r="A1495" t="str">
        <f>"20190312154537192"</f>
        <v>20190312154537192</v>
      </c>
      <c r="B1495" t="str">
        <f>"1552376737188131"</f>
        <v>1552376737188131</v>
      </c>
      <c r="C1495" t="s">
        <v>40</v>
      </c>
      <c r="D1495">
        <v>4.809164</v>
      </c>
      <c r="E1495">
        <v>0.4316237</v>
      </c>
      <c r="F1495" t="s">
        <v>54</v>
      </c>
      <c r="G1495">
        <v>-271.37290000000002</v>
      </c>
      <c r="H1495">
        <v>8.0001279999999994E-2</v>
      </c>
      <c r="I1495">
        <v>279.4862</v>
      </c>
      <c r="J1495">
        <v>-251.6711</v>
      </c>
      <c r="K1495">
        <v>1.109513</v>
      </c>
      <c r="L1495">
        <v>282.33800000000002</v>
      </c>
      <c r="M1495">
        <v>-0.9998705</v>
      </c>
      <c r="N1495">
        <v>0</v>
      </c>
      <c r="O1495">
        <v>-5.7432309999999997E-3</v>
      </c>
      <c r="P1495">
        <v>-0.99758630000000004</v>
      </c>
      <c r="Q1495">
        <v>5.3127779999999999E-2</v>
      </c>
      <c r="R1495">
        <v>4.4711399999999998E-2</v>
      </c>
      <c r="S1495">
        <v>-3.035568</v>
      </c>
      <c r="T1495">
        <v>-0.15653310000000001</v>
      </c>
      <c r="U1495">
        <v>-0.43371579999999899</v>
      </c>
      <c r="V1495">
        <v>5.0552399999999997E-2</v>
      </c>
      <c r="W1495">
        <v>6.8035280000000004E-2</v>
      </c>
      <c r="X1495">
        <v>0.99640139999999999</v>
      </c>
      <c r="Y1495">
        <v>-0.13558410000000001</v>
      </c>
      <c r="Z1495">
        <v>-3.1813810000000001E-3</v>
      </c>
      <c r="AA1495">
        <v>0.99076070000000005</v>
      </c>
      <c r="AB1495">
        <v>26</v>
      </c>
      <c r="AC1495">
        <v>-19.701799999999999</v>
      </c>
      <c r="AD1495">
        <v>-1.0295117199999999</v>
      </c>
      <c r="AE1495">
        <v>-2.8517999999999599</v>
      </c>
      <c r="AF1495">
        <v>-2.7312833144205801</v>
      </c>
      <c r="AG1495">
        <v>-1.0295117199999999</v>
      </c>
      <c r="AH1495">
        <v>19.665260310160601</v>
      </c>
      <c r="AI1495">
        <v>92.968359731152503</v>
      </c>
      <c r="AJ1495">
        <v>97.907154585724797</v>
      </c>
      <c r="AK1495">
        <v>19.880700842566601</v>
      </c>
      <c r="AL1495">
        <v>86.098852220741804</v>
      </c>
      <c r="AM1495">
        <v>87.095590377325905</v>
      </c>
      <c r="AN1495">
        <v>1.0000000471961901</v>
      </c>
    </row>
    <row r="1496" spans="1:40" x14ac:dyDescent="0.25">
      <c r="A1496" t="str">
        <f>"20190312154537214"</f>
        <v>20190312154537214</v>
      </c>
      <c r="B1496" t="str">
        <f>"1552376737207650"</f>
        <v>1552376737207650</v>
      </c>
      <c r="C1496" t="s">
        <v>40</v>
      </c>
      <c r="D1496">
        <v>4.8491200000000001</v>
      </c>
      <c r="E1496">
        <v>0.43129489999999998</v>
      </c>
      <c r="F1496" t="s">
        <v>54</v>
      </c>
      <c r="G1496">
        <v>-272.52789999999999</v>
      </c>
      <c r="H1496">
        <v>8.0000940000000006E-2</v>
      </c>
      <c r="I1496">
        <v>279.43090000000001</v>
      </c>
      <c r="J1496">
        <v>-251.92089999999999</v>
      </c>
      <c r="K1496">
        <v>1.1095200000000001</v>
      </c>
      <c r="L1496">
        <v>282.33760000000001</v>
      </c>
      <c r="M1496">
        <v>-0.99987510000000002</v>
      </c>
      <c r="N1496">
        <v>0</v>
      </c>
      <c r="O1496">
        <v>-4.8817210000000003E-3</v>
      </c>
      <c r="P1496">
        <v>-0.99764489999999995</v>
      </c>
      <c r="Q1496">
        <v>5.268457E-2</v>
      </c>
      <c r="R1496">
        <v>4.3920340000000002E-2</v>
      </c>
      <c r="S1496">
        <v>-3.0341800000000001</v>
      </c>
      <c r="T1496">
        <v>-0.1497704</v>
      </c>
      <c r="U1496">
        <v>-0.42291260000000003</v>
      </c>
      <c r="V1496">
        <v>4.8900190000000003E-2</v>
      </c>
      <c r="W1496">
        <v>6.7592369999999999E-2</v>
      </c>
      <c r="X1496">
        <v>0.99651400000000001</v>
      </c>
      <c r="Y1496">
        <v>-0.13305810000000001</v>
      </c>
      <c r="Z1496">
        <v>-3.02652E-3</v>
      </c>
      <c r="AA1496">
        <v>0.99110359999999997</v>
      </c>
      <c r="AB1496">
        <v>26</v>
      </c>
      <c r="AC1496">
        <v>-20.606999999999999</v>
      </c>
      <c r="AD1496">
        <v>-1.0295190599999999</v>
      </c>
      <c r="AE1496">
        <v>-2.9066999999999998</v>
      </c>
      <c r="AF1496">
        <v>-2.7992059308958801</v>
      </c>
      <c r="AG1496">
        <v>-1.0295190599999999</v>
      </c>
      <c r="AH1496">
        <v>20.570603720376699</v>
      </c>
      <c r="AI1496">
        <v>92.839031180437004</v>
      </c>
      <c r="AJ1496">
        <v>97.749096547187605</v>
      </c>
      <c r="AK1496">
        <v>20.7856970236565</v>
      </c>
      <c r="AL1496">
        <v>86.124287674837902</v>
      </c>
      <c r="AM1496">
        <v>87.190677834574998</v>
      </c>
      <c r="AN1496">
        <v>1.00000005463012</v>
      </c>
    </row>
    <row r="1497" spans="1:40" x14ac:dyDescent="0.25">
      <c r="A1497" t="str">
        <f>"20190312154537238"</f>
        <v>20190312154537238</v>
      </c>
      <c r="B1497" t="str">
        <f>"1552376737228146"</f>
        <v>1552376737228146</v>
      </c>
      <c r="C1497" t="s">
        <v>40</v>
      </c>
      <c r="D1497">
        <v>4.8415249999999999</v>
      </c>
      <c r="E1497">
        <v>0.4314597</v>
      </c>
      <c r="F1497" t="s">
        <v>54</v>
      </c>
      <c r="G1497">
        <v>-272.3329</v>
      </c>
      <c r="H1497">
        <v>8.0001000000000003E-2</v>
      </c>
      <c r="I1497">
        <v>279.45429999999999</v>
      </c>
      <c r="J1497">
        <v>-252.215</v>
      </c>
      <c r="K1497">
        <v>1.10954</v>
      </c>
      <c r="L1497">
        <v>282.33730000000003</v>
      </c>
      <c r="M1497">
        <v>-0.99987969999999904</v>
      </c>
      <c r="N1497">
        <v>0</v>
      </c>
      <c r="O1497">
        <v>-3.88719E-3</v>
      </c>
      <c r="P1497">
        <v>-0.99762680000000004</v>
      </c>
      <c r="Q1497">
        <v>5.2701489999999997E-2</v>
      </c>
      <c r="R1497">
        <v>4.4311860000000002E-2</v>
      </c>
      <c r="S1497">
        <v>-3.0340419999999999</v>
      </c>
      <c r="T1497">
        <v>-0.15302769999999999</v>
      </c>
      <c r="U1497">
        <v>-0.4285583</v>
      </c>
      <c r="V1497">
        <v>4.8297020000000003E-2</v>
      </c>
      <c r="W1497">
        <v>6.7605700000000005E-2</v>
      </c>
      <c r="X1497">
        <v>0.9965425</v>
      </c>
      <c r="Y1497">
        <v>-0.13584669999999999</v>
      </c>
      <c r="Z1497">
        <v>-3.2118149999999998E-3</v>
      </c>
      <c r="AA1497">
        <v>0.99072470000000001</v>
      </c>
      <c r="AB1497">
        <v>26</v>
      </c>
      <c r="AC1497">
        <v>-20.117899999999899</v>
      </c>
      <c r="AD1497">
        <v>-1.029539</v>
      </c>
      <c r="AE1497">
        <v>-2.8830000000000302</v>
      </c>
      <c r="AF1497">
        <v>-2.7975881036331001</v>
      </c>
      <c r="AG1497">
        <v>-1.029539</v>
      </c>
      <c r="AH1497">
        <v>20.077433138624201</v>
      </c>
      <c r="AI1497">
        <v>92.907425645302794</v>
      </c>
      <c r="AJ1497">
        <v>97.932514751154599</v>
      </c>
      <c r="AK1497">
        <v>20.2975311598735</v>
      </c>
      <c r="AL1497">
        <v>86.123522128122602</v>
      </c>
      <c r="AM1497">
        <v>87.225354766909106</v>
      </c>
      <c r="AN1497">
        <v>1.0000000435598</v>
      </c>
    </row>
    <row r="1498" spans="1:40" x14ac:dyDescent="0.25">
      <c r="A1498" t="str">
        <f>"20190312154537262"</f>
        <v>20190312154537262</v>
      </c>
      <c r="B1498" t="str">
        <f>"1552376737258401"</f>
        <v>1552376737258401</v>
      </c>
      <c r="C1498" t="s">
        <v>40</v>
      </c>
      <c r="D1498">
        <v>4.9156149999999998</v>
      </c>
      <c r="E1498">
        <v>0.43196780000000001</v>
      </c>
      <c r="F1498" t="s">
        <v>54</v>
      </c>
      <c r="G1498">
        <v>-273.10919999999999</v>
      </c>
      <c r="H1498">
        <v>8.0000779999999994E-2</v>
      </c>
      <c r="I1498">
        <v>279.40039999999999</v>
      </c>
      <c r="J1498">
        <v>-252.48179999999999</v>
      </c>
      <c r="K1498">
        <v>1.109567</v>
      </c>
      <c r="L1498">
        <v>282.3372</v>
      </c>
      <c r="M1498">
        <v>-0.99988259999999995</v>
      </c>
      <c r="N1498">
        <v>0</v>
      </c>
      <c r="O1498">
        <v>-3.014596E-3</v>
      </c>
      <c r="P1498">
        <v>-0.99747660000000005</v>
      </c>
      <c r="Q1498">
        <v>5.444007E-2</v>
      </c>
      <c r="R1498">
        <v>4.5569140000000001E-2</v>
      </c>
      <c r="S1498">
        <v>-3.0339809999999998</v>
      </c>
      <c r="T1498">
        <v>-0.14949609999999999</v>
      </c>
      <c r="U1498">
        <v>-0.42645260000000001</v>
      </c>
      <c r="V1498">
        <v>4.8682370000000003E-2</v>
      </c>
      <c r="W1498">
        <v>6.9338259999999999E-2</v>
      </c>
      <c r="X1498">
        <v>0.99640459999999997</v>
      </c>
      <c r="Y1498">
        <v>-0.136046</v>
      </c>
      <c r="Z1498">
        <v>-3.1856380000000002E-3</v>
      </c>
      <c r="AA1498">
        <v>0.99069739999999995</v>
      </c>
      <c r="AB1498">
        <v>26</v>
      </c>
      <c r="AC1498">
        <v>-20.627399999999898</v>
      </c>
      <c r="AD1498">
        <v>-1.02956622</v>
      </c>
      <c r="AE1498">
        <v>-2.9367999999999999</v>
      </c>
      <c r="AF1498">
        <v>-2.8675943569836</v>
      </c>
      <c r="AG1498">
        <v>-1.02956622</v>
      </c>
      <c r="AH1498">
        <v>20.585894541354701</v>
      </c>
      <c r="AI1498">
        <v>92.835823056508403</v>
      </c>
      <c r="AJ1498">
        <v>97.930213900024896</v>
      </c>
      <c r="AK1498">
        <v>20.810145556082698</v>
      </c>
      <c r="AL1498">
        <v>86.024019833203994</v>
      </c>
      <c r="AM1498">
        <v>87.202865118606994</v>
      </c>
      <c r="AN1498">
        <v>0.99999994717490004</v>
      </c>
    </row>
    <row r="1499" spans="1:40" x14ac:dyDescent="0.25">
      <c r="A1499" t="str">
        <f>"20190312154537281"</f>
        <v>20190312154537281</v>
      </c>
      <c r="B1499" t="str">
        <f>"1552376737277922"</f>
        <v>1552376737277922</v>
      </c>
      <c r="C1499" t="s">
        <v>40</v>
      </c>
      <c r="D1499">
        <v>4.8987230000000004</v>
      </c>
      <c r="E1499">
        <v>0.43244470000000002</v>
      </c>
      <c r="F1499" t="s">
        <v>54</v>
      </c>
      <c r="G1499">
        <v>-275.96960000000001</v>
      </c>
      <c r="H1499">
        <v>8.0001409999999995E-2</v>
      </c>
      <c r="I1499">
        <v>279.09699999999998</v>
      </c>
      <c r="J1499">
        <v>-252.7139</v>
      </c>
      <c r="K1499">
        <v>1.109602</v>
      </c>
      <c r="L1499">
        <v>282.3374</v>
      </c>
      <c r="M1499">
        <v>-0.99988480000000002</v>
      </c>
      <c r="N1499">
        <v>0</v>
      </c>
      <c r="O1499">
        <v>-2.2915710000000001E-3</v>
      </c>
      <c r="P1499">
        <v>-0.9973959</v>
      </c>
      <c r="Q1499">
        <v>5.4870540000000002E-2</v>
      </c>
      <c r="R1499">
        <v>4.6812359999999997E-2</v>
      </c>
      <c r="S1499">
        <v>-3.0339510000000001</v>
      </c>
      <c r="T1499">
        <v>-0.13299049999999901</v>
      </c>
      <c r="U1499">
        <v>-0.41854859999999999</v>
      </c>
      <c r="V1499">
        <v>4.920033E-2</v>
      </c>
      <c r="W1499">
        <v>6.9764960000000001E-2</v>
      </c>
      <c r="X1499">
        <v>0.9963495</v>
      </c>
      <c r="Y1499">
        <v>-0.13426559999999901</v>
      </c>
      <c r="Z1499">
        <v>-2.8275150000000001E-3</v>
      </c>
      <c r="AA1499">
        <v>0.99094130000000002</v>
      </c>
      <c r="AB1499">
        <v>26</v>
      </c>
      <c r="AC1499">
        <v>-23.255700000000001</v>
      </c>
      <c r="AD1499">
        <v>-1.02960059</v>
      </c>
      <c r="AE1499">
        <v>-3.2404000000000202</v>
      </c>
      <c r="AF1499">
        <v>-3.1809771098588802</v>
      </c>
      <c r="AG1499">
        <v>-1.02960059</v>
      </c>
      <c r="AH1499">
        <v>23.2184216463477</v>
      </c>
      <c r="AI1499">
        <v>92.515599726749002</v>
      </c>
      <c r="AJ1499">
        <v>97.801087511196997</v>
      </c>
      <c r="AK1499">
        <v>23.457915433728601</v>
      </c>
      <c r="AL1499">
        <v>85.999512882944899</v>
      </c>
      <c r="AM1499">
        <v>87.172996718667093</v>
      </c>
      <c r="AN1499">
        <v>1.0000000741330699</v>
      </c>
    </row>
    <row r="1500" spans="1:40" x14ac:dyDescent="0.25">
      <c r="A1500" t="str">
        <f>"20190312154537305"</f>
        <v>20190312154537305</v>
      </c>
      <c r="B1500" t="str">
        <f>"1552376737298418"</f>
        <v>1552376737298418</v>
      </c>
      <c r="C1500" t="s">
        <v>40</v>
      </c>
      <c r="D1500">
        <v>4.8854389999999999</v>
      </c>
      <c r="E1500">
        <v>0.43306359999999999</v>
      </c>
      <c r="F1500" t="s">
        <v>54</v>
      </c>
      <c r="G1500">
        <v>-277.51589999999999</v>
      </c>
      <c r="H1500">
        <v>8.0000970000000005E-2</v>
      </c>
      <c r="I1500">
        <v>278.97930000000002</v>
      </c>
      <c r="J1500">
        <v>-252.9802</v>
      </c>
      <c r="K1500">
        <v>1.1096360000000001</v>
      </c>
      <c r="L1500">
        <v>282.33769999999998</v>
      </c>
      <c r="M1500">
        <v>-0.99988619999999995</v>
      </c>
      <c r="N1500">
        <v>0</v>
      </c>
      <c r="O1500">
        <v>-1.5120120000000001E-3</v>
      </c>
      <c r="P1500">
        <v>-0.99732639999999995</v>
      </c>
      <c r="Q1500">
        <v>5.4702189999999998E-2</v>
      </c>
      <c r="R1500">
        <v>4.8456180000000001E-2</v>
      </c>
      <c r="S1500">
        <v>-3.0340419999999999</v>
      </c>
      <c r="T1500">
        <v>-0.1259516</v>
      </c>
      <c r="U1500">
        <v>-0.41079710000000003</v>
      </c>
      <c r="V1500">
        <v>5.0059300000000001E-2</v>
      </c>
      <c r="W1500">
        <v>6.9593230000000006E-2</v>
      </c>
      <c r="X1500">
        <v>0.99631860000000005</v>
      </c>
      <c r="Y1500">
        <v>-0.13256229999999999</v>
      </c>
      <c r="Z1500">
        <v>-2.675396E-3</v>
      </c>
      <c r="AA1500">
        <v>0.99117109999999997</v>
      </c>
      <c r="AB1500">
        <v>26</v>
      </c>
      <c r="AC1500">
        <v>-24.535699999999899</v>
      </c>
      <c r="AD1500">
        <v>-1.0296350299999999</v>
      </c>
      <c r="AE1500">
        <v>-3.3583999999999601</v>
      </c>
      <c r="AF1500">
        <v>-3.3155622456026701</v>
      </c>
      <c r="AG1500">
        <v>-1.0296350299999999</v>
      </c>
      <c r="AH1500">
        <v>24.498401186640098</v>
      </c>
      <c r="AI1500">
        <v>92.384931533712006</v>
      </c>
      <c r="AJ1500">
        <v>97.707460810032899</v>
      </c>
      <c r="AK1500">
        <v>24.743176069394199</v>
      </c>
      <c r="AL1500">
        <v>86.009375771382693</v>
      </c>
      <c r="AM1500">
        <v>87.1236342487326</v>
      </c>
      <c r="AN1500">
        <v>0.99999995194213998</v>
      </c>
    </row>
    <row r="1501" spans="1:40" x14ac:dyDescent="0.25">
      <c r="A1501" t="str">
        <f>"20190312154537325"</f>
        <v>20190312154537325</v>
      </c>
      <c r="B1501" t="str">
        <f>"1552376737317938"</f>
        <v>1552376737317938</v>
      </c>
      <c r="C1501" t="s">
        <v>40</v>
      </c>
      <c r="D1501">
        <v>4.8774040000000003</v>
      </c>
      <c r="E1501">
        <v>0.4335214</v>
      </c>
      <c r="F1501" t="s">
        <v>54</v>
      </c>
      <c r="G1501">
        <v>-277.71359999999999</v>
      </c>
      <c r="H1501">
        <v>8.0000909999999995E-2</v>
      </c>
      <c r="I1501">
        <v>279.07170000000002</v>
      </c>
      <c r="J1501">
        <v>-253.23179999999999</v>
      </c>
      <c r="K1501">
        <v>1.10968</v>
      </c>
      <c r="L1501">
        <v>282.3381</v>
      </c>
      <c r="M1501">
        <v>-0.99988719999999998</v>
      </c>
      <c r="N1501">
        <v>0</v>
      </c>
      <c r="O1501">
        <v>-8.3634929999999903E-4</v>
      </c>
      <c r="P1501">
        <v>-0.99726519999999996</v>
      </c>
      <c r="Q1501">
        <v>5.4281780000000002E-2</v>
      </c>
      <c r="R1501">
        <v>5.0160620000000003E-2</v>
      </c>
      <c r="S1501">
        <v>-3.0344699999999998</v>
      </c>
      <c r="T1501">
        <v>-0.12632299999999999</v>
      </c>
      <c r="U1501">
        <v>-0.40069579999999999</v>
      </c>
      <c r="V1501">
        <v>5.1081719999999997E-2</v>
      </c>
      <c r="W1501">
        <v>6.9170339999999997E-2</v>
      </c>
      <c r="X1501">
        <v>0.99629619999999997</v>
      </c>
      <c r="Y1501">
        <v>-0.12997239999999999</v>
      </c>
      <c r="Z1501">
        <v>-2.6578359999999998E-3</v>
      </c>
      <c r="AA1501">
        <v>0.99151400000000001</v>
      </c>
      <c r="AB1501">
        <v>26</v>
      </c>
      <c r="AC1501">
        <v>-24.4818</v>
      </c>
      <c r="AD1501">
        <v>-1.0296790899999999</v>
      </c>
      <c r="AE1501">
        <v>-3.2663999999999702</v>
      </c>
      <c r="AF1501">
        <v>-3.2402895391511199</v>
      </c>
      <c r="AG1501">
        <v>-1.0296790899999999</v>
      </c>
      <c r="AH1501">
        <v>24.442042901607799</v>
      </c>
      <c r="AI1501">
        <v>92.391396252610306</v>
      </c>
      <c r="AJ1501">
        <v>97.5516854702514</v>
      </c>
      <c r="AK1501">
        <v>24.677381881592598</v>
      </c>
      <c r="AL1501">
        <v>86.033664298811502</v>
      </c>
      <c r="AM1501">
        <v>87.0649226646497</v>
      </c>
      <c r="AN1501">
        <v>0.99999999809415696</v>
      </c>
    </row>
    <row r="1502" spans="1:40" x14ac:dyDescent="0.25">
      <c r="A1502" t="str">
        <f>"20190312154537348"</f>
        <v>20190312154537348</v>
      </c>
      <c r="B1502" t="str">
        <f>"1552376737338434"</f>
        <v>1552376737338434</v>
      </c>
      <c r="C1502" t="s">
        <v>40</v>
      </c>
      <c r="D1502">
        <v>4.9217089999999999</v>
      </c>
      <c r="E1502">
        <v>0.43400499999999997</v>
      </c>
      <c r="F1502" t="s">
        <v>54</v>
      </c>
      <c r="G1502">
        <v>-277.68459999999999</v>
      </c>
      <c r="H1502">
        <v>8.0000909999999995E-2</v>
      </c>
      <c r="I1502">
        <v>279.1823</v>
      </c>
      <c r="J1502">
        <v>-253.4933</v>
      </c>
      <c r="K1502">
        <v>1.109726</v>
      </c>
      <c r="L1502">
        <v>282.33859999999999</v>
      </c>
      <c r="M1502">
        <v>-0.99988759999999999</v>
      </c>
      <c r="N1502">
        <v>0</v>
      </c>
      <c r="O1502">
        <v>-1.8692099999999999E-4</v>
      </c>
      <c r="P1502">
        <v>-0.99720319999999996</v>
      </c>
      <c r="Q1502">
        <v>5.4143410000000003E-2</v>
      </c>
      <c r="R1502">
        <v>5.152077E-2</v>
      </c>
      <c r="S1502">
        <v>-3.0348510000000002</v>
      </c>
      <c r="T1502">
        <v>-0.12779369999999901</v>
      </c>
      <c r="U1502">
        <v>-0.39166260000000003</v>
      </c>
      <c r="V1502">
        <v>5.1786539999999999E-2</v>
      </c>
      <c r="W1502">
        <v>6.9029530000000006E-2</v>
      </c>
      <c r="X1502">
        <v>0.99626959999999998</v>
      </c>
      <c r="Y1502">
        <v>-0.127697</v>
      </c>
      <c r="Z1502">
        <v>-2.6684679999999998E-3</v>
      </c>
      <c r="AA1502">
        <v>0.99180970000000002</v>
      </c>
      <c r="AB1502">
        <v>26</v>
      </c>
      <c r="AC1502">
        <v>-24.191299999999899</v>
      </c>
      <c r="AD1502">
        <v>-1.0297250899999999</v>
      </c>
      <c r="AE1502">
        <v>-3.1562999999999799</v>
      </c>
      <c r="AF1502">
        <v>-3.1461725708842798</v>
      </c>
      <c r="AG1502">
        <v>-1.0297250899999999</v>
      </c>
      <c r="AH1502">
        <v>24.148867667718299</v>
      </c>
      <c r="AI1502">
        <v>92.421216995817801</v>
      </c>
      <c r="AJ1502">
        <v>97.422823291002402</v>
      </c>
      <c r="AK1502">
        <v>24.374711182693702</v>
      </c>
      <c r="AL1502">
        <v>86.041751530045005</v>
      </c>
      <c r="AM1502">
        <v>87.024417766967701</v>
      </c>
      <c r="AN1502">
        <v>1.0000000188106699</v>
      </c>
    </row>
    <row r="1503" spans="1:40" x14ac:dyDescent="0.25">
      <c r="A1503" t="str">
        <f>"20190312154537369"</f>
        <v>20190312154537369</v>
      </c>
      <c r="B1503" t="str">
        <f>"1552376737357954"</f>
        <v>1552376737357954</v>
      </c>
      <c r="C1503" t="s">
        <v>40</v>
      </c>
      <c r="D1503">
        <v>4.9547019999999904</v>
      </c>
      <c r="E1503">
        <v>0.43415189999999998</v>
      </c>
      <c r="F1503" t="s">
        <v>54</v>
      </c>
      <c r="G1503">
        <v>-276.77199999999999</v>
      </c>
      <c r="H1503">
        <v>8.0001169999999996E-2</v>
      </c>
      <c r="I1503">
        <v>279.3954</v>
      </c>
      <c r="J1503">
        <v>-253.74770000000001</v>
      </c>
      <c r="K1503">
        <v>1.1097779999999999</v>
      </c>
      <c r="L1503">
        <v>282.33929999999998</v>
      </c>
      <c r="M1503">
        <v>-0.99988770000000005</v>
      </c>
      <c r="N1503">
        <v>0</v>
      </c>
      <c r="O1503">
        <v>3.8665949999999998E-4</v>
      </c>
      <c r="P1503">
        <v>-0.99708289999999999</v>
      </c>
      <c r="Q1503">
        <v>5.5498029999999997E-2</v>
      </c>
      <c r="R1503">
        <v>5.2400839999999997E-2</v>
      </c>
      <c r="S1503">
        <v>-3.0355530000000002</v>
      </c>
      <c r="T1503">
        <v>-0.13427639999999999</v>
      </c>
      <c r="U1503">
        <v>-0.38378909999999999</v>
      </c>
      <c r="V1503">
        <v>5.2088750000000003E-2</v>
      </c>
      <c r="W1503">
        <v>7.0381410000000005E-2</v>
      </c>
      <c r="X1503">
        <v>0.99615929999999997</v>
      </c>
      <c r="Y1503">
        <v>-0.1256951</v>
      </c>
      <c r="Z1503">
        <v>-2.7847060000000001E-3</v>
      </c>
      <c r="AA1503">
        <v>0.99206499999999997</v>
      </c>
      <c r="AB1503">
        <v>26</v>
      </c>
      <c r="AC1503">
        <v>-23.024299999999901</v>
      </c>
      <c r="AD1503">
        <v>-1.0297768300000001</v>
      </c>
      <c r="AE1503">
        <v>-2.9438999999999802</v>
      </c>
      <c r="AF1503">
        <v>-2.9470030312366502</v>
      </c>
      <c r="AG1503">
        <v>-1.0297768300000001</v>
      </c>
      <c r="AH1503">
        <v>22.977934530794499</v>
      </c>
      <c r="AI1503">
        <v>92.545224889477794</v>
      </c>
      <c r="AJ1503">
        <v>97.3084923440029</v>
      </c>
      <c r="AK1503">
        <v>23.189022025242998</v>
      </c>
      <c r="AL1503">
        <v>85.964105832646098</v>
      </c>
      <c r="AM1503">
        <v>87.006753892894594</v>
      </c>
      <c r="AN1503">
        <v>1.0000000658633099</v>
      </c>
    </row>
    <row r="1504" spans="1:40" x14ac:dyDescent="0.25">
      <c r="A1504" t="str">
        <f>"20190312154537394"</f>
        <v>20190312154537394</v>
      </c>
      <c r="B1504" t="str">
        <f>"1552376737388210"</f>
        <v>1552376737388210</v>
      </c>
      <c r="C1504" t="s">
        <v>40</v>
      </c>
      <c r="D1504">
        <v>4.8846360000000004</v>
      </c>
      <c r="E1504">
        <v>0.43388450000000001</v>
      </c>
      <c r="F1504" t="s">
        <v>54</v>
      </c>
      <c r="G1504">
        <v>-277.40519999999998</v>
      </c>
      <c r="H1504">
        <v>8.0000989999999994E-2</v>
      </c>
      <c r="I1504">
        <v>279.38319999999999</v>
      </c>
      <c r="J1504">
        <v>-254.0189</v>
      </c>
      <c r="K1504">
        <v>1.1098300000000001</v>
      </c>
      <c r="L1504">
        <v>282.34010000000001</v>
      </c>
      <c r="M1504">
        <v>-0.99988750000000004</v>
      </c>
      <c r="N1504">
        <v>0</v>
      </c>
      <c r="O1504">
        <v>9.2633940000000001E-4</v>
      </c>
      <c r="P1504">
        <v>-0.99697230000000003</v>
      </c>
      <c r="Q1504">
        <v>5.6655669999999998E-2</v>
      </c>
      <c r="R1504">
        <v>5.3260099999999998E-2</v>
      </c>
      <c r="S1504">
        <v>-3.0360719999999999</v>
      </c>
      <c r="T1504">
        <v>-0.13215579999999999</v>
      </c>
      <c r="U1504">
        <v>-0.37936399999999998</v>
      </c>
      <c r="V1504">
        <v>5.2402780000000003E-2</v>
      </c>
      <c r="W1504">
        <v>7.1531960000000006E-2</v>
      </c>
      <c r="X1504">
        <v>0.99606079999999997</v>
      </c>
      <c r="Y1504">
        <v>-0.1247901</v>
      </c>
      <c r="Z1504">
        <v>-2.7443329999999998E-3</v>
      </c>
      <c r="AA1504">
        <v>0.99217940000000004</v>
      </c>
      <c r="AB1504">
        <v>26</v>
      </c>
      <c r="AC1504">
        <v>-23.386299999999899</v>
      </c>
      <c r="AD1504">
        <v>-1.0298290099999901</v>
      </c>
      <c r="AE1504">
        <v>-2.9569000000000099</v>
      </c>
      <c r="AF1504">
        <v>-2.9728906935941799</v>
      </c>
      <c r="AG1504">
        <v>-1.0298290099999901</v>
      </c>
      <c r="AH1504">
        <v>23.339005286720699</v>
      </c>
      <c r="AI1504">
        <v>92.506301302609202</v>
      </c>
      <c r="AJ1504">
        <v>97.259166013357401</v>
      </c>
      <c r="AK1504">
        <v>23.550112412459299</v>
      </c>
      <c r="AL1504">
        <v>85.898017300729606</v>
      </c>
      <c r="AM1504">
        <v>86.988444241868805</v>
      </c>
      <c r="AN1504">
        <v>0.99999999497490499</v>
      </c>
    </row>
    <row r="1505" spans="1:40" x14ac:dyDescent="0.25">
      <c r="A1505" t="str">
        <f>"20190312154537415"</f>
        <v>20190312154537415</v>
      </c>
      <c r="B1505" t="str">
        <f>"1552376737407730"</f>
        <v>1552376737407730</v>
      </c>
      <c r="C1505" t="s">
        <v>40</v>
      </c>
      <c r="D1505">
        <v>5.9141360000000001</v>
      </c>
      <c r="E1505">
        <v>0.43396119999999999</v>
      </c>
      <c r="F1505" t="s">
        <v>54</v>
      </c>
      <c r="G1505">
        <v>-278.54169999999999</v>
      </c>
      <c r="H1505">
        <v>8.0000650000000006E-2</v>
      </c>
      <c r="I1505">
        <v>279.28160000000003</v>
      </c>
      <c r="J1505">
        <v>-254.2654</v>
      </c>
      <c r="K1505">
        <v>1.1098709999999901</v>
      </c>
      <c r="L1505">
        <v>282.3408</v>
      </c>
      <c r="M1505">
        <v>-0.99988739999999998</v>
      </c>
      <c r="N1505">
        <v>0</v>
      </c>
      <c r="O1505">
        <v>1.3505170000000001E-3</v>
      </c>
      <c r="P1505">
        <v>-0.99698589999999998</v>
      </c>
      <c r="Q1505">
        <v>5.627654E-2</v>
      </c>
      <c r="R1505">
        <v>5.3409970000000001E-2</v>
      </c>
      <c r="S1505">
        <v>-3.0366209999999998</v>
      </c>
      <c r="T1505">
        <v>-0.12752230000000001</v>
      </c>
      <c r="U1505">
        <v>-0.37872309999999998</v>
      </c>
      <c r="V1505">
        <v>5.2121590000000002E-2</v>
      </c>
      <c r="W1505">
        <v>7.1133870000000002E-2</v>
      </c>
      <c r="X1505">
        <v>0.99610410000000005</v>
      </c>
      <c r="Y1505">
        <v>-0.1249903</v>
      </c>
      <c r="Z1505">
        <v>-2.6696860000000001E-3</v>
      </c>
      <c r="AA1505">
        <v>0.99215439999999999</v>
      </c>
      <c r="AB1505">
        <v>26</v>
      </c>
      <c r="AC1505">
        <v>-24.2762999999999</v>
      </c>
      <c r="AD1505">
        <v>-1.0298703499999999</v>
      </c>
      <c r="AE1505">
        <v>-3.0591999999999699</v>
      </c>
      <c r="AF1505">
        <v>-3.0865184517764299</v>
      </c>
      <c r="AG1505">
        <v>-1.0298703499999999</v>
      </c>
      <c r="AH1505">
        <v>24.229222190656198</v>
      </c>
      <c r="AI1505">
        <v>92.414421077287599</v>
      </c>
      <c r="AJ1505">
        <v>97.259708529855402</v>
      </c>
      <c r="AK1505">
        <v>24.446726510008499</v>
      </c>
      <c r="AL1505">
        <v>85.920884585079605</v>
      </c>
      <c r="AM1505">
        <v>87.004704523078104</v>
      </c>
      <c r="AN1505">
        <v>1.0000000328210501</v>
      </c>
    </row>
    <row r="1506" spans="1:40" x14ac:dyDescent="0.25">
      <c r="A1506" t="str">
        <f>"20190312154537439"</f>
        <v>20190312154537439</v>
      </c>
      <c r="B1506" t="str">
        <f>"1552376737428226"</f>
        <v>1552376737428226</v>
      </c>
      <c r="C1506" t="s">
        <v>40</v>
      </c>
      <c r="D1506">
        <v>5.0730550000000001</v>
      </c>
      <c r="E1506">
        <v>0.43387189999999998</v>
      </c>
      <c r="F1506" t="s">
        <v>54</v>
      </c>
      <c r="G1506">
        <v>-277.7663</v>
      </c>
      <c r="H1506">
        <v>8.0000879999999996E-2</v>
      </c>
      <c r="I1506">
        <v>279.41849999999999</v>
      </c>
      <c r="J1506">
        <v>-254.5487</v>
      </c>
      <c r="K1506">
        <v>1.109918</v>
      </c>
      <c r="L1506">
        <v>282.3417</v>
      </c>
      <c r="M1506">
        <v>-0.99988770000000005</v>
      </c>
      <c r="N1506">
        <v>0</v>
      </c>
      <c r="O1506">
        <v>1.762001E-3</v>
      </c>
      <c r="P1506">
        <v>-0.99703949999999997</v>
      </c>
      <c r="Q1506">
        <v>5.5350669999999998E-2</v>
      </c>
      <c r="R1506">
        <v>5.337045E-2</v>
      </c>
      <c r="S1506">
        <v>-3.0368189999999999</v>
      </c>
      <c r="T1506">
        <v>-0.133081</v>
      </c>
      <c r="U1506">
        <v>-0.37762449999999997</v>
      </c>
      <c r="V1506">
        <v>5.1661260000000001E-2</v>
      </c>
      <c r="W1506">
        <v>7.0150229999999994E-2</v>
      </c>
      <c r="X1506">
        <v>0.99619780000000002</v>
      </c>
      <c r="Y1506">
        <v>-0.125027</v>
      </c>
      <c r="Z1506">
        <v>-2.8045869999999999E-3</v>
      </c>
      <c r="AA1506">
        <v>0.99214939999999996</v>
      </c>
      <c r="AB1506">
        <v>26</v>
      </c>
      <c r="AC1506">
        <v>-23.217600000000001</v>
      </c>
      <c r="AD1506">
        <v>-1.0299171199999999</v>
      </c>
      <c r="AE1506">
        <v>-2.9232</v>
      </c>
      <c r="AF1506">
        <v>-2.95837891657736</v>
      </c>
      <c r="AG1506">
        <v>-1.0299171199999999</v>
      </c>
      <c r="AH1506">
        <v>23.1675361614944</v>
      </c>
      <c r="AI1506">
        <v>92.524942807720606</v>
      </c>
      <c r="AJ1506">
        <v>97.277003074764494</v>
      </c>
      <c r="AK1506">
        <v>23.378354665850001</v>
      </c>
      <c r="AL1506">
        <v>85.977384019575098</v>
      </c>
      <c r="AM1506">
        <v>87.031389729561695</v>
      </c>
      <c r="AN1506">
        <v>0.99999999863933997</v>
      </c>
    </row>
    <row r="1507" spans="1:40" x14ac:dyDescent="0.25">
      <c r="A1507" t="str">
        <f>"20190312154537484"</f>
        <v>20190312154537484</v>
      </c>
      <c r="B1507" t="str">
        <f>"1552376737478002"</f>
        <v>1552376737478002</v>
      </c>
      <c r="C1507" t="s">
        <v>40</v>
      </c>
      <c r="D1507">
        <v>4.9535589999999896</v>
      </c>
      <c r="E1507">
        <v>0.43372939999999999</v>
      </c>
      <c r="F1507" t="s">
        <v>54</v>
      </c>
      <c r="G1507">
        <v>-277.39400000000001</v>
      </c>
      <c r="H1507">
        <v>8.0000979999999999E-2</v>
      </c>
      <c r="I1507">
        <v>279.49779999999998</v>
      </c>
      <c r="J1507">
        <v>-255.0574</v>
      </c>
      <c r="K1507">
        <v>1.1099650000000001</v>
      </c>
      <c r="L1507">
        <v>282.3433</v>
      </c>
      <c r="M1507">
        <v>-0.99989030000000001</v>
      </c>
      <c r="N1507">
        <v>0</v>
      </c>
      <c r="O1507">
        <v>2.292877E-3</v>
      </c>
      <c r="P1507">
        <v>-0.99710770000000004</v>
      </c>
      <c r="Q1507">
        <v>5.4279260000000003E-2</v>
      </c>
      <c r="R1507">
        <v>5.3199509999999998E-2</v>
      </c>
      <c r="S1507">
        <v>-3.036743</v>
      </c>
      <c r="T1507">
        <v>-0.13690339999999901</v>
      </c>
      <c r="U1507">
        <v>-0.3780212</v>
      </c>
      <c r="V1507">
        <v>5.0944000000000003E-2</v>
      </c>
      <c r="W1507">
        <v>6.8853049999999999E-2</v>
      </c>
      <c r="X1507">
        <v>0.99632529999999997</v>
      </c>
      <c r="Y1507">
        <v>-0.12567629999999999</v>
      </c>
      <c r="Z1507">
        <v>-2.9235160000000001E-3</v>
      </c>
      <c r="AA1507">
        <v>0.99206700000000003</v>
      </c>
      <c r="AB1507">
        <v>26</v>
      </c>
      <c r="AC1507">
        <v>-22.336600000000001</v>
      </c>
      <c r="AD1507">
        <v>-1.02996402</v>
      </c>
      <c r="AE1507">
        <v>-2.8455000000000101</v>
      </c>
      <c r="AF1507">
        <v>-2.8906650163853498</v>
      </c>
      <c r="AG1507">
        <v>-1.02996402</v>
      </c>
      <c r="AH1507">
        <v>22.283393231188199</v>
      </c>
      <c r="AI1507">
        <v>92.624434452779596</v>
      </c>
      <c r="AJ1507">
        <v>97.391295293717505</v>
      </c>
      <c r="AK1507">
        <v>22.493696539591099</v>
      </c>
      <c r="AL1507">
        <v>86.051887401245807</v>
      </c>
      <c r="AM1507">
        <v>87.072907410430503</v>
      </c>
      <c r="AN1507">
        <v>1.00000006852519</v>
      </c>
    </row>
    <row r="1508" spans="1:40" x14ac:dyDescent="0.25">
      <c r="A1508" t="str">
        <f>"20190312154537505"</f>
        <v>20190312154537505</v>
      </c>
      <c r="B1508" t="str">
        <f>"1552376737497522"</f>
        <v>1552376737497522</v>
      </c>
      <c r="C1508" t="s">
        <v>40</v>
      </c>
      <c r="D1508">
        <v>4.8776330000000003</v>
      </c>
      <c r="E1508">
        <v>0.43355670000000002</v>
      </c>
      <c r="F1508" t="s">
        <v>54</v>
      </c>
      <c r="G1508">
        <v>-276.89789999999999</v>
      </c>
      <c r="H1508">
        <v>3.2843740000000003E-2</v>
      </c>
      <c r="I1508">
        <v>279.61630000000002</v>
      </c>
      <c r="J1508">
        <v>-255.2989</v>
      </c>
      <c r="K1508">
        <v>1.109969</v>
      </c>
      <c r="L1508">
        <v>282.34410000000003</v>
      </c>
      <c r="M1508">
        <v>-0.999892</v>
      </c>
      <c r="N1508">
        <v>0</v>
      </c>
      <c r="O1508">
        <v>2.4640809999999999E-3</v>
      </c>
      <c r="P1508">
        <v>-0.99720980000000004</v>
      </c>
      <c r="Q1508">
        <v>5.3223699999999999E-2</v>
      </c>
      <c r="R1508">
        <v>5.234697E-2</v>
      </c>
      <c r="S1508">
        <v>-3.0371090000000001</v>
      </c>
      <c r="T1508">
        <v>-0.1497829</v>
      </c>
      <c r="U1508">
        <v>-0.37921139999999998</v>
      </c>
      <c r="V1508">
        <v>4.9914159999999999E-2</v>
      </c>
      <c r="W1508">
        <v>6.7657079999999994E-2</v>
      </c>
      <c r="X1508">
        <v>0.99645930000000005</v>
      </c>
      <c r="Y1508">
        <v>-0.1261883</v>
      </c>
      <c r="Z1508">
        <v>-3.218753E-3</v>
      </c>
      <c r="AA1508">
        <v>0.99200109999999997</v>
      </c>
      <c r="AB1508">
        <v>26</v>
      </c>
      <c r="AC1508">
        <v>-21.598999999999901</v>
      </c>
      <c r="AD1508">
        <v>-1.0771252600000001</v>
      </c>
      <c r="AE1508">
        <v>-2.7277999999999998</v>
      </c>
      <c r="AF1508">
        <v>-2.7742279698271699</v>
      </c>
      <c r="AG1508">
        <v>-1.0771252600000001</v>
      </c>
      <c r="AH1508">
        <v>21.5394857824447</v>
      </c>
      <c r="AI1508">
        <v>92.839390569517803</v>
      </c>
      <c r="AJ1508">
        <v>97.339138260013002</v>
      </c>
      <c r="AK1508">
        <v>21.7441023596386</v>
      </c>
      <c r="AL1508">
        <v>86.120571424543698</v>
      </c>
      <c r="AM1508">
        <v>87.132364219402405</v>
      </c>
      <c r="AN1508">
        <v>1.00000002019956</v>
      </c>
    </row>
    <row r="1509" spans="1:40" x14ac:dyDescent="0.25">
      <c r="A1509" t="str">
        <f>"20190312154537526"</f>
        <v>20190312154537526</v>
      </c>
      <c r="B1509" t="str">
        <f>"1552376737518018"</f>
        <v>1552376737518018</v>
      </c>
      <c r="C1509" t="s">
        <v>40</v>
      </c>
      <c r="D1509">
        <v>4.8372400000000004</v>
      </c>
      <c r="E1509">
        <v>0.43341039999999997</v>
      </c>
      <c r="F1509" t="s">
        <v>54</v>
      </c>
      <c r="G1509">
        <v>-276.68689999999998</v>
      </c>
      <c r="H1509" s="1">
        <v>2.2388870000000001E-6</v>
      </c>
      <c r="I1509">
        <v>279.6465</v>
      </c>
      <c r="J1509">
        <v>-255.54839999999999</v>
      </c>
      <c r="K1509">
        <v>1.1099669999999999</v>
      </c>
      <c r="L1509">
        <v>282.3449</v>
      </c>
      <c r="M1509">
        <v>-0.99989399999999995</v>
      </c>
      <c r="N1509">
        <v>0</v>
      </c>
      <c r="O1509">
        <v>2.6090419999999998E-3</v>
      </c>
      <c r="P1509">
        <v>-0.99727960000000004</v>
      </c>
      <c r="Q1509">
        <v>5.2849729999999998E-2</v>
      </c>
      <c r="R1509">
        <v>5.138595E-2</v>
      </c>
      <c r="S1509">
        <v>-3.03688</v>
      </c>
      <c r="T1509">
        <v>-0.1576043</v>
      </c>
      <c r="U1509">
        <v>-0.38302609999999998</v>
      </c>
      <c r="V1509">
        <v>4.8804029999999998E-2</v>
      </c>
      <c r="W1509">
        <v>6.7133739999999997E-2</v>
      </c>
      <c r="X1509">
        <v>0.99654969999999998</v>
      </c>
      <c r="Y1509">
        <v>-0.12754939999999901</v>
      </c>
      <c r="Z1509">
        <v>-3.42925E-3</v>
      </c>
      <c r="AA1509">
        <v>0.99182630000000005</v>
      </c>
      <c r="AB1509">
        <v>26</v>
      </c>
      <c r="AC1509">
        <v>-21.138500000000001</v>
      </c>
      <c r="AD1509">
        <v>-1.1099647611129999</v>
      </c>
      <c r="AE1509">
        <v>-2.6983999999999901</v>
      </c>
      <c r="AF1509">
        <v>-2.74609753926272</v>
      </c>
      <c r="AG1509">
        <v>-1.1099647611129999</v>
      </c>
      <c r="AH1509">
        <v>21.074212698351001</v>
      </c>
      <c r="AI1509">
        <v>92.989715851654296</v>
      </c>
      <c r="AJ1509">
        <v>97.424155739873299</v>
      </c>
      <c r="AK1509">
        <v>21.281341929525802</v>
      </c>
      <c r="AL1509">
        <v>86.150624999322105</v>
      </c>
      <c r="AM1509">
        <v>87.196293697088393</v>
      </c>
      <c r="AN1509">
        <v>1.00000003848035</v>
      </c>
    </row>
    <row r="1510" spans="1:40" x14ac:dyDescent="0.25">
      <c r="A1510" t="str">
        <f>"20190312154537550"</f>
        <v>20190312154537550</v>
      </c>
      <c r="B1510" t="str">
        <f>"1552376737548274"</f>
        <v>1552376737548274</v>
      </c>
      <c r="C1510" t="s">
        <v>40</v>
      </c>
      <c r="D1510">
        <v>4.8000829999999999</v>
      </c>
      <c r="E1510">
        <v>0.43325340000000001</v>
      </c>
      <c r="F1510" t="s">
        <v>54</v>
      </c>
      <c r="G1510">
        <v>-276.29039999999998</v>
      </c>
      <c r="H1510" s="1">
        <v>2.0254760000000001E-6</v>
      </c>
      <c r="I1510">
        <v>279.702</v>
      </c>
      <c r="J1510">
        <v>-255.8142</v>
      </c>
      <c r="K1510">
        <v>1.10996299999999</v>
      </c>
      <c r="L1510">
        <v>282.3458</v>
      </c>
      <c r="M1510">
        <v>-0.99989600000000001</v>
      </c>
      <c r="N1510">
        <v>0</v>
      </c>
      <c r="O1510">
        <v>2.7344880000000002E-3</v>
      </c>
      <c r="P1510">
        <v>-0.99730099999999999</v>
      </c>
      <c r="Q1510">
        <v>5.3380190000000001E-2</v>
      </c>
      <c r="R1510">
        <v>5.0411829999999998E-2</v>
      </c>
      <c r="S1510">
        <v>-3.0367579999999998</v>
      </c>
      <c r="T1510">
        <v>-0.16250539999999999</v>
      </c>
      <c r="U1510">
        <v>-0.38693240000000001</v>
      </c>
      <c r="V1510">
        <v>4.7701840000000002E-2</v>
      </c>
      <c r="W1510">
        <v>6.7497219999999997E-2</v>
      </c>
      <c r="X1510">
        <v>0.99657850000000003</v>
      </c>
      <c r="Y1510">
        <v>-0.12892139999999999</v>
      </c>
      <c r="Z1510">
        <v>-3.578814E-3</v>
      </c>
      <c r="AA1510">
        <v>0.99164839999999999</v>
      </c>
      <c r="AB1510">
        <v>26</v>
      </c>
      <c r="AC1510">
        <v>-20.476199999999899</v>
      </c>
      <c r="AD1510">
        <v>-1.10996097452399</v>
      </c>
      <c r="AE1510">
        <v>-2.6438000000000001</v>
      </c>
      <c r="AF1510">
        <v>-2.6920070616071601</v>
      </c>
      <c r="AG1510">
        <v>-1.10996097452399</v>
      </c>
      <c r="AH1510">
        <v>20.409903419998599</v>
      </c>
      <c r="AI1510">
        <v>93.086198804983994</v>
      </c>
      <c r="AJ1510">
        <v>97.513775450447895</v>
      </c>
      <c r="AK1510">
        <v>20.616572775279099</v>
      </c>
      <c r="AL1510">
        <v>86.129751725964397</v>
      </c>
      <c r="AM1510">
        <v>87.259594023866995</v>
      </c>
      <c r="AN1510">
        <v>1.00000002345468</v>
      </c>
    </row>
    <row r="1511" spans="1:40" x14ac:dyDescent="0.25">
      <c r="A1511" t="str">
        <f>"20190312154537572"</f>
        <v>20190312154537572</v>
      </c>
      <c r="B1511" t="str">
        <f>"1552376737567794"</f>
        <v>1552376737567794</v>
      </c>
      <c r="C1511" t="s">
        <v>40</v>
      </c>
      <c r="D1511">
        <v>4.9669030000000003</v>
      </c>
      <c r="E1511">
        <v>0.46733259999999999</v>
      </c>
      <c r="F1511" t="s">
        <v>54</v>
      </c>
      <c r="G1511">
        <v>-276.42880000000002</v>
      </c>
      <c r="H1511" s="1">
        <v>2.0995789999999998E-6</v>
      </c>
      <c r="I1511">
        <v>279.6909</v>
      </c>
      <c r="J1511">
        <v>-256.06529999999998</v>
      </c>
      <c r="K1511">
        <v>1.109947</v>
      </c>
      <c r="L1511">
        <v>282.34660000000002</v>
      </c>
      <c r="M1511">
        <v>-0.99989790000000001</v>
      </c>
      <c r="N1511">
        <v>0</v>
      </c>
      <c r="O1511">
        <v>2.8350620000000002E-3</v>
      </c>
      <c r="P1511">
        <v>-0.99734029999999996</v>
      </c>
      <c r="Q1511">
        <v>5.3761080000000003E-2</v>
      </c>
      <c r="R1511">
        <v>4.9216259999999998E-2</v>
      </c>
      <c r="S1511">
        <v>-3.0366360000000001</v>
      </c>
      <c r="T1511">
        <v>-0.16350339999999999</v>
      </c>
      <c r="U1511">
        <v>-0.39108280000000001</v>
      </c>
      <c r="V1511">
        <v>4.6403930000000003E-2</v>
      </c>
      <c r="W1511">
        <v>6.7717979999999997E-2</v>
      </c>
      <c r="X1511">
        <v>0.99662479999999998</v>
      </c>
      <c r="Y1511">
        <v>-0.130355</v>
      </c>
      <c r="Z1511">
        <v>-3.6443949999999999E-3</v>
      </c>
      <c r="AA1511">
        <v>0.99146069999999997</v>
      </c>
      <c r="AB1511">
        <v>26</v>
      </c>
      <c r="AC1511">
        <v>-20.363499999999998</v>
      </c>
      <c r="AD1511">
        <v>-1.109944900421</v>
      </c>
      <c r="AE1511">
        <v>-2.6557000000000199</v>
      </c>
      <c r="AF1511">
        <v>-2.7055231744678299</v>
      </c>
      <c r="AG1511">
        <v>-1.109944900421</v>
      </c>
      <c r="AH1511">
        <v>20.2965962341815</v>
      </c>
      <c r="AI1511">
        <v>93.1027833937205</v>
      </c>
      <c r="AJ1511">
        <v>97.592730516526103</v>
      </c>
      <c r="AK1511">
        <v>20.506185701464499</v>
      </c>
      <c r="AL1511">
        <v>86.117074092908197</v>
      </c>
      <c r="AM1511">
        <v>87.334171790907405</v>
      </c>
      <c r="AN1511">
        <v>1.00000002075488</v>
      </c>
    </row>
    <row r="1512" spans="1:40" x14ac:dyDescent="0.25">
      <c r="A1512" t="str">
        <f>"20190312154537593"</f>
        <v>20190312154537593</v>
      </c>
      <c r="B1512" t="str">
        <f>"1552376737588290"</f>
        <v>1552376737588290</v>
      </c>
      <c r="C1512" t="s">
        <v>40</v>
      </c>
      <c r="D1512">
        <v>4.7454939999999999</v>
      </c>
      <c r="E1512">
        <v>0.51455870000000004</v>
      </c>
      <c r="F1512" t="s">
        <v>54</v>
      </c>
      <c r="G1512">
        <v>-272.70389999999998</v>
      </c>
      <c r="H1512" s="1">
        <v>3.1090640000000001E-8</v>
      </c>
      <c r="I1512">
        <v>281.6653</v>
      </c>
      <c r="J1512">
        <v>-256.30930000000001</v>
      </c>
      <c r="K1512">
        <v>1.109936</v>
      </c>
      <c r="L1512">
        <v>282.34739999999999</v>
      </c>
      <c r="M1512">
        <v>-0.99989969999999995</v>
      </c>
      <c r="N1512">
        <v>0</v>
      </c>
      <c r="O1512">
        <v>2.9266769999999999E-3</v>
      </c>
      <c r="P1512">
        <v>-0.99741610000000003</v>
      </c>
      <c r="Q1512">
        <v>5.284254E-2</v>
      </c>
      <c r="R1512">
        <v>4.8670730000000002E-2</v>
      </c>
      <c r="S1512">
        <v>-3.024994</v>
      </c>
      <c r="T1512">
        <v>-0.20179469999999999</v>
      </c>
      <c r="U1512">
        <v>-0.1238708</v>
      </c>
      <c r="V1512">
        <v>4.5765210000000001E-2</v>
      </c>
      <c r="W1512">
        <v>6.6650849999999998E-2</v>
      </c>
      <c r="X1512">
        <v>0.99672629999999995</v>
      </c>
      <c r="Y1512">
        <v>-4.3735629999999998E-2</v>
      </c>
      <c r="Z1512">
        <v>-1.6515150000000001E-3</v>
      </c>
      <c r="AA1512">
        <v>0.99904179999999998</v>
      </c>
      <c r="AB1512">
        <v>26</v>
      </c>
      <c r="AC1512">
        <v>-16.394599999999901</v>
      </c>
      <c r="AD1512">
        <v>-1.10993596890936</v>
      </c>
      <c r="AE1512">
        <v>-0.68209999999999105</v>
      </c>
      <c r="AF1512">
        <v>-0.72675806818867805</v>
      </c>
      <c r="AG1512">
        <v>-1.10993596890936</v>
      </c>
      <c r="AH1512">
        <v>16.317870101078299</v>
      </c>
      <c r="AI1512">
        <v>93.887403855029305</v>
      </c>
      <c r="AJ1512">
        <v>92.5501287913944</v>
      </c>
      <c r="AK1512">
        <v>16.371714014739599</v>
      </c>
      <c r="AL1512">
        <v>86.178354724526798</v>
      </c>
      <c r="AM1512">
        <v>87.371080703410001</v>
      </c>
      <c r="AN1512">
        <v>1.0000000536818701</v>
      </c>
    </row>
    <row r="1513" spans="1:40" x14ac:dyDescent="0.25">
      <c r="A1513" t="str">
        <f>"20190312154537615"</f>
        <v>20190312154537615</v>
      </c>
      <c r="B1513" t="str">
        <f>"1552376737607810"</f>
        <v>1552376737607810</v>
      </c>
      <c r="C1513" t="s">
        <v>40</v>
      </c>
      <c r="D1513">
        <v>4.6794890000000002</v>
      </c>
      <c r="E1513">
        <v>0.52772459999999999</v>
      </c>
      <c r="F1513" t="s">
        <v>54</v>
      </c>
      <c r="G1513">
        <v>-275.68920000000003</v>
      </c>
      <c r="H1513" s="1">
        <v>1.5189779999999901E-6</v>
      </c>
      <c r="I1513">
        <v>283.96960000000001</v>
      </c>
      <c r="J1513">
        <v>-256.56389999999999</v>
      </c>
      <c r="K1513">
        <v>1.1099289999999999</v>
      </c>
      <c r="L1513">
        <v>282.34829999999999</v>
      </c>
      <c r="M1513">
        <v>-0.9999015</v>
      </c>
      <c r="N1513">
        <v>0</v>
      </c>
      <c r="O1513">
        <v>3.0258419999999999E-3</v>
      </c>
      <c r="P1513">
        <v>-0.99743459999999995</v>
      </c>
      <c r="Q1513">
        <v>5.2931760000000001E-2</v>
      </c>
      <c r="R1513">
        <v>4.8193600000000003E-2</v>
      </c>
      <c r="S1513">
        <v>-3.0046080000000002</v>
      </c>
      <c r="T1513">
        <v>-0.1720815</v>
      </c>
      <c r="U1513">
        <v>0.25149539999999998</v>
      </c>
      <c r="V1513">
        <v>4.5187890000000001E-2</v>
      </c>
      <c r="W1513">
        <v>6.6595650000000006E-2</v>
      </c>
      <c r="X1513">
        <v>0.99675630000000004</v>
      </c>
      <c r="Y1513">
        <v>8.0269869999999993E-2</v>
      </c>
      <c r="Z1513">
        <v>2.1198829999999999E-3</v>
      </c>
      <c r="AA1513">
        <v>0.99677090000000002</v>
      </c>
      <c r="AB1513">
        <v>26</v>
      </c>
      <c r="AC1513">
        <v>-19.125299999999999</v>
      </c>
      <c r="AD1513">
        <v>-1.1099274810219999</v>
      </c>
      <c r="AE1513">
        <v>1.62130000000001</v>
      </c>
      <c r="AF1513">
        <v>1.55820640351697</v>
      </c>
      <c r="AG1513">
        <v>-1.1099274810219999</v>
      </c>
      <c r="AH1513">
        <v>19.066361278418199</v>
      </c>
      <c r="AI1513">
        <v>93.320605488255694</v>
      </c>
      <c r="AJ1513">
        <v>85.327861639157703</v>
      </c>
      <c r="AK1513">
        <v>19.162100057359499</v>
      </c>
      <c r="AL1513">
        <v>86.181524379680596</v>
      </c>
      <c r="AM1513">
        <v>87.404276423726699</v>
      </c>
      <c r="AN1513">
        <v>1.0000000237956299</v>
      </c>
    </row>
    <row r="1514" spans="1:40" x14ac:dyDescent="0.25">
      <c r="A1514" t="str">
        <f>"20190312154537641"</f>
        <v>20190312154537641</v>
      </c>
      <c r="B1514" t="str">
        <f>"1552376737638067"</f>
        <v>1552376737638067</v>
      </c>
      <c r="C1514" t="s">
        <v>40</v>
      </c>
      <c r="D1514">
        <v>4.600695</v>
      </c>
      <c r="E1514">
        <v>0.53328260000000005</v>
      </c>
      <c r="F1514" t="s">
        <v>54</v>
      </c>
      <c r="G1514">
        <v>-274.03359999999998</v>
      </c>
      <c r="H1514" s="1">
        <v>6.1865509999999997E-7</v>
      </c>
      <c r="I1514">
        <v>284.411</v>
      </c>
      <c r="J1514">
        <v>-256.85899999999998</v>
      </c>
      <c r="K1514">
        <v>1.1099239999999999</v>
      </c>
      <c r="L1514">
        <v>282.3494</v>
      </c>
      <c r="M1514">
        <v>-0.99990310000000004</v>
      </c>
      <c r="N1514">
        <v>0</v>
      </c>
      <c r="O1514">
        <v>3.1401649999999999E-3</v>
      </c>
      <c r="P1514">
        <v>-0.9974229</v>
      </c>
      <c r="Q1514">
        <v>5.3278020000000002E-2</v>
      </c>
      <c r="R1514">
        <v>4.8054949999999999E-2</v>
      </c>
      <c r="S1514">
        <v>-3.0007320000000002</v>
      </c>
      <c r="T1514">
        <v>-0.19064990000000001</v>
      </c>
      <c r="U1514">
        <v>0.35430909999999999</v>
      </c>
      <c r="V1514">
        <v>4.4935330000000002E-2</v>
      </c>
      <c r="W1514">
        <v>6.6790249999999995E-2</v>
      </c>
      <c r="X1514">
        <v>0.99675460000000005</v>
      </c>
      <c r="Y1514">
        <v>0.11391999999999999</v>
      </c>
      <c r="Z1514">
        <v>3.4041729999999999E-3</v>
      </c>
      <c r="AA1514">
        <v>0.99348409999999998</v>
      </c>
      <c r="AB1514">
        <v>26</v>
      </c>
      <c r="AC1514">
        <v>-17.174599999999899</v>
      </c>
      <c r="AD1514">
        <v>-1.1099233813449001</v>
      </c>
      <c r="AE1514">
        <v>2.0615999999999901</v>
      </c>
      <c r="AF1514">
        <v>1.99942182040234</v>
      </c>
      <c r="AG1514">
        <v>-1.1099233813449001</v>
      </c>
      <c r="AH1514">
        <v>17.110542522077399</v>
      </c>
      <c r="AI1514">
        <v>93.686438364818898</v>
      </c>
      <c r="AJ1514">
        <v>83.335030552702094</v>
      </c>
      <c r="AK1514">
        <v>17.262684696424699</v>
      </c>
      <c r="AL1514">
        <v>86.170349370175799</v>
      </c>
      <c r="AM1514">
        <v>87.418760129814501</v>
      </c>
      <c r="AN1514">
        <v>0.99999992699921303</v>
      </c>
    </row>
    <row r="1515" spans="1:40" x14ac:dyDescent="0.25">
      <c r="A1515" t="str">
        <f>"20190312154537663"</f>
        <v>20190312154537663</v>
      </c>
      <c r="B1515" t="str">
        <f>"1552376737657586"</f>
        <v>1552376737657586</v>
      </c>
      <c r="C1515" t="s">
        <v>40</v>
      </c>
      <c r="D1515">
        <v>4.5911520000000001</v>
      </c>
      <c r="E1515">
        <v>0.53561759999999903</v>
      </c>
      <c r="F1515" t="s">
        <v>54</v>
      </c>
      <c r="G1515">
        <v>-274.71640000000002</v>
      </c>
      <c r="H1515" s="1">
        <v>9.6847909999999991E-7</v>
      </c>
      <c r="I1515">
        <v>284.72120000000001</v>
      </c>
      <c r="J1515">
        <v>-257.10289999999998</v>
      </c>
      <c r="K1515">
        <v>1.10992</v>
      </c>
      <c r="L1515">
        <v>282.3503</v>
      </c>
      <c r="M1515">
        <v>-0.99990440000000003</v>
      </c>
      <c r="N1515">
        <v>0</v>
      </c>
      <c r="O1515">
        <v>3.237897E-3</v>
      </c>
      <c r="P1515">
        <v>-0.99748159999999997</v>
      </c>
      <c r="Q1515">
        <v>5.2163950000000001E-2</v>
      </c>
      <c r="R1515">
        <v>4.805765E-2</v>
      </c>
      <c r="S1515">
        <v>-2.9985050000000002</v>
      </c>
      <c r="T1515">
        <v>-0.1863716</v>
      </c>
      <c r="U1515">
        <v>0.39825440000000001</v>
      </c>
      <c r="V1515">
        <v>4.4840150000000002E-2</v>
      </c>
      <c r="W1515">
        <v>6.5566040000000006E-2</v>
      </c>
      <c r="X1515">
        <v>0.99684019999999995</v>
      </c>
      <c r="Y1515">
        <v>0.12821379999999999</v>
      </c>
      <c r="Z1515">
        <v>3.763172E-3</v>
      </c>
      <c r="AA1515">
        <v>0.99173940000000005</v>
      </c>
      <c r="AB1515">
        <v>26</v>
      </c>
      <c r="AC1515">
        <v>-17.613499999999998</v>
      </c>
      <c r="AD1515">
        <v>-1.10991903152089</v>
      </c>
      <c r="AE1515">
        <v>2.3708999999999998</v>
      </c>
      <c r="AF1515">
        <v>2.3048621728922698</v>
      </c>
      <c r="AG1515">
        <v>-1.10991903152089</v>
      </c>
      <c r="AH1515">
        <v>17.552625408030998</v>
      </c>
      <c r="AI1515">
        <v>93.587496496523997</v>
      </c>
      <c r="AJ1515">
        <v>82.519203772946298</v>
      </c>
      <c r="AK1515">
        <v>17.7380655260718</v>
      </c>
      <c r="AL1515">
        <v>86.240645688786302</v>
      </c>
      <c r="AM1515">
        <v>87.424441112675495</v>
      </c>
      <c r="AN1515">
        <v>0.99999996449467099</v>
      </c>
    </row>
    <row r="1516" spans="1:40" x14ac:dyDescent="0.25">
      <c r="A1516" t="str">
        <f>"20190312154537682"</f>
        <v>20190312154537682</v>
      </c>
      <c r="B1516" t="str">
        <f>"1552376737678082"</f>
        <v>1552376737678082</v>
      </c>
      <c r="C1516" t="s">
        <v>40</v>
      </c>
      <c r="D1516">
        <v>4.6382430000000001</v>
      </c>
      <c r="E1516">
        <v>0.53667159999999903</v>
      </c>
      <c r="F1516" t="s">
        <v>54</v>
      </c>
      <c r="G1516">
        <v>-274.5804</v>
      </c>
      <c r="H1516" s="1">
        <v>8.9337360000000005E-7</v>
      </c>
      <c r="I1516">
        <v>284.78250000000003</v>
      </c>
      <c r="J1516">
        <v>-257.34089999999998</v>
      </c>
      <c r="K1516">
        <v>1.1099079999999999</v>
      </c>
      <c r="L1516">
        <v>282.35120000000001</v>
      </c>
      <c r="M1516">
        <v>-0.9999055</v>
      </c>
      <c r="N1516">
        <v>0</v>
      </c>
      <c r="O1516">
        <v>3.3383319999999998E-3</v>
      </c>
      <c r="P1516">
        <v>-0.99754909999999997</v>
      </c>
      <c r="Q1516">
        <v>5.1183899999999997E-2</v>
      </c>
      <c r="R1516">
        <v>4.7710549999999997E-2</v>
      </c>
      <c r="S1516">
        <v>-2.9974370000000001</v>
      </c>
      <c r="T1516">
        <v>-0.1903543</v>
      </c>
      <c r="U1516">
        <v>0.41714479999999998</v>
      </c>
      <c r="V1516">
        <v>4.4392590000000003E-2</v>
      </c>
      <c r="W1516">
        <v>6.4489699999999997E-2</v>
      </c>
      <c r="X1516">
        <v>0.99693050000000005</v>
      </c>
      <c r="Y1516">
        <v>0.13427249999999999</v>
      </c>
      <c r="Z1516">
        <v>4.0280990000000003E-3</v>
      </c>
      <c r="AA1516">
        <v>0.99093629999999999</v>
      </c>
      <c r="AB1516">
        <v>26</v>
      </c>
      <c r="AC1516">
        <v>-17.2395</v>
      </c>
      <c r="AD1516">
        <v>-1.1099071066263999</v>
      </c>
      <c r="AE1516">
        <v>2.4313000000000198</v>
      </c>
      <c r="AF1516">
        <v>2.3641219882840501</v>
      </c>
      <c r="AG1516">
        <v>-1.1099071066263999</v>
      </c>
      <c r="AH1516">
        <v>17.1777081839471</v>
      </c>
      <c r="AI1516">
        <v>93.6624978342833</v>
      </c>
      <c r="AJ1516">
        <v>82.163763919907893</v>
      </c>
      <c r="AK1516">
        <v>17.375115107925701</v>
      </c>
      <c r="AL1516">
        <v>86.302446452698902</v>
      </c>
      <c r="AM1516">
        <v>87.450344924680806</v>
      </c>
      <c r="AN1516">
        <v>1.0000000226416199</v>
      </c>
    </row>
    <row r="1517" spans="1:40" x14ac:dyDescent="0.25">
      <c r="A1517" t="str">
        <f>"20190312154537710"</f>
        <v>20190312154537710</v>
      </c>
      <c r="B1517" t="str">
        <f>"1552376737697602"</f>
        <v>1552376737697602</v>
      </c>
      <c r="C1517" t="s">
        <v>40</v>
      </c>
      <c r="D1517">
        <v>4.5876060000000001</v>
      </c>
      <c r="E1517">
        <v>0.53734130000000002</v>
      </c>
      <c r="F1517" t="s">
        <v>54</v>
      </c>
      <c r="G1517">
        <v>-274.67320000000001</v>
      </c>
      <c r="H1517" s="1">
        <v>9.4168640000000003E-7</v>
      </c>
      <c r="I1517">
        <v>284.8082</v>
      </c>
      <c r="J1517">
        <v>-257.61799999999999</v>
      </c>
      <c r="K1517">
        <v>1.109888</v>
      </c>
      <c r="L1517">
        <v>282.35219999999998</v>
      </c>
      <c r="M1517">
        <v>-0.99990639999999997</v>
      </c>
      <c r="N1517">
        <v>0</v>
      </c>
      <c r="O1517">
        <v>3.454684E-3</v>
      </c>
      <c r="P1517">
        <v>-0.99760819999999995</v>
      </c>
      <c r="Q1517">
        <v>4.9817449999999999E-2</v>
      </c>
      <c r="R1517">
        <v>4.7921680000000001E-2</v>
      </c>
      <c r="S1517">
        <v>-2.9968870000000001</v>
      </c>
      <c r="T1517">
        <v>-0.19191050000000001</v>
      </c>
      <c r="U1517">
        <v>0.42483520000000002</v>
      </c>
      <c r="V1517">
        <v>4.4487730000000003E-2</v>
      </c>
      <c r="W1517">
        <v>6.3024029999999995E-2</v>
      </c>
      <c r="X1517">
        <v>0.99701989999999996</v>
      </c>
      <c r="Y1517">
        <v>0.1366665</v>
      </c>
      <c r="Z1517">
        <v>4.129766E-3</v>
      </c>
      <c r="AA1517">
        <v>0.9906085</v>
      </c>
      <c r="AB1517">
        <v>26</v>
      </c>
      <c r="AC1517">
        <v>-17.055199999999999</v>
      </c>
      <c r="AD1517">
        <v>-1.1098870583136</v>
      </c>
      <c r="AE1517">
        <v>2.4560000000000102</v>
      </c>
      <c r="AF1517">
        <v>2.3871558446361298</v>
      </c>
      <c r="AG1517">
        <v>-1.1098870583136</v>
      </c>
      <c r="AH1517">
        <v>16.9930815165871</v>
      </c>
      <c r="AI1517">
        <v>93.700678001977394</v>
      </c>
      <c r="AJ1517">
        <v>82.003524710621505</v>
      </c>
      <c r="AK1517">
        <v>17.1957896514864</v>
      </c>
      <c r="AL1517">
        <v>86.386594044089804</v>
      </c>
      <c r="AM1517">
        <v>87.445116670457296</v>
      </c>
      <c r="AN1517">
        <v>0.99999993373699902</v>
      </c>
    </row>
    <row r="1518" spans="1:40" x14ac:dyDescent="0.25">
      <c r="A1518" t="str">
        <f>"20190312154537730"</f>
        <v>20190312154537730</v>
      </c>
      <c r="B1518" t="str">
        <f>"1552376737718099"</f>
        <v>1552376737718099</v>
      </c>
      <c r="C1518" t="s">
        <v>40</v>
      </c>
      <c r="D1518">
        <v>4.5705450000000001</v>
      </c>
      <c r="E1518">
        <v>0.53809449999999903</v>
      </c>
      <c r="F1518" t="s">
        <v>54</v>
      </c>
      <c r="G1518">
        <v>-274.64510000000001</v>
      </c>
      <c r="H1518" s="1">
        <v>9.2689520000000003E-7</v>
      </c>
      <c r="I1518">
        <v>284.80340000000001</v>
      </c>
      <c r="J1518">
        <v>-257.87139999999999</v>
      </c>
      <c r="K1518">
        <v>1.109864</v>
      </c>
      <c r="L1518">
        <v>282.35320000000002</v>
      </c>
      <c r="M1518">
        <v>-0.99990710000000005</v>
      </c>
      <c r="N1518">
        <v>0</v>
      </c>
      <c r="O1518">
        <v>3.5587769999999999E-3</v>
      </c>
      <c r="P1518">
        <v>-0.99776200000000004</v>
      </c>
      <c r="Q1518">
        <v>4.6940519999999999E-2</v>
      </c>
      <c r="R1518">
        <v>4.7622409999999997E-2</v>
      </c>
      <c r="S1518">
        <v>-2.996216</v>
      </c>
      <c r="T1518">
        <v>-0.19530510000000001</v>
      </c>
      <c r="U1518">
        <v>0.43133539999999998</v>
      </c>
      <c r="V1518">
        <v>4.4084169999999999E-2</v>
      </c>
      <c r="W1518">
        <v>6.0065170000000001E-2</v>
      </c>
      <c r="X1518">
        <v>0.99722049999999995</v>
      </c>
      <c r="Y1518">
        <v>0.13868659999999999</v>
      </c>
      <c r="Z1518">
        <v>4.2616440000000002E-3</v>
      </c>
      <c r="AA1518">
        <v>0.99032719999999996</v>
      </c>
      <c r="AB1518">
        <v>26</v>
      </c>
      <c r="AC1518">
        <v>-16.773700000000002</v>
      </c>
      <c r="AD1518">
        <v>-1.1098630731048</v>
      </c>
      <c r="AE1518">
        <v>2.4501999999999899</v>
      </c>
      <c r="AF1518">
        <v>2.38028216675499</v>
      </c>
      <c r="AG1518">
        <v>-1.1098630731048</v>
      </c>
      <c r="AH1518">
        <v>16.710682421954701</v>
      </c>
      <c r="AI1518">
        <v>93.761936486400799</v>
      </c>
      <c r="AJ1518">
        <v>81.893279310516505</v>
      </c>
      <c r="AK1518">
        <v>16.915804628862301</v>
      </c>
      <c r="AL1518">
        <v>86.556446458330001</v>
      </c>
      <c r="AM1518">
        <v>87.468771021028999</v>
      </c>
      <c r="AN1518">
        <v>0.99999998215598296</v>
      </c>
    </row>
    <row r="1519" spans="1:40" x14ac:dyDescent="0.25">
      <c r="A1519" t="str">
        <f>"20190312154537750"</f>
        <v>20190312154537750</v>
      </c>
      <c r="B1519" t="str">
        <f>"1552376737748354"</f>
        <v>1552376737748354</v>
      </c>
      <c r="C1519" t="s">
        <v>40</v>
      </c>
      <c r="D1519">
        <v>4.5333940000000004</v>
      </c>
      <c r="E1519">
        <v>0.5390007</v>
      </c>
      <c r="F1519" t="s">
        <v>54</v>
      </c>
      <c r="G1519">
        <v>-274.36810000000003</v>
      </c>
      <c r="H1519" s="1">
        <v>7.8151609999999895E-7</v>
      </c>
      <c r="I1519">
        <v>284.75760000000002</v>
      </c>
      <c r="J1519">
        <v>-258.1062</v>
      </c>
      <c r="K1519">
        <v>1.109842</v>
      </c>
      <c r="L1519">
        <v>282.35419999999999</v>
      </c>
      <c r="M1519">
        <v>-0.99990760000000001</v>
      </c>
      <c r="N1519">
        <v>0</v>
      </c>
      <c r="O1519">
        <v>3.655073E-3</v>
      </c>
      <c r="P1519">
        <v>-0.99793790000000004</v>
      </c>
      <c r="Q1519">
        <v>4.3715629999999998E-2</v>
      </c>
      <c r="R1519">
        <v>4.6999270000000003E-2</v>
      </c>
      <c r="S1519">
        <v>-2.9953919999999998</v>
      </c>
      <c r="T1519">
        <v>-0.20152410000000001</v>
      </c>
      <c r="U1519">
        <v>0.43658449999999999</v>
      </c>
      <c r="V1519">
        <v>4.3363989999999998E-2</v>
      </c>
      <c r="W1519">
        <v>5.6769180000000002E-2</v>
      </c>
      <c r="X1519">
        <v>0.99744520000000003</v>
      </c>
      <c r="Y1519">
        <v>0.1403075</v>
      </c>
      <c r="Z1519">
        <v>4.4454409999999996E-3</v>
      </c>
      <c r="AA1519">
        <v>0.99009800000000003</v>
      </c>
      <c r="AB1519">
        <v>26</v>
      </c>
      <c r="AC1519">
        <v>-16.261900000000001</v>
      </c>
      <c r="AD1519">
        <v>-1.1098412184838999</v>
      </c>
      <c r="AE1519">
        <v>2.4034000000000302</v>
      </c>
      <c r="AF1519">
        <v>2.3333047063488199</v>
      </c>
      <c r="AG1519">
        <v>-1.1098412184838999</v>
      </c>
      <c r="AH1519">
        <v>16.1967484139684</v>
      </c>
      <c r="AI1519">
        <v>93.8799906031539</v>
      </c>
      <c r="AJ1519">
        <v>81.80236486858</v>
      </c>
      <c r="AK1519">
        <v>16.401546194438598</v>
      </c>
      <c r="AL1519">
        <v>86.745616142177994</v>
      </c>
      <c r="AM1519">
        <v>87.510630123537098</v>
      </c>
      <c r="AN1519">
        <v>1.0000000512148099</v>
      </c>
    </row>
    <row r="1520" spans="1:40" x14ac:dyDescent="0.25">
      <c r="A1520" t="str">
        <f>"20190312154537772"</f>
        <v>20190312154537772</v>
      </c>
      <c r="B1520" t="str">
        <f>"1552376737767874"</f>
        <v>1552376737767874</v>
      </c>
      <c r="C1520" t="s">
        <v>40</v>
      </c>
      <c r="D1520">
        <v>4.5020480000000003</v>
      </c>
      <c r="E1520">
        <v>0.53950540000000002</v>
      </c>
      <c r="F1520" t="s">
        <v>54</v>
      </c>
      <c r="G1520">
        <v>-274.1182</v>
      </c>
      <c r="H1520" s="1">
        <v>6.5030720000000001E-7</v>
      </c>
      <c r="I1520">
        <v>284.71730000000002</v>
      </c>
      <c r="J1520">
        <v>-258.3571</v>
      </c>
      <c r="K1520">
        <v>1.109831</v>
      </c>
      <c r="L1520">
        <v>282.3553</v>
      </c>
      <c r="M1520">
        <v>-0.99990829999999997</v>
      </c>
      <c r="N1520">
        <v>0</v>
      </c>
      <c r="O1520">
        <v>3.7675360000000001E-3</v>
      </c>
      <c r="P1520">
        <v>-0.9981023</v>
      </c>
      <c r="Q1520">
        <v>4.1567649999999998E-2</v>
      </c>
      <c r="R1520">
        <v>4.5436509999999999E-2</v>
      </c>
      <c r="S1520">
        <v>-2.9944760000000001</v>
      </c>
      <c r="T1520">
        <v>-0.2075564</v>
      </c>
      <c r="U1520">
        <v>0.44192500000000001</v>
      </c>
      <c r="V1520">
        <v>4.1687460000000003E-2</v>
      </c>
      <c r="W1520">
        <v>5.455343E-2</v>
      </c>
      <c r="X1520">
        <v>0.99764030000000004</v>
      </c>
      <c r="Y1520">
        <v>0.14194579999999901</v>
      </c>
      <c r="Z1520">
        <v>4.6276529999999998E-3</v>
      </c>
      <c r="AA1520">
        <v>0.98986359999999995</v>
      </c>
      <c r="AB1520">
        <v>26</v>
      </c>
      <c r="AC1520">
        <v>-15.761100000000001</v>
      </c>
      <c r="AD1520">
        <v>-1.1098303496927999</v>
      </c>
      <c r="AE1520">
        <v>2.3620000000000201</v>
      </c>
      <c r="AF1520">
        <v>2.2914852078436598</v>
      </c>
      <c r="AG1520">
        <v>-1.1098303496927999</v>
      </c>
      <c r="AH1520">
        <v>15.693781264941</v>
      </c>
      <c r="AI1520">
        <v>94.002795875023494</v>
      </c>
      <c r="AJ1520">
        <v>81.692814395142506</v>
      </c>
      <c r="AK1520">
        <v>15.8989747548286</v>
      </c>
      <c r="AL1520">
        <v>86.872766384800002</v>
      </c>
      <c r="AM1520">
        <v>87.607226978046498</v>
      </c>
      <c r="AN1520">
        <v>1.0000000446150501</v>
      </c>
    </row>
    <row r="1521" spans="1:40" x14ac:dyDescent="0.25">
      <c r="A1521" t="str">
        <f>"20190312154537795"</f>
        <v>20190312154537795</v>
      </c>
      <c r="B1521" t="str">
        <f>"1552376737788370"</f>
        <v>1552376737788370</v>
      </c>
      <c r="C1521" t="s">
        <v>40</v>
      </c>
      <c r="D1521">
        <v>4.4999219999999998</v>
      </c>
      <c r="E1521">
        <v>0.53975519999999999</v>
      </c>
      <c r="F1521" t="s">
        <v>54</v>
      </c>
      <c r="G1521">
        <v>-274.30939999999998</v>
      </c>
      <c r="H1521" s="1">
        <v>7.5238979999999899E-7</v>
      </c>
      <c r="I1521">
        <v>284.70940000000002</v>
      </c>
      <c r="J1521">
        <v>-258.61419999999998</v>
      </c>
      <c r="K1521">
        <v>1.109831</v>
      </c>
      <c r="L1521">
        <v>282.35640000000001</v>
      </c>
      <c r="M1521">
        <v>-0.99990860000000004</v>
      </c>
      <c r="N1521">
        <v>0</v>
      </c>
      <c r="O1521">
        <v>3.8831989999999999E-3</v>
      </c>
      <c r="P1521">
        <v>-0.9981968</v>
      </c>
      <c r="Q1521">
        <v>4.0580329999999998E-2</v>
      </c>
      <c r="R1521">
        <v>4.4234059999999999E-2</v>
      </c>
      <c r="S1521">
        <v>-2.9942319999999998</v>
      </c>
      <c r="T1521">
        <v>-0.2083141</v>
      </c>
      <c r="U1521">
        <v>0.44186399999999998</v>
      </c>
      <c r="V1521">
        <v>4.036878E-2</v>
      </c>
      <c r="W1521">
        <v>5.3502109999999999E-2</v>
      </c>
      <c r="X1521">
        <v>0.99775139999999995</v>
      </c>
      <c r="Y1521">
        <v>0.14182139999999999</v>
      </c>
      <c r="Z1521">
        <v>4.6325940000000003E-3</v>
      </c>
      <c r="AA1521">
        <v>0.98988140000000002</v>
      </c>
      <c r="AB1521">
        <v>26</v>
      </c>
      <c r="AC1521">
        <v>-15.6952</v>
      </c>
      <c r="AD1521">
        <v>-1.1098302476102</v>
      </c>
      <c r="AE1521">
        <v>2.3530000000000002</v>
      </c>
      <c r="AF1521">
        <v>2.2808756255145499</v>
      </c>
      <c r="AG1521">
        <v>-1.1098302476102</v>
      </c>
      <c r="AH1521">
        <v>15.627796551981101</v>
      </c>
      <c r="AI1521">
        <v>94.019676817864294</v>
      </c>
      <c r="AJ1521">
        <v>81.696314432441199</v>
      </c>
      <c r="AK1521">
        <v>15.8323132191</v>
      </c>
      <c r="AL1521">
        <v>86.933090509063007</v>
      </c>
      <c r="AM1521">
        <v>87.683090340065107</v>
      </c>
      <c r="AN1521">
        <v>0.99999998518754996</v>
      </c>
    </row>
    <row r="1522" spans="1:40" x14ac:dyDescent="0.25">
      <c r="A1522" t="str">
        <f>"20190312154537818"</f>
        <v>20190312154537818</v>
      </c>
      <c r="B1522" t="str">
        <f>"1552376737807890"</f>
        <v>1552376737807890</v>
      </c>
      <c r="C1522" t="s">
        <v>40</v>
      </c>
      <c r="D1522">
        <v>4.4852429999999996</v>
      </c>
      <c r="E1522">
        <v>0.54003540000000005</v>
      </c>
      <c r="F1522" t="s">
        <v>54</v>
      </c>
      <c r="G1522">
        <v>-274.78660000000002</v>
      </c>
      <c r="H1522" s="1">
        <v>1.005203E-6</v>
      </c>
      <c r="I1522">
        <v>284.73540000000003</v>
      </c>
      <c r="J1522">
        <v>-258.87799999999999</v>
      </c>
      <c r="K1522">
        <v>1.1098319999999999</v>
      </c>
      <c r="L1522">
        <v>282.35750000000002</v>
      </c>
      <c r="M1522">
        <v>-0.9999091</v>
      </c>
      <c r="N1522">
        <v>0</v>
      </c>
      <c r="O1522">
        <v>3.9934580000000001E-3</v>
      </c>
      <c r="P1522">
        <v>-0.9981835</v>
      </c>
      <c r="Q1522">
        <v>4.161989E-2</v>
      </c>
      <c r="R1522">
        <v>4.3565140000000002E-2</v>
      </c>
      <c r="S1522">
        <v>-2.9942319999999998</v>
      </c>
      <c r="T1522">
        <v>-0.2054793</v>
      </c>
      <c r="U1522">
        <v>0.44046020000000002</v>
      </c>
      <c r="V1522">
        <v>3.9590220000000002E-2</v>
      </c>
      <c r="W1522">
        <v>5.448153E-2</v>
      </c>
      <c r="X1522">
        <v>0.99772959999999999</v>
      </c>
      <c r="Y1522">
        <v>0.14126830000000001</v>
      </c>
      <c r="Z1522">
        <v>4.5434809999999898E-3</v>
      </c>
      <c r="AA1522">
        <v>0.98996090000000003</v>
      </c>
      <c r="AB1522">
        <v>26</v>
      </c>
      <c r="AC1522">
        <v>-15.9086</v>
      </c>
      <c r="AD1522">
        <v>-1.109830994797</v>
      </c>
      <c r="AE1522">
        <v>2.3779000000000101</v>
      </c>
      <c r="AF1522">
        <v>2.3033801751385599</v>
      </c>
      <c r="AG1522">
        <v>-1.109830994797</v>
      </c>
      <c r="AH1522">
        <v>15.842551321915</v>
      </c>
      <c r="AI1522">
        <v>93.965680082383898</v>
      </c>
      <c r="AJ1522">
        <v>81.727616712741806</v>
      </c>
      <c r="AK1522">
        <v>16.0475455274551</v>
      </c>
      <c r="AL1522">
        <v>86.876891911955397</v>
      </c>
      <c r="AM1522">
        <v>87.727677807692103</v>
      </c>
      <c r="AN1522">
        <v>0.99999998867347395</v>
      </c>
    </row>
    <row r="1523" spans="1:40" x14ac:dyDescent="0.25">
      <c r="A1523" t="str">
        <f>"20190312154537842"</f>
        <v>20190312154537842</v>
      </c>
      <c r="B1523" t="str">
        <f>"1552376737838146"</f>
        <v>1552376737838146</v>
      </c>
      <c r="C1523" t="s">
        <v>40</v>
      </c>
      <c r="D1523">
        <v>4.4215269999999904</v>
      </c>
      <c r="E1523">
        <v>0.54027729999999996</v>
      </c>
      <c r="F1523" t="s">
        <v>54</v>
      </c>
      <c r="G1523">
        <v>-275.6671</v>
      </c>
      <c r="H1523" s="1">
        <v>1.4696979999999901E-6</v>
      </c>
      <c r="I1523">
        <v>284.82859999999999</v>
      </c>
      <c r="J1523">
        <v>-259.14100000000002</v>
      </c>
      <c r="K1523">
        <v>1.109831</v>
      </c>
      <c r="L1523">
        <v>282.3587</v>
      </c>
      <c r="M1523">
        <v>-0.9999093</v>
      </c>
      <c r="N1523">
        <v>0</v>
      </c>
      <c r="O1523">
        <v>4.0976249999999997E-3</v>
      </c>
      <c r="P1523">
        <v>-0.99812449999999997</v>
      </c>
      <c r="Q1523">
        <v>4.2659860000000001E-2</v>
      </c>
      <c r="R1523">
        <v>4.3909829999999997E-2</v>
      </c>
      <c r="S1523">
        <v>-2.9944760000000001</v>
      </c>
      <c r="T1523">
        <v>-0.19794700000000001</v>
      </c>
      <c r="U1523">
        <v>0.44073489999999999</v>
      </c>
      <c r="V1523">
        <v>3.9831789999999999E-2</v>
      </c>
      <c r="W1523">
        <v>5.546566E-2</v>
      </c>
      <c r="X1523">
        <v>0.99766580000000005</v>
      </c>
      <c r="Y1523">
        <v>0.14126540000000001</v>
      </c>
      <c r="Z1523">
        <v>4.3699780000000001E-3</v>
      </c>
      <c r="AA1523">
        <v>0.98996209999999996</v>
      </c>
      <c r="AB1523">
        <v>26</v>
      </c>
      <c r="AC1523">
        <v>-16.5261</v>
      </c>
      <c r="AD1523">
        <v>-1.109829530302</v>
      </c>
      <c r="AE1523">
        <v>2.4698999999999902</v>
      </c>
      <c r="AF1523">
        <v>2.3916055630505899</v>
      </c>
      <c r="AG1523">
        <v>-1.109829530302</v>
      </c>
      <c r="AH1523">
        <v>16.4634556648219</v>
      </c>
      <c r="AI1523">
        <v>93.816631074954103</v>
      </c>
      <c r="AJ1523">
        <v>81.734600564267097</v>
      </c>
      <c r="AK1523">
        <v>16.673238173285402</v>
      </c>
      <c r="AL1523">
        <v>86.820420147822404</v>
      </c>
      <c r="AM1523">
        <v>87.713681267637398</v>
      </c>
      <c r="AN1523">
        <v>1.00000002971173</v>
      </c>
    </row>
    <row r="1524" spans="1:40" x14ac:dyDescent="0.25">
      <c r="A1524" t="str">
        <f>"20190312154537863"</f>
        <v>20190312154537863</v>
      </c>
      <c r="B1524" t="str">
        <f>"1552376737857666"</f>
        <v>1552376737857666</v>
      </c>
      <c r="C1524" t="s">
        <v>40</v>
      </c>
      <c r="D1524">
        <v>4.4617800000000001</v>
      </c>
      <c r="E1524">
        <v>0.54047789999999996</v>
      </c>
      <c r="F1524" t="s">
        <v>54</v>
      </c>
      <c r="G1524">
        <v>-276.78399999999999</v>
      </c>
      <c r="H1524" s="1">
        <v>2.0577070000000002E-6</v>
      </c>
      <c r="I1524">
        <v>284.97289999999998</v>
      </c>
      <c r="J1524">
        <v>-259.38850000000002</v>
      </c>
      <c r="K1524">
        <v>1.109826</v>
      </c>
      <c r="L1524">
        <v>282.35989999999998</v>
      </c>
      <c r="M1524">
        <v>-0.99990950000000001</v>
      </c>
      <c r="N1524">
        <v>0</v>
      </c>
      <c r="O1524">
        <v>4.2050560000000004E-3</v>
      </c>
      <c r="P1524">
        <v>-0.99802619999999997</v>
      </c>
      <c r="Q1524">
        <v>4.3339959999999997E-2</v>
      </c>
      <c r="R1524">
        <v>4.5447960000000003E-2</v>
      </c>
      <c r="S1524">
        <v>-2.994202</v>
      </c>
      <c r="T1524">
        <v>-0.18834999999999999</v>
      </c>
      <c r="U1524">
        <v>0.44366460000000002</v>
      </c>
      <c r="V1524">
        <v>4.1263370000000001E-2</v>
      </c>
      <c r="W1524">
        <v>5.6086490000000003E-2</v>
      </c>
      <c r="X1524">
        <v>0.99757289999999998</v>
      </c>
      <c r="Y1524">
        <v>0.1421462</v>
      </c>
      <c r="Z1524">
        <v>4.1794249999999996E-3</v>
      </c>
      <c r="AA1524">
        <v>0.98983690000000002</v>
      </c>
      <c r="AB1524">
        <v>26</v>
      </c>
      <c r="AC1524">
        <v>-17.395499999999899</v>
      </c>
      <c r="AD1524">
        <v>-1.1098239422930001</v>
      </c>
      <c r="AE1524">
        <v>2.6129999999999902</v>
      </c>
      <c r="AF1524">
        <v>2.5297520407148899</v>
      </c>
      <c r="AG1524">
        <v>-1.1098239422930001</v>
      </c>
      <c r="AH1524">
        <v>17.337322644873701</v>
      </c>
      <c r="AI1524">
        <v>93.624433600696705</v>
      </c>
      <c r="AJ1524">
        <v>81.698349066001001</v>
      </c>
      <c r="AK1524">
        <v>17.556027770052101</v>
      </c>
      <c r="AL1524">
        <v>86.784793736254102</v>
      </c>
      <c r="AM1524">
        <v>87.631381154182407</v>
      </c>
      <c r="AN1524">
        <v>1.00000002543934</v>
      </c>
    </row>
    <row r="1525" spans="1:40" x14ac:dyDescent="0.25">
      <c r="A1525" t="str">
        <f>"20190312154537884"</f>
        <v>20190312154537884</v>
      </c>
      <c r="B1525" t="str">
        <f>"1552376737878162"</f>
        <v>1552376737878162</v>
      </c>
      <c r="C1525" t="s">
        <v>40</v>
      </c>
      <c r="D1525">
        <v>4.415089</v>
      </c>
      <c r="E1525">
        <v>0.54065319999999994</v>
      </c>
      <c r="F1525" t="s">
        <v>54</v>
      </c>
      <c r="G1525">
        <v>-277.6336</v>
      </c>
      <c r="H1525" s="1">
        <v>2.5042309999999999E-6</v>
      </c>
      <c r="I1525">
        <v>285.10149999999999</v>
      </c>
      <c r="J1525">
        <v>-259.63170000000002</v>
      </c>
      <c r="K1525">
        <v>1.109818</v>
      </c>
      <c r="L1525">
        <v>282.36099999999999</v>
      </c>
      <c r="M1525">
        <v>-0.99990990000000002</v>
      </c>
      <c r="N1525">
        <v>0</v>
      </c>
      <c r="O1525">
        <v>4.3144079999999996E-3</v>
      </c>
      <c r="P1525">
        <v>-0.99796269999999998</v>
      </c>
      <c r="Q1525">
        <v>4.3443589999999997E-2</v>
      </c>
      <c r="R1525">
        <v>4.6727070000000002E-2</v>
      </c>
      <c r="S1525">
        <v>-2.9933169999999998</v>
      </c>
      <c r="T1525">
        <v>-0.1820793</v>
      </c>
      <c r="U1525">
        <v>0.44979859999999999</v>
      </c>
      <c r="V1525">
        <v>4.2433319999999997E-2</v>
      </c>
      <c r="W1525">
        <v>5.6120290000000003E-2</v>
      </c>
      <c r="X1525">
        <v>0.99752189999999996</v>
      </c>
      <c r="Y1525">
        <v>0.1440784</v>
      </c>
      <c r="Z1525">
        <v>4.0928910000000004E-3</v>
      </c>
      <c r="AA1525">
        <v>0.98955780000000004</v>
      </c>
      <c r="AB1525">
        <v>25</v>
      </c>
      <c r="AC1525">
        <v>-18.0018999999999</v>
      </c>
      <c r="AD1525">
        <v>-1.1098154957690001</v>
      </c>
      <c r="AE1525">
        <v>2.7404999999999902</v>
      </c>
      <c r="AF1525">
        <v>2.65294597556667</v>
      </c>
      <c r="AG1525">
        <v>-1.1098154957690001</v>
      </c>
      <c r="AH1525">
        <v>17.9468910615591</v>
      </c>
      <c r="AI1525">
        <v>93.500656152202197</v>
      </c>
      <c r="AJ1525">
        <v>81.591315409870802</v>
      </c>
      <c r="AK1525">
        <v>18.175827671921699</v>
      </c>
      <c r="AL1525">
        <v>86.782854025476794</v>
      </c>
      <c r="AM1525">
        <v>87.564178538664294</v>
      </c>
      <c r="AN1525">
        <v>1.00000000728775</v>
      </c>
    </row>
    <row r="1526" spans="1:40" x14ac:dyDescent="0.25">
      <c r="A1526" t="str">
        <f>"20190312154537906"</f>
        <v>20190312154537906</v>
      </c>
      <c r="B1526" t="str">
        <f>"1552376737898658"</f>
        <v>1552376737898658</v>
      </c>
      <c r="C1526" t="s">
        <v>40</v>
      </c>
      <c r="D1526">
        <v>4.3702670000000001</v>
      </c>
      <c r="E1526">
        <v>0.540794</v>
      </c>
      <c r="F1526" t="s">
        <v>54</v>
      </c>
      <c r="G1526">
        <v>-278.25670000000002</v>
      </c>
      <c r="H1526" s="1">
        <v>2.8318760000000001E-6</v>
      </c>
      <c r="I1526">
        <v>285.19209999999998</v>
      </c>
      <c r="J1526">
        <v>-259.8877</v>
      </c>
      <c r="K1526">
        <v>1.1098049999999999</v>
      </c>
      <c r="L1526">
        <v>282.36219999999997</v>
      </c>
      <c r="M1526">
        <v>-0.99991070000000004</v>
      </c>
      <c r="N1526">
        <v>0</v>
      </c>
      <c r="O1526">
        <v>4.4286489999999998E-3</v>
      </c>
      <c r="P1526">
        <v>-0.99783409999999995</v>
      </c>
      <c r="Q1526">
        <v>4.3859469999999998E-2</v>
      </c>
      <c r="R1526">
        <v>4.9027220000000003E-2</v>
      </c>
      <c r="S1526">
        <v>-2.9926149999999998</v>
      </c>
      <c r="T1526">
        <v>-0.17832110000000001</v>
      </c>
      <c r="U1526">
        <v>0.45489499999999999</v>
      </c>
      <c r="V1526">
        <v>4.4619440000000003E-2</v>
      </c>
      <c r="W1526">
        <v>5.6442600000000002E-2</v>
      </c>
      <c r="X1526">
        <v>0.99740830000000003</v>
      </c>
      <c r="Y1526">
        <v>0.1456547</v>
      </c>
      <c r="Z1526">
        <v>4.048874E-3</v>
      </c>
      <c r="AA1526">
        <v>0.98932719999999996</v>
      </c>
      <c r="AB1526">
        <v>25</v>
      </c>
      <c r="AC1526">
        <v>-18.369</v>
      </c>
      <c r="AD1526">
        <v>-1.109802168124</v>
      </c>
      <c r="AE1526">
        <v>2.8298999999999999</v>
      </c>
      <c r="AF1526">
        <v>2.7387506261731001</v>
      </c>
      <c r="AG1526">
        <v>-1.109802168124</v>
      </c>
      <c r="AH1526">
        <v>18.3160457194363</v>
      </c>
      <c r="AI1526">
        <v>93.429381766371606</v>
      </c>
      <c r="AJ1526">
        <v>81.495718571311798</v>
      </c>
      <c r="AK1526">
        <v>18.552895909836199</v>
      </c>
      <c r="AL1526">
        <v>86.7643576465791</v>
      </c>
      <c r="AM1526">
        <v>87.438559278924501</v>
      </c>
      <c r="AN1526">
        <v>0.99999998921478095</v>
      </c>
    </row>
    <row r="1527" spans="1:40" x14ac:dyDescent="0.25">
      <c r="A1527" t="str">
        <f>"20190312154537928"</f>
        <v>20190312154537928</v>
      </c>
      <c r="B1527" t="str">
        <f>"1552376737918178"</f>
        <v>1552376737918178</v>
      </c>
      <c r="C1527" t="s">
        <v>40</v>
      </c>
      <c r="D1527">
        <v>4.388287</v>
      </c>
      <c r="E1527">
        <v>0.54078559999999998</v>
      </c>
      <c r="F1527" t="s">
        <v>54</v>
      </c>
      <c r="G1527">
        <v>-278.95979999999997</v>
      </c>
      <c r="H1527" s="1">
        <v>3.2006720000000002E-6</v>
      </c>
      <c r="I1527">
        <v>285.31450000000001</v>
      </c>
      <c r="J1527">
        <v>-260.14569999999998</v>
      </c>
      <c r="K1527">
        <v>1.1097969999999999</v>
      </c>
      <c r="L1527">
        <v>282.36349999999999</v>
      </c>
      <c r="M1527">
        <v>-0.99991140000000001</v>
      </c>
      <c r="N1527">
        <v>0</v>
      </c>
      <c r="O1527">
        <v>4.5424369999999999E-3</v>
      </c>
      <c r="P1527">
        <v>-0.99768330000000005</v>
      </c>
      <c r="Q1527">
        <v>4.4872120000000001E-2</v>
      </c>
      <c r="R1527">
        <v>5.1133820000000003E-2</v>
      </c>
      <c r="S1527">
        <v>-2.9913940000000001</v>
      </c>
      <c r="T1527">
        <v>-0.17406859999999999</v>
      </c>
      <c r="U1527">
        <v>0.46304319999999999</v>
      </c>
      <c r="V1527">
        <v>4.661299E-2</v>
      </c>
      <c r="W1527">
        <v>5.734997E-2</v>
      </c>
      <c r="X1527">
        <v>0.99726530000000002</v>
      </c>
      <c r="Y1527">
        <v>0.14824179999999901</v>
      </c>
      <c r="Z1527">
        <v>4.0214500000000002E-3</v>
      </c>
      <c r="AA1527">
        <v>0.98894300000000002</v>
      </c>
      <c r="AB1527">
        <v>26</v>
      </c>
      <c r="AC1527">
        <v>-18.8141</v>
      </c>
      <c r="AD1527">
        <v>-1.10979379932799</v>
      </c>
      <c r="AE1527">
        <v>2.9510000000000201</v>
      </c>
      <c r="AF1527">
        <v>2.8558028055089801</v>
      </c>
      <c r="AG1527">
        <v>-1.10979379932799</v>
      </c>
      <c r="AH1527">
        <v>18.763591256397799</v>
      </c>
      <c r="AI1527">
        <v>93.346431848298593</v>
      </c>
      <c r="AJ1527">
        <v>81.346044476021504</v>
      </c>
      <c r="AK1527">
        <v>19.012091120604001</v>
      </c>
      <c r="AL1527">
        <v>86.712284638745103</v>
      </c>
      <c r="AM1527">
        <v>87.323896432612003</v>
      </c>
      <c r="AN1527">
        <v>0.99999993423991296</v>
      </c>
    </row>
    <row r="1528" spans="1:40" x14ac:dyDescent="0.25">
      <c r="A1528" t="str">
        <f>"20190312154537951"</f>
        <v>20190312154537951</v>
      </c>
      <c r="B1528" t="str">
        <f>"1552376737948434"</f>
        <v>1552376737948434</v>
      </c>
      <c r="C1528" t="s">
        <v>40</v>
      </c>
      <c r="D1528">
        <v>4.4067189999999998</v>
      </c>
      <c r="E1528">
        <v>0.54107879999999997</v>
      </c>
      <c r="F1528" t="s">
        <v>54</v>
      </c>
      <c r="G1528">
        <v>-279.74630000000002</v>
      </c>
      <c r="H1528" s="1">
        <v>3.613807E-6</v>
      </c>
      <c r="I1528">
        <v>285.43720000000002</v>
      </c>
      <c r="J1528">
        <v>-260.3956</v>
      </c>
      <c r="K1528">
        <v>1.1097859999999999</v>
      </c>
      <c r="L1528">
        <v>282.3648</v>
      </c>
      <c r="M1528">
        <v>-0.99991209999999997</v>
      </c>
      <c r="N1528">
        <v>0</v>
      </c>
      <c r="O1528">
        <v>4.6502540000000004E-3</v>
      </c>
      <c r="P1528">
        <v>-0.99753950000000002</v>
      </c>
      <c r="Q1528">
        <v>4.5729499999999999E-2</v>
      </c>
      <c r="R1528">
        <v>5.3138329999999998E-2</v>
      </c>
      <c r="S1528">
        <v>-2.99057</v>
      </c>
      <c r="T1528">
        <v>-0.16932749999999999</v>
      </c>
      <c r="U1528">
        <v>0.46896359999999898</v>
      </c>
      <c r="V1528">
        <v>4.8510730000000002E-2</v>
      </c>
      <c r="W1528">
        <v>5.8099739999999997E-2</v>
      </c>
      <c r="X1528">
        <v>0.99713149999999995</v>
      </c>
      <c r="Y1528">
        <v>0.15009739999999999</v>
      </c>
      <c r="Z1528">
        <v>3.9586780000000002E-3</v>
      </c>
      <c r="AA1528">
        <v>0.98866330000000002</v>
      </c>
      <c r="AB1528">
        <v>26</v>
      </c>
      <c r="AC1528">
        <v>-19.3507</v>
      </c>
      <c r="AD1528">
        <v>-1.1097823861929901</v>
      </c>
      <c r="AE1528">
        <v>3.0724000000000098</v>
      </c>
      <c r="AF1528">
        <v>2.9728365310571401</v>
      </c>
      <c r="AG1528">
        <v>-1.1097823861929901</v>
      </c>
      <c r="AH1528">
        <v>19.302850692622101</v>
      </c>
      <c r="AI1528">
        <v>93.252234248906007</v>
      </c>
      <c r="AJ1528">
        <v>81.244654290980705</v>
      </c>
      <c r="AK1528">
        <v>19.56193801357</v>
      </c>
      <c r="AL1528">
        <v>86.669254610722106</v>
      </c>
      <c r="AM1528">
        <v>87.214740138249198</v>
      </c>
      <c r="AN1528">
        <v>1.0000000495027199</v>
      </c>
    </row>
    <row r="1529" spans="1:40" x14ac:dyDescent="0.25">
      <c r="A1529" t="str">
        <f>"20190312154537973"</f>
        <v>20190312154537973</v>
      </c>
      <c r="B1529" t="str">
        <f>"1552376737967955"</f>
        <v>1552376737967955</v>
      </c>
      <c r="C1529" t="s">
        <v>40</v>
      </c>
      <c r="D1529">
        <v>4.3424880000000003</v>
      </c>
      <c r="E1529">
        <v>0.54119010000000001</v>
      </c>
      <c r="F1529" t="s">
        <v>57</v>
      </c>
      <c r="G1529">
        <v>-280.7604</v>
      </c>
      <c r="H1529" s="1">
        <v>7.8581819999999995E-6</v>
      </c>
      <c r="I1529">
        <v>285.61750000000001</v>
      </c>
      <c r="J1529">
        <v>-260.64620000000002</v>
      </c>
      <c r="K1529">
        <v>1.1097680000000001</v>
      </c>
      <c r="L1529">
        <v>282.36610000000002</v>
      </c>
      <c r="M1529">
        <v>-0.9999131</v>
      </c>
      <c r="N1529">
        <v>0</v>
      </c>
      <c r="O1529">
        <v>4.7561119999999998E-3</v>
      </c>
      <c r="P1529">
        <v>-0.99748440000000005</v>
      </c>
      <c r="Q1529">
        <v>4.5336880000000003E-2</v>
      </c>
      <c r="R1529">
        <v>5.449387E-2</v>
      </c>
      <c r="S1529">
        <v>-2.9894409999999998</v>
      </c>
      <c r="T1529">
        <v>-0.16290969999999999</v>
      </c>
      <c r="U1529">
        <v>0.47747800000000001</v>
      </c>
      <c r="V1529">
        <v>4.9760989999999998E-2</v>
      </c>
      <c r="W1529">
        <v>5.7592749999999998E-2</v>
      </c>
      <c r="X1529">
        <v>0.99709930000000002</v>
      </c>
      <c r="Y1529">
        <v>0.15280949999999999</v>
      </c>
      <c r="Z1529">
        <v>3.8770889999999998E-3</v>
      </c>
      <c r="AA1529">
        <v>0.98824809999999996</v>
      </c>
      <c r="AB1529">
        <v>26</v>
      </c>
      <c r="AC1529">
        <v>-20.114199999999901</v>
      </c>
      <c r="AD1529">
        <v>-1.1097601418179901</v>
      </c>
      <c r="AE1529">
        <v>3.2513999999999799</v>
      </c>
      <c r="AF1529">
        <v>3.1463568019272099</v>
      </c>
      <c r="AG1529">
        <v>-1.1097601418179901</v>
      </c>
      <c r="AH1529">
        <v>20.069899467276802</v>
      </c>
      <c r="AI1529">
        <v>93.126819786990296</v>
      </c>
      <c r="AJ1529">
        <v>81.090263132624102</v>
      </c>
      <c r="AK1529">
        <v>20.3453187078502</v>
      </c>
      <c r="AL1529">
        <v>86.698351713287295</v>
      </c>
      <c r="AM1529">
        <v>87.142981367532698</v>
      </c>
      <c r="AN1529">
        <v>1.00000004751941</v>
      </c>
    </row>
    <row r="1530" spans="1:40" x14ac:dyDescent="0.25">
      <c r="A1530" t="str">
        <f>"20190312154537998"</f>
        <v>20190312154537998</v>
      </c>
      <c r="B1530" t="str">
        <f>"1552376737988451"</f>
        <v>1552376737988451</v>
      </c>
      <c r="C1530" t="s">
        <v>40</v>
      </c>
      <c r="D1530">
        <v>4.3433780000000004</v>
      </c>
      <c r="E1530">
        <v>0.5413308</v>
      </c>
      <c r="F1530" t="s">
        <v>57</v>
      </c>
      <c r="G1530">
        <v>-281.21080000000001</v>
      </c>
      <c r="H1530" s="1">
        <v>7.6439880000000005E-6</v>
      </c>
      <c r="I1530">
        <v>285.68740000000003</v>
      </c>
      <c r="J1530">
        <v>-260.92399999999998</v>
      </c>
      <c r="K1530">
        <v>1.1097379999999999</v>
      </c>
      <c r="L1530">
        <v>282.36750000000001</v>
      </c>
      <c r="M1530">
        <v>-0.99991430000000003</v>
      </c>
      <c r="N1530">
        <v>0</v>
      </c>
      <c r="O1530">
        <v>4.8716640000000004E-3</v>
      </c>
      <c r="P1530">
        <v>-0.99745919999999999</v>
      </c>
      <c r="Q1530">
        <v>4.4194740000000003E-2</v>
      </c>
      <c r="R1530">
        <v>5.5875580000000001E-2</v>
      </c>
      <c r="S1530">
        <v>-2.988556</v>
      </c>
      <c r="T1530">
        <v>-0.161276</v>
      </c>
      <c r="U1530">
        <v>0.48266599999999998</v>
      </c>
      <c r="V1530">
        <v>5.1027509999999998E-2</v>
      </c>
      <c r="W1530">
        <v>5.6310720000000002E-2</v>
      </c>
      <c r="X1530">
        <v>0.99710849999999995</v>
      </c>
      <c r="Y1530">
        <v>0.1544152</v>
      </c>
      <c r="Z1530">
        <v>3.8756860000000001E-3</v>
      </c>
      <c r="AA1530">
        <v>0.98799840000000005</v>
      </c>
      <c r="AB1530">
        <v>26</v>
      </c>
      <c r="AC1530">
        <v>-20.2867999999999</v>
      </c>
      <c r="AD1530">
        <v>-1.109730356012</v>
      </c>
      <c r="AE1530">
        <v>3.3199000000000098</v>
      </c>
      <c r="AF1530">
        <v>3.2116631667971798</v>
      </c>
      <c r="AG1530">
        <v>-1.109730356012</v>
      </c>
      <c r="AH1530">
        <v>20.243738096847899</v>
      </c>
      <c r="AI1530">
        <v>93.099043645000506</v>
      </c>
      <c r="AJ1530">
        <v>80.985173749064302</v>
      </c>
      <c r="AK1530">
        <v>20.526938736542998</v>
      </c>
      <c r="AL1530">
        <v>86.771925990206498</v>
      </c>
      <c r="AM1530">
        <v>87.070416431930894</v>
      </c>
      <c r="AN1530">
        <v>1.0000000323679801</v>
      </c>
    </row>
    <row r="1531" spans="1:40" x14ac:dyDescent="0.25">
      <c r="A1531" t="str">
        <f>"20190312154538018"</f>
        <v>20190312154538018</v>
      </c>
      <c r="B1531" t="str">
        <f>"1552376738007974"</f>
        <v>1552376738007974</v>
      </c>
      <c r="C1531" t="s">
        <v>40</v>
      </c>
      <c r="D1531">
        <v>4.3096329999999998</v>
      </c>
      <c r="E1531">
        <v>0.54146039999999995</v>
      </c>
      <c r="F1531" t="s">
        <v>57</v>
      </c>
      <c r="G1531">
        <v>-281.37009999999998</v>
      </c>
      <c r="H1531" s="1">
        <v>7.5694050000000002E-6</v>
      </c>
      <c r="I1531">
        <v>285.70650000000001</v>
      </c>
      <c r="J1531">
        <v>-261.17090000000002</v>
      </c>
      <c r="K1531">
        <v>1.1097079999999999</v>
      </c>
      <c r="L1531">
        <v>282.36880000000002</v>
      </c>
      <c r="M1531">
        <v>-0.99991540000000001</v>
      </c>
      <c r="N1531">
        <v>0</v>
      </c>
      <c r="O1531">
        <v>4.9744500000000001E-3</v>
      </c>
      <c r="P1531">
        <v>-0.99748800000000004</v>
      </c>
      <c r="Q1531">
        <v>4.300731E-2</v>
      </c>
      <c r="R1531">
        <v>5.6286969999999999E-2</v>
      </c>
      <c r="S1531">
        <v>-2.9875180000000001</v>
      </c>
      <c r="T1531">
        <v>-0.1621504</v>
      </c>
      <c r="U1531">
        <v>0.4878845</v>
      </c>
      <c r="V1531">
        <v>5.1336149999999997E-2</v>
      </c>
      <c r="W1531">
        <v>5.4982410000000002E-2</v>
      </c>
      <c r="X1531">
        <v>0.99716680000000002</v>
      </c>
      <c r="Y1531">
        <v>0.1560443</v>
      </c>
      <c r="Z1531">
        <v>3.935816E-3</v>
      </c>
      <c r="AA1531">
        <v>0.98774220000000001</v>
      </c>
      <c r="AB1531">
        <v>26</v>
      </c>
      <c r="AC1531">
        <v>-20.199199999999902</v>
      </c>
      <c r="AD1531">
        <v>-1.109700430595</v>
      </c>
      <c r="AE1531">
        <v>3.3376999999999799</v>
      </c>
      <c r="AF1531">
        <v>3.22768874596269</v>
      </c>
      <c r="AG1531">
        <v>-1.109700430595</v>
      </c>
      <c r="AH1531">
        <v>20.156336187791599</v>
      </c>
      <c r="AI1531">
        <v>93.111655614350994</v>
      </c>
      <c r="AJ1531">
        <v>80.902309282656802</v>
      </c>
      <c r="AK1531">
        <v>20.443270242350099</v>
      </c>
      <c r="AL1531">
        <v>86.848150702320297</v>
      </c>
      <c r="AM1531">
        <v>87.052899997584802</v>
      </c>
      <c r="AN1531">
        <v>1.00000004636423</v>
      </c>
    </row>
    <row r="1532" spans="1:40" x14ac:dyDescent="0.25">
      <c r="A1532" t="str">
        <f>"20190312154538041"</f>
        <v>20190312154538041</v>
      </c>
      <c r="B1532" t="str">
        <f>"1552376738027491"</f>
        <v>1552376738027491</v>
      </c>
      <c r="C1532" t="s">
        <v>40</v>
      </c>
      <c r="D1532">
        <v>4.2925170000000001</v>
      </c>
      <c r="E1532">
        <v>0.54144399999999904</v>
      </c>
      <c r="F1532" t="s">
        <v>57</v>
      </c>
      <c r="G1532">
        <v>-281.49520000000001</v>
      </c>
      <c r="H1532" s="1">
        <v>7.5143509999999997E-6</v>
      </c>
      <c r="I1532">
        <v>285.7045</v>
      </c>
      <c r="J1532">
        <v>-261.42239999999998</v>
      </c>
      <c r="K1532">
        <v>1.1096760000000001</v>
      </c>
      <c r="L1532">
        <v>282.37020000000001</v>
      </c>
      <c r="M1532">
        <v>-0.99991680000000005</v>
      </c>
      <c r="N1532">
        <v>0</v>
      </c>
      <c r="O1532">
        <v>5.0803030000000004E-3</v>
      </c>
      <c r="P1532">
        <v>-0.99749169999999998</v>
      </c>
      <c r="Q1532">
        <v>4.2365939999999998E-2</v>
      </c>
      <c r="R1532">
        <v>5.6703440000000001E-2</v>
      </c>
      <c r="S1532">
        <v>-2.9869690000000002</v>
      </c>
      <c r="T1532">
        <v>-0.1630878</v>
      </c>
      <c r="U1532">
        <v>0.49023440000000001</v>
      </c>
      <c r="V1532">
        <v>5.1646879999999999E-2</v>
      </c>
      <c r="W1532">
        <v>5.4182029999999999E-2</v>
      </c>
      <c r="X1532">
        <v>0.99719449999999998</v>
      </c>
      <c r="Y1532">
        <v>0.156722</v>
      </c>
      <c r="Z1532">
        <v>3.9716329999999996E-3</v>
      </c>
      <c r="AA1532">
        <v>0.98763480000000003</v>
      </c>
      <c r="AB1532">
        <v>26</v>
      </c>
      <c r="AC1532">
        <v>-20.072800000000001</v>
      </c>
      <c r="AD1532">
        <v>-1.109668485649</v>
      </c>
      <c r="AE1532">
        <v>3.3342999999999798</v>
      </c>
      <c r="AF1532">
        <v>3.2226894215917299</v>
      </c>
      <c r="AG1532">
        <v>-1.109668485649</v>
      </c>
      <c r="AH1532">
        <v>20.029911232225899</v>
      </c>
      <c r="AI1532">
        <v>93.1307946978785</v>
      </c>
      <c r="AJ1532">
        <v>80.859794881543394</v>
      </c>
      <c r="AK1532">
        <v>20.317835397180701</v>
      </c>
      <c r="AL1532">
        <v>86.8940773605337</v>
      </c>
      <c r="AM1532">
        <v>87.035175588660707</v>
      </c>
      <c r="AN1532">
        <v>0.99999998170945203</v>
      </c>
    </row>
    <row r="1533" spans="1:40" x14ac:dyDescent="0.25">
      <c r="A1533" t="str">
        <f>"20190312154538066"</f>
        <v>20190312154538066</v>
      </c>
      <c r="B1533" t="str">
        <f>"1552376738057746"</f>
        <v>1552376738057746</v>
      </c>
      <c r="C1533" t="s">
        <v>40</v>
      </c>
      <c r="D1533">
        <v>4.2823419999999999</v>
      </c>
      <c r="E1533">
        <v>0.51520159999999904</v>
      </c>
      <c r="F1533" t="s">
        <v>57</v>
      </c>
      <c r="G1533">
        <v>-281.79419999999999</v>
      </c>
      <c r="H1533" s="1">
        <v>7.3783619999999997E-6</v>
      </c>
      <c r="I1533">
        <v>285.72089999999997</v>
      </c>
      <c r="J1533">
        <v>-261.69119999999998</v>
      </c>
      <c r="K1533">
        <v>1.109648</v>
      </c>
      <c r="L1533">
        <v>282.37180000000001</v>
      </c>
      <c r="M1533">
        <v>-0.99991839999999999</v>
      </c>
      <c r="N1533">
        <v>0</v>
      </c>
      <c r="O1533">
        <v>5.194667E-3</v>
      </c>
      <c r="P1533">
        <v>-0.99748769999999998</v>
      </c>
      <c r="Q1533">
        <v>4.2023919999999999E-2</v>
      </c>
      <c r="R1533">
        <v>5.702985E-2</v>
      </c>
      <c r="S1533">
        <v>-2.986542</v>
      </c>
      <c r="T1533">
        <v>-0.16267909999999999</v>
      </c>
      <c r="U1533">
        <v>0.49121090000000001</v>
      </c>
      <c r="V1533">
        <v>5.1859120000000002E-2</v>
      </c>
      <c r="W1533">
        <v>5.365876E-2</v>
      </c>
      <c r="X1533">
        <v>0.99721179999999998</v>
      </c>
      <c r="Y1533">
        <v>0.156947</v>
      </c>
      <c r="Z1533">
        <v>3.9620469999999998E-3</v>
      </c>
      <c r="AA1533">
        <v>0.98759909999999995</v>
      </c>
      <c r="AB1533">
        <v>26</v>
      </c>
      <c r="AC1533">
        <v>-20.103000000000002</v>
      </c>
      <c r="AD1533">
        <v>-1.1096406216379999</v>
      </c>
      <c r="AE1533">
        <v>3.34909999999996</v>
      </c>
      <c r="AF1533">
        <v>3.23502901368111</v>
      </c>
      <c r="AG1533">
        <v>-1.1096406216379999</v>
      </c>
      <c r="AH1533">
        <v>20.060657267077101</v>
      </c>
      <c r="AI1533">
        <v>93.125746959806804</v>
      </c>
      <c r="AJ1533">
        <v>80.839214255140902</v>
      </c>
      <c r="AK1533">
        <v>20.350102825678299</v>
      </c>
      <c r="AL1533">
        <v>86.924102266869795</v>
      </c>
      <c r="AM1533">
        <v>87.023065230963098</v>
      </c>
      <c r="AN1533">
        <v>1.00000000245557</v>
      </c>
    </row>
    <row r="1534" spans="1:40" x14ac:dyDescent="0.25">
      <c r="A1534" t="str">
        <f>"20190312154538086"</f>
        <v>20190312154538086</v>
      </c>
      <c r="B1534" t="str">
        <f>"1552376738078242"</f>
        <v>1552376738078242</v>
      </c>
      <c r="C1534" t="s">
        <v>40</v>
      </c>
      <c r="D1534">
        <v>4.2376589999999998</v>
      </c>
      <c r="E1534">
        <v>0.51183129999999999</v>
      </c>
      <c r="F1534" t="s">
        <v>57</v>
      </c>
      <c r="G1534">
        <v>-285.16739999999999</v>
      </c>
      <c r="H1534" s="1">
        <v>6.1151040000000002E-6</v>
      </c>
      <c r="I1534">
        <v>284.59519999999998</v>
      </c>
      <c r="J1534">
        <v>-261.93700000000001</v>
      </c>
      <c r="K1534">
        <v>1.1096189999999999</v>
      </c>
      <c r="L1534">
        <v>282.37310000000002</v>
      </c>
      <c r="M1534">
        <v>-0.99991980000000003</v>
      </c>
      <c r="N1534">
        <v>0</v>
      </c>
      <c r="O1534">
        <v>5.3003950000000003E-3</v>
      </c>
      <c r="P1534">
        <v>-0.99749969999999999</v>
      </c>
      <c r="Q1534">
        <v>4.2001860000000002E-2</v>
      </c>
      <c r="R1534">
        <v>5.6836280000000003E-2</v>
      </c>
      <c r="S1534">
        <v>-2.9972840000000001</v>
      </c>
      <c r="T1534">
        <v>-0.14167170000000001</v>
      </c>
      <c r="U1534">
        <v>0.28387449999999997</v>
      </c>
      <c r="V1534">
        <v>5.156003E-2</v>
      </c>
      <c r="W1534">
        <v>5.3471629999999999E-2</v>
      </c>
      <c r="X1534">
        <v>0.99723740000000005</v>
      </c>
      <c r="Y1534">
        <v>8.8917670000000004E-2</v>
      </c>
      <c r="Z1534">
        <v>1.8457339999999999E-3</v>
      </c>
      <c r="AA1534">
        <v>0.99603719999999996</v>
      </c>
      <c r="AB1534">
        <v>26</v>
      </c>
      <c r="AC1534">
        <v>-23.2303999999999</v>
      </c>
      <c r="AD1534">
        <v>-1.1096128848960001</v>
      </c>
      <c r="AE1534">
        <v>2.22209999999995</v>
      </c>
      <c r="AF1534">
        <v>2.0941956535442299</v>
      </c>
      <c r="AG1534">
        <v>-1.1096128848960001</v>
      </c>
      <c r="AH1534">
        <v>23.189424346397701</v>
      </c>
      <c r="AI1534">
        <v>92.728424408109802</v>
      </c>
      <c r="AJ1534">
        <v>84.839718069685802</v>
      </c>
      <c r="AK1534">
        <v>23.310218740006601</v>
      </c>
      <c r="AL1534">
        <v>86.934839561978094</v>
      </c>
      <c r="AM1534">
        <v>87.0402795022585</v>
      </c>
      <c r="AN1534">
        <v>1.0000000419335999</v>
      </c>
    </row>
    <row r="1535" spans="1:40" x14ac:dyDescent="0.25">
      <c r="A1535" t="str">
        <f>"20190312154538108"</f>
        <v>20190312154538108</v>
      </c>
      <c r="B1535" t="str">
        <f>"1552376738097762"</f>
        <v>1552376738097762</v>
      </c>
      <c r="C1535" t="s">
        <v>40</v>
      </c>
      <c r="D1535">
        <v>4.2344809999999997</v>
      </c>
      <c r="E1535">
        <v>0.51045010000000002</v>
      </c>
      <c r="F1535" t="s">
        <v>57</v>
      </c>
      <c r="G1535">
        <v>-282.76260000000002</v>
      </c>
      <c r="H1535" s="1">
        <v>7.2738529999999997E-6</v>
      </c>
      <c r="I1535">
        <v>284.14830000000001</v>
      </c>
      <c r="J1535">
        <v>-262.19139999999999</v>
      </c>
      <c r="K1535">
        <v>1.109594</v>
      </c>
      <c r="L1535">
        <v>282.37459999999999</v>
      </c>
      <c r="M1535">
        <v>-0.99992099999999995</v>
      </c>
      <c r="N1535">
        <v>0</v>
      </c>
      <c r="O1535">
        <v>5.4089000000000003E-3</v>
      </c>
      <c r="P1535">
        <v>-0.99755439999999995</v>
      </c>
      <c r="Q1535">
        <v>4.0986979999999999E-2</v>
      </c>
      <c r="R1535">
        <v>5.6618010000000003E-2</v>
      </c>
      <c r="S1535">
        <v>-2.9997250000000002</v>
      </c>
      <c r="T1535">
        <v>-0.15982879999999899</v>
      </c>
      <c r="U1535">
        <v>0.25570680000000001</v>
      </c>
      <c r="V1535">
        <v>5.1232960000000001E-2</v>
      </c>
      <c r="W1535">
        <v>5.229549E-2</v>
      </c>
      <c r="X1535">
        <v>0.9973166</v>
      </c>
      <c r="Y1535">
        <v>7.9440209999999997E-2</v>
      </c>
      <c r="Z1535">
        <v>1.8235440000000001E-3</v>
      </c>
      <c r="AA1535">
        <v>0.996838</v>
      </c>
      <c r="AB1535">
        <v>26</v>
      </c>
      <c r="AC1535">
        <v>-20.571200000000001</v>
      </c>
      <c r="AD1535">
        <v>-1.109586726147</v>
      </c>
      <c r="AE1535">
        <v>1.77370000000001</v>
      </c>
      <c r="AF1535">
        <v>1.6576122575722201</v>
      </c>
      <c r="AG1535">
        <v>-1.109586726147</v>
      </c>
      <c r="AH1535">
        <v>20.5212295710418</v>
      </c>
      <c r="AI1535">
        <v>93.084951437871297</v>
      </c>
      <c r="AJ1535">
        <v>85.381932047553704</v>
      </c>
      <c r="AK1535">
        <v>20.617946653503001</v>
      </c>
      <c r="AL1535">
        <v>87.002321776972295</v>
      </c>
      <c r="AM1535">
        <v>87.059254505571204</v>
      </c>
      <c r="AN1535">
        <v>1.00000001755013</v>
      </c>
    </row>
    <row r="1536" spans="1:40" x14ac:dyDescent="0.25">
      <c r="A1536" t="str">
        <f>"20190312154538129"</f>
        <v>20190312154538129</v>
      </c>
      <c r="B1536" t="str">
        <f>"1552376738118258"</f>
        <v>1552376738118258</v>
      </c>
      <c r="C1536" t="s">
        <v>40</v>
      </c>
      <c r="D1536">
        <v>4.2308120000000002</v>
      </c>
      <c r="E1536">
        <v>0.50985340000000001</v>
      </c>
      <c r="F1536" t="s">
        <v>57</v>
      </c>
      <c r="G1536">
        <v>-282.85120000000001</v>
      </c>
      <c r="H1536" s="1">
        <v>7.2540419999999901E-6</v>
      </c>
      <c r="I1536">
        <v>284.05410000000001</v>
      </c>
      <c r="J1536">
        <v>-262.43799999999999</v>
      </c>
      <c r="K1536">
        <v>1.109572</v>
      </c>
      <c r="L1536">
        <v>282.37599999999998</v>
      </c>
      <c r="M1536">
        <v>-0.99992219999999998</v>
      </c>
      <c r="N1536">
        <v>0</v>
      </c>
      <c r="O1536">
        <v>5.5141570000000004E-3</v>
      </c>
      <c r="P1536">
        <v>-0.99755150000000004</v>
      </c>
      <c r="Q1536">
        <v>4.054551E-2</v>
      </c>
      <c r="R1536">
        <v>5.6984800000000002E-2</v>
      </c>
      <c r="S1536">
        <v>-3.0001220000000002</v>
      </c>
      <c r="T1536">
        <v>-0.16112950000000001</v>
      </c>
      <c r="U1536">
        <v>0.24389649999999999</v>
      </c>
      <c r="V1536">
        <v>5.1494739999999997E-2</v>
      </c>
      <c r="W1536">
        <v>5.1705010000000003E-2</v>
      </c>
      <c r="X1536">
        <v>0.9973339</v>
      </c>
      <c r="Y1536">
        <v>7.5430520000000001E-2</v>
      </c>
      <c r="Z1536">
        <v>1.7253590000000001E-3</v>
      </c>
      <c r="AA1536">
        <v>0.99714959999999997</v>
      </c>
      <c r="AB1536">
        <v>26</v>
      </c>
      <c r="AC1536">
        <v>-20.4132</v>
      </c>
      <c r="AD1536">
        <v>-1.109564745958</v>
      </c>
      <c r="AE1536">
        <v>1.6781000000000199</v>
      </c>
      <c r="AF1536">
        <v>1.5609250613425301</v>
      </c>
      <c r="AG1536">
        <v>-1.109564745958</v>
      </c>
      <c r="AH1536">
        <v>20.362386784972099</v>
      </c>
      <c r="AI1536">
        <v>93.109907817194696</v>
      </c>
      <c r="AJ1536">
        <v>85.616434758275602</v>
      </c>
      <c r="AK1536">
        <v>20.452247225021601</v>
      </c>
      <c r="AL1536">
        <v>87.036199607177394</v>
      </c>
      <c r="AM1536">
        <v>87.044306225838099</v>
      </c>
      <c r="AN1536">
        <v>1.00000001219798</v>
      </c>
    </row>
    <row r="1537" spans="1:40" x14ac:dyDescent="0.25">
      <c r="A1537" t="str">
        <f>"20190312154538152"</f>
        <v>20190312154538152</v>
      </c>
      <c r="B1537" t="str">
        <f>"1552376738147538"</f>
        <v>1552376738147538</v>
      </c>
      <c r="C1537" t="s">
        <v>40</v>
      </c>
      <c r="D1537">
        <v>4.1990230000000004</v>
      </c>
      <c r="E1537">
        <v>0.50939179999999995</v>
      </c>
      <c r="F1537" t="s">
        <v>57</v>
      </c>
      <c r="G1537">
        <v>-283.0215</v>
      </c>
      <c r="H1537" s="1">
        <v>7.1847180000000001E-6</v>
      </c>
      <c r="I1537">
        <v>284.02420000000001</v>
      </c>
      <c r="J1537">
        <v>-262.70190000000002</v>
      </c>
      <c r="K1537">
        <v>1.1095549999999901</v>
      </c>
      <c r="L1537">
        <v>282.37759999999997</v>
      </c>
      <c r="M1537">
        <v>-0.99992320000000001</v>
      </c>
      <c r="N1537">
        <v>0</v>
      </c>
      <c r="O1537">
        <v>5.6262550000000001E-3</v>
      </c>
      <c r="P1537">
        <v>-0.99755269999999996</v>
      </c>
      <c r="Q1537">
        <v>4.0544700000000003E-2</v>
      </c>
      <c r="R1537">
        <v>5.6964260000000003E-2</v>
      </c>
      <c r="S1537">
        <v>-3.0002140000000002</v>
      </c>
      <c r="T1537">
        <v>-0.1617287</v>
      </c>
      <c r="U1537">
        <v>0.24023439999999999</v>
      </c>
      <c r="V1537">
        <v>5.1362280000000003E-2</v>
      </c>
      <c r="W1537">
        <v>5.155738E-2</v>
      </c>
      <c r="X1537">
        <v>0.99734840000000002</v>
      </c>
      <c r="Y1537">
        <v>7.4108279999999999E-2</v>
      </c>
      <c r="Z1537">
        <v>1.6902149999999999E-3</v>
      </c>
      <c r="AA1537">
        <v>0.99724880000000005</v>
      </c>
      <c r="AB1537">
        <v>26</v>
      </c>
      <c r="AC1537">
        <v>-20.319599999999902</v>
      </c>
      <c r="AD1537">
        <v>-1.10954781528199</v>
      </c>
      <c r="AE1537">
        <v>1.64660000000003</v>
      </c>
      <c r="AF1537">
        <v>1.5277182561534599</v>
      </c>
      <c r="AG1537">
        <v>-1.10954781528199</v>
      </c>
      <c r="AH1537">
        <v>20.268503084140999</v>
      </c>
      <c r="AI1537">
        <v>93.124539286345794</v>
      </c>
      <c r="AJ1537">
        <v>85.689538212481693</v>
      </c>
      <c r="AK1537">
        <v>20.356257924687799</v>
      </c>
      <c r="AL1537">
        <v>87.044669559562195</v>
      </c>
      <c r="AM1537">
        <v>87.051938517634994</v>
      </c>
      <c r="AN1537">
        <v>1.0000000391109101</v>
      </c>
    </row>
    <row r="1538" spans="1:40" x14ac:dyDescent="0.25">
      <c r="A1538" t="str">
        <f>"20190312154538173"</f>
        <v>20190312154538173</v>
      </c>
      <c r="B1538" t="str">
        <f>"1552376738168035"</f>
        <v>1552376738168035</v>
      </c>
      <c r="C1538" t="s">
        <v>40</v>
      </c>
      <c r="D1538">
        <v>4.2005299999999997</v>
      </c>
      <c r="E1538">
        <v>0.50919289999999995</v>
      </c>
      <c r="F1538" t="s">
        <v>57</v>
      </c>
      <c r="G1538">
        <v>-283.62299999999999</v>
      </c>
      <c r="H1538" s="1">
        <v>6.9173879999999997E-6</v>
      </c>
      <c r="I1538">
        <v>284.02699999999999</v>
      </c>
      <c r="J1538">
        <v>-262.9538</v>
      </c>
      <c r="K1538">
        <v>1.109545</v>
      </c>
      <c r="L1538">
        <v>282.37920000000003</v>
      </c>
      <c r="M1538">
        <v>-0.99992400000000004</v>
      </c>
      <c r="N1538">
        <v>0</v>
      </c>
      <c r="O1538">
        <v>5.7337019999999898E-3</v>
      </c>
      <c r="P1538">
        <v>-0.99751690000000004</v>
      </c>
      <c r="Q1538">
        <v>4.1508650000000001E-2</v>
      </c>
      <c r="R1538">
        <v>5.6898869999999997E-2</v>
      </c>
      <c r="S1538">
        <v>-3.000305</v>
      </c>
      <c r="T1538">
        <v>-0.15912089999999901</v>
      </c>
      <c r="U1538">
        <v>0.23654169999999999</v>
      </c>
      <c r="V1538">
        <v>5.1190180000000002E-2</v>
      </c>
      <c r="W1538">
        <v>5.2393099999999998E-2</v>
      </c>
      <c r="X1538">
        <v>0.99731369999999997</v>
      </c>
      <c r="Y1538">
        <v>7.2784130000000002E-2</v>
      </c>
      <c r="Z1538">
        <v>1.6223100000000001E-3</v>
      </c>
      <c r="AA1538">
        <v>0.99734639999999997</v>
      </c>
      <c r="AB1538">
        <v>26</v>
      </c>
      <c r="AC1538">
        <v>-20.669199999999901</v>
      </c>
      <c r="AD1538">
        <v>-1.109538082612</v>
      </c>
      <c r="AE1538">
        <v>1.64779999999996</v>
      </c>
      <c r="AF1538">
        <v>1.5248884167091501</v>
      </c>
      <c r="AG1538">
        <v>-1.109538082612</v>
      </c>
      <c r="AH1538">
        <v>20.6192670654682</v>
      </c>
      <c r="AI1538">
        <v>93.071785167189603</v>
      </c>
      <c r="AJ1538">
        <v>85.770416668897994</v>
      </c>
      <c r="AK1538">
        <v>20.705326217118198</v>
      </c>
      <c r="AL1538">
        <v>86.996721537544602</v>
      </c>
      <c r="AM1538">
        <v>87.061697221663096</v>
      </c>
      <c r="AN1538">
        <v>1.0000000438318599</v>
      </c>
    </row>
    <row r="1539" spans="1:40" x14ac:dyDescent="0.25">
      <c r="A1539" t="str">
        <f>"20190312154538196"</f>
        <v>20190312154538196</v>
      </c>
      <c r="B1539" t="str">
        <f>"1552376738188530"</f>
        <v>1552376738188530</v>
      </c>
      <c r="C1539" t="s">
        <v>40</v>
      </c>
      <c r="D1539">
        <v>4.2125949999999897</v>
      </c>
      <c r="E1539">
        <v>0.50913269999999999</v>
      </c>
      <c r="F1539" t="s">
        <v>57</v>
      </c>
      <c r="G1539">
        <v>-284.6601</v>
      </c>
      <c r="H1539" s="1">
        <v>6.4471810000000004E-6</v>
      </c>
      <c r="I1539">
        <v>284.07690000000002</v>
      </c>
      <c r="J1539">
        <v>-263.21249999999998</v>
      </c>
      <c r="K1539">
        <v>1.1095379999999999</v>
      </c>
      <c r="L1539">
        <v>282.38069999999999</v>
      </c>
      <c r="M1539">
        <v>-0.99992460000000005</v>
      </c>
      <c r="N1539">
        <v>0</v>
      </c>
      <c r="O1539">
        <v>5.8439449999999997E-3</v>
      </c>
      <c r="P1539">
        <v>-0.9974537</v>
      </c>
      <c r="Q1539">
        <v>4.2419890000000002E-2</v>
      </c>
      <c r="R1539">
        <v>5.7330329999999999E-2</v>
      </c>
      <c r="S1539">
        <v>-3.0004879999999998</v>
      </c>
      <c r="T1539">
        <v>-0.15337310000000001</v>
      </c>
      <c r="U1539">
        <v>0.23468020000000001</v>
      </c>
      <c r="V1539">
        <v>5.1512170000000003E-2</v>
      </c>
      <c r="W1539">
        <v>5.3185929999999999E-2</v>
      </c>
      <c r="X1539">
        <v>0.99725509999999995</v>
      </c>
      <c r="Y1539">
        <v>7.2062109999999999E-2</v>
      </c>
      <c r="Z1539">
        <v>1.5396940000000001E-3</v>
      </c>
      <c r="AA1539">
        <v>0.99739900000000004</v>
      </c>
      <c r="AB1539">
        <v>26</v>
      </c>
      <c r="AC1539">
        <v>-21.447600000000001</v>
      </c>
      <c r="AD1539">
        <v>-1.109531552819</v>
      </c>
      <c r="AE1539">
        <v>1.6962000000000299</v>
      </c>
      <c r="AF1539">
        <v>1.5666584639552199</v>
      </c>
      <c r="AG1539">
        <v>-1.109531552819</v>
      </c>
      <c r="AH1539">
        <v>21.400231039417601</v>
      </c>
      <c r="AI1539">
        <v>92.960032983782398</v>
      </c>
      <c r="AJ1539">
        <v>85.812985634851003</v>
      </c>
      <c r="AK1539">
        <v>21.486166888252502</v>
      </c>
      <c r="AL1539">
        <v>86.951232135750502</v>
      </c>
      <c r="AM1539">
        <v>87.043074339947495</v>
      </c>
      <c r="AN1539">
        <v>0.99999999064204104</v>
      </c>
    </row>
    <row r="1540" spans="1:40" x14ac:dyDescent="0.25">
      <c r="A1540" t="str">
        <f>"20190312154538218"</f>
        <v>20190312154538218</v>
      </c>
      <c r="B1540" t="str">
        <f>"1552376738208053"</f>
        <v>1552376738208053</v>
      </c>
      <c r="C1540" t="s">
        <v>40</v>
      </c>
      <c r="D1540">
        <v>4.173756</v>
      </c>
      <c r="E1540">
        <v>0.5091118</v>
      </c>
      <c r="F1540" t="s">
        <v>57</v>
      </c>
      <c r="G1540">
        <v>-285.9819</v>
      </c>
      <c r="H1540" s="1">
        <v>5.8418539999999999E-6</v>
      </c>
      <c r="I1540">
        <v>284.1696</v>
      </c>
      <c r="J1540">
        <v>-263.46980000000002</v>
      </c>
      <c r="K1540">
        <v>1.109534</v>
      </c>
      <c r="L1540">
        <v>282.38240000000002</v>
      </c>
      <c r="M1540">
        <v>-0.99992510000000001</v>
      </c>
      <c r="N1540">
        <v>0</v>
      </c>
      <c r="O1540">
        <v>5.9535669999999999E-3</v>
      </c>
      <c r="P1540">
        <v>-0.99741749999999996</v>
      </c>
      <c r="Q1540">
        <v>4.314598E-2</v>
      </c>
      <c r="R1540">
        <v>5.7421350000000003E-2</v>
      </c>
      <c r="S1540">
        <v>-3.0003660000000001</v>
      </c>
      <c r="T1540">
        <v>-0.1462051</v>
      </c>
      <c r="U1540">
        <v>0.23571780000000001</v>
      </c>
      <c r="V1540">
        <v>5.1494379999999999E-2</v>
      </c>
      <c r="W1540">
        <v>5.3809219999999998E-2</v>
      </c>
      <c r="X1540">
        <v>0.99722259999999996</v>
      </c>
      <c r="Y1540">
        <v>7.2306430000000005E-2</v>
      </c>
      <c r="Z1540">
        <v>1.468472E-3</v>
      </c>
      <c r="AA1540">
        <v>0.99738139999999997</v>
      </c>
      <c r="AB1540">
        <v>26</v>
      </c>
      <c r="AC1540">
        <v>-22.512099999999901</v>
      </c>
      <c r="AD1540">
        <v>-1.1095281581459999</v>
      </c>
      <c r="AE1540">
        <v>1.7871999999999799</v>
      </c>
      <c r="AF1540">
        <v>1.6491525032672401</v>
      </c>
      <c r="AG1540">
        <v>-1.1095281581459999</v>
      </c>
      <c r="AH1540">
        <v>22.468106441048398</v>
      </c>
      <c r="AI1540">
        <v>92.819531675588294</v>
      </c>
      <c r="AJ1540">
        <v>85.802034454073294</v>
      </c>
      <c r="AK1540">
        <v>22.555854312329501</v>
      </c>
      <c r="AL1540">
        <v>86.9154690904886</v>
      </c>
      <c r="AM1540">
        <v>87.043997554860994</v>
      </c>
      <c r="AN1540">
        <v>1.0000000086396701</v>
      </c>
    </row>
    <row r="1541" spans="1:40" x14ac:dyDescent="0.25">
      <c r="A1541" t="str">
        <f>"20190312154538243"</f>
        <v>20190312154538243</v>
      </c>
      <c r="B1541" t="str">
        <f>"1552376738238306"</f>
        <v>1552376738238306</v>
      </c>
      <c r="C1541" t="s">
        <v>40</v>
      </c>
      <c r="D1541">
        <v>4.225911</v>
      </c>
      <c r="E1541">
        <v>0.50892740000000003</v>
      </c>
      <c r="F1541" t="s">
        <v>57</v>
      </c>
      <c r="G1541">
        <v>-286.74709999999999</v>
      </c>
      <c r="H1541" s="1">
        <v>5.493882E-6</v>
      </c>
      <c r="I1541">
        <v>284.21129999999999</v>
      </c>
      <c r="J1541">
        <v>-263.74250000000001</v>
      </c>
      <c r="K1541">
        <v>1.1095269999999999</v>
      </c>
      <c r="L1541">
        <v>282.38409999999999</v>
      </c>
      <c r="M1541">
        <v>-0.99992539999999996</v>
      </c>
      <c r="N1541">
        <v>0</v>
      </c>
      <c r="O1541">
        <v>6.0697030000000001E-3</v>
      </c>
      <c r="P1541">
        <v>-0.99742339999999996</v>
      </c>
      <c r="Q1541">
        <v>4.3097660000000003E-2</v>
      </c>
      <c r="R1541">
        <v>5.7352609999999998E-2</v>
      </c>
      <c r="S1541">
        <v>-3.000397</v>
      </c>
      <c r="T1541">
        <v>-0.14301559999999999</v>
      </c>
      <c r="U1541">
        <v>0.23574829999999999</v>
      </c>
      <c r="V1541">
        <v>5.1309720000000003E-2</v>
      </c>
      <c r="W1541">
        <v>5.3666369999999998E-2</v>
      </c>
      <c r="X1541">
        <v>0.99723980000000001</v>
      </c>
      <c r="Y1541">
        <v>7.2203519999999993E-2</v>
      </c>
      <c r="Z1541">
        <v>1.4284879999999999E-3</v>
      </c>
      <c r="AA1541">
        <v>0.99738890000000002</v>
      </c>
      <c r="AB1541">
        <v>26</v>
      </c>
      <c r="AC1541">
        <v>-23.0045999999999</v>
      </c>
      <c r="AD1541">
        <v>-1.1095215061179999</v>
      </c>
      <c r="AE1541">
        <v>1.8271999999999999</v>
      </c>
      <c r="AF1541">
        <v>1.6836355281436901</v>
      </c>
      <c r="AG1541">
        <v>-1.1095215061179999</v>
      </c>
      <c r="AH1541">
        <v>22.962188205674799</v>
      </c>
      <c r="AI1541">
        <v>92.758957130417201</v>
      </c>
      <c r="AJ1541">
        <v>85.806458215197395</v>
      </c>
      <c r="AK1541">
        <v>23.050547797330101</v>
      </c>
      <c r="AL1541">
        <v>86.923665586697794</v>
      </c>
      <c r="AM1541">
        <v>87.054629858557107</v>
      </c>
      <c r="AN1541">
        <v>0.99999999266974704</v>
      </c>
    </row>
    <row r="1542" spans="1:40" x14ac:dyDescent="0.25">
      <c r="A1542" t="str">
        <f>"20190312154538264"</f>
        <v>20190312154538264</v>
      </c>
      <c r="B1542" t="str">
        <f>"1552376738257826"</f>
        <v>1552376738257826</v>
      </c>
      <c r="C1542" t="s">
        <v>40</v>
      </c>
      <c r="D1542">
        <v>4.1947080000000003</v>
      </c>
      <c r="E1542">
        <v>0.48264240000000003</v>
      </c>
      <c r="F1542" t="s">
        <v>57</v>
      </c>
      <c r="G1542">
        <v>-287.24250000000001</v>
      </c>
      <c r="H1542" s="1">
        <v>5.272978E-6</v>
      </c>
      <c r="I1542">
        <v>284.21710000000002</v>
      </c>
      <c r="J1542">
        <v>-264.00209999999998</v>
      </c>
      <c r="K1542">
        <v>1.109521</v>
      </c>
      <c r="L1542">
        <v>282.38580000000002</v>
      </c>
      <c r="M1542">
        <v>-0.99992539999999996</v>
      </c>
      <c r="N1542">
        <v>0</v>
      </c>
      <c r="O1542">
        <v>6.1805530000000001E-3</v>
      </c>
      <c r="P1542">
        <v>-0.99741869999999999</v>
      </c>
      <c r="Q1542">
        <v>4.2799370000000003E-2</v>
      </c>
      <c r="R1542">
        <v>5.7654820000000002E-2</v>
      </c>
      <c r="S1542">
        <v>-3.0004270000000002</v>
      </c>
      <c r="T1542">
        <v>-0.14166099999999901</v>
      </c>
      <c r="U1542">
        <v>0.23403930000000001</v>
      </c>
      <c r="V1542">
        <v>5.1501129999999999E-2</v>
      </c>
      <c r="W1542">
        <v>5.3290690000000002E-2</v>
      </c>
      <c r="X1542">
        <v>0.99725010000000003</v>
      </c>
      <c r="Y1542">
        <v>7.1529780000000001E-2</v>
      </c>
      <c r="Z1542">
        <v>1.3938959999999999E-3</v>
      </c>
      <c r="AA1542">
        <v>0.99743749999999998</v>
      </c>
      <c r="AB1542">
        <v>26</v>
      </c>
      <c r="AC1542">
        <v>-23.240400000000001</v>
      </c>
      <c r="AD1542">
        <v>-1.109515727022</v>
      </c>
      <c r="AE1542">
        <v>1.8312999999999899</v>
      </c>
      <c r="AF1542">
        <v>1.68380450098028</v>
      </c>
      <c r="AG1542">
        <v>-1.109515727022</v>
      </c>
      <c r="AH1542">
        <v>23.198727207031801</v>
      </c>
      <c r="AI1542">
        <v>92.731001324994693</v>
      </c>
      <c r="AJ1542">
        <v>85.848651068606401</v>
      </c>
      <c r="AK1542">
        <v>23.286201209564201</v>
      </c>
      <c r="AL1542">
        <v>86.945221373819805</v>
      </c>
      <c r="AM1542">
        <v>87.043692142979296</v>
      </c>
      <c r="AN1542">
        <v>1.0000000129909801</v>
      </c>
    </row>
    <row r="1543" spans="1:40" x14ac:dyDescent="0.25">
      <c r="A1543" t="str">
        <f>"20190312154538286"</f>
        <v>20190312154538286</v>
      </c>
      <c r="B1543" t="str">
        <f>"1552376738278323"</f>
        <v>1552376738278323</v>
      </c>
      <c r="C1543" t="s">
        <v>40</v>
      </c>
      <c r="D1543">
        <v>4.1904620000000001</v>
      </c>
      <c r="E1543">
        <v>0.476831</v>
      </c>
      <c r="F1543" t="s">
        <v>54</v>
      </c>
      <c r="G1543">
        <v>-353.74720000000002</v>
      </c>
      <c r="H1543" s="1">
        <v>4.5728539999999998E-7</v>
      </c>
      <c r="I1543">
        <v>283.25720000000001</v>
      </c>
      <c r="J1543">
        <v>-264.25029999999998</v>
      </c>
      <c r="K1543">
        <v>1.1095139999999999</v>
      </c>
      <c r="L1543">
        <v>282.38749999999999</v>
      </c>
      <c r="M1543">
        <v>-0.99992559999999997</v>
      </c>
      <c r="N1543">
        <v>0</v>
      </c>
      <c r="O1543">
        <v>6.2865589999999997E-3</v>
      </c>
      <c r="P1543">
        <v>-0.99740249999999997</v>
      </c>
      <c r="Q1543">
        <v>4.2624710000000003E-2</v>
      </c>
      <c r="R1543">
        <v>5.8065899999999997E-2</v>
      </c>
      <c r="S1543">
        <v>-3.0076900000000002</v>
      </c>
      <c r="T1543">
        <v>-3.7184120000000001E-2</v>
      </c>
      <c r="U1543">
        <v>2.920532E-2</v>
      </c>
      <c r="V1543">
        <v>5.1806610000000003E-2</v>
      </c>
      <c r="W1543">
        <v>5.3052130000000003E-2</v>
      </c>
      <c r="X1543">
        <v>0.99724699999999999</v>
      </c>
      <c r="Y1543">
        <v>3.4231779999999998E-3</v>
      </c>
      <c r="Z1543" s="1">
        <v>-5.656019E-5</v>
      </c>
      <c r="AA1543">
        <v>0.99999420000000006</v>
      </c>
      <c r="AB1543">
        <v>26</v>
      </c>
      <c r="AC1543">
        <v>-89.496899999999997</v>
      </c>
      <c r="AD1543">
        <v>-1.1095135427145999</v>
      </c>
      <c r="AE1543">
        <v>0.86970000000002201</v>
      </c>
      <c r="AF1543">
        <v>0.30697735216755601</v>
      </c>
      <c r="AG1543">
        <v>-1.1095135427145999</v>
      </c>
      <c r="AH1543">
        <v>89.4868469632477</v>
      </c>
      <c r="AI1543">
        <v>90.710348104939797</v>
      </c>
      <c r="AJ1543">
        <v>89.803452258179306</v>
      </c>
      <c r="AK1543">
        <v>89.494251406556401</v>
      </c>
      <c r="AL1543">
        <v>86.958909227344904</v>
      </c>
      <c r="AM1543">
        <v>87.026178898059399</v>
      </c>
      <c r="AN1543">
        <v>1.00000001617311</v>
      </c>
    </row>
    <row r="1544" spans="1:40" x14ac:dyDescent="0.25">
      <c r="A1544" t="str">
        <f>"20190312154538308"</f>
        <v>20190312154538308</v>
      </c>
      <c r="B1544" t="str">
        <f>"1552376738297843"</f>
        <v>1552376738297843</v>
      </c>
      <c r="C1544" t="s">
        <v>40</v>
      </c>
      <c r="D1544">
        <v>4.2427419999999998</v>
      </c>
      <c r="E1544">
        <v>0.4740007</v>
      </c>
      <c r="F1544" t="s">
        <v>57</v>
      </c>
      <c r="G1544">
        <v>-417.81560000000002</v>
      </c>
      <c r="H1544" s="1">
        <v>3.855855E-6</v>
      </c>
      <c r="I1544">
        <v>281.59949999999998</v>
      </c>
      <c r="J1544">
        <v>-264.51249999999999</v>
      </c>
      <c r="K1544">
        <v>1.1095060000000001</v>
      </c>
      <c r="L1544">
        <v>282.38920000000002</v>
      </c>
      <c r="M1544">
        <v>-0.99992539999999996</v>
      </c>
      <c r="N1544">
        <v>0</v>
      </c>
      <c r="O1544">
        <v>6.3982559999999997E-3</v>
      </c>
      <c r="P1544">
        <v>-0.99740399999999996</v>
      </c>
      <c r="Q1544">
        <v>4.2629769999999997E-2</v>
      </c>
      <c r="R1544">
        <v>5.8034250000000003E-2</v>
      </c>
      <c r="S1544">
        <v>-3.0095830000000001</v>
      </c>
      <c r="T1544">
        <v>-2.174425E-2</v>
      </c>
      <c r="U1544">
        <v>-1.544189E-2</v>
      </c>
      <c r="V1544">
        <v>5.1663470000000003E-2</v>
      </c>
      <c r="W1544">
        <v>5.2999749999999998E-2</v>
      </c>
      <c r="X1544">
        <v>0.99725719999999995</v>
      </c>
      <c r="Y1544">
        <v>-1.1528790000000001E-2</v>
      </c>
      <c r="Z1544" s="1">
        <v>-8.7875969999999995E-5</v>
      </c>
      <c r="AA1544">
        <v>0.99993350000000003</v>
      </c>
      <c r="AB1544">
        <v>26</v>
      </c>
      <c r="AC1544">
        <v>-153.3031</v>
      </c>
      <c r="AD1544">
        <v>-1.1095021441449999</v>
      </c>
      <c r="AE1544">
        <v>-0.78970000000003804</v>
      </c>
      <c r="AF1544">
        <v>-1.77051667574467</v>
      </c>
      <c r="AG1544">
        <v>-1.1095021441449999</v>
      </c>
      <c r="AH1544">
        <v>153.286879966291</v>
      </c>
      <c r="AI1544">
        <v>90.414676326773403</v>
      </c>
      <c r="AJ1544">
        <v>90.661756715691496</v>
      </c>
      <c r="AK1544">
        <v>153.30111967662501</v>
      </c>
      <c r="AL1544">
        <v>86.961914575303993</v>
      </c>
      <c r="AM1544">
        <v>87.034411061015902</v>
      </c>
      <c r="AN1544">
        <v>1.00000000529217</v>
      </c>
    </row>
    <row r="1545" spans="1:40" x14ac:dyDescent="0.25">
      <c r="A1545" t="str">
        <f>"20190312154538330"</f>
        <v>20190312154538330</v>
      </c>
      <c r="B1545" t="str">
        <f>"1552376738317921"</f>
        <v>1552376738317921</v>
      </c>
      <c r="C1545" t="s">
        <v>40</v>
      </c>
      <c r="D1545">
        <v>4.2363720000000002</v>
      </c>
      <c r="E1545">
        <v>0.47265770000000001</v>
      </c>
      <c r="F1545" t="s">
        <v>57</v>
      </c>
      <c r="G1545">
        <v>-428.22190000000001</v>
      </c>
      <c r="H1545" s="1">
        <v>2.8808960000000001E-6</v>
      </c>
      <c r="I1545">
        <v>280.33</v>
      </c>
      <c r="J1545">
        <v>-264.76510000000002</v>
      </c>
      <c r="K1545">
        <v>1.1094949999999999</v>
      </c>
      <c r="L1545">
        <v>282.39100000000002</v>
      </c>
      <c r="M1545">
        <v>-0.99992530000000002</v>
      </c>
      <c r="N1545">
        <v>0</v>
      </c>
      <c r="O1545">
        <v>6.5057309999999998E-3</v>
      </c>
      <c r="P1545">
        <v>-0.99741550000000001</v>
      </c>
      <c r="Q1545">
        <v>4.2347450000000002E-2</v>
      </c>
      <c r="R1545">
        <v>5.8045190000000003E-2</v>
      </c>
      <c r="S1545">
        <v>-3.0108950000000001</v>
      </c>
      <c r="T1545">
        <v>-2.0405650000000001E-2</v>
      </c>
      <c r="U1545">
        <v>-3.7872309999999999E-2</v>
      </c>
      <c r="V1545">
        <v>5.1566899999999999E-2</v>
      </c>
      <c r="W1545">
        <v>5.267024E-2</v>
      </c>
      <c r="X1545">
        <v>0.99727960000000004</v>
      </c>
      <c r="Y1545">
        <v>-1.9082140000000001E-2</v>
      </c>
      <c r="Z1545">
        <v>-1.0875049999999999E-4</v>
      </c>
      <c r="AA1545">
        <v>0.99981790000000004</v>
      </c>
      <c r="AB1545">
        <v>26</v>
      </c>
      <c r="AC1545">
        <v>-163.45679999999999</v>
      </c>
      <c r="AD1545">
        <v>-1.1094921191039999</v>
      </c>
      <c r="AE1545">
        <v>-2.0609999999999702</v>
      </c>
      <c r="AF1545">
        <v>-3.1242753637824299</v>
      </c>
      <c r="AG1545">
        <v>-1.1094921191039999</v>
      </c>
      <c r="AH1545">
        <v>163.432402892667</v>
      </c>
      <c r="AI1545">
        <v>90.388886330724105</v>
      </c>
      <c r="AJ1545">
        <v>91.0951683273735</v>
      </c>
      <c r="AK1545">
        <v>163.466028227832</v>
      </c>
      <c r="AL1545">
        <v>86.9808203471583</v>
      </c>
      <c r="AM1545">
        <v>87.040010877101693</v>
      </c>
      <c r="AN1545">
        <v>0.99999994996671204</v>
      </c>
    </row>
    <row r="1546" spans="1:40" x14ac:dyDescent="0.25">
      <c r="A1546" t="str">
        <f>"20190312154538353"</f>
        <v>20190312154538353</v>
      </c>
      <c r="B1546" t="str">
        <f>"1552376738348177"</f>
        <v>1552376738348177</v>
      </c>
      <c r="C1546" t="s">
        <v>40</v>
      </c>
      <c r="D1546">
        <v>4.2191229999999997</v>
      </c>
      <c r="E1546">
        <v>0.47146080000000001</v>
      </c>
      <c r="F1546" t="s">
        <v>57</v>
      </c>
      <c r="G1546">
        <v>-416.2321</v>
      </c>
      <c r="H1546" s="1">
        <v>3.7196540000000001E-6</v>
      </c>
      <c r="I1546">
        <v>279.9443</v>
      </c>
      <c r="J1546">
        <v>-265.03129999999999</v>
      </c>
      <c r="K1546">
        <v>1.109486</v>
      </c>
      <c r="L1546">
        <v>282.39280000000002</v>
      </c>
      <c r="M1546">
        <v>-0.99992499999999995</v>
      </c>
      <c r="N1546">
        <v>0</v>
      </c>
      <c r="O1546">
        <v>6.6190190000000003E-3</v>
      </c>
      <c r="P1546">
        <v>-0.99744370000000004</v>
      </c>
      <c r="Q1546">
        <v>4.1585709999999998E-2</v>
      </c>
      <c r="R1546">
        <v>5.8111129999999997E-2</v>
      </c>
      <c r="S1546">
        <v>-3.0115050000000001</v>
      </c>
      <c r="T1546">
        <v>-2.2059200000000001E-2</v>
      </c>
      <c r="U1546">
        <v>-4.8645019999999997E-2</v>
      </c>
      <c r="V1546">
        <v>5.1519559999999999E-2</v>
      </c>
      <c r="W1546">
        <v>5.1865969999999997E-2</v>
      </c>
      <c r="X1546">
        <v>0.99732419999999999</v>
      </c>
      <c r="Y1546">
        <v>-2.2768320000000002E-2</v>
      </c>
      <c r="Z1546">
        <v>-1.318654E-4</v>
      </c>
      <c r="AA1546">
        <v>0.99974079999999999</v>
      </c>
      <c r="AB1546">
        <v>26</v>
      </c>
      <c r="AC1546">
        <v>-151.20079999999999</v>
      </c>
      <c r="AD1546">
        <v>-1.109482280346</v>
      </c>
      <c r="AE1546">
        <v>-2.4485000000000201</v>
      </c>
      <c r="AF1546">
        <v>-3.4491148004302499</v>
      </c>
      <c r="AG1546">
        <v>-1.109482280346</v>
      </c>
      <c r="AH1546">
        <v>151.17314237949799</v>
      </c>
      <c r="AI1546">
        <v>90.420385338892203</v>
      </c>
      <c r="AJ1546">
        <v>91.307014183338893</v>
      </c>
      <c r="AK1546">
        <v>151.21655438717301</v>
      </c>
      <c r="AL1546">
        <v>87.026964708341794</v>
      </c>
      <c r="AM1546">
        <v>87.042855426093098</v>
      </c>
      <c r="AN1546">
        <v>0.999999951906136</v>
      </c>
    </row>
    <row r="1547" spans="1:40" x14ac:dyDescent="0.25">
      <c r="A1547" t="str">
        <f>"20190312154538374"</f>
        <v>20190312154538374</v>
      </c>
      <c r="B1547" t="str">
        <f>"1552376738367697"</f>
        <v>1552376738367697</v>
      </c>
      <c r="C1547" t="s">
        <v>40</v>
      </c>
      <c r="D1547">
        <v>4.227474</v>
      </c>
      <c r="E1547">
        <v>0.4710223</v>
      </c>
      <c r="F1547" t="s">
        <v>54</v>
      </c>
      <c r="G1547">
        <v>-388.42610000000002</v>
      </c>
      <c r="H1547" s="1">
        <v>2.9471320000000002E-6</v>
      </c>
      <c r="I1547">
        <v>280.01749999999998</v>
      </c>
      <c r="J1547">
        <v>-265.28859999999997</v>
      </c>
      <c r="K1547">
        <v>1.109483</v>
      </c>
      <c r="L1547">
        <v>282.3947</v>
      </c>
      <c r="M1547">
        <v>-0.9999247</v>
      </c>
      <c r="N1547">
        <v>0</v>
      </c>
      <c r="O1547">
        <v>6.7287459999999999E-3</v>
      </c>
      <c r="P1547">
        <v>-0.99748680000000001</v>
      </c>
      <c r="Q1547">
        <v>4.0495459999999997E-2</v>
      </c>
      <c r="R1547">
        <v>5.8140409999999997E-2</v>
      </c>
      <c r="S1547">
        <v>-3.0122070000000001</v>
      </c>
      <c r="T1547">
        <v>-2.708375E-2</v>
      </c>
      <c r="U1547">
        <v>-5.7983399999999997E-2</v>
      </c>
      <c r="V1547">
        <v>5.1438770000000002E-2</v>
      </c>
      <c r="W1547">
        <v>5.074116E-2</v>
      </c>
      <c r="X1547">
        <v>0.99738629999999995</v>
      </c>
      <c r="Y1547">
        <v>-2.597201E-2</v>
      </c>
      <c r="Z1547">
        <v>-1.772457E-4</v>
      </c>
      <c r="AA1547">
        <v>0.99966259999999996</v>
      </c>
      <c r="AB1547">
        <v>26</v>
      </c>
      <c r="AC1547">
        <v>-123.1375</v>
      </c>
      <c r="AD1547">
        <v>-1.109480052868</v>
      </c>
      <c r="AE1547">
        <v>-2.37720000000001</v>
      </c>
      <c r="AF1547">
        <v>-3.2054906436365398</v>
      </c>
      <c r="AG1547">
        <v>-1.109480052868</v>
      </c>
      <c r="AH1547">
        <v>123.10872521269501</v>
      </c>
      <c r="AI1547">
        <v>90.516171923082894</v>
      </c>
      <c r="AJ1547">
        <v>91.491523822170294</v>
      </c>
      <c r="AK1547">
        <v>123.155447868736</v>
      </c>
      <c r="AL1547">
        <v>87.091496766072197</v>
      </c>
      <c r="AM1547">
        <v>87.047667944611902</v>
      </c>
      <c r="AN1547">
        <v>1.0000000219024701</v>
      </c>
    </row>
    <row r="1548" spans="1:40" x14ac:dyDescent="0.25">
      <c r="A1548" t="str">
        <f>"20190312154538397"</f>
        <v>20190312154538397</v>
      </c>
      <c r="B1548" t="str">
        <f>"1552376738388193"</f>
        <v>1552376738388193</v>
      </c>
      <c r="C1548" t="s">
        <v>40</v>
      </c>
      <c r="D1548">
        <v>4.2338319999999996</v>
      </c>
      <c r="E1548">
        <v>0.47063749999999999</v>
      </c>
      <c r="F1548" t="s">
        <v>54</v>
      </c>
      <c r="G1548">
        <v>-378.19049999999999</v>
      </c>
      <c r="H1548" s="1">
        <v>2.8217780000000001E-6</v>
      </c>
      <c r="I1548">
        <v>280.10250000000002</v>
      </c>
      <c r="J1548">
        <v>-265.5521</v>
      </c>
      <c r="K1548">
        <v>1.1094820000000001</v>
      </c>
      <c r="L1548">
        <v>282.3965</v>
      </c>
      <c r="M1548">
        <v>-0.99992409999999998</v>
      </c>
      <c r="N1548">
        <v>0</v>
      </c>
      <c r="O1548">
        <v>6.8436449999999998E-3</v>
      </c>
      <c r="P1548">
        <v>-0.997506</v>
      </c>
      <c r="Q1548">
        <v>3.9723910000000001E-2</v>
      </c>
      <c r="R1548">
        <v>5.834334E-2</v>
      </c>
      <c r="S1548">
        <v>-3.0123600000000001</v>
      </c>
      <c r="T1548">
        <v>-2.960229E-2</v>
      </c>
      <c r="U1548">
        <v>-6.115723E-2</v>
      </c>
      <c r="V1548">
        <v>5.1526879999999997E-2</v>
      </c>
      <c r="W1548">
        <v>4.9940140000000001E-2</v>
      </c>
      <c r="X1548">
        <v>0.99742220000000004</v>
      </c>
      <c r="Y1548">
        <v>-2.71384E-2</v>
      </c>
      <c r="Z1548">
        <v>-2.0057469999999999E-4</v>
      </c>
      <c r="AA1548">
        <v>0.99963159999999895</v>
      </c>
      <c r="AB1548">
        <v>26</v>
      </c>
      <c r="AC1548">
        <v>-112.6384</v>
      </c>
      <c r="AD1548">
        <v>-1.1094791782219999</v>
      </c>
      <c r="AE1548">
        <v>-2.2939999999999801</v>
      </c>
      <c r="AF1548">
        <v>-3.0645467518445599</v>
      </c>
      <c r="AG1548">
        <v>-1.1094791782219999</v>
      </c>
      <c r="AH1548">
        <v>112.609140897882</v>
      </c>
      <c r="AI1548">
        <v>90.564278289956306</v>
      </c>
      <c r="AJ1548">
        <v>91.558863396631295</v>
      </c>
      <c r="AK1548">
        <v>112.656295894194</v>
      </c>
      <c r="AL1548">
        <v>87.137450150285105</v>
      </c>
      <c r="AM1548">
        <v>87.042726089611605</v>
      </c>
      <c r="AN1548">
        <v>1.00000004099929</v>
      </c>
    </row>
    <row r="1549" spans="1:40" x14ac:dyDescent="0.25">
      <c r="A1549" t="str">
        <f>"20190312154538420"</f>
        <v>20190312154538420</v>
      </c>
      <c r="B1549" t="str">
        <f>"1552376738417687"</f>
        <v>1552376738417687</v>
      </c>
      <c r="C1549" t="s">
        <v>40</v>
      </c>
      <c r="D1549">
        <v>4.2805229999999996</v>
      </c>
      <c r="E1549">
        <v>0.46990359999999998</v>
      </c>
      <c r="F1549" t="s">
        <v>54</v>
      </c>
      <c r="G1549">
        <v>-369.83120000000002</v>
      </c>
      <c r="H1549" s="1">
        <v>3.6948850000000002E-6</v>
      </c>
      <c r="I1549">
        <v>280.1961</v>
      </c>
      <c r="J1549">
        <v>-265.81979999999999</v>
      </c>
      <c r="K1549">
        <v>1.109477</v>
      </c>
      <c r="L1549">
        <v>282.39850000000001</v>
      </c>
      <c r="M1549">
        <v>-0.99992349999999997</v>
      </c>
      <c r="N1549">
        <v>0</v>
      </c>
      <c r="O1549">
        <v>6.9697250000000004E-3</v>
      </c>
      <c r="P1549">
        <v>-0.99756129999999998</v>
      </c>
      <c r="Q1549">
        <v>3.9124100000000002E-2</v>
      </c>
      <c r="R1549">
        <v>5.7800169999999998E-2</v>
      </c>
      <c r="S1549">
        <v>-3.0124819999999999</v>
      </c>
      <c r="T1549">
        <v>-3.2051320000000001E-2</v>
      </c>
      <c r="U1549">
        <v>-6.3568120000000006E-2</v>
      </c>
      <c r="V1549">
        <v>5.0858100000000003E-2</v>
      </c>
      <c r="W1549">
        <v>4.9312439999999999E-2</v>
      </c>
      <c r="X1549">
        <v>0.99748769999999998</v>
      </c>
      <c r="Y1549">
        <v>-2.806293E-2</v>
      </c>
      <c r="Z1549">
        <v>-2.2341599999999999E-4</v>
      </c>
      <c r="AA1549">
        <v>0.99960610000000005</v>
      </c>
      <c r="AB1549">
        <v>26</v>
      </c>
      <c r="AC1549">
        <v>-104.01139999999999</v>
      </c>
      <c r="AD1549">
        <v>-1.1094733051150001</v>
      </c>
      <c r="AE1549">
        <v>-2.2024000000000101</v>
      </c>
      <c r="AF1549">
        <v>-2.9269823187908699</v>
      </c>
      <c r="AG1549">
        <v>-1.1094733051150001</v>
      </c>
      <c r="AH1549">
        <v>103.98169660144799</v>
      </c>
      <c r="AI1549">
        <v>90.611074457730396</v>
      </c>
      <c r="AJ1549">
        <v>91.612393967390702</v>
      </c>
      <c r="AK1549">
        <v>104.028800745875</v>
      </c>
      <c r="AL1549">
        <v>87.173458926638503</v>
      </c>
      <c r="AM1549">
        <v>87.081233799251606</v>
      </c>
      <c r="AN1549">
        <v>0.99999998736282603</v>
      </c>
    </row>
    <row r="1550" spans="1:40" x14ac:dyDescent="0.25">
      <c r="A1550" t="str">
        <f>"20190312154538445"</f>
        <v>20190312154538445</v>
      </c>
      <c r="B1550" t="str">
        <f>"1552376738438182"</f>
        <v>1552376738438182</v>
      </c>
      <c r="C1550" t="s">
        <v>40</v>
      </c>
      <c r="D1550">
        <v>4.2546739999999996</v>
      </c>
      <c r="E1550">
        <v>0.46959210000000001</v>
      </c>
      <c r="F1550" t="s">
        <v>54</v>
      </c>
      <c r="G1550">
        <v>-359.01440000000002</v>
      </c>
      <c r="H1550" s="1">
        <v>3.2602120000000001E-6</v>
      </c>
      <c r="I1550">
        <v>280.2</v>
      </c>
      <c r="J1550">
        <v>-266.09440000000001</v>
      </c>
      <c r="K1550">
        <v>1.1094599999999999</v>
      </c>
      <c r="L1550">
        <v>282.4006</v>
      </c>
      <c r="M1550">
        <v>-0.9999228</v>
      </c>
      <c r="N1550">
        <v>0</v>
      </c>
      <c r="O1550">
        <v>7.1186660000000001E-3</v>
      </c>
      <c r="P1550">
        <v>-0.99757320000000005</v>
      </c>
      <c r="Q1550">
        <v>3.9807700000000001E-2</v>
      </c>
      <c r="R1550">
        <v>5.7127360000000002E-2</v>
      </c>
      <c r="S1550">
        <v>-3.012848</v>
      </c>
      <c r="T1550">
        <v>-3.5867690000000001E-2</v>
      </c>
      <c r="U1550">
        <v>-7.1075440000000004E-2</v>
      </c>
      <c r="V1550">
        <v>5.0038220000000001E-2</v>
      </c>
      <c r="W1550">
        <v>4.9965849999999999E-2</v>
      </c>
      <c r="X1550">
        <v>0.99749670000000001</v>
      </c>
      <c r="Y1550">
        <v>-3.0698E-2</v>
      </c>
      <c r="Z1550">
        <v>-2.674345E-4</v>
      </c>
      <c r="AA1550">
        <v>0.99952859999999999</v>
      </c>
      <c r="AB1550">
        <v>26</v>
      </c>
      <c r="AC1550">
        <v>-92.92</v>
      </c>
      <c r="AD1550">
        <v>-1.109456739788</v>
      </c>
      <c r="AE1550">
        <v>-2.2006000000000001</v>
      </c>
      <c r="AF1550">
        <v>-2.8616372552511802</v>
      </c>
      <c r="AG1550">
        <v>-1.109456739788</v>
      </c>
      <c r="AH1550">
        <v>92.888744259484398</v>
      </c>
      <c r="AI1550">
        <v>90.6839798222789</v>
      </c>
      <c r="AJ1550">
        <v>91.764561440960193</v>
      </c>
      <c r="AK1550">
        <v>92.9394355058282</v>
      </c>
      <c r="AL1550">
        <v>87.135975226125396</v>
      </c>
      <c r="AM1550">
        <v>87.128233490032898</v>
      </c>
      <c r="AN1550">
        <v>1.00000003806893</v>
      </c>
    </row>
    <row r="1551" spans="1:40" x14ac:dyDescent="0.25">
      <c r="A1551" t="str">
        <f>"20190312154538466"</f>
        <v>20190312154538466</v>
      </c>
      <c r="B1551" t="str">
        <f>"1552376738457703"</f>
        <v>1552376738457703</v>
      </c>
      <c r="C1551" t="s">
        <v>40</v>
      </c>
      <c r="D1551">
        <v>4.2466720000000002</v>
      </c>
      <c r="E1551">
        <v>0.46932420000000002</v>
      </c>
      <c r="F1551" t="s">
        <v>54</v>
      </c>
      <c r="G1551">
        <v>-356.7285</v>
      </c>
      <c r="H1551" s="1">
        <v>2.0437879999999999E-6</v>
      </c>
      <c r="I1551">
        <v>280.1277</v>
      </c>
      <c r="J1551">
        <v>-266.35879999999997</v>
      </c>
      <c r="K1551">
        <v>1.1094349999999999</v>
      </c>
      <c r="L1551">
        <v>282.40260000000001</v>
      </c>
      <c r="M1551">
        <v>-0.99992190000000003</v>
      </c>
      <c r="N1551">
        <v>0</v>
      </c>
      <c r="O1551">
        <v>7.2936019999999997E-3</v>
      </c>
      <c r="P1551">
        <v>-0.99762450000000003</v>
      </c>
      <c r="Q1551">
        <v>4.090862E-2</v>
      </c>
      <c r="R1551">
        <v>5.5429630000000001E-2</v>
      </c>
      <c r="S1551">
        <v>-3.0130919999999999</v>
      </c>
      <c r="T1551">
        <v>-3.6883470000000002E-2</v>
      </c>
      <c r="U1551">
        <v>-7.5561519999999993E-2</v>
      </c>
      <c r="V1551">
        <v>4.8168389999999998E-2</v>
      </c>
      <c r="W1551">
        <v>5.1031180000000002E-2</v>
      </c>
      <c r="X1551">
        <v>0.99753480000000005</v>
      </c>
      <c r="Y1551">
        <v>-3.2357909999999997E-2</v>
      </c>
      <c r="Z1551">
        <v>-2.8727940000000001E-4</v>
      </c>
      <c r="AA1551">
        <v>0.99947629999999998</v>
      </c>
      <c r="AB1551">
        <v>26</v>
      </c>
      <c r="AC1551">
        <v>-90.369699999999995</v>
      </c>
      <c r="AD1551">
        <v>-1.109432956212</v>
      </c>
      <c r="AE1551">
        <v>-2.2749000000000001</v>
      </c>
      <c r="AF1551">
        <v>-2.9335522052607099</v>
      </c>
      <c r="AG1551">
        <v>-1.109432956212</v>
      </c>
      <c r="AH1551">
        <v>90.337096436873694</v>
      </c>
      <c r="AI1551">
        <v>90.7032453871402</v>
      </c>
      <c r="AJ1551">
        <v>91.859934876693799</v>
      </c>
      <c r="AK1551">
        <v>90.391523732429405</v>
      </c>
      <c r="AL1551">
        <v>87.074858301076404</v>
      </c>
      <c r="AM1551">
        <v>87.235481481644101</v>
      </c>
      <c r="AN1551">
        <v>1.0000000261692099</v>
      </c>
    </row>
    <row r="1552" spans="1:40" x14ac:dyDescent="0.25">
      <c r="A1552" t="str">
        <f>"20190312154538489"</f>
        <v>20190312154538489</v>
      </c>
      <c r="B1552" t="str">
        <f>"1552376738478198"</f>
        <v>1552376738478198</v>
      </c>
      <c r="C1552" t="s">
        <v>40</v>
      </c>
      <c r="D1552">
        <v>4.2832299999999996</v>
      </c>
      <c r="E1552">
        <v>0.46915600000000002</v>
      </c>
      <c r="F1552" t="s">
        <v>54</v>
      </c>
      <c r="G1552">
        <v>-357.92340000000002</v>
      </c>
      <c r="H1552" s="1">
        <v>2.6796320000000002E-6</v>
      </c>
      <c r="I1552">
        <v>279.88760000000002</v>
      </c>
      <c r="J1552">
        <v>-266.62810000000002</v>
      </c>
      <c r="K1552">
        <v>1.1093980000000001</v>
      </c>
      <c r="L1552">
        <v>282.40480000000002</v>
      </c>
      <c r="M1552">
        <v>-0.99992080000000005</v>
      </c>
      <c r="N1552">
        <v>0</v>
      </c>
      <c r="O1552">
        <v>7.4998469999999996E-3</v>
      </c>
      <c r="P1552">
        <v>-0.99773129999999999</v>
      </c>
      <c r="Q1552">
        <v>4.1394519999999997E-2</v>
      </c>
      <c r="R1552">
        <v>5.3093759999999997E-2</v>
      </c>
      <c r="S1552">
        <v>-3.013245</v>
      </c>
      <c r="T1552">
        <v>-3.6509630000000001E-2</v>
      </c>
      <c r="U1552">
        <v>-8.2763669999999998E-2</v>
      </c>
      <c r="V1552">
        <v>4.5628950000000001E-2</v>
      </c>
      <c r="W1552">
        <v>5.1473100000000001E-2</v>
      </c>
      <c r="X1552">
        <v>0.99763139999999995</v>
      </c>
      <c r="Y1552">
        <v>-3.4949800000000003E-2</v>
      </c>
      <c r="Z1552">
        <v>-3.0254190000000001E-4</v>
      </c>
      <c r="AA1552">
        <v>0.99938910000000003</v>
      </c>
      <c r="AB1552">
        <v>26</v>
      </c>
      <c r="AC1552">
        <v>-91.295299999999997</v>
      </c>
      <c r="AD1552">
        <v>-1.10939532036799</v>
      </c>
      <c r="AE1552">
        <v>-2.5171999999999999</v>
      </c>
      <c r="AF1552">
        <v>-3.2013925800165599</v>
      </c>
      <c r="AG1552">
        <v>-1.10939532036799</v>
      </c>
      <c r="AH1552">
        <v>91.260386873062302</v>
      </c>
      <c r="AI1552">
        <v>90.696046471683005</v>
      </c>
      <c r="AJ1552">
        <v>92.009098409056605</v>
      </c>
      <c r="AK1552">
        <v>91.323260370232205</v>
      </c>
      <c r="AL1552">
        <v>87.049504592052898</v>
      </c>
      <c r="AM1552">
        <v>87.381271719747502</v>
      </c>
      <c r="AN1552">
        <v>0.99999994568383399</v>
      </c>
    </row>
    <row r="1553" spans="1:40" x14ac:dyDescent="0.25">
      <c r="A1553" t="str">
        <f>"20190312154538510"</f>
        <v>20190312154538510</v>
      </c>
      <c r="B1553" t="str">
        <f>"1552376738508455"</f>
        <v>1552376738508455</v>
      </c>
      <c r="C1553" t="s">
        <v>40</v>
      </c>
      <c r="D1553">
        <v>4.2397239999999998</v>
      </c>
      <c r="E1553">
        <v>0.468941</v>
      </c>
      <c r="F1553" t="s">
        <v>54</v>
      </c>
      <c r="G1553">
        <v>-358.77030000000002</v>
      </c>
      <c r="H1553">
        <v>2.0588410000000001E-2</v>
      </c>
      <c r="I1553">
        <v>279.61630000000002</v>
      </c>
      <c r="J1553">
        <v>-266.88529999999997</v>
      </c>
      <c r="K1553">
        <v>1.109362</v>
      </c>
      <c r="L1553">
        <v>282.40699999999998</v>
      </c>
      <c r="M1553">
        <v>-0.99991949999999996</v>
      </c>
      <c r="N1553">
        <v>0</v>
      </c>
      <c r="O1553">
        <v>7.728436E-3</v>
      </c>
      <c r="P1553">
        <v>-0.9978283</v>
      </c>
      <c r="Q1553">
        <v>4.1150289999999999E-2</v>
      </c>
      <c r="R1553">
        <v>5.1434390000000003E-2</v>
      </c>
      <c r="S1553">
        <v>-3.013153</v>
      </c>
      <c r="T1553">
        <v>-3.5605310000000001E-2</v>
      </c>
      <c r="U1553">
        <v>-9.1186519999999993E-2</v>
      </c>
      <c r="V1553">
        <v>4.3743600000000001E-2</v>
      </c>
      <c r="W1553">
        <v>5.1175940000000003E-2</v>
      </c>
      <c r="X1553">
        <v>0.99773120000000004</v>
      </c>
      <c r="Y1553">
        <v>-3.7970179999999999E-2</v>
      </c>
      <c r="Z1553">
        <v>-3.155872E-4</v>
      </c>
      <c r="AA1553">
        <v>0.99927880000000002</v>
      </c>
      <c r="AB1553">
        <v>26</v>
      </c>
      <c r="AC1553">
        <v>-91.885000000000005</v>
      </c>
      <c r="AD1553">
        <v>-1.08877359</v>
      </c>
      <c r="AE1553">
        <v>-2.79069999999995</v>
      </c>
      <c r="AF1553">
        <v>-3.5002889389568201</v>
      </c>
      <c r="AG1553">
        <v>-1.08877359</v>
      </c>
      <c r="AH1553">
        <v>91.847802650600499</v>
      </c>
      <c r="AI1553">
        <v>90.678665830053006</v>
      </c>
      <c r="AJ1553">
        <v>92.1824667741936</v>
      </c>
      <c r="AK1553">
        <v>91.920924181222901</v>
      </c>
      <c r="AL1553">
        <v>87.066553275161894</v>
      </c>
      <c r="AM1553">
        <v>87.489584757151803</v>
      </c>
      <c r="AN1553">
        <v>1.0000000134146401</v>
      </c>
    </row>
    <row r="1554" spans="1:40" x14ac:dyDescent="0.25">
      <c r="A1554" t="str">
        <f>"20190312154538532"</f>
        <v>20190312154538532</v>
      </c>
      <c r="B1554" t="str">
        <f>"1552376738528410"</f>
        <v>1552376738528410</v>
      </c>
      <c r="C1554" t="s">
        <v>40</v>
      </c>
      <c r="D1554">
        <v>4.2377070000000003</v>
      </c>
      <c r="E1554">
        <v>0.46886440000000001</v>
      </c>
      <c r="F1554" t="s">
        <v>54</v>
      </c>
      <c r="G1554">
        <v>-354.84690000000001</v>
      </c>
      <c r="H1554">
        <v>8.0000039999999994E-2</v>
      </c>
      <c r="I1554">
        <v>279.54180000000002</v>
      </c>
      <c r="J1554">
        <v>-267.13260000000002</v>
      </c>
      <c r="K1554">
        <v>1.109326</v>
      </c>
      <c r="L1554">
        <v>282.4092</v>
      </c>
      <c r="M1554">
        <v>-0.99991830000000004</v>
      </c>
      <c r="N1554">
        <v>0</v>
      </c>
      <c r="O1554">
        <v>7.9819569999999996E-3</v>
      </c>
      <c r="P1554">
        <v>-0.99787950000000003</v>
      </c>
      <c r="Q1554">
        <v>4.1301440000000002E-2</v>
      </c>
      <c r="R1554">
        <v>5.0312599999999999E-2</v>
      </c>
      <c r="S1554">
        <v>-3.0130309999999998</v>
      </c>
      <c r="T1554">
        <v>-3.5259720000000001E-2</v>
      </c>
      <c r="U1554">
        <v>-9.8144529999999994E-2</v>
      </c>
      <c r="V1554">
        <v>4.2371800000000001E-2</v>
      </c>
      <c r="W1554">
        <v>5.1255000000000002E-2</v>
      </c>
      <c r="X1554">
        <v>0.99778630000000001</v>
      </c>
      <c r="Y1554">
        <v>-4.0529849999999999E-2</v>
      </c>
      <c r="Z1554">
        <v>-3.3046470000000001E-4</v>
      </c>
      <c r="AA1554">
        <v>0.99917829999999996</v>
      </c>
      <c r="AB1554">
        <v>26</v>
      </c>
      <c r="AC1554">
        <v>-87.714299999999895</v>
      </c>
      <c r="AD1554">
        <v>-1.02932596</v>
      </c>
      <c r="AE1554">
        <v>-2.8673999999999702</v>
      </c>
      <c r="AF1554">
        <v>-3.56698463011953</v>
      </c>
      <c r="AG1554">
        <v>-1.02932596</v>
      </c>
      <c r="AH1554">
        <v>87.6765558242504</v>
      </c>
      <c r="AI1554">
        <v>90.672067734963406</v>
      </c>
      <c r="AJ1554">
        <v>92.329705121455305</v>
      </c>
      <c r="AK1554">
        <v>87.755121403177</v>
      </c>
      <c r="AL1554">
        <v>87.0620173978689</v>
      </c>
      <c r="AM1554">
        <v>87.568349509829204</v>
      </c>
      <c r="AN1554">
        <v>0.99999997246396399</v>
      </c>
    </row>
    <row r="1555" spans="1:40" x14ac:dyDescent="0.25">
      <c r="A1555" t="str">
        <f>"20190312154538554"</f>
        <v>20190312154538554</v>
      </c>
      <c r="B1555" t="str">
        <f>"1552376738547930"</f>
        <v>1552376738547930</v>
      </c>
      <c r="C1555" t="s">
        <v>40</v>
      </c>
      <c r="D1555">
        <v>4.2448370000000004</v>
      </c>
      <c r="E1555">
        <v>0.46887400000000001</v>
      </c>
      <c r="F1555" t="s">
        <v>54</v>
      </c>
      <c r="G1555">
        <v>-355.68279999999999</v>
      </c>
      <c r="H1555">
        <v>8.0001260000000005E-2</v>
      </c>
      <c r="I1555">
        <v>279.40370000000001</v>
      </c>
      <c r="J1555">
        <v>-267.40499999999997</v>
      </c>
      <c r="K1555">
        <v>1.109278</v>
      </c>
      <c r="L1555">
        <v>282.4117</v>
      </c>
      <c r="M1555">
        <v>-0.99991669999999999</v>
      </c>
      <c r="N1555">
        <v>0</v>
      </c>
      <c r="O1555">
        <v>8.3011070000000003E-3</v>
      </c>
      <c r="P1555">
        <v>-0.99787020000000004</v>
      </c>
      <c r="Q1555">
        <v>4.1448770000000003E-2</v>
      </c>
      <c r="R1555">
        <v>5.0369669999999998E-2</v>
      </c>
      <c r="S1555">
        <v>-3.0129700000000001</v>
      </c>
      <c r="T1555">
        <v>-3.5023329999999998E-2</v>
      </c>
      <c r="U1555">
        <v>-0.10226440000000001</v>
      </c>
      <c r="V1555">
        <v>4.2113409999999997E-2</v>
      </c>
      <c r="W1555">
        <v>5.1294520000000003E-2</v>
      </c>
      <c r="X1555">
        <v>0.99779519999999999</v>
      </c>
      <c r="Y1555">
        <v>-4.2214019999999998E-2</v>
      </c>
      <c r="Z1555">
        <v>-3.4174280000000002E-4</v>
      </c>
      <c r="AA1555">
        <v>0.99910860000000001</v>
      </c>
      <c r="AB1555">
        <v>26</v>
      </c>
      <c r="AC1555">
        <v>-88.277799999999999</v>
      </c>
      <c r="AD1555">
        <v>-1.02927674</v>
      </c>
      <c r="AE1555">
        <v>-3.00799999999998</v>
      </c>
      <c r="AF1555">
        <v>-3.7402277345369002</v>
      </c>
      <c r="AG1555">
        <v>-1.02927674</v>
      </c>
      <c r="AH1555">
        <v>88.237805636826707</v>
      </c>
      <c r="AI1555">
        <v>90.667714215001396</v>
      </c>
      <c r="AJ1555">
        <v>92.427202865380806</v>
      </c>
      <c r="AK1555">
        <v>88.323038091520104</v>
      </c>
      <c r="AL1555">
        <v>87.059750061568394</v>
      </c>
      <c r="AM1555">
        <v>87.583181997204207</v>
      </c>
      <c r="AN1555">
        <v>0.99999996411344805</v>
      </c>
    </row>
    <row r="1556" spans="1:40" x14ac:dyDescent="0.25">
      <c r="A1556" t="str">
        <f>"20190312154538577"</f>
        <v>20190312154538577</v>
      </c>
      <c r="B1556" t="str">
        <f>"1552376738568425"</f>
        <v>1552376738568425</v>
      </c>
      <c r="C1556" t="s">
        <v>40</v>
      </c>
      <c r="D1556">
        <v>4.2192920000000003</v>
      </c>
      <c r="E1556">
        <v>0.46897359999999999</v>
      </c>
      <c r="F1556" t="s">
        <v>54</v>
      </c>
      <c r="G1556">
        <v>-356.53449999999998</v>
      </c>
      <c r="H1556">
        <v>8.0001009999999997E-2</v>
      </c>
      <c r="I1556">
        <v>279.38749999999999</v>
      </c>
      <c r="J1556">
        <v>-267.66669999999999</v>
      </c>
      <c r="K1556">
        <v>1.109226</v>
      </c>
      <c r="L1556">
        <v>282.41419999999999</v>
      </c>
      <c r="M1556">
        <v>-0.99991509999999995</v>
      </c>
      <c r="N1556">
        <v>0</v>
      </c>
      <c r="O1556">
        <v>8.6417270000000001E-3</v>
      </c>
      <c r="P1556">
        <v>-0.99783029999999995</v>
      </c>
      <c r="Q1556">
        <v>4.1998519999999998E-2</v>
      </c>
      <c r="R1556">
        <v>5.0702940000000002E-2</v>
      </c>
      <c r="S1556">
        <v>-3.0129999999999999</v>
      </c>
      <c r="T1556">
        <v>-3.4794449999999998E-2</v>
      </c>
      <c r="U1556">
        <v>-0.1022339</v>
      </c>
      <c r="V1556">
        <v>4.2110309999999998E-2</v>
      </c>
      <c r="W1556">
        <v>5.1711199999999999E-2</v>
      </c>
      <c r="X1556">
        <v>0.99777389999999999</v>
      </c>
      <c r="Y1556">
        <v>-4.2543900000000003E-2</v>
      </c>
      <c r="Z1556">
        <v>-3.4534289999999998E-4</v>
      </c>
      <c r="AA1556">
        <v>0.9990945</v>
      </c>
      <c r="AB1556">
        <v>26</v>
      </c>
      <c r="AC1556">
        <v>-88.867799999999903</v>
      </c>
      <c r="AD1556">
        <v>-1.0292249899999999</v>
      </c>
      <c r="AE1556">
        <v>-3.0266999999999999</v>
      </c>
      <c r="AF1556">
        <v>-3.7940864444084301</v>
      </c>
      <c r="AG1556">
        <v>-1.0292249899999999</v>
      </c>
      <c r="AH1556">
        <v>88.826423519758293</v>
      </c>
      <c r="AI1556">
        <v>90.663247418063605</v>
      </c>
      <c r="AJ1556">
        <v>92.445815941812796</v>
      </c>
      <c r="AK1556">
        <v>88.9133730736785</v>
      </c>
      <c r="AL1556">
        <v>87.035844556573693</v>
      </c>
      <c r="AM1556">
        <v>87.583308161963501</v>
      </c>
      <c r="AN1556">
        <v>1.0000000409674701</v>
      </c>
    </row>
    <row r="1557" spans="1:40" x14ac:dyDescent="0.25">
      <c r="A1557" t="str">
        <f>"20190312154538599"</f>
        <v>20190312154538599</v>
      </c>
      <c r="B1557" t="str">
        <f>"1552376738587953"</f>
        <v>1552376738587953</v>
      </c>
      <c r="C1557" t="s">
        <v>40</v>
      </c>
      <c r="D1557">
        <v>4.1893799999999999</v>
      </c>
      <c r="E1557">
        <v>0.46903489999999998</v>
      </c>
      <c r="F1557" t="s">
        <v>54</v>
      </c>
      <c r="G1557">
        <v>-362.56869999999998</v>
      </c>
      <c r="H1557">
        <v>8.0000710000000003E-2</v>
      </c>
      <c r="I1557">
        <v>279.25560000000002</v>
      </c>
      <c r="J1557">
        <v>-267.93709999999999</v>
      </c>
      <c r="K1557">
        <v>1.1091740000000001</v>
      </c>
      <c r="L1557">
        <v>282.41699999999997</v>
      </c>
      <c r="M1557">
        <v>-0.9999133</v>
      </c>
      <c r="N1557">
        <v>0</v>
      </c>
      <c r="O1557">
        <v>9.0216729999999992E-3</v>
      </c>
      <c r="P1557">
        <v>-0.99775950000000002</v>
      </c>
      <c r="Q1557">
        <v>4.191802E-2</v>
      </c>
      <c r="R1557">
        <v>5.214303E-2</v>
      </c>
      <c r="S1557">
        <v>-3.0129700000000001</v>
      </c>
      <c r="T1557">
        <v>-3.26761E-2</v>
      </c>
      <c r="U1557">
        <v>-0.1002808</v>
      </c>
      <c r="V1557">
        <v>4.317418E-2</v>
      </c>
      <c r="W1557">
        <v>5.1461189999999997E-2</v>
      </c>
      <c r="X1557">
        <v>0.99774130000000005</v>
      </c>
      <c r="Y1557">
        <v>-4.2277339999999997E-2</v>
      </c>
      <c r="Z1557">
        <v>-3.2700029999999997E-4</v>
      </c>
      <c r="AA1557">
        <v>0.99910589999999999</v>
      </c>
      <c r="AB1557">
        <v>27</v>
      </c>
      <c r="AC1557">
        <v>-94.631600000000006</v>
      </c>
      <c r="AD1557">
        <v>-1.0291732899999999</v>
      </c>
      <c r="AE1557">
        <v>-3.1614000000000102</v>
      </c>
      <c r="AF1557">
        <v>-4.0145716505726901</v>
      </c>
      <c r="AG1557">
        <v>-1.0291732899999999</v>
      </c>
      <c r="AH1557">
        <v>94.588050846935801</v>
      </c>
      <c r="AI1557">
        <v>90.622826299552401</v>
      </c>
      <c r="AJ1557">
        <v>92.430328591979304</v>
      </c>
      <c r="AK1557">
        <v>94.678800933582494</v>
      </c>
      <c r="AL1557">
        <v>87.050188000020398</v>
      </c>
      <c r="AM1557">
        <v>87.522247436195698</v>
      </c>
      <c r="AN1557">
        <v>0.99999998281028901</v>
      </c>
    </row>
    <row r="1558" spans="1:40" x14ac:dyDescent="0.25">
      <c r="A1558" t="str">
        <f>"20190312154538622"</f>
        <v>20190312154538622</v>
      </c>
      <c r="B1558" t="str">
        <f>"1552376738608442"</f>
        <v>1552376738608442</v>
      </c>
      <c r="C1558" t="s">
        <v>40</v>
      </c>
      <c r="D1558">
        <v>4.1370110000000002</v>
      </c>
      <c r="E1558">
        <v>0.4691977</v>
      </c>
      <c r="F1558" t="s">
        <v>54</v>
      </c>
      <c r="G1558">
        <v>-363.59019999999998</v>
      </c>
      <c r="H1558">
        <v>8.0000399999999902E-2</v>
      </c>
      <c r="I1558">
        <v>279.38650000000001</v>
      </c>
      <c r="J1558">
        <v>-268.2081</v>
      </c>
      <c r="K1558">
        <v>1.109119</v>
      </c>
      <c r="L1558">
        <v>282.41989999999998</v>
      </c>
      <c r="M1558">
        <v>-0.99991160000000001</v>
      </c>
      <c r="N1558">
        <v>0</v>
      </c>
      <c r="O1558">
        <v>9.4223069999999996E-3</v>
      </c>
      <c r="P1558">
        <v>-0.99767269999999997</v>
      </c>
      <c r="Q1558">
        <v>4.1960940000000002E-2</v>
      </c>
      <c r="R1558">
        <v>5.3746639999999998E-2</v>
      </c>
      <c r="S1558">
        <v>-3.0130919999999999</v>
      </c>
      <c r="T1558">
        <v>-3.2419200000000002E-2</v>
      </c>
      <c r="U1558">
        <v>-9.5458979999999999E-2</v>
      </c>
      <c r="V1558">
        <v>4.4380379999999997E-2</v>
      </c>
      <c r="W1558">
        <v>5.1301670000000001E-2</v>
      </c>
      <c r="X1558">
        <v>0.99769660000000004</v>
      </c>
      <c r="Y1558">
        <v>-4.1079190000000002E-2</v>
      </c>
      <c r="Z1558">
        <v>-3.2229049999999999E-4</v>
      </c>
      <c r="AA1558">
        <v>0.99915580000000004</v>
      </c>
      <c r="AB1558">
        <v>27</v>
      </c>
      <c r="AC1558">
        <v>-95.382099999999895</v>
      </c>
      <c r="AD1558">
        <v>-1.0291186000000001</v>
      </c>
      <c r="AE1558">
        <v>-3.0333999999999701</v>
      </c>
      <c r="AF1558">
        <v>-3.9315670945713399</v>
      </c>
      <c r="AG1558">
        <v>-1.0291186000000001</v>
      </c>
      <c r="AH1558">
        <v>95.338195364734204</v>
      </c>
      <c r="AI1558">
        <v>90.617924381574099</v>
      </c>
      <c r="AJ1558">
        <v>92.361431726240198</v>
      </c>
      <c r="AK1558">
        <v>95.424775610510196</v>
      </c>
      <c r="AL1558">
        <v>87.059339940381506</v>
      </c>
      <c r="AM1558">
        <v>87.452999955906606</v>
      </c>
      <c r="AN1558">
        <v>0.99999999256264605</v>
      </c>
    </row>
    <row r="1559" spans="1:40" x14ac:dyDescent="0.25">
      <c r="A1559" t="str">
        <f>"20190312154538644"</f>
        <v>20190312154538644</v>
      </c>
      <c r="B1559" t="str">
        <f>"1552376738638228"</f>
        <v>1552376738638228</v>
      </c>
      <c r="C1559" t="s">
        <v>40</v>
      </c>
      <c r="D1559">
        <v>4.2079370000000003</v>
      </c>
      <c r="E1559">
        <v>0.48615760000000002</v>
      </c>
      <c r="F1559" t="s">
        <v>54</v>
      </c>
      <c r="G1559">
        <v>-365.65879999999999</v>
      </c>
      <c r="H1559">
        <v>8.0001260000000005E-2</v>
      </c>
      <c r="I1559">
        <v>279.529</v>
      </c>
      <c r="J1559">
        <v>-268.46809999999999</v>
      </c>
      <c r="K1559">
        <v>1.1090629999999999</v>
      </c>
      <c r="L1559">
        <v>282.42270000000002</v>
      </c>
      <c r="M1559">
        <v>-0.99990979999999996</v>
      </c>
      <c r="N1559">
        <v>0</v>
      </c>
      <c r="O1559">
        <v>9.8182919999999993E-3</v>
      </c>
      <c r="P1559">
        <v>-0.99765090000000001</v>
      </c>
      <c r="Q1559">
        <v>4.0879270000000002E-2</v>
      </c>
      <c r="R1559">
        <v>5.49703E-2</v>
      </c>
      <c r="S1559">
        <v>-3.013153</v>
      </c>
      <c r="T1559">
        <v>-3.1820059999999997E-2</v>
      </c>
      <c r="U1559">
        <v>-8.9385989999999999E-2</v>
      </c>
      <c r="V1559">
        <v>4.5209199999999998E-2</v>
      </c>
      <c r="W1559">
        <v>4.9997279999999998E-2</v>
      </c>
      <c r="X1559">
        <v>0.99772559999999999</v>
      </c>
      <c r="Y1559">
        <v>-3.9462440000000001E-2</v>
      </c>
      <c r="Z1559">
        <v>-3.119838E-4</v>
      </c>
      <c r="AA1559">
        <v>0.99922100000000003</v>
      </c>
      <c r="AB1559">
        <v>27</v>
      </c>
      <c r="AC1559">
        <v>-97.190700000000007</v>
      </c>
      <c r="AD1559">
        <v>-1.0290617399999999</v>
      </c>
      <c r="AE1559">
        <v>-2.8937000000000199</v>
      </c>
      <c r="AF1559">
        <v>-3.84741631906908</v>
      </c>
      <c r="AG1559">
        <v>-1.0290617399999999</v>
      </c>
      <c r="AH1559">
        <v>97.146721372898099</v>
      </c>
      <c r="AI1559">
        <v>90.6064281763623</v>
      </c>
      <c r="AJ1559">
        <v>92.267967145341302</v>
      </c>
      <c r="AK1559">
        <v>97.228324339672099</v>
      </c>
      <c r="AL1559">
        <v>87.134172017884396</v>
      </c>
      <c r="AM1559">
        <v>87.405573499922397</v>
      </c>
      <c r="AN1559">
        <v>0.99999998633369902</v>
      </c>
    </row>
    <row r="1560" spans="1:40" x14ac:dyDescent="0.25">
      <c r="A1560" t="str">
        <f>"20190312154538666"</f>
        <v>20190312154538666</v>
      </c>
      <c r="B1560" t="str">
        <f>"1552376738658724"</f>
        <v>1552376738658724</v>
      </c>
      <c r="C1560" t="s">
        <v>40</v>
      </c>
      <c r="D1560">
        <v>4.1236129999999998</v>
      </c>
      <c r="E1560">
        <v>0.49859409999999998</v>
      </c>
      <c r="F1560" t="s">
        <v>57</v>
      </c>
      <c r="G1560">
        <v>-301.16899999999998</v>
      </c>
      <c r="H1560" s="1">
        <v>3.9042090000000003E-6</v>
      </c>
      <c r="I1560">
        <v>282.93520000000001</v>
      </c>
      <c r="J1560">
        <v>-268.74290000000002</v>
      </c>
      <c r="K1560">
        <v>1.109003</v>
      </c>
      <c r="L1560">
        <v>282.42590000000001</v>
      </c>
      <c r="M1560">
        <v>-0.99990800000000002</v>
      </c>
      <c r="N1560">
        <v>0</v>
      </c>
      <c r="O1560">
        <v>1.024395E-2</v>
      </c>
      <c r="P1560">
        <v>-0.99764260000000005</v>
      </c>
      <c r="Q1560">
        <v>3.9513560000000003E-2</v>
      </c>
      <c r="R1560">
        <v>5.6109119999999998E-2</v>
      </c>
      <c r="S1560">
        <v>-3.0086059999999999</v>
      </c>
      <c r="T1560">
        <v>-0.1020377</v>
      </c>
      <c r="U1560">
        <v>4.7149660000000003E-2</v>
      </c>
      <c r="V1560">
        <v>4.5922400000000002E-2</v>
      </c>
      <c r="W1560">
        <v>4.8366100000000002E-2</v>
      </c>
      <c r="X1560">
        <v>0.99777349999999998</v>
      </c>
      <c r="Y1560">
        <v>5.428525E-3</v>
      </c>
      <c r="Z1560">
        <v>-2.5528440000000002E-4</v>
      </c>
      <c r="AA1560">
        <v>0.99998520000000002</v>
      </c>
      <c r="AB1560">
        <v>27</v>
      </c>
      <c r="AC1560">
        <v>-32.426099999999998</v>
      </c>
      <c r="AD1560">
        <v>-1.1089990957910001</v>
      </c>
      <c r="AE1560">
        <v>0.50929999999999598</v>
      </c>
      <c r="AF1560">
        <v>0.17688195009089999</v>
      </c>
      <c r="AG1560">
        <v>-1.1089990957910001</v>
      </c>
      <c r="AH1560">
        <v>32.391736761985698</v>
      </c>
      <c r="AI1560">
        <v>91.960846132211302</v>
      </c>
      <c r="AJ1560">
        <v>89.6871273512497</v>
      </c>
      <c r="AK1560">
        <v>32.411198322131</v>
      </c>
      <c r="AL1560">
        <v>87.227745178581898</v>
      </c>
      <c r="AM1560">
        <v>87.364828580282904</v>
      </c>
      <c r="AN1560">
        <v>1.0000000518765999</v>
      </c>
    </row>
    <row r="1561" spans="1:40" x14ac:dyDescent="0.25">
      <c r="A1561" t="str">
        <f>"20190312154538690"</f>
        <v>20190312154538690</v>
      </c>
      <c r="B1561" t="str">
        <f>"1552376738678245"</f>
        <v>1552376738678245</v>
      </c>
      <c r="C1561" t="s">
        <v>40</v>
      </c>
      <c r="D1561">
        <v>4.1829029999999996</v>
      </c>
      <c r="E1561">
        <v>0.52392419999999995</v>
      </c>
      <c r="F1561" t="s">
        <v>41</v>
      </c>
      <c r="G1561">
        <v>-269.67669999999998</v>
      </c>
      <c r="H1561">
        <v>1.0428660000000001</v>
      </c>
      <c r="I1561">
        <v>282.4717</v>
      </c>
      <c r="J1561">
        <v>-269.02910000000003</v>
      </c>
      <c r="K1561">
        <v>1.1089519999999999</v>
      </c>
      <c r="L1561">
        <v>282.42930000000001</v>
      </c>
      <c r="M1561">
        <v>-0.99990590000000001</v>
      </c>
      <c r="N1561">
        <v>0</v>
      </c>
      <c r="O1561">
        <v>1.068908E-2</v>
      </c>
      <c r="P1561">
        <v>-0.99760470000000001</v>
      </c>
      <c r="Q1561">
        <v>3.9023849999999999E-2</v>
      </c>
      <c r="R1561">
        <v>5.7115020000000002E-2</v>
      </c>
      <c r="S1561">
        <v>-3.0073240000000001</v>
      </c>
      <c r="T1561">
        <v>-0.21315529999999999</v>
      </c>
      <c r="U1561">
        <v>0.14654539999999999</v>
      </c>
      <c r="V1561">
        <v>4.6484079999999997E-2</v>
      </c>
      <c r="W1561">
        <v>4.7581650000000003E-2</v>
      </c>
      <c r="X1561">
        <v>0.99778520000000004</v>
      </c>
      <c r="Y1561">
        <v>3.7924010000000001E-2</v>
      </c>
      <c r="Z1561">
        <v>5.8532539999999996E-4</v>
      </c>
      <c r="AA1561">
        <v>0.99928050000000002</v>
      </c>
      <c r="AB1561">
        <v>27</v>
      </c>
      <c r="AC1561">
        <v>-0.64759999999995399</v>
      </c>
      <c r="AD1561">
        <v>-6.6085999999999798E-2</v>
      </c>
      <c r="AE1561">
        <v>4.23999999999864E-2</v>
      </c>
      <c r="AF1561">
        <v>3.5110998492972098E-2</v>
      </c>
      <c r="AG1561">
        <v>-6.6085999999999798E-2</v>
      </c>
      <c r="AH1561">
        <v>0.64136574861186801</v>
      </c>
      <c r="AI1561">
        <v>95.874232400198395</v>
      </c>
      <c r="AJ1561">
        <v>86.866521180454797</v>
      </c>
      <c r="AK1561">
        <v>0.64571678397238197</v>
      </c>
      <c r="AL1561">
        <v>87.272742641279393</v>
      </c>
      <c r="AM1561">
        <v>87.332675119883405</v>
      </c>
      <c r="AN1561">
        <v>1.0000000442246</v>
      </c>
    </row>
    <row r="1562" spans="1:40" x14ac:dyDescent="0.25">
      <c r="A1562" t="str">
        <f>"20190312154538709"</f>
        <v>20190312154538709</v>
      </c>
      <c r="B1562" t="str">
        <f>"1552376738697764"</f>
        <v>1552376738697764</v>
      </c>
      <c r="C1562" t="s">
        <v>40</v>
      </c>
      <c r="D1562">
        <v>4.1104450000000003</v>
      </c>
      <c r="E1562">
        <v>0.52573530000000002</v>
      </c>
      <c r="F1562" t="s">
        <v>41</v>
      </c>
      <c r="G1562">
        <v>-269.86939999999998</v>
      </c>
      <c r="H1562">
        <v>0.94174290000000005</v>
      </c>
      <c r="I1562">
        <v>282.52390000000003</v>
      </c>
      <c r="J1562">
        <v>-269.26929999999999</v>
      </c>
      <c r="K1562">
        <v>1.1089070000000001</v>
      </c>
      <c r="L1562">
        <v>282.43220000000002</v>
      </c>
      <c r="M1562">
        <v>-0.99990400000000002</v>
      </c>
      <c r="N1562">
        <v>0</v>
      </c>
      <c r="O1562">
        <v>1.106181E-2</v>
      </c>
      <c r="P1562">
        <v>-0.99758590000000003</v>
      </c>
      <c r="Q1562">
        <v>3.8800040000000001E-2</v>
      </c>
      <c r="R1562">
        <v>5.7593800000000001E-2</v>
      </c>
      <c r="S1562">
        <v>-3.0112299999999999</v>
      </c>
      <c r="T1562">
        <v>-0.59920240000000002</v>
      </c>
      <c r="U1562">
        <v>0.33877560000000001</v>
      </c>
      <c r="V1562">
        <v>4.6590680000000002E-2</v>
      </c>
      <c r="W1562">
        <v>4.709344E-2</v>
      </c>
      <c r="X1562">
        <v>0.99780329999999995</v>
      </c>
      <c r="Y1562">
        <v>9.9094989999999994E-2</v>
      </c>
      <c r="Z1562">
        <v>7.5610149999999999E-3</v>
      </c>
      <c r="AA1562">
        <v>0.99504919999999997</v>
      </c>
      <c r="AB1562">
        <v>27</v>
      </c>
      <c r="AC1562">
        <v>-0.60009999999999697</v>
      </c>
      <c r="AD1562">
        <v>-0.16716409999999901</v>
      </c>
      <c r="AE1562">
        <v>9.1700000000003001E-2</v>
      </c>
      <c r="AF1562">
        <v>7.9061127367373293E-2</v>
      </c>
      <c r="AG1562">
        <v>-0.16716409999999901</v>
      </c>
      <c r="AH1562">
        <v>0.55871306536356102</v>
      </c>
      <c r="AI1562">
        <v>106.501587165301</v>
      </c>
      <c r="AJ1562">
        <v>81.945790874999801</v>
      </c>
      <c r="AK1562">
        <v>0.58851914802949001</v>
      </c>
      <c r="AL1562">
        <v>87.300746164147398</v>
      </c>
      <c r="AM1562">
        <v>87.326615544731695</v>
      </c>
      <c r="AN1562">
        <v>0.99999995452239199</v>
      </c>
    </row>
    <row r="1563" spans="1:40" x14ac:dyDescent="0.25">
      <c r="A1563" t="str">
        <f>"20190312154538733"</f>
        <v>20190312154538733</v>
      </c>
      <c r="B1563" t="str">
        <f>"1552376738728020"</f>
        <v>1552376738728020</v>
      </c>
      <c r="C1563" t="s">
        <v>40</v>
      </c>
      <c r="D1563">
        <v>4.1128669999999996</v>
      </c>
      <c r="E1563">
        <v>0.52581230000000001</v>
      </c>
      <c r="F1563" t="s">
        <v>41</v>
      </c>
      <c r="G1563">
        <v>-270.10680000000002</v>
      </c>
      <c r="H1563">
        <v>0.92848969999999997</v>
      </c>
      <c r="I1563">
        <v>282.53070000000002</v>
      </c>
      <c r="J1563">
        <v>-269.55549999999999</v>
      </c>
      <c r="K1563">
        <v>1.1088499999999999</v>
      </c>
      <c r="L1563">
        <v>282.4359</v>
      </c>
      <c r="M1563">
        <v>-0.99990199999999996</v>
      </c>
      <c r="N1563">
        <v>0</v>
      </c>
      <c r="O1563">
        <v>1.1503370000000001E-2</v>
      </c>
      <c r="P1563">
        <v>-0.9975695</v>
      </c>
      <c r="Q1563">
        <v>3.8595549999999999E-2</v>
      </c>
      <c r="R1563">
        <v>5.8015230000000001E-2</v>
      </c>
      <c r="S1563">
        <v>-3.012146</v>
      </c>
      <c r="T1563">
        <v>-0.64887490000000003</v>
      </c>
      <c r="U1563">
        <v>0.3525085</v>
      </c>
      <c r="V1563">
        <v>4.6571149999999999E-2</v>
      </c>
      <c r="W1563">
        <v>4.6538540000000003E-2</v>
      </c>
      <c r="X1563">
        <v>0.99783029999999995</v>
      </c>
      <c r="Y1563">
        <v>0.1027381</v>
      </c>
      <c r="Z1563">
        <v>8.4629149999999997E-3</v>
      </c>
      <c r="AA1563">
        <v>0.99467240000000001</v>
      </c>
      <c r="AB1563">
        <v>27</v>
      </c>
      <c r="AC1563">
        <v>-0.55130000000002599</v>
      </c>
      <c r="AD1563">
        <v>-0.1803603</v>
      </c>
      <c r="AE1563">
        <v>9.4800000000020604E-2</v>
      </c>
      <c r="AF1563">
        <v>8.0122488918313195E-2</v>
      </c>
      <c r="AG1563">
        <v>-0.1803603</v>
      </c>
      <c r="AH1563">
        <v>0.50034057637173301</v>
      </c>
      <c r="AI1563">
        <v>109.592687165597</v>
      </c>
      <c r="AJ1563">
        <v>80.902131056191095</v>
      </c>
      <c r="AK1563">
        <v>0.53785699159772304</v>
      </c>
      <c r="AL1563">
        <v>87.332574634691497</v>
      </c>
      <c r="AM1563">
        <v>87.327806759325895</v>
      </c>
      <c r="AN1563">
        <v>1.0000000076578699</v>
      </c>
    </row>
    <row r="1564" spans="1:40" x14ac:dyDescent="0.25">
      <c r="A1564" t="str">
        <f>"20190312154538754"</f>
        <v>20190312154538754</v>
      </c>
      <c r="B1564" t="str">
        <f>"1552376738748516"</f>
        <v>1552376738748516</v>
      </c>
      <c r="C1564" t="s">
        <v>40</v>
      </c>
      <c r="D1564">
        <v>4.1432729999999998</v>
      </c>
      <c r="E1564">
        <v>0.52585419999999905</v>
      </c>
      <c r="F1564" t="s">
        <v>41</v>
      </c>
      <c r="G1564">
        <v>-270.35340000000002</v>
      </c>
      <c r="H1564">
        <v>0.93236549999999996</v>
      </c>
      <c r="I1564">
        <v>282.52969999999999</v>
      </c>
      <c r="J1564">
        <v>-269.81869999999998</v>
      </c>
      <c r="K1564">
        <v>1.108781</v>
      </c>
      <c r="L1564">
        <v>282.4393</v>
      </c>
      <c r="M1564">
        <v>-0.99990000000000001</v>
      </c>
      <c r="N1564">
        <v>0</v>
      </c>
      <c r="O1564">
        <v>1.1907050000000001E-2</v>
      </c>
      <c r="P1564">
        <v>-0.99756990000000001</v>
      </c>
      <c r="Q1564">
        <v>3.794235E-2</v>
      </c>
      <c r="R1564">
        <v>5.8437370000000002E-2</v>
      </c>
      <c r="S1564">
        <v>-3.0125120000000001</v>
      </c>
      <c r="T1564">
        <v>-0.6662401</v>
      </c>
      <c r="U1564">
        <v>0.35382079999999999</v>
      </c>
      <c r="V1564">
        <v>4.6589680000000001E-2</v>
      </c>
      <c r="W1564">
        <v>4.5526810000000001E-2</v>
      </c>
      <c r="X1564">
        <v>0.99787610000000004</v>
      </c>
      <c r="Y1564">
        <v>0.1026518</v>
      </c>
      <c r="Z1564">
        <v>8.585657E-3</v>
      </c>
      <c r="AA1564">
        <v>0.99468029999999996</v>
      </c>
      <c r="AB1564">
        <v>27</v>
      </c>
      <c r="AC1564">
        <v>-0.53470000000004303</v>
      </c>
      <c r="AD1564">
        <v>-0.176415499999999</v>
      </c>
      <c r="AE1564">
        <v>9.0399999999988198E-2</v>
      </c>
      <c r="AF1564">
        <v>7.5985113868591095E-2</v>
      </c>
      <c r="AG1564">
        <v>-0.176415499999999</v>
      </c>
      <c r="AH1564">
        <v>0.48446683681122599</v>
      </c>
      <c r="AI1564">
        <v>109.785975526218</v>
      </c>
      <c r="AJ1564">
        <v>81.086190833917399</v>
      </c>
      <c r="AK1564">
        <v>0.52115667715164804</v>
      </c>
      <c r="AL1564">
        <v>87.390603990246603</v>
      </c>
      <c r="AM1564">
        <v>87.326867591273498</v>
      </c>
      <c r="AN1564">
        <v>0.99999999983124399</v>
      </c>
    </row>
    <row r="1565" spans="1:40" x14ac:dyDescent="0.25">
      <c r="A1565" t="str">
        <f>"20190312154538776"</f>
        <v>20190312154538776</v>
      </c>
      <c r="B1565" t="str">
        <f>"1552376738768040"</f>
        <v>1552376738768040</v>
      </c>
      <c r="C1565" t="s">
        <v>40</v>
      </c>
      <c r="D1565">
        <v>4.102068</v>
      </c>
      <c r="E1565">
        <v>0.52578210000000003</v>
      </c>
      <c r="F1565" t="s">
        <v>41</v>
      </c>
      <c r="G1565">
        <v>-270.60079999999999</v>
      </c>
      <c r="H1565">
        <v>0.93521140000000003</v>
      </c>
      <c r="I1565">
        <v>282.5317</v>
      </c>
      <c r="J1565">
        <v>-270.0933</v>
      </c>
      <c r="K1565">
        <v>1.108717</v>
      </c>
      <c r="L1565">
        <v>282.44299999999998</v>
      </c>
      <c r="M1565">
        <v>-0.99989799999999995</v>
      </c>
      <c r="N1565">
        <v>0</v>
      </c>
      <c r="O1565">
        <v>1.2325289999999999E-2</v>
      </c>
      <c r="P1565">
        <v>-0.99759129999999996</v>
      </c>
      <c r="Q1565">
        <v>3.7493980000000003E-2</v>
      </c>
      <c r="R1565">
        <v>5.8362579999999997E-2</v>
      </c>
      <c r="S1565">
        <v>-3.0119020000000001</v>
      </c>
      <c r="T1565">
        <v>-0.66843680000000005</v>
      </c>
      <c r="U1565">
        <v>0.35504150000000001</v>
      </c>
      <c r="V1565">
        <v>4.6096659999999998E-2</v>
      </c>
      <c r="W1565">
        <v>4.4676519999999997E-2</v>
      </c>
      <c r="X1565">
        <v>0.99793739999999997</v>
      </c>
      <c r="Y1565">
        <v>0.10265199999999999</v>
      </c>
      <c r="Z1565">
        <v>8.5234679999999993E-3</v>
      </c>
      <c r="AA1565">
        <v>0.99468080000000003</v>
      </c>
      <c r="AB1565">
        <v>27</v>
      </c>
      <c r="AC1565">
        <v>-0.50749999999999296</v>
      </c>
      <c r="AD1565">
        <v>-0.17350560000000001</v>
      </c>
      <c r="AE1565">
        <v>8.8700000000017099E-2</v>
      </c>
      <c r="AF1565">
        <v>7.4040404807518098E-2</v>
      </c>
      <c r="AG1565">
        <v>-0.17350560000000001</v>
      </c>
      <c r="AH1565">
        <v>0.45675042426552098</v>
      </c>
      <c r="AI1565">
        <v>110.55478402092</v>
      </c>
      <c r="AJ1565">
        <v>80.792301950334505</v>
      </c>
      <c r="AK1565">
        <v>0.49417317292843299</v>
      </c>
      <c r="AL1565">
        <v>87.439371579540705</v>
      </c>
      <c r="AM1565">
        <v>87.355276990700105</v>
      </c>
      <c r="AN1565">
        <v>0.99999997391061202</v>
      </c>
    </row>
    <row r="1566" spans="1:40" x14ac:dyDescent="0.25">
      <c r="A1566" t="str">
        <f>"20190312154538800"</f>
        <v>20190312154538800</v>
      </c>
      <c r="B1566" t="str">
        <f>"1552376738788533"</f>
        <v>1552376738788533</v>
      </c>
      <c r="C1566" t="s">
        <v>40</v>
      </c>
      <c r="D1566">
        <v>4.1453100000000003</v>
      </c>
      <c r="E1566">
        <v>0.52569449999999995</v>
      </c>
      <c r="F1566" t="s">
        <v>41</v>
      </c>
      <c r="G1566">
        <v>-270.85079999999999</v>
      </c>
      <c r="H1566">
        <v>0.94073580000000001</v>
      </c>
      <c r="I1566">
        <v>282.53199999999998</v>
      </c>
      <c r="J1566">
        <v>-270.37529999999998</v>
      </c>
      <c r="K1566">
        <v>1.108643</v>
      </c>
      <c r="L1566">
        <v>282.44690000000003</v>
      </c>
      <c r="M1566">
        <v>-0.99989570000000005</v>
      </c>
      <c r="N1566">
        <v>0</v>
      </c>
      <c r="O1566">
        <v>1.275255E-2</v>
      </c>
      <c r="P1566">
        <v>-0.99756809999999996</v>
      </c>
      <c r="Q1566">
        <v>3.7790749999999998E-2</v>
      </c>
      <c r="R1566">
        <v>5.8566220000000002E-2</v>
      </c>
      <c r="S1566">
        <v>-3.0116879999999999</v>
      </c>
      <c r="T1566">
        <v>-0.66783539999999997</v>
      </c>
      <c r="U1566">
        <v>0.35369869999999998</v>
      </c>
      <c r="V1566">
        <v>4.5874100000000001E-2</v>
      </c>
      <c r="W1566">
        <v>4.4541230000000001E-2</v>
      </c>
      <c r="X1566">
        <v>0.99795370000000005</v>
      </c>
      <c r="Y1566">
        <v>0.1018312</v>
      </c>
      <c r="Z1566">
        <v>8.3339050000000008E-3</v>
      </c>
      <c r="AA1566">
        <v>0.99476679999999995</v>
      </c>
      <c r="AB1566">
        <v>28</v>
      </c>
      <c r="AC1566">
        <v>-0.47550000000001003</v>
      </c>
      <c r="AD1566">
        <v>-0.16790720000000001</v>
      </c>
      <c r="AE1566">
        <v>8.5099999999954407E-2</v>
      </c>
      <c r="AF1566">
        <v>7.0509963263991907E-2</v>
      </c>
      <c r="AG1566">
        <v>-0.16790720000000001</v>
      </c>
      <c r="AH1566">
        <v>0.42517606839342598</v>
      </c>
      <c r="AI1566">
        <v>111.28545247181199</v>
      </c>
      <c r="AJ1566">
        <v>80.583930441494999</v>
      </c>
      <c r="AK1566">
        <v>0.46253558983695597</v>
      </c>
      <c r="AL1566">
        <v>87.447130841899195</v>
      </c>
      <c r="AM1566">
        <v>87.368070948511004</v>
      </c>
      <c r="AN1566">
        <v>0.99999997078220604</v>
      </c>
    </row>
    <row r="1567" spans="1:40" x14ac:dyDescent="0.25">
      <c r="A1567" t="str">
        <f>"20190312154538821"</f>
        <v>20190312154538821</v>
      </c>
      <c r="B1567" t="str">
        <f>"1552376738817812"</f>
        <v>1552376738817812</v>
      </c>
      <c r="C1567" t="s">
        <v>40</v>
      </c>
      <c r="D1567">
        <v>4.1365129999999999</v>
      </c>
      <c r="E1567">
        <v>0.54239479999999995</v>
      </c>
      <c r="F1567" t="s">
        <v>41</v>
      </c>
      <c r="G1567">
        <v>-271.10289999999998</v>
      </c>
      <c r="H1567">
        <v>0.94771130000000003</v>
      </c>
      <c r="I1567">
        <v>282.5324</v>
      </c>
      <c r="J1567">
        <v>-270.65089999999998</v>
      </c>
      <c r="K1567">
        <v>1.108582</v>
      </c>
      <c r="L1567">
        <v>282.45089999999999</v>
      </c>
      <c r="M1567">
        <v>-0.99989309999999998</v>
      </c>
      <c r="N1567">
        <v>0</v>
      </c>
      <c r="O1567">
        <v>1.316933E-2</v>
      </c>
      <c r="P1567">
        <v>-0.99752110000000005</v>
      </c>
      <c r="Q1567">
        <v>3.8045679999999998E-2</v>
      </c>
      <c r="R1567">
        <v>5.9198960000000002E-2</v>
      </c>
      <c r="S1567">
        <v>-3.0118100000000001</v>
      </c>
      <c r="T1567">
        <v>-0.6661994</v>
      </c>
      <c r="U1567">
        <v>0.353302</v>
      </c>
      <c r="V1567">
        <v>4.609154E-2</v>
      </c>
      <c r="W1567">
        <v>4.4365439999999999E-2</v>
      </c>
      <c r="X1567">
        <v>0.99795160000000005</v>
      </c>
      <c r="Y1567">
        <v>0.1013154</v>
      </c>
      <c r="Z1567">
        <v>8.1667800000000002E-3</v>
      </c>
      <c r="AA1567">
        <v>0.99482079999999995</v>
      </c>
      <c r="AB1567">
        <v>28</v>
      </c>
      <c r="AC1567">
        <v>-0.45199999999999801</v>
      </c>
      <c r="AD1567">
        <v>-0.16087069999999901</v>
      </c>
      <c r="AE1567">
        <v>8.1500000000005401E-2</v>
      </c>
      <c r="AF1567">
        <v>6.7285527972376302E-2</v>
      </c>
      <c r="AG1567">
        <v>-0.16087069999999901</v>
      </c>
      <c r="AH1567">
        <v>0.40352831988303201</v>
      </c>
      <c r="AI1567">
        <v>111.466299218362</v>
      </c>
      <c r="AJ1567">
        <v>80.5334217352911</v>
      </c>
      <c r="AK1567">
        <v>0.439592799464043</v>
      </c>
      <c r="AL1567">
        <v>87.457213058528893</v>
      </c>
      <c r="AM1567">
        <v>87.355607900162795</v>
      </c>
      <c r="AN1567">
        <v>1.0000000591342599</v>
      </c>
    </row>
    <row r="1568" spans="1:40" x14ac:dyDescent="0.25">
      <c r="A1568" t="str">
        <f>"20190312154538843"</f>
        <v>20190312154538843</v>
      </c>
      <c r="B1568" t="str">
        <f>"1552376738838308"</f>
        <v>1552376738838308</v>
      </c>
      <c r="C1568" t="s">
        <v>40</v>
      </c>
      <c r="D1568">
        <v>4.1184529999999997</v>
      </c>
      <c r="E1568">
        <v>0.54536839999999998</v>
      </c>
      <c r="F1568" t="s">
        <v>41</v>
      </c>
      <c r="G1568">
        <v>-271.35199999999998</v>
      </c>
      <c r="H1568">
        <v>0.94490099999999999</v>
      </c>
      <c r="I1568">
        <v>282.56439999999998</v>
      </c>
      <c r="J1568">
        <v>-270.9194</v>
      </c>
      <c r="K1568">
        <v>1.1085149999999999</v>
      </c>
      <c r="L1568">
        <v>282.45479999999998</v>
      </c>
      <c r="M1568">
        <v>-0.99989030000000001</v>
      </c>
      <c r="N1568">
        <v>0</v>
      </c>
      <c r="O1568">
        <v>1.3573599999999899E-2</v>
      </c>
      <c r="P1568">
        <v>-0.99744540000000004</v>
      </c>
      <c r="Q1568">
        <v>3.8233830000000003E-2</v>
      </c>
      <c r="R1568">
        <v>6.0343220000000003E-2</v>
      </c>
      <c r="S1568">
        <v>-3.005341</v>
      </c>
      <c r="T1568">
        <v>-0.70173200000000002</v>
      </c>
      <c r="U1568">
        <v>0.48617549999999998</v>
      </c>
      <c r="V1568">
        <v>4.683321E-2</v>
      </c>
      <c r="W1568">
        <v>4.4132499999999998E-2</v>
      </c>
      <c r="X1568">
        <v>0.99792740000000002</v>
      </c>
      <c r="Y1568">
        <v>0.14289109999999999</v>
      </c>
      <c r="Z1568">
        <v>1.3251560000000001E-2</v>
      </c>
      <c r="AA1568">
        <v>0.98964969999999997</v>
      </c>
      <c r="AB1568">
        <v>28</v>
      </c>
      <c r="AC1568">
        <v>-0.43260000000003601</v>
      </c>
      <c r="AD1568">
        <v>-0.16361399999999901</v>
      </c>
      <c r="AE1568">
        <v>0.1096</v>
      </c>
      <c r="AF1568">
        <v>9.1428444918869103E-2</v>
      </c>
      <c r="AG1568">
        <v>-0.16361399999999901</v>
      </c>
      <c r="AH1568">
        <v>0.38261798669271402</v>
      </c>
      <c r="AI1568">
        <v>112.582811350924</v>
      </c>
      <c r="AJ1568">
        <v>76.560898412806097</v>
      </c>
      <c r="AK1568">
        <v>0.42605777222938701</v>
      </c>
      <c r="AL1568">
        <v>87.470572627594606</v>
      </c>
      <c r="AM1568">
        <v>87.313053156318006</v>
      </c>
      <c r="AN1568">
        <v>1.0000000613929501</v>
      </c>
    </row>
    <row r="1569" spans="1:40" x14ac:dyDescent="0.25">
      <c r="A1569" t="str">
        <f>"20190312154538868"</f>
        <v>20190312154538868</v>
      </c>
      <c r="B1569" t="str">
        <f>"1552376738857828"</f>
        <v>1552376738857828</v>
      </c>
      <c r="C1569" t="s">
        <v>40</v>
      </c>
      <c r="D1569">
        <v>4.1810869999999998</v>
      </c>
      <c r="E1569">
        <v>0.545539</v>
      </c>
      <c r="F1569" t="s">
        <v>41</v>
      </c>
      <c r="G1569">
        <v>-271.60399999999998</v>
      </c>
      <c r="H1569">
        <v>0.94579049999999998</v>
      </c>
      <c r="I1569">
        <v>282.5718</v>
      </c>
      <c r="J1569">
        <v>-271.23070000000001</v>
      </c>
      <c r="K1569">
        <v>1.1084480000000001</v>
      </c>
      <c r="L1569">
        <v>282.45949999999999</v>
      </c>
      <c r="M1569">
        <v>-0.99988659999999996</v>
      </c>
      <c r="N1569">
        <v>0</v>
      </c>
      <c r="O1569">
        <v>1.404086E-2</v>
      </c>
      <c r="P1569">
        <v>-0.99737160000000002</v>
      </c>
      <c r="Q1569">
        <v>3.7755589999999999E-2</v>
      </c>
      <c r="R1569">
        <v>6.1845160000000003E-2</v>
      </c>
      <c r="S1569">
        <v>-3.0040589999999998</v>
      </c>
      <c r="T1569">
        <v>-0.71402880000000002</v>
      </c>
      <c r="U1569">
        <v>0.51223750000000001</v>
      </c>
      <c r="V1569">
        <v>4.7869130000000003E-2</v>
      </c>
      <c r="W1569">
        <v>4.3173070000000001E-2</v>
      </c>
      <c r="X1569">
        <v>0.99792020000000003</v>
      </c>
      <c r="Y1569">
        <v>0.1505367</v>
      </c>
      <c r="Z1569">
        <v>1.425534E-2</v>
      </c>
      <c r="AA1569">
        <v>0.98850170000000004</v>
      </c>
      <c r="AB1569">
        <v>28</v>
      </c>
      <c r="AC1569">
        <v>-0.373300000000028</v>
      </c>
      <c r="AD1569">
        <v>-0.16265749999999901</v>
      </c>
      <c r="AE1569">
        <v>0.11230000000000399</v>
      </c>
      <c r="AF1569">
        <v>9.1173749719205402E-2</v>
      </c>
      <c r="AG1569">
        <v>-0.16265749999999901</v>
      </c>
      <c r="AH1569">
        <v>0.31925642139820898</v>
      </c>
      <c r="AI1569">
        <v>116.100355522914</v>
      </c>
      <c r="AJ1569">
        <v>74.061634561020895</v>
      </c>
      <c r="AK1569">
        <v>0.36972256835105599</v>
      </c>
      <c r="AL1569">
        <v>87.525596330057695</v>
      </c>
      <c r="AM1569">
        <v>87.2536898705537</v>
      </c>
      <c r="AN1569">
        <v>1.0000000465741099</v>
      </c>
    </row>
    <row r="1570" spans="1:40" x14ac:dyDescent="0.25">
      <c r="A1570" t="str">
        <f>"20190312154538890"</f>
        <v>20190312154538890</v>
      </c>
      <c r="B1570" t="str">
        <f>"1552376738878324"</f>
        <v>1552376738878324</v>
      </c>
      <c r="C1570" t="s">
        <v>40</v>
      </c>
      <c r="D1570">
        <v>4.1928000000000001</v>
      </c>
      <c r="E1570">
        <v>0.54594500000000001</v>
      </c>
      <c r="F1570" t="s">
        <v>41</v>
      </c>
      <c r="G1570">
        <v>-272.09390000000002</v>
      </c>
      <c r="H1570">
        <v>0.90321589999999996</v>
      </c>
      <c r="I1570">
        <v>282.60860000000002</v>
      </c>
      <c r="J1570">
        <v>-271.51409999999998</v>
      </c>
      <c r="K1570">
        <v>1.108387</v>
      </c>
      <c r="L1570">
        <v>282.46390000000002</v>
      </c>
      <c r="M1570">
        <v>-0.99988279999999996</v>
      </c>
      <c r="N1570">
        <v>0</v>
      </c>
      <c r="O1570">
        <v>1.446485E-2</v>
      </c>
      <c r="P1570">
        <v>-0.99727220000000005</v>
      </c>
      <c r="Q1570">
        <v>3.8169689999999999E-2</v>
      </c>
      <c r="R1570">
        <v>6.3178929999999994E-2</v>
      </c>
      <c r="S1570">
        <v>-3.002869</v>
      </c>
      <c r="T1570">
        <v>-0.71400319999999995</v>
      </c>
      <c r="U1570">
        <v>0.51794430000000002</v>
      </c>
      <c r="V1570">
        <v>4.878118E-2</v>
      </c>
      <c r="W1570">
        <v>4.3164500000000001E-2</v>
      </c>
      <c r="X1570">
        <v>0.99787630000000005</v>
      </c>
      <c r="Y1570">
        <v>0.151978799999999</v>
      </c>
      <c r="Z1570">
        <v>1.4327350000000001E-2</v>
      </c>
      <c r="AA1570">
        <v>0.98827989999999999</v>
      </c>
      <c r="AB1570">
        <v>28</v>
      </c>
      <c r="AC1570">
        <v>-0.57980000000003395</v>
      </c>
      <c r="AD1570">
        <v>-0.2051711</v>
      </c>
      <c r="AE1570">
        <v>0.1447</v>
      </c>
      <c r="AF1570">
        <v>0.121925611692233</v>
      </c>
      <c r="AG1570">
        <v>-0.2051711</v>
      </c>
      <c r="AH1570">
        <v>0.520479070873611</v>
      </c>
      <c r="AI1570">
        <v>110.997120683793</v>
      </c>
      <c r="AJ1570">
        <v>76.815824816799307</v>
      </c>
      <c r="AK1570">
        <v>0.57259016606923296</v>
      </c>
      <c r="AL1570">
        <v>87.526087558720704</v>
      </c>
      <c r="AM1570">
        <v>87.201323939671099</v>
      </c>
      <c r="AN1570">
        <v>0.99999994384206403</v>
      </c>
    </row>
    <row r="1571" spans="1:40" x14ac:dyDescent="0.25">
      <c r="A1571" t="str">
        <f>"20190312154538912"</f>
        <v>20190312154538912</v>
      </c>
      <c r="B1571" t="str">
        <f>"1552376738908580"</f>
        <v>1552376738908580</v>
      </c>
      <c r="C1571" t="s">
        <v>40</v>
      </c>
      <c r="D1571">
        <v>4.2244199999999896</v>
      </c>
      <c r="E1571">
        <v>0.54673269999999996</v>
      </c>
      <c r="F1571" t="s">
        <v>41</v>
      </c>
      <c r="G1571">
        <v>-272.35270000000003</v>
      </c>
      <c r="H1571">
        <v>0.90934570000000003</v>
      </c>
      <c r="I1571">
        <v>282.61059999999998</v>
      </c>
      <c r="J1571">
        <v>-271.8073</v>
      </c>
      <c r="K1571">
        <v>1.108336</v>
      </c>
      <c r="L1571">
        <v>282.46859999999998</v>
      </c>
      <c r="M1571">
        <v>-0.9998783</v>
      </c>
      <c r="N1571">
        <v>0</v>
      </c>
      <c r="O1571">
        <v>1.490112E-2</v>
      </c>
      <c r="P1571">
        <v>-0.99713399999999996</v>
      </c>
      <c r="Q1571">
        <v>3.8503809999999999E-2</v>
      </c>
      <c r="R1571">
        <v>6.5126169999999997E-2</v>
      </c>
      <c r="S1571">
        <v>-3.0022280000000001</v>
      </c>
      <c r="T1571">
        <v>-0.71263529999999997</v>
      </c>
      <c r="U1571">
        <v>0.52484129999999996</v>
      </c>
      <c r="V1571">
        <v>5.0295270000000003E-2</v>
      </c>
      <c r="W1571">
        <v>4.3085409999999998E-2</v>
      </c>
      <c r="X1571">
        <v>0.99780460000000004</v>
      </c>
      <c r="Y1571">
        <v>0.15376479999999901</v>
      </c>
      <c r="Z1571">
        <v>1.4407120000000001E-2</v>
      </c>
      <c r="AA1571">
        <v>0.98800239999999995</v>
      </c>
      <c r="AB1571">
        <v>29</v>
      </c>
      <c r="AC1571">
        <v>-0.54540000000002897</v>
      </c>
      <c r="AD1571">
        <v>-0.19899029999999901</v>
      </c>
      <c r="AE1571">
        <v>0.14199999999999499</v>
      </c>
      <c r="AF1571">
        <v>0.11901937612799</v>
      </c>
      <c r="AG1571">
        <v>-0.19899029999999901</v>
      </c>
      <c r="AH1571">
        <v>0.48677145138672101</v>
      </c>
      <c r="AI1571">
        <v>111.657947138095</v>
      </c>
      <c r="AJ1571">
        <v>76.260310916734298</v>
      </c>
      <c r="AK1571">
        <v>0.53917455176697704</v>
      </c>
      <c r="AL1571">
        <v>87.530623423949706</v>
      </c>
      <c r="AM1571">
        <v>87.114395101751001</v>
      </c>
      <c r="AN1571">
        <v>0.99999999326019995</v>
      </c>
    </row>
    <row r="1572" spans="1:40" x14ac:dyDescent="0.25">
      <c r="A1572" t="str">
        <f>"20190312154538944"</f>
        <v>20190312154538944</v>
      </c>
      <c r="B1572" t="str">
        <f>"1552376738937860"</f>
        <v>1552376738937860</v>
      </c>
      <c r="C1572" t="s">
        <v>40</v>
      </c>
      <c r="D1572">
        <v>4.2221029999999997</v>
      </c>
      <c r="E1572">
        <v>0.54637930000000001</v>
      </c>
      <c r="F1572" t="s">
        <v>41</v>
      </c>
      <c r="G1572">
        <v>-272.61309999999997</v>
      </c>
      <c r="H1572">
        <v>0.91562149999999998</v>
      </c>
      <c r="I1572">
        <v>282.61290000000002</v>
      </c>
      <c r="J1572">
        <v>-272.21390000000002</v>
      </c>
      <c r="K1572">
        <v>1.108276</v>
      </c>
      <c r="L1572">
        <v>282.4753</v>
      </c>
      <c r="M1572">
        <v>-0.99987159999999997</v>
      </c>
      <c r="N1572">
        <v>0</v>
      </c>
      <c r="O1572">
        <v>1.5501060000000001E-2</v>
      </c>
      <c r="P1572">
        <v>-0.99701850000000003</v>
      </c>
      <c r="Q1572">
        <v>3.9971800000000002E-2</v>
      </c>
      <c r="R1572">
        <v>6.6003950000000006E-2</v>
      </c>
      <c r="S1572">
        <v>-3.0013429999999999</v>
      </c>
      <c r="T1572">
        <v>-0.71775869999999997</v>
      </c>
      <c r="U1572">
        <v>0.53643799999999997</v>
      </c>
      <c r="V1572">
        <v>5.0577110000000002E-2</v>
      </c>
      <c r="W1572">
        <v>4.4025799999999997E-2</v>
      </c>
      <c r="X1572">
        <v>0.99774929999999995</v>
      </c>
      <c r="Y1572">
        <v>0.1568039</v>
      </c>
      <c r="Z1572">
        <v>1.472274E-2</v>
      </c>
      <c r="AA1572">
        <v>0.98751999999999995</v>
      </c>
      <c r="AB1572">
        <v>29</v>
      </c>
      <c r="AC1572">
        <v>-0.39919999999994998</v>
      </c>
      <c r="AD1572">
        <v>-0.19265450000000001</v>
      </c>
      <c r="AE1572">
        <v>0.13760000000002001</v>
      </c>
      <c r="AF1572">
        <v>0.10875560913403801</v>
      </c>
      <c r="AG1572">
        <v>-0.19265450000000001</v>
      </c>
      <c r="AH1572">
        <v>0.332142501489535</v>
      </c>
      <c r="AI1572">
        <v>118.865203185054</v>
      </c>
      <c r="AJ1572">
        <v>71.869659663321002</v>
      </c>
      <c r="AK1572">
        <v>0.39907665953309202</v>
      </c>
      <c r="AL1572">
        <v>87.476691855414401</v>
      </c>
      <c r="AM1572">
        <v>87.098092020194997</v>
      </c>
      <c r="AN1572">
        <v>0.99999999038604104</v>
      </c>
    </row>
    <row r="1573" spans="1:40" x14ac:dyDescent="0.25">
      <c r="A1573" t="str">
        <f>"20190312154538967"</f>
        <v>20190312154538967</v>
      </c>
      <c r="B1573" t="str">
        <f>"1552376738958356"</f>
        <v>1552376738958356</v>
      </c>
      <c r="C1573" t="s">
        <v>40</v>
      </c>
      <c r="D1573">
        <v>4.1993320000000001</v>
      </c>
      <c r="E1573">
        <v>0.54596339999999999</v>
      </c>
      <c r="F1573" t="s">
        <v>41</v>
      </c>
      <c r="G1573">
        <v>-273.12430000000001</v>
      </c>
      <c r="H1573">
        <v>0.89178469999999999</v>
      </c>
      <c r="I1573">
        <v>282.63799999999998</v>
      </c>
      <c r="J1573">
        <v>-272.5179</v>
      </c>
      <c r="K1573">
        <v>1.1082430000000001</v>
      </c>
      <c r="L1573">
        <v>282.48039999999997</v>
      </c>
      <c r="M1573">
        <v>-0.99986589999999997</v>
      </c>
      <c r="N1573">
        <v>0</v>
      </c>
      <c r="O1573">
        <v>1.594448E-2</v>
      </c>
      <c r="P1573">
        <v>-0.99697020000000003</v>
      </c>
      <c r="Q1573">
        <v>4.0811529999999999E-2</v>
      </c>
      <c r="R1573">
        <v>6.6219529999999999E-2</v>
      </c>
      <c r="S1573">
        <v>-3.002075</v>
      </c>
      <c r="T1573">
        <v>-0.71386859999999996</v>
      </c>
      <c r="U1573">
        <v>0.53598020000000002</v>
      </c>
      <c r="V1573">
        <v>5.0351550000000002E-2</v>
      </c>
      <c r="W1573">
        <v>4.45155E-2</v>
      </c>
      <c r="X1573">
        <v>0.99773900000000004</v>
      </c>
      <c r="Y1573">
        <v>0.15624839999999901</v>
      </c>
      <c r="Z1573">
        <v>1.447407E-2</v>
      </c>
      <c r="AA1573">
        <v>0.98761169999999998</v>
      </c>
      <c r="AB1573">
        <v>29</v>
      </c>
      <c r="AC1573">
        <v>-0.60640000000000704</v>
      </c>
      <c r="AD1573">
        <v>-0.21645829999999999</v>
      </c>
      <c r="AE1573">
        <v>0.15760000000000199</v>
      </c>
      <c r="AF1573">
        <v>0.132139533553365</v>
      </c>
      <c r="AG1573">
        <v>-0.21645829999999999</v>
      </c>
      <c r="AH1573">
        <v>0.54391618006531195</v>
      </c>
      <c r="AI1573">
        <v>111.142193934229</v>
      </c>
      <c r="AJ1573">
        <v>76.345044597430501</v>
      </c>
      <c r="AK1573">
        <v>0.60013320430003902</v>
      </c>
      <c r="AL1573">
        <v>87.448606626749196</v>
      </c>
      <c r="AM1573">
        <v>87.110981984883693</v>
      </c>
      <c r="AN1573">
        <v>1.0000000102243201</v>
      </c>
    </row>
    <row r="1574" spans="1:40" x14ac:dyDescent="0.25">
      <c r="A1574" t="str">
        <f>"20190312154538991"</f>
        <v>20190312154538991</v>
      </c>
      <c r="B1574" t="str">
        <f>"1552376738988612"</f>
        <v>1552376738988612</v>
      </c>
      <c r="C1574" t="s">
        <v>40</v>
      </c>
      <c r="D1574">
        <v>4.2700940000000003</v>
      </c>
      <c r="E1574">
        <v>0.54563839999999997</v>
      </c>
      <c r="F1574" t="s">
        <v>41</v>
      </c>
      <c r="G1574">
        <v>-273.39100000000002</v>
      </c>
      <c r="H1574">
        <v>0.90192899999999998</v>
      </c>
      <c r="I1574">
        <v>282.63569999999999</v>
      </c>
      <c r="J1574">
        <v>-272.82659999999998</v>
      </c>
      <c r="K1574">
        <v>1.1082099999999999</v>
      </c>
      <c r="L1574">
        <v>282.48570000000001</v>
      </c>
      <c r="M1574">
        <v>-0.99985990000000002</v>
      </c>
      <c r="N1574">
        <v>0</v>
      </c>
      <c r="O1574">
        <v>1.6389770000000001E-2</v>
      </c>
      <c r="P1574">
        <v>-0.9969519</v>
      </c>
      <c r="Q1574">
        <v>4.1160910000000002E-2</v>
      </c>
      <c r="R1574">
        <v>6.6277820000000001E-2</v>
      </c>
      <c r="S1574">
        <v>-3.002777</v>
      </c>
      <c r="T1574">
        <v>-0.70964859999999996</v>
      </c>
      <c r="U1574">
        <v>0.53326419999999997</v>
      </c>
      <c r="V1574">
        <v>4.9965820000000001E-2</v>
      </c>
      <c r="W1574">
        <v>4.454694E-2</v>
      </c>
      <c r="X1574">
        <v>0.99775700000000001</v>
      </c>
      <c r="Y1574">
        <v>0.1549934</v>
      </c>
      <c r="Z1574">
        <v>1.414047E-2</v>
      </c>
      <c r="AA1574">
        <v>0.98781430000000003</v>
      </c>
      <c r="AB1574">
        <v>29</v>
      </c>
      <c r="AC1574">
        <v>-0.56439999999997703</v>
      </c>
      <c r="AD1574">
        <v>-0.20628099999999999</v>
      </c>
      <c r="AE1574">
        <v>0.14999999999997701</v>
      </c>
      <c r="AF1574">
        <v>0.12511859525140101</v>
      </c>
      <c r="AG1574">
        <v>-0.20628099999999999</v>
      </c>
      <c r="AH1574">
        <v>0.50391066262126705</v>
      </c>
      <c r="AI1574">
        <v>111.667758449437</v>
      </c>
      <c r="AJ1574">
        <v>76.055725809400897</v>
      </c>
      <c r="AK1574">
        <v>0.55868816860757697</v>
      </c>
      <c r="AL1574">
        <v>87.446803488893195</v>
      </c>
      <c r="AM1574">
        <v>87.133128562152294</v>
      </c>
      <c r="AN1574">
        <v>1.00000002204031</v>
      </c>
    </row>
    <row r="1575" spans="1:40" x14ac:dyDescent="0.25">
      <c r="A1575" t="str">
        <f>"20190312154539012"</f>
        <v>20190312154539012</v>
      </c>
      <c r="B1575" t="str">
        <f>"1552376739008132"</f>
        <v>1552376739008132</v>
      </c>
      <c r="C1575" t="s">
        <v>40</v>
      </c>
      <c r="D1575">
        <v>4.2078579999999999</v>
      </c>
      <c r="E1575">
        <v>0.54542570000000001</v>
      </c>
      <c r="F1575" t="s">
        <v>41</v>
      </c>
      <c r="G1575">
        <v>-273.65929999999997</v>
      </c>
      <c r="H1575">
        <v>0.91189540000000002</v>
      </c>
      <c r="I1575">
        <v>282.63310000000001</v>
      </c>
      <c r="J1575">
        <v>-273.10640000000001</v>
      </c>
      <c r="K1575">
        <v>1.108188</v>
      </c>
      <c r="L1575">
        <v>282.4907</v>
      </c>
      <c r="M1575">
        <v>-0.99985409999999997</v>
      </c>
      <c r="N1575">
        <v>0</v>
      </c>
      <c r="O1575">
        <v>1.6788620000000001E-2</v>
      </c>
      <c r="P1575">
        <v>-0.9968958</v>
      </c>
      <c r="Q1575">
        <v>4.2019620000000001E-2</v>
      </c>
      <c r="R1575">
        <v>6.6584450000000003E-2</v>
      </c>
      <c r="S1575">
        <v>-3.003174</v>
      </c>
      <c r="T1575">
        <v>-0.70811930000000001</v>
      </c>
      <c r="U1575">
        <v>0.53067019999999998</v>
      </c>
      <c r="V1575">
        <v>4.9876009999999998E-2</v>
      </c>
      <c r="W1575">
        <v>4.5148580000000001E-2</v>
      </c>
      <c r="X1575">
        <v>0.99773440000000002</v>
      </c>
      <c r="Y1575">
        <v>0.1538079</v>
      </c>
      <c r="Z1575">
        <v>1.388115E-2</v>
      </c>
      <c r="AA1575">
        <v>0.98800330000000003</v>
      </c>
      <c r="AB1575">
        <v>29</v>
      </c>
      <c r="AC1575">
        <v>-0.55289999999996498</v>
      </c>
      <c r="AD1575">
        <v>-0.19629260000000001</v>
      </c>
      <c r="AE1575">
        <v>0.14240000000000899</v>
      </c>
      <c r="AF1575">
        <v>0.119028178731482</v>
      </c>
      <c r="AG1575">
        <v>-0.19629260000000001</v>
      </c>
      <c r="AH1575">
        <v>0.496523138895201</v>
      </c>
      <c r="AI1575">
        <v>111.028862662008</v>
      </c>
      <c r="AJ1575">
        <v>76.519256504341399</v>
      </c>
      <c r="AK1575">
        <v>0.54702259515054497</v>
      </c>
      <c r="AL1575">
        <v>87.412297207289399</v>
      </c>
      <c r="AM1575">
        <v>87.138208271686295</v>
      </c>
      <c r="AN1575">
        <v>0.99999997179644795</v>
      </c>
    </row>
    <row r="1576" spans="1:40" x14ac:dyDescent="0.25">
      <c r="A1576" t="str">
        <f>"20190312154539034"</f>
        <v>20190312154539034</v>
      </c>
      <c r="B1576" t="str">
        <f>"1552376739028628"</f>
        <v>1552376739028628</v>
      </c>
      <c r="C1576" t="s">
        <v>40</v>
      </c>
      <c r="D1576">
        <v>4.2755159999999997</v>
      </c>
      <c r="E1576">
        <v>0.54524989999999995</v>
      </c>
      <c r="F1576" t="s">
        <v>41</v>
      </c>
      <c r="G1576">
        <v>-273.92660000000001</v>
      </c>
      <c r="H1576">
        <v>0.9156531</v>
      </c>
      <c r="I1576">
        <v>282.6354</v>
      </c>
      <c r="J1576">
        <v>-273.40159999999997</v>
      </c>
      <c r="K1576">
        <v>1.1081749999999999</v>
      </c>
      <c r="L1576">
        <v>282.49599999999998</v>
      </c>
      <c r="M1576">
        <v>-0.99984779999999995</v>
      </c>
      <c r="N1576">
        <v>0</v>
      </c>
      <c r="O1576">
        <v>1.720445E-2</v>
      </c>
      <c r="P1576">
        <v>-0.99685060000000003</v>
      </c>
      <c r="Q1576">
        <v>4.3287979999999997E-2</v>
      </c>
      <c r="R1576">
        <v>6.6447560000000003E-2</v>
      </c>
      <c r="S1576">
        <v>-3.0036619999999998</v>
      </c>
      <c r="T1576">
        <v>-0.70504579999999994</v>
      </c>
      <c r="U1576">
        <v>0.52990719999999902</v>
      </c>
      <c r="V1576">
        <v>4.9325819999999999E-2</v>
      </c>
      <c r="W1576">
        <v>4.6179379999999999E-2</v>
      </c>
      <c r="X1576">
        <v>0.99771460000000001</v>
      </c>
      <c r="Y1576">
        <v>0.15318579999999901</v>
      </c>
      <c r="Z1576">
        <v>1.365358E-2</v>
      </c>
      <c r="AA1576">
        <v>0.98810310000000001</v>
      </c>
      <c r="AB1576">
        <v>30</v>
      </c>
      <c r="AC1576">
        <v>-0.525000000000034</v>
      </c>
      <c r="AD1576">
        <v>-0.1925219</v>
      </c>
      <c r="AE1576">
        <v>0.13940000000002301</v>
      </c>
      <c r="AF1576">
        <v>0.115800323120738</v>
      </c>
      <c r="AG1576">
        <v>-0.1925219</v>
      </c>
      <c r="AH1576">
        <v>0.468471845142997</v>
      </c>
      <c r="AI1576">
        <v>111.74951411153199</v>
      </c>
      <c r="AJ1576">
        <v>76.115528951557593</v>
      </c>
      <c r="AK1576">
        <v>0.51955776050999503</v>
      </c>
      <c r="AL1576">
        <v>87.353175108246901</v>
      </c>
      <c r="AM1576">
        <v>87.169669448424202</v>
      </c>
      <c r="AN1576">
        <v>0.99999999735450795</v>
      </c>
    </row>
    <row r="1577" spans="1:40" x14ac:dyDescent="0.25">
      <c r="A1577" t="str">
        <f>"20190312154539055"</f>
        <v>20190312154539055</v>
      </c>
      <c r="B1577" t="str">
        <f>"1552376739048149"</f>
        <v>1552376739048149</v>
      </c>
      <c r="C1577" t="s">
        <v>40</v>
      </c>
      <c r="D1577">
        <v>4.2484859999999998</v>
      </c>
      <c r="E1577">
        <v>0.54521330000000001</v>
      </c>
      <c r="F1577" t="s">
        <v>41</v>
      </c>
      <c r="G1577">
        <v>-274.19690000000003</v>
      </c>
      <c r="H1577">
        <v>0.9225816</v>
      </c>
      <c r="I1577">
        <v>282.63600000000002</v>
      </c>
      <c r="J1577">
        <v>-273.69470000000001</v>
      </c>
      <c r="K1577">
        <v>1.1081620000000001</v>
      </c>
      <c r="L1577">
        <v>282.50150000000002</v>
      </c>
      <c r="M1577">
        <v>-0.99984119999999999</v>
      </c>
      <c r="N1577">
        <v>0</v>
      </c>
      <c r="O1577">
        <v>1.7610750000000001E-2</v>
      </c>
      <c r="P1577">
        <v>-0.99677590000000005</v>
      </c>
      <c r="Q1577">
        <v>4.4417749999999999E-2</v>
      </c>
      <c r="R1577">
        <v>6.6823179999999996E-2</v>
      </c>
      <c r="S1577">
        <v>-3.0047299999999999</v>
      </c>
      <c r="T1577">
        <v>-0.70120490000000002</v>
      </c>
      <c r="U1577">
        <v>0.52810669999999904</v>
      </c>
      <c r="V1577">
        <v>4.9298109999999999E-2</v>
      </c>
      <c r="W1577">
        <v>4.7106299999999997E-2</v>
      </c>
      <c r="X1577">
        <v>0.99767260000000002</v>
      </c>
      <c r="Y1577">
        <v>0.152226</v>
      </c>
      <c r="Z1577">
        <v>1.337465E-2</v>
      </c>
      <c r="AA1577">
        <v>0.9882552</v>
      </c>
      <c r="AB1577">
        <v>30</v>
      </c>
      <c r="AC1577">
        <v>-0.50220000000001597</v>
      </c>
      <c r="AD1577">
        <v>-0.18558040000000001</v>
      </c>
      <c r="AE1577">
        <v>0.134499999999945</v>
      </c>
      <c r="AF1577">
        <v>0.111436170476512</v>
      </c>
      <c r="AG1577">
        <v>-0.18558040000000001</v>
      </c>
      <c r="AH1577">
        <v>0.44747502075880902</v>
      </c>
      <c r="AI1577">
        <v>111.92165845297799</v>
      </c>
      <c r="AJ1577">
        <v>76.015899379419594</v>
      </c>
      <c r="AK1577">
        <v>0.49708349314549499</v>
      </c>
      <c r="AL1577">
        <v>87.300008541866305</v>
      </c>
      <c r="AM1577">
        <v>87.171137982500298</v>
      </c>
      <c r="AN1577">
        <v>0.99999996197000995</v>
      </c>
    </row>
    <row r="1578" spans="1:40" x14ac:dyDescent="0.25">
      <c r="A1578" t="str">
        <f>"20190312154539080"</f>
        <v>20190312154539080</v>
      </c>
      <c r="B1578" t="str">
        <f>"1552376739067668"</f>
        <v>1552376739067668</v>
      </c>
      <c r="C1578" t="s">
        <v>40</v>
      </c>
      <c r="D1578">
        <v>4.2376569999999996</v>
      </c>
      <c r="E1578">
        <v>0.54512360000000004</v>
      </c>
      <c r="F1578" t="s">
        <v>41</v>
      </c>
      <c r="G1578">
        <v>-274.46850000000001</v>
      </c>
      <c r="H1578">
        <v>0.92828169999999999</v>
      </c>
      <c r="I1578">
        <v>282.63760000000002</v>
      </c>
      <c r="J1578">
        <v>-274.01679999999999</v>
      </c>
      <c r="K1578">
        <v>1.10815</v>
      </c>
      <c r="L1578">
        <v>282.50749999999999</v>
      </c>
      <c r="M1578">
        <v>-0.999834</v>
      </c>
      <c r="N1578">
        <v>0</v>
      </c>
      <c r="O1578">
        <v>1.8046980000000001E-2</v>
      </c>
      <c r="P1578">
        <v>-0.9967587</v>
      </c>
      <c r="Q1578">
        <v>4.4905220000000003E-2</v>
      </c>
      <c r="R1578">
        <v>6.6752179999999994E-2</v>
      </c>
      <c r="S1578">
        <v>-3.0053709999999998</v>
      </c>
      <c r="T1578">
        <v>-0.69867209999999902</v>
      </c>
      <c r="U1578">
        <v>0.52896119999999902</v>
      </c>
      <c r="V1578">
        <v>4.8792019999999998E-2</v>
      </c>
      <c r="W1578">
        <v>4.7406370000000003E-2</v>
      </c>
      <c r="X1578">
        <v>0.99768330000000005</v>
      </c>
      <c r="Y1578">
        <v>0.1520736</v>
      </c>
      <c r="Z1578">
        <v>1.320793E-2</v>
      </c>
      <c r="AA1578">
        <v>0.98828090000000002</v>
      </c>
      <c r="AB1578">
        <v>30</v>
      </c>
      <c r="AC1578">
        <v>-0.45170000000001598</v>
      </c>
      <c r="AD1578">
        <v>-0.17986830000000001</v>
      </c>
      <c r="AE1578">
        <v>0.130100000000027</v>
      </c>
      <c r="AF1578">
        <v>0.106354617020423</v>
      </c>
      <c r="AG1578">
        <v>-0.17986830000000001</v>
      </c>
      <c r="AH1578">
        <v>0.39599336004901797</v>
      </c>
      <c r="AI1578">
        <v>113.68583160403099</v>
      </c>
      <c r="AJ1578">
        <v>74.966456495450501</v>
      </c>
      <c r="AK1578">
        <v>0.44774395708860398</v>
      </c>
      <c r="AL1578">
        <v>87.282796660138999</v>
      </c>
      <c r="AM1578">
        <v>87.200162358512401</v>
      </c>
      <c r="AN1578">
        <v>0.999999996115573</v>
      </c>
    </row>
    <row r="1579" spans="1:40" x14ac:dyDescent="0.25">
      <c r="A1579" t="str">
        <f>"20190312154539102"</f>
        <v>20190312154539102</v>
      </c>
      <c r="B1579" t="str">
        <f>"1552376739097924"</f>
        <v>1552376739097924</v>
      </c>
      <c r="C1579" t="s">
        <v>40</v>
      </c>
      <c r="D1579">
        <v>4.2647570000000004</v>
      </c>
      <c r="E1579">
        <v>0.54500899999999997</v>
      </c>
      <c r="F1579" t="s">
        <v>41</v>
      </c>
      <c r="G1579">
        <v>-274.74419999999998</v>
      </c>
      <c r="H1579">
        <v>0.93943770000000004</v>
      </c>
      <c r="I1579">
        <v>282.63549999999998</v>
      </c>
      <c r="J1579">
        <v>-274.32240000000002</v>
      </c>
      <c r="K1579">
        <v>1.1081379999999901</v>
      </c>
      <c r="L1579">
        <v>282.51339999999999</v>
      </c>
      <c r="M1579">
        <v>-0.99982700000000002</v>
      </c>
      <c r="N1579">
        <v>0</v>
      </c>
      <c r="O1579">
        <v>1.8447999999999999E-2</v>
      </c>
      <c r="P1579">
        <v>-0.99668780000000001</v>
      </c>
      <c r="Q1579">
        <v>4.5231720000000003E-2</v>
      </c>
      <c r="R1579">
        <v>6.7586530000000006E-2</v>
      </c>
      <c r="S1579">
        <v>-3.0057070000000001</v>
      </c>
      <c r="T1579">
        <v>-0.69710850000000002</v>
      </c>
      <c r="U1579">
        <v>0.52832029999999996</v>
      </c>
      <c r="V1579">
        <v>4.9227140000000003E-2</v>
      </c>
      <c r="W1579">
        <v>4.7587360000000002E-2</v>
      </c>
      <c r="X1579">
        <v>0.99765329999999997</v>
      </c>
      <c r="Y1579">
        <v>0.1514953</v>
      </c>
      <c r="Z1579">
        <v>1.30212E-2</v>
      </c>
      <c r="AA1579">
        <v>0.98837220000000003</v>
      </c>
      <c r="AB1579">
        <v>30</v>
      </c>
      <c r="AC1579">
        <v>-0.42179999999996198</v>
      </c>
      <c r="AD1579">
        <v>-0.168700299999999</v>
      </c>
      <c r="AE1579">
        <v>0.122099999999989</v>
      </c>
      <c r="AF1579">
        <v>9.95977157915061E-2</v>
      </c>
      <c r="AG1579">
        <v>-0.168700299999999</v>
      </c>
      <c r="AH1579">
        <v>0.36945155287951797</v>
      </c>
      <c r="AI1579">
        <v>113.79191409264099</v>
      </c>
      <c r="AJ1579">
        <v>74.912716705469293</v>
      </c>
      <c r="AK1579">
        <v>0.41817932294179999</v>
      </c>
      <c r="AL1579">
        <v>87.272414956732206</v>
      </c>
      <c r="AM1579">
        <v>87.175149278488107</v>
      </c>
      <c r="AN1579">
        <v>0.99999998757261899</v>
      </c>
    </row>
    <row r="1580" spans="1:40" x14ac:dyDescent="0.25">
      <c r="A1580" t="str">
        <f>"20190312154539124"</f>
        <v>20190312154539124</v>
      </c>
      <c r="B1580" t="str">
        <f>"1552376739118421"</f>
        <v>1552376739118421</v>
      </c>
      <c r="C1580" t="s">
        <v>40</v>
      </c>
      <c r="D1580">
        <v>4.2807820000000003</v>
      </c>
      <c r="E1580">
        <v>0.54483680000000001</v>
      </c>
      <c r="F1580" t="s">
        <v>41</v>
      </c>
      <c r="G1580">
        <v>-275.0197</v>
      </c>
      <c r="H1580">
        <v>0.94642749999999998</v>
      </c>
      <c r="I1580">
        <v>282.63670000000002</v>
      </c>
      <c r="J1580">
        <v>-274.61610000000002</v>
      </c>
      <c r="K1580">
        <v>1.108134</v>
      </c>
      <c r="L1580">
        <v>282.51920000000001</v>
      </c>
      <c r="M1580">
        <v>-0.99982040000000005</v>
      </c>
      <c r="N1580">
        <v>0</v>
      </c>
      <c r="O1580">
        <v>1.8817150000000001E-2</v>
      </c>
      <c r="P1580">
        <v>-0.99666670000000002</v>
      </c>
      <c r="Q1580">
        <v>4.5261099999999999E-2</v>
      </c>
      <c r="R1580">
        <v>6.7876210000000006E-2</v>
      </c>
      <c r="S1580">
        <v>-3.0056150000000001</v>
      </c>
      <c r="T1580">
        <v>-0.69704250000000001</v>
      </c>
      <c r="U1580">
        <v>0.53021240000000003</v>
      </c>
      <c r="V1580">
        <v>4.9147789999999997E-2</v>
      </c>
      <c r="W1580">
        <v>4.7505449999999998E-2</v>
      </c>
      <c r="X1580">
        <v>0.99766109999999997</v>
      </c>
      <c r="Y1580">
        <v>0.15174319999999999</v>
      </c>
      <c r="Z1580">
        <v>1.2964079999999999E-2</v>
      </c>
      <c r="AA1580">
        <v>0.98833499999999996</v>
      </c>
      <c r="AB1580">
        <v>30</v>
      </c>
      <c r="AC1580">
        <v>-0.40359999999998297</v>
      </c>
      <c r="AD1580">
        <v>-0.161706499999999</v>
      </c>
      <c r="AE1580">
        <v>0.117500000000006</v>
      </c>
      <c r="AF1580">
        <v>9.5719445881934498E-2</v>
      </c>
      <c r="AG1580">
        <v>-0.161706499999999</v>
      </c>
      <c r="AH1580">
        <v>0.353436012264498</v>
      </c>
      <c r="AI1580">
        <v>113.827114325674</v>
      </c>
      <c r="AJ1580">
        <v>74.846355964959997</v>
      </c>
      <c r="AK1580">
        <v>0.40028517238042299</v>
      </c>
      <c r="AL1580">
        <v>87.277113324730493</v>
      </c>
      <c r="AM1580">
        <v>87.179717356538305</v>
      </c>
      <c r="AN1580">
        <v>0.99999997174739697</v>
      </c>
    </row>
    <row r="1581" spans="1:40" x14ac:dyDescent="0.25">
      <c r="A1581" t="str">
        <f>"20190312154539145"</f>
        <v>20190312154539145</v>
      </c>
      <c r="B1581" t="str">
        <f>"1552376739137940"</f>
        <v>1552376739137940</v>
      </c>
      <c r="C1581" t="s">
        <v>40</v>
      </c>
      <c r="D1581">
        <v>4.2992589999999904</v>
      </c>
      <c r="E1581">
        <v>0.54461380000000004</v>
      </c>
      <c r="F1581" t="s">
        <v>41</v>
      </c>
      <c r="G1581">
        <v>-275.54649999999998</v>
      </c>
      <c r="H1581">
        <v>0.8923508</v>
      </c>
      <c r="I1581">
        <v>282.68329999999997</v>
      </c>
      <c r="J1581">
        <v>-274.91890000000001</v>
      </c>
      <c r="K1581">
        <v>1.108134</v>
      </c>
      <c r="L1581">
        <v>282.52530000000002</v>
      </c>
      <c r="M1581">
        <v>-0.99981379999999997</v>
      </c>
      <c r="N1581">
        <v>0</v>
      </c>
      <c r="O1581">
        <v>1.9176909999999998E-2</v>
      </c>
      <c r="P1581">
        <v>-0.9965908</v>
      </c>
      <c r="Q1581">
        <v>4.5680449999999997E-2</v>
      </c>
      <c r="R1581">
        <v>6.8704379999999995E-2</v>
      </c>
      <c r="S1581">
        <v>-3.0057070000000001</v>
      </c>
      <c r="T1581">
        <v>-0.69711210000000001</v>
      </c>
      <c r="U1581">
        <v>0.52929689999999996</v>
      </c>
      <c r="V1581">
        <v>4.9617309999999998E-2</v>
      </c>
      <c r="W1581">
        <v>4.7835990000000002E-2</v>
      </c>
      <c r="X1581">
        <v>0.99762209999999996</v>
      </c>
      <c r="Y1581">
        <v>0.15111529999999901</v>
      </c>
      <c r="Z1581">
        <v>1.28123E-2</v>
      </c>
      <c r="AA1581">
        <v>0.98843309999999995</v>
      </c>
      <c r="AB1581">
        <v>31</v>
      </c>
      <c r="AC1581">
        <v>-0.62759999999997196</v>
      </c>
      <c r="AD1581">
        <v>-0.21578319999999901</v>
      </c>
      <c r="AE1581">
        <v>0.15799999999995801</v>
      </c>
      <c r="AF1581">
        <v>0.13133517436839501</v>
      </c>
      <c r="AG1581">
        <v>-0.21578319999999901</v>
      </c>
      <c r="AH1581">
        <v>0.567433863675186</v>
      </c>
      <c r="AI1581">
        <v>110.32890349599199</v>
      </c>
      <c r="AJ1581">
        <v>76.968105888764796</v>
      </c>
      <c r="AK1581">
        <v>0.62112197439308703</v>
      </c>
      <c r="AL1581">
        <v>87.258153317955504</v>
      </c>
      <c r="AM1581">
        <v>87.152707557599001</v>
      </c>
      <c r="AN1581">
        <v>1.00000000689966</v>
      </c>
    </row>
    <row r="1582" spans="1:40" x14ac:dyDescent="0.25">
      <c r="A1582" t="str">
        <f>"20190312154539169"</f>
        <v>20190312154539169</v>
      </c>
      <c r="B1582" t="str">
        <f>"1552376739158436"</f>
        <v>1552376739158436</v>
      </c>
      <c r="C1582" t="s">
        <v>40</v>
      </c>
      <c r="D1582">
        <v>4.2934539999999997</v>
      </c>
      <c r="E1582">
        <v>0.54444389999999998</v>
      </c>
      <c r="F1582" t="s">
        <v>41</v>
      </c>
      <c r="G1582">
        <v>-275.82569999999998</v>
      </c>
      <c r="H1582">
        <v>0.89822880000000005</v>
      </c>
      <c r="I1582">
        <v>282.6857</v>
      </c>
      <c r="J1582">
        <v>-275.2432</v>
      </c>
      <c r="K1582">
        <v>1.108133</v>
      </c>
      <c r="L1582">
        <v>282.53190000000001</v>
      </c>
      <c r="M1582">
        <v>-0.9998068</v>
      </c>
      <c r="N1582">
        <v>0</v>
      </c>
      <c r="O1582">
        <v>1.954268E-2</v>
      </c>
      <c r="P1582">
        <v>-0.99650760000000005</v>
      </c>
      <c r="Q1582">
        <v>4.6151159999999997E-2</v>
      </c>
      <c r="R1582">
        <v>6.9589769999999995E-2</v>
      </c>
      <c r="S1582">
        <v>-3.005585</v>
      </c>
      <c r="T1582">
        <v>-0.69572780000000001</v>
      </c>
      <c r="U1582">
        <v>0.53039550000000002</v>
      </c>
      <c r="V1582">
        <v>5.0138170000000003E-2</v>
      </c>
      <c r="W1582">
        <v>4.823798E-2</v>
      </c>
      <c r="X1582">
        <v>0.99757669999999998</v>
      </c>
      <c r="Y1582">
        <v>0.151133399999999</v>
      </c>
      <c r="Z1582">
        <v>1.2706800000000001E-2</v>
      </c>
      <c r="AA1582">
        <v>0.98843170000000002</v>
      </c>
      <c r="AB1582">
        <v>31</v>
      </c>
      <c r="AC1582">
        <v>-0.58249999999998103</v>
      </c>
      <c r="AD1582">
        <v>-0.20990420000000001</v>
      </c>
      <c r="AE1582">
        <v>0.153799999999989</v>
      </c>
      <c r="AF1582">
        <v>0.126973666636474</v>
      </c>
      <c r="AG1582">
        <v>-0.20990420000000001</v>
      </c>
      <c r="AH1582">
        <v>0.52202575602054302</v>
      </c>
      <c r="AI1582">
        <v>111.340792015921</v>
      </c>
      <c r="AJ1582">
        <v>76.329270198812907</v>
      </c>
      <c r="AK1582">
        <v>0.57679543613448503</v>
      </c>
      <c r="AL1582">
        <v>87.235094363710601</v>
      </c>
      <c r="AM1582">
        <v>87.122737215459395</v>
      </c>
      <c r="AN1582">
        <v>1.00000000559415</v>
      </c>
    </row>
    <row r="1583" spans="1:40" x14ac:dyDescent="0.25">
      <c r="A1583" t="str">
        <f>"20190312154539190"</f>
        <v>20190312154539190</v>
      </c>
      <c r="B1583" t="str">
        <f>"1552376739177960"</f>
        <v>1552376739177960</v>
      </c>
      <c r="C1583" t="s">
        <v>40</v>
      </c>
      <c r="D1583">
        <v>4.3406370000000001</v>
      </c>
      <c r="E1583">
        <v>0.54440599999999995</v>
      </c>
      <c r="F1583" t="s">
        <v>41</v>
      </c>
      <c r="G1583">
        <v>-276.10809999999998</v>
      </c>
      <c r="H1583">
        <v>0.90804819999999997</v>
      </c>
      <c r="I1583">
        <v>282.68490000000003</v>
      </c>
      <c r="J1583">
        <v>-275.54059999999998</v>
      </c>
      <c r="K1583">
        <v>1.108144</v>
      </c>
      <c r="L1583">
        <v>282.53789999999998</v>
      </c>
      <c r="M1583">
        <v>-0.99980060000000004</v>
      </c>
      <c r="N1583">
        <v>0</v>
      </c>
      <c r="O1583">
        <v>1.9856329999999998E-2</v>
      </c>
      <c r="P1583">
        <v>-0.99645479999999997</v>
      </c>
      <c r="Q1583">
        <v>4.6675910000000001E-2</v>
      </c>
      <c r="R1583">
        <v>6.9992949999999998E-2</v>
      </c>
      <c r="S1583">
        <v>-3.0055540000000001</v>
      </c>
      <c r="T1583">
        <v>-0.69535080000000005</v>
      </c>
      <c r="U1583">
        <v>0.53152469999999996</v>
      </c>
      <c r="V1583">
        <v>5.0228059999999998E-2</v>
      </c>
      <c r="W1583">
        <v>4.8719480000000003E-2</v>
      </c>
      <c r="X1583">
        <v>0.99754880000000001</v>
      </c>
      <c r="Y1583">
        <v>0.15119560000000001</v>
      </c>
      <c r="Z1583">
        <v>1.2635850000000001E-2</v>
      </c>
      <c r="AA1583">
        <v>0.9884231</v>
      </c>
      <c r="AB1583">
        <v>31</v>
      </c>
      <c r="AC1583">
        <v>-0.56749999999999501</v>
      </c>
      <c r="AD1583">
        <v>-0.20009579999999999</v>
      </c>
      <c r="AE1583">
        <v>0.14700000000004801</v>
      </c>
      <c r="AF1583">
        <v>0.121542369748586</v>
      </c>
      <c r="AG1583">
        <v>-0.20009579999999999</v>
      </c>
      <c r="AH1583">
        <v>0.51079715822054494</v>
      </c>
      <c r="AI1583">
        <v>110.861468105695</v>
      </c>
      <c r="AJ1583">
        <v>76.615570176989294</v>
      </c>
      <c r="AK1583">
        <v>0.56189377436302501</v>
      </c>
      <c r="AL1583">
        <v>87.207474030117396</v>
      </c>
      <c r="AM1583">
        <v>87.1175069378464</v>
      </c>
      <c r="AN1583">
        <v>1.0000000270621301</v>
      </c>
    </row>
    <row r="1584" spans="1:40" x14ac:dyDescent="0.25">
      <c r="A1584" t="str">
        <f>"20190312154539213"</f>
        <v>20190312154539213</v>
      </c>
      <c r="B1584" t="str">
        <f>"1552376739208212"</f>
        <v>1552376739208212</v>
      </c>
      <c r="C1584" t="s">
        <v>40</v>
      </c>
      <c r="D1584">
        <v>4.3409509999999996</v>
      </c>
      <c r="E1584">
        <v>0.54428849999999995</v>
      </c>
      <c r="F1584" t="s">
        <v>41</v>
      </c>
      <c r="G1584">
        <v>-276.3895</v>
      </c>
      <c r="H1584">
        <v>0.91181049999999997</v>
      </c>
      <c r="I1584">
        <v>282.68849999999998</v>
      </c>
      <c r="J1584">
        <v>-275.86309999999997</v>
      </c>
      <c r="K1584">
        <v>1.108155</v>
      </c>
      <c r="L1584">
        <v>282.5446</v>
      </c>
      <c r="M1584">
        <v>-0.99979450000000003</v>
      </c>
      <c r="N1584">
        <v>0</v>
      </c>
      <c r="O1584">
        <v>2.016859E-2</v>
      </c>
      <c r="P1584">
        <v>-0.99639230000000001</v>
      </c>
      <c r="Q1584">
        <v>4.6909670000000001E-2</v>
      </c>
      <c r="R1584">
        <v>7.0728990000000005E-2</v>
      </c>
      <c r="S1584">
        <v>-3.0058289999999999</v>
      </c>
      <c r="T1584">
        <v>-0.69519929999999996</v>
      </c>
      <c r="U1584">
        <v>0.53222659999999999</v>
      </c>
      <c r="V1584">
        <v>5.0652290000000003E-2</v>
      </c>
      <c r="W1584">
        <v>4.8924759999999998E-2</v>
      </c>
      <c r="X1584">
        <v>0.99751730000000005</v>
      </c>
      <c r="Y1584">
        <v>0.15110779999999999</v>
      </c>
      <c r="Z1584">
        <v>1.255119E-2</v>
      </c>
      <c r="AA1584">
        <v>0.98843760000000003</v>
      </c>
      <c r="AB1584">
        <v>31</v>
      </c>
      <c r="AC1584">
        <v>-0.52640000000002296</v>
      </c>
      <c r="AD1584">
        <v>-0.19634450000000001</v>
      </c>
      <c r="AE1584">
        <v>0.14389999999997299</v>
      </c>
      <c r="AF1584">
        <v>0.117981139572077</v>
      </c>
      <c r="AG1584">
        <v>-0.19634450000000001</v>
      </c>
      <c r="AH1584">
        <v>0.46854180606271401</v>
      </c>
      <c r="AI1584">
        <v>112.115315417131</v>
      </c>
      <c r="AJ1584">
        <v>75.866465967322299</v>
      </c>
      <c r="AK1584">
        <v>0.52153824021205397</v>
      </c>
      <c r="AL1584">
        <v>87.195698304930104</v>
      </c>
      <c r="AM1584">
        <v>87.093111127597098</v>
      </c>
      <c r="AN1584">
        <v>1.0000000252112899</v>
      </c>
    </row>
    <row r="1585" spans="1:40" x14ac:dyDescent="0.25">
      <c r="A1585" t="str">
        <f>"20190312154539234"</f>
        <v>20190312154539234</v>
      </c>
      <c r="B1585" t="str">
        <f>"1552376739227732"</f>
        <v>1552376739227732</v>
      </c>
      <c r="C1585" t="s">
        <v>40</v>
      </c>
      <c r="D1585">
        <v>4.3562320000000003</v>
      </c>
      <c r="E1585">
        <v>0.54423369999999904</v>
      </c>
      <c r="F1585" t="s">
        <v>41</v>
      </c>
      <c r="G1585">
        <v>-276.67430000000002</v>
      </c>
      <c r="H1585">
        <v>0.92014379999999996</v>
      </c>
      <c r="I1585">
        <v>282.68849999999998</v>
      </c>
      <c r="J1585">
        <v>-276.1601</v>
      </c>
      <c r="K1585">
        <v>1.1081700000000001</v>
      </c>
      <c r="L1585">
        <v>282.55090000000001</v>
      </c>
      <c r="M1585">
        <v>-0.99978929999999999</v>
      </c>
      <c r="N1585">
        <v>0</v>
      </c>
      <c r="O1585">
        <v>2.0427549999999999E-2</v>
      </c>
      <c r="P1585">
        <v>-0.99636259999999999</v>
      </c>
      <c r="Q1585">
        <v>4.7020350000000002E-2</v>
      </c>
      <c r="R1585">
        <v>7.1069610000000005E-2</v>
      </c>
      <c r="S1585">
        <v>-3.0058590000000001</v>
      </c>
      <c r="T1585">
        <v>-0.69668099999999999</v>
      </c>
      <c r="U1585">
        <v>0.53320310000000004</v>
      </c>
      <c r="V1585">
        <v>5.073275E-2</v>
      </c>
      <c r="W1585">
        <v>4.9025249999999999E-2</v>
      </c>
      <c r="X1585">
        <v>0.99750819999999996</v>
      </c>
      <c r="Y1585">
        <v>0.15115329999999999</v>
      </c>
      <c r="Z1585">
        <v>1.252323E-2</v>
      </c>
      <c r="AA1585">
        <v>0.98843099999999995</v>
      </c>
      <c r="AB1585">
        <v>31</v>
      </c>
      <c r="AC1585">
        <v>-0.51420000000001598</v>
      </c>
      <c r="AD1585">
        <v>-0.1880262</v>
      </c>
      <c r="AE1585">
        <v>0.137599999999963</v>
      </c>
      <c r="AF1585">
        <v>0.112971172039619</v>
      </c>
      <c r="AG1585">
        <v>-0.1880262</v>
      </c>
      <c r="AH1585">
        <v>0.45956074984451101</v>
      </c>
      <c r="AI1585">
        <v>111.66864720852701</v>
      </c>
      <c r="AJ1585">
        <v>76.189156529418597</v>
      </c>
      <c r="AK1585">
        <v>0.50922727774157395</v>
      </c>
      <c r="AL1585">
        <v>87.1899335177674</v>
      </c>
      <c r="AM1585">
        <v>87.088475024721504</v>
      </c>
      <c r="AN1585">
        <v>0.99999994806368098</v>
      </c>
    </row>
    <row r="1586" spans="1:40" x14ac:dyDescent="0.25">
      <c r="A1586" t="str">
        <f>"20190312154539257"</f>
        <v>20190312154539257</v>
      </c>
      <c r="B1586" t="str">
        <f>"1552376739248228"</f>
        <v>1552376739248228</v>
      </c>
      <c r="C1586" t="s">
        <v>40</v>
      </c>
      <c r="D1586">
        <v>4.3461369999999997</v>
      </c>
      <c r="E1586">
        <v>0.54419709999999999</v>
      </c>
      <c r="F1586" t="s">
        <v>41</v>
      </c>
      <c r="G1586">
        <v>-276.95830000000001</v>
      </c>
      <c r="H1586">
        <v>0.92301250000000001</v>
      </c>
      <c r="I1586">
        <v>282.69299999999998</v>
      </c>
      <c r="J1586">
        <v>-276.4864</v>
      </c>
      <c r="K1586">
        <v>1.108185</v>
      </c>
      <c r="L1586">
        <v>282.55779999999999</v>
      </c>
      <c r="M1586">
        <v>-0.99978420000000001</v>
      </c>
      <c r="N1586">
        <v>0</v>
      </c>
      <c r="O1586">
        <v>2.0678620000000002E-2</v>
      </c>
      <c r="P1586">
        <v>-0.99633950000000004</v>
      </c>
      <c r="Q1586">
        <v>4.7315780000000002E-2</v>
      </c>
      <c r="R1586">
        <v>7.1197670000000005E-2</v>
      </c>
      <c r="S1586">
        <v>-3.0057680000000002</v>
      </c>
      <c r="T1586">
        <v>-0.69737139999999997</v>
      </c>
      <c r="U1586">
        <v>0.53427119999999995</v>
      </c>
      <c r="V1586">
        <v>5.0608140000000003E-2</v>
      </c>
      <c r="W1586">
        <v>4.9324340000000001E-2</v>
      </c>
      <c r="X1586">
        <v>0.99749980000000005</v>
      </c>
      <c r="Y1586">
        <v>0.15124840000000001</v>
      </c>
      <c r="Z1586">
        <v>1.2489139999999999E-2</v>
      </c>
      <c r="AA1586">
        <v>0.98841690000000004</v>
      </c>
      <c r="AB1586">
        <v>31</v>
      </c>
      <c r="AC1586">
        <v>-0.47190000000000498</v>
      </c>
      <c r="AD1586">
        <v>-0.18517249999999999</v>
      </c>
      <c r="AE1586">
        <v>0.13519999999999699</v>
      </c>
      <c r="AF1586">
        <v>0.10979014184285101</v>
      </c>
      <c r="AG1586">
        <v>-0.18517249999999999</v>
      </c>
      <c r="AH1586">
        <v>0.41547452255744999</v>
      </c>
      <c r="AI1586">
        <v>113.311130824337</v>
      </c>
      <c r="AJ1586">
        <v>75.197803735887305</v>
      </c>
      <c r="AK1586">
        <v>0.46793355179604701</v>
      </c>
      <c r="AL1586">
        <v>87.172776206287907</v>
      </c>
      <c r="AM1586">
        <v>87.095589649512803</v>
      </c>
      <c r="AN1586">
        <v>0.99999996267536695</v>
      </c>
    </row>
    <row r="1587" spans="1:40" x14ac:dyDescent="0.25">
      <c r="A1587" t="str">
        <f>"20190312154539280"</f>
        <v>20190312154539280</v>
      </c>
      <c r="B1587" t="str">
        <f>"1552376739278485"</f>
        <v>1552376739278485</v>
      </c>
      <c r="C1587" t="s">
        <v>40</v>
      </c>
      <c r="D1587">
        <v>4.4189579999999999</v>
      </c>
      <c r="E1587">
        <v>0.54416819999999999</v>
      </c>
      <c r="F1587" t="s">
        <v>41</v>
      </c>
      <c r="G1587">
        <v>-277.24630000000002</v>
      </c>
      <c r="H1587">
        <v>0.93177120000000002</v>
      </c>
      <c r="I1587">
        <v>282.69319999999999</v>
      </c>
      <c r="J1587">
        <v>-276.81549999999999</v>
      </c>
      <c r="K1587">
        <v>1.1082069999999999</v>
      </c>
      <c r="L1587">
        <v>282.56479999999999</v>
      </c>
      <c r="M1587">
        <v>-0.99977959999999999</v>
      </c>
      <c r="N1587">
        <v>0</v>
      </c>
      <c r="O1587">
        <v>2.0895400000000001E-2</v>
      </c>
      <c r="P1587">
        <v>-0.9963265</v>
      </c>
      <c r="Q1587">
        <v>4.7670110000000002E-2</v>
      </c>
      <c r="R1587">
        <v>7.1143990000000004E-2</v>
      </c>
      <c r="S1587">
        <v>-3.0059200000000001</v>
      </c>
      <c r="T1587">
        <v>-0.69781230000000005</v>
      </c>
      <c r="U1587">
        <v>0.53469849999999997</v>
      </c>
      <c r="V1587">
        <v>5.0335600000000001E-2</v>
      </c>
      <c r="W1587">
        <v>4.9697730000000002E-2</v>
      </c>
      <c r="X1587">
        <v>0.99749509999999997</v>
      </c>
      <c r="Y1587">
        <v>0.15116569999999999</v>
      </c>
      <c r="Z1587">
        <v>1.2437429999999999E-2</v>
      </c>
      <c r="AA1587">
        <v>0.98843020000000004</v>
      </c>
      <c r="AB1587">
        <v>32</v>
      </c>
      <c r="AC1587">
        <v>-0.43080000000003299</v>
      </c>
      <c r="AD1587">
        <v>-0.1764358</v>
      </c>
      <c r="AE1587">
        <v>0.12839999999999899</v>
      </c>
      <c r="AF1587">
        <v>0.10343594875694501</v>
      </c>
      <c r="AG1587">
        <v>-0.1764358</v>
      </c>
      <c r="AH1587">
        <v>0.375537532767242</v>
      </c>
      <c r="AI1587">
        <v>114.368367025295</v>
      </c>
      <c r="AJ1587">
        <v>74.600612837884796</v>
      </c>
      <c r="AK1587">
        <v>0.42761784987743101</v>
      </c>
      <c r="AL1587">
        <v>87.151356387164498</v>
      </c>
      <c r="AM1587">
        <v>87.111190615929104</v>
      </c>
      <c r="AN1587">
        <v>1.00000000575926</v>
      </c>
    </row>
    <row r="1588" spans="1:40" x14ac:dyDescent="0.25">
      <c r="A1588" t="str">
        <f>"20190312154539304"</f>
        <v>20190312154539304</v>
      </c>
      <c r="B1588" t="str">
        <f>"1552376739298005"</f>
        <v>1552376739298005</v>
      </c>
      <c r="C1588" t="s">
        <v>40</v>
      </c>
      <c r="D1588">
        <v>4.4217420000000001</v>
      </c>
      <c r="E1588">
        <v>0.54424629999999996</v>
      </c>
      <c r="F1588" t="s">
        <v>41</v>
      </c>
      <c r="G1588">
        <v>-277.53620000000001</v>
      </c>
      <c r="H1588">
        <v>0.94068529999999995</v>
      </c>
      <c r="I1588">
        <v>282.69319999999999</v>
      </c>
      <c r="J1588">
        <v>-277.15280000000001</v>
      </c>
      <c r="K1588">
        <v>1.1082320000000001</v>
      </c>
      <c r="L1588">
        <v>282.572</v>
      </c>
      <c r="M1588">
        <v>-0.99977559999999999</v>
      </c>
      <c r="N1588">
        <v>0</v>
      </c>
      <c r="O1588">
        <v>2.1079980000000002E-2</v>
      </c>
      <c r="P1588">
        <v>-0.99636009999999997</v>
      </c>
      <c r="Q1588">
        <v>4.7348179999999997E-2</v>
      </c>
      <c r="R1588">
        <v>7.0885450000000003E-2</v>
      </c>
      <c r="S1588">
        <v>-3.006348</v>
      </c>
      <c r="T1588">
        <v>-0.69887410000000005</v>
      </c>
      <c r="U1588">
        <v>0.53421019999999997</v>
      </c>
      <c r="V1588">
        <v>4.9888729999999999E-2</v>
      </c>
      <c r="W1588">
        <v>4.9411499999999997E-2</v>
      </c>
      <c r="X1588">
        <v>0.99753179999999997</v>
      </c>
      <c r="Y1588">
        <v>0.1508082</v>
      </c>
      <c r="Z1588">
        <v>1.237166E-2</v>
      </c>
      <c r="AA1588">
        <v>0.98848559999999996</v>
      </c>
      <c r="AB1588">
        <v>32</v>
      </c>
      <c r="AC1588">
        <v>-0.38339999999999402</v>
      </c>
      <c r="AD1588">
        <v>-0.16754669999999899</v>
      </c>
      <c r="AE1588">
        <v>0.121199999999987</v>
      </c>
      <c r="AF1588">
        <v>9.6360745975061293E-2</v>
      </c>
      <c r="AG1588">
        <v>-0.16754669999999899</v>
      </c>
      <c r="AH1588">
        <v>0.32878564235046298</v>
      </c>
      <c r="AI1588">
        <v>116.05967407699301</v>
      </c>
      <c r="AJ1588">
        <v>73.665154211559297</v>
      </c>
      <c r="AK1588">
        <v>0.38138863205602602</v>
      </c>
      <c r="AL1588">
        <v>87.167776419550094</v>
      </c>
      <c r="AM1588">
        <v>87.136899221373795</v>
      </c>
      <c r="AN1588">
        <v>1.0000000368622499</v>
      </c>
    </row>
    <row r="1589" spans="1:40" x14ac:dyDescent="0.25">
      <c r="A1589" t="str">
        <f>"20190312154539324"</f>
        <v>20190312154539324</v>
      </c>
      <c r="B1589" t="str">
        <f>"1552376739318501"</f>
        <v>1552376739318501</v>
      </c>
      <c r="C1589" t="s">
        <v>40</v>
      </c>
      <c r="D1589">
        <v>4.483403</v>
      </c>
      <c r="E1589">
        <v>0.54427329999999996</v>
      </c>
      <c r="F1589" t="s">
        <v>41</v>
      </c>
      <c r="G1589">
        <v>-278.0908</v>
      </c>
      <c r="H1589">
        <v>0.88905699999999999</v>
      </c>
      <c r="I1589">
        <v>282.73860000000002</v>
      </c>
      <c r="J1589">
        <v>-277.44110000000001</v>
      </c>
      <c r="K1589">
        <v>1.108252</v>
      </c>
      <c r="L1589">
        <v>282.57819999999998</v>
      </c>
      <c r="M1589">
        <v>-0.99977269999999896</v>
      </c>
      <c r="N1589">
        <v>0</v>
      </c>
      <c r="O1589">
        <v>2.120787E-2</v>
      </c>
      <c r="P1589">
        <v>-0.99640229999999996</v>
      </c>
      <c r="Q1589">
        <v>4.7261480000000002E-2</v>
      </c>
      <c r="R1589">
        <v>7.0347019999999996E-2</v>
      </c>
      <c r="S1589">
        <v>-3.0063780000000002</v>
      </c>
      <c r="T1589">
        <v>-0.70246640000000005</v>
      </c>
      <c r="U1589">
        <v>0.5339661</v>
      </c>
      <c r="V1589">
        <v>4.9219110000000003E-2</v>
      </c>
      <c r="W1589">
        <v>4.937101E-2</v>
      </c>
      <c r="X1589">
        <v>0.99756710000000004</v>
      </c>
      <c r="Y1589">
        <v>0.1505775</v>
      </c>
      <c r="Z1589">
        <v>1.237796E-2</v>
      </c>
      <c r="AA1589">
        <v>0.98852070000000003</v>
      </c>
      <c r="AB1589">
        <v>32</v>
      </c>
      <c r="AC1589">
        <v>-0.64969999999999495</v>
      </c>
      <c r="AD1589">
        <v>-0.219195</v>
      </c>
      <c r="AE1589">
        <v>0.16040000000003801</v>
      </c>
      <c r="AF1589">
        <v>0.13238245077334401</v>
      </c>
      <c r="AG1589">
        <v>-0.219195</v>
      </c>
      <c r="AH1589">
        <v>0.58969051736192402</v>
      </c>
      <c r="AI1589">
        <v>109.934947881867</v>
      </c>
      <c r="AJ1589">
        <v>77.3471709113184</v>
      </c>
      <c r="AK1589">
        <v>0.64288915651481504</v>
      </c>
      <c r="AL1589">
        <v>87.170099249248906</v>
      </c>
      <c r="AM1589">
        <v>87.175365664900397</v>
      </c>
      <c r="AN1589">
        <v>1.0000000682100001</v>
      </c>
    </row>
    <row r="1590" spans="1:40" x14ac:dyDescent="0.25">
      <c r="A1590" t="str">
        <f>"20190312154539346"</f>
        <v>20190312154539346</v>
      </c>
      <c r="B1590" t="str">
        <f>"1552376739338024"</f>
        <v>1552376739338024</v>
      </c>
      <c r="C1590" t="s">
        <v>40</v>
      </c>
      <c r="D1590">
        <v>4.4870489999999998</v>
      </c>
      <c r="E1590">
        <v>0.54424969999999995</v>
      </c>
      <c r="F1590" t="s">
        <v>41</v>
      </c>
      <c r="G1590">
        <v>-278.38010000000003</v>
      </c>
      <c r="H1590">
        <v>0.88805270000000003</v>
      </c>
      <c r="I1590">
        <v>282.74470000000002</v>
      </c>
      <c r="J1590">
        <v>-277.76729999999998</v>
      </c>
      <c r="K1590">
        <v>1.1082970000000001</v>
      </c>
      <c r="L1590">
        <v>282.58519999999999</v>
      </c>
      <c r="M1590">
        <v>-0.99977000000000005</v>
      </c>
      <c r="N1590">
        <v>0</v>
      </c>
      <c r="O1590">
        <v>2.132529E-2</v>
      </c>
      <c r="P1590">
        <v>-0.99643060000000006</v>
      </c>
      <c r="Q1590">
        <v>4.6943930000000002E-2</v>
      </c>
      <c r="R1590">
        <v>7.0159319999999997E-2</v>
      </c>
      <c r="S1590">
        <v>-3.006653</v>
      </c>
      <c r="T1590">
        <v>-0.70508740000000003</v>
      </c>
      <c r="U1590">
        <v>0.53283689999999995</v>
      </c>
      <c r="V1590">
        <v>4.8911019999999999E-2</v>
      </c>
      <c r="W1590">
        <v>4.9187660000000001E-2</v>
      </c>
      <c r="X1590">
        <v>0.99759129999999996</v>
      </c>
      <c r="Y1590">
        <v>0.15007760000000001</v>
      </c>
      <c r="Z1590">
        <v>1.233792E-2</v>
      </c>
      <c r="AA1590">
        <v>0.98859719999999995</v>
      </c>
      <c r="AB1590">
        <v>32</v>
      </c>
      <c r="AC1590">
        <v>-0.61280000000004897</v>
      </c>
      <c r="AD1590">
        <v>-0.220244299999999</v>
      </c>
      <c r="AE1590">
        <v>0.159500000000036</v>
      </c>
      <c r="AF1590">
        <v>0.13059636160198099</v>
      </c>
      <c r="AG1590">
        <v>-0.220244299999999</v>
      </c>
      <c r="AH1590">
        <v>0.549575836098949</v>
      </c>
      <c r="AI1590">
        <v>111.30061023353301</v>
      </c>
      <c r="AJ1590">
        <v>76.632666313201298</v>
      </c>
      <c r="AK1590">
        <v>0.60629741956404803</v>
      </c>
      <c r="AL1590">
        <v>87.180617179306296</v>
      </c>
      <c r="AM1590">
        <v>87.193086252389094</v>
      </c>
      <c r="AN1590">
        <v>1.0000000578046999</v>
      </c>
    </row>
    <row r="1591" spans="1:40" x14ac:dyDescent="0.25">
      <c r="A1591" t="str">
        <f>"20190312154539370"</f>
        <v>20190312154539370</v>
      </c>
      <c r="B1591" t="str">
        <f>"1552376739358516"</f>
        <v>1552376739358516</v>
      </c>
      <c r="C1591" t="s">
        <v>40</v>
      </c>
      <c r="D1591">
        <v>4.4655329999999998</v>
      </c>
      <c r="E1591">
        <v>0.54427159999999997</v>
      </c>
      <c r="F1591" t="s">
        <v>41</v>
      </c>
      <c r="G1591">
        <v>-278.67349999999999</v>
      </c>
      <c r="H1591">
        <v>0.89493929999999999</v>
      </c>
      <c r="I1591">
        <v>282.74579999999997</v>
      </c>
      <c r="J1591">
        <v>-278.10860000000002</v>
      </c>
      <c r="K1591">
        <v>1.108385</v>
      </c>
      <c r="L1591">
        <v>282.5926</v>
      </c>
      <c r="M1591">
        <v>-0.99976730000000003</v>
      </c>
      <c r="N1591">
        <v>0</v>
      </c>
      <c r="O1591">
        <v>2.1422110000000001E-2</v>
      </c>
      <c r="P1591">
        <v>-0.99643780000000004</v>
      </c>
      <c r="Q1591">
        <v>4.677195E-2</v>
      </c>
      <c r="R1591">
        <v>7.0174260000000002E-2</v>
      </c>
      <c r="S1591">
        <v>-3.006653</v>
      </c>
      <c r="T1591">
        <v>-0.7079394</v>
      </c>
      <c r="U1591">
        <v>0.53247069999999996</v>
      </c>
      <c r="V1591">
        <v>4.8826479999999998E-2</v>
      </c>
      <c r="W1591">
        <v>4.9331970000000003E-2</v>
      </c>
      <c r="X1591">
        <v>0.99758829999999998</v>
      </c>
      <c r="Y1591">
        <v>0.1498467</v>
      </c>
      <c r="Z1591">
        <v>1.233772E-2</v>
      </c>
      <c r="AA1591">
        <v>0.98863230000000002</v>
      </c>
      <c r="AB1591">
        <v>32</v>
      </c>
      <c r="AC1591">
        <v>-0.56489999999996598</v>
      </c>
      <c r="AD1591">
        <v>-0.21344569999999999</v>
      </c>
      <c r="AE1591">
        <v>0.153199999999969</v>
      </c>
      <c r="AF1591">
        <v>0.12450577551219499</v>
      </c>
      <c r="AG1591">
        <v>-0.21344569999999999</v>
      </c>
      <c r="AH1591">
        <v>0.50137567782671399</v>
      </c>
      <c r="AI1591">
        <v>112.449002500448</v>
      </c>
      <c r="AJ1591">
        <v>76.0539384656837</v>
      </c>
      <c r="AK1591">
        <v>0.55896182812476602</v>
      </c>
      <c r="AL1591">
        <v>87.172338732119897</v>
      </c>
      <c r="AM1591">
        <v>87.197921696071504</v>
      </c>
      <c r="AN1591">
        <v>1.0000000423550699</v>
      </c>
    </row>
    <row r="1592" spans="1:40" x14ac:dyDescent="0.25">
      <c r="A1592" t="str">
        <f>"20190312154539391"</f>
        <v>20190312154539391</v>
      </c>
      <c r="B1592" t="str">
        <f>"1552376739387797"</f>
        <v>1552376739387797</v>
      </c>
      <c r="C1592" t="s">
        <v>40</v>
      </c>
      <c r="D1592">
        <v>4.5355439999999998</v>
      </c>
      <c r="E1592">
        <v>0.54434110000000002</v>
      </c>
      <c r="F1592" t="s">
        <v>41</v>
      </c>
      <c r="G1592">
        <v>-278.96859999999998</v>
      </c>
      <c r="H1592">
        <v>0.90496540000000003</v>
      </c>
      <c r="I1592">
        <v>282.745</v>
      </c>
      <c r="J1592">
        <v>-278.42399999999998</v>
      </c>
      <c r="K1592">
        <v>1.1085160000000001</v>
      </c>
      <c r="L1592">
        <v>282.5994</v>
      </c>
      <c r="M1592">
        <v>-0.99976430000000005</v>
      </c>
      <c r="N1592">
        <v>0</v>
      </c>
      <c r="O1592">
        <v>2.149009E-2</v>
      </c>
      <c r="P1592">
        <v>-0.99645269999999997</v>
      </c>
      <c r="Q1592">
        <v>4.6321399999999999E-2</v>
      </c>
      <c r="R1592">
        <v>7.0258059999999997E-2</v>
      </c>
      <c r="S1592">
        <v>-3.0065919999999999</v>
      </c>
      <c r="T1592">
        <v>-0.71111059999999904</v>
      </c>
      <c r="U1592">
        <v>0.53244019999999903</v>
      </c>
      <c r="V1592">
        <v>4.883995E-2</v>
      </c>
      <c r="W1592">
        <v>4.9403410000000002E-2</v>
      </c>
      <c r="X1592">
        <v>0.99758400000000003</v>
      </c>
      <c r="Y1592">
        <v>0.1497474</v>
      </c>
      <c r="Z1592">
        <v>1.236456E-2</v>
      </c>
      <c r="AA1592">
        <v>0.98864700000000005</v>
      </c>
      <c r="AB1592">
        <v>33</v>
      </c>
      <c r="AC1592">
        <v>-0.54459999999994502</v>
      </c>
      <c r="AD1592">
        <v>-0.2035506</v>
      </c>
      <c r="AE1592">
        <v>0.14560000000000101</v>
      </c>
      <c r="AF1592">
        <v>0.118422984285029</v>
      </c>
      <c r="AG1592">
        <v>-0.2035506</v>
      </c>
      <c r="AH1592">
        <v>0.48444226065107898</v>
      </c>
      <c r="AI1592">
        <v>112.203170451096</v>
      </c>
      <c r="AJ1592">
        <v>76.263311508138301</v>
      </c>
      <c r="AK1592">
        <v>0.53864752284964701</v>
      </c>
      <c r="AL1592">
        <v>87.168240227142903</v>
      </c>
      <c r="AM1592">
        <v>87.197137843340499</v>
      </c>
      <c r="AN1592">
        <v>0.99999993734581305</v>
      </c>
    </row>
    <row r="1593" spans="1:40" x14ac:dyDescent="0.25">
      <c r="A1593" t="str">
        <f>"20190312154539414"</f>
        <v>20190312154539414</v>
      </c>
      <c r="B1593" t="str">
        <f>"1552376739408293"</f>
        <v>1552376739408293</v>
      </c>
      <c r="C1593" t="s">
        <v>40</v>
      </c>
      <c r="D1593">
        <v>4.5114359999999998</v>
      </c>
      <c r="E1593">
        <v>0.54437729999999995</v>
      </c>
      <c r="F1593" t="s">
        <v>41</v>
      </c>
      <c r="G1593">
        <v>-279.26150000000001</v>
      </c>
      <c r="H1593">
        <v>0.90926459999999998</v>
      </c>
      <c r="I1593">
        <v>282.7484</v>
      </c>
      <c r="J1593">
        <v>-278.7466</v>
      </c>
      <c r="K1593">
        <v>1.1087149999999999</v>
      </c>
      <c r="L1593">
        <v>282.60640000000001</v>
      </c>
      <c r="M1593">
        <v>-0.99976039999999999</v>
      </c>
      <c r="N1593">
        <v>0</v>
      </c>
      <c r="O1593">
        <v>2.1533799999999999E-2</v>
      </c>
      <c r="P1593">
        <v>-0.99647799999999997</v>
      </c>
      <c r="Q1593">
        <v>4.5724269999999997E-2</v>
      </c>
      <c r="R1593">
        <v>7.0294860000000001E-2</v>
      </c>
      <c r="S1593">
        <v>-3.0063170000000001</v>
      </c>
      <c r="T1593">
        <v>-0.71526659999999997</v>
      </c>
      <c r="U1593">
        <v>0.53363039999999995</v>
      </c>
      <c r="V1593">
        <v>4.8831140000000002E-2</v>
      </c>
      <c r="W1593">
        <v>4.9647709999999998E-2</v>
      </c>
      <c r="X1593">
        <v>0.99757240000000003</v>
      </c>
      <c r="Y1593">
        <v>0.15005209999999999</v>
      </c>
      <c r="Z1593">
        <v>1.2460890000000001E-2</v>
      </c>
      <c r="AA1593">
        <v>0.98859960000000002</v>
      </c>
      <c r="AB1593">
        <v>33</v>
      </c>
      <c r="AC1593">
        <v>-0.51490000000001102</v>
      </c>
      <c r="AD1593">
        <v>-0.199450399999999</v>
      </c>
      <c r="AE1593">
        <v>0.14199999999999499</v>
      </c>
      <c r="AF1593">
        <v>0.1148627050475</v>
      </c>
      <c r="AG1593">
        <v>-0.199450399999999</v>
      </c>
      <c r="AH1593">
        <v>0.45446722839589598</v>
      </c>
      <c r="AI1593">
        <v>113.04912586608999</v>
      </c>
      <c r="AJ1593">
        <v>75.8160184079386</v>
      </c>
      <c r="AK1593">
        <v>0.50942552424945897</v>
      </c>
      <c r="AL1593">
        <v>87.154225945533895</v>
      </c>
      <c r="AM1593">
        <v>87.197610097429106</v>
      </c>
      <c r="AN1593">
        <v>1.00000003429185</v>
      </c>
    </row>
    <row r="1594" spans="1:40" x14ac:dyDescent="0.25">
      <c r="A1594" t="str">
        <f>"20190312154539437"</f>
        <v>20190312154539437</v>
      </c>
      <c r="B1594" t="str">
        <f>"1552376739427813"</f>
        <v>1552376739427813</v>
      </c>
      <c r="C1594" t="s">
        <v>40</v>
      </c>
      <c r="D1594">
        <v>4.6139250000000001</v>
      </c>
      <c r="E1594">
        <v>0.54393879999999994</v>
      </c>
      <c r="F1594" t="s">
        <v>41</v>
      </c>
      <c r="G1594">
        <v>-279.55439999999999</v>
      </c>
      <c r="H1594">
        <v>0.91538169999999996</v>
      </c>
      <c r="I1594">
        <v>282.75</v>
      </c>
      <c r="J1594">
        <v>-279.08210000000003</v>
      </c>
      <c r="K1594">
        <v>1.108935</v>
      </c>
      <c r="L1594">
        <v>282.61360000000002</v>
      </c>
      <c r="M1594">
        <v>-0.99975530000000001</v>
      </c>
      <c r="N1594">
        <v>0</v>
      </c>
      <c r="O1594">
        <v>2.1554050000000002E-2</v>
      </c>
      <c r="P1594">
        <v>-0.99652850000000004</v>
      </c>
      <c r="Q1594">
        <v>4.4670880000000003E-2</v>
      </c>
      <c r="R1594">
        <v>7.0254659999999997E-2</v>
      </c>
      <c r="S1594">
        <v>-3.005951</v>
      </c>
      <c r="T1594">
        <v>-0.71953389999999995</v>
      </c>
      <c r="U1594">
        <v>0.53399659999999904</v>
      </c>
      <c r="V1594">
        <v>4.8767770000000002E-2</v>
      </c>
      <c r="W1594">
        <v>4.9656289999999999E-2</v>
      </c>
      <c r="X1594">
        <v>0.99757499999999999</v>
      </c>
      <c r="Y1594">
        <v>0.15012619999999999</v>
      </c>
      <c r="Z1594">
        <v>1.2538499999999999E-2</v>
      </c>
      <c r="AA1594">
        <v>0.98858729999999995</v>
      </c>
      <c r="AB1594">
        <v>33</v>
      </c>
      <c r="AC1594">
        <v>-0.47229999999996097</v>
      </c>
      <c r="AD1594">
        <v>-0.19355330000000001</v>
      </c>
      <c r="AE1594">
        <v>0.13639999999998001</v>
      </c>
      <c r="AF1594">
        <v>0.109252418499202</v>
      </c>
      <c r="AG1594">
        <v>-0.19355330000000001</v>
      </c>
      <c r="AH1594">
        <v>0.41136278574834101</v>
      </c>
      <c r="AI1594">
        <v>114.4537757904</v>
      </c>
      <c r="AJ1594">
        <v>75.126376441272996</v>
      </c>
      <c r="AK1594">
        <v>0.46756637217345998</v>
      </c>
      <c r="AL1594">
        <v>87.153733533527998</v>
      </c>
      <c r="AM1594">
        <v>87.201248360597305</v>
      </c>
      <c r="AN1594">
        <v>0.999999961576167</v>
      </c>
    </row>
    <row r="1595" spans="1:40" x14ac:dyDescent="0.25">
      <c r="A1595" t="str">
        <f>"20190312154539460"</f>
        <v>20190312154539460</v>
      </c>
      <c r="B1595" t="str">
        <f>"1552376739448308"</f>
        <v>1552376739448308</v>
      </c>
      <c r="C1595" t="s">
        <v>40</v>
      </c>
      <c r="D1595">
        <v>4.5719799999999999</v>
      </c>
      <c r="E1595">
        <v>0.5108433</v>
      </c>
      <c r="F1595" t="s">
        <v>41</v>
      </c>
      <c r="G1595">
        <v>-279.84829999999999</v>
      </c>
      <c r="H1595">
        <v>0.92447480000000004</v>
      </c>
      <c r="I1595">
        <v>282.74889999999999</v>
      </c>
      <c r="J1595">
        <v>-279.40719999999999</v>
      </c>
      <c r="K1595">
        <v>1.1090949999999999</v>
      </c>
      <c r="L1595">
        <v>282.6207</v>
      </c>
      <c r="M1595">
        <v>-0.99975000000000003</v>
      </c>
      <c r="N1595">
        <v>0</v>
      </c>
      <c r="O1595">
        <v>2.155992E-2</v>
      </c>
      <c r="P1595">
        <v>-0.99657309999999999</v>
      </c>
      <c r="Q1595">
        <v>4.3456759999999997E-2</v>
      </c>
      <c r="R1595">
        <v>7.038382E-2</v>
      </c>
      <c r="S1595">
        <v>-3.0055239999999999</v>
      </c>
      <c r="T1595">
        <v>-0.72353650000000003</v>
      </c>
      <c r="U1595">
        <v>0.53012079999999995</v>
      </c>
      <c r="V1595">
        <v>4.888808E-2</v>
      </c>
      <c r="W1595">
        <v>4.9386260000000001E-2</v>
      </c>
      <c r="X1595">
        <v>0.99758259999999999</v>
      </c>
      <c r="Y1595">
        <v>0.1489016</v>
      </c>
      <c r="Z1595">
        <v>1.2463739999999999E-2</v>
      </c>
      <c r="AA1595">
        <v>0.98877349999999997</v>
      </c>
      <c r="AB1595">
        <v>32</v>
      </c>
      <c r="AC1595">
        <v>-0.44110000000000499</v>
      </c>
      <c r="AD1595">
        <v>-0.18462020000000001</v>
      </c>
      <c r="AE1595">
        <v>0.12819999999999199</v>
      </c>
      <c r="AF1595">
        <v>0.102157873197408</v>
      </c>
      <c r="AG1595">
        <v>-0.18462020000000001</v>
      </c>
      <c r="AH1595">
        <v>0.382047437531574</v>
      </c>
      <c r="AI1595">
        <v>115.02493064116599</v>
      </c>
      <c r="AJ1595">
        <v>75.029588151400901</v>
      </c>
      <c r="AK1595">
        <v>0.436441397931841</v>
      </c>
      <c r="AL1595">
        <v>87.169224356966396</v>
      </c>
      <c r="AM1595">
        <v>87.194376204259598</v>
      </c>
      <c r="AN1595">
        <v>1.00000004543281</v>
      </c>
    </row>
    <row r="1596" spans="1:40" x14ac:dyDescent="0.25">
      <c r="A1596" t="str">
        <f>"20190312154539483"</f>
        <v>20190312154539483</v>
      </c>
      <c r="B1596" t="str">
        <f>"1552376739478565"</f>
        <v>1552376739478565</v>
      </c>
      <c r="C1596" t="s">
        <v>40</v>
      </c>
      <c r="D1596">
        <v>4.5982269999999996</v>
      </c>
      <c r="E1596">
        <v>0.51034449999999998</v>
      </c>
      <c r="F1596" t="s">
        <v>41</v>
      </c>
      <c r="G1596">
        <v>-280.14830000000001</v>
      </c>
      <c r="H1596">
        <v>0.94408630000000004</v>
      </c>
      <c r="I1596">
        <v>282.68689999999998</v>
      </c>
      <c r="J1596">
        <v>-279.7518</v>
      </c>
      <c r="K1596">
        <v>1.1092200000000001</v>
      </c>
      <c r="L1596">
        <v>282.62810000000002</v>
      </c>
      <c r="M1596">
        <v>-0.99974439999999998</v>
      </c>
      <c r="N1596">
        <v>0</v>
      </c>
      <c r="O1596">
        <v>2.1555680000000001E-2</v>
      </c>
      <c r="P1596">
        <v>-0.99662919999999999</v>
      </c>
      <c r="Q1596">
        <v>4.2254510000000002E-2</v>
      </c>
      <c r="R1596">
        <v>7.03212E-2</v>
      </c>
      <c r="S1596">
        <v>-3.0206599999999999</v>
      </c>
      <c r="T1596">
        <v>-0.67258859999999998</v>
      </c>
      <c r="U1596">
        <v>0.26956180000000002</v>
      </c>
      <c r="V1596">
        <v>4.8826519999999998E-2</v>
      </c>
      <c r="W1596">
        <v>4.9062399999999999E-2</v>
      </c>
      <c r="X1596">
        <v>0.99760159999999998</v>
      </c>
      <c r="Y1596">
        <v>6.6307690000000002E-2</v>
      </c>
      <c r="Z1596">
        <v>2.5476510000000002E-3</v>
      </c>
      <c r="AA1596">
        <v>0.99779600000000002</v>
      </c>
      <c r="AB1596">
        <v>32</v>
      </c>
      <c r="AC1596">
        <v>-0.39650000000000302</v>
      </c>
      <c r="AD1596">
        <v>-0.165133699999999</v>
      </c>
      <c r="AE1596">
        <v>5.8799999999962403E-2</v>
      </c>
      <c r="AF1596">
        <v>4.2949797177026301E-2</v>
      </c>
      <c r="AG1596">
        <v>-0.165133699999999</v>
      </c>
      <c r="AH1596">
        <v>0.339974337086551</v>
      </c>
      <c r="AI1596">
        <v>115.729126554313</v>
      </c>
      <c r="AJ1596">
        <v>82.799825743068993</v>
      </c>
      <c r="AK1596">
        <v>0.38038976567552102</v>
      </c>
      <c r="AL1596">
        <v>87.187802702496299</v>
      </c>
      <c r="AM1596">
        <v>87.197956701923204</v>
      </c>
      <c r="AN1596">
        <v>1.00000005023581</v>
      </c>
    </row>
    <row r="1597" spans="1:40" x14ac:dyDescent="0.25">
      <c r="A1597" t="str">
        <f>"20190312154539506"</f>
        <v>20190312154539506</v>
      </c>
      <c r="B1597" t="str">
        <f>"1552376739498084"</f>
        <v>1552376739498084</v>
      </c>
      <c r="C1597" t="s">
        <v>40</v>
      </c>
      <c r="D1597">
        <v>4.5829829999999996</v>
      </c>
      <c r="E1597">
        <v>0.5098338</v>
      </c>
      <c r="F1597" t="s">
        <v>41</v>
      </c>
      <c r="G1597">
        <v>-280.44229999999999</v>
      </c>
      <c r="H1597">
        <v>0.95135499999999995</v>
      </c>
      <c r="I1597">
        <v>282.68880000000001</v>
      </c>
      <c r="J1597">
        <v>-280.07240000000002</v>
      </c>
      <c r="K1597">
        <v>1.1092959999999901</v>
      </c>
      <c r="L1597">
        <v>282.63499999999999</v>
      </c>
      <c r="M1597">
        <v>-0.99973939999999994</v>
      </c>
      <c r="N1597">
        <v>0</v>
      </c>
      <c r="O1597">
        <v>2.154387E-2</v>
      </c>
      <c r="P1597">
        <v>-0.99664569999999997</v>
      </c>
      <c r="Q1597">
        <v>4.1919860000000003E-2</v>
      </c>
      <c r="R1597">
        <v>7.0288950000000003E-2</v>
      </c>
      <c r="S1597">
        <v>-3.0207519999999999</v>
      </c>
      <c r="T1597">
        <v>-0.69065919999999903</v>
      </c>
      <c r="U1597">
        <v>0.26495360000000001</v>
      </c>
      <c r="V1597">
        <v>4.8804920000000002E-2</v>
      </c>
      <c r="W1597">
        <v>4.9466749999999997E-2</v>
      </c>
      <c r="X1597">
        <v>0.99758259999999999</v>
      </c>
      <c r="Y1597">
        <v>6.4786350000000006E-2</v>
      </c>
      <c r="Z1597">
        <v>2.4457279999999999E-3</v>
      </c>
      <c r="AA1597">
        <v>0.99789609999999995</v>
      </c>
      <c r="AB1597">
        <v>32</v>
      </c>
      <c r="AC1597">
        <v>-0.36989999999997197</v>
      </c>
      <c r="AD1597">
        <v>-0.157940999999999</v>
      </c>
      <c r="AE1597">
        <v>5.3800000000023801E-2</v>
      </c>
      <c r="AF1597">
        <v>3.8877169743738497E-2</v>
      </c>
      <c r="AG1597">
        <v>-0.157940999999999</v>
      </c>
      <c r="AH1597">
        <v>0.31477419407562202</v>
      </c>
      <c r="AI1597">
        <v>116.47219965046</v>
      </c>
      <c r="AJ1597">
        <v>82.959162276886303</v>
      </c>
      <c r="AK1597">
        <v>0.35431566020180499</v>
      </c>
      <c r="AL1597">
        <v>87.164606738733198</v>
      </c>
      <c r="AM1597">
        <v>87.199141043440093</v>
      </c>
      <c r="AN1597">
        <v>0.99999996169726302</v>
      </c>
    </row>
    <row r="1598" spans="1:40" x14ac:dyDescent="0.25">
      <c r="A1598" t="str">
        <f>"20190312154539527"</f>
        <v>20190312154539527</v>
      </c>
      <c r="B1598" t="str">
        <f>"1552376739518581"</f>
        <v>1552376739518581</v>
      </c>
      <c r="C1598" t="s">
        <v>40</v>
      </c>
      <c r="D1598">
        <v>4.57484</v>
      </c>
      <c r="E1598">
        <v>0.51073489999999999</v>
      </c>
      <c r="F1598" t="s">
        <v>41</v>
      </c>
      <c r="G1598">
        <v>-280.99810000000002</v>
      </c>
      <c r="H1598">
        <v>0.8993061</v>
      </c>
      <c r="I1598">
        <v>282.71510000000001</v>
      </c>
      <c r="J1598">
        <v>-280.3954</v>
      </c>
      <c r="K1598">
        <v>1.109361</v>
      </c>
      <c r="L1598">
        <v>282.64210000000003</v>
      </c>
      <c r="M1598">
        <v>-0.99973409999999996</v>
      </c>
      <c r="N1598">
        <v>0</v>
      </c>
      <c r="O1598">
        <v>2.1535769999999999E-2</v>
      </c>
      <c r="P1598">
        <v>-0.99670060000000005</v>
      </c>
      <c r="Q1598">
        <v>4.0921899999999997E-2</v>
      </c>
      <c r="R1598">
        <v>7.0096539999999999E-2</v>
      </c>
      <c r="S1598">
        <v>-3.0205380000000002</v>
      </c>
      <c r="T1598">
        <v>-0.68522720000000004</v>
      </c>
      <c r="U1598">
        <v>0.26058959999999998</v>
      </c>
      <c r="V1598">
        <v>4.8618309999999998E-2</v>
      </c>
      <c r="W1598">
        <v>4.9148129999999998E-2</v>
      </c>
      <c r="X1598">
        <v>0.99760749999999998</v>
      </c>
      <c r="Y1598">
        <v>6.3420519999999994E-2</v>
      </c>
      <c r="Z1598">
        <v>2.2763380000000001E-3</v>
      </c>
      <c r="AA1598">
        <v>0.99798430000000005</v>
      </c>
      <c r="AB1598">
        <v>32</v>
      </c>
      <c r="AC1598">
        <v>-0.60270000000002699</v>
      </c>
      <c r="AD1598">
        <v>-0.21005489999999999</v>
      </c>
      <c r="AE1598">
        <v>7.2999999999978998E-2</v>
      </c>
      <c r="AF1598">
        <v>5.3587896607774702E-2</v>
      </c>
      <c r="AG1598">
        <v>-0.21005489999999999</v>
      </c>
      <c r="AH1598">
        <v>0.53954257320634802</v>
      </c>
      <c r="AI1598">
        <v>111.17707414930899</v>
      </c>
      <c r="AJ1598">
        <v>84.327929283058893</v>
      </c>
      <c r="AK1598">
        <v>0.58146445461350704</v>
      </c>
      <c r="AL1598">
        <v>87.182884664974694</v>
      </c>
      <c r="AM1598">
        <v>87.209902955714895</v>
      </c>
      <c r="AN1598">
        <v>1.0000000014029999</v>
      </c>
    </row>
    <row r="1599" spans="1:40" x14ac:dyDescent="0.25">
      <c r="A1599" t="str">
        <f>"20190312154539547"</f>
        <v>20190312154539547</v>
      </c>
      <c r="B1599" t="str">
        <f>"1552376739538104"</f>
        <v>1552376739538104</v>
      </c>
      <c r="C1599" t="s">
        <v>40</v>
      </c>
      <c r="D1599">
        <v>4.587574</v>
      </c>
      <c r="E1599">
        <v>0.51108739999999997</v>
      </c>
      <c r="F1599" t="s">
        <v>41</v>
      </c>
      <c r="G1599">
        <v>-281.2901</v>
      </c>
      <c r="H1599">
        <v>0.90381259999999997</v>
      </c>
      <c r="I1599">
        <v>282.72120000000001</v>
      </c>
      <c r="J1599">
        <v>-280.69569999999999</v>
      </c>
      <c r="K1599">
        <v>1.1093959999999901</v>
      </c>
      <c r="L1599">
        <v>282.64850000000001</v>
      </c>
      <c r="M1599">
        <v>-0.99972939999999999</v>
      </c>
      <c r="N1599">
        <v>0</v>
      </c>
      <c r="O1599">
        <v>2.1532240000000001E-2</v>
      </c>
      <c r="P1599">
        <v>-0.99674209999999996</v>
      </c>
      <c r="Q1599">
        <v>3.9711730000000001E-2</v>
      </c>
      <c r="R1599">
        <v>7.0203710000000003E-2</v>
      </c>
      <c r="S1599">
        <v>-3.0196529999999999</v>
      </c>
      <c r="T1599">
        <v>-0.69374749999999996</v>
      </c>
      <c r="U1599">
        <v>0.26696779999999998</v>
      </c>
      <c r="V1599">
        <v>4.8727340000000001E-2</v>
      </c>
      <c r="W1599">
        <v>4.8507069999999999E-2</v>
      </c>
      <c r="X1599">
        <v>0.99763360000000001</v>
      </c>
      <c r="Y1599">
        <v>6.5461560000000002E-2</v>
      </c>
      <c r="Z1599">
        <v>2.5362010000000001E-3</v>
      </c>
      <c r="AA1599">
        <v>0.99785179999999996</v>
      </c>
      <c r="AB1599">
        <v>32</v>
      </c>
      <c r="AC1599">
        <v>-0.59440000000000703</v>
      </c>
      <c r="AD1599">
        <v>-0.205583399999999</v>
      </c>
      <c r="AE1599">
        <v>7.2699999999997503E-2</v>
      </c>
      <c r="AF1599">
        <v>5.3570066357555499E-2</v>
      </c>
      <c r="AG1599">
        <v>-0.205583399999999</v>
      </c>
      <c r="AH1599">
        <v>0.53300694146392602</v>
      </c>
      <c r="AI1599">
        <v>110.995378358469</v>
      </c>
      <c r="AJ1599">
        <v>84.260738729011393</v>
      </c>
      <c r="AK1599">
        <v>0.57378627206812904</v>
      </c>
      <c r="AL1599">
        <v>87.219658681498501</v>
      </c>
      <c r="AM1599">
        <v>87.203728927430504</v>
      </c>
      <c r="AN1599">
        <v>1.0000000446762001</v>
      </c>
    </row>
    <row r="1600" spans="1:40" x14ac:dyDescent="0.25">
      <c r="A1600" t="str">
        <f>"20190312154539570"</f>
        <v>20190312154539570</v>
      </c>
      <c r="B1600" t="str">
        <f>"1552376739558597"</f>
        <v>1552376739558597</v>
      </c>
      <c r="C1600" t="s">
        <v>40</v>
      </c>
      <c r="D1600">
        <v>4.6067559999999999</v>
      </c>
      <c r="E1600">
        <v>0.51136269999999995</v>
      </c>
      <c r="F1600" t="s">
        <v>41</v>
      </c>
      <c r="G1600">
        <v>-281.58010000000002</v>
      </c>
      <c r="H1600">
        <v>0.9039452</v>
      </c>
      <c r="I1600">
        <v>282.72800000000001</v>
      </c>
      <c r="J1600">
        <v>-281.02140000000003</v>
      </c>
      <c r="K1600">
        <v>1.109423</v>
      </c>
      <c r="L1600">
        <v>282.65550000000002</v>
      </c>
      <c r="M1600">
        <v>-0.99972439999999996</v>
      </c>
      <c r="N1600">
        <v>0</v>
      </c>
      <c r="O1600">
        <v>2.153153E-2</v>
      </c>
      <c r="P1600">
        <v>-0.99681609999999998</v>
      </c>
      <c r="Q1600">
        <v>3.831263E-2</v>
      </c>
      <c r="R1600">
        <v>6.9928760000000006E-2</v>
      </c>
      <c r="S1600">
        <v>-3.0186459999999999</v>
      </c>
      <c r="T1600">
        <v>-0.70126129999999998</v>
      </c>
      <c r="U1600">
        <v>0.27090449999999999</v>
      </c>
      <c r="V1600">
        <v>4.8451000000000001E-2</v>
      </c>
      <c r="W1600">
        <v>4.7655469999999998E-2</v>
      </c>
      <c r="X1600">
        <v>0.99768809999999997</v>
      </c>
      <c r="Y1600">
        <v>6.6724099999999995E-2</v>
      </c>
      <c r="Z1600">
        <v>2.7082510000000001E-3</v>
      </c>
      <c r="AA1600">
        <v>0.99776779999999998</v>
      </c>
      <c r="AB1600">
        <v>32</v>
      </c>
      <c r="AC1600">
        <v>-0.55869999999998698</v>
      </c>
      <c r="AD1600">
        <v>-0.20547779999999999</v>
      </c>
      <c r="AE1600">
        <v>7.2499999999990905E-2</v>
      </c>
      <c r="AF1600">
        <v>5.3355584857831699E-2</v>
      </c>
      <c r="AG1600">
        <v>-0.20547779999999999</v>
      </c>
      <c r="AH1600">
        <v>0.49436997630262203</v>
      </c>
      <c r="AI1600">
        <v>112.452172644006</v>
      </c>
      <c r="AJ1600">
        <v>83.840114444917802</v>
      </c>
      <c r="AK1600">
        <v>0.53802380820723505</v>
      </c>
      <c r="AL1600">
        <v>87.268508263041696</v>
      </c>
      <c r="AM1600">
        <v>87.219713688027696</v>
      </c>
      <c r="AN1600">
        <v>1.00000004405176</v>
      </c>
    </row>
    <row r="1601" spans="1:40" x14ac:dyDescent="0.25">
      <c r="A1601" t="str">
        <f>"20190312154539592"</f>
        <v>20190312154539592</v>
      </c>
      <c r="B1601" t="str">
        <f>"1552376739587877"</f>
        <v>1552376739587877</v>
      </c>
      <c r="C1601" t="s">
        <v>40</v>
      </c>
      <c r="D1601">
        <v>4.6212530000000003</v>
      </c>
      <c r="E1601">
        <v>0.51155320000000004</v>
      </c>
      <c r="F1601" t="s">
        <v>41</v>
      </c>
      <c r="G1601">
        <v>-281.8725</v>
      </c>
      <c r="H1601">
        <v>0.90943479999999999</v>
      </c>
      <c r="I1601">
        <v>282.73239999999998</v>
      </c>
      <c r="J1601">
        <v>-281.33909999999997</v>
      </c>
      <c r="K1601">
        <v>1.1094360000000001</v>
      </c>
      <c r="L1601">
        <v>282.66239999999999</v>
      </c>
      <c r="M1601">
        <v>-0.99971989999999999</v>
      </c>
      <c r="N1601">
        <v>0</v>
      </c>
      <c r="O1601">
        <v>2.1530420000000002E-2</v>
      </c>
      <c r="P1601">
        <v>-0.99687579999999998</v>
      </c>
      <c r="Q1601">
        <v>3.6918489999999998E-2</v>
      </c>
      <c r="R1601">
        <v>6.9827739999999999E-2</v>
      </c>
      <c r="S1601">
        <v>-3.0177610000000001</v>
      </c>
      <c r="T1601">
        <v>-0.70905439999999997</v>
      </c>
      <c r="U1601">
        <v>0.2720032</v>
      </c>
      <c r="V1601">
        <v>4.8349639999999999E-2</v>
      </c>
      <c r="W1601">
        <v>4.6731439999999999E-2</v>
      </c>
      <c r="X1601">
        <v>0.99773670000000003</v>
      </c>
      <c r="Y1601">
        <v>6.7074980000000006E-2</v>
      </c>
      <c r="Z1601">
        <v>2.7791220000000002E-3</v>
      </c>
      <c r="AA1601">
        <v>0.99774410000000002</v>
      </c>
      <c r="AB1601">
        <v>32</v>
      </c>
      <c r="AC1601">
        <v>-0.53340000000002796</v>
      </c>
      <c r="AD1601">
        <v>-0.20000119999999999</v>
      </c>
      <c r="AE1601">
        <v>6.9999999999993096E-2</v>
      </c>
      <c r="AF1601">
        <v>5.1395461574505703E-2</v>
      </c>
      <c r="AG1601">
        <v>-0.20000119999999999</v>
      </c>
      <c r="AH1601">
        <v>0.469845606402162</v>
      </c>
      <c r="AI1601">
        <v>112.93566036033801</v>
      </c>
      <c r="AJ1601">
        <v>83.757350772733105</v>
      </c>
      <c r="AK1601">
        <v>0.51322204485710798</v>
      </c>
      <c r="AL1601">
        <v>87.321510270796097</v>
      </c>
      <c r="AM1601">
        <v>87.225655912883099</v>
      </c>
      <c r="AN1601">
        <v>1.00000001884974</v>
      </c>
    </row>
    <row r="1602" spans="1:40" x14ac:dyDescent="0.25">
      <c r="A1602" t="str">
        <f>"20190312154539615"</f>
        <v>20190312154539615</v>
      </c>
      <c r="B1602" t="str">
        <f>"1552376739608373"</f>
        <v>1552376739608373</v>
      </c>
      <c r="C1602" t="s">
        <v>40</v>
      </c>
      <c r="D1602">
        <v>4.7083879999999896</v>
      </c>
      <c r="E1602">
        <v>0.51186129999999996</v>
      </c>
      <c r="F1602" t="s">
        <v>41</v>
      </c>
      <c r="G1602">
        <v>-282.16489999999999</v>
      </c>
      <c r="H1602">
        <v>0.91507539999999998</v>
      </c>
      <c r="I1602">
        <v>282.73739999999998</v>
      </c>
      <c r="J1602">
        <v>-281.66210000000001</v>
      </c>
      <c r="K1602">
        <v>1.1094440000000001</v>
      </c>
      <c r="L1602">
        <v>282.66930000000002</v>
      </c>
      <c r="M1602">
        <v>-0.99971569999999998</v>
      </c>
      <c r="N1602">
        <v>0</v>
      </c>
      <c r="O1602">
        <v>2.152894E-2</v>
      </c>
      <c r="P1602">
        <v>-0.99691859999999999</v>
      </c>
      <c r="Q1602">
        <v>3.6472070000000002E-2</v>
      </c>
      <c r="R1602">
        <v>6.9449629999999998E-2</v>
      </c>
      <c r="S1602">
        <v>-3.0165410000000001</v>
      </c>
      <c r="T1602">
        <v>-0.71006979999999997</v>
      </c>
      <c r="U1602">
        <v>0.27334589999999998</v>
      </c>
      <c r="V1602">
        <v>4.7972180000000003E-2</v>
      </c>
      <c r="W1602">
        <v>4.6705240000000002E-2</v>
      </c>
      <c r="X1602">
        <v>0.99775610000000003</v>
      </c>
      <c r="Y1602">
        <v>6.7536070000000004E-2</v>
      </c>
      <c r="Z1602">
        <v>2.8377960000000001E-3</v>
      </c>
      <c r="AA1602">
        <v>0.99771279999999996</v>
      </c>
      <c r="AB1602">
        <v>32</v>
      </c>
      <c r="AC1602">
        <v>-0.50279999999997904</v>
      </c>
      <c r="AD1602">
        <v>-0.1943686</v>
      </c>
      <c r="AE1602">
        <v>6.8099999999958499E-2</v>
      </c>
      <c r="AF1602">
        <v>4.9931617673505499E-2</v>
      </c>
      <c r="AG1602">
        <v>-0.1943686</v>
      </c>
      <c r="AH1602">
        <v>0.43963488196212203</v>
      </c>
      <c r="AI1602">
        <v>113.715379765409</v>
      </c>
      <c r="AJ1602">
        <v>83.520386326414794</v>
      </c>
      <c r="AK1602">
        <v>0.48327129911396799</v>
      </c>
      <c r="AL1602">
        <v>87.323012936360001</v>
      </c>
      <c r="AM1602">
        <v>87.247334889520502</v>
      </c>
      <c r="AN1602">
        <v>0.99999997229230897</v>
      </c>
    </row>
    <row r="1603" spans="1:40" x14ac:dyDescent="0.25">
      <c r="A1603" t="str">
        <f>"20190312154539637"</f>
        <v>20190312154539637</v>
      </c>
      <c r="B1603" t="str">
        <f>"1552376739627892"</f>
        <v>1552376739627892</v>
      </c>
      <c r="C1603" t="s">
        <v>40</v>
      </c>
      <c r="D1603">
        <v>4.7991129999999904</v>
      </c>
      <c r="E1603">
        <v>0.54619099999999998</v>
      </c>
      <c r="F1603" t="s">
        <v>41</v>
      </c>
      <c r="G1603">
        <v>-282.45769999999999</v>
      </c>
      <c r="H1603">
        <v>0.92157800000000001</v>
      </c>
      <c r="I1603">
        <v>282.74160000000001</v>
      </c>
      <c r="J1603">
        <v>-281.99579999999997</v>
      </c>
      <c r="K1603">
        <v>1.1094580000000001</v>
      </c>
      <c r="L1603">
        <v>282.67649999999998</v>
      </c>
      <c r="M1603">
        <v>-0.99971180000000004</v>
      </c>
      <c r="N1603">
        <v>0</v>
      </c>
      <c r="O1603">
        <v>2.152807E-2</v>
      </c>
      <c r="P1603">
        <v>-0.99690319999999999</v>
      </c>
      <c r="Q1603">
        <v>3.6220910000000002E-2</v>
      </c>
      <c r="R1603">
        <v>6.9802729999999993E-2</v>
      </c>
      <c r="S1603">
        <v>-3.0161739999999999</v>
      </c>
      <c r="T1603">
        <v>-0.71224069999999995</v>
      </c>
      <c r="U1603">
        <v>0.27416990000000002</v>
      </c>
      <c r="V1603">
        <v>4.8326510000000003E-2</v>
      </c>
      <c r="W1603">
        <v>4.6832890000000002E-2</v>
      </c>
      <c r="X1603">
        <v>0.99773310000000004</v>
      </c>
      <c r="Y1603">
        <v>6.7802979999999999E-2</v>
      </c>
      <c r="Z1603">
        <v>2.8777540000000002E-3</v>
      </c>
      <c r="AA1603">
        <v>0.99769459999999999</v>
      </c>
      <c r="AB1603">
        <v>32</v>
      </c>
      <c r="AC1603">
        <v>-0.46190000000001402</v>
      </c>
      <c r="AD1603">
        <v>-0.18787999999999999</v>
      </c>
      <c r="AE1603">
        <v>6.5100000000029398E-2</v>
      </c>
      <c r="AF1603">
        <v>4.7443862492373097E-2</v>
      </c>
      <c r="AG1603">
        <v>-0.18787999999999999</v>
      </c>
      <c r="AH1603">
        <v>0.39854049794572599</v>
      </c>
      <c r="AI1603">
        <v>115.08499075538001</v>
      </c>
      <c r="AJ1603">
        <v>83.211228827374498</v>
      </c>
      <c r="AK1603">
        <v>0.44315273099804098</v>
      </c>
      <c r="AL1603">
        <v>87.315691340002502</v>
      </c>
      <c r="AM1603">
        <v>87.226971070214205</v>
      </c>
      <c r="AN1603">
        <v>1.0000000549950601</v>
      </c>
    </row>
    <row r="1604" spans="1:40" x14ac:dyDescent="0.25">
      <c r="A1604" t="str">
        <f>"20190312154539659"</f>
        <v>20190312154539659</v>
      </c>
      <c r="B1604" t="str">
        <f>"1552376739648391"</f>
        <v>1552376739648391</v>
      </c>
      <c r="C1604" t="s">
        <v>40</v>
      </c>
      <c r="D1604">
        <v>4.789828</v>
      </c>
      <c r="E1604">
        <v>0.54912539999999999</v>
      </c>
      <c r="F1604" t="s">
        <v>41</v>
      </c>
      <c r="G1604">
        <v>-282.73950000000002</v>
      </c>
      <c r="H1604">
        <v>0.9037771</v>
      </c>
      <c r="I1604">
        <v>282.81180000000001</v>
      </c>
      <c r="J1604">
        <v>-282.30270000000002</v>
      </c>
      <c r="K1604">
        <v>1.109464</v>
      </c>
      <c r="L1604">
        <v>282.68310000000002</v>
      </c>
      <c r="M1604">
        <v>-0.9997085</v>
      </c>
      <c r="N1604">
        <v>0</v>
      </c>
      <c r="O1604">
        <v>2.152741E-2</v>
      </c>
      <c r="P1604">
        <v>-0.99693080000000001</v>
      </c>
      <c r="Q1604">
        <v>3.5653219999999999E-2</v>
      </c>
      <c r="R1604">
        <v>6.9700960000000006E-2</v>
      </c>
      <c r="S1604">
        <v>-3.0013730000000001</v>
      </c>
      <c r="T1604">
        <v>-0.83015249999999996</v>
      </c>
      <c r="U1604">
        <v>0.54418949999999999</v>
      </c>
      <c r="V1604">
        <v>4.8224599999999999E-2</v>
      </c>
      <c r="W1604">
        <v>4.6568070000000003E-2</v>
      </c>
      <c r="X1604">
        <v>0.99775029999999998</v>
      </c>
      <c r="Y1604">
        <v>0.1524237</v>
      </c>
      <c r="Z1604">
        <v>1.473556E-2</v>
      </c>
      <c r="AA1604">
        <v>0.98820540000000001</v>
      </c>
      <c r="AB1604">
        <v>32</v>
      </c>
      <c r="AC1604">
        <v>-0.43680000000000502</v>
      </c>
      <c r="AD1604">
        <v>-0.20568689999999901</v>
      </c>
      <c r="AE1604">
        <v>0.12869999999998</v>
      </c>
      <c r="AF1604">
        <v>9.9056088746430404E-2</v>
      </c>
      <c r="AG1604">
        <v>-0.20568689999999901</v>
      </c>
      <c r="AH1604">
        <v>0.36499900223016302</v>
      </c>
      <c r="AI1604">
        <v>118.53979353986099</v>
      </c>
      <c r="AJ1604">
        <v>74.816365906480499</v>
      </c>
      <c r="AK1604">
        <v>0.43051536694799403</v>
      </c>
      <c r="AL1604">
        <v>87.330880644303605</v>
      </c>
      <c r="AM1604">
        <v>87.232857309524704</v>
      </c>
      <c r="AN1604">
        <v>0.99999992916938496</v>
      </c>
    </row>
    <row r="1605" spans="1:40" x14ac:dyDescent="0.25">
      <c r="A1605" t="str">
        <f>"20190312154539682"</f>
        <v>20190312154539682</v>
      </c>
      <c r="B1605" t="str">
        <f>"1552376739678644"</f>
        <v>1552376739678644</v>
      </c>
      <c r="C1605" t="s">
        <v>40</v>
      </c>
      <c r="D1605">
        <v>4.7862</v>
      </c>
      <c r="E1605">
        <v>0.54977909999999997</v>
      </c>
      <c r="F1605" t="s">
        <v>41</v>
      </c>
      <c r="G1605">
        <v>-283.02929999999998</v>
      </c>
      <c r="H1605">
        <v>0.90400599999999998</v>
      </c>
      <c r="I1605">
        <v>282.82029999999997</v>
      </c>
      <c r="J1605">
        <v>-282.64109999999999</v>
      </c>
      <c r="K1605">
        <v>1.109478</v>
      </c>
      <c r="L1605">
        <v>282.69040000000001</v>
      </c>
      <c r="M1605">
        <v>-0.99970539999999997</v>
      </c>
      <c r="N1605">
        <v>0</v>
      </c>
      <c r="O1605">
        <v>2.1516509999999999E-2</v>
      </c>
      <c r="P1605">
        <v>-0.99694210000000005</v>
      </c>
      <c r="Q1605">
        <v>3.4994009999999999E-2</v>
      </c>
      <c r="R1605">
        <v>6.9871569999999994E-2</v>
      </c>
      <c r="S1605">
        <v>-2.9999690000000001</v>
      </c>
      <c r="T1605">
        <v>-0.84829940000000004</v>
      </c>
      <c r="U1605">
        <v>0.56658940000000002</v>
      </c>
      <c r="V1605">
        <v>4.8405209999999997E-2</v>
      </c>
      <c r="W1605">
        <v>4.620225E-2</v>
      </c>
      <c r="X1605">
        <v>0.99775860000000005</v>
      </c>
      <c r="Y1605">
        <v>0.15918689999999999</v>
      </c>
      <c r="Z1605">
        <v>1.597616E-2</v>
      </c>
      <c r="AA1605">
        <v>0.98711919999999997</v>
      </c>
      <c r="AB1605">
        <v>32</v>
      </c>
      <c r="AC1605">
        <v>-0.388199999999983</v>
      </c>
      <c r="AD1605">
        <v>-0.20547199999999999</v>
      </c>
      <c r="AE1605">
        <v>0.12989999999996299</v>
      </c>
      <c r="AF1605">
        <v>9.7062552107881894E-2</v>
      </c>
      <c r="AG1605">
        <v>-0.20547199999999999</v>
      </c>
      <c r="AH1605">
        <v>0.31223913168122502</v>
      </c>
      <c r="AI1605">
        <v>122.14515556414401</v>
      </c>
      <c r="AJ1605">
        <v>72.731637947650995</v>
      </c>
      <c r="AK1605">
        <v>0.38617762384521997</v>
      </c>
      <c r="AL1605">
        <v>87.351863276032205</v>
      </c>
      <c r="AM1605">
        <v>87.2225331177399</v>
      </c>
      <c r="AN1605">
        <v>0.99999996806708202</v>
      </c>
    </row>
    <row r="1606" spans="1:40" x14ac:dyDescent="0.25">
      <c r="A1606" t="str">
        <f>"20190312154539705"</f>
        <v>20190312154539705</v>
      </c>
      <c r="B1606" t="str">
        <f>"1552376739698166"</f>
        <v>1552376739698166</v>
      </c>
      <c r="C1606" t="s">
        <v>40</v>
      </c>
      <c r="D1606">
        <v>4.7993139999999999</v>
      </c>
      <c r="E1606">
        <v>0.55054930000000002</v>
      </c>
      <c r="F1606" t="s">
        <v>41</v>
      </c>
      <c r="G1606">
        <v>-283.32260000000002</v>
      </c>
      <c r="H1606">
        <v>0.91342540000000005</v>
      </c>
      <c r="I1606">
        <v>282.82049999999998</v>
      </c>
      <c r="J1606">
        <v>-282.96980000000002</v>
      </c>
      <c r="K1606">
        <v>1.109497</v>
      </c>
      <c r="L1606">
        <v>282.69740000000002</v>
      </c>
      <c r="M1606">
        <v>-0.99970329999999996</v>
      </c>
      <c r="N1606">
        <v>0</v>
      </c>
      <c r="O1606">
        <v>2.1484409999999999E-2</v>
      </c>
      <c r="P1606">
        <v>-0.99693500000000002</v>
      </c>
      <c r="Q1606">
        <v>3.4245060000000001E-2</v>
      </c>
      <c r="R1606">
        <v>7.0341970000000004E-2</v>
      </c>
      <c r="S1606">
        <v>-2.9994510000000001</v>
      </c>
      <c r="T1606">
        <v>-0.86284640000000001</v>
      </c>
      <c r="U1606">
        <v>0.57119750000000002</v>
      </c>
      <c r="V1606">
        <v>4.8906119999999997E-2</v>
      </c>
      <c r="W1606">
        <v>4.5696380000000002E-2</v>
      </c>
      <c r="X1606">
        <v>0.99775749999999996</v>
      </c>
      <c r="Y1606">
        <v>0.16048460000000001</v>
      </c>
      <c r="Z1606">
        <v>1.6430650000000002E-2</v>
      </c>
      <c r="AA1606">
        <v>0.98690160000000005</v>
      </c>
      <c r="AB1606">
        <v>32</v>
      </c>
      <c r="AC1606">
        <v>-0.352800000000002</v>
      </c>
      <c r="AD1606">
        <v>-0.19607159999999901</v>
      </c>
      <c r="AE1606">
        <v>0.123099999999965</v>
      </c>
      <c r="AF1606">
        <v>9.0556971552646498E-2</v>
      </c>
      <c r="AG1606">
        <v>-0.19607159999999901</v>
      </c>
      <c r="AH1606">
        <v>0.27864103747154501</v>
      </c>
      <c r="AI1606">
        <v>123.791071167936</v>
      </c>
      <c r="AJ1606">
        <v>71.996092375526302</v>
      </c>
      <c r="AK1606">
        <v>0.35254143754538397</v>
      </c>
      <c r="AL1606">
        <v>87.380878218693198</v>
      </c>
      <c r="AM1606">
        <v>87.193833768233702</v>
      </c>
      <c r="AN1606">
        <v>0.99999999826240404</v>
      </c>
    </row>
    <row r="1607" spans="1:40" x14ac:dyDescent="0.25">
      <c r="A1607" t="str">
        <f>"20190312154539727"</f>
        <v>20190312154539727</v>
      </c>
      <c r="B1607" t="str">
        <f>"1552376739718661"</f>
        <v>1552376739718661</v>
      </c>
      <c r="C1607" t="s">
        <v>40</v>
      </c>
      <c r="D1607">
        <v>4.7340070000000001</v>
      </c>
      <c r="E1607">
        <v>0.55097769999999902</v>
      </c>
      <c r="F1607" t="s">
        <v>41</v>
      </c>
      <c r="G1607">
        <v>-283.87419999999997</v>
      </c>
      <c r="H1607">
        <v>0.84760369999999996</v>
      </c>
      <c r="I1607">
        <v>282.87220000000002</v>
      </c>
      <c r="J1607">
        <v>-283.29309999999998</v>
      </c>
      <c r="K1607">
        <v>1.109461</v>
      </c>
      <c r="L1607">
        <v>282.70429999999999</v>
      </c>
      <c r="M1607">
        <v>-0.9997045</v>
      </c>
      <c r="N1607">
        <v>0</v>
      </c>
      <c r="O1607">
        <v>2.1430629999999999E-2</v>
      </c>
      <c r="P1607">
        <v>-0.99692000000000003</v>
      </c>
      <c r="Q1607">
        <v>3.4051030000000003E-2</v>
      </c>
      <c r="R1607">
        <v>7.0646239999999999E-2</v>
      </c>
      <c r="S1607">
        <v>-2.99823</v>
      </c>
      <c r="T1607">
        <v>-0.86828280000000002</v>
      </c>
      <c r="U1607">
        <v>0.57836909999999997</v>
      </c>
      <c r="V1607">
        <v>4.9262460000000001E-2</v>
      </c>
      <c r="W1607">
        <v>4.5506320000000003E-2</v>
      </c>
      <c r="X1607">
        <v>0.99774870000000004</v>
      </c>
      <c r="Y1607">
        <v>0.16272829999999999</v>
      </c>
      <c r="Z1607">
        <v>1.6863840000000001E-2</v>
      </c>
      <c r="AA1607">
        <v>0.98652680000000004</v>
      </c>
      <c r="AB1607">
        <v>32</v>
      </c>
      <c r="AC1607">
        <v>-0.58109999999999196</v>
      </c>
      <c r="AD1607">
        <v>-0.26185730000000002</v>
      </c>
      <c r="AE1607">
        <v>0.167900000000031</v>
      </c>
      <c r="AF1607">
        <v>0.13087860313060201</v>
      </c>
      <c r="AG1607">
        <v>-0.26185730000000002</v>
      </c>
      <c r="AH1607">
        <v>0.492300284662744</v>
      </c>
      <c r="AI1607">
        <v>117.205431645552</v>
      </c>
      <c r="AJ1607">
        <v>75.112214531010494</v>
      </c>
      <c r="AK1607">
        <v>0.572763497963798</v>
      </c>
      <c r="AL1607">
        <v>87.391779308152707</v>
      </c>
      <c r="AM1607">
        <v>87.173395615587495</v>
      </c>
      <c r="AN1607">
        <v>1.00000004173844</v>
      </c>
    </row>
    <row r="1608" spans="1:40" x14ac:dyDescent="0.25">
      <c r="A1608" t="str">
        <f>"20190312154539748"</f>
        <v>20190312154539748</v>
      </c>
      <c r="B1608" t="str">
        <f>"1552376739738181"</f>
        <v>1552376739738181</v>
      </c>
      <c r="C1608" t="s">
        <v>40</v>
      </c>
      <c r="D1608">
        <v>4.763198</v>
      </c>
      <c r="E1608">
        <v>0.55112159999999999</v>
      </c>
      <c r="F1608" t="s">
        <v>41</v>
      </c>
      <c r="G1608">
        <v>-284.17</v>
      </c>
      <c r="H1608">
        <v>0.85497529999999999</v>
      </c>
      <c r="I1608">
        <v>282.875</v>
      </c>
      <c r="J1608">
        <v>-283.60140000000001</v>
      </c>
      <c r="K1608">
        <v>1.1091869999999999</v>
      </c>
      <c r="L1608">
        <v>282.71089999999998</v>
      </c>
      <c r="M1608">
        <v>-0.99971589999999999</v>
      </c>
      <c r="N1608">
        <v>0</v>
      </c>
      <c r="O1608">
        <v>2.1372249999999999E-2</v>
      </c>
      <c r="P1608">
        <v>-0.99685699999999999</v>
      </c>
      <c r="Q1608">
        <v>3.481633E-2</v>
      </c>
      <c r="R1608">
        <v>7.1161459999999996E-2</v>
      </c>
      <c r="S1608">
        <v>-2.997681</v>
      </c>
      <c r="T1608">
        <v>-0.87002659999999998</v>
      </c>
      <c r="U1608">
        <v>0.5827637</v>
      </c>
      <c r="V1608">
        <v>4.9836699999999998E-2</v>
      </c>
      <c r="W1608">
        <v>4.5345789999999997E-2</v>
      </c>
      <c r="X1608">
        <v>0.99772749999999999</v>
      </c>
      <c r="Y1608">
        <v>0.16413320000000001</v>
      </c>
      <c r="Z1608">
        <v>1.7111649999999999E-2</v>
      </c>
      <c r="AA1608">
        <v>0.98628970000000005</v>
      </c>
      <c r="AB1608">
        <v>32</v>
      </c>
      <c r="AC1608">
        <v>-0.56860000000000299</v>
      </c>
      <c r="AD1608">
        <v>-0.25421169999999998</v>
      </c>
      <c r="AE1608">
        <v>0.16410000000001901</v>
      </c>
      <c r="AF1608">
        <v>0.128246217306168</v>
      </c>
      <c r="AG1608">
        <v>-0.25421169999999998</v>
      </c>
      <c r="AH1608">
        <v>0.48287903848899</v>
      </c>
      <c r="AI1608">
        <v>116.967492615729</v>
      </c>
      <c r="AJ1608">
        <v>75.126371479512699</v>
      </c>
      <c r="AK1608">
        <v>0.56057367623023702</v>
      </c>
      <c r="AL1608">
        <v>87.400986527374201</v>
      </c>
      <c r="AM1608">
        <v>87.140440317605893</v>
      </c>
      <c r="AN1608">
        <v>1.00000005079693</v>
      </c>
    </row>
    <row r="1609" spans="1:40" x14ac:dyDescent="0.25">
      <c r="A1609" t="str">
        <f>"20190312154539770"</f>
        <v>20190312154539770</v>
      </c>
      <c r="B1609" t="str">
        <f>"1552376739768437"</f>
        <v>1552376739768437</v>
      </c>
      <c r="C1609" t="s">
        <v>40</v>
      </c>
      <c r="D1609">
        <v>4.7364699999999997</v>
      </c>
      <c r="E1609">
        <v>0.55104529999999996</v>
      </c>
      <c r="F1609" t="s">
        <v>41</v>
      </c>
      <c r="G1609">
        <v>-284.4658</v>
      </c>
      <c r="H1609">
        <v>0.85626199999999997</v>
      </c>
      <c r="I1609">
        <v>282.88</v>
      </c>
      <c r="J1609">
        <v>-283.9298</v>
      </c>
      <c r="K1609">
        <v>1.108876</v>
      </c>
      <c r="L1609">
        <v>282.71789999999999</v>
      </c>
      <c r="M1609">
        <v>-0.99972969999999906</v>
      </c>
      <c r="N1609">
        <v>0</v>
      </c>
      <c r="O1609">
        <v>2.130518E-2</v>
      </c>
      <c r="P1609">
        <v>-0.99680970000000002</v>
      </c>
      <c r="Q1609">
        <v>3.5632270000000001E-2</v>
      </c>
      <c r="R1609">
        <v>7.1421209999999999E-2</v>
      </c>
      <c r="S1609">
        <v>-2.9983520000000001</v>
      </c>
      <c r="T1609">
        <v>-0.87742009999999904</v>
      </c>
      <c r="U1609">
        <v>0.58569340000000003</v>
      </c>
      <c r="V1609">
        <v>5.016429E-2</v>
      </c>
      <c r="W1609">
        <v>4.4920410000000001E-2</v>
      </c>
      <c r="X1609">
        <v>0.99773029999999996</v>
      </c>
      <c r="Y1609">
        <v>0.164959299999999</v>
      </c>
      <c r="Z1609">
        <v>1.7382709999999999E-2</v>
      </c>
      <c r="AA1609">
        <v>0.9861472</v>
      </c>
      <c r="AB1609">
        <v>33</v>
      </c>
      <c r="AC1609">
        <v>-0.53600000000000103</v>
      </c>
      <c r="AD1609">
        <v>-0.25261399999999901</v>
      </c>
      <c r="AE1609">
        <v>0.16210000000000899</v>
      </c>
      <c r="AF1609">
        <v>0.125170248942505</v>
      </c>
      <c r="AG1609">
        <v>-0.25261399999999901</v>
      </c>
      <c r="AH1609">
        <v>0.44813411420553401</v>
      </c>
      <c r="AI1609">
        <v>118.498468602812</v>
      </c>
      <c r="AJ1609">
        <v>74.394193584928402</v>
      </c>
      <c r="AK1609">
        <v>0.52943895637845495</v>
      </c>
      <c r="AL1609">
        <v>87.425383800846902</v>
      </c>
      <c r="AM1609">
        <v>87.121683234276006</v>
      </c>
      <c r="AN1609">
        <v>1.0000000253819299</v>
      </c>
    </row>
    <row r="1610" spans="1:40" x14ac:dyDescent="0.25">
      <c r="A1610" t="str">
        <f>"20190312154539793"</f>
        <v>20190312154539793</v>
      </c>
      <c r="B1610" t="str">
        <f>"1552376739787957"</f>
        <v>1552376739787957</v>
      </c>
      <c r="C1610" t="s">
        <v>40</v>
      </c>
      <c r="D1610">
        <v>4.7379470000000001</v>
      </c>
      <c r="E1610">
        <v>0.55147440000000003</v>
      </c>
      <c r="F1610" t="s">
        <v>41</v>
      </c>
      <c r="G1610">
        <v>-284.76659999999998</v>
      </c>
      <c r="H1610">
        <v>0.86456330000000003</v>
      </c>
      <c r="I1610">
        <v>282.88150000000002</v>
      </c>
      <c r="J1610">
        <v>-284.26690000000002</v>
      </c>
      <c r="K1610">
        <v>1.108608</v>
      </c>
      <c r="L1610">
        <v>282.72500000000002</v>
      </c>
      <c r="M1610">
        <v>-0.99974260000000004</v>
      </c>
      <c r="N1610">
        <v>0</v>
      </c>
      <c r="O1610">
        <v>2.1227960000000001E-2</v>
      </c>
      <c r="P1610">
        <v>-0.99685380000000001</v>
      </c>
      <c r="Q1610">
        <v>3.636822E-2</v>
      </c>
      <c r="R1610">
        <v>7.0426279999999994E-2</v>
      </c>
      <c r="S1610">
        <v>-2.998901</v>
      </c>
      <c r="T1610">
        <v>-0.87556239999999996</v>
      </c>
      <c r="U1610">
        <v>0.58612059999999999</v>
      </c>
      <c r="V1610">
        <v>4.924539E-2</v>
      </c>
      <c r="W1610">
        <v>4.4371639999999997E-2</v>
      </c>
      <c r="X1610">
        <v>0.99780060000000004</v>
      </c>
      <c r="Y1610">
        <v>0.16515239999999901</v>
      </c>
      <c r="Z1610">
        <v>1.739342E-2</v>
      </c>
      <c r="AA1610">
        <v>0.98611470000000001</v>
      </c>
      <c r="AB1610">
        <v>33</v>
      </c>
      <c r="AC1610">
        <v>-0.49969999999996101</v>
      </c>
      <c r="AD1610">
        <v>-0.2440447</v>
      </c>
      <c r="AE1610">
        <v>0.15649999999999401</v>
      </c>
      <c r="AF1610">
        <v>0.11982859426838301</v>
      </c>
      <c r="AG1610">
        <v>-0.2440447</v>
      </c>
      <c r="AH1610">
        <v>0.41316529095576099</v>
      </c>
      <c r="AI1610">
        <v>119.565964453562</v>
      </c>
      <c r="AJ1610">
        <v>73.826477408581297</v>
      </c>
      <c r="AK1610">
        <v>0.494593029927622</v>
      </c>
      <c r="AL1610">
        <v>87.456857309090793</v>
      </c>
      <c r="AM1610">
        <v>87.174520213508103</v>
      </c>
      <c r="AN1610">
        <v>0.99999999411645002</v>
      </c>
    </row>
    <row r="1611" spans="1:40" x14ac:dyDescent="0.25">
      <c r="A1611" t="str">
        <f>"20190312154539816"</f>
        <v>20190312154539816</v>
      </c>
      <c r="B1611" t="str">
        <f>"1552376739808453"</f>
        <v>1552376739808453</v>
      </c>
      <c r="C1611" t="s">
        <v>40</v>
      </c>
      <c r="D1611">
        <v>4.7191349999999996</v>
      </c>
      <c r="E1611">
        <v>0.55126509999999995</v>
      </c>
      <c r="F1611" t="s">
        <v>41</v>
      </c>
      <c r="G1611">
        <v>-285.07029999999997</v>
      </c>
      <c r="H1611">
        <v>0.87425949999999997</v>
      </c>
      <c r="I1611">
        <v>282.88249999999999</v>
      </c>
      <c r="J1611">
        <v>-284.60980000000001</v>
      </c>
      <c r="K1611">
        <v>1.108395</v>
      </c>
      <c r="L1611">
        <v>282.73219999999998</v>
      </c>
      <c r="M1611">
        <v>-0.99975380000000003</v>
      </c>
      <c r="N1611">
        <v>0</v>
      </c>
      <c r="O1611">
        <v>2.1140860000000001E-2</v>
      </c>
      <c r="P1611">
        <v>-0.99688390000000004</v>
      </c>
      <c r="Q1611">
        <v>3.7550779999999999E-2</v>
      </c>
      <c r="R1611">
        <v>6.9374350000000001E-2</v>
      </c>
      <c r="S1611">
        <v>-2.999908</v>
      </c>
      <c r="T1611">
        <v>-0.87513529999999995</v>
      </c>
      <c r="U1611">
        <v>0.58728029999999998</v>
      </c>
      <c r="V1611">
        <v>4.8279610000000001E-2</v>
      </c>
      <c r="W1611">
        <v>4.4277789999999997E-2</v>
      </c>
      <c r="X1611">
        <v>0.99785199999999996</v>
      </c>
      <c r="Y1611">
        <v>0.16553419999999999</v>
      </c>
      <c r="Z1611">
        <v>1.745793E-2</v>
      </c>
      <c r="AA1611">
        <v>0.98604950000000002</v>
      </c>
      <c r="AB1611">
        <v>33</v>
      </c>
      <c r="AC1611">
        <v>-0.46049999999996699</v>
      </c>
      <c r="AD1611">
        <v>-0.2341355</v>
      </c>
      <c r="AE1611">
        <v>0.150300000000015</v>
      </c>
      <c r="AF1611">
        <v>0.11391726509824</v>
      </c>
      <c r="AG1611">
        <v>-0.2341355</v>
      </c>
      <c r="AH1611">
        <v>0.37578342416157501</v>
      </c>
      <c r="AI1611">
        <v>120.806108919461</v>
      </c>
      <c r="AJ1611">
        <v>73.135526762909095</v>
      </c>
      <c r="AK1611">
        <v>0.45717584967090202</v>
      </c>
      <c r="AL1611">
        <v>87.462239895813497</v>
      </c>
      <c r="AM1611">
        <v>87.229987638478804</v>
      </c>
      <c r="AN1611">
        <v>1.0000000286665101</v>
      </c>
    </row>
    <row r="1612" spans="1:40" x14ac:dyDescent="0.25">
      <c r="A1612" t="str">
        <f>"20190312154539839"</f>
        <v>20190312154539839</v>
      </c>
      <c r="B1612" t="str">
        <f>"1552376739827973"</f>
        <v>1552376739827973</v>
      </c>
      <c r="C1612" t="s">
        <v>40</v>
      </c>
      <c r="D1612">
        <v>4.7938390000000002</v>
      </c>
      <c r="E1612">
        <v>0.55121799999999999</v>
      </c>
      <c r="F1612" t="s">
        <v>41</v>
      </c>
      <c r="G1612">
        <v>-285.37729999999999</v>
      </c>
      <c r="H1612">
        <v>0.88617069999999998</v>
      </c>
      <c r="I1612">
        <v>282.88119999999998</v>
      </c>
      <c r="J1612">
        <v>-284.96960000000001</v>
      </c>
      <c r="K1612">
        <v>1.108231</v>
      </c>
      <c r="L1612">
        <v>282.73970000000003</v>
      </c>
      <c r="M1612">
        <v>-0.99976370000000003</v>
      </c>
      <c r="N1612">
        <v>0</v>
      </c>
      <c r="O1612">
        <v>2.1038749999999998E-2</v>
      </c>
      <c r="P1612">
        <v>-0.99687060000000005</v>
      </c>
      <c r="Q1612">
        <v>3.8797619999999998E-2</v>
      </c>
      <c r="R1612">
        <v>6.8875500000000006E-2</v>
      </c>
      <c r="S1612">
        <v>-3.0015869999999998</v>
      </c>
      <c r="T1612">
        <v>-0.86907060000000003</v>
      </c>
      <c r="U1612">
        <v>0.58267209999999903</v>
      </c>
      <c r="V1612">
        <v>4.788216E-2</v>
      </c>
      <c r="W1612">
        <v>4.4259220000000002E-2</v>
      </c>
      <c r="X1612">
        <v>0.99787190000000003</v>
      </c>
      <c r="Y1612">
        <v>0.1642035</v>
      </c>
      <c r="Z1612">
        <v>1.7176440000000001E-2</v>
      </c>
      <c r="AA1612">
        <v>0.98627690000000001</v>
      </c>
      <c r="AB1612">
        <v>34</v>
      </c>
      <c r="AC1612">
        <v>-0.40769999999997703</v>
      </c>
      <c r="AD1612">
        <v>-0.22206029999999899</v>
      </c>
      <c r="AE1612">
        <v>0.14149999999995</v>
      </c>
      <c r="AF1612">
        <v>0.105071496133786</v>
      </c>
      <c r="AG1612">
        <v>-0.22206029999999899</v>
      </c>
      <c r="AH1612">
        <v>0.32463410327556402</v>
      </c>
      <c r="AI1612">
        <v>123.055832703603</v>
      </c>
      <c r="AJ1612">
        <v>72.065239840847397</v>
      </c>
      <c r="AK1612">
        <v>0.40710944123836201</v>
      </c>
      <c r="AL1612">
        <v>87.463304733732301</v>
      </c>
      <c r="AM1612">
        <v>87.252810706451896</v>
      </c>
      <c r="AN1612">
        <v>0.99999995430544097</v>
      </c>
    </row>
    <row r="1613" spans="1:40" x14ac:dyDescent="0.25">
      <c r="A1613" t="str">
        <f>"20190312154539860"</f>
        <v>20190312154539860</v>
      </c>
      <c r="B1613" t="str">
        <f>"1552376739848469"</f>
        <v>1552376739848469</v>
      </c>
      <c r="C1613" t="s">
        <v>40</v>
      </c>
      <c r="D1613">
        <v>4.6771599999999998</v>
      </c>
      <c r="E1613">
        <v>0.5506877</v>
      </c>
      <c r="F1613" t="s">
        <v>41</v>
      </c>
      <c r="G1613">
        <v>-285.68819999999999</v>
      </c>
      <c r="H1613">
        <v>0.90155989999999997</v>
      </c>
      <c r="I1613">
        <v>282.87889999999999</v>
      </c>
      <c r="J1613">
        <v>-285.2833</v>
      </c>
      <c r="K1613">
        <v>1.1081529999999999</v>
      </c>
      <c r="L1613">
        <v>282.74630000000002</v>
      </c>
      <c r="M1613">
        <v>-0.99977059999999995</v>
      </c>
      <c r="N1613">
        <v>0</v>
      </c>
      <c r="O1613">
        <v>2.093952E-2</v>
      </c>
      <c r="P1613">
        <v>-0.99688739999999998</v>
      </c>
      <c r="Q1613">
        <v>3.9908199999999998E-2</v>
      </c>
      <c r="R1613">
        <v>6.7990640000000005E-2</v>
      </c>
      <c r="S1613">
        <v>-3.0028380000000001</v>
      </c>
      <c r="T1613">
        <v>-0.86368230000000001</v>
      </c>
      <c r="U1613">
        <v>0.58108519999999997</v>
      </c>
      <c r="V1613">
        <v>4.7094610000000002E-2</v>
      </c>
      <c r="W1613">
        <v>4.4424989999999998E-2</v>
      </c>
      <c r="X1613">
        <v>0.99790199999999996</v>
      </c>
      <c r="Y1613">
        <v>0.16380629999999999</v>
      </c>
      <c r="Z1613">
        <v>1.704029E-2</v>
      </c>
      <c r="AA1613">
        <v>0.98634540000000004</v>
      </c>
      <c r="AB1613">
        <v>34</v>
      </c>
      <c r="AC1613">
        <v>-0.40489999999999698</v>
      </c>
      <c r="AD1613">
        <v>-0.2065931</v>
      </c>
      <c r="AE1613">
        <v>0.13259999999996799</v>
      </c>
      <c r="AF1613">
        <v>0.100469876485967</v>
      </c>
      <c r="AG1613">
        <v>-0.2065931</v>
      </c>
      <c r="AH1613">
        <v>0.32999836856402598</v>
      </c>
      <c r="AI1613">
        <v>120.917425283188</v>
      </c>
      <c r="AJ1613">
        <v>73.066831598590497</v>
      </c>
      <c r="AK1613">
        <v>0.40208684174396198</v>
      </c>
      <c r="AL1613">
        <v>87.453797428789301</v>
      </c>
      <c r="AM1613">
        <v>87.298009428867005</v>
      </c>
      <c r="AN1613">
        <v>0.99999994181577401</v>
      </c>
    </row>
    <row r="1614" spans="1:40" x14ac:dyDescent="0.25">
      <c r="A1614" t="str">
        <f>"20190312154539883"</f>
        <v>20190312154539883</v>
      </c>
      <c r="B1614" t="str">
        <f>"1552376739877749"</f>
        <v>1552376739877749</v>
      </c>
      <c r="C1614" t="s">
        <v>40</v>
      </c>
      <c r="D1614">
        <v>4.9806220000000003</v>
      </c>
      <c r="E1614">
        <v>0.55108539999999995</v>
      </c>
      <c r="F1614" t="s">
        <v>41</v>
      </c>
      <c r="G1614">
        <v>-285.99579999999997</v>
      </c>
      <c r="H1614">
        <v>0.90378619999999998</v>
      </c>
      <c r="I1614">
        <v>282.88260000000002</v>
      </c>
      <c r="J1614">
        <v>-285.63330000000002</v>
      </c>
      <c r="K1614">
        <v>1.108163</v>
      </c>
      <c r="L1614">
        <v>282.75349999999997</v>
      </c>
      <c r="M1614">
        <v>-0.99977609999999995</v>
      </c>
      <c r="N1614">
        <v>0</v>
      </c>
      <c r="O1614">
        <v>2.0821920000000001E-2</v>
      </c>
      <c r="P1614">
        <v>-0.99688259999999995</v>
      </c>
      <c r="Q1614">
        <v>4.0729260000000003E-2</v>
      </c>
      <c r="R1614">
        <v>6.7577709999999999E-2</v>
      </c>
      <c r="S1614">
        <v>-3.0047000000000001</v>
      </c>
      <c r="T1614">
        <v>-0.86180109999999999</v>
      </c>
      <c r="U1614">
        <v>0.57421880000000003</v>
      </c>
      <c r="V1614">
        <v>4.6797459999999999E-2</v>
      </c>
      <c r="W1614">
        <v>4.453265E-2</v>
      </c>
      <c r="X1614">
        <v>0.9979112</v>
      </c>
      <c r="Y1614">
        <v>0.16173750000000001</v>
      </c>
      <c r="Z1614">
        <v>1.6742429999999999E-2</v>
      </c>
      <c r="AA1614">
        <v>0.98669180000000001</v>
      </c>
      <c r="AB1614">
        <v>34</v>
      </c>
      <c r="AC1614">
        <v>-0.36249999999995403</v>
      </c>
      <c r="AD1614">
        <v>-0.2043768</v>
      </c>
      <c r="AE1614">
        <v>0.12910000000005001</v>
      </c>
      <c r="AF1614">
        <v>9.4785892709966901E-2</v>
      </c>
      <c r="AG1614">
        <v>-0.2043768</v>
      </c>
      <c r="AH1614">
        <v>0.28477691902392399</v>
      </c>
      <c r="AI1614">
        <v>124.25270569734199</v>
      </c>
      <c r="AJ1614">
        <v>71.590359691337099</v>
      </c>
      <c r="AK1614">
        <v>0.36311449357444298</v>
      </c>
      <c r="AL1614">
        <v>87.447622903332601</v>
      </c>
      <c r="AM1614">
        <v>87.315057704615</v>
      </c>
      <c r="AN1614">
        <v>0.99999996113195599</v>
      </c>
    </row>
    <row r="1615" spans="1:40" x14ac:dyDescent="0.25">
      <c r="A1615" t="str">
        <f>"20190312154539906"</f>
        <v>20190312154539906</v>
      </c>
      <c r="B1615" t="str">
        <f>"1552376739898248"</f>
        <v>1552376739898248</v>
      </c>
      <c r="C1615" t="s">
        <v>40</v>
      </c>
      <c r="D1615">
        <v>3.9006699999999999</v>
      </c>
      <c r="E1615">
        <v>0.52995179999999997</v>
      </c>
      <c r="F1615" t="s">
        <v>41</v>
      </c>
      <c r="G1615">
        <v>-286.30869999999999</v>
      </c>
      <c r="H1615">
        <v>0.91532650000000004</v>
      </c>
      <c r="I1615">
        <v>282.88310000000001</v>
      </c>
      <c r="J1615">
        <v>-285.9864</v>
      </c>
      <c r="K1615">
        <v>1.1083149999999999</v>
      </c>
      <c r="L1615">
        <v>282.76080000000002</v>
      </c>
      <c r="M1615">
        <v>-0.99977899999999997</v>
      </c>
      <c r="N1615">
        <v>0</v>
      </c>
      <c r="O1615">
        <v>2.069913E-2</v>
      </c>
      <c r="P1615">
        <v>-0.99688399999999999</v>
      </c>
      <c r="Q1615">
        <v>4.1023619999999997E-2</v>
      </c>
      <c r="R1615">
        <v>6.7375930000000001E-2</v>
      </c>
      <c r="S1615">
        <v>-3.005341</v>
      </c>
      <c r="T1615">
        <v>-0.85817489999999996</v>
      </c>
      <c r="U1615">
        <v>0.57629390000000003</v>
      </c>
      <c r="V1615">
        <v>4.6715850000000003E-2</v>
      </c>
      <c r="W1615">
        <v>4.4693669999999998E-2</v>
      </c>
      <c r="X1615">
        <v>0.99790789999999996</v>
      </c>
      <c r="Y1615">
        <v>0.16249140000000001</v>
      </c>
      <c r="Z1615">
        <v>1.680893E-2</v>
      </c>
      <c r="AA1615">
        <v>0.98656679999999997</v>
      </c>
      <c r="AB1615">
        <v>34</v>
      </c>
      <c r="AC1615">
        <v>-0.32229999999998399</v>
      </c>
      <c r="AD1615">
        <v>-0.19298850000000001</v>
      </c>
      <c r="AE1615">
        <v>0.122299999999995</v>
      </c>
      <c r="AF1615">
        <v>8.8016663829694294E-2</v>
      </c>
      <c r="AG1615">
        <v>-0.19298850000000001</v>
      </c>
      <c r="AH1615">
        <v>0.24726565692948199</v>
      </c>
      <c r="AI1615">
        <v>126.326885904132</v>
      </c>
      <c r="AJ1615">
        <v>70.406308564277793</v>
      </c>
      <c r="AK1615">
        <v>0.32577875827120401</v>
      </c>
      <c r="AL1615">
        <v>87.438388133116405</v>
      </c>
      <c r="AM1615">
        <v>87.319724285968704</v>
      </c>
      <c r="AN1615">
        <v>1.0000000358308501</v>
      </c>
    </row>
    <row r="1616" spans="1:40" x14ac:dyDescent="0.25">
      <c r="A1616" t="str">
        <f>"20190312154539971"</f>
        <v>20190312154539971</v>
      </c>
      <c r="B1616" t="str">
        <f>"1552376739968516"</f>
        <v>1552376739968516</v>
      </c>
      <c r="C1616" t="s">
        <v>40</v>
      </c>
      <c r="D1616">
        <v>4.1993239999999998</v>
      </c>
      <c r="E1616">
        <v>0.46673559999999997</v>
      </c>
      <c r="F1616" t="s">
        <v>57</v>
      </c>
      <c r="G1616">
        <v>-288.43900000000002</v>
      </c>
      <c r="H1616" s="1">
        <v>4.9782790000000003E-6</v>
      </c>
      <c r="I1616">
        <v>283.07560000000001</v>
      </c>
      <c r="J1616">
        <v>-286.99889999999999</v>
      </c>
      <c r="K1616">
        <v>1.108916</v>
      </c>
      <c r="L1616">
        <v>282.78109999999998</v>
      </c>
      <c r="M1616">
        <v>-0.99978210000000001</v>
      </c>
      <c r="N1616">
        <v>0</v>
      </c>
      <c r="O1616">
        <v>2.0299629999999999E-2</v>
      </c>
      <c r="P1616">
        <v>-0.99691790000000002</v>
      </c>
      <c r="Q1616">
        <v>3.9274780000000002E-2</v>
      </c>
      <c r="R1616">
        <v>6.7915390000000006E-2</v>
      </c>
      <c r="S1616">
        <v>-3.03952</v>
      </c>
      <c r="T1616">
        <v>-1.373537</v>
      </c>
      <c r="U1616">
        <v>0.39016719999999999</v>
      </c>
      <c r="V1616">
        <v>4.764989E-2</v>
      </c>
      <c r="W1616">
        <v>4.4187289999999997E-2</v>
      </c>
      <c r="X1616">
        <v>0.99788619999999995</v>
      </c>
      <c r="Y1616">
        <v>9.9566119999999994E-2</v>
      </c>
      <c r="Z1616">
        <v>1.266275E-2</v>
      </c>
      <c r="AA1616">
        <v>0.99495040000000001</v>
      </c>
      <c r="AB1616">
        <v>35</v>
      </c>
      <c r="AC1616">
        <v>-1.4401000000000199</v>
      </c>
      <c r="AD1616">
        <v>-1.1089110217209901</v>
      </c>
      <c r="AE1616">
        <v>0.29450000000002702</v>
      </c>
      <c r="AF1616">
        <v>0.16901379223458601</v>
      </c>
      <c r="AG1616">
        <v>-1.1089110217209901</v>
      </c>
      <c r="AH1616">
        <v>0.92138756867225602</v>
      </c>
      <c r="AI1616">
        <v>139.81030167770399</v>
      </c>
      <c r="AJ1616">
        <v>79.605562971006606</v>
      </c>
      <c r="AK1616">
        <v>1.45162128937391</v>
      </c>
      <c r="AL1616">
        <v>87.467430040244395</v>
      </c>
      <c r="AM1616">
        <v>87.266155807886506</v>
      </c>
      <c r="AN1616">
        <v>0.99999994838249595</v>
      </c>
    </row>
    <row r="1617" spans="1:40" x14ac:dyDescent="0.25">
      <c r="A1617" t="str">
        <f>"20190312154539995"</f>
        <v>20190312154539995</v>
      </c>
      <c r="B1617" t="str">
        <f>"1552376739988036"</f>
        <v>1552376739988036</v>
      </c>
      <c r="C1617" t="s">
        <v>40</v>
      </c>
      <c r="D1617">
        <v>4.7336549999999997</v>
      </c>
      <c r="E1617">
        <v>0.46871079999999998</v>
      </c>
      <c r="F1617" t="s">
        <v>41</v>
      </c>
      <c r="G1617">
        <v>-287.82819999999998</v>
      </c>
      <c r="H1617">
        <v>0.83524809999999905</v>
      </c>
      <c r="I1617">
        <v>282.75420000000003</v>
      </c>
      <c r="J1617">
        <v>-287.37240000000003</v>
      </c>
      <c r="K1617">
        <v>1.109067</v>
      </c>
      <c r="L1617">
        <v>282.7885</v>
      </c>
      <c r="M1617">
        <v>-0.99978219999999995</v>
      </c>
      <c r="N1617">
        <v>0</v>
      </c>
      <c r="O1617">
        <v>2.013057E-2</v>
      </c>
      <c r="P1617">
        <v>-0.99692959999999997</v>
      </c>
      <c r="Q1617">
        <v>3.8890750000000002E-2</v>
      </c>
      <c r="R1617">
        <v>6.7963380000000004E-2</v>
      </c>
      <c r="S1617">
        <v>-3.0558169999999998</v>
      </c>
      <c r="T1617">
        <v>-1.0084580000000001</v>
      </c>
      <c r="U1617">
        <v>-9.9487300000000001E-2</v>
      </c>
      <c r="V1617">
        <v>4.7866279999999997E-2</v>
      </c>
      <c r="W1617">
        <v>4.4402129999999998E-2</v>
      </c>
      <c r="X1617">
        <v>0.99786629999999998</v>
      </c>
      <c r="Y1617">
        <v>-4.8989709999999999E-2</v>
      </c>
      <c r="Z1617">
        <v>-1.43432E-2</v>
      </c>
      <c r="AA1617">
        <v>0.99869629999999998</v>
      </c>
      <c r="AB1617">
        <v>35</v>
      </c>
      <c r="AC1617">
        <v>-0.45579999999995302</v>
      </c>
      <c r="AD1617">
        <v>-0.27381889999999998</v>
      </c>
      <c r="AE1617">
        <v>-3.4299999999973303E-2</v>
      </c>
      <c r="AF1617">
        <v>-3.1989081422832903E-2</v>
      </c>
      <c r="AG1617">
        <v>-0.27381889999999998</v>
      </c>
      <c r="AH1617">
        <v>0.33485196904581799</v>
      </c>
      <c r="AI1617">
        <v>129.14645375343301</v>
      </c>
      <c r="AJ1617">
        <v>95.457020232091807</v>
      </c>
      <c r="AK1617">
        <v>0.433734864290788</v>
      </c>
      <c r="AL1617">
        <v>87.455108502781698</v>
      </c>
      <c r="AM1617">
        <v>87.253705021481807</v>
      </c>
      <c r="AN1617">
        <v>0.99999994129263003</v>
      </c>
    </row>
    <row r="1618" spans="1:40" x14ac:dyDescent="0.25">
      <c r="A1618" t="str">
        <f>"20190312154540016"</f>
        <v>20190312154540016</v>
      </c>
      <c r="B1618" t="str">
        <f>"1552376740008534"</f>
        <v>1552376740008534</v>
      </c>
      <c r="C1618" t="s">
        <v>40</v>
      </c>
      <c r="D1618">
        <v>5.3626990000000001</v>
      </c>
      <c r="E1618">
        <v>0.46670109999999898</v>
      </c>
      <c r="F1618" t="s">
        <v>41</v>
      </c>
      <c r="G1618">
        <v>-288.166</v>
      </c>
      <c r="H1618">
        <v>0.90209790000000001</v>
      </c>
      <c r="I1618">
        <v>282.7688</v>
      </c>
      <c r="J1618">
        <v>-287.70339999999999</v>
      </c>
      <c r="K1618">
        <v>1.1091690000000001</v>
      </c>
      <c r="L1618">
        <v>282.79500000000002</v>
      </c>
      <c r="M1618">
        <v>-0.99978239999999996</v>
      </c>
      <c r="N1618">
        <v>0</v>
      </c>
      <c r="O1618">
        <v>1.9969379999999998E-2</v>
      </c>
      <c r="P1618">
        <v>-0.99695829999999996</v>
      </c>
      <c r="Q1618">
        <v>3.8493779999999998E-2</v>
      </c>
      <c r="R1618">
        <v>6.7769899999999994E-2</v>
      </c>
      <c r="S1618">
        <v>-3.0454409999999998</v>
      </c>
      <c r="T1618">
        <v>-0.79435559999999905</v>
      </c>
      <c r="U1618">
        <v>-7.6416020000000001E-2</v>
      </c>
      <c r="V1618">
        <v>4.7833439999999998E-2</v>
      </c>
      <c r="W1618">
        <v>4.4539799999999997E-2</v>
      </c>
      <c r="X1618">
        <v>0.99786180000000002</v>
      </c>
      <c r="Y1618">
        <v>-4.2938839999999999E-2</v>
      </c>
      <c r="Z1618">
        <v>-1.0629380000000001E-2</v>
      </c>
      <c r="AA1618">
        <v>0.99902120000000005</v>
      </c>
      <c r="AB1618">
        <v>35</v>
      </c>
      <c r="AC1618">
        <v>-0.462600000000008</v>
      </c>
      <c r="AD1618">
        <v>-0.20707110000000001</v>
      </c>
      <c r="AE1618">
        <v>-2.6200000000017099E-2</v>
      </c>
      <c r="AF1618">
        <v>-2.9534033347081198E-2</v>
      </c>
      <c r="AG1618">
        <v>-0.20707110000000001</v>
      </c>
      <c r="AH1618">
        <v>0.38507470965251001</v>
      </c>
      <c r="AI1618">
        <v>118.198785074657</v>
      </c>
      <c r="AJ1618">
        <v>94.385821912388806</v>
      </c>
      <c r="AK1618">
        <v>0.43821596455962403</v>
      </c>
      <c r="AL1618">
        <v>87.447212935576999</v>
      </c>
      <c r="AM1618">
        <v>87.255573954957001</v>
      </c>
      <c r="AN1618">
        <v>1.00000000183275</v>
      </c>
    </row>
    <row r="1619" spans="1:40" x14ac:dyDescent="0.25">
      <c r="A1619" t="str">
        <f>"20190312154540038"</f>
        <v>20190312154540038</v>
      </c>
      <c r="B1619" t="str">
        <f>"1552376740028602"</f>
        <v>1552376740028602</v>
      </c>
      <c r="C1619" t="s">
        <v>40</v>
      </c>
      <c r="D1619">
        <v>4.9859489999999997</v>
      </c>
      <c r="E1619">
        <v>0.48059730000000001</v>
      </c>
      <c r="F1619" t="s">
        <v>41</v>
      </c>
      <c r="G1619">
        <v>-288.49549999999999</v>
      </c>
      <c r="H1619">
        <v>0.94686599999999999</v>
      </c>
      <c r="I1619">
        <v>282.77229999999997</v>
      </c>
      <c r="J1619">
        <v>-288.0444</v>
      </c>
      <c r="K1619">
        <v>1.1092519999999999</v>
      </c>
      <c r="L1619">
        <v>282.80160000000001</v>
      </c>
      <c r="M1619">
        <v>-0.99978230000000001</v>
      </c>
      <c r="N1619">
        <v>0</v>
      </c>
      <c r="O1619">
        <v>1.9799870000000001E-2</v>
      </c>
      <c r="P1619">
        <v>-0.99697999999999998</v>
      </c>
      <c r="Q1619">
        <v>3.8239330000000002E-2</v>
      </c>
      <c r="R1619">
        <v>6.7591579999999998E-2</v>
      </c>
      <c r="S1619">
        <v>-3.0391240000000002</v>
      </c>
      <c r="T1619">
        <v>-0.62271929999999998</v>
      </c>
      <c r="U1619">
        <v>-8.7310789999999999E-2</v>
      </c>
      <c r="V1619">
        <v>4.7824190000000003E-2</v>
      </c>
      <c r="W1619">
        <v>4.4819900000000003E-2</v>
      </c>
      <c r="X1619">
        <v>0.99784969999999995</v>
      </c>
      <c r="Y1619">
        <v>-4.7114330000000003E-2</v>
      </c>
      <c r="Z1619">
        <v>-8.7909709999999999E-3</v>
      </c>
      <c r="AA1619">
        <v>0.99885080000000004</v>
      </c>
      <c r="AB1619">
        <v>35</v>
      </c>
      <c r="AC1619">
        <v>-0.451099999999996</v>
      </c>
      <c r="AD1619">
        <v>-0.162386</v>
      </c>
      <c r="AE1619">
        <v>-2.9300000000034701E-2</v>
      </c>
      <c r="AF1619">
        <v>-3.3857243914732001E-2</v>
      </c>
      <c r="AG1619">
        <v>-0.162386</v>
      </c>
      <c r="AH1619">
        <v>0.398950928593093</v>
      </c>
      <c r="AI1619">
        <v>112.07622602383699</v>
      </c>
      <c r="AJ1619">
        <v>94.850822363482195</v>
      </c>
      <c r="AK1619">
        <v>0.43206176570809002</v>
      </c>
      <c r="AL1619">
        <v>87.431148340689802</v>
      </c>
      <c r="AM1619">
        <v>87.256070637315702</v>
      </c>
      <c r="AN1619">
        <v>1.0000000001876199</v>
      </c>
    </row>
    <row r="1620" spans="1:40" x14ac:dyDescent="0.25">
      <c r="A1620" t="str">
        <f>"20190312154540060"</f>
        <v>20190312154540060</v>
      </c>
      <c r="B1620" t="str">
        <f>"1552376740048123"</f>
        <v>1552376740048123</v>
      </c>
      <c r="C1620" t="s">
        <v>40</v>
      </c>
      <c r="D1620">
        <v>4.7763879999999999</v>
      </c>
      <c r="E1620">
        <v>0.47719099999999998</v>
      </c>
      <c r="F1620" t="s">
        <v>44</v>
      </c>
      <c r="G1620">
        <v>0</v>
      </c>
      <c r="H1620">
        <v>0</v>
      </c>
      <c r="I1620">
        <v>0</v>
      </c>
      <c r="J1620">
        <v>-288.387</v>
      </c>
      <c r="K1620">
        <v>1.10931</v>
      </c>
      <c r="L1620">
        <v>282.80829999999997</v>
      </c>
      <c r="M1620">
        <v>-0.99978219999999995</v>
      </c>
      <c r="N1620">
        <v>0</v>
      </c>
      <c r="O1620">
        <v>1.9630959999999999E-2</v>
      </c>
      <c r="P1620">
        <v>-0.99701960000000001</v>
      </c>
      <c r="Q1620">
        <v>3.8306930000000003E-2</v>
      </c>
      <c r="R1620">
        <v>6.6966410000000004E-2</v>
      </c>
      <c r="S1620">
        <v>-2.999603</v>
      </c>
      <c r="T1620">
        <v>0.1588483</v>
      </c>
      <c r="U1620">
        <v>4.9713130000000001E-2</v>
      </c>
      <c r="V1620">
        <v>4.7366859999999997E-2</v>
      </c>
      <c r="W1620">
        <v>4.5393910000000003E-2</v>
      </c>
      <c r="X1620">
        <v>0.9978456</v>
      </c>
      <c r="Y1620">
        <v>-3.0292499999999998E-3</v>
      </c>
      <c r="Z1620">
        <v>1.1188680000000001E-3</v>
      </c>
      <c r="AA1620">
        <v>0.99999479999999996</v>
      </c>
      <c r="AB1620">
        <v>35</v>
      </c>
      <c r="AC1620">
        <v>-2.999603</v>
      </c>
      <c r="AD1620">
        <v>0.1588483</v>
      </c>
      <c r="AE1620">
        <v>4.9713130000000001E-2</v>
      </c>
      <c r="AF1620">
        <v>-9.1573407697880804E-3</v>
      </c>
      <c r="AG1620">
        <v>0.1588483</v>
      </c>
      <c r="AH1620">
        <v>2.9916135394808601</v>
      </c>
      <c r="AI1620">
        <v>86.960584785533996</v>
      </c>
      <c r="AJ1620">
        <v>90.1753820578963</v>
      </c>
      <c r="AK1620">
        <v>2.9958418197408299</v>
      </c>
      <c r="AL1620">
        <v>87.398226568782405</v>
      </c>
      <c r="AM1620">
        <v>87.282259423918404</v>
      </c>
      <c r="AN1620">
        <v>1.0000000339653501</v>
      </c>
    </row>
    <row r="1621" spans="1:40" x14ac:dyDescent="0.25">
      <c r="A1621" t="str">
        <f>"20190312154540083"</f>
        <v>20190312154540083</v>
      </c>
      <c r="B1621" t="str">
        <f>"1552376740078378"</f>
        <v>1552376740078378</v>
      </c>
      <c r="C1621" t="s">
        <v>40</v>
      </c>
      <c r="D1621">
        <v>4.7608819999999996</v>
      </c>
      <c r="E1621">
        <v>0.47623579999999999</v>
      </c>
      <c r="F1621" t="s">
        <v>44</v>
      </c>
      <c r="G1621">
        <v>0</v>
      </c>
      <c r="H1621">
        <v>0</v>
      </c>
      <c r="I1621">
        <v>0</v>
      </c>
      <c r="J1621">
        <v>-288.72840000000002</v>
      </c>
      <c r="K1621">
        <v>1.109361</v>
      </c>
      <c r="L1621">
        <v>282.81479999999999</v>
      </c>
      <c r="M1621">
        <v>-0.99978199999999995</v>
      </c>
      <c r="N1621">
        <v>0</v>
      </c>
      <c r="O1621">
        <v>1.946734E-2</v>
      </c>
      <c r="P1621">
        <v>-0.99706969999999995</v>
      </c>
      <c r="Q1621">
        <v>3.7509239999999999E-2</v>
      </c>
      <c r="R1621">
        <v>6.6672350000000005E-2</v>
      </c>
      <c r="S1621">
        <v>-3.0057369999999999</v>
      </c>
      <c r="T1621">
        <v>5.3949240000000002E-2</v>
      </c>
      <c r="U1621">
        <v>1.715088E-2</v>
      </c>
      <c r="V1621">
        <v>4.7234940000000003E-2</v>
      </c>
      <c r="W1621">
        <v>4.5066170000000003E-2</v>
      </c>
      <c r="X1621">
        <v>0.9978667</v>
      </c>
      <c r="Y1621">
        <v>-1.375736E-2</v>
      </c>
      <c r="Z1621">
        <v>4.7282500000000001E-4</v>
      </c>
      <c r="AA1621">
        <v>0.99990520000000005</v>
      </c>
      <c r="AB1621">
        <v>35</v>
      </c>
      <c r="AC1621">
        <v>-3.0057369999999999</v>
      </c>
      <c r="AD1621">
        <v>5.3949240000000002E-2</v>
      </c>
      <c r="AE1621">
        <v>1.715088E-2</v>
      </c>
      <c r="AF1621">
        <v>-4.1354419288122501E-2</v>
      </c>
      <c r="AG1621">
        <v>5.3949240000000002E-2</v>
      </c>
      <c r="AH1621">
        <v>3.0045333495416</v>
      </c>
      <c r="AI1621">
        <v>88.971408002504702</v>
      </c>
      <c r="AJ1621">
        <v>90.788569738695699</v>
      </c>
      <c r="AK1621">
        <v>3.0053022072661602</v>
      </c>
      <c r="AL1621">
        <v>87.417023901346397</v>
      </c>
      <c r="AM1621">
        <v>87.289874441193007</v>
      </c>
      <c r="AN1621">
        <v>1.00000002510208</v>
      </c>
    </row>
    <row r="1622" spans="1:40" x14ac:dyDescent="0.25">
      <c r="A1622" t="str">
        <f>"20190312154540118"</f>
        <v>20190312154540118</v>
      </c>
      <c r="B1622" t="str">
        <f>"1552376740107658"</f>
        <v>1552376740107658</v>
      </c>
      <c r="C1622" t="s">
        <v>40</v>
      </c>
      <c r="D1622">
        <v>4.7760230000000004</v>
      </c>
      <c r="E1622">
        <v>0.47515249999999998</v>
      </c>
      <c r="F1622" t="s">
        <v>44</v>
      </c>
      <c r="G1622">
        <v>0</v>
      </c>
      <c r="H1622">
        <v>0</v>
      </c>
      <c r="I1622">
        <v>0</v>
      </c>
      <c r="J1622">
        <v>-289.27280000000002</v>
      </c>
      <c r="K1622">
        <v>1.1094059999999999</v>
      </c>
      <c r="L1622">
        <v>282.8252</v>
      </c>
      <c r="M1622">
        <v>-0.99978160000000005</v>
      </c>
      <c r="N1622">
        <v>0</v>
      </c>
      <c r="O1622">
        <v>1.9213279999999999E-2</v>
      </c>
      <c r="P1622">
        <v>-0.99711470000000002</v>
      </c>
      <c r="Q1622">
        <v>3.668652E-2</v>
      </c>
      <c r="R1622">
        <v>6.6456689999999999E-2</v>
      </c>
      <c r="S1622">
        <v>-3.008057</v>
      </c>
      <c r="T1622">
        <v>5.8158639999999996E-3</v>
      </c>
      <c r="U1622">
        <v>7.0800780000000001E-3</v>
      </c>
      <c r="V1622">
        <v>4.7271540000000001E-2</v>
      </c>
      <c r="W1622">
        <v>4.490802E-2</v>
      </c>
      <c r="X1622">
        <v>0.99787210000000004</v>
      </c>
      <c r="Y1622">
        <v>-1.6860549999999998E-2</v>
      </c>
      <c r="Z1622" s="1">
        <v>5.344606E-5</v>
      </c>
      <c r="AA1622">
        <v>0.99985780000000002</v>
      </c>
      <c r="AB1622">
        <v>35</v>
      </c>
      <c r="AC1622">
        <v>-3.008057</v>
      </c>
      <c r="AD1622">
        <v>5.8158639999999996E-3</v>
      </c>
      <c r="AE1622">
        <v>7.0800780000000001E-3</v>
      </c>
      <c r="AF1622">
        <v>-5.07176344436117E-2</v>
      </c>
      <c r="AG1622">
        <v>5.8158639999999996E-3</v>
      </c>
      <c r="AH1622">
        <v>3.0076264921264899</v>
      </c>
      <c r="AI1622">
        <v>89.889222721237005</v>
      </c>
      <c r="AJ1622">
        <v>90.966087714966605</v>
      </c>
      <c r="AK1622">
        <v>3.0080597099889301</v>
      </c>
      <c r="AL1622">
        <v>87.426094420313802</v>
      </c>
      <c r="AM1622">
        <v>87.287792289765093</v>
      </c>
      <c r="AN1622">
        <v>1.0000000283563499</v>
      </c>
    </row>
    <row r="1623" spans="1:40" x14ac:dyDescent="0.25">
      <c r="A1623" t="str">
        <f>"20190312154540140"</f>
        <v>20190312154540140</v>
      </c>
      <c r="B1623" t="str">
        <f>"1552376740128154"</f>
        <v>1552376740128154</v>
      </c>
      <c r="C1623" t="s">
        <v>40</v>
      </c>
      <c r="D1623">
        <v>4.768529</v>
      </c>
      <c r="E1623">
        <v>0.47440090000000001</v>
      </c>
      <c r="F1623" t="s">
        <v>53</v>
      </c>
      <c r="G1623">
        <v>-492.64019999999999</v>
      </c>
      <c r="H1623" s="1">
        <v>3.3218309999999999E-6</v>
      </c>
      <c r="I1623">
        <v>282.62099999999998</v>
      </c>
      <c r="J1623">
        <v>-289.62700000000001</v>
      </c>
      <c r="K1623">
        <v>1.1094250000000001</v>
      </c>
      <c r="L1623">
        <v>282.83179999999999</v>
      </c>
      <c r="M1623">
        <v>-0.9997817</v>
      </c>
      <c r="N1623">
        <v>0</v>
      </c>
      <c r="O1623">
        <v>1.9048410000000002E-2</v>
      </c>
      <c r="P1623">
        <v>-0.99711939999999999</v>
      </c>
      <c r="Q1623">
        <v>3.6591070000000003E-2</v>
      </c>
      <c r="R1623">
        <v>6.6441780000000006E-2</v>
      </c>
      <c r="S1623">
        <v>-3.0094910000000001</v>
      </c>
      <c r="T1623">
        <v>-1.6417259999999999E-2</v>
      </c>
      <c r="U1623">
        <v>-3.0212400000000001E-3</v>
      </c>
      <c r="V1623">
        <v>4.7420700000000003E-2</v>
      </c>
      <c r="W1623">
        <v>4.5196220000000002E-2</v>
      </c>
      <c r="X1623">
        <v>0.99785199999999996</v>
      </c>
      <c r="Y1623">
        <v>-2.0052239999999999E-2</v>
      </c>
      <c r="Z1623">
        <v>-1.5860439999999999E-4</v>
      </c>
      <c r="AA1623">
        <v>0.99979890000000005</v>
      </c>
      <c r="AB1623">
        <v>35</v>
      </c>
      <c r="AC1623">
        <v>-203.01320000000001</v>
      </c>
      <c r="AD1623">
        <v>-1.1094216781690001</v>
      </c>
      <c r="AE1623">
        <v>-0.21080000000000601</v>
      </c>
      <c r="AF1623">
        <v>-4.0778611688553701</v>
      </c>
      <c r="AG1623">
        <v>-1.1094216781690001</v>
      </c>
      <c r="AH1623">
        <v>202.96628620663401</v>
      </c>
      <c r="AI1623">
        <v>90.313114669762797</v>
      </c>
      <c r="AJ1623">
        <v>91.150993146131597</v>
      </c>
      <c r="AK1623">
        <v>203.01027832276301</v>
      </c>
      <c r="AL1623">
        <v>87.409564965565494</v>
      </c>
      <c r="AM1623">
        <v>87.279192341717106</v>
      </c>
      <c r="AN1623">
        <v>1.00000001749738</v>
      </c>
    </row>
    <row r="1624" spans="1:40" x14ac:dyDescent="0.25">
      <c r="A1624" t="str">
        <f>"20190312154540162"</f>
        <v>20190312154540162</v>
      </c>
      <c r="B1624" t="str">
        <f>"1552376740158410"</f>
        <v>1552376740158410</v>
      </c>
      <c r="C1624" t="s">
        <v>40</v>
      </c>
      <c r="D1624">
        <v>4.7504879999999998</v>
      </c>
      <c r="E1624">
        <v>0.47351549999999998</v>
      </c>
      <c r="F1624" t="s">
        <v>57</v>
      </c>
      <c r="G1624">
        <v>-431.7706</v>
      </c>
      <c r="H1624" s="1">
        <v>3.1957269999999999E-6</v>
      </c>
      <c r="I1624">
        <v>282.40230000000003</v>
      </c>
      <c r="J1624">
        <v>-289.96870000000001</v>
      </c>
      <c r="K1624">
        <v>1.109442</v>
      </c>
      <c r="L1624">
        <v>282.83819999999997</v>
      </c>
      <c r="M1624">
        <v>-0.9997817</v>
      </c>
      <c r="N1624">
        <v>0</v>
      </c>
      <c r="O1624">
        <v>1.888805E-2</v>
      </c>
      <c r="P1624">
        <v>-0.99711740000000004</v>
      </c>
      <c r="Q1624">
        <v>3.6830199999999903E-2</v>
      </c>
      <c r="R1624">
        <v>6.6337530000000006E-2</v>
      </c>
      <c r="S1624">
        <v>-3.0101010000000001</v>
      </c>
      <c r="T1624">
        <v>-2.3493650000000001E-2</v>
      </c>
      <c r="U1624">
        <v>-9.0942379999999993E-3</v>
      </c>
      <c r="V1624">
        <v>4.7476190000000001E-2</v>
      </c>
      <c r="W1624">
        <v>4.577022E-2</v>
      </c>
      <c r="X1624">
        <v>0.99782320000000002</v>
      </c>
      <c r="Y1624">
        <v>-2.1908170000000001E-2</v>
      </c>
      <c r="Z1624">
        <v>-2.3291229999999999E-4</v>
      </c>
      <c r="AA1624">
        <v>0.99975999999999998</v>
      </c>
      <c r="AB1624">
        <v>35</v>
      </c>
      <c r="AC1624">
        <v>-141.80189999999999</v>
      </c>
      <c r="AD1624">
        <v>-1.1094388042729999</v>
      </c>
      <c r="AE1624">
        <v>-0.435899999999946</v>
      </c>
      <c r="AF1624">
        <v>-3.1140998523866701</v>
      </c>
      <c r="AG1624">
        <v>-1.1094388042729999</v>
      </c>
      <c r="AH1624">
        <v>141.75969015069199</v>
      </c>
      <c r="AI1624">
        <v>90.4482905701324</v>
      </c>
      <c r="AJ1624">
        <v>91.258440152323104</v>
      </c>
      <c r="AK1624">
        <v>141.79823067997401</v>
      </c>
      <c r="AL1624">
        <v>87.376643124238896</v>
      </c>
      <c r="AM1624">
        <v>87.275934839348395</v>
      </c>
      <c r="AN1624">
        <v>1.0000000200570001</v>
      </c>
    </row>
    <row r="1625" spans="1:40" x14ac:dyDescent="0.25">
      <c r="A1625" t="str">
        <f>"20190312154540184"</f>
        <v>20190312154540184</v>
      </c>
      <c r="B1625" t="str">
        <f>"1552376740177930"</f>
        <v>1552376740177930</v>
      </c>
      <c r="C1625" t="s">
        <v>40</v>
      </c>
      <c r="D1625">
        <v>4.7511380000000001</v>
      </c>
      <c r="E1625">
        <v>0.47329979999999999</v>
      </c>
      <c r="F1625" t="s">
        <v>54</v>
      </c>
      <c r="G1625">
        <v>-377.46230000000003</v>
      </c>
      <c r="H1625" s="1">
        <v>2.434296E-6</v>
      </c>
      <c r="I1625">
        <v>282.34070000000003</v>
      </c>
      <c r="J1625">
        <v>-290.3023</v>
      </c>
      <c r="K1625">
        <v>1.1094520000000001</v>
      </c>
      <c r="L1625">
        <v>282.84429999999998</v>
      </c>
      <c r="M1625">
        <v>-0.99978199999999995</v>
      </c>
      <c r="N1625">
        <v>0</v>
      </c>
      <c r="O1625">
        <v>1.873025E-2</v>
      </c>
      <c r="P1625">
        <v>-0.99714080000000005</v>
      </c>
      <c r="Q1625">
        <v>3.64675E-2</v>
      </c>
      <c r="R1625">
        <v>6.6185659999999993E-2</v>
      </c>
      <c r="S1625">
        <v>-3.0112299999999999</v>
      </c>
      <c r="T1625">
        <v>-3.8183090000000003E-2</v>
      </c>
      <c r="U1625">
        <v>-1.7120360000000001E-2</v>
      </c>
      <c r="V1625">
        <v>4.7481210000000003E-2</v>
      </c>
      <c r="W1625">
        <v>4.5710199999999999E-2</v>
      </c>
      <c r="X1625">
        <v>0.99782570000000004</v>
      </c>
      <c r="Y1625">
        <v>-2.4411700000000001E-2</v>
      </c>
      <c r="Z1625">
        <v>-3.9226080000000002E-4</v>
      </c>
      <c r="AA1625">
        <v>0.99970190000000003</v>
      </c>
      <c r="AB1625">
        <v>35</v>
      </c>
      <c r="AC1625">
        <v>-87.16</v>
      </c>
      <c r="AD1625">
        <v>-1.109449565704</v>
      </c>
      <c r="AE1625">
        <v>-0.50359999999994898</v>
      </c>
      <c r="AF1625">
        <v>-2.1357636963813098</v>
      </c>
      <c r="AG1625">
        <v>-1.109449565704</v>
      </c>
      <c r="AH1625">
        <v>87.121160276156203</v>
      </c>
      <c r="AI1625">
        <v>90.729377939905405</v>
      </c>
      <c r="AJ1625">
        <v>91.404317163777904</v>
      </c>
      <c r="AK1625">
        <v>87.154397093716995</v>
      </c>
      <c r="AL1625">
        <v>87.380085587309395</v>
      </c>
      <c r="AM1625">
        <v>87.275654053657206</v>
      </c>
      <c r="AN1625">
        <v>1.00000000763379</v>
      </c>
    </row>
    <row r="1626" spans="1:40" x14ac:dyDescent="0.25">
      <c r="A1626" t="str">
        <f>"20190312154540207"</f>
        <v>20190312154540207</v>
      </c>
      <c r="B1626" t="str">
        <f>"1552376740198427"</f>
        <v>1552376740198427</v>
      </c>
      <c r="C1626" t="s">
        <v>40</v>
      </c>
      <c r="D1626">
        <v>4.7514699999999896</v>
      </c>
      <c r="E1626">
        <v>0.47284559999999998</v>
      </c>
      <c r="F1626" t="s">
        <v>54</v>
      </c>
      <c r="G1626">
        <v>-369.47649999999999</v>
      </c>
      <c r="H1626" s="1">
        <v>3.506154E-6</v>
      </c>
      <c r="I1626">
        <v>282.33159999999998</v>
      </c>
      <c r="J1626">
        <v>-290.6585</v>
      </c>
      <c r="K1626">
        <v>1.1094619999999999</v>
      </c>
      <c r="L1626">
        <v>282.85079999999999</v>
      </c>
      <c r="M1626">
        <v>-0.99978199999999995</v>
      </c>
      <c r="N1626">
        <v>0</v>
      </c>
      <c r="O1626">
        <v>1.8560940000000001E-2</v>
      </c>
      <c r="P1626">
        <v>-0.99717259999999996</v>
      </c>
      <c r="Q1626">
        <v>3.597587E-2</v>
      </c>
      <c r="R1626">
        <v>6.5975329999999999E-2</v>
      </c>
      <c r="S1626">
        <v>-3.0114139999999998</v>
      </c>
      <c r="T1626">
        <v>-4.2198180000000002E-2</v>
      </c>
      <c r="U1626">
        <v>-1.9500730000000001E-2</v>
      </c>
      <c r="V1626">
        <v>4.7439530000000001E-2</v>
      </c>
      <c r="W1626">
        <v>4.5523460000000002E-2</v>
      </c>
      <c r="X1626">
        <v>0.99783619999999995</v>
      </c>
      <c r="Y1626">
        <v>-2.5031479999999998E-2</v>
      </c>
      <c r="Z1626">
        <v>-4.3544839999999998E-4</v>
      </c>
      <c r="AA1626">
        <v>0.99968650000000003</v>
      </c>
      <c r="AB1626">
        <v>35</v>
      </c>
      <c r="AC1626">
        <v>-78.817999999999898</v>
      </c>
      <c r="AD1626">
        <v>-1.1094584938459999</v>
      </c>
      <c r="AE1626">
        <v>-0.51920000000001199</v>
      </c>
      <c r="AF1626">
        <v>-1.9817209711957899</v>
      </c>
      <c r="AG1626">
        <v>-1.1094584938459999</v>
      </c>
      <c r="AH1626">
        <v>78.7791749752257</v>
      </c>
      <c r="AI1626">
        <v>90.806596264288899</v>
      </c>
      <c r="AJ1626">
        <v>91.440993852985997</v>
      </c>
      <c r="AK1626">
        <v>78.811905991001595</v>
      </c>
      <c r="AL1626">
        <v>87.390796100012693</v>
      </c>
      <c r="AM1626">
        <v>87.278070542785699</v>
      </c>
      <c r="AN1626">
        <v>0.99999998822371605</v>
      </c>
    </row>
    <row r="1627" spans="1:40" x14ac:dyDescent="0.25">
      <c r="A1627" t="str">
        <f>"20190312154540228"</f>
        <v>20190312154540228</v>
      </c>
      <c r="B1627" t="str">
        <f>"1552376740217950"</f>
        <v>1552376740217950</v>
      </c>
      <c r="C1627" t="s">
        <v>40</v>
      </c>
      <c r="D1627">
        <v>4.7917389999999997</v>
      </c>
      <c r="E1627">
        <v>0.47270240000000002</v>
      </c>
      <c r="F1627" t="s">
        <v>54</v>
      </c>
      <c r="G1627">
        <v>-355.79469999999998</v>
      </c>
      <c r="H1627" s="1">
        <v>1.546877E-6</v>
      </c>
      <c r="I1627">
        <v>282.33069999999998</v>
      </c>
      <c r="J1627">
        <v>-291.00409999999999</v>
      </c>
      <c r="K1627">
        <v>1.1094740000000001</v>
      </c>
      <c r="L1627">
        <v>282.85700000000003</v>
      </c>
      <c r="M1627">
        <v>-0.99978259999999997</v>
      </c>
      <c r="N1627">
        <v>0</v>
      </c>
      <c r="O1627">
        <v>1.8395970000000001E-2</v>
      </c>
      <c r="P1627">
        <v>-0.99718530000000005</v>
      </c>
      <c r="Q1627">
        <v>3.5611450000000003E-2</v>
      </c>
      <c r="R1627">
        <v>6.5980430000000007E-2</v>
      </c>
      <c r="S1627">
        <v>-3.0119630000000002</v>
      </c>
      <c r="T1627">
        <v>-5.1302550000000002E-2</v>
      </c>
      <c r="U1627">
        <v>-2.4047849999999999E-2</v>
      </c>
      <c r="V1627">
        <v>4.7608789999999998E-2</v>
      </c>
      <c r="W1627">
        <v>4.5435339999999998E-2</v>
      </c>
      <c r="X1627">
        <v>0.99783219999999995</v>
      </c>
      <c r="Y1627">
        <v>-2.6372280000000001E-2</v>
      </c>
      <c r="Z1627">
        <v>-5.3789589999999905E-4</v>
      </c>
      <c r="AA1627">
        <v>0.99965199999999999</v>
      </c>
      <c r="AB1627">
        <v>35</v>
      </c>
      <c r="AC1627">
        <v>-64.790599999999898</v>
      </c>
      <c r="AD1627">
        <v>-1.109472453123</v>
      </c>
      <c r="AE1627">
        <v>-0.52630000000004795</v>
      </c>
      <c r="AF1627">
        <v>-1.71765064841418</v>
      </c>
      <c r="AG1627">
        <v>-1.109472453123</v>
      </c>
      <c r="AH1627">
        <v>64.750967100071705</v>
      </c>
      <c r="AI1627">
        <v>90.981290696887797</v>
      </c>
      <c r="AJ1627">
        <v>91.519530330702693</v>
      </c>
      <c r="AK1627">
        <v>64.783246239045496</v>
      </c>
      <c r="AL1627">
        <v>87.395850350951804</v>
      </c>
      <c r="AM1627">
        <v>87.268362691744699</v>
      </c>
      <c r="AN1627">
        <v>1.0000000331815</v>
      </c>
    </row>
    <row r="1628" spans="1:40" x14ac:dyDescent="0.25">
      <c r="A1628" t="str">
        <f>"20190312154540251"</f>
        <v>20190312154540251</v>
      </c>
      <c r="B1628" t="str">
        <f>"1552376740238443"</f>
        <v>1552376740238443</v>
      </c>
      <c r="C1628" t="s">
        <v>40</v>
      </c>
      <c r="D1628">
        <v>4.8333890000000004</v>
      </c>
      <c r="E1628">
        <v>0.47246510000000003</v>
      </c>
      <c r="F1628" t="s">
        <v>54</v>
      </c>
      <c r="G1628">
        <v>-352.86380000000003</v>
      </c>
      <c r="H1628" s="1">
        <v>-1.2801080000000001E-8</v>
      </c>
      <c r="I1628">
        <v>282.3381</v>
      </c>
      <c r="J1628">
        <v>-291.3535</v>
      </c>
      <c r="K1628">
        <v>1.1094889999999999</v>
      </c>
      <c r="L1628">
        <v>282.86329999999998</v>
      </c>
      <c r="M1628">
        <v>-0.99978290000000003</v>
      </c>
      <c r="N1628">
        <v>0</v>
      </c>
      <c r="O1628">
        <v>1.8227690000000001E-2</v>
      </c>
      <c r="P1628">
        <v>-0.99721280000000001</v>
      </c>
      <c r="Q1628">
        <v>3.5491269999999998E-2</v>
      </c>
      <c r="R1628">
        <v>6.5629960000000001E-2</v>
      </c>
      <c r="S1628">
        <v>-3.0121150000000001</v>
      </c>
      <c r="T1628">
        <v>-5.4023269999999998E-2</v>
      </c>
      <c r="U1628">
        <v>-2.5268550000000001E-2</v>
      </c>
      <c r="V1628">
        <v>4.7425479999999999E-2</v>
      </c>
      <c r="W1628">
        <v>4.5585390000000003E-2</v>
      </c>
      <c r="X1628">
        <v>0.997834</v>
      </c>
      <c r="Y1628">
        <v>-2.6608050000000001E-2</v>
      </c>
      <c r="Z1628">
        <v>-5.6548540000000004E-4</v>
      </c>
      <c r="AA1628">
        <v>0.99964580000000003</v>
      </c>
      <c r="AB1628">
        <v>35</v>
      </c>
      <c r="AC1628">
        <v>-61.510300000000001</v>
      </c>
      <c r="AD1628">
        <v>-1.1094890128010799</v>
      </c>
      <c r="AE1628">
        <v>-0.52519999999998301</v>
      </c>
      <c r="AF1628">
        <v>-1.6458251173761</v>
      </c>
      <c r="AG1628">
        <v>-1.1094890128010799</v>
      </c>
      <c r="AH1628">
        <v>61.470508131528703</v>
      </c>
      <c r="AI1628">
        <v>91.03365618382</v>
      </c>
      <c r="AJ1628">
        <v>91.533683592416395</v>
      </c>
      <c r="AK1628">
        <v>61.502545281759303</v>
      </c>
      <c r="AL1628">
        <v>87.387243979016503</v>
      </c>
      <c r="AM1628">
        <v>87.278869484850901</v>
      </c>
      <c r="AN1628">
        <v>0.99999994774533896</v>
      </c>
    </row>
    <row r="1629" spans="1:40" x14ac:dyDescent="0.25">
      <c r="A1629" t="str">
        <f>"20190312154540272"</f>
        <v>20190312154540272</v>
      </c>
      <c r="B1629" t="str">
        <f>"1552376740267722"</f>
        <v>1552376740267722</v>
      </c>
      <c r="C1629" t="s">
        <v>40</v>
      </c>
      <c r="D1629">
        <v>4.8229059999999997</v>
      </c>
      <c r="E1629">
        <v>0.47221269999999999</v>
      </c>
      <c r="F1629" t="s">
        <v>54</v>
      </c>
      <c r="G1629">
        <v>-351.5163</v>
      </c>
      <c r="H1629" s="1">
        <v>-7.2990959999999998E-7</v>
      </c>
      <c r="I1629">
        <v>282.29950000000002</v>
      </c>
      <c r="J1629">
        <v>-291.68729999999999</v>
      </c>
      <c r="K1629">
        <v>1.109513</v>
      </c>
      <c r="L1629">
        <v>282.86919999999998</v>
      </c>
      <c r="M1629">
        <v>-0.99978310000000004</v>
      </c>
      <c r="N1629">
        <v>0</v>
      </c>
      <c r="O1629">
        <v>1.8066829999999999E-2</v>
      </c>
      <c r="P1629">
        <v>-0.99720609999999998</v>
      </c>
      <c r="Q1629">
        <v>3.5127489999999997E-2</v>
      </c>
      <c r="R1629">
        <v>6.5924339999999998E-2</v>
      </c>
      <c r="S1629">
        <v>-3.0122070000000001</v>
      </c>
      <c r="T1629">
        <v>-5.5549500000000002E-2</v>
      </c>
      <c r="U1629">
        <v>-2.8228759999999999E-2</v>
      </c>
      <c r="V1629">
        <v>4.788005E-2</v>
      </c>
      <c r="W1629">
        <v>4.5487260000000002E-2</v>
      </c>
      <c r="X1629">
        <v>0.99781679999999995</v>
      </c>
      <c r="Y1629">
        <v>-2.7428790000000002E-2</v>
      </c>
      <c r="Z1629">
        <v>-5.8604109999999996E-4</v>
      </c>
      <c r="AA1629">
        <v>0.99962359999999995</v>
      </c>
      <c r="AB1629">
        <v>35</v>
      </c>
      <c r="AC1629">
        <v>-59.829000000000001</v>
      </c>
      <c r="AD1629">
        <v>-1.1095137299096001</v>
      </c>
      <c r="AE1629">
        <v>-0.56969999999995402</v>
      </c>
      <c r="AF1629">
        <v>-1.65001799317591</v>
      </c>
      <c r="AG1629">
        <v>-1.1095137299096001</v>
      </c>
      <c r="AH1629">
        <v>59.7883807077406</v>
      </c>
      <c r="AI1629">
        <v>91.062731102730297</v>
      </c>
      <c r="AJ1629">
        <v>91.580826838329799</v>
      </c>
      <c r="AK1629">
        <v>59.821434684805098</v>
      </c>
      <c r="AL1629">
        <v>87.392872331875694</v>
      </c>
      <c r="AM1629">
        <v>87.252780117807703</v>
      </c>
      <c r="AN1629">
        <v>0.99999997818627395</v>
      </c>
    </row>
    <row r="1630" spans="1:40" x14ac:dyDescent="0.25">
      <c r="A1630" t="str">
        <f>"20190312154540296"</f>
        <v>20190312154540296</v>
      </c>
      <c r="B1630" t="str">
        <f>"1552376740288218"</f>
        <v>1552376740288218</v>
      </c>
      <c r="C1630" t="s">
        <v>40</v>
      </c>
      <c r="D1630">
        <v>5.0921139999999996</v>
      </c>
      <c r="E1630">
        <v>0.47199089999999999</v>
      </c>
      <c r="F1630" t="s">
        <v>54</v>
      </c>
      <c r="G1630">
        <v>-346.51499999999999</v>
      </c>
      <c r="H1630" s="1">
        <v>1.9301590000000001E-6</v>
      </c>
      <c r="I1630">
        <v>282.33319999999998</v>
      </c>
      <c r="J1630">
        <v>-292.0496</v>
      </c>
      <c r="K1630">
        <v>1.1095469999999901</v>
      </c>
      <c r="L1630">
        <v>282.87560000000002</v>
      </c>
      <c r="M1630">
        <v>-0.99978279999999997</v>
      </c>
      <c r="N1630">
        <v>0</v>
      </c>
      <c r="O1630">
        <v>1.7901980000000001E-2</v>
      </c>
      <c r="P1630">
        <v>-0.99721689999999996</v>
      </c>
      <c r="Q1630">
        <v>3.480842E-2</v>
      </c>
      <c r="R1630">
        <v>6.5934240000000005E-2</v>
      </c>
      <c r="S1630">
        <v>-3.012543</v>
      </c>
      <c r="T1630">
        <v>-6.0962799999999998E-2</v>
      </c>
      <c r="U1630">
        <v>-2.944946E-2</v>
      </c>
      <c r="V1630">
        <v>4.8054319999999998E-2</v>
      </c>
      <c r="W1630">
        <v>4.5483929999999999E-2</v>
      </c>
      <c r="X1630">
        <v>0.99780860000000005</v>
      </c>
      <c r="Y1630">
        <v>-2.7666400000000001E-2</v>
      </c>
      <c r="Z1630">
        <v>-6.4213659999999995E-4</v>
      </c>
      <c r="AA1630">
        <v>0.99961699999999998</v>
      </c>
      <c r="AB1630">
        <v>35</v>
      </c>
      <c r="AC1630">
        <v>-54.465399999999903</v>
      </c>
      <c r="AD1630">
        <v>-1.1095450698410001</v>
      </c>
      <c r="AE1630">
        <v>-0.54240000000004296</v>
      </c>
      <c r="AF1630">
        <v>-1.51677768880667</v>
      </c>
      <c r="AG1630">
        <v>-1.1095450698410001</v>
      </c>
      <c r="AH1630">
        <v>54.424376262370103</v>
      </c>
      <c r="AI1630">
        <v>91.1674691551504</v>
      </c>
      <c r="AJ1630">
        <v>91.596388908647398</v>
      </c>
      <c r="AK1630">
        <v>54.456812579945499</v>
      </c>
      <c r="AL1630">
        <v>87.393063391575097</v>
      </c>
      <c r="AM1630">
        <v>87.242773783430806</v>
      </c>
      <c r="AN1630">
        <v>1.0000000038964301</v>
      </c>
    </row>
    <row r="1631" spans="1:40" x14ac:dyDescent="0.25">
      <c r="A1631" t="str">
        <f>"20190312154540319"</f>
        <v>20190312154540319</v>
      </c>
      <c r="B1631" t="str">
        <f>"1552376740307739"</f>
        <v>1552376740307739</v>
      </c>
      <c r="C1631" t="s">
        <v>40</v>
      </c>
      <c r="D1631">
        <v>4.7783230000000003</v>
      </c>
      <c r="E1631">
        <v>0.47179910000000003</v>
      </c>
      <c r="F1631" t="s">
        <v>54</v>
      </c>
      <c r="G1631">
        <v>-345.34219999999999</v>
      </c>
      <c r="H1631" s="1">
        <v>1.3060719999999999E-6</v>
      </c>
      <c r="I1631">
        <v>282.32060000000001</v>
      </c>
      <c r="J1631">
        <v>-292.41000000000003</v>
      </c>
      <c r="K1631">
        <v>1.1095969999999999</v>
      </c>
      <c r="L1631">
        <v>282.88189999999997</v>
      </c>
      <c r="M1631">
        <v>-0.99978180000000005</v>
      </c>
      <c r="N1631">
        <v>0</v>
      </c>
      <c r="O1631">
        <v>1.7739959999999999E-2</v>
      </c>
      <c r="P1631">
        <v>-0.99720200000000003</v>
      </c>
      <c r="Q1631">
        <v>3.4838180000000003E-2</v>
      </c>
      <c r="R1631">
        <v>6.6142699999999999E-2</v>
      </c>
      <c r="S1631">
        <v>-3.0126650000000001</v>
      </c>
      <c r="T1631">
        <v>-6.2723280000000006E-2</v>
      </c>
      <c r="U1631">
        <v>-3.1372070000000002E-2</v>
      </c>
      <c r="V1631">
        <v>4.8424769999999999E-2</v>
      </c>
      <c r="W1631">
        <v>4.5867379999999999E-2</v>
      </c>
      <c r="X1631">
        <v>0.99777309999999997</v>
      </c>
      <c r="Y1631">
        <v>-2.8141329999999999E-2</v>
      </c>
      <c r="Z1631">
        <v>-6.6221979999999997E-4</v>
      </c>
      <c r="AA1631">
        <v>0.99960369999999998</v>
      </c>
      <c r="AB1631">
        <v>35</v>
      </c>
      <c r="AC1631">
        <v>-52.932199999999902</v>
      </c>
      <c r="AD1631">
        <v>-1.1095956939279901</v>
      </c>
      <c r="AE1631">
        <v>-0.56129999999996005</v>
      </c>
      <c r="AF1631">
        <v>-1.49962498373801</v>
      </c>
      <c r="AG1631">
        <v>-1.1095956939279901</v>
      </c>
      <c r="AH1631">
        <v>52.890672109354703</v>
      </c>
      <c r="AI1631">
        <v>91.201351685403196</v>
      </c>
      <c r="AJ1631">
        <v>91.6240891926914</v>
      </c>
      <c r="AK1631">
        <v>52.923560668903498</v>
      </c>
      <c r="AL1631">
        <v>87.371070274162506</v>
      </c>
      <c r="AM1631">
        <v>87.221452849338306</v>
      </c>
      <c r="AN1631">
        <v>0.999999966990613</v>
      </c>
    </row>
    <row r="1632" spans="1:40" x14ac:dyDescent="0.25">
      <c r="A1632" t="str">
        <f>"20190312154540341"</f>
        <v>20190312154540341</v>
      </c>
      <c r="B1632" t="str">
        <f>"1552376740328234"</f>
        <v>1552376740328234</v>
      </c>
      <c r="C1632" t="s">
        <v>40</v>
      </c>
      <c r="D1632">
        <v>4.8043519999999997</v>
      </c>
      <c r="E1632">
        <v>0.4716436</v>
      </c>
      <c r="F1632" t="s">
        <v>54</v>
      </c>
      <c r="G1632">
        <v>-347.45710000000003</v>
      </c>
      <c r="H1632" s="1">
        <v>2.431518E-6</v>
      </c>
      <c r="I1632">
        <v>282.29640000000001</v>
      </c>
      <c r="J1632">
        <v>-292.75080000000003</v>
      </c>
      <c r="K1632">
        <v>1.10964</v>
      </c>
      <c r="L1632">
        <v>282.8877</v>
      </c>
      <c r="M1632">
        <v>-0.99978069999999997</v>
      </c>
      <c r="N1632">
        <v>0</v>
      </c>
      <c r="O1632">
        <v>1.7579379999999999E-2</v>
      </c>
      <c r="P1632">
        <v>-0.99720149999999996</v>
      </c>
      <c r="Q1632">
        <v>3.4635989999999998E-2</v>
      </c>
      <c r="R1632">
        <v>6.6258040000000004E-2</v>
      </c>
      <c r="S1632">
        <v>-3.0126040000000001</v>
      </c>
      <c r="T1632">
        <v>-6.072557E-2</v>
      </c>
      <c r="U1632">
        <v>-3.2043460000000003E-2</v>
      </c>
      <c r="V1632">
        <v>4.8701130000000002E-2</v>
      </c>
      <c r="W1632">
        <v>4.6025049999999998E-2</v>
      </c>
      <c r="X1632">
        <v>0.99775239999999998</v>
      </c>
      <c r="Y1632">
        <v>-2.8204440000000001E-2</v>
      </c>
      <c r="Z1632">
        <v>-6.3854609999999996E-4</v>
      </c>
      <c r="AA1632">
        <v>0.99960199999999999</v>
      </c>
      <c r="AB1632">
        <v>35</v>
      </c>
      <c r="AC1632">
        <v>-54.706299999999999</v>
      </c>
      <c r="AD1632">
        <v>-1.1096375684819999</v>
      </c>
      <c r="AE1632">
        <v>-0.59129999999998895</v>
      </c>
      <c r="AF1632">
        <v>-1.55233514536401</v>
      </c>
      <c r="AG1632">
        <v>-1.1096375684819999</v>
      </c>
      <c r="AH1632">
        <v>54.664962074858302</v>
      </c>
      <c r="AI1632">
        <v>91.162412053022507</v>
      </c>
      <c r="AJ1632">
        <v>91.626606012295795</v>
      </c>
      <c r="AK1632">
        <v>54.698255169453198</v>
      </c>
      <c r="AL1632">
        <v>87.362026928102594</v>
      </c>
      <c r="AM1632">
        <v>87.205562870373001</v>
      </c>
      <c r="AN1632">
        <v>0.99999997849826905</v>
      </c>
    </row>
    <row r="1633" spans="1:40" x14ac:dyDescent="0.25">
      <c r="A1633" t="str">
        <f>"20190312154540364"</f>
        <v>20190312154540364</v>
      </c>
      <c r="B1633" t="str">
        <f>"1552376740358491"</f>
        <v>1552376740358491</v>
      </c>
      <c r="C1633" t="s">
        <v>40</v>
      </c>
      <c r="D1633">
        <v>4.7394639999999999</v>
      </c>
      <c r="E1633">
        <v>0.47143200000000002</v>
      </c>
      <c r="F1633" t="s">
        <v>54</v>
      </c>
      <c r="G1633">
        <v>-348.51179999999999</v>
      </c>
      <c r="H1633" s="1">
        <v>2.992763E-6</v>
      </c>
      <c r="I1633">
        <v>282.2783</v>
      </c>
      <c r="J1633">
        <v>-293.09960000000001</v>
      </c>
      <c r="K1633">
        <v>1.109686</v>
      </c>
      <c r="L1633">
        <v>282.89370000000002</v>
      </c>
      <c r="M1633">
        <v>-0.99977939999999998</v>
      </c>
      <c r="N1633">
        <v>0</v>
      </c>
      <c r="O1633">
        <v>1.7410769999999999E-2</v>
      </c>
      <c r="P1633">
        <v>-0.99721459999999995</v>
      </c>
      <c r="Q1633">
        <v>3.4276960000000002E-2</v>
      </c>
      <c r="R1633">
        <v>6.6244769999999994E-2</v>
      </c>
      <c r="S1633">
        <v>-3.0126650000000001</v>
      </c>
      <c r="T1633">
        <v>-5.9951659999999997E-2</v>
      </c>
      <c r="U1633">
        <v>-3.2928470000000001E-2</v>
      </c>
      <c r="V1633">
        <v>4.8856280000000002E-2</v>
      </c>
      <c r="W1633">
        <v>4.6030769999999999E-2</v>
      </c>
      <c r="X1633">
        <v>0.99774459999999998</v>
      </c>
      <c r="Y1633">
        <v>-2.832958E-2</v>
      </c>
      <c r="Z1633">
        <v>-6.2828799999999996E-4</v>
      </c>
      <c r="AA1633">
        <v>0.9995984</v>
      </c>
      <c r="AB1633">
        <v>35</v>
      </c>
      <c r="AC1633">
        <v>-55.412199999999899</v>
      </c>
      <c r="AD1633">
        <v>-1.1096830072370001</v>
      </c>
      <c r="AE1633">
        <v>-0.61540000000002204</v>
      </c>
      <c r="AF1633">
        <v>-1.5795089914334099</v>
      </c>
      <c r="AG1633">
        <v>-1.1096830072370001</v>
      </c>
      <c r="AH1633">
        <v>55.370881021834002</v>
      </c>
      <c r="AI1633">
        <v>91.147639323600799</v>
      </c>
      <c r="AJ1633">
        <v>91.633975509491705</v>
      </c>
      <c r="AK1633">
        <v>55.404518860510599</v>
      </c>
      <c r="AL1633">
        <v>87.361698977514706</v>
      </c>
      <c r="AM1633">
        <v>87.1966527685627</v>
      </c>
      <c r="AN1633">
        <v>1.0000000273556899</v>
      </c>
    </row>
    <row r="1634" spans="1:40" x14ac:dyDescent="0.25">
      <c r="A1634" t="str">
        <f>"20190312154540408"</f>
        <v>20190312154540408</v>
      </c>
      <c r="B1634" t="str">
        <f>"1552376740398506"</f>
        <v>1552376740398506</v>
      </c>
      <c r="C1634" t="s">
        <v>40</v>
      </c>
      <c r="D1634">
        <v>4.6813799999999999</v>
      </c>
      <c r="E1634">
        <v>0.4711555</v>
      </c>
      <c r="F1634" t="s">
        <v>54</v>
      </c>
      <c r="G1634">
        <v>-348.13389999999998</v>
      </c>
      <c r="H1634" s="1">
        <v>2.791658E-6</v>
      </c>
      <c r="I1634">
        <v>282.25760000000002</v>
      </c>
      <c r="J1634">
        <v>-293.78410000000002</v>
      </c>
      <c r="K1634">
        <v>1.1097549999999901</v>
      </c>
      <c r="L1634">
        <v>282.90519999999998</v>
      </c>
      <c r="M1634">
        <v>-0.99977709999999997</v>
      </c>
      <c r="N1634">
        <v>0</v>
      </c>
      <c r="O1634">
        <v>1.7086790000000001E-2</v>
      </c>
      <c r="P1634">
        <v>-0.99725560000000002</v>
      </c>
      <c r="Q1634">
        <v>3.3705140000000001E-2</v>
      </c>
      <c r="R1634">
        <v>6.5919619999999998E-2</v>
      </c>
      <c r="S1634">
        <v>-3.0127869999999999</v>
      </c>
      <c r="T1634">
        <v>-6.0748339999999998E-2</v>
      </c>
      <c r="U1634">
        <v>-3.482056E-2</v>
      </c>
      <c r="V1634">
        <v>4.8854160000000001E-2</v>
      </c>
      <c r="W1634">
        <v>4.6093179999999997E-2</v>
      </c>
      <c r="X1634">
        <v>0.99774180000000001</v>
      </c>
      <c r="Y1634">
        <v>-2.8632810000000002E-2</v>
      </c>
      <c r="Z1634">
        <v>-6.3313529999999897E-4</v>
      </c>
      <c r="AA1634">
        <v>0.99958979999999997</v>
      </c>
      <c r="AB1634">
        <v>35</v>
      </c>
      <c r="AC1634">
        <v>-54.349799999999902</v>
      </c>
      <c r="AD1634">
        <v>-1.10975220834199</v>
      </c>
      <c r="AE1634">
        <v>-0.64759999999995399</v>
      </c>
      <c r="AF1634">
        <v>-1.5755836760426001</v>
      </c>
      <c r="AG1634">
        <v>-1.10975220834199</v>
      </c>
      <c r="AH1634">
        <v>54.3081588830185</v>
      </c>
      <c r="AI1634">
        <v>91.170147178362697</v>
      </c>
      <c r="AJ1634">
        <v>91.661794136519703</v>
      </c>
      <c r="AK1634">
        <v>54.342342010142602</v>
      </c>
      <c r="AL1634">
        <v>87.358119288983403</v>
      </c>
      <c r="AM1634">
        <v>87.196766364748399</v>
      </c>
      <c r="AN1634">
        <v>1.0000000048295199</v>
      </c>
    </row>
    <row r="1635" spans="1:40" x14ac:dyDescent="0.25">
      <c r="A1635" t="str">
        <f>"20190312154540429"</f>
        <v>20190312154540429</v>
      </c>
      <c r="B1635" t="str">
        <f>"1552376740418026"</f>
        <v>1552376740418026</v>
      </c>
      <c r="C1635" t="s">
        <v>40</v>
      </c>
      <c r="D1635">
        <v>4.6330559999999998</v>
      </c>
      <c r="E1635">
        <v>0.47109509999999999</v>
      </c>
      <c r="F1635" t="s">
        <v>54</v>
      </c>
      <c r="G1635">
        <v>-346.00069999999999</v>
      </c>
      <c r="H1635" s="1">
        <v>1.6564890000000001E-6</v>
      </c>
      <c r="I1635">
        <v>282.24779999999998</v>
      </c>
      <c r="J1635">
        <v>-294.11450000000002</v>
      </c>
      <c r="K1635">
        <v>1.1097779999999999</v>
      </c>
      <c r="L1635">
        <v>282.91079999999999</v>
      </c>
      <c r="M1635">
        <v>-0.99977649999999996</v>
      </c>
      <c r="N1635">
        <v>0</v>
      </c>
      <c r="O1635">
        <v>1.6935249999999999E-2</v>
      </c>
      <c r="P1635">
        <v>-0.99728090000000003</v>
      </c>
      <c r="Q1635">
        <v>3.340899E-2</v>
      </c>
      <c r="R1635">
        <v>6.5685599999999997E-2</v>
      </c>
      <c r="S1635">
        <v>-3.0129389999999998</v>
      </c>
      <c r="T1635">
        <v>-6.4033629999999994E-2</v>
      </c>
      <c r="U1635">
        <v>-3.7933349999999998E-2</v>
      </c>
      <c r="V1635">
        <v>4.8770689999999998E-2</v>
      </c>
      <c r="W1635">
        <v>4.6062209999999999E-2</v>
      </c>
      <c r="X1635">
        <v>0.9977473</v>
      </c>
      <c r="Y1635">
        <v>-2.9512130000000001E-2</v>
      </c>
      <c r="Z1635">
        <v>-6.7345449999999896E-4</v>
      </c>
      <c r="AA1635">
        <v>0.99956420000000001</v>
      </c>
      <c r="AB1635">
        <v>35</v>
      </c>
      <c r="AC1635">
        <v>-51.886199999999903</v>
      </c>
      <c r="AD1635">
        <v>-1.109776343511</v>
      </c>
      <c r="AE1635">
        <v>-0.66300000000001003</v>
      </c>
      <c r="AF1635">
        <v>-1.54097619833823</v>
      </c>
      <c r="AG1635">
        <v>-1.109776343511</v>
      </c>
      <c r="AH1635">
        <v>51.843815385325399</v>
      </c>
      <c r="AI1635">
        <v>91.2257534264767</v>
      </c>
      <c r="AJ1635">
        <v>91.702526025552203</v>
      </c>
      <c r="AK1635">
        <v>51.878583296811101</v>
      </c>
      <c r="AL1635">
        <v>87.359895589516199</v>
      </c>
      <c r="AM1635">
        <v>87.201563624272694</v>
      </c>
      <c r="AN1635">
        <v>0.99999999102522497</v>
      </c>
    </row>
    <row r="1636" spans="1:40" x14ac:dyDescent="0.25">
      <c r="A1636" t="str">
        <f>"20190312154540453"</f>
        <v>20190312154540453</v>
      </c>
      <c r="B1636" t="str">
        <f>"1552376740448284"</f>
        <v>1552376740448284</v>
      </c>
      <c r="C1636" t="s">
        <v>40</v>
      </c>
      <c r="D1636">
        <v>4.5606780000000002</v>
      </c>
      <c r="E1636">
        <v>0.47101209999999999</v>
      </c>
      <c r="F1636" t="s">
        <v>54</v>
      </c>
      <c r="G1636">
        <v>-344.70409999999998</v>
      </c>
      <c r="H1636" s="1">
        <v>9.6649360000000006E-7</v>
      </c>
      <c r="I1636">
        <v>282.2534</v>
      </c>
      <c r="J1636">
        <v>-294.48</v>
      </c>
      <c r="K1636">
        <v>1.1098030000000001</v>
      </c>
      <c r="L1636">
        <v>282.91669999999999</v>
      </c>
      <c r="M1636">
        <v>-0.999776</v>
      </c>
      <c r="N1636">
        <v>0</v>
      </c>
      <c r="O1636">
        <v>1.6768209999999999E-2</v>
      </c>
      <c r="P1636">
        <v>-0.99728260000000002</v>
      </c>
      <c r="Q1636">
        <v>3.3120469999999999E-2</v>
      </c>
      <c r="R1636">
        <v>6.5809960000000001E-2</v>
      </c>
      <c r="S1636">
        <v>-3.0129999999999999</v>
      </c>
      <c r="T1636">
        <v>-6.6095829999999994E-2</v>
      </c>
      <c r="U1636">
        <v>-3.9154050000000003E-2</v>
      </c>
      <c r="V1636">
        <v>4.9061809999999997E-2</v>
      </c>
      <c r="W1636">
        <v>4.6035529999999998E-2</v>
      </c>
      <c r="X1636">
        <v>0.99773420000000002</v>
      </c>
      <c r="Y1636">
        <v>-2.974912E-2</v>
      </c>
      <c r="Z1636">
        <v>-6.9405849999999995E-4</v>
      </c>
      <c r="AA1636">
        <v>0.99955709999999998</v>
      </c>
      <c r="AB1636">
        <v>35</v>
      </c>
      <c r="AC1636">
        <v>-50.2240999999999</v>
      </c>
      <c r="AD1636">
        <v>-1.1098020335063901</v>
      </c>
      <c r="AE1636">
        <v>-0.66329999999999201</v>
      </c>
      <c r="AF1636">
        <v>-1.5047106304740301</v>
      </c>
      <c r="AG1636">
        <v>-1.1098020335063901</v>
      </c>
      <c r="AH1636">
        <v>50.181416034222003</v>
      </c>
      <c r="AI1636">
        <v>91.266366328420702</v>
      </c>
      <c r="AJ1636">
        <v>91.717523145553301</v>
      </c>
      <c r="AK1636">
        <v>50.216235719483301</v>
      </c>
      <c r="AL1636">
        <v>87.361425709824303</v>
      </c>
      <c r="AM1636">
        <v>87.184849201386996</v>
      </c>
      <c r="AN1636">
        <v>0.99999993253624597</v>
      </c>
    </row>
    <row r="1637" spans="1:40" x14ac:dyDescent="0.25">
      <c r="A1637" t="str">
        <f>"20190312154540474"</f>
        <v>20190312154540474</v>
      </c>
      <c r="B1637" t="str">
        <f>"1552376740467803"</f>
        <v>1552376740467803</v>
      </c>
      <c r="C1637" t="s">
        <v>40</v>
      </c>
      <c r="D1637">
        <v>4.5425060000000004</v>
      </c>
      <c r="E1637">
        <v>0.47095350000000002</v>
      </c>
      <c r="F1637" t="s">
        <v>54</v>
      </c>
      <c r="G1637">
        <v>-343.32240000000002</v>
      </c>
      <c r="H1637" s="1">
        <v>2.3122020000000001E-7</v>
      </c>
      <c r="I1637">
        <v>282.27120000000002</v>
      </c>
      <c r="J1637">
        <v>-294.80829999999997</v>
      </c>
      <c r="K1637">
        <v>1.1098170000000001</v>
      </c>
      <c r="L1637">
        <v>282.9221</v>
      </c>
      <c r="M1637">
        <v>-0.99977579999999999</v>
      </c>
      <c r="N1637">
        <v>0</v>
      </c>
      <c r="O1637">
        <v>1.6617179999999999E-2</v>
      </c>
      <c r="P1637">
        <v>-0.99729849999999998</v>
      </c>
      <c r="Q1637">
        <v>3.2395439999999998E-2</v>
      </c>
      <c r="R1637">
        <v>6.5928199999999895E-2</v>
      </c>
      <c r="S1637">
        <v>-3.0130919999999999</v>
      </c>
      <c r="T1637">
        <v>-6.8463800000000005E-2</v>
      </c>
      <c r="U1637">
        <v>-3.9825439999999997E-2</v>
      </c>
      <c r="V1637">
        <v>4.9330590000000001E-2</v>
      </c>
      <c r="W1637">
        <v>4.5519660000000003E-2</v>
      </c>
      <c r="X1637">
        <v>0.99774470000000004</v>
      </c>
      <c r="Y1637">
        <v>-2.9819660000000001E-2</v>
      </c>
      <c r="Z1637">
        <v>-7.1626640000000004E-4</v>
      </c>
      <c r="AA1637">
        <v>0.99955510000000003</v>
      </c>
      <c r="AB1637">
        <v>34</v>
      </c>
      <c r="AC1637">
        <v>-48.514099999999999</v>
      </c>
      <c r="AD1637">
        <v>-1.1098167687798</v>
      </c>
      <c r="AE1637">
        <v>-0.65089999999997805</v>
      </c>
      <c r="AF1637">
        <v>-1.45628510681278</v>
      </c>
      <c r="AG1637">
        <v>-1.1098167687798</v>
      </c>
      <c r="AH1637">
        <v>48.471221862019803</v>
      </c>
      <c r="AI1637">
        <v>91.311046872014103</v>
      </c>
      <c r="AJ1637">
        <v>91.720895307628297</v>
      </c>
      <c r="AK1637">
        <v>48.505791493075698</v>
      </c>
      <c r="AL1637">
        <v>87.391014123651502</v>
      </c>
      <c r="AM1637">
        <v>87.169481444377098</v>
      </c>
      <c r="AN1637">
        <v>1.0000000164671701</v>
      </c>
    </row>
    <row r="1638" spans="1:40" x14ac:dyDescent="0.25">
      <c r="A1638" t="str">
        <f>"20190312154540498"</f>
        <v>20190312154540498</v>
      </c>
      <c r="B1638" t="str">
        <f>"1552376740488299"</f>
        <v>1552376740488299</v>
      </c>
      <c r="C1638" t="s">
        <v>40</v>
      </c>
      <c r="D1638">
        <v>4.4688299999999996</v>
      </c>
      <c r="E1638">
        <v>0.47085539999999998</v>
      </c>
      <c r="F1638" t="s">
        <v>54</v>
      </c>
      <c r="G1638">
        <v>-341.625</v>
      </c>
      <c r="H1638" s="1">
        <v>-6.7204660000000004E-7</v>
      </c>
      <c r="I1638">
        <v>282.30520000000001</v>
      </c>
      <c r="J1638">
        <v>-295.16149999999999</v>
      </c>
      <c r="K1638">
        <v>1.1098300000000001</v>
      </c>
      <c r="L1638">
        <v>282.92779999999999</v>
      </c>
      <c r="M1638">
        <v>-0.99977590000000005</v>
      </c>
      <c r="N1638">
        <v>0</v>
      </c>
      <c r="O1638">
        <v>1.6452979999999999E-2</v>
      </c>
      <c r="P1638">
        <v>-0.99731890000000001</v>
      </c>
      <c r="Q1638">
        <v>3.1997970000000001E-2</v>
      </c>
      <c r="R1638">
        <v>6.581476E-2</v>
      </c>
      <c r="S1638">
        <v>-3.0130620000000001</v>
      </c>
      <c r="T1638">
        <v>-7.1426390000000006E-2</v>
      </c>
      <c r="U1638">
        <v>-3.9703370000000002E-2</v>
      </c>
      <c r="V1638">
        <v>4.9380889999999997E-2</v>
      </c>
      <c r="W1638">
        <v>4.5320079999999999E-2</v>
      </c>
      <c r="X1638">
        <v>0.99775130000000001</v>
      </c>
      <c r="Y1638">
        <v>-2.9614229999999998E-2</v>
      </c>
      <c r="Z1638">
        <v>-7.4093469999999997E-4</v>
      </c>
      <c r="AA1638">
        <v>0.99956109999999998</v>
      </c>
      <c r="AB1638">
        <v>34</v>
      </c>
      <c r="AC1638">
        <v>-46.463500000000003</v>
      </c>
      <c r="AD1638">
        <v>-1.10983067204659</v>
      </c>
      <c r="AE1638">
        <v>-0.62259999999997695</v>
      </c>
      <c r="AF1638">
        <v>-1.3862558034189201</v>
      </c>
      <c r="AG1638">
        <v>-1.10983067204659</v>
      </c>
      <c r="AH1638">
        <v>46.420484873559197</v>
      </c>
      <c r="AI1638">
        <v>91.368968527101401</v>
      </c>
      <c r="AJ1638">
        <v>91.710516570946396</v>
      </c>
      <c r="AK1638">
        <v>46.454438379658299</v>
      </c>
      <c r="AL1638">
        <v>87.402461035896295</v>
      </c>
      <c r="AM1638">
        <v>87.166618715224004</v>
      </c>
      <c r="AN1638">
        <v>1.00000001930004</v>
      </c>
    </row>
    <row r="1639" spans="1:40" x14ac:dyDescent="0.25">
      <c r="A1639" t="str">
        <f>"20190312154540519"</f>
        <v>20190312154540519</v>
      </c>
      <c r="B1639" t="str">
        <f>"1552376740507819"</f>
        <v>1552376740507819</v>
      </c>
      <c r="C1639" t="s">
        <v>40</v>
      </c>
      <c r="D1639">
        <v>4.4644879999999896</v>
      </c>
      <c r="E1639">
        <v>0.47078340000000002</v>
      </c>
      <c r="F1639" t="s">
        <v>54</v>
      </c>
      <c r="G1639">
        <v>-341.83150000000001</v>
      </c>
      <c r="H1639" s="1">
        <v>-5.6218690000000001E-7</v>
      </c>
      <c r="I1639">
        <v>282.2944</v>
      </c>
      <c r="J1639">
        <v>-295.50349999999997</v>
      </c>
      <c r="K1639">
        <v>1.1098380000000001</v>
      </c>
      <c r="L1639">
        <v>282.93329999999997</v>
      </c>
      <c r="M1639">
        <v>-0.9997762</v>
      </c>
      <c r="N1639">
        <v>0</v>
      </c>
      <c r="O1639">
        <v>1.6292979999999999E-2</v>
      </c>
      <c r="P1639">
        <v>-0.99733119999999997</v>
      </c>
      <c r="Q1639">
        <v>3.1845279999999997E-2</v>
      </c>
      <c r="R1639">
        <v>6.5701049999999997E-2</v>
      </c>
      <c r="S1639">
        <v>-3.0130620000000001</v>
      </c>
      <c r="T1639">
        <v>-7.1651820000000005E-2</v>
      </c>
      <c r="U1639">
        <v>-4.0893550000000001E-2</v>
      </c>
      <c r="V1639">
        <v>4.9426709999999999E-2</v>
      </c>
      <c r="W1639">
        <v>4.5335319999999998E-2</v>
      </c>
      <c r="X1639">
        <v>0.99774830000000003</v>
      </c>
      <c r="Y1639">
        <v>-2.9848960000000001E-2</v>
      </c>
      <c r="Z1639">
        <v>-7.4225769999999999E-4</v>
      </c>
      <c r="AA1639">
        <v>0.99955419999999995</v>
      </c>
      <c r="AB1639">
        <v>34</v>
      </c>
      <c r="AC1639">
        <v>-46.328000000000003</v>
      </c>
      <c r="AD1639">
        <v>-1.10983856218689</v>
      </c>
      <c r="AE1639">
        <v>-0.63889999999997804</v>
      </c>
      <c r="AF1639">
        <v>-1.3929058565370001</v>
      </c>
      <c r="AG1639">
        <v>-1.10983856218689</v>
      </c>
      <c r="AH1639">
        <v>46.284881180185302</v>
      </c>
      <c r="AI1639">
        <v>91.372978000802803</v>
      </c>
      <c r="AJ1639">
        <v>91.723749635461203</v>
      </c>
      <c r="AK1639">
        <v>46.319133781010599</v>
      </c>
      <c r="AL1639">
        <v>87.401586849005099</v>
      </c>
      <c r="AM1639">
        <v>87.163985427797599</v>
      </c>
      <c r="AN1639">
        <v>0.99999998052690797</v>
      </c>
    </row>
    <row r="1640" spans="1:40" x14ac:dyDescent="0.25">
      <c r="A1640" t="str">
        <f>"20190312154540542"</f>
        <v>20190312154540542</v>
      </c>
      <c r="B1640" t="str">
        <f>"1552376740538075"</f>
        <v>1552376740538075</v>
      </c>
      <c r="C1640" t="s">
        <v>40</v>
      </c>
      <c r="D1640">
        <v>4.3977940000000002</v>
      </c>
      <c r="E1640">
        <v>0.45269740000000003</v>
      </c>
      <c r="F1640" t="s">
        <v>54</v>
      </c>
      <c r="G1640">
        <v>-342.70420000000001</v>
      </c>
      <c r="H1640" s="1">
        <v>-9.7774600000000005E-8</v>
      </c>
      <c r="I1640">
        <v>282.27879999999999</v>
      </c>
      <c r="J1640">
        <v>-295.85640000000001</v>
      </c>
      <c r="K1640">
        <v>1.109847</v>
      </c>
      <c r="L1640">
        <v>282.93889999999999</v>
      </c>
      <c r="M1640">
        <v>-0.99977669999999996</v>
      </c>
      <c r="N1640">
        <v>0</v>
      </c>
      <c r="O1640">
        <v>1.6128360000000001E-2</v>
      </c>
      <c r="P1640">
        <v>-0.9973476</v>
      </c>
      <c r="Q1640">
        <v>3.1722050000000002E-2</v>
      </c>
      <c r="R1640">
        <v>6.5512630000000002E-2</v>
      </c>
      <c r="S1640">
        <v>-3.0130309999999998</v>
      </c>
      <c r="T1640">
        <v>-7.0846080000000006E-2</v>
      </c>
      <c r="U1640">
        <v>-4.1778559999999999E-2</v>
      </c>
      <c r="V1640">
        <v>4.9402469999999997E-2</v>
      </c>
      <c r="W1640">
        <v>4.5363889999999997E-2</v>
      </c>
      <c r="X1640">
        <v>0.99774819999999997</v>
      </c>
      <c r="Y1640">
        <v>-2.9978399999999999E-2</v>
      </c>
      <c r="Z1640">
        <v>-7.3157179999999895E-4</v>
      </c>
      <c r="AA1640">
        <v>0.9995503</v>
      </c>
      <c r="AB1640">
        <v>34</v>
      </c>
      <c r="AC1640">
        <v>-46.847799999999999</v>
      </c>
      <c r="AD1640">
        <v>-1.1098470977746</v>
      </c>
      <c r="AE1640">
        <v>-0.66009999999999902</v>
      </c>
      <c r="AF1640">
        <v>-1.4148688256531901</v>
      </c>
      <c r="AG1640">
        <v>-1.1098470977746</v>
      </c>
      <c r="AH1640">
        <v>46.804794560705901</v>
      </c>
      <c r="AI1640">
        <v>91.357737452774998</v>
      </c>
      <c r="AJ1640">
        <v>91.7314750300323</v>
      </c>
      <c r="AK1640">
        <v>46.8393254460835</v>
      </c>
      <c r="AL1640">
        <v>87.399948217632797</v>
      </c>
      <c r="AM1640">
        <v>87.165373722230996</v>
      </c>
      <c r="AN1640">
        <v>0.99999997858063605</v>
      </c>
    </row>
    <row r="1641" spans="1:40" x14ac:dyDescent="0.25">
      <c r="A1641" t="str">
        <f>"20190312154540563"</f>
        <v>20190312154540563</v>
      </c>
      <c r="B1641" t="str">
        <f>"1552376740558571"</f>
        <v>1552376740558571</v>
      </c>
      <c r="C1641" t="s">
        <v>40</v>
      </c>
      <c r="D1641">
        <v>4.3532909999999996</v>
      </c>
      <c r="E1641">
        <v>0.44140819999999997</v>
      </c>
      <c r="F1641" t="s">
        <v>54</v>
      </c>
      <c r="G1641">
        <v>-349.91</v>
      </c>
      <c r="H1641">
        <v>3.0345179999999999E-2</v>
      </c>
      <c r="I1641">
        <v>279.61630000000002</v>
      </c>
      <c r="J1641">
        <v>-296.1671</v>
      </c>
      <c r="K1641">
        <v>1.1098589999999999</v>
      </c>
      <c r="L1641">
        <v>282.94369999999998</v>
      </c>
      <c r="M1641">
        <v>-0.99977760000000004</v>
      </c>
      <c r="N1641">
        <v>0</v>
      </c>
      <c r="O1641">
        <v>1.59826E-2</v>
      </c>
      <c r="P1641">
        <v>-0.99737070000000005</v>
      </c>
      <c r="Q1641">
        <v>3.1418729999999999E-2</v>
      </c>
      <c r="R1641">
        <v>6.5307649999999995E-2</v>
      </c>
      <c r="S1641">
        <v>-3.0220950000000002</v>
      </c>
      <c r="T1641">
        <v>-6.0354110000000002E-2</v>
      </c>
      <c r="U1641">
        <v>-0.1857605</v>
      </c>
      <c r="V1641">
        <v>4.9342780000000003E-2</v>
      </c>
      <c r="W1641">
        <v>4.5176210000000001E-2</v>
      </c>
      <c r="X1641">
        <v>0.99775970000000003</v>
      </c>
      <c r="Y1641">
        <v>-7.7279310000000004E-2</v>
      </c>
      <c r="Z1641">
        <v>-1.089781E-3</v>
      </c>
      <c r="AA1641">
        <v>0.99700889999999998</v>
      </c>
      <c r="AB1641">
        <v>34</v>
      </c>
      <c r="AC1641">
        <v>-53.742899999999999</v>
      </c>
      <c r="AD1641">
        <v>-1.0795138199999901</v>
      </c>
      <c r="AE1641">
        <v>-3.3273999999999502</v>
      </c>
      <c r="AF1641">
        <v>-4.1843256842661898</v>
      </c>
      <c r="AG1641">
        <v>-1.0795138199999901</v>
      </c>
      <c r="AH1641">
        <v>53.661280398298601</v>
      </c>
      <c r="AI1641">
        <v>91.148987360725002</v>
      </c>
      <c r="AJ1641">
        <v>94.458709430168796</v>
      </c>
      <c r="AK1641">
        <v>53.834997404146002</v>
      </c>
      <c r="AL1641">
        <v>87.410712605396597</v>
      </c>
      <c r="AM1641">
        <v>87.168825631887302</v>
      </c>
      <c r="AN1641">
        <v>1.0000000094160899</v>
      </c>
    </row>
    <row r="1642" spans="1:40" x14ac:dyDescent="0.25">
      <c r="A1642" t="str">
        <f>"20190312154540585"</f>
        <v>20190312154540585</v>
      </c>
      <c r="B1642" t="str">
        <f>"1552376740578091"</f>
        <v>1552376740578091</v>
      </c>
      <c r="C1642" t="s">
        <v>40</v>
      </c>
      <c r="D1642">
        <v>4.3355550000000003</v>
      </c>
      <c r="E1642">
        <v>0.43713940000000001</v>
      </c>
      <c r="F1642" t="s">
        <v>54</v>
      </c>
      <c r="G1642">
        <v>-347.40559999999999</v>
      </c>
      <c r="H1642">
        <v>8.0000760000000004E-2</v>
      </c>
      <c r="I1642">
        <v>278.26760000000002</v>
      </c>
      <c r="J1642">
        <v>-296.51780000000002</v>
      </c>
      <c r="K1642">
        <v>1.1098650000000001</v>
      </c>
      <c r="L1642">
        <v>282.94920000000002</v>
      </c>
      <c r="M1642">
        <v>-0.99977850000000001</v>
      </c>
      <c r="N1642">
        <v>0</v>
      </c>
      <c r="O1642">
        <v>1.5819550000000002E-2</v>
      </c>
      <c r="P1642">
        <v>-0.99738199999999999</v>
      </c>
      <c r="Q1642">
        <v>3.1068519999999999E-2</v>
      </c>
      <c r="R1642">
        <v>6.5298889999999998E-2</v>
      </c>
      <c r="S1642">
        <v>-3.0279539999999998</v>
      </c>
      <c r="T1642">
        <v>-6.0859799999999999E-2</v>
      </c>
      <c r="U1642">
        <v>-0.27633669999999999</v>
      </c>
      <c r="V1642">
        <v>4.9496610000000003E-2</v>
      </c>
      <c r="W1642">
        <v>4.4938989999999998E-2</v>
      </c>
      <c r="X1642">
        <v>0.99776279999999995</v>
      </c>
      <c r="Y1642">
        <v>-0.1066039</v>
      </c>
      <c r="Z1642">
        <v>-1.386352E-3</v>
      </c>
      <c r="AA1642">
        <v>0.99430059999999998</v>
      </c>
      <c r="AB1642">
        <v>34</v>
      </c>
      <c r="AC1642">
        <v>-50.887799999999899</v>
      </c>
      <c r="AD1642">
        <v>-1.02986423999999</v>
      </c>
      <c r="AE1642">
        <v>-4.6816000000000004</v>
      </c>
      <c r="AF1642">
        <v>-5.4838865067585303</v>
      </c>
      <c r="AG1642">
        <v>-1.02986423999999</v>
      </c>
      <c r="AH1642">
        <v>50.7867365268405</v>
      </c>
      <c r="AI1642">
        <v>91.154984912819103</v>
      </c>
      <c r="AJ1642">
        <v>96.162846912798699</v>
      </c>
      <c r="AK1642">
        <v>51.092330526396601</v>
      </c>
      <c r="AL1642">
        <v>87.424318145353098</v>
      </c>
      <c r="AM1642">
        <v>87.160022459792998</v>
      </c>
      <c r="AN1642">
        <v>1.0000000161437701</v>
      </c>
    </row>
    <row r="1643" spans="1:40" x14ac:dyDescent="0.25">
      <c r="A1643" t="str">
        <f>"20190312154540609"</f>
        <v>20190312154540609</v>
      </c>
      <c r="B1643" t="str">
        <f>"1552376740598588"</f>
        <v>1552376740598588</v>
      </c>
      <c r="C1643" t="s">
        <v>40</v>
      </c>
      <c r="D1643">
        <v>4.3234519999999996</v>
      </c>
      <c r="E1643">
        <v>0.43499310000000002</v>
      </c>
      <c r="F1643" t="s">
        <v>54</v>
      </c>
      <c r="G1643">
        <v>-347.03050000000002</v>
      </c>
      <c r="H1643">
        <v>8.0000859999999993E-2</v>
      </c>
      <c r="I1643">
        <v>277.77280000000002</v>
      </c>
      <c r="J1643">
        <v>-296.87049999999999</v>
      </c>
      <c r="K1643">
        <v>1.1098749999999999</v>
      </c>
      <c r="L1643">
        <v>282.9545</v>
      </c>
      <c r="M1643">
        <v>-0.9997798</v>
      </c>
      <c r="N1643">
        <v>0</v>
      </c>
      <c r="O1643">
        <v>1.565482E-2</v>
      </c>
      <c r="P1643">
        <v>-0.99740340000000005</v>
      </c>
      <c r="Q1643">
        <v>3.1328979999999999E-2</v>
      </c>
      <c r="R1643">
        <v>6.484616E-2</v>
      </c>
      <c r="S1643">
        <v>-3.03009</v>
      </c>
      <c r="T1643">
        <v>-6.1778069999999997E-2</v>
      </c>
      <c r="U1643">
        <v>-0.31051640000000003</v>
      </c>
      <c r="V1643">
        <v>4.9207939999999999E-2</v>
      </c>
      <c r="W1643">
        <v>4.5297200000000003E-2</v>
      </c>
      <c r="X1643">
        <v>0.99776089999999995</v>
      </c>
      <c r="Y1643">
        <v>-0.1174786</v>
      </c>
      <c r="Z1643">
        <v>-1.5127300000000001E-3</v>
      </c>
      <c r="AA1643">
        <v>0.99307420000000002</v>
      </c>
      <c r="AB1643">
        <v>34</v>
      </c>
      <c r="AC1643">
        <v>-50.16</v>
      </c>
      <c r="AD1643">
        <v>-1.02987414</v>
      </c>
      <c r="AE1643">
        <v>-5.18169999999997</v>
      </c>
      <c r="AF1643">
        <v>-5.96389978198318</v>
      </c>
      <c r="AG1643">
        <v>-1.02987414</v>
      </c>
      <c r="AH1643">
        <v>50.051848709545098</v>
      </c>
      <c r="AI1643">
        <v>91.170482469240994</v>
      </c>
      <c r="AJ1643">
        <v>96.7950091098608</v>
      </c>
      <c r="AK1643">
        <v>50.416428875883</v>
      </c>
      <c r="AL1643">
        <v>87.403773353384807</v>
      </c>
      <c r="AM1643">
        <v>87.176553292605306</v>
      </c>
      <c r="AN1643">
        <v>1.00000003562784</v>
      </c>
    </row>
    <row r="1644" spans="1:40" x14ac:dyDescent="0.25">
      <c r="A1644" t="str">
        <f>"20190312154540630"</f>
        <v>20190312154540630</v>
      </c>
      <c r="B1644" t="str">
        <f>"1552376740618111"</f>
        <v>1552376740618111</v>
      </c>
      <c r="C1644" t="s">
        <v>40</v>
      </c>
      <c r="D1644">
        <v>4.3167859999999996</v>
      </c>
      <c r="E1644">
        <v>0.43378499999999998</v>
      </c>
      <c r="F1644" t="s">
        <v>54</v>
      </c>
      <c r="G1644">
        <v>-342.67059999999998</v>
      </c>
      <c r="H1644">
        <v>8.0000680000000005E-2</v>
      </c>
      <c r="I1644">
        <v>277.97910000000002</v>
      </c>
      <c r="J1644">
        <v>-297.19310000000002</v>
      </c>
      <c r="K1644">
        <v>1.109885</v>
      </c>
      <c r="L1644">
        <v>282.95940000000002</v>
      </c>
      <c r="M1644">
        <v>-0.99978109999999998</v>
      </c>
      <c r="N1644">
        <v>0</v>
      </c>
      <c r="O1644">
        <v>1.5503889999999999E-2</v>
      </c>
      <c r="P1644">
        <v>-0.99738959999999999</v>
      </c>
      <c r="Q1644">
        <v>3.1845060000000001E-2</v>
      </c>
      <c r="R1644">
        <v>6.4809229999999995E-2</v>
      </c>
      <c r="S1644">
        <v>-3.0314030000000001</v>
      </c>
      <c r="T1644">
        <v>-6.8164939999999993E-2</v>
      </c>
      <c r="U1644">
        <v>-0.32931519999999997</v>
      </c>
      <c r="V1644">
        <v>4.9321799999999999E-2</v>
      </c>
      <c r="W1644">
        <v>4.5890239999999999E-2</v>
      </c>
      <c r="X1644">
        <v>0.99772819999999995</v>
      </c>
      <c r="Y1644">
        <v>-0.1233662</v>
      </c>
      <c r="Z1644">
        <v>-1.7304379999999999E-3</v>
      </c>
      <c r="AA1644">
        <v>0.99235969999999996</v>
      </c>
      <c r="AB1644">
        <v>34</v>
      </c>
      <c r="AC1644">
        <v>-45.4774999999999</v>
      </c>
      <c r="AD1644">
        <v>-1.0298843200000001</v>
      </c>
      <c r="AE1644">
        <v>-4.9802999999999997</v>
      </c>
      <c r="AF1644">
        <v>-5.6819696179375496</v>
      </c>
      <c r="AG1644">
        <v>-1.0298843200000001</v>
      </c>
      <c r="AH1644">
        <v>45.371818385474398</v>
      </c>
      <c r="AI1644">
        <v>91.290245670108405</v>
      </c>
      <c r="AJ1644">
        <v>97.138061893500407</v>
      </c>
      <c r="AK1644">
        <v>45.737810879580003</v>
      </c>
      <c r="AL1644">
        <v>87.369759350399207</v>
      </c>
      <c r="AM1644">
        <v>87.169938256507706</v>
      </c>
      <c r="AN1644">
        <v>1.0000000575788599</v>
      </c>
    </row>
    <row r="1645" spans="1:40" x14ac:dyDescent="0.25">
      <c r="A1645" t="str">
        <f>"20190312154540652"</f>
        <v>20190312154540652</v>
      </c>
      <c r="B1645" t="str">
        <f>"1552376740648364"</f>
        <v>1552376740648364</v>
      </c>
      <c r="C1645" t="s">
        <v>40</v>
      </c>
      <c r="D1645">
        <v>4.2592270000000001</v>
      </c>
      <c r="E1645">
        <v>0.43259809999999999</v>
      </c>
      <c r="F1645" t="s">
        <v>54</v>
      </c>
      <c r="G1645">
        <v>-340.82819999999998</v>
      </c>
      <c r="H1645">
        <v>8.0001219999999998E-2</v>
      </c>
      <c r="I1645">
        <v>278.07979999999998</v>
      </c>
      <c r="J1645">
        <v>-297.53399999999999</v>
      </c>
      <c r="K1645">
        <v>1.1099030000000001</v>
      </c>
      <c r="L1645">
        <v>282.96460000000002</v>
      </c>
      <c r="M1645">
        <v>-0.99978250000000002</v>
      </c>
      <c r="N1645">
        <v>0</v>
      </c>
      <c r="O1645">
        <v>1.5344480000000001E-2</v>
      </c>
      <c r="P1645">
        <v>-0.99739770000000005</v>
      </c>
      <c r="Q1645">
        <v>3.1710460000000003E-2</v>
      </c>
      <c r="R1645">
        <v>6.4749109999999999E-2</v>
      </c>
      <c r="S1645">
        <v>-3.0321660000000001</v>
      </c>
      <c r="T1645">
        <v>-7.1565749999999997E-2</v>
      </c>
      <c r="U1645">
        <v>-0.33908080000000002</v>
      </c>
      <c r="V1645">
        <v>4.9420930000000002E-2</v>
      </c>
      <c r="W1645">
        <v>4.582642E-2</v>
      </c>
      <c r="X1645">
        <v>0.99772609999999995</v>
      </c>
      <c r="Y1645">
        <v>-0.1263341</v>
      </c>
      <c r="Z1645">
        <v>-1.847135E-3</v>
      </c>
      <c r="AA1645">
        <v>0.99198600000000003</v>
      </c>
      <c r="AB1645">
        <v>34</v>
      </c>
      <c r="AC1645">
        <v>-43.294199999999897</v>
      </c>
      <c r="AD1645">
        <v>-1.0299017800000001</v>
      </c>
      <c r="AE1645">
        <v>-4.8848000000000402</v>
      </c>
      <c r="AF1645">
        <v>-5.5455193352206802</v>
      </c>
      <c r="AG1645">
        <v>-1.0299017800000001</v>
      </c>
      <c r="AH1645">
        <v>43.190006035957197</v>
      </c>
      <c r="AI1645">
        <v>91.354888299585795</v>
      </c>
      <c r="AJ1645">
        <v>97.316642977353396</v>
      </c>
      <c r="AK1645">
        <v>43.5567457893696</v>
      </c>
      <c r="AL1645">
        <v>87.3734194821118</v>
      </c>
      <c r="AM1645">
        <v>87.1642535396726</v>
      </c>
      <c r="AN1645">
        <v>0.99999992985664299</v>
      </c>
    </row>
    <row r="1646" spans="1:40" x14ac:dyDescent="0.25">
      <c r="A1646" t="str">
        <f>"20190312154540674"</f>
        <v>20190312154540674</v>
      </c>
      <c r="B1646" t="str">
        <f>"1552376740667883"</f>
        <v>1552376740667883</v>
      </c>
      <c r="C1646" t="s">
        <v>40</v>
      </c>
      <c r="D1646">
        <v>4.2985749999999996</v>
      </c>
      <c r="E1646">
        <v>0.43195339999999999</v>
      </c>
      <c r="F1646" t="s">
        <v>54</v>
      </c>
      <c r="G1646">
        <v>-338.41750000000002</v>
      </c>
      <c r="H1646">
        <v>8.0000730000000006E-2</v>
      </c>
      <c r="I1646">
        <v>278.26209999999998</v>
      </c>
      <c r="J1646">
        <v>-297.87849999999997</v>
      </c>
      <c r="K1646">
        <v>1.109912</v>
      </c>
      <c r="L1646">
        <v>282.96969999999999</v>
      </c>
      <c r="M1646">
        <v>-0.99978409999999995</v>
      </c>
      <c r="N1646">
        <v>0</v>
      </c>
      <c r="O1646">
        <v>1.5182930000000001E-2</v>
      </c>
      <c r="P1646">
        <v>-0.99741109999999999</v>
      </c>
      <c r="Q1646">
        <v>3.1692020000000001E-2</v>
      </c>
      <c r="R1646">
        <v>6.4549709999999996E-2</v>
      </c>
      <c r="S1646">
        <v>-3.0328979999999999</v>
      </c>
      <c r="T1646">
        <v>-7.6402189999999995E-2</v>
      </c>
      <c r="U1646">
        <v>-0.3488464</v>
      </c>
      <c r="V1646">
        <v>4.9382530000000001E-2</v>
      </c>
      <c r="W1646">
        <v>4.5869760000000002E-2</v>
      </c>
      <c r="X1646">
        <v>0.99772609999999995</v>
      </c>
      <c r="Y1646">
        <v>-0.12929399999999999</v>
      </c>
      <c r="Z1646">
        <v>-2.0041960000000002E-3</v>
      </c>
      <c r="AA1646">
        <v>0.99160429999999999</v>
      </c>
      <c r="AB1646">
        <v>34</v>
      </c>
      <c r="AC1646">
        <v>-40.539000000000001</v>
      </c>
      <c r="AD1646">
        <v>-1.0299112699999999</v>
      </c>
      <c r="AE1646">
        <v>-4.70760000000001</v>
      </c>
      <c r="AF1646">
        <v>-5.3192324503822697</v>
      </c>
      <c r="AG1646">
        <v>-1.0299112699999999</v>
      </c>
      <c r="AH1646">
        <v>40.437091577907601</v>
      </c>
      <c r="AI1646">
        <v>91.446521661024605</v>
      </c>
      <c r="AJ1646">
        <v>97.493855491721106</v>
      </c>
      <c r="AK1646">
        <v>40.798447597492697</v>
      </c>
      <c r="AL1646">
        <v>87.370933905690507</v>
      </c>
      <c r="AM1646">
        <v>87.166453318818895</v>
      </c>
      <c r="AN1646">
        <v>1.0000000198864301</v>
      </c>
    </row>
    <row r="1647" spans="1:40" x14ac:dyDescent="0.25">
      <c r="A1647" t="str">
        <f>"20190312154540697"</f>
        <v>20190312154540697</v>
      </c>
      <c r="B1647" t="str">
        <f>"1552376740688378"</f>
        <v>1552376740688378</v>
      </c>
      <c r="C1647" t="s">
        <v>40</v>
      </c>
      <c r="D1647">
        <v>4.2379030000000002</v>
      </c>
      <c r="E1647">
        <v>0.43148760000000003</v>
      </c>
      <c r="F1647" t="s">
        <v>54</v>
      </c>
      <c r="G1647">
        <v>-337.7165</v>
      </c>
      <c r="H1647">
        <v>8.0000940000000006E-2</v>
      </c>
      <c r="I1647">
        <v>278.3134</v>
      </c>
      <c r="J1647">
        <v>-298.21570000000003</v>
      </c>
      <c r="K1647">
        <v>1.109923</v>
      </c>
      <c r="L1647">
        <v>282.97460000000001</v>
      </c>
      <c r="M1647">
        <v>-0.99978579999999995</v>
      </c>
      <c r="N1647">
        <v>0</v>
      </c>
      <c r="O1647">
        <v>1.502526E-2</v>
      </c>
      <c r="P1647">
        <v>-0.99742319999999995</v>
      </c>
      <c r="Q1647">
        <v>3.2219709999999999E-2</v>
      </c>
      <c r="R1647">
        <v>6.410391E-2</v>
      </c>
      <c r="S1647">
        <v>-3.0331730000000001</v>
      </c>
      <c r="T1647">
        <v>-7.8415159999999998E-2</v>
      </c>
      <c r="U1647">
        <v>-0.35452270000000002</v>
      </c>
      <c r="V1647">
        <v>4.9093890000000001E-2</v>
      </c>
      <c r="W1647">
        <v>4.6448980000000001E-2</v>
      </c>
      <c r="X1647">
        <v>0.99771350000000003</v>
      </c>
      <c r="Y1647">
        <v>-0.1309555</v>
      </c>
      <c r="Z1647">
        <v>-2.073915E-3</v>
      </c>
      <c r="AA1647">
        <v>0.99138610000000005</v>
      </c>
      <c r="AB1647">
        <v>34</v>
      </c>
      <c r="AC1647">
        <v>-39.500799999999899</v>
      </c>
      <c r="AD1647">
        <v>-1.0299220600000001</v>
      </c>
      <c r="AE1647">
        <v>-4.6612</v>
      </c>
      <c r="AF1647">
        <v>-5.2507230827721303</v>
      </c>
      <c r="AG1647">
        <v>-1.0299220600000001</v>
      </c>
      <c r="AH1647">
        <v>39.3998800254939</v>
      </c>
      <c r="AI1647">
        <v>91.484267545992097</v>
      </c>
      <c r="AJ1647">
        <v>97.590936638166198</v>
      </c>
      <c r="AK1647">
        <v>39.761556538507698</v>
      </c>
      <c r="AL1647">
        <v>87.337711507360495</v>
      </c>
      <c r="AM1647">
        <v>87.182953074176197</v>
      </c>
      <c r="AN1647">
        <v>0.99999997293030995</v>
      </c>
    </row>
    <row r="1648" spans="1:40" x14ac:dyDescent="0.25">
      <c r="A1648" t="str">
        <f>"20190312154540720"</f>
        <v>20190312154540720</v>
      </c>
      <c r="B1648" t="str">
        <f>"1552376740707899"</f>
        <v>1552376740707899</v>
      </c>
      <c r="C1648" t="s">
        <v>40</v>
      </c>
      <c r="D1648">
        <v>4.298794</v>
      </c>
      <c r="E1648">
        <v>0.43118400000000001</v>
      </c>
      <c r="F1648" t="s">
        <v>54</v>
      </c>
      <c r="G1648">
        <v>-338.42689999999999</v>
      </c>
      <c r="H1648">
        <v>8.0000740000000001E-2</v>
      </c>
      <c r="I1648">
        <v>278.20659999999998</v>
      </c>
      <c r="J1648">
        <v>-298.57229999999998</v>
      </c>
      <c r="K1648">
        <v>1.109923</v>
      </c>
      <c r="L1648">
        <v>282.97980000000001</v>
      </c>
      <c r="M1648">
        <v>-0.9997876</v>
      </c>
      <c r="N1648">
        <v>0</v>
      </c>
      <c r="O1648">
        <v>1.485846E-2</v>
      </c>
      <c r="P1648">
        <v>-0.99746979999999996</v>
      </c>
      <c r="Q1648">
        <v>3.2376420000000003E-2</v>
      </c>
      <c r="R1648">
        <v>6.329282E-2</v>
      </c>
      <c r="S1648">
        <v>-3.0333860000000001</v>
      </c>
      <c r="T1648">
        <v>-7.7693579999999998E-2</v>
      </c>
      <c r="U1648">
        <v>-0.35968020000000001</v>
      </c>
      <c r="V1648">
        <v>4.8448650000000003E-2</v>
      </c>
      <c r="W1648">
        <v>4.6652369999999999E-2</v>
      </c>
      <c r="X1648">
        <v>0.99773559999999994</v>
      </c>
      <c r="Y1648">
        <v>-0.13244489999999901</v>
      </c>
      <c r="Z1648">
        <v>-2.0692380000000002E-3</v>
      </c>
      <c r="AA1648">
        <v>0.99118819999999996</v>
      </c>
      <c r="AB1648">
        <v>34</v>
      </c>
      <c r="AC1648">
        <v>-39.854599999999998</v>
      </c>
      <c r="AD1648">
        <v>-1.02992226</v>
      </c>
      <c r="AE1648">
        <v>-4.7732000000000303</v>
      </c>
      <c r="AF1648">
        <v>-5.3613816035215098</v>
      </c>
      <c r="AG1648">
        <v>-1.02992226</v>
      </c>
      <c r="AH1648">
        <v>39.753097743484098</v>
      </c>
      <c r="AI1648">
        <v>91.470775781829303</v>
      </c>
      <c r="AJ1648">
        <v>97.680964501248098</v>
      </c>
      <c r="AK1648">
        <v>40.126225000157</v>
      </c>
      <c r="AL1648">
        <v>87.326045601354096</v>
      </c>
      <c r="AM1648">
        <v>87.219980476872607</v>
      </c>
      <c r="AN1648">
        <v>1.0000000214103899</v>
      </c>
    </row>
    <row r="1649" spans="1:40" x14ac:dyDescent="0.25">
      <c r="A1649" t="str">
        <f>"20190312154540743"</f>
        <v>20190312154540743</v>
      </c>
      <c r="B1649" t="str">
        <f>"1552376740738155"</f>
        <v>1552376740738155</v>
      </c>
      <c r="C1649" t="s">
        <v>40</v>
      </c>
      <c r="D1649">
        <v>4.5112809999999897</v>
      </c>
      <c r="E1649">
        <v>0.43130750000000001</v>
      </c>
      <c r="F1649" t="s">
        <v>54</v>
      </c>
      <c r="G1649">
        <v>-338.77839999999998</v>
      </c>
      <c r="H1649">
        <v>8.0000630000000003E-2</v>
      </c>
      <c r="I1649">
        <v>278.14710000000002</v>
      </c>
      <c r="J1649">
        <v>-298.90249999999997</v>
      </c>
      <c r="K1649">
        <v>1.1099330000000001</v>
      </c>
      <c r="L1649">
        <v>282.98450000000003</v>
      </c>
      <c r="M1649">
        <v>-0.99978920000000004</v>
      </c>
      <c r="N1649">
        <v>0</v>
      </c>
      <c r="O1649">
        <v>1.470394E-2</v>
      </c>
      <c r="P1649">
        <v>-0.99751719999999999</v>
      </c>
      <c r="Q1649">
        <v>3.2599400000000001E-2</v>
      </c>
      <c r="R1649">
        <v>6.2425040000000001E-2</v>
      </c>
      <c r="S1649">
        <v>-3.0332340000000002</v>
      </c>
      <c r="T1649">
        <v>-7.7699660000000004E-2</v>
      </c>
      <c r="U1649">
        <v>-0.36459350000000001</v>
      </c>
      <c r="V1649">
        <v>4.7734579999999999E-2</v>
      </c>
      <c r="W1649">
        <v>4.6911960000000003E-2</v>
      </c>
      <c r="X1649">
        <v>0.99775789999999998</v>
      </c>
      <c r="Y1649">
        <v>-0.13388</v>
      </c>
      <c r="Z1649">
        <v>-2.0836740000000002E-3</v>
      </c>
      <c r="AA1649">
        <v>0.99099530000000002</v>
      </c>
      <c r="AB1649">
        <v>34</v>
      </c>
      <c r="AC1649">
        <v>-39.875900000000001</v>
      </c>
      <c r="AD1649">
        <v>-1.02993237</v>
      </c>
      <c r="AE1649">
        <v>-4.8373999999999997</v>
      </c>
      <c r="AF1649">
        <v>-5.4197068832234603</v>
      </c>
      <c r="AG1649">
        <v>-1.02993237</v>
      </c>
      <c r="AH1649">
        <v>39.774303083803602</v>
      </c>
      <c r="AI1649">
        <v>91.469733680637901</v>
      </c>
      <c r="AJ1649">
        <v>97.759421755388999</v>
      </c>
      <c r="AK1649">
        <v>40.155064054102901</v>
      </c>
      <c r="AL1649">
        <v>87.3111560307362</v>
      </c>
      <c r="AM1649">
        <v>87.260952603598199</v>
      </c>
      <c r="AN1649">
        <v>1.0000000745656099</v>
      </c>
    </row>
    <row r="1650" spans="1:40" x14ac:dyDescent="0.25">
      <c r="A1650" t="str">
        <f>"20190312154540765"</f>
        <v>20190312154540765</v>
      </c>
      <c r="B1650" t="str">
        <f>"1552376740758651"</f>
        <v>1552376740758651</v>
      </c>
      <c r="C1650" t="s">
        <v>40</v>
      </c>
      <c r="D1650">
        <v>4.3770740000000004</v>
      </c>
      <c r="E1650">
        <v>0.47386489999999998</v>
      </c>
      <c r="F1650" t="s">
        <v>54</v>
      </c>
      <c r="G1650">
        <v>-338.9939</v>
      </c>
      <c r="H1650">
        <v>8.0000569999999993E-2</v>
      </c>
      <c r="I1650">
        <v>278.14210000000003</v>
      </c>
      <c r="J1650">
        <v>-299.23129999999998</v>
      </c>
      <c r="K1650">
        <v>1.1099410000000001</v>
      </c>
      <c r="L1650">
        <v>282.98919999999998</v>
      </c>
      <c r="M1650">
        <v>-0.99979119999999999</v>
      </c>
      <c r="N1650">
        <v>0</v>
      </c>
      <c r="O1650">
        <v>1.4549950000000001E-2</v>
      </c>
      <c r="P1650">
        <v>-0.99753550000000002</v>
      </c>
      <c r="Q1650">
        <v>3.2602939999999997E-2</v>
      </c>
      <c r="R1650">
        <v>6.212906E-2</v>
      </c>
      <c r="S1650">
        <v>-3.0329280000000001</v>
      </c>
      <c r="T1650">
        <v>-7.7914709999999998E-2</v>
      </c>
      <c r="U1650">
        <v>-0.36633300000000002</v>
      </c>
      <c r="V1650">
        <v>4.7592160000000001E-2</v>
      </c>
      <c r="W1650">
        <v>4.6946740000000001E-2</v>
      </c>
      <c r="X1650">
        <v>0.99776299999999996</v>
      </c>
      <c r="Y1650">
        <v>-0.134299</v>
      </c>
      <c r="Z1650">
        <v>-2.090995E-3</v>
      </c>
      <c r="AA1650">
        <v>0.99093869999999895</v>
      </c>
      <c r="AB1650">
        <v>34</v>
      </c>
      <c r="AC1650">
        <v>-39.762599999999999</v>
      </c>
      <c r="AD1650">
        <v>-1.0299404299999999</v>
      </c>
      <c r="AE1650">
        <v>-4.8470999999999496</v>
      </c>
      <c r="AF1650">
        <v>-5.4216059628086803</v>
      </c>
      <c r="AG1650">
        <v>-1.0299404299999999</v>
      </c>
      <c r="AH1650">
        <v>39.661637300658001</v>
      </c>
      <c r="AI1650">
        <v>91.4738325501839</v>
      </c>
      <c r="AJ1650">
        <v>97.783887224893206</v>
      </c>
      <c r="AK1650">
        <v>40.043726872935501</v>
      </c>
      <c r="AL1650">
        <v>87.309160904072101</v>
      </c>
      <c r="AM1650">
        <v>87.269126322148793</v>
      </c>
      <c r="AN1650">
        <v>1.0000000071295401</v>
      </c>
    </row>
    <row r="1651" spans="1:40" x14ac:dyDescent="0.25">
      <c r="A1651" t="str">
        <f>"20190312154540786"</f>
        <v>20190312154540786</v>
      </c>
      <c r="B1651" t="str">
        <f>"1552376740778175"</f>
        <v>1552376740778175</v>
      </c>
      <c r="C1651" t="s">
        <v>40</v>
      </c>
      <c r="D1651">
        <v>4.4176989999999998</v>
      </c>
      <c r="E1651">
        <v>0.48424349999999999</v>
      </c>
      <c r="F1651" t="s">
        <v>54</v>
      </c>
      <c r="G1651">
        <v>-346.17959999999999</v>
      </c>
      <c r="H1651" s="1">
        <v>1.7516840000000001E-6</v>
      </c>
      <c r="I1651">
        <v>282.55290000000002</v>
      </c>
      <c r="J1651">
        <v>-299.57530000000003</v>
      </c>
      <c r="K1651">
        <v>1.1099479999999999</v>
      </c>
      <c r="L1651">
        <v>282.99400000000003</v>
      </c>
      <c r="M1651">
        <v>-0.99979320000000005</v>
      </c>
      <c r="N1651">
        <v>0</v>
      </c>
      <c r="O1651">
        <v>1.438876E-2</v>
      </c>
      <c r="P1651">
        <v>-0.99754810000000005</v>
      </c>
      <c r="Q1651">
        <v>3.2757830000000002E-2</v>
      </c>
      <c r="R1651">
        <v>6.1846239999999997E-2</v>
      </c>
      <c r="S1651">
        <v>-3.0114749999999999</v>
      </c>
      <c r="T1651">
        <v>-7.1196560000000006E-2</v>
      </c>
      <c r="U1651">
        <v>-2.7984620000000002E-2</v>
      </c>
      <c r="V1651">
        <v>4.7470129999999999E-2</v>
      </c>
      <c r="W1651">
        <v>4.7129160000000003E-2</v>
      </c>
      <c r="X1651">
        <v>0.99776019999999999</v>
      </c>
      <c r="Y1651">
        <v>-2.3670299999999998E-2</v>
      </c>
      <c r="Z1651">
        <v>-6.1991149999999996E-4</v>
      </c>
      <c r="AA1651">
        <v>0.99971960000000004</v>
      </c>
      <c r="AB1651">
        <v>34</v>
      </c>
      <c r="AC1651">
        <v>-46.604299999999903</v>
      </c>
      <c r="AD1651">
        <v>-1.1099462483160001</v>
      </c>
      <c r="AE1651">
        <v>-0.44110000000000499</v>
      </c>
      <c r="AF1651">
        <v>-1.1110715028060101</v>
      </c>
      <c r="AG1651">
        <v>-1.1099462483160001</v>
      </c>
      <c r="AH1651">
        <v>46.566715592894603</v>
      </c>
      <c r="AI1651">
        <v>91.365033182613601</v>
      </c>
      <c r="AJ1651">
        <v>91.366805257894399</v>
      </c>
      <c r="AK1651">
        <v>46.593191151369197</v>
      </c>
      <c r="AL1651">
        <v>87.298697390099903</v>
      </c>
      <c r="AM1651">
        <v>87.276110302939998</v>
      </c>
      <c r="AN1651">
        <v>0.99999999383428095</v>
      </c>
    </row>
    <row r="1652" spans="1:40" x14ac:dyDescent="0.25">
      <c r="A1652" t="str">
        <f>"20190312154540808"</f>
        <v>20190312154540808</v>
      </c>
      <c r="B1652" t="str">
        <f>"1552376740798667"</f>
        <v>1552376740798667</v>
      </c>
      <c r="C1652" t="s">
        <v>40</v>
      </c>
      <c r="D1652">
        <v>4.3788809999999998</v>
      </c>
      <c r="E1652">
        <v>0.48889359999999998</v>
      </c>
      <c r="F1652" t="s">
        <v>54</v>
      </c>
      <c r="G1652">
        <v>-344.90140000000002</v>
      </c>
      <c r="H1652" s="1">
        <v>1.071499E-6</v>
      </c>
      <c r="I1652">
        <v>283.80520000000001</v>
      </c>
      <c r="J1652">
        <v>-299.89920000000001</v>
      </c>
      <c r="K1652">
        <v>1.1099540000000001</v>
      </c>
      <c r="L1652">
        <v>282.99849999999998</v>
      </c>
      <c r="M1652">
        <v>-0.99979499999999999</v>
      </c>
      <c r="N1652">
        <v>0</v>
      </c>
      <c r="O1652">
        <v>1.4237100000000001E-2</v>
      </c>
      <c r="P1652">
        <v>-0.99754350000000003</v>
      </c>
      <c r="Q1652">
        <v>3.2679689999999997E-2</v>
      </c>
      <c r="R1652">
        <v>6.19619E-2</v>
      </c>
      <c r="S1652">
        <v>-3.0065</v>
      </c>
      <c r="T1652">
        <v>-7.3623179999999996E-2</v>
      </c>
      <c r="U1652">
        <v>5.3802490000000001E-2</v>
      </c>
      <c r="V1652">
        <v>4.773736E-2</v>
      </c>
      <c r="W1652">
        <v>4.707248E-2</v>
      </c>
      <c r="X1652">
        <v>0.99775009999999997</v>
      </c>
      <c r="Y1652">
        <v>3.657586E-3</v>
      </c>
      <c r="Z1652">
        <v>-3.0380099999999997E-4</v>
      </c>
      <c r="AA1652">
        <v>0.99999329999999997</v>
      </c>
      <c r="AB1652">
        <v>34</v>
      </c>
      <c r="AC1652">
        <v>-45.002200000000002</v>
      </c>
      <c r="AD1652">
        <v>-1.1099529285009999</v>
      </c>
      <c r="AE1652">
        <v>0.80670000000003395</v>
      </c>
      <c r="AF1652">
        <v>0.16575019417234399</v>
      </c>
      <c r="AG1652">
        <v>-1.1099529285009999</v>
      </c>
      <c r="AH1652">
        <v>44.981769100877401</v>
      </c>
      <c r="AI1652">
        <v>91.413512302138201</v>
      </c>
      <c r="AJ1652">
        <v>89.788875720378499</v>
      </c>
      <c r="AK1652">
        <v>44.995766690601101</v>
      </c>
      <c r="AL1652">
        <v>87.301948453400698</v>
      </c>
      <c r="AM1652">
        <v>87.260771946603498</v>
      </c>
      <c r="AN1652">
        <v>0.99999996798156399</v>
      </c>
    </row>
    <row r="1653" spans="1:40" x14ac:dyDescent="0.25">
      <c r="A1653" t="str">
        <f>"20190312154540831"</f>
        <v>20190312154540831</v>
      </c>
      <c r="B1653" t="str">
        <f>"1552376740818188"</f>
        <v>1552376740818188</v>
      </c>
      <c r="C1653" t="s">
        <v>40</v>
      </c>
      <c r="D1653">
        <v>4.3697039999999996</v>
      </c>
      <c r="E1653">
        <v>0.49136629999999998</v>
      </c>
      <c r="F1653" t="s">
        <v>54</v>
      </c>
      <c r="G1653">
        <v>-346.83580000000001</v>
      </c>
      <c r="H1653" s="1">
        <v>2.1009090000000001E-6</v>
      </c>
      <c r="I1653">
        <v>284.4237</v>
      </c>
      <c r="J1653">
        <v>-300.24810000000002</v>
      </c>
      <c r="K1653">
        <v>1.1099669999999999</v>
      </c>
      <c r="L1653">
        <v>283.0034</v>
      </c>
      <c r="M1653">
        <v>-0.99979700000000005</v>
      </c>
      <c r="N1653">
        <v>0</v>
      </c>
      <c r="O1653">
        <v>1.4073759999999999E-2</v>
      </c>
      <c r="P1653">
        <v>-0.99752879999999999</v>
      </c>
      <c r="Q1653">
        <v>3.2426509999999999E-2</v>
      </c>
      <c r="R1653">
        <v>6.2331949999999997E-2</v>
      </c>
      <c r="S1653">
        <v>-3.0040589999999998</v>
      </c>
      <c r="T1653">
        <v>-7.1039679999999994E-2</v>
      </c>
      <c r="U1653">
        <v>9.1217039999999999E-2</v>
      </c>
      <c r="V1653">
        <v>4.8270729999999998E-2</v>
      </c>
      <c r="W1653">
        <v>4.6839079999999998E-2</v>
      </c>
      <c r="X1653">
        <v>0.99773540000000005</v>
      </c>
      <c r="Y1653">
        <v>1.6278250000000001E-2</v>
      </c>
      <c r="Z1653">
        <v>-1.4029830000000001E-4</v>
      </c>
      <c r="AA1653">
        <v>0.99986750000000002</v>
      </c>
      <c r="AB1653">
        <v>34</v>
      </c>
      <c r="AC1653">
        <v>-46.587699999999899</v>
      </c>
      <c r="AD1653">
        <v>-1.1099648990909901</v>
      </c>
      <c r="AE1653">
        <v>1.4202999999999899</v>
      </c>
      <c r="AF1653">
        <v>0.76399375843547601</v>
      </c>
      <c r="AG1653">
        <v>-1.1099648990909901</v>
      </c>
      <c r="AH1653">
        <v>46.5766616158772</v>
      </c>
      <c r="AI1653">
        <v>91.364969451608502</v>
      </c>
      <c r="AJ1653">
        <v>89.060265566610198</v>
      </c>
      <c r="AK1653">
        <v>46.596149152264402</v>
      </c>
      <c r="AL1653">
        <v>87.315335995612102</v>
      </c>
      <c r="AM1653">
        <v>87.230173176529206</v>
      </c>
      <c r="AN1653">
        <v>0.99999994560156802</v>
      </c>
    </row>
    <row r="1654" spans="1:40" x14ac:dyDescent="0.25">
      <c r="A1654" t="str">
        <f>"20190312154540853"</f>
        <v>20190312154540853</v>
      </c>
      <c r="B1654" t="str">
        <f>"1552376740838683"</f>
        <v>1552376740838683</v>
      </c>
      <c r="C1654" t="s">
        <v>40</v>
      </c>
      <c r="D1654">
        <v>4.3662099999999997</v>
      </c>
      <c r="E1654">
        <v>0.49313129999999999</v>
      </c>
      <c r="F1654" t="s">
        <v>54</v>
      </c>
      <c r="G1654">
        <v>-348.9357</v>
      </c>
      <c r="H1654" s="1">
        <v>3.2183589999999999E-6</v>
      </c>
      <c r="I1654">
        <v>284.82389999999998</v>
      </c>
      <c r="J1654">
        <v>-300.56630000000001</v>
      </c>
      <c r="K1654">
        <v>1.1099650000000001</v>
      </c>
      <c r="L1654">
        <v>283.0077</v>
      </c>
      <c r="M1654">
        <v>-0.99979879999999999</v>
      </c>
      <c r="N1654">
        <v>0</v>
      </c>
      <c r="O1654">
        <v>1.392471E-2</v>
      </c>
      <c r="P1654">
        <v>-0.99752969999999996</v>
      </c>
      <c r="Q1654">
        <v>3.2449369999999998E-2</v>
      </c>
      <c r="R1654">
        <v>6.2301490000000001E-2</v>
      </c>
      <c r="S1654">
        <v>-3.0026549999999999</v>
      </c>
      <c r="T1654">
        <v>-6.8453550000000002E-2</v>
      </c>
      <c r="U1654">
        <v>0.1122742</v>
      </c>
      <c r="V1654">
        <v>4.8389040000000001E-2</v>
      </c>
      <c r="W1654">
        <v>4.6877189999999999E-2</v>
      </c>
      <c r="X1654">
        <v>0.9977279</v>
      </c>
      <c r="Y1654">
        <v>2.344299E-2</v>
      </c>
      <c r="Z1654" s="1">
        <v>-5.0208969999999998E-5</v>
      </c>
      <c r="AA1654">
        <v>0.99972519999999998</v>
      </c>
      <c r="AB1654">
        <v>34</v>
      </c>
      <c r="AC1654">
        <v>-48.369399999999899</v>
      </c>
      <c r="AD1654">
        <v>-1.1099617816409999</v>
      </c>
      <c r="AE1654">
        <v>1.8161999999999801</v>
      </c>
      <c r="AF1654">
        <v>1.14182336579568</v>
      </c>
      <c r="AG1654">
        <v>-1.1099617816409999</v>
      </c>
      <c r="AH1654">
        <v>48.3645695741792</v>
      </c>
      <c r="AI1654">
        <v>91.314335219847607</v>
      </c>
      <c r="AJ1654">
        <v>88.647573838258793</v>
      </c>
      <c r="AK1654">
        <v>48.3907776942156</v>
      </c>
      <c r="AL1654">
        <v>87.313150107813399</v>
      </c>
      <c r="AM1654">
        <v>87.223374191953795</v>
      </c>
      <c r="AN1654">
        <v>0.99999996628641297</v>
      </c>
    </row>
    <row r="1655" spans="1:40" x14ac:dyDescent="0.25">
      <c r="A1655" t="str">
        <f>"20190312154540875"</f>
        <v>20190312154540875</v>
      </c>
      <c r="B1655" t="str">
        <f>"1552376740867967"</f>
        <v>1552376740867967</v>
      </c>
      <c r="C1655" t="s">
        <v>40</v>
      </c>
      <c r="D1655">
        <v>4.359407</v>
      </c>
      <c r="E1655">
        <v>0.49470619999999998</v>
      </c>
      <c r="F1655" t="s">
        <v>54</v>
      </c>
      <c r="G1655">
        <v>-351.93540000000002</v>
      </c>
      <c r="H1655" s="1">
        <v>-5.0688949999999999E-7</v>
      </c>
      <c r="I1655">
        <v>285.17090000000002</v>
      </c>
      <c r="J1655">
        <v>-300.9092</v>
      </c>
      <c r="K1655">
        <v>1.1099730000000001</v>
      </c>
      <c r="L1655">
        <v>283.01229999999998</v>
      </c>
      <c r="M1655">
        <v>-0.99980100000000005</v>
      </c>
      <c r="N1655">
        <v>0</v>
      </c>
      <c r="O1655">
        <v>1.3763869999999999E-2</v>
      </c>
      <c r="P1655">
        <v>-0.99753619999999998</v>
      </c>
      <c r="Q1655">
        <v>3.275662E-2</v>
      </c>
      <c r="R1655">
        <v>6.2038330000000003E-2</v>
      </c>
      <c r="S1655">
        <v>-3.0016479999999999</v>
      </c>
      <c r="T1655">
        <v>-6.4858680000000002E-2</v>
      </c>
      <c r="U1655">
        <v>0.12640380000000001</v>
      </c>
      <c r="V1655">
        <v>4.8286450000000002E-2</v>
      </c>
      <c r="W1655">
        <v>4.7198219999999999E-2</v>
      </c>
      <c r="X1655">
        <v>0.99771779999999999</v>
      </c>
      <c r="Y1655">
        <v>2.8313700000000001E-2</v>
      </c>
      <c r="Z1655" s="1">
        <v>8.4841739999999997E-6</v>
      </c>
      <c r="AA1655">
        <v>0.99959909999999996</v>
      </c>
      <c r="AB1655">
        <v>34</v>
      </c>
      <c r="AC1655">
        <v>-51.026200000000003</v>
      </c>
      <c r="AD1655">
        <v>-1.10997350688949</v>
      </c>
      <c r="AE1655">
        <v>2.1586000000000301</v>
      </c>
      <c r="AF1655">
        <v>1.4553168471476701</v>
      </c>
      <c r="AG1655">
        <v>-1.10997350688949</v>
      </c>
      <c r="AH1655">
        <v>51.026976744274897</v>
      </c>
      <c r="AI1655">
        <v>91.245633894614798</v>
      </c>
      <c r="AJ1655">
        <v>88.366336379188994</v>
      </c>
      <c r="AK1655">
        <v>51.059791852027402</v>
      </c>
      <c r="AL1655">
        <v>87.294736235513994</v>
      </c>
      <c r="AM1655">
        <v>87.229223751098104</v>
      </c>
      <c r="AN1655">
        <v>1.0000000308307999</v>
      </c>
    </row>
    <row r="1656" spans="1:40" x14ac:dyDescent="0.25">
      <c r="A1656" t="str">
        <f>"20190312154540898"</f>
        <v>20190312154540898</v>
      </c>
      <c r="B1656" t="str">
        <f>"1552376740888459"</f>
        <v>1552376740888459</v>
      </c>
      <c r="C1656" t="s">
        <v>40</v>
      </c>
      <c r="D1656">
        <v>4.3375560000000002</v>
      </c>
      <c r="E1656">
        <v>0.4955408</v>
      </c>
      <c r="F1656" t="s">
        <v>54</v>
      </c>
      <c r="G1656">
        <v>-355.63529999999997</v>
      </c>
      <c r="H1656" s="1">
        <v>1.46205E-6</v>
      </c>
      <c r="I1656">
        <v>285.53280000000001</v>
      </c>
      <c r="J1656">
        <v>-301.24119999999999</v>
      </c>
      <c r="K1656">
        <v>1.1099779999999999</v>
      </c>
      <c r="L1656">
        <v>283.01670000000001</v>
      </c>
      <c r="M1656">
        <v>-0.99980279999999999</v>
      </c>
      <c r="N1656">
        <v>0</v>
      </c>
      <c r="O1656">
        <v>1.3607940000000001E-2</v>
      </c>
      <c r="P1656">
        <v>-0.99753360000000002</v>
      </c>
      <c r="Q1656">
        <v>3.328569E-2</v>
      </c>
      <c r="R1656">
        <v>6.1798319999999997E-2</v>
      </c>
      <c r="S1656">
        <v>-3.0008849999999998</v>
      </c>
      <c r="T1656">
        <v>-6.0864809999999998E-2</v>
      </c>
      <c r="U1656">
        <v>0.13821410000000001</v>
      </c>
      <c r="V1656">
        <v>4.8201960000000002E-2</v>
      </c>
      <c r="W1656">
        <v>4.7738349999999999E-2</v>
      </c>
      <c r="X1656">
        <v>0.99769620000000003</v>
      </c>
      <c r="Y1656">
        <v>3.2405940000000001E-2</v>
      </c>
      <c r="Z1656" s="1">
        <v>5.2599090000000002E-5</v>
      </c>
      <c r="AA1656">
        <v>0.9994748</v>
      </c>
      <c r="AB1656">
        <v>34</v>
      </c>
      <c r="AC1656">
        <v>-54.394099999999902</v>
      </c>
      <c r="AD1656">
        <v>-1.10997653795</v>
      </c>
      <c r="AE1656">
        <v>2.51609999999999</v>
      </c>
      <c r="AF1656">
        <v>1.7748604034708799</v>
      </c>
      <c r="AG1656">
        <v>-1.10997653795</v>
      </c>
      <c r="AH1656">
        <v>54.400700213538101</v>
      </c>
      <c r="AI1656">
        <v>91.168263297552897</v>
      </c>
      <c r="AJ1656">
        <v>88.131348467270399</v>
      </c>
      <c r="AK1656">
        <v>54.440962161683501</v>
      </c>
      <c r="AL1656">
        <v>87.263754176013194</v>
      </c>
      <c r="AM1656">
        <v>87.2340046372655</v>
      </c>
      <c r="AN1656">
        <v>1.0000000432514999</v>
      </c>
    </row>
    <row r="1657" spans="1:40" x14ac:dyDescent="0.25">
      <c r="A1657" t="str">
        <f>"20190312154540921"</f>
        <v>20190312154540921</v>
      </c>
      <c r="B1657" t="str">
        <f>"1552376740907979"</f>
        <v>1552376740907979</v>
      </c>
      <c r="C1657" t="s">
        <v>40</v>
      </c>
      <c r="D1657">
        <v>4.3724509999999999</v>
      </c>
      <c r="E1657">
        <v>0.49632789999999999</v>
      </c>
      <c r="F1657" t="s">
        <v>54</v>
      </c>
      <c r="G1657">
        <v>-358.46940000000001</v>
      </c>
      <c r="H1657" s="1">
        <v>2.9702169999999998E-6</v>
      </c>
      <c r="I1657">
        <v>285.76749999999998</v>
      </c>
      <c r="J1657">
        <v>-301.59410000000003</v>
      </c>
      <c r="K1657">
        <v>1.1099920000000001</v>
      </c>
      <c r="L1657">
        <v>283.0213</v>
      </c>
      <c r="M1657">
        <v>-0.9998049</v>
      </c>
      <c r="N1657">
        <v>0</v>
      </c>
      <c r="O1657">
        <v>1.344212E-2</v>
      </c>
      <c r="P1657">
        <v>-0.99755349999999998</v>
      </c>
      <c r="Q1657">
        <v>3.3494749999999997E-2</v>
      </c>
      <c r="R1657">
        <v>6.1364009999999997E-2</v>
      </c>
      <c r="S1657">
        <v>-3.0004270000000002</v>
      </c>
      <c r="T1657">
        <v>-5.8195110000000001E-2</v>
      </c>
      <c r="U1657">
        <v>0.1442261</v>
      </c>
      <c r="V1657">
        <v>4.7933070000000001E-2</v>
      </c>
      <c r="W1657">
        <v>4.7956970000000002E-2</v>
      </c>
      <c r="X1657">
        <v>0.99769859999999999</v>
      </c>
      <c r="Y1657">
        <v>3.4576750000000003E-2</v>
      </c>
      <c r="Z1657" s="1">
        <v>7.4550070000000001E-5</v>
      </c>
      <c r="AA1657">
        <v>0.99940200000000001</v>
      </c>
      <c r="AB1657">
        <v>34</v>
      </c>
      <c r="AC1657">
        <v>-56.875299999999903</v>
      </c>
      <c r="AD1657">
        <v>-1.109989029783</v>
      </c>
      <c r="AE1657">
        <v>2.74619999999998</v>
      </c>
      <c r="AF1657">
        <v>1.9805945200166399</v>
      </c>
      <c r="AG1657">
        <v>-1.109989029783</v>
      </c>
      <c r="AH1657">
        <v>56.885462663352698</v>
      </c>
      <c r="AI1657">
        <v>91.117176795349806</v>
      </c>
      <c r="AJ1657">
        <v>88.005924887276294</v>
      </c>
      <c r="AK1657">
        <v>56.930753488098702</v>
      </c>
      <c r="AL1657">
        <v>87.251213617629205</v>
      </c>
      <c r="AM1657">
        <v>87.249417320607705</v>
      </c>
      <c r="AN1657">
        <v>0.99999997330658197</v>
      </c>
    </row>
    <row r="1658" spans="1:40" x14ac:dyDescent="0.25">
      <c r="A1658" t="str">
        <f>"20190312154540944"</f>
        <v>20190312154540944</v>
      </c>
      <c r="B1658" t="str">
        <f>"1552376740938236"</f>
        <v>1552376740938236</v>
      </c>
      <c r="C1658" t="s">
        <v>40</v>
      </c>
      <c r="D1658">
        <v>4.4369350000000001</v>
      </c>
      <c r="E1658">
        <v>0.49638850000000001</v>
      </c>
      <c r="F1658" t="s">
        <v>54</v>
      </c>
      <c r="G1658">
        <v>-359.42770000000002</v>
      </c>
      <c r="H1658" s="1">
        <v>3.480171E-6</v>
      </c>
      <c r="I1658">
        <v>285.89690000000002</v>
      </c>
      <c r="J1658">
        <v>-301.93009999999998</v>
      </c>
      <c r="K1658">
        <v>1.1099939999999999</v>
      </c>
      <c r="L1658">
        <v>283.0256</v>
      </c>
      <c r="M1658">
        <v>-0.99980690000000005</v>
      </c>
      <c r="N1658">
        <v>0</v>
      </c>
      <c r="O1658">
        <v>1.328436E-2</v>
      </c>
      <c r="P1658">
        <v>-0.99755539999999998</v>
      </c>
      <c r="Q1658">
        <v>3.3492649999999999E-2</v>
      </c>
      <c r="R1658">
        <v>6.1331940000000001E-2</v>
      </c>
      <c r="S1658">
        <v>-3.0001220000000002</v>
      </c>
      <c r="T1658">
        <v>-5.758071E-2</v>
      </c>
      <c r="U1658">
        <v>0.14916989999999999</v>
      </c>
      <c r="V1658">
        <v>4.8058539999999997E-2</v>
      </c>
      <c r="W1658">
        <v>4.7961730000000001E-2</v>
      </c>
      <c r="X1658">
        <v>0.99769229999999998</v>
      </c>
      <c r="Y1658">
        <v>3.6381950000000003E-2</v>
      </c>
      <c r="Z1658" s="1">
        <v>9.41047E-5</v>
      </c>
      <c r="AA1658">
        <v>0.99933799999999995</v>
      </c>
      <c r="AB1658">
        <v>34</v>
      </c>
      <c r="AC1658">
        <v>-57.497599999999998</v>
      </c>
      <c r="AD1658">
        <v>-1.1099905198289901</v>
      </c>
      <c r="AE1658">
        <v>2.8713000000000202</v>
      </c>
      <c r="AF1658">
        <v>2.10636461566392</v>
      </c>
      <c r="AG1658">
        <v>-1.1099905198289901</v>
      </c>
      <c r="AH1658">
        <v>57.509293275637702</v>
      </c>
      <c r="AI1658">
        <v>91.1049914429247</v>
      </c>
      <c r="AJ1658">
        <v>87.9023932932338</v>
      </c>
      <c r="AK1658">
        <v>57.558558563531903</v>
      </c>
      <c r="AL1658">
        <v>87.250940478784301</v>
      </c>
      <c r="AM1658">
        <v>87.242211085893402</v>
      </c>
      <c r="AN1658">
        <v>0.999999938145405</v>
      </c>
    </row>
    <row r="1659" spans="1:40" x14ac:dyDescent="0.25">
      <c r="A1659" t="str">
        <f>"20190312154540965"</f>
        <v>20190312154540965</v>
      </c>
      <c r="B1659" t="str">
        <f>"1552376740958731"</f>
        <v>1552376740958731</v>
      </c>
      <c r="C1659" t="s">
        <v>40</v>
      </c>
      <c r="D1659">
        <v>4.4193930000000003</v>
      </c>
      <c r="E1659">
        <v>0.49657990000000002</v>
      </c>
      <c r="F1659" t="s">
        <v>54</v>
      </c>
      <c r="G1659">
        <v>-355.17509999999999</v>
      </c>
      <c r="H1659" s="1">
        <v>1.2171660000000001E-6</v>
      </c>
      <c r="I1659">
        <v>285.67669999999998</v>
      </c>
      <c r="J1659">
        <v>-302.26150000000001</v>
      </c>
      <c r="K1659">
        <v>1.109996</v>
      </c>
      <c r="L1659">
        <v>283.02980000000002</v>
      </c>
      <c r="M1659">
        <v>-0.9998089</v>
      </c>
      <c r="N1659">
        <v>0</v>
      </c>
      <c r="O1659">
        <v>1.312877E-2</v>
      </c>
      <c r="P1659">
        <v>-0.99758420000000003</v>
      </c>
      <c r="Q1659">
        <v>3.3228540000000001E-2</v>
      </c>
      <c r="R1659">
        <v>6.1008859999999998E-2</v>
      </c>
      <c r="S1659">
        <v>-3.000305</v>
      </c>
      <c r="T1659">
        <v>-6.2546969999999993E-2</v>
      </c>
      <c r="U1659">
        <v>0.1493835</v>
      </c>
      <c r="V1659">
        <v>4.7890629999999997E-2</v>
      </c>
      <c r="W1659">
        <v>4.7703580000000002E-2</v>
      </c>
      <c r="X1659">
        <v>0.99771279999999996</v>
      </c>
      <c r="Y1659">
        <v>3.6604579999999998E-2</v>
      </c>
      <c r="Z1659">
        <v>1.0777290000000001E-4</v>
      </c>
      <c r="AA1659">
        <v>0.99932980000000005</v>
      </c>
      <c r="AB1659">
        <v>34</v>
      </c>
      <c r="AC1659">
        <v>-52.913599999999903</v>
      </c>
      <c r="AD1659">
        <v>-1.109994782834</v>
      </c>
      <c r="AE1659">
        <v>2.6468999999999601</v>
      </c>
      <c r="AF1659">
        <v>1.95105203024121</v>
      </c>
      <c r="AG1659">
        <v>-1.109994782834</v>
      </c>
      <c r="AH1659">
        <v>52.9205629718872</v>
      </c>
      <c r="AI1659">
        <v>91.200772063584495</v>
      </c>
      <c r="AJ1659">
        <v>87.888600681558003</v>
      </c>
      <c r="AK1659">
        <v>52.9681477654647</v>
      </c>
      <c r="AL1659">
        <v>87.265748470257606</v>
      </c>
      <c r="AM1659">
        <v>87.251888008095307</v>
      </c>
      <c r="AN1659">
        <v>0.99999998763522602</v>
      </c>
    </row>
    <row r="1660" spans="1:40" x14ac:dyDescent="0.25">
      <c r="A1660" t="str">
        <f>"20190312154540988"</f>
        <v>20190312154540988</v>
      </c>
      <c r="B1660" t="str">
        <f>"1552376740978254"</f>
        <v>1552376740978254</v>
      </c>
      <c r="C1660" t="s">
        <v>40</v>
      </c>
      <c r="D1660">
        <v>4.4244560000000002</v>
      </c>
      <c r="E1660">
        <v>0.49658049999999998</v>
      </c>
      <c r="F1660" t="s">
        <v>54</v>
      </c>
      <c r="G1660">
        <v>-353.45760000000001</v>
      </c>
      <c r="H1660" s="1">
        <v>3.0320350000000001E-7</v>
      </c>
      <c r="I1660">
        <v>285.59249999999997</v>
      </c>
      <c r="J1660">
        <v>-302.60050000000001</v>
      </c>
      <c r="K1660">
        <v>1.110004</v>
      </c>
      <c r="L1660">
        <v>283.0342</v>
      </c>
      <c r="M1660">
        <v>-0.99981089999999995</v>
      </c>
      <c r="N1660">
        <v>0</v>
      </c>
      <c r="O1660">
        <v>1.2969130000000001E-2</v>
      </c>
      <c r="P1660">
        <v>-0.99758610000000003</v>
      </c>
      <c r="Q1660">
        <v>3.3609390000000003E-2</v>
      </c>
      <c r="R1660">
        <v>6.0766649999999998E-2</v>
      </c>
      <c r="S1660">
        <v>-3.0002439999999999</v>
      </c>
      <c r="T1660">
        <v>-6.5049049999999997E-2</v>
      </c>
      <c r="U1660">
        <v>0.150177</v>
      </c>
      <c r="V1660">
        <v>4.7807660000000002E-2</v>
      </c>
      <c r="W1660">
        <v>4.8088899999999997E-2</v>
      </c>
      <c r="X1660">
        <v>0.99769830000000004</v>
      </c>
      <c r="Y1660">
        <v>3.7028220000000001E-2</v>
      </c>
      <c r="Z1660">
        <v>1.201321E-4</v>
      </c>
      <c r="AA1660">
        <v>0.99931420000000004</v>
      </c>
      <c r="AB1660">
        <v>33</v>
      </c>
      <c r="AC1660">
        <v>-50.857100000000003</v>
      </c>
      <c r="AD1660">
        <v>-1.1100036967964999</v>
      </c>
      <c r="AE1660">
        <v>2.5582999999999698</v>
      </c>
      <c r="AF1660">
        <v>1.8975415458881999</v>
      </c>
      <c r="AG1660">
        <v>-1.1100036967964999</v>
      </c>
      <c r="AH1660">
        <v>50.861836323854298</v>
      </c>
      <c r="AI1660">
        <v>91.249350089340496</v>
      </c>
      <c r="AJ1660">
        <v>87.863413315425802</v>
      </c>
      <c r="AK1660">
        <v>50.909322980764699</v>
      </c>
      <c r="AL1660">
        <v>87.243645944643504</v>
      </c>
      <c r="AM1660">
        <v>87.256601993287205</v>
      </c>
      <c r="AN1660">
        <v>1.00000000624038</v>
      </c>
    </row>
    <row r="1661" spans="1:40" x14ac:dyDescent="0.25">
      <c r="A1661" t="str">
        <f>"20190312154541010"</f>
        <v>20190312154541010</v>
      </c>
      <c r="B1661" t="str">
        <f>"1552376740998748"</f>
        <v>1552376740998748</v>
      </c>
      <c r="C1661" t="s">
        <v>40</v>
      </c>
      <c r="D1661">
        <v>4.4334230000000003</v>
      </c>
      <c r="E1661">
        <v>0.49659969999999998</v>
      </c>
      <c r="F1661" t="s">
        <v>54</v>
      </c>
      <c r="G1661">
        <v>-353.19319999999999</v>
      </c>
      <c r="H1661" s="1">
        <v>1.6246159999999999E-7</v>
      </c>
      <c r="I1661">
        <v>285.54950000000002</v>
      </c>
      <c r="J1661">
        <v>-302.92970000000003</v>
      </c>
      <c r="K1661">
        <v>1.110012</v>
      </c>
      <c r="L1661">
        <v>283.03829999999999</v>
      </c>
      <c r="M1661">
        <v>-0.99981279999999995</v>
      </c>
      <c r="N1661">
        <v>0</v>
      </c>
      <c r="O1661">
        <v>1.2814320000000001E-2</v>
      </c>
      <c r="P1661">
        <v>-0.99760769999999999</v>
      </c>
      <c r="Q1661">
        <v>3.3748599999999997E-2</v>
      </c>
      <c r="R1661">
        <v>6.0332400000000001E-2</v>
      </c>
      <c r="S1661">
        <v>-3.0003660000000001</v>
      </c>
      <c r="T1661">
        <v>-6.5828079999999997E-2</v>
      </c>
      <c r="U1661">
        <v>0.14916989999999999</v>
      </c>
      <c r="V1661">
        <v>4.7527699999999999E-2</v>
      </c>
      <c r="W1661">
        <v>4.8231309999999999E-2</v>
      </c>
      <c r="X1661">
        <v>0.99770479999999995</v>
      </c>
      <c r="Y1661">
        <v>3.6846200000000003E-2</v>
      </c>
      <c r="Z1661">
        <v>1.229646E-4</v>
      </c>
      <c r="AA1661">
        <v>0.99932089999999996</v>
      </c>
      <c r="AB1661">
        <v>33</v>
      </c>
      <c r="AC1661">
        <v>-50.263499999999901</v>
      </c>
      <c r="AD1661">
        <v>-1.1100118375383901</v>
      </c>
      <c r="AE1661">
        <v>2.5112000000000299</v>
      </c>
      <c r="AF1661">
        <v>1.8659257655439001</v>
      </c>
      <c r="AG1661">
        <v>-1.1100118375383901</v>
      </c>
      <c r="AH1661">
        <v>50.267100803864601</v>
      </c>
      <c r="AI1661">
        <v>91.264145090295003</v>
      </c>
      <c r="AJ1661">
        <v>87.874144199534499</v>
      </c>
      <c r="AK1661">
        <v>50.3139665348289</v>
      </c>
      <c r="AL1661">
        <v>87.235476969530893</v>
      </c>
      <c r="AM1661">
        <v>87.272660650387195</v>
      </c>
      <c r="AN1661">
        <v>1.0000000047373201</v>
      </c>
    </row>
    <row r="1662" spans="1:40" x14ac:dyDescent="0.25">
      <c r="A1662" t="str">
        <f>"20190312154541032"</f>
        <v>20190312154541032</v>
      </c>
      <c r="B1662" t="str">
        <f>"1552376741028028"</f>
        <v>1552376741028028</v>
      </c>
      <c r="C1662" t="s">
        <v>40</v>
      </c>
      <c r="D1662">
        <v>4.4268359999999998</v>
      </c>
      <c r="E1662">
        <v>0.49672670000000002</v>
      </c>
      <c r="F1662" t="s">
        <v>54</v>
      </c>
      <c r="G1662">
        <v>-352.68360000000001</v>
      </c>
      <c r="H1662" s="1">
        <v>-1.087305E-7</v>
      </c>
      <c r="I1662">
        <v>285.49360000000001</v>
      </c>
      <c r="J1662">
        <v>-303.24979999999999</v>
      </c>
      <c r="K1662">
        <v>1.1100129999999999</v>
      </c>
      <c r="L1662">
        <v>283.04219999999998</v>
      </c>
      <c r="M1662">
        <v>-0.99981469999999995</v>
      </c>
      <c r="N1662">
        <v>0</v>
      </c>
      <c r="O1662">
        <v>1.266422E-2</v>
      </c>
      <c r="P1662">
        <v>-0.99759629999999999</v>
      </c>
      <c r="Q1662">
        <v>3.4176440000000002E-2</v>
      </c>
      <c r="R1662">
        <v>6.0281580000000001E-2</v>
      </c>
      <c r="S1662">
        <v>-3.0005190000000002</v>
      </c>
      <c r="T1662">
        <v>-6.694174E-2</v>
      </c>
      <c r="U1662">
        <v>0.14807129999999999</v>
      </c>
      <c r="V1662">
        <v>4.7626799999999997E-2</v>
      </c>
      <c r="W1662">
        <v>4.8661389999999999E-2</v>
      </c>
      <c r="X1662">
        <v>0.99767919999999999</v>
      </c>
      <c r="Y1662">
        <v>3.6628519999999998E-2</v>
      </c>
      <c r="Z1662">
        <v>1.2595839999999999E-4</v>
      </c>
      <c r="AA1662">
        <v>0.99932900000000002</v>
      </c>
      <c r="AB1662">
        <v>33</v>
      </c>
      <c r="AC1662">
        <v>-49.433799999999998</v>
      </c>
      <c r="AD1662">
        <v>-1.1100131087305001</v>
      </c>
      <c r="AE1662">
        <v>2.4514000000000302</v>
      </c>
      <c r="AF1662">
        <v>1.8241795429277601</v>
      </c>
      <c r="AG1662">
        <v>-1.1100131087305001</v>
      </c>
      <c r="AH1662">
        <v>49.4360183784624</v>
      </c>
      <c r="AI1662">
        <v>91.285401847310894</v>
      </c>
      <c r="AJ1662">
        <v>87.886755567418106</v>
      </c>
      <c r="AK1662">
        <v>49.482114680175798</v>
      </c>
      <c r="AL1662">
        <v>87.210806259228406</v>
      </c>
      <c r="AM1662">
        <v>87.266912467079706</v>
      </c>
      <c r="AN1662">
        <v>1.0000000145337999</v>
      </c>
    </row>
    <row r="1663" spans="1:40" x14ac:dyDescent="0.25">
      <c r="A1663" t="str">
        <f>"20190312154541055"</f>
        <v>20190312154541055</v>
      </c>
      <c r="B1663" t="str">
        <f>"1552376741048523"</f>
        <v>1552376741048523</v>
      </c>
      <c r="C1663" t="s">
        <v>40</v>
      </c>
      <c r="D1663">
        <v>4.4201489999999897</v>
      </c>
      <c r="E1663">
        <v>0.4969576</v>
      </c>
      <c r="F1663" t="s">
        <v>54</v>
      </c>
      <c r="G1663">
        <v>-352.88299999999998</v>
      </c>
      <c r="H1663" s="1">
        <v>-2.5802219999999998E-9</v>
      </c>
      <c r="I1663">
        <v>285.50360000000001</v>
      </c>
      <c r="J1663">
        <v>-303.59559999999999</v>
      </c>
      <c r="K1663">
        <v>1.1100209999999999</v>
      </c>
      <c r="L1663">
        <v>283.04640000000001</v>
      </c>
      <c r="M1663">
        <v>-0.99981679999999995</v>
      </c>
      <c r="N1663">
        <v>0</v>
      </c>
      <c r="O1663">
        <v>1.250192E-2</v>
      </c>
      <c r="P1663">
        <v>-0.99762070000000003</v>
      </c>
      <c r="Q1663">
        <v>3.4594489999999999E-2</v>
      </c>
      <c r="R1663">
        <v>5.9636069999999999E-2</v>
      </c>
      <c r="S1663">
        <v>-3.0005489999999999</v>
      </c>
      <c r="T1663">
        <v>-6.7105170000000006E-2</v>
      </c>
      <c r="U1663">
        <v>0.14880370000000001</v>
      </c>
      <c r="V1663">
        <v>4.7142950000000003E-2</v>
      </c>
      <c r="W1663">
        <v>4.908146E-2</v>
      </c>
      <c r="X1663">
        <v>0.99768159999999895</v>
      </c>
      <c r="Y1663">
        <v>3.7033410000000003E-2</v>
      </c>
      <c r="Z1663">
        <v>1.344149E-4</v>
      </c>
      <c r="AA1663">
        <v>0.99931400000000004</v>
      </c>
      <c r="AB1663">
        <v>33</v>
      </c>
      <c r="AC1663">
        <v>-49.287399999999998</v>
      </c>
      <c r="AD1663">
        <v>-1.11002100258022</v>
      </c>
      <c r="AE1663">
        <v>2.4571999999999998</v>
      </c>
      <c r="AF1663">
        <v>1.83982519165075</v>
      </c>
      <c r="AG1663">
        <v>-1.11002100258022</v>
      </c>
      <c r="AH1663">
        <v>49.289332005878798</v>
      </c>
      <c r="AI1663">
        <v>91.289214706352496</v>
      </c>
      <c r="AJ1663">
        <v>87.862310221079696</v>
      </c>
      <c r="AK1663">
        <v>49.336146514981799</v>
      </c>
      <c r="AL1663">
        <v>87.186709217880704</v>
      </c>
      <c r="AM1663">
        <v>87.294643475412499</v>
      </c>
      <c r="AN1663">
        <v>1.00000001121449</v>
      </c>
    </row>
    <row r="1664" spans="1:40" x14ac:dyDescent="0.25">
      <c r="A1664" t="str">
        <f>"20190312154541077"</f>
        <v>20190312154541077</v>
      </c>
      <c r="B1664" t="str">
        <f>"1552376741068043"</f>
        <v>1552376741068043</v>
      </c>
      <c r="C1664" t="s">
        <v>40</v>
      </c>
      <c r="D1664">
        <v>4.413303</v>
      </c>
      <c r="E1664">
        <v>0.49714989999999998</v>
      </c>
      <c r="F1664" t="s">
        <v>54</v>
      </c>
      <c r="G1664">
        <v>-353.98200000000003</v>
      </c>
      <c r="H1664" s="1">
        <v>5.8225350000000001E-7</v>
      </c>
      <c r="I1664">
        <v>285.54259999999999</v>
      </c>
      <c r="J1664">
        <v>-303.91879999999998</v>
      </c>
      <c r="K1664">
        <v>1.110026</v>
      </c>
      <c r="L1664">
        <v>283.05029999999999</v>
      </c>
      <c r="M1664">
        <v>-0.99981869999999995</v>
      </c>
      <c r="N1664">
        <v>0</v>
      </c>
      <c r="O1664">
        <v>1.2350460000000001E-2</v>
      </c>
      <c r="P1664">
        <v>-0.99762580000000001</v>
      </c>
      <c r="Q1664">
        <v>3.4432709999999998E-2</v>
      </c>
      <c r="R1664">
        <v>5.9643500000000002E-2</v>
      </c>
      <c r="S1664">
        <v>-3.0005799999999998</v>
      </c>
      <c r="T1664">
        <v>-6.6103099999999998E-2</v>
      </c>
      <c r="U1664">
        <v>0.14865110000000001</v>
      </c>
      <c r="V1664">
        <v>4.7301509999999998E-2</v>
      </c>
      <c r="W1664">
        <v>4.8920480000000002E-2</v>
      </c>
      <c r="X1664">
        <v>0.99768199999999996</v>
      </c>
      <c r="Y1664">
        <v>3.7133720000000002E-2</v>
      </c>
      <c r="Z1664">
        <v>1.3684480000000001E-4</v>
      </c>
      <c r="AA1664">
        <v>0.99931029999999998</v>
      </c>
      <c r="AB1664">
        <v>33</v>
      </c>
      <c r="AC1664">
        <v>-50.063200000000002</v>
      </c>
      <c r="AD1664">
        <v>-1.1100254177465001</v>
      </c>
      <c r="AE1664">
        <v>2.4923000000000002</v>
      </c>
      <c r="AF1664">
        <v>1.8728229422104301</v>
      </c>
      <c r="AG1664">
        <v>-1.1100254177465001</v>
      </c>
      <c r="AH1664">
        <v>50.065612814368102</v>
      </c>
      <c r="AI1664">
        <v>91.269232919312898</v>
      </c>
      <c r="AJ1664">
        <v>87.8577144001937</v>
      </c>
      <c r="AK1664">
        <v>50.112924567212502</v>
      </c>
      <c r="AL1664">
        <v>87.195943781233197</v>
      </c>
      <c r="AM1664">
        <v>87.285558986665194</v>
      </c>
      <c r="AN1664">
        <v>1.0000000096678501</v>
      </c>
    </row>
    <row r="1665" spans="1:40" x14ac:dyDescent="0.25">
      <c r="A1665" t="str">
        <f>"20190312154541099"</f>
        <v>20190312154541099</v>
      </c>
      <c r="B1665" t="str">
        <f>"1552376741088540"</f>
        <v>1552376741088540</v>
      </c>
      <c r="C1665" t="s">
        <v>40</v>
      </c>
      <c r="D1665">
        <v>4.389583</v>
      </c>
      <c r="E1665">
        <v>0.49736940000000002</v>
      </c>
      <c r="F1665" t="s">
        <v>54</v>
      </c>
      <c r="G1665">
        <v>-353.7287</v>
      </c>
      <c r="H1665" s="1">
        <v>4.4745619999999999E-7</v>
      </c>
      <c r="I1665">
        <v>285.54390000000001</v>
      </c>
      <c r="J1665">
        <v>-304.24270000000001</v>
      </c>
      <c r="K1665">
        <v>1.110034</v>
      </c>
      <c r="L1665">
        <v>283.05419999999998</v>
      </c>
      <c r="M1665">
        <v>-0.9998205</v>
      </c>
      <c r="N1665">
        <v>0</v>
      </c>
      <c r="O1665">
        <v>1.2198479999999999E-2</v>
      </c>
      <c r="P1665">
        <v>-0.99761040000000001</v>
      </c>
      <c r="Q1665">
        <v>3.4408000000000001E-2</v>
      </c>
      <c r="R1665">
        <v>5.9912199999999999E-2</v>
      </c>
      <c r="S1665">
        <v>-3.0004879999999998</v>
      </c>
      <c r="T1665">
        <v>-6.6866519999999999E-2</v>
      </c>
      <c r="U1665">
        <v>0.15020749999999999</v>
      </c>
      <c r="V1665">
        <v>4.7722220000000003E-2</v>
      </c>
      <c r="W1665">
        <v>4.8895710000000002E-2</v>
      </c>
      <c r="X1665">
        <v>0.99766310000000002</v>
      </c>
      <c r="Y1665">
        <v>3.780385E-2</v>
      </c>
      <c r="Z1665">
        <v>1.4927310000000001E-4</v>
      </c>
      <c r="AA1665">
        <v>0.99928519999999998</v>
      </c>
      <c r="AB1665">
        <v>33</v>
      </c>
      <c r="AC1665">
        <v>-49.485999999999898</v>
      </c>
      <c r="AD1665">
        <v>-1.1100335525438001</v>
      </c>
      <c r="AE1665">
        <v>2.48970000000002</v>
      </c>
      <c r="AF1665">
        <v>1.8848513018130499</v>
      </c>
      <c r="AG1665">
        <v>-1.1100335525438001</v>
      </c>
      <c r="AH1665">
        <v>49.4878534864513</v>
      </c>
      <c r="AI1665">
        <v>91.284022506507696</v>
      </c>
      <c r="AJ1665">
        <v>87.818821335410306</v>
      </c>
      <c r="AK1665">
        <v>49.536173465601799</v>
      </c>
      <c r="AL1665">
        <v>87.197364477235197</v>
      </c>
      <c r="AM1665">
        <v>87.261400943864501</v>
      </c>
      <c r="AN1665">
        <v>0.99999993091986905</v>
      </c>
    </row>
    <row r="1666" spans="1:40" x14ac:dyDescent="0.25">
      <c r="A1666" t="str">
        <f>"20190312154541122"</f>
        <v>20190312154541122</v>
      </c>
      <c r="B1666" t="str">
        <f>"1552376741117819"</f>
        <v>1552376741117819</v>
      </c>
      <c r="C1666" t="s">
        <v>40</v>
      </c>
      <c r="D1666">
        <v>4.4468990000000002</v>
      </c>
      <c r="E1666">
        <v>0.4976603</v>
      </c>
      <c r="F1666" t="s">
        <v>54</v>
      </c>
      <c r="G1666">
        <v>-353.98160000000001</v>
      </c>
      <c r="H1666" s="1">
        <v>5.8199569999999996E-7</v>
      </c>
      <c r="I1666">
        <v>285.58530000000002</v>
      </c>
      <c r="J1666">
        <v>-304.5926</v>
      </c>
      <c r="K1666">
        <v>1.1100410000000001</v>
      </c>
      <c r="L1666">
        <v>283.05829999999997</v>
      </c>
      <c r="M1666">
        <v>-0.99982249999999995</v>
      </c>
      <c r="N1666">
        <v>0</v>
      </c>
      <c r="O1666">
        <v>1.203398E-2</v>
      </c>
      <c r="P1666">
        <v>-0.99759560000000003</v>
      </c>
      <c r="Q1666">
        <v>3.4667389999999999E-2</v>
      </c>
      <c r="R1666">
        <v>6.0011549999999997E-2</v>
      </c>
      <c r="S1666">
        <v>-3.000305</v>
      </c>
      <c r="T1666">
        <v>-6.6958429999999999E-2</v>
      </c>
      <c r="U1666">
        <v>0.15267939999999999</v>
      </c>
      <c r="V1666">
        <v>4.7985970000000003E-2</v>
      </c>
      <c r="W1666">
        <v>4.9154320000000001E-2</v>
      </c>
      <c r="X1666">
        <v>0.99763780000000002</v>
      </c>
      <c r="Y1666">
        <v>3.8792189999999997E-2</v>
      </c>
      <c r="Z1666">
        <v>1.641724E-4</v>
      </c>
      <c r="AA1666">
        <v>0.99924729999999995</v>
      </c>
      <c r="AB1666">
        <v>33</v>
      </c>
      <c r="AC1666">
        <v>-49.389000000000003</v>
      </c>
      <c r="AD1666">
        <v>-1.1100404180043</v>
      </c>
      <c r="AE1666">
        <v>2.5270000000000401</v>
      </c>
      <c r="AF1666">
        <v>1.9314351697921901</v>
      </c>
      <c r="AG1666">
        <v>-1.1100404180043</v>
      </c>
      <c r="AH1666">
        <v>49.390951498302996</v>
      </c>
      <c r="AI1666">
        <v>91.286498336765902</v>
      </c>
      <c r="AJ1666">
        <v>87.760587250113502</v>
      </c>
      <c r="AK1666">
        <v>49.441164240462903</v>
      </c>
      <c r="AL1666">
        <v>87.182529543443394</v>
      </c>
      <c r="AM1666">
        <v>87.246218828247905</v>
      </c>
      <c r="AN1666">
        <v>0.99999999024017105</v>
      </c>
    </row>
    <row r="1667" spans="1:40" x14ac:dyDescent="0.25">
      <c r="A1667" t="str">
        <f>"20190312154541145"</f>
        <v>20190312154541145</v>
      </c>
      <c r="B1667" t="str">
        <f>"1552376741138315"</f>
        <v>1552376741138315</v>
      </c>
      <c r="C1667" t="s">
        <v>40</v>
      </c>
      <c r="D1667">
        <v>4.4346860000000001</v>
      </c>
      <c r="E1667">
        <v>0.49780600000000003</v>
      </c>
      <c r="F1667" t="s">
        <v>54</v>
      </c>
      <c r="G1667">
        <v>-354.88099999999997</v>
      </c>
      <c r="H1667" s="1">
        <v>1.060604E-6</v>
      </c>
      <c r="I1667">
        <v>285.65839999999997</v>
      </c>
      <c r="J1667">
        <v>-304.92169999999999</v>
      </c>
      <c r="K1667">
        <v>1.1100449999999999</v>
      </c>
      <c r="L1667">
        <v>283.06209999999999</v>
      </c>
      <c r="M1667">
        <v>-0.99982439999999995</v>
      </c>
      <c r="N1667">
        <v>0</v>
      </c>
      <c r="O1667">
        <v>1.1879499999999999E-2</v>
      </c>
      <c r="P1667">
        <v>-0.99756959999999995</v>
      </c>
      <c r="Q1667">
        <v>3.5348690000000002E-2</v>
      </c>
      <c r="R1667">
        <v>6.0046849999999999E-2</v>
      </c>
      <c r="S1667">
        <v>-3.0001829999999998</v>
      </c>
      <c r="T1667">
        <v>-6.6224580000000005E-2</v>
      </c>
      <c r="U1667">
        <v>0.155120799999999</v>
      </c>
      <c r="V1667">
        <v>4.8175540000000003E-2</v>
      </c>
      <c r="W1667">
        <v>4.9834879999999998E-2</v>
      </c>
      <c r="X1667">
        <v>0.99759489999999995</v>
      </c>
      <c r="Y1667">
        <v>3.9759509999999998E-2</v>
      </c>
      <c r="Z1667">
        <v>1.7645169999999999E-4</v>
      </c>
      <c r="AA1667">
        <v>0.99920929999999997</v>
      </c>
      <c r="AB1667">
        <v>33</v>
      </c>
      <c r="AC1667">
        <v>-49.959299999999899</v>
      </c>
      <c r="AD1667">
        <v>-1.110043939396</v>
      </c>
      <c r="AE1667">
        <v>2.5962999999999798</v>
      </c>
      <c r="AF1667">
        <v>2.00157743015779</v>
      </c>
      <c r="AG1667">
        <v>-1.110043939396</v>
      </c>
      <c r="AH1667">
        <v>49.9620209930467</v>
      </c>
      <c r="AI1667">
        <v>91.271754376491899</v>
      </c>
      <c r="AJ1667">
        <v>87.705844510247104</v>
      </c>
      <c r="AK1667">
        <v>50.014418435746499</v>
      </c>
      <c r="AL1667">
        <v>87.143488480303304</v>
      </c>
      <c r="AM1667">
        <v>87.235238074250404</v>
      </c>
      <c r="AN1667">
        <v>0.99999999121245797</v>
      </c>
    </row>
    <row r="1668" spans="1:40" x14ac:dyDescent="0.25">
      <c r="A1668" t="str">
        <f>"20190312154541166"</f>
        <v>20190312154541166</v>
      </c>
      <c r="B1668" t="str">
        <f>"1552376741157835"</f>
        <v>1552376741157835</v>
      </c>
      <c r="C1668" t="s">
        <v>40</v>
      </c>
      <c r="D1668">
        <v>4.4307239999999997</v>
      </c>
      <c r="E1668">
        <v>0.49797750000000002</v>
      </c>
      <c r="F1668" t="s">
        <v>54</v>
      </c>
      <c r="G1668">
        <v>-356.7869</v>
      </c>
      <c r="H1668" s="1">
        <v>2.0748680000000002E-6</v>
      </c>
      <c r="I1668">
        <v>285.77010000000001</v>
      </c>
      <c r="J1668">
        <v>-305.24220000000003</v>
      </c>
      <c r="K1668">
        <v>1.110047</v>
      </c>
      <c r="L1668">
        <v>283.06569999999999</v>
      </c>
      <c r="M1668">
        <v>-0.99982610000000005</v>
      </c>
      <c r="N1668">
        <v>0</v>
      </c>
      <c r="O1668">
        <v>1.172866E-2</v>
      </c>
      <c r="P1668">
        <v>-0.99757980000000002</v>
      </c>
      <c r="Q1668">
        <v>3.5418599999999897E-2</v>
      </c>
      <c r="R1668">
        <v>5.983811E-2</v>
      </c>
      <c r="S1668">
        <v>-3.0001220000000002</v>
      </c>
      <c r="T1668">
        <v>-6.4209939999999993E-2</v>
      </c>
      <c r="U1668">
        <v>0.1566467</v>
      </c>
      <c r="V1668">
        <v>4.8117310000000003E-2</v>
      </c>
      <c r="W1668">
        <v>4.9903459999999997E-2</v>
      </c>
      <c r="X1668">
        <v>0.99759430000000004</v>
      </c>
      <c r="Y1668">
        <v>4.0418349999999999E-2</v>
      </c>
      <c r="Z1668">
        <v>1.8135659999999999E-4</v>
      </c>
      <c r="AA1668">
        <v>0.99918280000000004</v>
      </c>
      <c r="AB1668">
        <v>33</v>
      </c>
      <c r="AC1668">
        <v>-51.544699999999899</v>
      </c>
      <c r="AD1668">
        <v>-1.1100449251319999</v>
      </c>
      <c r="AE1668">
        <v>2.7044000000000201</v>
      </c>
      <c r="AF1668">
        <v>2.0986294991990202</v>
      </c>
      <c r="AG1668">
        <v>-1.1100449251319999</v>
      </c>
      <c r="AH1668">
        <v>51.5490343348567</v>
      </c>
      <c r="AI1668">
        <v>91.232582638191801</v>
      </c>
      <c r="AJ1668">
        <v>87.668700295098802</v>
      </c>
      <c r="AK1668">
        <v>51.603676093539697</v>
      </c>
      <c r="AL1668">
        <v>87.1395542918237</v>
      </c>
      <c r="AM1668">
        <v>87.238573020920597</v>
      </c>
      <c r="AN1668">
        <v>1.00000000911704</v>
      </c>
    </row>
    <row r="1669" spans="1:40" x14ac:dyDescent="0.25">
      <c r="A1669" t="str">
        <f>"20190312154541188"</f>
        <v>20190312154541188</v>
      </c>
      <c r="B1669" t="str">
        <f>"1552376741178332"</f>
        <v>1552376741178332</v>
      </c>
      <c r="C1669" t="s">
        <v>40</v>
      </c>
      <c r="D1669">
        <v>4.3860419999999998</v>
      </c>
      <c r="E1669">
        <v>0.49812849999999997</v>
      </c>
      <c r="F1669" t="s">
        <v>54</v>
      </c>
      <c r="G1669">
        <v>-357.16669999999999</v>
      </c>
      <c r="H1669" s="1">
        <v>2.2769780000000002E-6</v>
      </c>
      <c r="I1669">
        <v>285.79000000000002</v>
      </c>
      <c r="J1669">
        <v>-305.56610000000001</v>
      </c>
      <c r="K1669">
        <v>1.1100460000000001</v>
      </c>
      <c r="L1669">
        <v>283.0693</v>
      </c>
      <c r="M1669">
        <v>-0.99982800000000005</v>
      </c>
      <c r="N1669">
        <v>0</v>
      </c>
      <c r="O1669">
        <v>1.1576329999999999E-2</v>
      </c>
      <c r="P1669">
        <v>-0.99756290000000003</v>
      </c>
      <c r="Q1669">
        <v>3.5659169999999997E-2</v>
      </c>
      <c r="R1669">
        <v>5.9974489999999998E-2</v>
      </c>
      <c r="S1669">
        <v>-3.0001530000000001</v>
      </c>
      <c r="T1669">
        <v>-6.4137340000000001E-2</v>
      </c>
      <c r="U1669">
        <v>0.15740970000000001</v>
      </c>
      <c r="V1669">
        <v>4.8405799999999999E-2</v>
      </c>
      <c r="W1669">
        <v>5.0142539999999999E-2</v>
      </c>
      <c r="X1669">
        <v>0.99756840000000002</v>
      </c>
      <c r="Y1669">
        <v>4.082334E-2</v>
      </c>
      <c r="Z1669">
        <v>1.8872769999999999E-4</v>
      </c>
      <c r="AA1669">
        <v>0.99916640000000001</v>
      </c>
      <c r="AB1669">
        <v>33</v>
      </c>
      <c r="AC1669">
        <v>-51.600599999999901</v>
      </c>
      <c r="AD1669">
        <v>-1.1100437230219999</v>
      </c>
      <c r="AE1669">
        <v>2.7207000000000199</v>
      </c>
      <c r="AF1669">
        <v>2.1221300126158802</v>
      </c>
      <c r="AG1669">
        <v>-1.1100437230219999</v>
      </c>
      <c r="AH1669">
        <v>51.604825392853002</v>
      </c>
      <c r="AI1669">
        <v>91.231228461011497</v>
      </c>
      <c r="AJ1669">
        <v>87.645169361581694</v>
      </c>
      <c r="AK1669">
        <v>51.660368143135699</v>
      </c>
      <c r="AL1669">
        <v>87.125838975902994</v>
      </c>
      <c r="AM1669">
        <v>87.221970578011707</v>
      </c>
      <c r="AN1669">
        <v>1.0000000542349201</v>
      </c>
    </row>
    <row r="1670" spans="1:40" x14ac:dyDescent="0.25">
      <c r="A1670" t="str">
        <f>"20190312154541211"</f>
        <v>20190312154541211</v>
      </c>
      <c r="B1670" t="str">
        <f>"1552376741197851"</f>
        <v>1552376741197851</v>
      </c>
      <c r="C1670" t="s">
        <v>40</v>
      </c>
      <c r="D1670">
        <v>4.3907489999999996</v>
      </c>
      <c r="E1670">
        <v>0.49825259999999999</v>
      </c>
      <c r="F1670" t="s">
        <v>54</v>
      </c>
      <c r="G1670">
        <v>-358.06450000000001</v>
      </c>
      <c r="H1670" s="1">
        <v>2.7547270000000002E-6</v>
      </c>
      <c r="I1670">
        <v>285.84840000000003</v>
      </c>
      <c r="J1670">
        <v>-305.89870000000002</v>
      </c>
      <c r="K1670">
        <v>1.1100490000000001</v>
      </c>
      <c r="L1670">
        <v>283.07310000000001</v>
      </c>
      <c r="M1670">
        <v>-0.99982979999999999</v>
      </c>
      <c r="N1670">
        <v>0</v>
      </c>
      <c r="O1670">
        <v>1.1419479999999999E-2</v>
      </c>
      <c r="P1670">
        <v>-0.99758029999999998</v>
      </c>
      <c r="Q1670">
        <v>3.5480780000000003E-2</v>
      </c>
      <c r="R1670">
        <v>5.9791070000000002E-2</v>
      </c>
      <c r="S1670">
        <v>-3.0000610000000001</v>
      </c>
      <c r="T1670">
        <v>-6.3434240000000003E-2</v>
      </c>
      <c r="U1670">
        <v>0.1588135</v>
      </c>
      <c r="V1670">
        <v>4.8379039999999998E-2</v>
      </c>
      <c r="W1670">
        <v>4.9962520000000003E-2</v>
      </c>
      <c r="X1670">
        <v>0.99757870000000004</v>
      </c>
      <c r="Y1670">
        <v>4.1447890000000001E-2</v>
      </c>
      <c r="Z1670">
        <v>1.9657379999999999E-4</v>
      </c>
      <c r="AA1670">
        <v>0.99914060000000005</v>
      </c>
      <c r="AB1670">
        <v>33</v>
      </c>
      <c r="AC1670">
        <v>-52.165799999999898</v>
      </c>
      <c r="AD1670">
        <v>-1.110046245273</v>
      </c>
      <c r="AE1670">
        <v>2.7753000000000099</v>
      </c>
      <c r="AF1670">
        <v>2.1783665519716799</v>
      </c>
      <c r="AG1670">
        <v>-1.110046245273</v>
      </c>
      <c r="AH1670">
        <v>52.170537295228598</v>
      </c>
      <c r="AI1670">
        <v>91.217852596744905</v>
      </c>
      <c r="AJ1670">
        <v>87.609019236265596</v>
      </c>
      <c r="AK1670">
        <v>52.227793799606701</v>
      </c>
      <c r="AL1670">
        <v>87.136166218778897</v>
      </c>
      <c r="AM1670">
        <v>87.2235325644385</v>
      </c>
      <c r="AN1670">
        <v>1.0000000238048801</v>
      </c>
    </row>
    <row r="1671" spans="1:40" x14ac:dyDescent="0.25">
      <c r="A1671" t="str">
        <f>"20190312154541233"</f>
        <v>20190312154541233</v>
      </c>
      <c r="B1671" t="str">
        <f>"1552376741228108"</f>
        <v>1552376741228108</v>
      </c>
      <c r="C1671" t="s">
        <v>40</v>
      </c>
      <c r="D1671">
        <v>4.4125569999999996</v>
      </c>
      <c r="E1671">
        <v>0.49837710000000002</v>
      </c>
      <c r="F1671" t="s">
        <v>54</v>
      </c>
      <c r="G1671">
        <v>-358.01150000000001</v>
      </c>
      <c r="H1671" s="1">
        <v>2.726519E-6</v>
      </c>
      <c r="I1671">
        <v>285.84129999999999</v>
      </c>
      <c r="J1671">
        <v>-306.23129999999998</v>
      </c>
      <c r="K1671">
        <v>1.1100479999999999</v>
      </c>
      <c r="L1671">
        <v>283.07670000000002</v>
      </c>
      <c r="M1671">
        <v>-0.99983160000000004</v>
      </c>
      <c r="N1671">
        <v>0</v>
      </c>
      <c r="O1671">
        <v>1.126281E-2</v>
      </c>
      <c r="P1671">
        <v>-0.99760139999999997</v>
      </c>
      <c r="Q1671">
        <v>3.5243280000000002E-2</v>
      </c>
      <c r="R1671">
        <v>5.9578109999999997E-2</v>
      </c>
      <c r="S1671">
        <v>-3</v>
      </c>
      <c r="T1671">
        <v>-6.3902500000000001E-2</v>
      </c>
      <c r="U1671">
        <v>0.1593628</v>
      </c>
      <c r="V1671">
        <v>4.832235E-2</v>
      </c>
      <c r="W1671">
        <v>4.9722959999999997E-2</v>
      </c>
      <c r="X1671">
        <v>0.99759339999999996</v>
      </c>
      <c r="Y1671">
        <v>4.1787739999999997E-2</v>
      </c>
      <c r="Z1671">
        <v>2.0497850000000001E-4</v>
      </c>
      <c r="AA1671">
        <v>0.99912650000000003</v>
      </c>
      <c r="AB1671">
        <v>33</v>
      </c>
      <c r="AC1671">
        <v>-51.780200000000001</v>
      </c>
      <c r="AD1671">
        <v>-1.110045273481</v>
      </c>
      <c r="AE1671">
        <v>2.76459999999997</v>
      </c>
      <c r="AF1671">
        <v>2.1801737361028599</v>
      </c>
      <c r="AG1671">
        <v>-1.110045273481</v>
      </c>
      <c r="AH1671">
        <v>51.784324458802999</v>
      </c>
      <c r="AI1671">
        <v>91.226913848904601</v>
      </c>
      <c r="AJ1671">
        <v>87.589211992381905</v>
      </c>
      <c r="AK1671">
        <v>51.842083462022899</v>
      </c>
      <c r="AL1671">
        <v>87.149909028764895</v>
      </c>
      <c r="AM1671">
        <v>87.226821715890395</v>
      </c>
      <c r="AN1671">
        <v>1.00000000699212</v>
      </c>
    </row>
    <row r="1672" spans="1:40" x14ac:dyDescent="0.25">
      <c r="A1672" t="str">
        <f>"20190312154541256"</f>
        <v>20190312154541256</v>
      </c>
      <c r="B1672" t="str">
        <f>"1552376741248603"</f>
        <v>1552376741248603</v>
      </c>
      <c r="C1672" t="s">
        <v>40</v>
      </c>
      <c r="D1672">
        <v>4.3929529999999897</v>
      </c>
      <c r="E1672">
        <v>0.498307</v>
      </c>
      <c r="F1672" t="s">
        <v>54</v>
      </c>
      <c r="G1672">
        <v>-357.6241</v>
      </c>
      <c r="H1672" s="1">
        <v>2.520377E-6</v>
      </c>
      <c r="I1672">
        <v>285.8109</v>
      </c>
      <c r="J1672">
        <v>-306.5575</v>
      </c>
      <c r="K1672">
        <v>1.110052</v>
      </c>
      <c r="L1672">
        <v>283.08019999999999</v>
      </c>
      <c r="M1672">
        <v>-0.99983330000000004</v>
      </c>
      <c r="N1672">
        <v>0</v>
      </c>
      <c r="O1672">
        <v>1.1108760000000001E-2</v>
      </c>
      <c r="P1672">
        <v>-0.99760409999999999</v>
      </c>
      <c r="Q1672">
        <v>3.5405649999999997E-2</v>
      </c>
      <c r="R1672">
        <v>5.9438100000000001E-2</v>
      </c>
      <c r="S1672">
        <v>-3</v>
      </c>
      <c r="T1672">
        <v>-6.4797759999999996E-2</v>
      </c>
      <c r="U1672">
        <v>0.1596069</v>
      </c>
      <c r="V1672">
        <v>4.8336079999999997E-2</v>
      </c>
      <c r="W1672">
        <v>4.9883459999999998E-2</v>
      </c>
      <c r="X1672">
        <v>0.99758469999999999</v>
      </c>
      <c r="Y1672">
        <v>4.2022469999999999E-2</v>
      </c>
      <c r="Z1672">
        <v>2.137063E-4</v>
      </c>
      <c r="AA1672">
        <v>0.99911669999999997</v>
      </c>
      <c r="AB1672">
        <v>33</v>
      </c>
      <c r="AC1672">
        <v>-51.066600000000001</v>
      </c>
      <c r="AD1672">
        <v>-1.110049479623</v>
      </c>
      <c r="AE1672">
        <v>2.7307000000000099</v>
      </c>
      <c r="AF1672">
        <v>2.16216656843639</v>
      </c>
      <c r="AG1672">
        <v>-1.110049479623</v>
      </c>
      <c r="AH1672">
        <v>51.0697240515914</v>
      </c>
      <c r="AI1672">
        <v>91.244068574223604</v>
      </c>
      <c r="AJ1672">
        <v>87.575685359184504</v>
      </c>
      <c r="AK1672">
        <v>51.127525745165599</v>
      </c>
      <c r="AL1672">
        <v>87.140701567189595</v>
      </c>
      <c r="AM1672">
        <v>87.226010839362601</v>
      </c>
      <c r="AN1672">
        <v>0.99999998494271303</v>
      </c>
    </row>
    <row r="1673" spans="1:40" x14ac:dyDescent="0.25">
      <c r="A1673" t="str">
        <f>"20190312154541277"</f>
        <v>20190312154541277</v>
      </c>
      <c r="B1673" t="str">
        <f>"1552376741268128"</f>
        <v>1552376741268128</v>
      </c>
      <c r="C1673" t="s">
        <v>40</v>
      </c>
      <c r="D1673">
        <v>4.4057899999999997</v>
      </c>
      <c r="E1673">
        <v>0.49839539999999999</v>
      </c>
      <c r="F1673" t="s">
        <v>54</v>
      </c>
      <c r="G1673">
        <v>-357.92579999999998</v>
      </c>
      <c r="H1673" s="1">
        <v>2.6809579999999999E-6</v>
      </c>
      <c r="I1673">
        <v>285.79689999999999</v>
      </c>
      <c r="J1673">
        <v>-306.88819999999998</v>
      </c>
      <c r="K1673">
        <v>1.110055</v>
      </c>
      <c r="L1673">
        <v>283.08370000000002</v>
      </c>
      <c r="M1673">
        <v>-0.99983509999999998</v>
      </c>
      <c r="N1673">
        <v>0</v>
      </c>
      <c r="O1673">
        <v>1.095323E-2</v>
      </c>
      <c r="P1673">
        <v>-0.99761330000000004</v>
      </c>
      <c r="Q1673">
        <v>3.5191310000000003E-2</v>
      </c>
      <c r="R1673">
        <v>5.9412760000000002E-2</v>
      </c>
      <c r="S1673">
        <v>-3.0000610000000001</v>
      </c>
      <c r="T1673">
        <v>-6.4830059999999995E-2</v>
      </c>
      <c r="U1673">
        <v>0.15866089999999999</v>
      </c>
      <c r="V1673">
        <v>4.8466200000000001E-2</v>
      </c>
      <c r="W1673">
        <v>4.9666769999999999E-2</v>
      </c>
      <c r="X1673">
        <v>0.99758919999999995</v>
      </c>
      <c r="Y1673">
        <v>4.1862629999999998E-2</v>
      </c>
      <c r="Z1673">
        <v>2.154425E-4</v>
      </c>
      <c r="AA1673">
        <v>0.99912330000000005</v>
      </c>
      <c r="AB1673">
        <v>33</v>
      </c>
      <c r="AC1673">
        <v>-51.037599999999998</v>
      </c>
      <c r="AD1673">
        <v>-1.110052319042</v>
      </c>
      <c r="AE1673">
        <v>2.7131999999999699</v>
      </c>
      <c r="AF1673">
        <v>2.1529364078288999</v>
      </c>
      <c r="AG1673">
        <v>-1.110052319042</v>
      </c>
      <c r="AH1673">
        <v>51.040182632849998</v>
      </c>
      <c r="AI1673">
        <v>91.244799788849903</v>
      </c>
      <c r="AJ1673">
        <v>87.584626819442803</v>
      </c>
      <c r="AK1673">
        <v>51.097628071387497</v>
      </c>
      <c r="AL1673">
        <v>87.153132402275801</v>
      </c>
      <c r="AM1673">
        <v>87.2185675403652</v>
      </c>
      <c r="AN1673">
        <v>0.999999986270656</v>
      </c>
    </row>
    <row r="1674" spans="1:40" x14ac:dyDescent="0.25">
      <c r="A1674" t="str">
        <f>"20190312154541300"</f>
        <v>20190312154541300</v>
      </c>
      <c r="B1674" t="str">
        <f>"1552376741288624"</f>
        <v>1552376741288624</v>
      </c>
      <c r="C1674" t="s">
        <v>40</v>
      </c>
      <c r="D1674">
        <v>4.3836219999999999</v>
      </c>
      <c r="E1674">
        <v>0.49840469999999998</v>
      </c>
      <c r="F1674" t="s">
        <v>54</v>
      </c>
      <c r="G1674">
        <v>-358.03429999999997</v>
      </c>
      <c r="H1674" s="1">
        <v>2.7386739999999998E-6</v>
      </c>
      <c r="I1674">
        <v>285.79849999999999</v>
      </c>
      <c r="J1674">
        <v>-307.20510000000002</v>
      </c>
      <c r="K1674">
        <v>1.110058</v>
      </c>
      <c r="L1674">
        <v>283.08699999999999</v>
      </c>
      <c r="M1674">
        <v>-0.99983679999999997</v>
      </c>
      <c r="N1674">
        <v>0</v>
      </c>
      <c r="O1674">
        <v>1.0804370000000001E-2</v>
      </c>
      <c r="P1674">
        <v>-0.99758440000000004</v>
      </c>
      <c r="Q1674">
        <v>3.558774E-2</v>
      </c>
      <c r="R1674">
        <v>5.9659539999999997E-2</v>
      </c>
      <c r="S1674">
        <v>-3</v>
      </c>
      <c r="T1674">
        <v>-6.5110559999999998E-2</v>
      </c>
      <c r="U1674">
        <v>0.15924070000000001</v>
      </c>
      <c r="V1674">
        <v>4.8861689999999999E-2</v>
      </c>
      <c r="W1674">
        <v>5.0059670000000001E-2</v>
      </c>
      <c r="X1674">
        <v>0.9975503</v>
      </c>
      <c r="Y1674">
        <v>4.2204850000000002E-2</v>
      </c>
      <c r="Z1674">
        <v>2.233162E-4</v>
      </c>
      <c r="AA1674">
        <v>0.99910900000000002</v>
      </c>
      <c r="AB1674">
        <v>33</v>
      </c>
      <c r="AC1674">
        <v>-50.829199999999901</v>
      </c>
      <c r="AD1674">
        <v>-1.110055261326</v>
      </c>
      <c r="AE1674">
        <v>2.7115</v>
      </c>
      <c r="AF1674">
        <v>2.1610788647833998</v>
      </c>
      <c r="AG1674">
        <v>-1.110055261326</v>
      </c>
      <c r="AH1674">
        <v>50.831357001667897</v>
      </c>
      <c r="AI1674">
        <v>91.249897760473104</v>
      </c>
      <c r="AJ1674">
        <v>87.565554327884399</v>
      </c>
      <c r="AK1674">
        <v>50.889383364057601</v>
      </c>
      <c r="AL1674">
        <v>87.130592943718796</v>
      </c>
      <c r="AM1674">
        <v>87.195797624133107</v>
      </c>
      <c r="AN1674">
        <v>1.0000000181701201</v>
      </c>
    </row>
    <row r="1675" spans="1:40" x14ac:dyDescent="0.25">
      <c r="A1675" t="str">
        <f>"20190312154541323"</f>
        <v>20190312154541323</v>
      </c>
      <c r="B1675" t="str">
        <f>"1552376741317899"</f>
        <v>1552376741317899</v>
      </c>
      <c r="C1675" t="s">
        <v>40</v>
      </c>
      <c r="D1675">
        <v>4.3651489999999997</v>
      </c>
      <c r="E1675">
        <v>0.49838589999999999</v>
      </c>
      <c r="F1675" t="s">
        <v>54</v>
      </c>
      <c r="G1675">
        <v>-358.73750000000001</v>
      </c>
      <c r="H1675" s="1">
        <v>3.1128690000000001E-6</v>
      </c>
      <c r="I1675">
        <v>285.83699999999999</v>
      </c>
      <c r="J1675">
        <v>-307.55160000000001</v>
      </c>
      <c r="K1675">
        <v>1.1100589999999999</v>
      </c>
      <c r="L1675">
        <v>283.09059999999999</v>
      </c>
      <c r="M1675">
        <v>-0.99983860000000002</v>
      </c>
      <c r="N1675">
        <v>0</v>
      </c>
      <c r="O1675">
        <v>1.064211E-2</v>
      </c>
      <c r="P1675">
        <v>-0.99756060000000002</v>
      </c>
      <c r="Q1675">
        <v>3.6400599999999998E-2</v>
      </c>
      <c r="R1675">
        <v>5.9565470000000002E-2</v>
      </c>
      <c r="S1675">
        <v>-3</v>
      </c>
      <c r="T1675">
        <v>-6.4622760000000001E-2</v>
      </c>
      <c r="U1675">
        <v>0.16009519999999999</v>
      </c>
      <c r="V1675">
        <v>4.8929630000000002E-2</v>
      </c>
      <c r="W1675">
        <v>5.0869259999999999E-2</v>
      </c>
      <c r="X1675">
        <v>0.997506</v>
      </c>
      <c r="Y1675">
        <v>4.2650739999999999E-2</v>
      </c>
      <c r="Z1675">
        <v>2.299325E-4</v>
      </c>
      <c r="AA1675">
        <v>0.99909000000000003</v>
      </c>
      <c r="AB1675">
        <v>33</v>
      </c>
      <c r="AC1675">
        <v>-51.185899999999997</v>
      </c>
      <c r="AD1675">
        <v>-1.110055887131</v>
      </c>
      <c r="AE1675">
        <v>2.7463999999999902</v>
      </c>
      <c r="AF1675">
        <v>2.20042946477506</v>
      </c>
      <c r="AG1675">
        <v>-1.110055887131</v>
      </c>
      <c r="AH1675">
        <v>51.1882258563652</v>
      </c>
      <c r="AI1675">
        <v>91.241162276053203</v>
      </c>
      <c r="AJ1675">
        <v>87.538540400709707</v>
      </c>
      <c r="AK1675">
        <v>51.247522674020601</v>
      </c>
      <c r="AL1675">
        <v>87.084147637304099</v>
      </c>
      <c r="AM1675">
        <v>87.191780232358795</v>
      </c>
      <c r="AN1675">
        <v>1.0000000051704401</v>
      </c>
    </row>
    <row r="1676" spans="1:40" x14ac:dyDescent="0.25">
      <c r="A1676" t="str">
        <f>"20190312154541346"</f>
        <v>20190312154541346</v>
      </c>
      <c r="B1676" t="str">
        <f>"1552376741338395"</f>
        <v>1552376741338395</v>
      </c>
      <c r="C1676" t="s">
        <v>40</v>
      </c>
      <c r="D1676">
        <v>4.3644129999999999</v>
      </c>
      <c r="E1676">
        <v>0.49838110000000002</v>
      </c>
      <c r="F1676" t="s">
        <v>54</v>
      </c>
      <c r="G1676">
        <v>-358.94470000000001</v>
      </c>
      <c r="H1676" s="1">
        <v>3.2231460000000001E-6</v>
      </c>
      <c r="I1676">
        <v>285.8236</v>
      </c>
      <c r="J1676">
        <v>-307.87180000000001</v>
      </c>
      <c r="K1676">
        <v>1.1100639999999999</v>
      </c>
      <c r="L1676">
        <v>283.09379999999999</v>
      </c>
      <c r="M1676">
        <v>-0.99984019999999996</v>
      </c>
      <c r="N1676">
        <v>0</v>
      </c>
      <c r="O1676">
        <v>1.049259E-2</v>
      </c>
      <c r="P1676">
        <v>-0.99754690000000001</v>
      </c>
      <c r="Q1676">
        <v>3.6982420000000002E-2</v>
      </c>
      <c r="R1676">
        <v>5.9437249999999997E-2</v>
      </c>
      <c r="S1676">
        <v>-3.0002140000000002</v>
      </c>
      <c r="T1676">
        <v>-6.4802529999999997E-2</v>
      </c>
      <c r="U1676">
        <v>0.15954589999999999</v>
      </c>
      <c r="V1676">
        <v>4.8950779999999999E-2</v>
      </c>
      <c r="W1676">
        <v>5.144833E-2</v>
      </c>
      <c r="X1676">
        <v>0.99747529999999995</v>
      </c>
      <c r="Y1676">
        <v>4.2613869999999998E-2</v>
      </c>
      <c r="Z1676">
        <v>2.3338530000000001E-4</v>
      </c>
      <c r="AA1676">
        <v>0.99909159999999997</v>
      </c>
      <c r="AB1676">
        <v>33</v>
      </c>
      <c r="AC1676">
        <v>-51.072899999999997</v>
      </c>
      <c r="AD1676">
        <v>-1.1100607768539901</v>
      </c>
      <c r="AE1676">
        <v>2.7298000000000102</v>
      </c>
      <c r="AF1676">
        <v>2.19267368452681</v>
      </c>
      <c r="AG1676">
        <v>-1.1100607768539901</v>
      </c>
      <c r="AH1676">
        <v>51.074674496980599</v>
      </c>
      <c r="AI1676">
        <v>91.243929292782198</v>
      </c>
      <c r="AJ1676">
        <v>87.541759137359406</v>
      </c>
      <c r="AK1676">
        <v>51.133769935216499</v>
      </c>
      <c r="AL1676">
        <v>87.050925975269905</v>
      </c>
      <c r="AM1676">
        <v>87.190481984752793</v>
      </c>
      <c r="AN1676">
        <v>1.00000004181624</v>
      </c>
    </row>
    <row r="1677" spans="1:40" x14ac:dyDescent="0.25">
      <c r="A1677" t="str">
        <f>"20190312154541367"</f>
        <v>20190312154541367</v>
      </c>
      <c r="B1677" t="str">
        <f>"1552376741357915"</f>
        <v>1552376741357915</v>
      </c>
      <c r="C1677" t="s">
        <v>40</v>
      </c>
      <c r="D1677">
        <v>4.3675850000000001</v>
      </c>
      <c r="E1677">
        <v>0.49837670000000001</v>
      </c>
      <c r="F1677" t="s">
        <v>54</v>
      </c>
      <c r="G1677">
        <v>-359.48239999999998</v>
      </c>
      <c r="H1677" s="1">
        <v>3.5092459999999998E-6</v>
      </c>
      <c r="I1677">
        <v>285.8304</v>
      </c>
      <c r="J1677">
        <v>-308.20359999999999</v>
      </c>
      <c r="K1677">
        <v>1.110069</v>
      </c>
      <c r="L1677">
        <v>283.09710000000001</v>
      </c>
      <c r="M1677">
        <v>-0.99984170000000006</v>
      </c>
      <c r="N1677">
        <v>0</v>
      </c>
      <c r="O1677">
        <v>1.033831E-2</v>
      </c>
      <c r="P1677">
        <v>-0.99756929999999999</v>
      </c>
      <c r="Q1677">
        <v>3.7227780000000002E-2</v>
      </c>
      <c r="R1677">
        <v>5.8904390000000001E-2</v>
      </c>
      <c r="S1677">
        <v>-3.000305</v>
      </c>
      <c r="T1677">
        <v>-6.45318E-2</v>
      </c>
      <c r="U1677">
        <v>0.15908810000000001</v>
      </c>
      <c r="V1677">
        <v>4.8571610000000001E-2</v>
      </c>
      <c r="W1677">
        <v>5.1690720000000002E-2</v>
      </c>
      <c r="X1677">
        <v>0.99748130000000002</v>
      </c>
      <c r="Y1677">
        <v>4.2614449999999998E-2</v>
      </c>
      <c r="Z1677">
        <v>2.3572600000000001E-4</v>
      </c>
      <c r="AA1677">
        <v>0.99909159999999997</v>
      </c>
      <c r="AB1677">
        <v>33</v>
      </c>
      <c r="AC1677">
        <v>-51.278799999999897</v>
      </c>
      <c r="AD1677">
        <v>-1.110065490754</v>
      </c>
      <c r="AE1677">
        <v>2.7332999999999799</v>
      </c>
      <c r="AF1677">
        <v>2.2019332260550302</v>
      </c>
      <c r="AG1677">
        <v>-1.110065490754</v>
      </c>
      <c r="AH1677">
        <v>51.280356706968902</v>
      </c>
      <c r="AI1677">
        <v>91.238946345749</v>
      </c>
      <c r="AJ1677">
        <v>87.541280192001807</v>
      </c>
      <c r="AK1677">
        <v>51.339611795569098</v>
      </c>
      <c r="AL1677">
        <v>87.037019536234894</v>
      </c>
      <c r="AM1677">
        <v>87.212226631974303</v>
      </c>
      <c r="AN1677">
        <v>1.00000003784089</v>
      </c>
    </row>
    <row r="1678" spans="1:40" x14ac:dyDescent="0.25">
      <c r="A1678" t="str">
        <f>"20190312154541390"</f>
        <v>20190312154541390</v>
      </c>
      <c r="B1678" t="str">
        <f>"1552376741378412"</f>
        <v>1552376741378412</v>
      </c>
      <c r="C1678" t="s">
        <v>40</v>
      </c>
      <c r="D1678">
        <v>4.3636790000000003</v>
      </c>
      <c r="E1678">
        <v>0.49834309999999998</v>
      </c>
      <c r="F1678" t="s">
        <v>54</v>
      </c>
      <c r="G1678">
        <v>-359.75479999999999</v>
      </c>
      <c r="H1678" s="1">
        <v>3.6542090000000001E-6</v>
      </c>
      <c r="I1678">
        <v>285.80220000000003</v>
      </c>
      <c r="J1678">
        <v>-308.52600000000001</v>
      </c>
      <c r="K1678">
        <v>1.110074</v>
      </c>
      <c r="L1678">
        <v>283.1003</v>
      </c>
      <c r="M1678">
        <v>-0.99984329999999999</v>
      </c>
      <c r="N1678">
        <v>0</v>
      </c>
      <c r="O1678">
        <v>1.018808E-2</v>
      </c>
      <c r="P1678">
        <v>-0.99757150000000006</v>
      </c>
      <c r="Q1678">
        <v>3.7589209999999998E-2</v>
      </c>
      <c r="R1678">
        <v>5.8634169999999999E-2</v>
      </c>
      <c r="S1678">
        <v>-3.0004270000000002</v>
      </c>
      <c r="T1678">
        <v>-6.4609050000000001E-2</v>
      </c>
      <c r="U1678">
        <v>0.1574402</v>
      </c>
      <c r="V1678">
        <v>4.8451199999999903E-2</v>
      </c>
      <c r="W1678">
        <v>5.2049310000000001E-2</v>
      </c>
      <c r="X1678">
        <v>0.99746849999999998</v>
      </c>
      <c r="Y1678">
        <v>4.2215229999999999E-2</v>
      </c>
      <c r="Z1678">
        <v>2.3493900000000001E-4</v>
      </c>
      <c r="AA1678">
        <v>0.99910849999999995</v>
      </c>
      <c r="AB1678">
        <v>33</v>
      </c>
      <c r="AC1678">
        <v>-51.2287999999999</v>
      </c>
      <c r="AD1678">
        <v>-1.1100703457909999</v>
      </c>
      <c r="AE1678">
        <v>2.7019000000000202</v>
      </c>
      <c r="AF1678">
        <v>2.1787617511569102</v>
      </c>
      <c r="AG1678">
        <v>-1.1100703457909999</v>
      </c>
      <c r="AH1678">
        <v>51.229683073607497</v>
      </c>
      <c r="AI1678">
        <v>91.240198558457294</v>
      </c>
      <c r="AJ1678">
        <v>87.564719065195106</v>
      </c>
      <c r="AK1678">
        <v>51.288007241100502</v>
      </c>
      <c r="AL1678">
        <v>87.016446121869507</v>
      </c>
      <c r="AM1678">
        <v>87.219091087160393</v>
      </c>
      <c r="AN1678">
        <v>1.0000000289725799</v>
      </c>
    </row>
    <row r="1679" spans="1:40" x14ac:dyDescent="0.25">
      <c r="A1679" t="str">
        <f>"20190312154541412"</f>
        <v>20190312154541412</v>
      </c>
      <c r="B1679" t="str">
        <f>"1552376741408667"</f>
        <v>1552376741408667</v>
      </c>
      <c r="C1679" t="s">
        <v>40</v>
      </c>
      <c r="D1679">
        <v>4.2900679999999998</v>
      </c>
      <c r="E1679">
        <v>0.49834899999999999</v>
      </c>
      <c r="F1679" t="s">
        <v>54</v>
      </c>
      <c r="G1679">
        <v>-360.73599999999999</v>
      </c>
      <c r="H1679" s="1">
        <v>-1.1451230000000001E-6</v>
      </c>
      <c r="I1679">
        <v>285.81959999999998</v>
      </c>
      <c r="J1679">
        <v>-308.8449</v>
      </c>
      <c r="K1679">
        <v>1.1100779999999999</v>
      </c>
      <c r="L1679">
        <v>283.10340000000002</v>
      </c>
      <c r="M1679">
        <v>-0.99984479999999998</v>
      </c>
      <c r="N1679">
        <v>0</v>
      </c>
      <c r="O1679">
        <v>1.0039650000000001E-2</v>
      </c>
      <c r="P1679">
        <v>-0.99756990000000001</v>
      </c>
      <c r="Q1679">
        <v>3.7786380000000001E-2</v>
      </c>
      <c r="R1679">
        <v>5.8536699999999997E-2</v>
      </c>
      <c r="S1679">
        <v>-3.0005489999999999</v>
      </c>
      <c r="T1679">
        <v>-6.379688E-2</v>
      </c>
      <c r="U1679">
        <v>0.15628049999999999</v>
      </c>
      <c r="V1679">
        <v>4.8502099999999902E-2</v>
      </c>
      <c r="W1679">
        <v>5.2243589999999999E-2</v>
      </c>
      <c r="X1679">
        <v>0.9974558</v>
      </c>
      <c r="Y1679">
        <v>4.197654E-2</v>
      </c>
      <c r="Z1679">
        <v>2.32597E-4</v>
      </c>
      <c r="AA1679">
        <v>0.99911859999999997</v>
      </c>
      <c r="AB1679">
        <v>33</v>
      </c>
      <c r="AC1679">
        <v>-51.891100000000002</v>
      </c>
      <c r="AD1679">
        <v>-1.1100791451230001</v>
      </c>
      <c r="AE1679">
        <v>2.71619999999995</v>
      </c>
      <c r="AF1679">
        <v>2.1940386633881599</v>
      </c>
      <c r="AG1679">
        <v>-1.1100791451230001</v>
      </c>
      <c r="AH1679">
        <v>51.892073871995201</v>
      </c>
      <c r="AI1679">
        <v>91.224395125864902</v>
      </c>
      <c r="AJ1679">
        <v>87.578930312674004</v>
      </c>
      <c r="AK1679">
        <v>51.950297516968</v>
      </c>
      <c r="AL1679">
        <v>87.005299324912201</v>
      </c>
      <c r="AM1679">
        <v>87.216138830918297</v>
      </c>
      <c r="AN1679">
        <v>0.99999995967706801</v>
      </c>
    </row>
    <row r="1680" spans="1:40" x14ac:dyDescent="0.25">
      <c r="A1680" t="str">
        <f>"20190312154541435"</f>
        <v>20190312154541435</v>
      </c>
      <c r="B1680" t="str">
        <f>"1552376741428188"</f>
        <v>1552376741428188</v>
      </c>
      <c r="C1680" t="s">
        <v>40</v>
      </c>
      <c r="D1680">
        <v>4.2627220000000001</v>
      </c>
      <c r="E1680">
        <v>0.49765179999999998</v>
      </c>
      <c r="F1680" t="s">
        <v>54</v>
      </c>
      <c r="G1680">
        <v>-361.40989999999999</v>
      </c>
      <c r="H1680" s="1">
        <v>-7.8652319999999904E-7</v>
      </c>
      <c r="I1680">
        <v>285.83479999999997</v>
      </c>
      <c r="J1680">
        <v>-309.17439999999999</v>
      </c>
      <c r="K1680">
        <v>1.110077</v>
      </c>
      <c r="L1680">
        <v>283.10649999999998</v>
      </c>
      <c r="M1680">
        <v>-0.99984660000000003</v>
      </c>
      <c r="N1680">
        <v>0</v>
      </c>
      <c r="O1680">
        <v>9.8882410000000007E-3</v>
      </c>
      <c r="P1680">
        <v>-0.99757450000000003</v>
      </c>
      <c r="Q1680">
        <v>3.7874320000000003E-2</v>
      </c>
      <c r="R1680">
        <v>5.8404589999999999E-2</v>
      </c>
      <c r="S1680">
        <v>-3.0005799999999998</v>
      </c>
      <c r="T1680">
        <v>-6.3366889999999995E-2</v>
      </c>
      <c r="U1680">
        <v>0.15591429999999901</v>
      </c>
      <c r="V1680">
        <v>4.852124E-2</v>
      </c>
      <c r="W1680">
        <v>5.2327869999999999E-2</v>
      </c>
      <c r="X1680">
        <v>0.99745050000000002</v>
      </c>
      <c r="Y1680">
        <v>4.2005760000000003E-2</v>
      </c>
      <c r="Z1680">
        <v>2.345312E-4</v>
      </c>
      <c r="AA1680">
        <v>0.99911729999999999</v>
      </c>
      <c r="AB1680">
        <v>33</v>
      </c>
      <c r="AC1680">
        <v>-52.235500000000002</v>
      </c>
      <c r="AD1680">
        <v>-1.1100777865232001</v>
      </c>
      <c r="AE1680">
        <v>2.7282999999999902</v>
      </c>
      <c r="AF1680">
        <v>2.2105997490553801</v>
      </c>
      <c r="AG1680">
        <v>-1.1100777865232001</v>
      </c>
      <c r="AH1680">
        <v>52.236399651285701</v>
      </c>
      <c r="AI1680">
        <v>91.216323277522605</v>
      </c>
      <c r="AJ1680">
        <v>87.576737547863303</v>
      </c>
      <c r="AK1680">
        <v>52.294937350297097</v>
      </c>
      <c r="AL1680">
        <v>87.000463968321796</v>
      </c>
      <c r="AM1680">
        <v>87.215027212277306</v>
      </c>
      <c r="AN1680">
        <v>1.00000000833006</v>
      </c>
    </row>
    <row r="1681" spans="1:40" x14ac:dyDescent="0.25">
      <c r="A1681" t="str">
        <f>"20190312154541458"</f>
        <v>20190312154541458</v>
      </c>
      <c r="B1681" t="str">
        <f>"1552376741448683"</f>
        <v>1552376741448683</v>
      </c>
      <c r="C1681" t="s">
        <v>40</v>
      </c>
      <c r="D1681">
        <v>4.2394949999999998</v>
      </c>
      <c r="E1681">
        <v>0.49714760000000002</v>
      </c>
      <c r="F1681" t="s">
        <v>54</v>
      </c>
      <c r="G1681">
        <v>-362.26170000000002</v>
      </c>
      <c r="H1681" s="1">
        <v>-3.332513E-7</v>
      </c>
      <c r="I1681">
        <v>285.76</v>
      </c>
      <c r="J1681">
        <v>-309.51029999999997</v>
      </c>
      <c r="K1681">
        <v>1.110069</v>
      </c>
      <c r="L1681">
        <v>283.10969999999998</v>
      </c>
      <c r="M1681">
        <v>-0.99984799999999996</v>
      </c>
      <c r="N1681">
        <v>0</v>
      </c>
      <c r="O1681">
        <v>9.7351720000000003E-3</v>
      </c>
      <c r="P1681">
        <v>-0.99759980000000004</v>
      </c>
      <c r="Q1681">
        <v>3.7707230000000001E-2</v>
      </c>
      <c r="R1681">
        <v>5.8081239999999999E-2</v>
      </c>
      <c r="S1681">
        <v>-3.0008849999999998</v>
      </c>
      <c r="T1681">
        <v>-6.2749860000000005E-2</v>
      </c>
      <c r="U1681">
        <v>0.14999390000000001</v>
      </c>
      <c r="V1681">
        <v>4.835076E-2</v>
      </c>
      <c r="W1681">
        <v>5.215786E-2</v>
      </c>
      <c r="X1681">
        <v>0.99746769999999996</v>
      </c>
      <c r="Y1681">
        <v>4.0187849999999997E-2</v>
      </c>
      <c r="Z1681">
        <v>2.16441E-4</v>
      </c>
      <c r="AA1681">
        <v>0.99919210000000003</v>
      </c>
      <c r="AB1681">
        <v>33</v>
      </c>
      <c r="AC1681">
        <v>-52.751399999999997</v>
      </c>
      <c r="AD1681">
        <v>-1.1100693332513001</v>
      </c>
      <c r="AE1681">
        <v>2.6503000000000099</v>
      </c>
      <c r="AF1681">
        <v>2.1356333724054299</v>
      </c>
      <c r="AG1681">
        <v>-1.1100693332513001</v>
      </c>
      <c r="AH1681">
        <v>52.751402694482202</v>
      </c>
      <c r="AI1681">
        <v>91.204534153512498</v>
      </c>
      <c r="AJ1681">
        <v>87.681654204577697</v>
      </c>
      <c r="AK1681">
        <v>52.806284380378202</v>
      </c>
      <c r="AL1681">
        <v>87.010218195165606</v>
      </c>
      <c r="AM1681">
        <v>87.224844705711902</v>
      </c>
      <c r="AN1681">
        <v>1.0000000254478201</v>
      </c>
    </row>
    <row r="1682" spans="1:40" x14ac:dyDescent="0.25">
      <c r="A1682" t="str">
        <f>"20190312154541479"</f>
        <v>20190312154541479</v>
      </c>
      <c r="B1682" t="str">
        <f>"1552376741468203"</f>
        <v>1552376741468203</v>
      </c>
      <c r="C1682" t="s">
        <v>40</v>
      </c>
      <c r="D1682">
        <v>4.2175940000000001</v>
      </c>
      <c r="E1682">
        <v>0.49667319999999998</v>
      </c>
      <c r="F1682" t="s">
        <v>54</v>
      </c>
      <c r="G1682">
        <v>-363.32260000000002</v>
      </c>
      <c r="H1682" s="1">
        <v>2.3132059999999999E-7</v>
      </c>
      <c r="I1682">
        <v>285.7133</v>
      </c>
      <c r="J1682">
        <v>-309.82279999999997</v>
      </c>
      <c r="K1682">
        <v>1.110066</v>
      </c>
      <c r="L1682">
        <v>283.11259999999999</v>
      </c>
      <c r="M1682">
        <v>-0.99984930000000005</v>
      </c>
      <c r="N1682">
        <v>0</v>
      </c>
      <c r="O1682">
        <v>9.5934260000000004E-3</v>
      </c>
      <c r="P1682">
        <v>-0.9976178</v>
      </c>
      <c r="Q1682">
        <v>3.7378590000000003E-2</v>
      </c>
      <c r="R1682">
        <v>5.797853E-2</v>
      </c>
      <c r="S1682">
        <v>-3.001099</v>
      </c>
      <c r="T1682">
        <v>-6.1908249999999998E-2</v>
      </c>
      <c r="U1682">
        <v>0.14520259999999999</v>
      </c>
      <c r="V1682">
        <v>4.838949E-2</v>
      </c>
      <c r="W1682">
        <v>5.1825959999999997E-2</v>
      </c>
      <c r="X1682">
        <v>0.99748309999999996</v>
      </c>
      <c r="Y1682">
        <v>3.8734999999999999E-2</v>
      </c>
      <c r="Z1682">
        <v>2.0147850000000001E-4</v>
      </c>
      <c r="AA1682">
        <v>0.99924950000000001</v>
      </c>
      <c r="AB1682">
        <v>33</v>
      </c>
      <c r="AC1682">
        <v>-53.4998</v>
      </c>
      <c r="AD1682">
        <v>-1.1100657686794</v>
      </c>
      <c r="AE1682">
        <v>2.60070000000001</v>
      </c>
      <c r="AF1682">
        <v>2.08638408083694</v>
      </c>
      <c r="AG1682">
        <v>-1.1100657686794</v>
      </c>
      <c r="AH1682">
        <v>53.4993115547638</v>
      </c>
      <c r="AI1682">
        <v>91.187766107078701</v>
      </c>
      <c r="AJ1682">
        <v>87.766691721257303</v>
      </c>
      <c r="AK1682">
        <v>53.551485333062899</v>
      </c>
      <c r="AL1682">
        <v>87.029260354199707</v>
      </c>
      <c r="AM1682">
        <v>87.222668038171193</v>
      </c>
      <c r="AN1682">
        <v>1.00000000382899</v>
      </c>
    </row>
    <row r="1683" spans="1:40" x14ac:dyDescent="0.25">
      <c r="A1683" t="str">
        <f>"20190312154541502"</f>
        <v>20190312154541502</v>
      </c>
      <c r="B1683" t="str">
        <f>"1552376741498461"</f>
        <v>1552376741498461</v>
      </c>
      <c r="C1683" t="s">
        <v>40</v>
      </c>
      <c r="D1683">
        <v>4.1891400000000001</v>
      </c>
      <c r="E1683">
        <v>0.49599880000000002</v>
      </c>
      <c r="F1683" t="s">
        <v>54</v>
      </c>
      <c r="G1683">
        <v>-363.65280000000001</v>
      </c>
      <c r="H1683" s="1">
        <v>4.070694E-7</v>
      </c>
      <c r="I1683">
        <v>285.64850000000001</v>
      </c>
      <c r="J1683">
        <v>-310.1592</v>
      </c>
      <c r="K1683">
        <v>1.110066</v>
      </c>
      <c r="L1683">
        <v>283.1157</v>
      </c>
      <c r="M1683">
        <v>-0.99985100000000005</v>
      </c>
      <c r="N1683">
        <v>0</v>
      </c>
      <c r="O1683">
        <v>9.4414890000000008E-3</v>
      </c>
      <c r="P1683">
        <v>-0.99764960000000003</v>
      </c>
      <c r="Q1683">
        <v>3.7128649999999999E-2</v>
      </c>
      <c r="R1683">
        <v>5.7595050000000002E-2</v>
      </c>
      <c r="S1683">
        <v>-3.0012509999999999</v>
      </c>
      <c r="T1683">
        <v>-6.1890840000000003E-2</v>
      </c>
      <c r="U1683">
        <v>0.14138789999999901</v>
      </c>
      <c r="V1683">
        <v>4.8157680000000001E-2</v>
      </c>
      <c r="W1683">
        <v>5.1572630000000001E-2</v>
      </c>
      <c r="X1683">
        <v>0.99750749999999999</v>
      </c>
      <c r="Y1683">
        <v>3.7617390000000001E-2</v>
      </c>
      <c r="Z1683">
        <v>1.9303260000000001E-4</v>
      </c>
      <c r="AA1683">
        <v>0.99929219999999996</v>
      </c>
      <c r="AB1683">
        <v>33</v>
      </c>
      <c r="AC1683">
        <v>-53.493600000000001</v>
      </c>
      <c r="AD1683">
        <v>-1.1100655929306</v>
      </c>
      <c r="AE1683">
        <v>2.5327999999999999</v>
      </c>
      <c r="AF1683">
        <v>2.02670431716369</v>
      </c>
      <c r="AG1683">
        <v>-1.1100655929306</v>
      </c>
      <c r="AH1683">
        <v>53.492147859159502</v>
      </c>
      <c r="AI1683">
        <v>91.187975562975097</v>
      </c>
      <c r="AJ1683">
        <v>87.830221961952702</v>
      </c>
      <c r="AK1683">
        <v>53.542036369529299</v>
      </c>
      <c r="AL1683">
        <v>87.043794683286293</v>
      </c>
      <c r="AM1683">
        <v>87.236019679392498</v>
      </c>
      <c r="AN1683">
        <v>1.00000005543217</v>
      </c>
    </row>
    <row r="1684" spans="1:40" x14ac:dyDescent="0.25">
      <c r="A1684" t="str">
        <f>"20190312154541524"</f>
        <v>20190312154541524</v>
      </c>
      <c r="B1684" t="str">
        <f>"1552376741517980"</f>
        <v>1552376741517980</v>
      </c>
      <c r="C1684" t="s">
        <v>40</v>
      </c>
      <c r="D1684">
        <v>4.2014459999999998</v>
      </c>
      <c r="E1684">
        <v>0.49556430000000001</v>
      </c>
      <c r="F1684" t="s">
        <v>54</v>
      </c>
      <c r="G1684">
        <v>-364.3032</v>
      </c>
      <c r="H1684" s="1">
        <v>7.5314150000000002E-7</v>
      </c>
      <c r="I1684">
        <v>285.54390000000001</v>
      </c>
      <c r="J1684">
        <v>-310.4753</v>
      </c>
      <c r="K1684">
        <v>1.1100680000000001</v>
      </c>
      <c r="L1684">
        <v>283.11849999999998</v>
      </c>
      <c r="M1684">
        <v>-0.99985230000000003</v>
      </c>
      <c r="N1684">
        <v>0</v>
      </c>
      <c r="O1684">
        <v>9.2997359999999994E-3</v>
      </c>
      <c r="P1684">
        <v>-0.99766120000000003</v>
      </c>
      <c r="Q1684">
        <v>3.7010370000000001E-2</v>
      </c>
      <c r="R1684">
        <v>5.7467909999999997E-2</v>
      </c>
      <c r="S1684">
        <v>-3.0015869999999998</v>
      </c>
      <c r="T1684">
        <v>-6.1538820000000001E-2</v>
      </c>
      <c r="U1684">
        <v>0.13461300000000001</v>
      </c>
      <c r="V1684">
        <v>4.8172230000000003E-2</v>
      </c>
      <c r="W1684">
        <v>5.1451669999999998E-2</v>
      </c>
      <c r="X1684">
        <v>0.99751299999999998</v>
      </c>
      <c r="Y1684">
        <v>3.5503449999999999E-2</v>
      </c>
      <c r="Z1684">
        <v>1.731704E-4</v>
      </c>
      <c r="AA1684">
        <v>0.99936959999999997</v>
      </c>
      <c r="AB1684">
        <v>32</v>
      </c>
      <c r="AC1684">
        <v>-53.8279</v>
      </c>
      <c r="AD1684">
        <v>-1.1100672468585</v>
      </c>
      <c r="AE1684">
        <v>2.4254000000000202</v>
      </c>
      <c r="AF1684">
        <v>1.9238410135090001</v>
      </c>
      <c r="AG1684">
        <v>-1.1100672468585</v>
      </c>
      <c r="AH1684">
        <v>53.825284846913</v>
      </c>
      <c r="AI1684">
        <v>91.180719864242903</v>
      </c>
      <c r="AJ1684">
        <v>87.952986825283304</v>
      </c>
      <c r="AK1684">
        <v>53.871093384013797</v>
      </c>
      <c r="AL1684">
        <v>87.050734264476205</v>
      </c>
      <c r="AM1684">
        <v>87.235201107427002</v>
      </c>
      <c r="AN1684">
        <v>1.00000001162898</v>
      </c>
    </row>
    <row r="1685" spans="1:40" x14ac:dyDescent="0.25">
      <c r="A1685" t="str">
        <f>"20190312154541547"</f>
        <v>20190312154541547</v>
      </c>
      <c r="B1685" t="str">
        <f>"1552376741538060"</f>
        <v>1552376741538060</v>
      </c>
      <c r="C1685" t="s">
        <v>40</v>
      </c>
      <c r="D1685">
        <v>4.1878970000000004</v>
      </c>
      <c r="E1685">
        <v>0.49524119999999999</v>
      </c>
      <c r="F1685" t="s">
        <v>54</v>
      </c>
      <c r="G1685">
        <v>-364.9325</v>
      </c>
      <c r="H1685" s="1">
        <v>1.088031E-6</v>
      </c>
      <c r="I1685">
        <v>285.49200000000002</v>
      </c>
      <c r="J1685">
        <v>-310.80410000000001</v>
      </c>
      <c r="K1685">
        <v>1.1100680000000001</v>
      </c>
      <c r="L1685">
        <v>283.12139999999999</v>
      </c>
      <c r="M1685">
        <v>-0.99985360000000001</v>
      </c>
      <c r="N1685">
        <v>0</v>
      </c>
      <c r="O1685">
        <v>9.1529690000000004E-3</v>
      </c>
      <c r="P1685">
        <v>-0.99769339999999995</v>
      </c>
      <c r="Q1685">
        <v>3.6481569999999998E-2</v>
      </c>
      <c r="R1685">
        <v>5.7247260000000001E-2</v>
      </c>
      <c r="S1685">
        <v>-3.00177</v>
      </c>
      <c r="T1685">
        <v>-6.1188699999999902E-2</v>
      </c>
      <c r="U1685">
        <v>0.1308289</v>
      </c>
      <c r="V1685">
        <v>4.8097769999999998E-2</v>
      </c>
      <c r="W1685">
        <v>5.0919270000000003E-2</v>
      </c>
      <c r="X1685">
        <v>0.99754390000000004</v>
      </c>
      <c r="Y1685">
        <v>3.4390270000000001E-2</v>
      </c>
      <c r="Z1685">
        <v>1.6383009999999999E-4</v>
      </c>
      <c r="AA1685">
        <v>0.99940850000000003</v>
      </c>
      <c r="AB1685">
        <v>32</v>
      </c>
      <c r="AC1685">
        <v>-54.128399999999999</v>
      </c>
      <c r="AD1685">
        <v>-1.1100669119689901</v>
      </c>
      <c r="AE1685">
        <v>2.37060000000002</v>
      </c>
      <c r="AF1685">
        <v>1.87422657576372</v>
      </c>
      <c r="AG1685">
        <v>-1.1100669119689901</v>
      </c>
      <c r="AH1685">
        <v>54.1251120968344</v>
      </c>
      <c r="AI1685">
        <v>91.174226704173194</v>
      </c>
      <c r="AJ1685">
        <v>88.016773022413503</v>
      </c>
      <c r="AK1685">
        <v>54.1689277473833</v>
      </c>
      <c r="AL1685">
        <v>87.081278542035193</v>
      </c>
      <c r="AM1685">
        <v>87.239553430186206</v>
      </c>
      <c r="AN1685">
        <v>0.99999999998175704</v>
      </c>
    </row>
    <row r="1686" spans="1:40" x14ac:dyDescent="0.25">
      <c r="A1686" t="str">
        <f>"20190312154541748"</f>
        <v>20190312154541748</v>
      </c>
      <c r="B1686" t="str">
        <f>"1552376741738722"</f>
        <v>1552376741738722</v>
      </c>
      <c r="C1686" t="s">
        <v>40</v>
      </c>
      <c r="D1686">
        <v>3.9184260000000002</v>
      </c>
      <c r="E1686">
        <v>0.48320069999999998</v>
      </c>
      <c r="F1686" t="s">
        <v>54</v>
      </c>
      <c r="G1686">
        <v>-364.83780000000002</v>
      </c>
      <c r="H1686" s="1">
        <v>1.0376400000000001E-6</v>
      </c>
      <c r="I1686">
        <v>285.42189999999999</v>
      </c>
      <c r="J1686">
        <v>-313.6909</v>
      </c>
      <c r="K1686">
        <v>1.1100719999999999</v>
      </c>
      <c r="L1686">
        <v>283.1447</v>
      </c>
      <c r="M1686">
        <v>-0.99986520000000001</v>
      </c>
      <c r="N1686">
        <v>0</v>
      </c>
      <c r="O1686">
        <v>7.8569279999999991E-3</v>
      </c>
      <c r="P1686">
        <v>-0.99792829999999999</v>
      </c>
      <c r="Q1686">
        <v>3.7182220000000002E-2</v>
      </c>
      <c r="R1686">
        <v>5.2507150000000002E-2</v>
      </c>
      <c r="S1686">
        <v>-3.001862</v>
      </c>
      <c r="T1686">
        <v>-6.1670179999999998E-2</v>
      </c>
      <c r="U1686">
        <v>0.12780759999999999</v>
      </c>
      <c r="V1686">
        <v>4.4650229999999999E-2</v>
      </c>
      <c r="W1686">
        <v>5.1590240000000002E-2</v>
      </c>
      <c r="X1686">
        <v>0.99766969999999999</v>
      </c>
      <c r="Y1686">
        <v>3.4679990000000001E-2</v>
      </c>
      <c r="Z1686">
        <v>1.947025E-4</v>
      </c>
      <c r="AA1686">
        <v>0.99939849999999997</v>
      </c>
      <c r="AB1686">
        <v>32</v>
      </c>
      <c r="AC1686">
        <v>-51.146900000000002</v>
      </c>
      <c r="AD1686">
        <v>-1.11007096236</v>
      </c>
      <c r="AE1686">
        <v>2.2771999999999899</v>
      </c>
      <c r="AF1686">
        <v>1.8743492595705</v>
      </c>
      <c r="AG1686">
        <v>-1.11007096236</v>
      </c>
      <c r="AH1686">
        <v>51.139173399993098</v>
      </c>
      <c r="AI1686">
        <v>91.242682129139496</v>
      </c>
      <c r="AJ1686">
        <v>87.900938859238593</v>
      </c>
      <c r="AK1686">
        <v>51.185549706170903</v>
      </c>
      <c r="AL1686">
        <v>87.042784234417994</v>
      </c>
      <c r="AM1686">
        <v>87.4374647845856</v>
      </c>
      <c r="AN1686">
        <v>1.0000000131002</v>
      </c>
    </row>
    <row r="1687" spans="1:40" x14ac:dyDescent="0.25">
      <c r="A1687" t="str">
        <f>"20190312154541768"</f>
        <v>20190312154541768</v>
      </c>
      <c r="B1687" t="str">
        <f>"1552376741758242"</f>
        <v>1552376741758242</v>
      </c>
      <c r="C1687" t="s">
        <v>40</v>
      </c>
      <c r="D1687">
        <v>4.1620869999999996</v>
      </c>
      <c r="E1687">
        <v>0.48248930000000001</v>
      </c>
      <c r="F1687" t="s">
        <v>41</v>
      </c>
      <c r="G1687">
        <v>-314.59769999999997</v>
      </c>
      <c r="H1687">
        <v>0.94626840000000001</v>
      </c>
      <c r="I1687">
        <v>283.14519999999999</v>
      </c>
      <c r="J1687">
        <v>-313.98430000000002</v>
      </c>
      <c r="K1687">
        <v>1.110069</v>
      </c>
      <c r="L1687">
        <v>283.14690000000002</v>
      </c>
      <c r="M1687">
        <v>-0.99986620000000004</v>
      </c>
      <c r="N1687">
        <v>0</v>
      </c>
      <c r="O1687">
        <v>7.7244669999999996E-3</v>
      </c>
      <c r="P1687">
        <v>-0.99793379999999998</v>
      </c>
      <c r="Q1687">
        <v>3.7496179999999997E-2</v>
      </c>
      <c r="R1687">
        <v>5.2176519999999997E-2</v>
      </c>
      <c r="S1687">
        <v>-3.0265810000000002</v>
      </c>
      <c r="T1687">
        <v>-0.54680790000000001</v>
      </c>
      <c r="U1687">
        <v>8.8500979999999905E-4</v>
      </c>
      <c r="V1687">
        <v>4.4451739999999997E-2</v>
      </c>
      <c r="W1687">
        <v>5.1900729999999999E-2</v>
      </c>
      <c r="X1687">
        <v>0.99766239999999995</v>
      </c>
      <c r="Y1687">
        <v>-7.1913749999999999E-3</v>
      </c>
      <c r="Z1687">
        <v>-2.028906E-3</v>
      </c>
      <c r="AA1687">
        <v>0.99997210000000003</v>
      </c>
      <c r="AB1687">
        <v>32</v>
      </c>
      <c r="AC1687">
        <v>-0.61339999999995598</v>
      </c>
      <c r="AD1687">
        <v>-0.16380059999999899</v>
      </c>
      <c r="AE1687">
        <v>-1.7000000000280101E-3</v>
      </c>
      <c r="AF1687">
        <v>-6.0100626133741102E-3</v>
      </c>
      <c r="AG1687">
        <v>-0.16380059999999899</v>
      </c>
      <c r="AH1687">
        <v>0.57254159387019998</v>
      </c>
      <c r="AI1687">
        <v>105.964662603316</v>
      </c>
      <c r="AJ1687">
        <v>90.601421064963304</v>
      </c>
      <c r="AK1687">
        <v>0.59554230254819496</v>
      </c>
      <c r="AL1687">
        <v>87.024970426196006</v>
      </c>
      <c r="AM1687">
        <v>87.448822659348806</v>
      </c>
      <c r="AN1687">
        <v>0.99999995366865901</v>
      </c>
    </row>
    <row r="1688" spans="1:40" x14ac:dyDescent="0.25">
      <c r="A1688" t="str">
        <f>"20190312154541791"</f>
        <v>20190312154541791</v>
      </c>
      <c r="B1688" t="str">
        <f>"1552376741788498"</f>
        <v>1552376741788498</v>
      </c>
      <c r="C1688" t="s">
        <v>40</v>
      </c>
      <c r="D1688">
        <v>4.0164519999999904</v>
      </c>
      <c r="E1688">
        <v>0.4852011</v>
      </c>
      <c r="F1688" t="s">
        <v>41</v>
      </c>
      <c r="G1688">
        <v>-314.89839999999998</v>
      </c>
      <c r="H1688">
        <v>0.97842229999999997</v>
      </c>
      <c r="I1688">
        <v>283.14640000000003</v>
      </c>
      <c r="J1688">
        <v>-314.30329999999998</v>
      </c>
      <c r="K1688">
        <v>1.1100730000000001</v>
      </c>
      <c r="L1688">
        <v>283.14920000000001</v>
      </c>
      <c r="M1688">
        <v>-0.99986730000000001</v>
      </c>
      <c r="N1688">
        <v>0</v>
      </c>
      <c r="O1688">
        <v>7.5809179999999999E-3</v>
      </c>
      <c r="P1688">
        <v>-0.99795659999999997</v>
      </c>
      <c r="Q1688">
        <v>3.7330420000000003E-2</v>
      </c>
      <c r="R1688">
        <v>5.1854919999999999E-2</v>
      </c>
      <c r="S1688">
        <v>-3.022675</v>
      </c>
      <c r="T1688">
        <v>-0.43535400000000002</v>
      </c>
      <c r="U1688">
        <v>-2.1362299999999998E-3</v>
      </c>
      <c r="V1688">
        <v>4.427329E-2</v>
      </c>
      <c r="W1688">
        <v>5.173167E-2</v>
      </c>
      <c r="X1688">
        <v>0.99767919999999999</v>
      </c>
      <c r="Y1688">
        <v>-8.1263289999999998E-3</v>
      </c>
      <c r="Z1688">
        <v>-1.668587E-3</v>
      </c>
      <c r="AA1688">
        <v>0.99996560000000001</v>
      </c>
      <c r="AB1688">
        <v>32</v>
      </c>
      <c r="AC1688">
        <v>-0.59510000000000196</v>
      </c>
      <c r="AD1688">
        <v>-0.13165069999999901</v>
      </c>
      <c r="AE1688">
        <v>-2.7999999999792601E-3</v>
      </c>
      <c r="AF1688">
        <v>-6.9706546518562501E-3</v>
      </c>
      <c r="AG1688">
        <v>-0.13165069999999901</v>
      </c>
      <c r="AH1688">
        <v>0.56729853301463595</v>
      </c>
      <c r="AI1688">
        <v>103.064186924108</v>
      </c>
      <c r="AJ1688">
        <v>90.703983829409907</v>
      </c>
      <c r="AK1688">
        <v>0.58241576420742902</v>
      </c>
      <c r="AL1688">
        <v>87.034670131312694</v>
      </c>
      <c r="AM1688">
        <v>87.4590935551755</v>
      </c>
      <c r="AN1688">
        <v>1.0000000380005201</v>
      </c>
    </row>
    <row r="1689" spans="1:40" x14ac:dyDescent="0.25">
      <c r="A1689" t="str">
        <f>"20190312154541812"</f>
        <v>20190312154541812</v>
      </c>
      <c r="B1689" t="str">
        <f>"1552376741808017"</f>
        <v>1552376741808017</v>
      </c>
      <c r="C1689" t="s">
        <v>40</v>
      </c>
      <c r="D1689">
        <v>3.9903189999999999</v>
      </c>
      <c r="E1689">
        <v>0.48549290000000001</v>
      </c>
      <c r="F1689" t="s">
        <v>44</v>
      </c>
      <c r="G1689">
        <v>0</v>
      </c>
      <c r="H1689">
        <v>0</v>
      </c>
      <c r="I1689">
        <v>0</v>
      </c>
      <c r="J1689">
        <v>-314.62139999999999</v>
      </c>
      <c r="K1689">
        <v>1.11008</v>
      </c>
      <c r="L1689">
        <v>283.1515</v>
      </c>
      <c r="M1689">
        <v>-0.99986850000000005</v>
      </c>
      <c r="N1689">
        <v>0</v>
      </c>
      <c r="O1689">
        <v>7.4376659999999999E-3</v>
      </c>
      <c r="P1689">
        <v>-0.9979635</v>
      </c>
      <c r="Q1689">
        <v>3.7946319999999999E-2</v>
      </c>
      <c r="R1689">
        <v>5.1275679999999997E-2</v>
      </c>
      <c r="S1689">
        <v>-3.0014949999999998</v>
      </c>
      <c r="T1689">
        <v>7.4077729999999994E-2</v>
      </c>
      <c r="U1689">
        <v>3.6224369999999999E-2</v>
      </c>
      <c r="V1689">
        <v>4.383695E-2</v>
      </c>
      <c r="W1689">
        <v>5.2344059999999998E-2</v>
      </c>
      <c r="X1689">
        <v>0.99766650000000001</v>
      </c>
      <c r="Y1689">
        <v>4.6305180000000001E-3</v>
      </c>
      <c r="Z1689">
        <v>1.2641430000000001E-4</v>
      </c>
      <c r="AA1689">
        <v>0.99998929999999997</v>
      </c>
      <c r="AB1689">
        <v>32</v>
      </c>
      <c r="AC1689">
        <v>-3.0014949999999998</v>
      </c>
      <c r="AD1689">
        <v>7.4077729999999994E-2</v>
      </c>
      <c r="AE1689">
        <v>3.6224369999999999E-2</v>
      </c>
      <c r="AF1689">
        <v>1.38884737436761E-2</v>
      </c>
      <c r="AG1689">
        <v>7.4077729999999994E-2</v>
      </c>
      <c r="AH1689">
        <v>2.99985442115723</v>
      </c>
      <c r="AI1689">
        <v>88.5854535462191</v>
      </c>
      <c r="AJ1689">
        <v>89.734738713183802</v>
      </c>
      <c r="AK1689">
        <v>3.00080105103978</v>
      </c>
      <c r="AL1689">
        <v>86.999535087703904</v>
      </c>
      <c r="AM1689">
        <v>87.484071399225499</v>
      </c>
      <c r="AN1689">
        <v>1.00000001201241</v>
      </c>
    </row>
    <row r="1690" spans="1:40" x14ac:dyDescent="0.25">
      <c r="A1690" t="str">
        <f>"20190312154541836"</f>
        <v>20190312154541836</v>
      </c>
      <c r="B1690" t="str">
        <f>"1552376741828513"</f>
        <v>1552376741828513</v>
      </c>
      <c r="C1690" t="s">
        <v>40</v>
      </c>
      <c r="D1690">
        <v>4.0256999999999996</v>
      </c>
      <c r="E1690">
        <v>0.48537079999999999</v>
      </c>
      <c r="F1690" t="s">
        <v>44</v>
      </c>
      <c r="G1690">
        <v>0</v>
      </c>
      <c r="H1690">
        <v>0</v>
      </c>
      <c r="I1690">
        <v>0</v>
      </c>
      <c r="J1690">
        <v>-314.94779999999997</v>
      </c>
      <c r="K1690">
        <v>1.1100829999999999</v>
      </c>
      <c r="L1690">
        <v>283.15379999999999</v>
      </c>
      <c r="M1690">
        <v>-0.99986960000000003</v>
      </c>
      <c r="N1690">
        <v>0</v>
      </c>
      <c r="O1690">
        <v>7.2907789999999998E-3</v>
      </c>
      <c r="P1690">
        <v>-0.9979808</v>
      </c>
      <c r="Q1690">
        <v>3.8187390000000002E-2</v>
      </c>
      <c r="R1690">
        <v>5.0755939999999999E-2</v>
      </c>
      <c r="S1690">
        <v>-3.0001829999999998</v>
      </c>
      <c r="T1690">
        <v>0.1056343</v>
      </c>
      <c r="U1690">
        <v>3.7841800000000002E-2</v>
      </c>
      <c r="V1690">
        <v>4.3463830000000002E-2</v>
      </c>
      <c r="W1690">
        <v>5.2581200000000002E-2</v>
      </c>
      <c r="X1690">
        <v>0.99767039999999996</v>
      </c>
      <c r="Y1690">
        <v>5.3220890000000003E-3</v>
      </c>
      <c r="Z1690">
        <v>1.629747E-4</v>
      </c>
      <c r="AA1690">
        <v>0.99998580000000004</v>
      </c>
      <c r="AB1690">
        <v>32</v>
      </c>
      <c r="AC1690">
        <v>-3.0001829999999998</v>
      </c>
      <c r="AD1690">
        <v>0.1056343</v>
      </c>
      <c r="AE1690">
        <v>3.7841800000000002E-2</v>
      </c>
      <c r="AF1690">
        <v>1.5945087792134601E-2</v>
      </c>
      <c r="AG1690">
        <v>0.1056343</v>
      </c>
      <c r="AH1690">
        <v>2.99666481334007</v>
      </c>
      <c r="AI1690">
        <v>87.981152608550502</v>
      </c>
      <c r="AJ1690">
        <v>89.695135202115694</v>
      </c>
      <c r="AK1690">
        <v>2.9985684675644202</v>
      </c>
      <c r="AL1690">
        <v>86.985929365835702</v>
      </c>
      <c r="AM1690">
        <v>87.505468400843597</v>
      </c>
      <c r="AN1690">
        <v>1.00000005707393</v>
      </c>
    </row>
    <row r="1691" spans="1:40" x14ac:dyDescent="0.25">
      <c r="A1691" t="str">
        <f>"20190312154541858"</f>
        <v>20190312154541858</v>
      </c>
      <c r="B1691" t="str">
        <f>"1552376741848541"</f>
        <v>1552376741848541</v>
      </c>
      <c r="C1691" t="s">
        <v>40</v>
      </c>
      <c r="D1691">
        <v>4.0162550000000001</v>
      </c>
      <c r="E1691">
        <v>0.48479040000000001</v>
      </c>
      <c r="F1691" t="s">
        <v>44</v>
      </c>
      <c r="G1691">
        <v>0</v>
      </c>
      <c r="H1691">
        <v>0</v>
      </c>
      <c r="I1691">
        <v>0</v>
      </c>
      <c r="J1691">
        <v>-315.26260000000002</v>
      </c>
      <c r="K1691">
        <v>1.1100909999999999</v>
      </c>
      <c r="L1691">
        <v>283.15589999999997</v>
      </c>
      <c r="M1691">
        <v>-0.99987079999999995</v>
      </c>
      <c r="N1691">
        <v>0</v>
      </c>
      <c r="O1691">
        <v>7.1490159999999898E-3</v>
      </c>
      <c r="P1691">
        <v>-0.99797550000000002</v>
      </c>
      <c r="Q1691">
        <v>3.805542E-2</v>
      </c>
      <c r="R1691">
        <v>5.0959829999999998E-2</v>
      </c>
      <c r="S1691">
        <v>-3.0002140000000002</v>
      </c>
      <c r="T1691">
        <v>0.1062931</v>
      </c>
      <c r="U1691">
        <v>3.5308840000000001E-2</v>
      </c>
      <c r="V1691">
        <v>4.3809309999999997E-2</v>
      </c>
      <c r="W1691">
        <v>5.244596E-2</v>
      </c>
      <c r="X1691">
        <v>0.99766239999999995</v>
      </c>
      <c r="Y1691">
        <v>4.6199839999999997E-3</v>
      </c>
      <c r="Z1691">
        <v>1.71401699999999E-4</v>
      </c>
      <c r="AA1691">
        <v>0.99998929999999997</v>
      </c>
      <c r="AB1691">
        <v>32</v>
      </c>
      <c r="AC1691">
        <v>-3.0002140000000002</v>
      </c>
      <c r="AD1691">
        <v>0.1062931</v>
      </c>
      <c r="AE1691">
        <v>3.5308840000000001E-2</v>
      </c>
      <c r="AF1691">
        <v>1.38397674206263E-2</v>
      </c>
      <c r="AG1691">
        <v>0.1062931</v>
      </c>
      <c r="AH1691">
        <v>2.9966289796233698</v>
      </c>
      <c r="AI1691">
        <v>87.968541002124397</v>
      </c>
      <c r="AJ1691">
        <v>89.735384450276896</v>
      </c>
      <c r="AK1691">
        <v>2.9985454813606598</v>
      </c>
      <c r="AL1691">
        <v>86.993688729757395</v>
      </c>
      <c r="AM1691">
        <v>87.485645382119301</v>
      </c>
      <c r="AN1691">
        <v>1.0000000493683701</v>
      </c>
    </row>
    <row r="1692" spans="1:40" x14ac:dyDescent="0.25">
      <c r="A1692" t="str">
        <f>"20190312154541880"</f>
        <v>20190312154541880</v>
      </c>
      <c r="B1692" t="str">
        <f>"1552376741868062"</f>
        <v>1552376741868062</v>
      </c>
      <c r="C1692" t="s">
        <v>40</v>
      </c>
      <c r="D1692">
        <v>4.0389410000000003</v>
      </c>
      <c r="E1692">
        <v>0.48426770000000002</v>
      </c>
      <c r="F1692" t="s">
        <v>44</v>
      </c>
      <c r="G1692">
        <v>0</v>
      </c>
      <c r="H1692">
        <v>0</v>
      </c>
      <c r="I1692">
        <v>0</v>
      </c>
      <c r="J1692">
        <v>-315.57479999999998</v>
      </c>
      <c r="K1692">
        <v>1.1100920000000001</v>
      </c>
      <c r="L1692">
        <v>283.15800000000002</v>
      </c>
      <c r="M1692">
        <v>-0.99987190000000004</v>
      </c>
      <c r="N1692">
        <v>0</v>
      </c>
      <c r="O1692">
        <v>7.0087989999999996E-3</v>
      </c>
      <c r="P1692">
        <v>-0.99795820000000002</v>
      </c>
      <c r="Q1692">
        <v>3.821418E-2</v>
      </c>
      <c r="R1692">
        <v>5.1177920000000002E-2</v>
      </c>
      <c r="S1692">
        <v>-3.000702</v>
      </c>
      <c r="T1692">
        <v>0.1004403</v>
      </c>
      <c r="U1692">
        <v>3.1036379999999999E-2</v>
      </c>
      <c r="V1692">
        <v>4.4167379999999999E-2</v>
      </c>
      <c r="W1692">
        <v>5.2601200000000001E-2</v>
      </c>
      <c r="X1692">
        <v>0.99763840000000004</v>
      </c>
      <c r="Y1692">
        <v>3.3351399999999999E-3</v>
      </c>
      <c r="Z1692">
        <v>1.7874890000000001E-4</v>
      </c>
      <c r="AA1692">
        <v>0.99999439999999995</v>
      </c>
      <c r="AB1692">
        <v>32</v>
      </c>
      <c r="AC1692">
        <v>-3.000702</v>
      </c>
      <c r="AD1692">
        <v>0.1004403</v>
      </c>
      <c r="AE1692">
        <v>3.1036379999999999E-2</v>
      </c>
      <c r="AF1692">
        <v>9.9909300701633095E-3</v>
      </c>
      <c r="AG1692">
        <v>0.1004403</v>
      </c>
      <c r="AH1692">
        <v>2.99748782774736</v>
      </c>
      <c r="AI1692">
        <v>88.0808525981396</v>
      </c>
      <c r="AJ1692">
        <v>89.809028079680601</v>
      </c>
      <c r="AK1692">
        <v>2.9991867814528201</v>
      </c>
      <c r="AL1692">
        <v>86.984781721526303</v>
      </c>
      <c r="AM1692">
        <v>87.465060410549597</v>
      </c>
      <c r="AN1692">
        <v>1.00000001042603</v>
      </c>
    </row>
    <row r="1693" spans="1:40" x14ac:dyDescent="0.25">
      <c r="A1693" t="str">
        <f>"20190312154541903"</f>
        <v>20190312154541903</v>
      </c>
      <c r="B1693" t="str">
        <f>"1552376741898317"</f>
        <v>1552376741898317</v>
      </c>
      <c r="C1693" t="s">
        <v>40</v>
      </c>
      <c r="D1693">
        <v>4.0657779999999999</v>
      </c>
      <c r="E1693">
        <v>0.48293170000000002</v>
      </c>
      <c r="F1693" t="s">
        <v>44</v>
      </c>
      <c r="G1693">
        <v>0</v>
      </c>
      <c r="H1693">
        <v>0</v>
      </c>
      <c r="I1693">
        <v>0</v>
      </c>
      <c r="J1693">
        <v>-315.89150000000001</v>
      </c>
      <c r="K1693">
        <v>1.11009</v>
      </c>
      <c r="L1693">
        <v>283.1601</v>
      </c>
      <c r="M1693">
        <v>-0.99987280000000001</v>
      </c>
      <c r="N1693">
        <v>0</v>
      </c>
      <c r="O1693">
        <v>6.8658499999999997E-3</v>
      </c>
      <c r="P1693">
        <v>-0.99793489999999996</v>
      </c>
      <c r="Q1693">
        <v>3.8217090000000002E-2</v>
      </c>
      <c r="R1693">
        <v>5.1629069999999999E-2</v>
      </c>
      <c r="S1693">
        <v>-3.001099</v>
      </c>
      <c r="T1693">
        <v>9.6076729999999999E-2</v>
      </c>
      <c r="U1693">
        <v>2.7404789999999998E-2</v>
      </c>
      <c r="V1693">
        <v>4.4761469999999998E-2</v>
      </c>
      <c r="W1693">
        <v>5.2600250000000001E-2</v>
      </c>
      <c r="X1693">
        <v>0.9976119</v>
      </c>
      <c r="Y1693">
        <v>2.2670699999999999E-3</v>
      </c>
      <c r="Z1693">
        <v>1.8348250000000001E-4</v>
      </c>
      <c r="AA1693">
        <v>0.99999740000000004</v>
      </c>
      <c r="AB1693">
        <v>32</v>
      </c>
      <c r="AC1693">
        <v>-3.001099</v>
      </c>
      <c r="AD1693">
        <v>9.6076729999999999E-2</v>
      </c>
      <c r="AE1693">
        <v>2.7404789999999998E-2</v>
      </c>
      <c r="AF1693">
        <v>6.7899545348383498E-3</v>
      </c>
      <c r="AG1693">
        <v>9.6076729999999999E-2</v>
      </c>
      <c r="AH1693">
        <v>2.9981439243341002</v>
      </c>
      <c r="AI1693">
        <v>88.164566468230802</v>
      </c>
      <c r="AJ1693">
        <v>89.870241361776806</v>
      </c>
      <c r="AK1693">
        <v>2.9996906228062201</v>
      </c>
      <c r="AL1693">
        <v>86.984836013195505</v>
      </c>
      <c r="AM1693">
        <v>87.430940478032994</v>
      </c>
      <c r="AN1693">
        <v>0.99999993925911401</v>
      </c>
    </row>
    <row r="1694" spans="1:40" x14ac:dyDescent="0.25">
      <c r="A1694" t="str">
        <f>"20190312154541926"</f>
        <v>20190312154541926</v>
      </c>
      <c r="B1694" t="str">
        <f>"1552376741917837"</f>
        <v>1552376741917837</v>
      </c>
      <c r="C1694" t="s">
        <v>40</v>
      </c>
      <c r="D1694">
        <v>4.0852329999999997</v>
      </c>
      <c r="E1694">
        <v>0.4823694</v>
      </c>
      <c r="F1694" t="s">
        <v>44</v>
      </c>
      <c r="G1694">
        <v>0</v>
      </c>
      <c r="H1694">
        <v>0</v>
      </c>
      <c r="I1694">
        <v>0</v>
      </c>
      <c r="J1694">
        <v>-316.22039999999998</v>
      </c>
      <c r="K1694">
        <v>1.110093</v>
      </c>
      <c r="L1694">
        <v>283.16219999999998</v>
      </c>
      <c r="M1694">
        <v>-0.99987380000000003</v>
      </c>
      <c r="N1694">
        <v>0</v>
      </c>
      <c r="O1694">
        <v>6.717415E-3</v>
      </c>
      <c r="P1694">
        <v>-0.99791909999999895</v>
      </c>
      <c r="Q1694">
        <v>3.7819940000000003E-2</v>
      </c>
      <c r="R1694">
        <v>5.2222980000000002E-2</v>
      </c>
      <c r="S1694">
        <v>-3.001709</v>
      </c>
      <c r="T1694">
        <v>9.2760090000000003E-2</v>
      </c>
      <c r="U1694">
        <v>1.8066410000000001E-2</v>
      </c>
      <c r="V1694">
        <v>4.5503960000000003E-2</v>
      </c>
      <c r="W1694">
        <v>5.219977E-2</v>
      </c>
      <c r="X1694">
        <v>0.99759940000000003</v>
      </c>
      <c r="Y1694">
        <v>-6.9598789999999902E-4</v>
      </c>
      <c r="Z1694">
        <v>2.1830349999999999E-4</v>
      </c>
      <c r="AA1694">
        <v>0.99999979999999999</v>
      </c>
      <c r="AB1694">
        <v>32</v>
      </c>
      <c r="AC1694">
        <v>-3.001709</v>
      </c>
      <c r="AD1694">
        <v>9.2760090000000003E-2</v>
      </c>
      <c r="AE1694">
        <v>1.8066410000000001E-2</v>
      </c>
      <c r="AF1694">
        <v>-2.09780940711673E-3</v>
      </c>
      <c r="AG1694">
        <v>9.2760090000000003E-2</v>
      </c>
      <c r="AH1694">
        <v>2.9988989087468001</v>
      </c>
      <c r="AI1694">
        <v>88.228327618805594</v>
      </c>
      <c r="AJ1694">
        <v>90.040079912428695</v>
      </c>
      <c r="AK1694">
        <v>3.0003338980826602</v>
      </c>
      <c r="AL1694">
        <v>87.007813561218796</v>
      </c>
      <c r="AM1694">
        <v>87.388351522581402</v>
      </c>
      <c r="AN1694">
        <v>0.99999999462204703</v>
      </c>
    </row>
    <row r="1695" spans="1:40" x14ac:dyDescent="0.25">
      <c r="A1695" t="str">
        <f>"20190312154541948"</f>
        <v>20190312154541948</v>
      </c>
      <c r="B1695" t="str">
        <f>"1552376741937864"</f>
        <v>1552376741937864</v>
      </c>
      <c r="C1695" t="s">
        <v>40</v>
      </c>
      <c r="D1695">
        <v>4.0918289999999997</v>
      </c>
      <c r="E1695">
        <v>0.48198540000000001</v>
      </c>
      <c r="F1695" t="s">
        <v>44</v>
      </c>
      <c r="G1695">
        <v>0</v>
      </c>
      <c r="H1695">
        <v>0</v>
      </c>
      <c r="I1695">
        <v>0</v>
      </c>
      <c r="J1695">
        <v>-316.53460000000001</v>
      </c>
      <c r="K1695">
        <v>1.110093</v>
      </c>
      <c r="L1695">
        <v>283.16419999999999</v>
      </c>
      <c r="M1695">
        <v>-0.99987490000000001</v>
      </c>
      <c r="N1695">
        <v>0</v>
      </c>
      <c r="O1695">
        <v>6.5754740000000004E-3</v>
      </c>
      <c r="P1695">
        <v>-0.99785919999999895</v>
      </c>
      <c r="Q1695">
        <v>3.8301509999999997E-2</v>
      </c>
      <c r="R1695">
        <v>5.3011179999999998E-2</v>
      </c>
      <c r="S1695">
        <v>-3.0019840000000002</v>
      </c>
      <c r="T1695">
        <v>9.1595889999999999E-2</v>
      </c>
      <c r="U1695">
        <v>1.531982E-2</v>
      </c>
      <c r="V1695">
        <v>4.6434099999999999E-2</v>
      </c>
      <c r="W1695">
        <v>5.267691E-2</v>
      </c>
      <c r="X1695">
        <v>0.99753150000000002</v>
      </c>
      <c r="Y1695">
        <v>-1.469267E-3</v>
      </c>
      <c r="Z1695">
        <v>2.2300999999999999E-4</v>
      </c>
      <c r="AA1695">
        <v>0.99999890000000002</v>
      </c>
      <c r="AB1695">
        <v>32</v>
      </c>
      <c r="AC1695">
        <v>-3.0019840000000002</v>
      </c>
      <c r="AD1695">
        <v>9.1595889999999999E-2</v>
      </c>
      <c r="AE1695">
        <v>1.531982E-2</v>
      </c>
      <c r="AF1695">
        <v>-4.41790900744522E-3</v>
      </c>
      <c r="AG1695">
        <v>9.1595889999999999E-2</v>
      </c>
      <c r="AH1695">
        <v>2.99922771782696</v>
      </c>
      <c r="AI1695">
        <v>88.250742508499798</v>
      </c>
      <c r="AJ1695">
        <v>90.084397512005694</v>
      </c>
      <c r="AK1695">
        <v>3.00062930539019</v>
      </c>
      <c r="AL1695">
        <v>86.980437919069004</v>
      </c>
      <c r="AM1695">
        <v>87.334862240985203</v>
      </c>
      <c r="AN1695">
        <v>1.0000000379911</v>
      </c>
    </row>
    <row r="1696" spans="1:40" x14ac:dyDescent="0.25">
      <c r="A1696" t="str">
        <f>"20190312154541971"</f>
        <v>20190312154541971</v>
      </c>
      <c r="B1696" t="str">
        <f>"1552376741958360"</f>
        <v>1552376741958360</v>
      </c>
      <c r="C1696" t="s">
        <v>40</v>
      </c>
      <c r="D1696">
        <v>4.1385100000000001</v>
      </c>
      <c r="E1696">
        <v>0.48171350000000002</v>
      </c>
      <c r="F1696" t="s">
        <v>44</v>
      </c>
      <c r="G1696">
        <v>0</v>
      </c>
      <c r="H1696">
        <v>0</v>
      </c>
      <c r="I1696">
        <v>0</v>
      </c>
      <c r="J1696">
        <v>-316.85860000000002</v>
      </c>
      <c r="K1696">
        <v>1.1100969999999999</v>
      </c>
      <c r="L1696">
        <v>283.16609999999997</v>
      </c>
      <c r="M1696">
        <v>-0.99987579999999998</v>
      </c>
      <c r="N1696">
        <v>0</v>
      </c>
      <c r="O1696">
        <v>6.4294829999999997E-3</v>
      </c>
      <c r="P1696">
        <v>-0.99783770000000005</v>
      </c>
      <c r="Q1696">
        <v>3.8462830000000003E-2</v>
      </c>
      <c r="R1696">
        <v>5.3299989999999998E-2</v>
      </c>
      <c r="S1696">
        <v>-3.002167</v>
      </c>
      <c r="T1696">
        <v>9.1554759999999999E-2</v>
      </c>
      <c r="U1696">
        <v>1.4495849999999999E-2</v>
      </c>
      <c r="V1696">
        <v>4.6868890000000003E-2</v>
      </c>
      <c r="W1696">
        <v>5.2834520000000003E-2</v>
      </c>
      <c r="X1696">
        <v>0.99750280000000002</v>
      </c>
      <c r="Y1696">
        <v>-1.598035E-3</v>
      </c>
      <c r="Z1696">
        <v>2.2040800000000001E-4</v>
      </c>
      <c r="AA1696">
        <v>0.99999870000000002</v>
      </c>
      <c r="AB1696">
        <v>32</v>
      </c>
      <c r="AC1696">
        <v>-3.002167</v>
      </c>
      <c r="AD1696">
        <v>9.1554759999999999E-2</v>
      </c>
      <c r="AE1696">
        <v>1.4495849999999999E-2</v>
      </c>
      <c r="AF1696">
        <v>-4.8043618780965001E-3</v>
      </c>
      <c r="AG1696">
        <v>9.1554759999999999E-2</v>
      </c>
      <c r="AH1696">
        <v>2.99940870056682</v>
      </c>
      <c r="AI1696">
        <v>88.251633285525799</v>
      </c>
      <c r="AJ1696">
        <v>90.091774563233102</v>
      </c>
      <c r="AK1696">
        <v>3.0008095422748302</v>
      </c>
      <c r="AL1696">
        <v>86.971394846887193</v>
      </c>
      <c r="AM1696">
        <v>87.309866179677101</v>
      </c>
      <c r="AN1696">
        <v>1.0000000076806499</v>
      </c>
    </row>
    <row r="1697" spans="1:40" x14ac:dyDescent="0.25">
      <c r="A1697" t="str">
        <f>"20190312154541993"</f>
        <v>20190312154541993</v>
      </c>
      <c r="B1697" t="str">
        <f>"1552376741988616"</f>
        <v>1552376741988616</v>
      </c>
      <c r="C1697" t="s">
        <v>40</v>
      </c>
      <c r="D1697">
        <v>4.14452</v>
      </c>
      <c r="E1697">
        <v>0.45970929999999999</v>
      </c>
      <c r="F1697" t="s">
        <v>44</v>
      </c>
      <c r="G1697">
        <v>0</v>
      </c>
      <c r="H1697">
        <v>0</v>
      </c>
      <c r="I1697">
        <v>0</v>
      </c>
      <c r="J1697">
        <v>-317.17160000000001</v>
      </c>
      <c r="K1697">
        <v>1.1100969999999999</v>
      </c>
      <c r="L1697">
        <v>283.16800000000001</v>
      </c>
      <c r="M1697">
        <v>-0.99987689999999996</v>
      </c>
      <c r="N1697">
        <v>0</v>
      </c>
      <c r="O1697">
        <v>6.2878419999999897E-3</v>
      </c>
      <c r="P1697">
        <v>-0.99782320000000002</v>
      </c>
      <c r="Q1697">
        <v>3.893804E-2</v>
      </c>
      <c r="R1697">
        <v>5.3226589999999997E-2</v>
      </c>
      <c r="S1697">
        <v>-3.0022579999999999</v>
      </c>
      <c r="T1697">
        <v>9.1997499999999996E-2</v>
      </c>
      <c r="U1697">
        <v>1.3275149999999999E-2</v>
      </c>
      <c r="V1697">
        <v>4.6936859999999997E-2</v>
      </c>
      <c r="W1697">
        <v>5.3306409999999999E-2</v>
      </c>
      <c r="X1697">
        <v>0.99747450000000004</v>
      </c>
      <c r="Y1697">
        <v>-1.863015E-3</v>
      </c>
      <c r="Z1697">
        <v>2.2118619999999999E-4</v>
      </c>
      <c r="AA1697">
        <v>0.99999819999999995</v>
      </c>
      <c r="AB1697">
        <v>32</v>
      </c>
      <c r="AC1697">
        <v>-3.0022579999999999</v>
      </c>
      <c r="AD1697">
        <v>9.1997499999999996E-2</v>
      </c>
      <c r="AE1697">
        <v>1.3275149999999999E-2</v>
      </c>
      <c r="AF1697">
        <v>-5.5995295172002798E-3</v>
      </c>
      <c r="AG1697">
        <v>9.1997499999999996E-2</v>
      </c>
      <c r="AH1697">
        <v>2.99946573649656</v>
      </c>
      <c r="AI1697">
        <v>88.243218021696705</v>
      </c>
      <c r="AJ1697">
        <v>90.106962060604303</v>
      </c>
      <c r="AK1697">
        <v>3.0008814703606501</v>
      </c>
      <c r="AL1697">
        <v>86.944319393482402</v>
      </c>
      <c r="AM1697">
        <v>87.305894327324793</v>
      </c>
      <c r="AN1697">
        <v>1.0000000101619899</v>
      </c>
    </row>
    <row r="1698" spans="1:40" x14ac:dyDescent="0.25">
      <c r="A1698" t="str">
        <f>"20190312154542014"</f>
        <v>20190312154542014</v>
      </c>
      <c r="B1698" t="str">
        <f>"1552376742008136"</f>
        <v>1552376742008136</v>
      </c>
      <c r="C1698" t="s">
        <v>40</v>
      </c>
      <c r="D1698">
        <v>4.1417979999999996</v>
      </c>
      <c r="E1698">
        <v>0.45478439999999998</v>
      </c>
      <c r="F1698" t="s">
        <v>58</v>
      </c>
      <c r="G1698">
        <v>-511.07600000000002</v>
      </c>
      <c r="H1698">
        <v>6.7707269999999999</v>
      </c>
      <c r="I1698">
        <v>272.71539999999999</v>
      </c>
      <c r="J1698">
        <v>-317.47129999999999</v>
      </c>
      <c r="K1698">
        <v>1.1101019999999999</v>
      </c>
      <c r="L1698">
        <v>283.16969999999998</v>
      </c>
      <c r="M1698">
        <v>-0.99987780000000004</v>
      </c>
      <c r="N1698">
        <v>0</v>
      </c>
      <c r="O1698">
        <v>6.1525750000000004E-3</v>
      </c>
      <c r="P1698">
        <v>-0.99782340000000003</v>
      </c>
      <c r="Q1698">
        <v>3.9221800000000001E-2</v>
      </c>
      <c r="R1698">
        <v>5.3011839999999998E-2</v>
      </c>
      <c r="S1698">
        <v>-3.0118100000000001</v>
      </c>
      <c r="T1698">
        <v>8.7924600000000006E-2</v>
      </c>
      <c r="U1698">
        <v>-0.16235350000000001</v>
      </c>
      <c r="V1698">
        <v>4.6856990000000001E-2</v>
      </c>
      <c r="W1698">
        <v>5.3586389999999998E-2</v>
      </c>
      <c r="X1698">
        <v>0.99746319999999999</v>
      </c>
      <c r="Y1698">
        <v>-5.9942670000000003E-2</v>
      </c>
      <c r="Z1698">
        <v>1.0536110000000001E-3</v>
      </c>
      <c r="AA1698">
        <v>0.99820129999999996</v>
      </c>
      <c r="AB1698">
        <v>32</v>
      </c>
      <c r="AC1698">
        <v>-193.60470000000001</v>
      </c>
      <c r="AD1698">
        <v>5.6606249999999996</v>
      </c>
      <c r="AE1698">
        <v>-10.4542999999999</v>
      </c>
      <c r="AF1698">
        <v>-11.6354747215013</v>
      </c>
      <c r="AG1698">
        <v>5.6606249999999996</v>
      </c>
      <c r="AH1698">
        <v>193.37188128641299</v>
      </c>
      <c r="AI1698">
        <v>88.326270192409297</v>
      </c>
      <c r="AJ1698">
        <v>93.443420817472202</v>
      </c>
      <c r="AK1698">
        <v>193.80431218017799</v>
      </c>
      <c r="AL1698">
        <v>86.928254597016306</v>
      </c>
      <c r="AM1698">
        <v>87.310441584661802</v>
      </c>
      <c r="AN1698">
        <v>0.99999995702966504</v>
      </c>
    </row>
    <row r="1699" spans="1:40" x14ac:dyDescent="0.25">
      <c r="A1699" t="str">
        <f>"20190312154542037"</f>
        <v>20190312154542037</v>
      </c>
      <c r="B1699" t="str">
        <f>"1552376742028633"</f>
        <v>1552376742028633</v>
      </c>
      <c r="C1699" t="s">
        <v>40</v>
      </c>
      <c r="D1699">
        <v>4.1994610000000003</v>
      </c>
      <c r="E1699">
        <v>0.45282289999999997</v>
      </c>
      <c r="F1699" t="s">
        <v>58</v>
      </c>
      <c r="G1699">
        <v>-511.07560000000001</v>
      </c>
      <c r="H1699">
        <v>5.7840129999999998</v>
      </c>
      <c r="I1699">
        <v>270.12580000000003</v>
      </c>
      <c r="J1699">
        <v>-317.78429999999997</v>
      </c>
      <c r="K1699">
        <v>1.1101000000000001</v>
      </c>
      <c r="L1699">
        <v>283.17149999999998</v>
      </c>
      <c r="M1699">
        <v>-0.99987859999999995</v>
      </c>
      <c r="N1699">
        <v>0</v>
      </c>
      <c r="O1699">
        <v>6.011288E-3</v>
      </c>
      <c r="P1699">
        <v>-0.99780429999999998</v>
      </c>
      <c r="Q1699">
        <v>3.9270029999999997E-2</v>
      </c>
      <c r="R1699">
        <v>5.333413E-2</v>
      </c>
      <c r="S1699">
        <v>-3.0144350000000002</v>
      </c>
      <c r="T1699">
        <v>7.2774290000000005E-2</v>
      </c>
      <c r="U1699">
        <v>-0.20309450000000001</v>
      </c>
      <c r="V1699">
        <v>4.732053E-2</v>
      </c>
      <c r="W1699">
        <v>5.3631129999999999E-2</v>
      </c>
      <c r="X1699">
        <v>0.99743899999999996</v>
      </c>
      <c r="Y1699">
        <v>-7.3195730000000001E-2</v>
      </c>
      <c r="Z1699">
        <v>1.0273750000000001E-3</v>
      </c>
      <c r="AA1699">
        <v>0.99731709999999996</v>
      </c>
      <c r="AB1699">
        <v>32</v>
      </c>
      <c r="AC1699">
        <v>-193.29130000000001</v>
      </c>
      <c r="AD1699">
        <v>4.6739129999999998</v>
      </c>
      <c r="AE1699">
        <v>-13.045699999999901</v>
      </c>
      <c r="AF1699">
        <v>-14.1992492681218</v>
      </c>
      <c r="AG1699">
        <v>4.6739129999999998</v>
      </c>
      <c r="AH1699">
        <v>193.09698458296199</v>
      </c>
      <c r="AI1699">
        <v>88.617158476865995</v>
      </c>
      <c r="AJ1699">
        <v>94.205634884503894</v>
      </c>
      <c r="AK1699">
        <v>193.67475209108301</v>
      </c>
      <c r="AL1699">
        <v>86.925687762038706</v>
      </c>
      <c r="AM1699">
        <v>87.283808562134794</v>
      </c>
      <c r="AN1699">
        <v>1.0000000446927699</v>
      </c>
    </row>
    <row r="1700" spans="1:40" x14ac:dyDescent="0.25">
      <c r="A1700" t="str">
        <f>"20190312154542059"</f>
        <v>20190312154542059</v>
      </c>
      <c r="B1700" t="str">
        <f>"1552376742048152"</f>
        <v>1552376742048152</v>
      </c>
      <c r="C1700" t="s">
        <v>40</v>
      </c>
      <c r="D1700">
        <v>4.1971100000000003</v>
      </c>
      <c r="E1700">
        <v>0.45181060000000001</v>
      </c>
      <c r="F1700" t="s">
        <v>58</v>
      </c>
      <c r="G1700">
        <v>-512.82690000000002</v>
      </c>
      <c r="H1700">
        <v>5.1925290000000004</v>
      </c>
      <c r="I1700">
        <v>269.05380000000002</v>
      </c>
      <c r="J1700">
        <v>-318.10399999999998</v>
      </c>
      <c r="K1700">
        <v>1.1100989999999999</v>
      </c>
      <c r="L1700">
        <v>283.17329999999998</v>
      </c>
      <c r="M1700">
        <v>-0.99987950000000003</v>
      </c>
      <c r="N1700">
        <v>0</v>
      </c>
      <c r="O1700">
        <v>5.8667880000000004E-3</v>
      </c>
      <c r="P1700">
        <v>-0.99778909999999998</v>
      </c>
      <c r="Q1700">
        <v>3.9499159999999998E-2</v>
      </c>
      <c r="R1700">
        <v>5.3450079999999997E-2</v>
      </c>
      <c r="S1700">
        <v>-3.0158079999999998</v>
      </c>
      <c r="T1700">
        <v>6.3124899999999998E-2</v>
      </c>
      <c r="U1700">
        <v>-0.21829219999999999</v>
      </c>
      <c r="V1700">
        <v>4.7580799999999999E-2</v>
      </c>
      <c r="W1700">
        <v>5.3856359999999999E-2</v>
      </c>
      <c r="X1700">
        <v>0.99741440000000003</v>
      </c>
      <c r="Y1700">
        <v>-7.8026380000000006E-2</v>
      </c>
      <c r="Z1700">
        <v>9.3808719999999995E-4</v>
      </c>
      <c r="AA1700">
        <v>0.99695089999999997</v>
      </c>
      <c r="AB1700">
        <v>31</v>
      </c>
      <c r="AC1700">
        <v>-194.72290000000001</v>
      </c>
      <c r="AD1700">
        <v>4.0824299999999996</v>
      </c>
      <c r="AE1700">
        <v>-14.119499999999899</v>
      </c>
      <c r="AF1700">
        <v>-15.255102703791801</v>
      </c>
      <c r="AG1700">
        <v>4.0824299999999996</v>
      </c>
      <c r="AH1700">
        <v>194.551636553766</v>
      </c>
      <c r="AI1700">
        <v>88.801571484662503</v>
      </c>
      <c r="AJ1700">
        <v>94.483479347724597</v>
      </c>
      <c r="AK1700">
        <v>195.191505140354</v>
      </c>
      <c r="AL1700">
        <v>86.912764103330005</v>
      </c>
      <c r="AM1700">
        <v>87.268824402678106</v>
      </c>
      <c r="AN1700">
        <v>0.99999996268422398</v>
      </c>
    </row>
    <row r="1701" spans="1:40" x14ac:dyDescent="0.25">
      <c r="A1701" t="str">
        <f>"20190312154542081"</f>
        <v>20190312154542081</v>
      </c>
      <c r="B1701" t="str">
        <f>"1552376742068648"</f>
        <v>1552376742068648</v>
      </c>
      <c r="C1701" t="s">
        <v>40</v>
      </c>
      <c r="D1701">
        <v>4.2303730000000002</v>
      </c>
      <c r="E1701">
        <v>0.45135120000000001</v>
      </c>
      <c r="F1701" t="s">
        <v>58</v>
      </c>
      <c r="G1701">
        <v>-512.82669999999996</v>
      </c>
      <c r="H1701">
        <v>4.7555379999999996</v>
      </c>
      <c r="I1701">
        <v>268.56990000000002</v>
      </c>
      <c r="J1701">
        <v>-318.40379999999999</v>
      </c>
      <c r="K1701">
        <v>1.1100969999999999</v>
      </c>
      <c r="L1701">
        <v>283.17489999999998</v>
      </c>
      <c r="M1701">
        <v>-0.99988030000000006</v>
      </c>
      <c r="N1701">
        <v>0</v>
      </c>
      <c r="O1701">
        <v>5.7318150000000003E-3</v>
      </c>
      <c r="P1701">
        <v>-0.99777729999999998</v>
      </c>
      <c r="Q1701">
        <v>3.8962669999999998E-2</v>
      </c>
      <c r="R1701">
        <v>5.405567E-2</v>
      </c>
      <c r="S1701">
        <v>-3.0165410000000001</v>
      </c>
      <c r="T1701">
        <v>5.6474330000000003E-2</v>
      </c>
      <c r="U1701">
        <v>-0.22622680000000001</v>
      </c>
      <c r="V1701">
        <v>4.8321019999999999E-2</v>
      </c>
      <c r="W1701">
        <v>5.3316879999999997E-2</v>
      </c>
      <c r="X1701">
        <v>0.99740790000000001</v>
      </c>
      <c r="Y1701">
        <v>-8.0485550000000003E-2</v>
      </c>
      <c r="Z1701">
        <v>8.5945049999999995E-4</v>
      </c>
      <c r="AA1701">
        <v>0.99675539999999996</v>
      </c>
      <c r="AB1701">
        <v>31</v>
      </c>
      <c r="AC1701">
        <v>-194.4229</v>
      </c>
      <c r="AD1701">
        <v>3.6454409999999999</v>
      </c>
      <c r="AE1701">
        <v>-14.604999999999899</v>
      </c>
      <c r="AF1701">
        <v>-15.7137778148488</v>
      </c>
      <c r="AG1701">
        <v>3.6454409999999999</v>
      </c>
      <c r="AH1701">
        <v>194.268069190407</v>
      </c>
      <c r="AI1701">
        <v>88.928469493632804</v>
      </c>
      <c r="AJ1701">
        <v>94.624420690064198</v>
      </c>
      <c r="AK1701">
        <v>194.936642938848</v>
      </c>
      <c r="AL1701">
        <v>86.943718819599795</v>
      </c>
      <c r="AM1701">
        <v>87.226382982286907</v>
      </c>
      <c r="AN1701">
        <v>1.0000000648245899</v>
      </c>
    </row>
    <row r="1702" spans="1:40" x14ac:dyDescent="0.25">
      <c r="A1702" t="str">
        <f>"20190312154542102"</f>
        <v>20190312154542102</v>
      </c>
      <c r="B1702" t="str">
        <f>"1552376742097928"</f>
        <v>1552376742097928</v>
      </c>
      <c r="C1702" t="s">
        <v>40</v>
      </c>
      <c r="D1702">
        <v>4.2846570000000002</v>
      </c>
      <c r="E1702">
        <v>0.45083970000000001</v>
      </c>
      <c r="F1702" t="s">
        <v>58</v>
      </c>
      <c r="G1702">
        <v>-512.82659999999998</v>
      </c>
      <c r="H1702">
        <v>4.3414900000000003</v>
      </c>
      <c r="I1702">
        <v>268.47489999999999</v>
      </c>
      <c r="J1702">
        <v>-318.70330000000001</v>
      </c>
      <c r="K1702">
        <v>1.110096</v>
      </c>
      <c r="L1702">
        <v>283.17649999999998</v>
      </c>
      <c r="M1702">
        <v>-0.99988109999999997</v>
      </c>
      <c r="N1702">
        <v>0</v>
      </c>
      <c r="O1702">
        <v>5.5967259999999998E-3</v>
      </c>
      <c r="P1702">
        <v>-0.99775130000000001</v>
      </c>
      <c r="Q1702">
        <v>3.8435869999999997E-2</v>
      </c>
      <c r="R1702">
        <v>5.4913169999999997E-2</v>
      </c>
      <c r="S1702">
        <v>-3.0171199999999998</v>
      </c>
      <c r="T1702">
        <v>5.014706E-2</v>
      </c>
      <c r="U1702">
        <v>-0.22811890000000001</v>
      </c>
      <c r="V1702">
        <v>4.9314049999999998E-2</v>
      </c>
      <c r="W1702">
        <v>5.2786439999999997E-2</v>
      </c>
      <c r="X1702">
        <v>0.99738749999999998</v>
      </c>
      <c r="Y1702">
        <v>-8.0961270000000002E-2</v>
      </c>
      <c r="Z1702">
        <v>7.6471429999999902E-4</v>
      </c>
      <c r="AA1702">
        <v>0.99671699999999996</v>
      </c>
      <c r="AB1702">
        <v>31</v>
      </c>
      <c r="AC1702">
        <v>-194.1233</v>
      </c>
      <c r="AD1702">
        <v>3.2313939999999999</v>
      </c>
      <c r="AE1702">
        <v>-14.7015999999999</v>
      </c>
      <c r="AF1702">
        <v>-15.783588223028</v>
      </c>
      <c r="AG1702">
        <v>3.2313939999999999</v>
      </c>
      <c r="AH1702">
        <v>193.984524643941</v>
      </c>
      <c r="AI1702">
        <v>89.048798078216294</v>
      </c>
      <c r="AJ1702">
        <v>94.651635133910801</v>
      </c>
      <c r="AK1702">
        <v>194.65240652432999</v>
      </c>
      <c r="AL1702">
        <v>86.974153619164397</v>
      </c>
      <c r="AM1702">
        <v>87.169417220830297</v>
      </c>
      <c r="AN1702">
        <v>1.0000000544657599</v>
      </c>
    </row>
    <row r="1703" spans="1:40" x14ac:dyDescent="0.25">
      <c r="A1703" t="str">
        <f>"20190312154542127"</f>
        <v>20190312154542127</v>
      </c>
      <c r="B1703" t="str">
        <f>"1552376742118424"</f>
        <v>1552376742118424</v>
      </c>
      <c r="C1703" t="s">
        <v>40</v>
      </c>
      <c r="D1703">
        <v>4.3213980000000003</v>
      </c>
      <c r="E1703">
        <v>0.45064959999999998</v>
      </c>
      <c r="F1703" t="s">
        <v>58</v>
      </c>
      <c r="G1703">
        <v>-512.82650000000001</v>
      </c>
      <c r="H1703">
        <v>4.033029</v>
      </c>
      <c r="I1703">
        <v>268.3938</v>
      </c>
      <c r="J1703">
        <v>-319.04239999999999</v>
      </c>
      <c r="K1703">
        <v>1.110096</v>
      </c>
      <c r="L1703">
        <v>283.1782</v>
      </c>
      <c r="M1703">
        <v>-0.9998821</v>
      </c>
      <c r="N1703">
        <v>0</v>
      </c>
      <c r="O1703">
        <v>5.4437649999999997E-3</v>
      </c>
      <c r="P1703">
        <v>-0.99773109999999998</v>
      </c>
      <c r="Q1703">
        <v>3.8143700000000003E-2</v>
      </c>
      <c r="R1703">
        <v>5.5481450000000002E-2</v>
      </c>
      <c r="S1703">
        <v>-3.0176699999999999</v>
      </c>
      <c r="T1703">
        <v>4.5438529999999998E-2</v>
      </c>
      <c r="U1703">
        <v>-0.22979740000000001</v>
      </c>
      <c r="V1703">
        <v>5.0035209999999997E-2</v>
      </c>
      <c r="W1703">
        <v>5.2490240000000001E-2</v>
      </c>
      <c r="X1703">
        <v>0.99736709999999995</v>
      </c>
      <c r="Y1703">
        <v>-8.1348489999999996E-2</v>
      </c>
      <c r="Z1703">
        <v>6.9339079999999995E-4</v>
      </c>
      <c r="AA1703">
        <v>0.9966855</v>
      </c>
      <c r="AB1703">
        <v>31</v>
      </c>
      <c r="AC1703">
        <v>-193.7841</v>
      </c>
      <c r="AD1703">
        <v>2.922933</v>
      </c>
      <c r="AE1703">
        <v>-14.7844</v>
      </c>
      <c r="AF1703">
        <v>-15.835622821276401</v>
      </c>
      <c r="AG1703">
        <v>2.922933</v>
      </c>
      <c r="AH1703">
        <v>193.65693291779499</v>
      </c>
      <c r="AI1703">
        <v>89.138156229275495</v>
      </c>
      <c r="AJ1703">
        <v>94.674762412665402</v>
      </c>
      <c r="AK1703">
        <v>194.325289539441</v>
      </c>
      <c r="AL1703">
        <v>86.991147843573501</v>
      </c>
      <c r="AM1703">
        <v>87.128033432816807</v>
      </c>
      <c r="AN1703">
        <v>0.99999993984870394</v>
      </c>
    </row>
    <row r="1704" spans="1:40" x14ac:dyDescent="0.25">
      <c r="A1704" t="str">
        <f>"20190312154542148"</f>
        <v>20190312154542148</v>
      </c>
      <c r="B1704" t="str">
        <f>"1552376742137944"</f>
        <v>1552376742137944</v>
      </c>
      <c r="C1704" t="s">
        <v>40</v>
      </c>
      <c r="D1704">
        <v>4.3073639999999997</v>
      </c>
      <c r="E1704">
        <v>0.45058890000000001</v>
      </c>
      <c r="F1704" t="s">
        <v>58</v>
      </c>
      <c r="G1704">
        <v>-512.82640000000004</v>
      </c>
      <c r="H1704">
        <v>3.7009020000000001</v>
      </c>
      <c r="I1704">
        <v>268.42140000000001</v>
      </c>
      <c r="J1704">
        <v>-319.3501</v>
      </c>
      <c r="K1704">
        <v>1.1100950000000001</v>
      </c>
      <c r="L1704">
        <v>283.17970000000003</v>
      </c>
      <c r="M1704">
        <v>-0.99988290000000002</v>
      </c>
      <c r="N1704">
        <v>0</v>
      </c>
      <c r="O1704">
        <v>5.3045660000000001E-3</v>
      </c>
      <c r="P1704">
        <v>-0.9977279</v>
      </c>
      <c r="Q1704">
        <v>3.7706009999999998E-2</v>
      </c>
      <c r="R1704">
        <v>5.5834229999999999E-2</v>
      </c>
      <c r="S1704">
        <v>-3.0180660000000001</v>
      </c>
      <c r="T1704">
        <v>4.0351390000000001E-2</v>
      </c>
      <c r="U1704">
        <v>-0.2298279</v>
      </c>
      <c r="V1704">
        <v>5.0526979999999999E-2</v>
      </c>
      <c r="W1704">
        <v>5.2048820000000003E-2</v>
      </c>
      <c r="X1704">
        <v>0.99736550000000002</v>
      </c>
      <c r="Y1704">
        <v>-8.1211920000000007E-2</v>
      </c>
      <c r="Z1704">
        <v>6.1291739999999996E-4</v>
      </c>
      <c r="AA1704">
        <v>0.99669669999999999</v>
      </c>
      <c r="AB1704">
        <v>31</v>
      </c>
      <c r="AC1704">
        <v>-193.47630000000001</v>
      </c>
      <c r="AD1704">
        <v>2.5908069999999999</v>
      </c>
      <c r="AE1704">
        <v>-14.7583</v>
      </c>
      <c r="AF1704">
        <v>-15.781692361307099</v>
      </c>
      <c r="AG1704">
        <v>2.5908069999999999</v>
      </c>
      <c r="AH1704">
        <v>193.36081116412899</v>
      </c>
      <c r="AI1704">
        <v>89.234893844821102</v>
      </c>
      <c r="AJ1704">
        <v>94.666015443481896</v>
      </c>
      <c r="AK1704">
        <v>194.02107459950901</v>
      </c>
      <c r="AL1704">
        <v>87.016474142358604</v>
      </c>
      <c r="AM1704">
        <v>87.099849680734195</v>
      </c>
      <c r="AN1704">
        <v>0.99999999798078099</v>
      </c>
    </row>
    <row r="1705" spans="1:40" x14ac:dyDescent="0.25">
      <c r="A1705" t="str">
        <f>"20190312154542172"</f>
        <v>20190312154542172</v>
      </c>
      <c r="B1705" t="str">
        <f>"1552376742168200"</f>
        <v>1552376742168200</v>
      </c>
      <c r="C1705" t="s">
        <v>40</v>
      </c>
      <c r="D1705">
        <v>4.3493389999999996</v>
      </c>
      <c r="E1705">
        <v>0.45027790000000001</v>
      </c>
      <c r="F1705" t="s">
        <v>58</v>
      </c>
      <c r="G1705">
        <v>-512.82629999999995</v>
      </c>
      <c r="H1705">
        <v>3.4732829999999999</v>
      </c>
      <c r="I1705">
        <v>268.48430000000002</v>
      </c>
      <c r="J1705">
        <v>-319.66879999999998</v>
      </c>
      <c r="K1705">
        <v>1.1100939999999999</v>
      </c>
      <c r="L1705">
        <v>283.18119999999999</v>
      </c>
      <c r="M1705">
        <v>-0.99988370000000004</v>
      </c>
      <c r="N1705">
        <v>0</v>
      </c>
      <c r="O1705">
        <v>5.1607170000000004E-3</v>
      </c>
      <c r="P1705">
        <v>-0.99771399999999999</v>
      </c>
      <c r="Q1705">
        <v>3.7848229999999997E-2</v>
      </c>
      <c r="R1705">
        <v>5.5986710000000002E-2</v>
      </c>
      <c r="S1705">
        <v>-3.0182190000000002</v>
      </c>
      <c r="T1705">
        <v>3.6866780000000002E-2</v>
      </c>
      <c r="U1705">
        <v>-0.22924800000000001</v>
      </c>
      <c r="V1705">
        <v>5.082325E-2</v>
      </c>
      <c r="W1705">
        <v>5.2187400000000002E-2</v>
      </c>
      <c r="X1705">
        <v>0.99734319999999999</v>
      </c>
      <c r="Y1705">
        <v>-8.0875630000000004E-2</v>
      </c>
      <c r="Z1705">
        <v>5.5616230000000001E-4</v>
      </c>
      <c r="AA1705">
        <v>0.9967241</v>
      </c>
      <c r="AB1705">
        <v>31</v>
      </c>
      <c r="AC1705">
        <v>-193.1575</v>
      </c>
      <c r="AD1705">
        <v>2.36318899999999</v>
      </c>
      <c r="AE1705">
        <v>-14.6968999999999</v>
      </c>
      <c r="AF1705">
        <v>-15.6913028983902</v>
      </c>
      <c r="AG1705">
        <v>2.36318899999999</v>
      </c>
      <c r="AH1705">
        <v>193.05034280616101</v>
      </c>
      <c r="AI1705">
        <v>89.3009647448593</v>
      </c>
      <c r="AJ1705">
        <v>94.646836450987394</v>
      </c>
      <c r="AK1705">
        <v>193.70141069820599</v>
      </c>
      <c r="AL1705">
        <v>87.008523272579694</v>
      </c>
      <c r="AM1705">
        <v>87.0828085334051</v>
      </c>
      <c r="AN1705">
        <v>0.99999999302278098</v>
      </c>
    </row>
    <row r="1706" spans="1:40" x14ac:dyDescent="0.25">
      <c r="A1706" t="str">
        <f>"20190312154542192"</f>
        <v>20190312154542192</v>
      </c>
      <c r="B1706" t="str">
        <f>"1552376742188696"</f>
        <v>1552376742188696</v>
      </c>
      <c r="C1706" t="s">
        <v>40</v>
      </c>
      <c r="D1706">
        <v>4.3399080000000003</v>
      </c>
      <c r="E1706">
        <v>0.45012869999999999</v>
      </c>
      <c r="F1706" t="s">
        <v>58</v>
      </c>
      <c r="G1706">
        <v>-512.82619999999997</v>
      </c>
      <c r="H1706">
        <v>3.1967400000000001</v>
      </c>
      <c r="I1706">
        <v>268.36739999999998</v>
      </c>
      <c r="J1706">
        <v>-319.9649</v>
      </c>
      <c r="K1706">
        <v>1.1100939999999999</v>
      </c>
      <c r="L1706">
        <v>283.18259999999998</v>
      </c>
      <c r="M1706">
        <v>-0.99988440000000001</v>
      </c>
      <c r="N1706">
        <v>0</v>
      </c>
      <c r="O1706">
        <v>5.0266989999999999E-3</v>
      </c>
      <c r="P1706">
        <v>-0.99774689999999999</v>
      </c>
      <c r="Q1706">
        <v>3.7580780000000001E-2</v>
      </c>
      <c r="R1706">
        <v>5.5575729999999997E-2</v>
      </c>
      <c r="S1706">
        <v>-3.0186160000000002</v>
      </c>
      <c r="T1706">
        <v>3.2610769999999997E-2</v>
      </c>
      <c r="U1706">
        <v>-0.2315063</v>
      </c>
      <c r="V1706">
        <v>5.0545760000000002E-2</v>
      </c>
      <c r="W1706">
        <v>5.1917869999999998E-2</v>
      </c>
      <c r="X1706">
        <v>0.99737140000000002</v>
      </c>
      <c r="Y1706">
        <v>-8.1474859999999996E-2</v>
      </c>
      <c r="Z1706">
        <v>4.9366890000000004E-4</v>
      </c>
      <c r="AA1706">
        <v>0.99667530000000004</v>
      </c>
      <c r="AB1706">
        <v>31</v>
      </c>
      <c r="AC1706">
        <v>-192.8613</v>
      </c>
      <c r="AD1706">
        <v>2.086646</v>
      </c>
      <c r="AE1706">
        <v>-14.815200000000001</v>
      </c>
      <c r="AF1706">
        <v>-15.782731637696401</v>
      </c>
      <c r="AG1706">
        <v>2.086646</v>
      </c>
      <c r="AH1706">
        <v>192.76195140012399</v>
      </c>
      <c r="AI1706">
        <v>89.381866345698398</v>
      </c>
      <c r="AJ1706">
        <v>94.680754052977406</v>
      </c>
      <c r="AK1706">
        <v>193.418247890576</v>
      </c>
      <c r="AL1706">
        <v>87.023987261120894</v>
      </c>
      <c r="AM1706">
        <v>87.098790719575703</v>
      </c>
      <c r="AN1706">
        <v>1.00000002430863</v>
      </c>
    </row>
    <row r="1707" spans="1:40" x14ac:dyDescent="0.25">
      <c r="A1707" t="str">
        <f>"20190312154542216"</f>
        <v>20190312154542216</v>
      </c>
      <c r="B1707" t="str">
        <f>"1552376742208220"</f>
        <v>1552376742208220</v>
      </c>
      <c r="C1707" t="s">
        <v>40</v>
      </c>
      <c r="D1707">
        <v>4.3294779999999999</v>
      </c>
      <c r="E1707">
        <v>0.4499668</v>
      </c>
      <c r="F1707" t="s">
        <v>58</v>
      </c>
      <c r="G1707">
        <v>-512.82619999999997</v>
      </c>
      <c r="H1707">
        <v>3.0335320000000001</v>
      </c>
      <c r="I1707">
        <v>268.22820000000002</v>
      </c>
      <c r="J1707">
        <v>-320.28199999999998</v>
      </c>
      <c r="K1707">
        <v>1.110093</v>
      </c>
      <c r="L1707">
        <v>283.1841</v>
      </c>
      <c r="M1707">
        <v>-0.99988520000000003</v>
      </c>
      <c r="N1707">
        <v>0</v>
      </c>
      <c r="O1707">
        <v>4.883147E-3</v>
      </c>
      <c r="P1707">
        <v>-0.99777229999999995</v>
      </c>
      <c r="Q1707">
        <v>3.7033320000000002E-2</v>
      </c>
      <c r="R1707">
        <v>5.549225E-2</v>
      </c>
      <c r="S1707">
        <v>-3.018707</v>
      </c>
      <c r="T1707">
        <v>3.010726E-2</v>
      </c>
      <c r="U1707">
        <v>-0.23406979999999999</v>
      </c>
      <c r="V1707">
        <v>5.0605869999999997E-2</v>
      </c>
      <c r="W1707">
        <v>5.1367379999999997E-2</v>
      </c>
      <c r="X1707">
        <v>0.99739679999999997</v>
      </c>
      <c r="Y1707">
        <v>-8.2171510000000003E-2</v>
      </c>
      <c r="Z1707">
        <v>4.5778239999999998E-4</v>
      </c>
      <c r="AA1707">
        <v>0.99661809999999995</v>
      </c>
      <c r="AB1707">
        <v>31</v>
      </c>
      <c r="AC1707">
        <v>-192.54419999999999</v>
      </c>
      <c r="AD1707">
        <v>1.9234389999999999</v>
      </c>
      <c r="AE1707">
        <v>-14.9558999999999</v>
      </c>
      <c r="AF1707">
        <v>-15.894463389873099</v>
      </c>
      <c r="AG1707">
        <v>1.9234389999999999</v>
      </c>
      <c r="AH1707">
        <v>192.44977474035599</v>
      </c>
      <c r="AI1707">
        <v>89.429319388116397</v>
      </c>
      <c r="AJ1707">
        <v>94.721353748063805</v>
      </c>
      <c r="AK1707">
        <v>193.11460167903499</v>
      </c>
      <c r="AL1707">
        <v>87.055569995385596</v>
      </c>
      <c r="AM1707">
        <v>87.095420294115897</v>
      </c>
      <c r="AN1707">
        <v>0.99999996922837997</v>
      </c>
    </row>
    <row r="1708" spans="1:40" x14ac:dyDescent="0.25">
      <c r="A1708" t="str">
        <f>"20190312154542237"</f>
        <v>20190312154542237</v>
      </c>
      <c r="B1708" t="str">
        <f>"1552376742228712"</f>
        <v>1552376742228712</v>
      </c>
      <c r="C1708" t="s">
        <v>40</v>
      </c>
      <c r="D1708">
        <v>4.3362100000000003</v>
      </c>
      <c r="E1708">
        <v>0.4498103</v>
      </c>
      <c r="F1708" t="s">
        <v>58</v>
      </c>
      <c r="G1708">
        <v>-512.8261</v>
      </c>
      <c r="H1708">
        <v>2.8083930000000001</v>
      </c>
      <c r="I1708">
        <v>268.1499</v>
      </c>
      <c r="J1708">
        <v>-320.58920000000001</v>
      </c>
      <c r="K1708">
        <v>1.11009</v>
      </c>
      <c r="L1708">
        <v>283.18540000000002</v>
      </c>
      <c r="M1708">
        <v>-0.99988589999999999</v>
      </c>
      <c r="N1708">
        <v>0</v>
      </c>
      <c r="O1708">
        <v>4.7442430000000004E-3</v>
      </c>
      <c r="P1708">
        <v>-0.99777190000000004</v>
      </c>
      <c r="Q1708">
        <v>3.684457E-2</v>
      </c>
      <c r="R1708">
        <v>5.562077E-2</v>
      </c>
      <c r="S1708">
        <v>-3.0188600000000001</v>
      </c>
      <c r="T1708">
        <v>2.6628490000000001E-2</v>
      </c>
      <c r="U1708">
        <v>-0.23571780000000001</v>
      </c>
      <c r="V1708">
        <v>5.0872840000000003E-2</v>
      </c>
      <c r="W1708">
        <v>5.1175949999999998E-2</v>
      </c>
      <c r="X1708">
        <v>0.99739310000000003</v>
      </c>
      <c r="Y1708">
        <v>-8.2570859999999996E-2</v>
      </c>
      <c r="Z1708">
        <v>4.0539580000000002E-4</v>
      </c>
      <c r="AA1708">
        <v>0.9965851</v>
      </c>
      <c r="AB1708">
        <v>31</v>
      </c>
      <c r="AC1708">
        <v>-192.23689999999999</v>
      </c>
      <c r="AD1708">
        <v>1.6983029999999999</v>
      </c>
      <c r="AE1708">
        <v>-15.035500000000001</v>
      </c>
      <c r="AF1708">
        <v>-15.946206140859401</v>
      </c>
      <c r="AG1708">
        <v>1.6983029999999999</v>
      </c>
      <c r="AH1708">
        <v>192.14849126796699</v>
      </c>
      <c r="AI1708">
        <v>89.495339636933906</v>
      </c>
      <c r="AJ1708">
        <v>94.744046866397397</v>
      </c>
      <c r="AK1708">
        <v>192.81651490451401</v>
      </c>
      <c r="AL1708">
        <v>87.066552690892095</v>
      </c>
      <c r="AM1708">
        <v>87.080112890412494</v>
      </c>
      <c r="AN1708">
        <v>1.0000000098178301</v>
      </c>
    </row>
    <row r="1709" spans="1:40" x14ac:dyDescent="0.25">
      <c r="A1709" t="str">
        <f>"20190312154542260"</f>
        <v>20190312154542260</v>
      </c>
      <c r="B1709" t="str">
        <f>"1552376742257992"</f>
        <v>1552376742257992</v>
      </c>
      <c r="C1709" t="s">
        <v>40</v>
      </c>
      <c r="D1709">
        <v>4.341494</v>
      </c>
      <c r="E1709">
        <v>0.44968859999999999</v>
      </c>
      <c r="F1709" t="s">
        <v>58</v>
      </c>
      <c r="G1709">
        <v>-512.82600000000002</v>
      </c>
      <c r="H1709">
        <v>2.6611500000000001</v>
      </c>
      <c r="I1709">
        <v>268.12720000000002</v>
      </c>
      <c r="J1709">
        <v>-320.91140000000001</v>
      </c>
      <c r="K1709">
        <v>1.1100909999999999</v>
      </c>
      <c r="L1709">
        <v>283.18680000000001</v>
      </c>
      <c r="M1709">
        <v>-0.99988670000000002</v>
      </c>
      <c r="N1709">
        <v>0</v>
      </c>
      <c r="O1709">
        <v>4.5984859999999997E-3</v>
      </c>
      <c r="P1709">
        <v>-0.99779359999999995</v>
      </c>
      <c r="Q1709">
        <v>3.6512160000000002E-2</v>
      </c>
      <c r="R1709">
        <v>5.5456499999999999E-2</v>
      </c>
      <c r="S1709">
        <v>-3.0189819999999998</v>
      </c>
      <c r="T1709">
        <v>2.4359820000000001E-2</v>
      </c>
      <c r="U1709">
        <v>-0.23648069999999999</v>
      </c>
      <c r="V1709">
        <v>5.0854379999999998E-2</v>
      </c>
      <c r="W1709">
        <v>5.0840209999999997E-2</v>
      </c>
      <c r="X1709">
        <v>0.99741120000000005</v>
      </c>
      <c r="Y1709">
        <v>-8.2673330000000003E-2</v>
      </c>
      <c r="Z1709">
        <v>3.7007799999999998E-4</v>
      </c>
      <c r="AA1709">
        <v>0.99657660000000003</v>
      </c>
      <c r="AB1709">
        <v>31</v>
      </c>
      <c r="AC1709">
        <v>-191.91460000000001</v>
      </c>
      <c r="AD1709">
        <v>1.551059</v>
      </c>
      <c r="AE1709">
        <v>-15.0595999999999</v>
      </c>
      <c r="AF1709">
        <v>-15.9410131273406</v>
      </c>
      <c r="AG1709">
        <v>1.551059</v>
      </c>
      <c r="AH1709">
        <v>191.83085843069301</v>
      </c>
      <c r="AI1709">
        <v>89.538333113522796</v>
      </c>
      <c r="AJ1709">
        <v>94.750325699129206</v>
      </c>
      <c r="AK1709">
        <v>192.498311498579</v>
      </c>
      <c r="AL1709">
        <v>87.085814216425703</v>
      </c>
      <c r="AM1709">
        <v>87.081223460629303</v>
      </c>
      <c r="AN1709">
        <v>0.99999999840173404</v>
      </c>
    </row>
    <row r="1710" spans="1:40" x14ac:dyDescent="0.25">
      <c r="A1710" t="str">
        <f>"20190312154542283"</f>
        <v>20190312154542283</v>
      </c>
      <c r="B1710" t="str">
        <f>"1552376742278489"</f>
        <v>1552376742278489</v>
      </c>
      <c r="C1710" t="s">
        <v>40</v>
      </c>
      <c r="D1710">
        <v>4.3200690000000002</v>
      </c>
      <c r="E1710">
        <v>0.44957589999999997</v>
      </c>
      <c r="F1710" t="s">
        <v>58</v>
      </c>
      <c r="G1710">
        <v>-512.82600000000002</v>
      </c>
      <c r="H1710">
        <v>2.4661580000000001</v>
      </c>
      <c r="I1710">
        <v>268.0419</v>
      </c>
      <c r="J1710">
        <v>-321.2115</v>
      </c>
      <c r="K1710">
        <v>1.1100939999999999</v>
      </c>
      <c r="L1710">
        <v>283.18799999999999</v>
      </c>
      <c r="M1710">
        <v>-0.99988719999999998</v>
      </c>
      <c r="N1710">
        <v>0</v>
      </c>
      <c r="O1710">
        <v>4.4627410000000001E-3</v>
      </c>
      <c r="P1710">
        <v>-0.99778160000000005</v>
      </c>
      <c r="Q1710">
        <v>3.6421019999999998E-2</v>
      </c>
      <c r="R1710">
        <v>5.5726449999999997E-2</v>
      </c>
      <c r="S1710">
        <v>-3.019104</v>
      </c>
      <c r="T1710">
        <v>2.133417E-2</v>
      </c>
      <c r="U1710">
        <v>-0.23825070000000001</v>
      </c>
      <c r="V1710">
        <v>5.1259770000000003E-2</v>
      </c>
      <c r="W1710">
        <v>5.0745930000000002E-2</v>
      </c>
      <c r="X1710">
        <v>0.99739529999999998</v>
      </c>
      <c r="Y1710">
        <v>-8.3116209999999996E-2</v>
      </c>
      <c r="Z1710">
        <v>3.2469710000000002E-4</v>
      </c>
      <c r="AA1710">
        <v>0.99653979999999998</v>
      </c>
      <c r="AB1710">
        <v>31</v>
      </c>
      <c r="AC1710">
        <v>-191.61449999999999</v>
      </c>
      <c r="AD1710">
        <v>1.3560639999999999</v>
      </c>
      <c r="AE1710">
        <v>-15.146099999999899</v>
      </c>
      <c r="AF1710">
        <v>-16.0003665842518</v>
      </c>
      <c r="AG1710">
        <v>1.3560639999999999</v>
      </c>
      <c r="AH1710">
        <v>191.53545802293101</v>
      </c>
      <c r="AI1710">
        <v>89.595762749253296</v>
      </c>
      <c r="AJ1710">
        <v>94.775250763853904</v>
      </c>
      <c r="AK1710">
        <v>192.20739403169901</v>
      </c>
      <c r="AL1710">
        <v>87.091223191400999</v>
      </c>
      <c r="AM1710">
        <v>87.057950083082901</v>
      </c>
      <c r="AN1710">
        <v>1.00000004894705</v>
      </c>
    </row>
    <row r="1711" spans="1:40" x14ac:dyDescent="0.25">
      <c r="A1711" t="str">
        <f>"20190312154542305"</f>
        <v>20190312154542305</v>
      </c>
      <c r="B1711" t="str">
        <f>"1552376742298985"</f>
        <v>1552376742298985</v>
      </c>
      <c r="C1711" t="s">
        <v>40</v>
      </c>
      <c r="D1711">
        <v>4.3207769999999996</v>
      </c>
      <c r="E1711">
        <v>0.44953779999999999</v>
      </c>
      <c r="F1711" t="s">
        <v>58</v>
      </c>
      <c r="G1711">
        <v>-512.82590000000005</v>
      </c>
      <c r="H1711">
        <v>2.3301370000000001</v>
      </c>
      <c r="I1711">
        <v>268.07150000000001</v>
      </c>
      <c r="J1711">
        <v>-321.5222</v>
      </c>
      <c r="K1711">
        <v>1.110098</v>
      </c>
      <c r="L1711">
        <v>283.1893</v>
      </c>
      <c r="M1711">
        <v>-0.99988790000000005</v>
      </c>
      <c r="N1711">
        <v>0</v>
      </c>
      <c r="O1711">
        <v>4.322172E-3</v>
      </c>
      <c r="P1711">
        <v>-0.99778120000000003</v>
      </c>
      <c r="Q1711">
        <v>3.6463120000000002E-2</v>
      </c>
      <c r="R1711">
        <v>5.570866E-2</v>
      </c>
      <c r="S1711">
        <v>-3.0192570000000001</v>
      </c>
      <c r="T1711">
        <v>1.922536E-2</v>
      </c>
      <c r="U1711">
        <v>-0.2381897</v>
      </c>
      <c r="V1711">
        <v>5.1382339999999999E-2</v>
      </c>
      <c r="W1711">
        <v>5.0784500000000003E-2</v>
      </c>
      <c r="X1711">
        <v>0.99738700000000002</v>
      </c>
      <c r="Y1711">
        <v>-8.2952570000000003E-2</v>
      </c>
      <c r="Z1711">
        <v>2.91174E-4</v>
      </c>
      <c r="AA1711">
        <v>0.99655349999999998</v>
      </c>
      <c r="AB1711">
        <v>31</v>
      </c>
      <c r="AC1711">
        <v>-191.30369999999999</v>
      </c>
      <c r="AD1711">
        <v>1.2200389999999901</v>
      </c>
      <c r="AE1711">
        <v>-15.1177999999999</v>
      </c>
      <c r="AF1711">
        <v>-15.943946775814601</v>
      </c>
      <c r="AG1711">
        <v>1.2200389999999901</v>
      </c>
      <c r="AH1711">
        <v>191.228834807678</v>
      </c>
      <c r="AI1711">
        <v>89.635722106249901</v>
      </c>
      <c r="AJ1711">
        <v>94.7660847500823</v>
      </c>
      <c r="AK1711">
        <v>191.89623549161601</v>
      </c>
      <c r="AL1711">
        <v>87.089010353061695</v>
      </c>
      <c r="AM1711">
        <v>87.050903094304402</v>
      </c>
      <c r="AN1711">
        <v>1.0000000190365601</v>
      </c>
    </row>
    <row r="1712" spans="1:40" x14ac:dyDescent="0.25">
      <c r="A1712" t="str">
        <f>"20190312154542328"</f>
        <v>20190312154542328</v>
      </c>
      <c r="B1712" t="str">
        <f>"1552376742318504"</f>
        <v>1552376742318504</v>
      </c>
      <c r="C1712" t="s">
        <v>40</v>
      </c>
      <c r="D1712">
        <v>4.3067000000000002</v>
      </c>
      <c r="E1712">
        <v>0.44944099999999998</v>
      </c>
      <c r="F1712" t="s">
        <v>58</v>
      </c>
      <c r="G1712">
        <v>-512.82590000000005</v>
      </c>
      <c r="H1712">
        <v>2.2317450000000001</v>
      </c>
      <c r="I1712">
        <v>268.06470000000002</v>
      </c>
      <c r="J1712">
        <v>-321.83150000000001</v>
      </c>
      <c r="K1712">
        <v>1.110104</v>
      </c>
      <c r="L1712">
        <v>283.19049999999999</v>
      </c>
      <c r="M1712">
        <v>-0.99988849999999996</v>
      </c>
      <c r="N1712">
        <v>0</v>
      </c>
      <c r="O1712">
        <v>4.1820779999999997E-3</v>
      </c>
      <c r="P1712">
        <v>-0.9977741</v>
      </c>
      <c r="Q1712">
        <v>3.675577E-2</v>
      </c>
      <c r="R1712">
        <v>5.5642070000000002E-2</v>
      </c>
      <c r="S1712">
        <v>-3.0193180000000002</v>
      </c>
      <c r="T1712">
        <v>1.7704009999999999E-2</v>
      </c>
      <c r="U1712">
        <v>-0.23870849999999999</v>
      </c>
      <c r="V1712">
        <v>5.1455599999999997E-2</v>
      </c>
      <c r="W1712">
        <v>5.1073090000000002E-2</v>
      </c>
      <c r="X1712">
        <v>0.99736849999999999</v>
      </c>
      <c r="Y1712">
        <v>-8.2981799999999994E-2</v>
      </c>
      <c r="Z1712">
        <v>2.6739119999999998E-4</v>
      </c>
      <c r="AA1712">
        <v>0.99655099999999996</v>
      </c>
      <c r="AB1712">
        <v>31</v>
      </c>
      <c r="AC1712">
        <v>-190.99440000000001</v>
      </c>
      <c r="AD1712">
        <v>1.1216409999999899</v>
      </c>
      <c r="AE1712">
        <v>-15.1257999999999</v>
      </c>
      <c r="AF1712">
        <v>-15.9239575002659</v>
      </c>
      <c r="AG1712">
        <v>1.1216409999999899</v>
      </c>
      <c r="AH1712">
        <v>190.92292216182901</v>
      </c>
      <c r="AI1712">
        <v>89.664565185330702</v>
      </c>
      <c r="AJ1712">
        <v>94.767728837119293</v>
      </c>
      <c r="AK1712">
        <v>191.58912471175199</v>
      </c>
      <c r="AL1712">
        <v>87.072453916865598</v>
      </c>
      <c r="AM1712">
        <v>87.046651081196501</v>
      </c>
      <c r="AN1712">
        <v>1.0000000320428699</v>
      </c>
    </row>
    <row r="1713" spans="1:40" x14ac:dyDescent="0.25">
      <c r="A1713" t="str">
        <f>"20190312154542350"</f>
        <v>20190312154542350</v>
      </c>
      <c r="B1713" t="str">
        <f>"1552376742338024"</f>
        <v>1552376742338024</v>
      </c>
      <c r="C1713" t="s">
        <v>40</v>
      </c>
      <c r="D1713">
        <v>4.2921899999999997</v>
      </c>
      <c r="E1713">
        <v>0.44939709999999999</v>
      </c>
      <c r="F1713" t="s">
        <v>58</v>
      </c>
      <c r="G1713">
        <v>-512.82590000000005</v>
      </c>
      <c r="H1713">
        <v>2.2009479999999999</v>
      </c>
      <c r="I1713">
        <v>268.03289999999998</v>
      </c>
      <c r="J1713">
        <v>-322.14830000000001</v>
      </c>
      <c r="K1713">
        <v>1.110104</v>
      </c>
      <c r="L1713">
        <v>283.19170000000003</v>
      </c>
      <c r="M1713">
        <v>-0.99988929999999998</v>
      </c>
      <c r="N1713">
        <v>0</v>
      </c>
      <c r="O1713">
        <v>4.0389420000000002E-3</v>
      </c>
      <c r="P1713">
        <v>-0.99777910000000003</v>
      </c>
      <c r="Q1713">
        <v>3.6932020000000003E-2</v>
      </c>
      <c r="R1713">
        <v>5.5438750000000002E-2</v>
      </c>
      <c r="S1713">
        <v>-3.019409</v>
      </c>
      <c r="T1713">
        <v>1.7246250000000001E-2</v>
      </c>
      <c r="U1713">
        <v>-0.239624</v>
      </c>
      <c r="V1713">
        <v>5.1395059999999999E-2</v>
      </c>
      <c r="W1713">
        <v>5.1245949999999998E-2</v>
      </c>
      <c r="X1713">
        <v>0.99736270000000005</v>
      </c>
      <c r="Y1713">
        <v>-8.3137119999999995E-2</v>
      </c>
      <c r="Z1713">
        <v>2.600929E-4</v>
      </c>
      <c r="AA1713">
        <v>0.99653809999999998</v>
      </c>
      <c r="AB1713">
        <v>31</v>
      </c>
      <c r="AC1713">
        <v>-190.67760000000001</v>
      </c>
      <c r="AD1713">
        <v>1.0908439999999999</v>
      </c>
      <c r="AE1713">
        <v>-15.158799999999999</v>
      </c>
      <c r="AF1713">
        <v>-15.9283730404417</v>
      </c>
      <c r="AG1713">
        <v>1.0908439999999999</v>
      </c>
      <c r="AH1713">
        <v>190.60861346307499</v>
      </c>
      <c r="AI1713">
        <v>89.673241476486197</v>
      </c>
      <c r="AJ1713">
        <v>94.776872450555103</v>
      </c>
      <c r="AK1713">
        <v>191.27610027042999</v>
      </c>
      <c r="AL1713">
        <v>87.062536621727205</v>
      </c>
      <c r="AM1713">
        <v>87.0501025739201</v>
      </c>
      <c r="AN1713">
        <v>0.99999997746754699</v>
      </c>
    </row>
    <row r="1714" spans="1:40" x14ac:dyDescent="0.25">
      <c r="A1714" t="str">
        <f>"20190312154542372"</f>
        <v>20190312154542372</v>
      </c>
      <c r="B1714" t="str">
        <f>"1552376742368280"</f>
        <v>1552376742368280</v>
      </c>
      <c r="C1714" t="s">
        <v>40</v>
      </c>
      <c r="D1714">
        <v>4.2845950000000004</v>
      </c>
      <c r="E1714">
        <v>0.44934849999999998</v>
      </c>
      <c r="F1714" t="s">
        <v>58</v>
      </c>
      <c r="G1714">
        <v>-512.82590000000005</v>
      </c>
      <c r="H1714">
        <v>2.179494</v>
      </c>
      <c r="I1714">
        <v>268.00349999999997</v>
      </c>
      <c r="J1714">
        <v>-322.45049999999998</v>
      </c>
      <c r="K1714">
        <v>1.1101049999999999</v>
      </c>
      <c r="L1714">
        <v>283.1927</v>
      </c>
      <c r="M1714">
        <v>-0.99988969999999999</v>
      </c>
      <c r="N1714">
        <v>0</v>
      </c>
      <c r="O1714">
        <v>3.9021839999999999E-3</v>
      </c>
      <c r="P1714">
        <v>-0.99780630000000003</v>
      </c>
      <c r="Q1714">
        <v>3.694219E-2</v>
      </c>
      <c r="R1714">
        <v>5.4936390000000002E-2</v>
      </c>
      <c r="S1714">
        <v>-3.0194399999999999</v>
      </c>
      <c r="T1714">
        <v>1.6935349999999998E-2</v>
      </c>
      <c r="U1714">
        <v>-0.240509</v>
      </c>
      <c r="V1714">
        <v>5.1029110000000003E-2</v>
      </c>
      <c r="W1714">
        <v>5.1253569999999998E-2</v>
      </c>
      <c r="X1714">
        <v>0.99738119999999997</v>
      </c>
      <c r="Y1714">
        <v>-8.3290340000000004E-2</v>
      </c>
      <c r="Z1714">
        <v>2.550618E-4</v>
      </c>
      <c r="AA1714">
        <v>0.99652529999999995</v>
      </c>
      <c r="AB1714">
        <v>31</v>
      </c>
      <c r="AC1714">
        <v>-190.37540000000001</v>
      </c>
      <c r="AD1714">
        <v>1.0693889999999999</v>
      </c>
      <c r="AE1714">
        <v>-15.1892</v>
      </c>
      <c r="AF1714">
        <v>-15.9315409446936</v>
      </c>
      <c r="AG1714">
        <v>1.0693889999999999</v>
      </c>
      <c r="AH1714">
        <v>190.30870617716101</v>
      </c>
      <c r="AI1714">
        <v>89.679167264506106</v>
      </c>
      <c r="AJ1714">
        <v>94.785312518631201</v>
      </c>
      <c r="AK1714">
        <v>190.977384096994</v>
      </c>
      <c r="AL1714">
        <v>87.062099749903297</v>
      </c>
      <c r="AM1714">
        <v>87.071124358265905</v>
      </c>
      <c r="AN1714">
        <v>1.0000000783092799</v>
      </c>
    </row>
    <row r="1715" spans="1:40" x14ac:dyDescent="0.25">
      <c r="A1715" t="str">
        <f>"20190312154542394"</f>
        <v>20190312154542394</v>
      </c>
      <c r="B1715" t="str">
        <f>"1552376742387801"</f>
        <v>1552376742387801</v>
      </c>
      <c r="C1715" t="s">
        <v>40</v>
      </c>
      <c r="D1715">
        <v>4.2588949999999999</v>
      </c>
      <c r="E1715">
        <v>0.44931359999999898</v>
      </c>
      <c r="F1715" t="s">
        <v>58</v>
      </c>
      <c r="G1715">
        <v>-512.82590000000005</v>
      </c>
      <c r="H1715">
        <v>2.1477170000000001</v>
      </c>
      <c r="I1715">
        <v>267.91829999999999</v>
      </c>
      <c r="J1715">
        <v>-322.75439999999998</v>
      </c>
      <c r="K1715">
        <v>1.1101049999999999</v>
      </c>
      <c r="L1715">
        <v>283.19369999999998</v>
      </c>
      <c r="M1715">
        <v>-0.99989030000000001</v>
      </c>
      <c r="N1715">
        <v>0</v>
      </c>
      <c r="O1715">
        <v>3.764594E-3</v>
      </c>
      <c r="P1715">
        <v>-0.99781889999999995</v>
      </c>
      <c r="Q1715">
        <v>3.7298600000000001E-2</v>
      </c>
      <c r="R1715">
        <v>5.4463360000000002E-2</v>
      </c>
      <c r="S1715">
        <v>-3.0193180000000002</v>
      </c>
      <c r="T1715">
        <v>1.645756E-2</v>
      </c>
      <c r="U1715">
        <v>-0.24224850000000001</v>
      </c>
      <c r="V1715">
        <v>5.0693229999999999E-2</v>
      </c>
      <c r="W1715">
        <v>5.1606920000000001E-2</v>
      </c>
      <c r="X1715">
        <v>0.99738000000000004</v>
      </c>
      <c r="Y1715">
        <v>-8.3726960000000003E-2</v>
      </c>
      <c r="Z1715">
        <v>2.4830950000000001E-4</v>
      </c>
      <c r="AA1715">
        <v>0.99648870000000001</v>
      </c>
      <c r="AB1715">
        <v>31</v>
      </c>
      <c r="AC1715">
        <v>-190.07149999999999</v>
      </c>
      <c r="AD1715">
        <v>1.03761199999999</v>
      </c>
      <c r="AE1715">
        <v>-15.2753999999999</v>
      </c>
      <c r="AF1715">
        <v>-15.990433716222499</v>
      </c>
      <c r="AG1715">
        <v>1.03761199999999</v>
      </c>
      <c r="AH1715">
        <v>190.00701514756301</v>
      </c>
      <c r="AI1715">
        <v>89.688217891283998</v>
      </c>
      <c r="AJ1715">
        <v>94.810509638186304</v>
      </c>
      <c r="AK1715">
        <v>190.68150517127199</v>
      </c>
      <c r="AL1715">
        <v>87.0418271416425</v>
      </c>
      <c r="AM1715">
        <v>87.0903658537909</v>
      </c>
      <c r="AN1715">
        <v>0.99999997107985905</v>
      </c>
    </row>
    <row r="1716" spans="1:40" x14ac:dyDescent="0.25">
      <c r="A1716" t="str">
        <f>"20190312154542417"</f>
        <v>20190312154542417</v>
      </c>
      <c r="B1716" t="str">
        <f>"1552376742408301"</f>
        <v>1552376742408301</v>
      </c>
      <c r="C1716" t="s">
        <v>40</v>
      </c>
      <c r="D1716">
        <v>4.3322719999999997</v>
      </c>
      <c r="E1716">
        <v>0.44932040000000001</v>
      </c>
      <c r="F1716" t="s">
        <v>58</v>
      </c>
      <c r="G1716">
        <v>-512.82590000000005</v>
      </c>
      <c r="H1716">
        <v>2.2227980000000001</v>
      </c>
      <c r="I1716">
        <v>267.82029999999997</v>
      </c>
      <c r="J1716">
        <v>-323.0573</v>
      </c>
      <c r="K1716">
        <v>1.110106</v>
      </c>
      <c r="L1716">
        <v>283.19470000000001</v>
      </c>
      <c r="M1716">
        <v>-0.99989099999999997</v>
      </c>
      <c r="N1716">
        <v>0</v>
      </c>
      <c r="O1716">
        <v>3.627183E-3</v>
      </c>
      <c r="P1716">
        <v>-0.99779589999999996</v>
      </c>
      <c r="Q1716">
        <v>3.7842639999999997E-2</v>
      </c>
      <c r="R1716">
        <v>5.4509630000000003E-2</v>
      </c>
      <c r="S1716">
        <v>-3.0192260000000002</v>
      </c>
      <c r="T1716">
        <v>1.7676000000000001E-2</v>
      </c>
      <c r="U1716">
        <v>-0.24420169999999999</v>
      </c>
      <c r="V1716">
        <v>5.0876739999999997E-2</v>
      </c>
      <c r="W1716">
        <v>5.2146440000000002E-2</v>
      </c>
      <c r="X1716">
        <v>0.99734259999999997</v>
      </c>
      <c r="Y1716">
        <v>-8.4232669999999996E-2</v>
      </c>
      <c r="Z1716">
        <v>2.6736849999999999E-4</v>
      </c>
      <c r="AA1716">
        <v>0.9964461</v>
      </c>
      <c r="AB1716">
        <v>31</v>
      </c>
      <c r="AC1716">
        <v>-189.76859999999999</v>
      </c>
      <c r="AD1716">
        <v>1.112692</v>
      </c>
      <c r="AE1716">
        <v>-15.3744</v>
      </c>
      <c r="AF1716">
        <v>-16.062146178968</v>
      </c>
      <c r="AG1716">
        <v>1.112692</v>
      </c>
      <c r="AH1716">
        <v>189.70510046208</v>
      </c>
      <c r="AI1716">
        <v>89.665140592673296</v>
      </c>
      <c r="AJ1716">
        <v>94.839635037032807</v>
      </c>
      <c r="AK1716">
        <v>190.38712079520801</v>
      </c>
      <c r="AL1716">
        <v>87.010873262115993</v>
      </c>
      <c r="AM1716">
        <v>87.079741831639296</v>
      </c>
      <c r="AN1716">
        <v>0.99999997782622996</v>
      </c>
    </row>
    <row r="1717" spans="1:40" x14ac:dyDescent="0.25">
      <c r="A1717" t="str">
        <f>"20190312154542438"</f>
        <v>20190312154542438</v>
      </c>
      <c r="B1717" t="str">
        <f>"1552376742427817"</f>
        <v>1552376742427817</v>
      </c>
      <c r="C1717" t="s">
        <v>40</v>
      </c>
      <c r="D1717">
        <v>4.4648909999999997</v>
      </c>
      <c r="E1717">
        <v>0.48388100000000001</v>
      </c>
      <c r="F1717" t="s">
        <v>58</v>
      </c>
      <c r="G1717">
        <v>-512.82590000000005</v>
      </c>
      <c r="H1717">
        <v>2.2787739999999999</v>
      </c>
      <c r="I1717">
        <v>267.86320000000001</v>
      </c>
      <c r="J1717">
        <v>-323.36290000000002</v>
      </c>
      <c r="K1717">
        <v>1.1101110000000001</v>
      </c>
      <c r="L1717">
        <v>283.19560000000001</v>
      </c>
      <c r="M1717">
        <v>-0.99989150000000004</v>
      </c>
      <c r="N1717">
        <v>0</v>
      </c>
      <c r="O1717">
        <v>3.4885210000000001E-3</v>
      </c>
      <c r="P1717">
        <v>-0.99782029999999999</v>
      </c>
      <c r="Q1717">
        <v>3.7972680000000002E-2</v>
      </c>
      <c r="R1717">
        <v>5.397159E-2</v>
      </c>
      <c r="S1717">
        <v>-3.0192570000000001</v>
      </c>
      <c r="T1717">
        <v>1.8594980000000001E-2</v>
      </c>
      <c r="U1717">
        <v>-0.243927</v>
      </c>
      <c r="V1717">
        <v>5.0476970000000003E-2</v>
      </c>
      <c r="W1717">
        <v>5.227358E-2</v>
      </c>
      <c r="X1717">
        <v>0.99735629999999997</v>
      </c>
      <c r="Y1717">
        <v>-8.4003449999999993E-2</v>
      </c>
      <c r="Z1717">
        <v>2.7970970000000002E-4</v>
      </c>
      <c r="AA1717">
        <v>0.99646539999999995</v>
      </c>
      <c r="AB1717">
        <v>31</v>
      </c>
      <c r="AC1717">
        <v>-189.46299999999999</v>
      </c>
      <c r="AD1717">
        <v>1.168663</v>
      </c>
      <c r="AE1717">
        <v>-15.3324</v>
      </c>
      <c r="AF1717">
        <v>-15.992715507279</v>
      </c>
      <c r="AG1717">
        <v>1.168663</v>
      </c>
      <c r="AH1717">
        <v>189.401194605314</v>
      </c>
      <c r="AI1717">
        <v>89.647725658788104</v>
      </c>
      <c r="AJ1717">
        <v>94.826509408138406</v>
      </c>
      <c r="AK1717">
        <v>190.078786929063</v>
      </c>
      <c r="AL1717">
        <v>87.003578855435293</v>
      </c>
      <c r="AM1717">
        <v>87.102688584077796</v>
      </c>
      <c r="AN1717">
        <v>1.0000000204080399</v>
      </c>
    </row>
    <row r="1718" spans="1:40" x14ac:dyDescent="0.25">
      <c r="A1718" t="str">
        <f>"20190312154542461"</f>
        <v>20190312154542461</v>
      </c>
      <c r="B1718" t="str">
        <f>"1552376742448312"</f>
        <v>1552376742448312</v>
      </c>
      <c r="C1718" t="s">
        <v>40</v>
      </c>
      <c r="D1718">
        <v>4.249911</v>
      </c>
      <c r="E1718">
        <v>0.50741259999999999</v>
      </c>
      <c r="F1718" t="s">
        <v>44</v>
      </c>
      <c r="G1718">
        <v>0</v>
      </c>
      <c r="H1718">
        <v>0</v>
      </c>
      <c r="I1718">
        <v>0</v>
      </c>
      <c r="J1718">
        <v>-323.67520000000002</v>
      </c>
      <c r="K1718">
        <v>1.1101030000000001</v>
      </c>
      <c r="L1718">
        <v>283.19659999999999</v>
      </c>
      <c r="M1718">
        <v>-0.99989189999999994</v>
      </c>
      <c r="N1718">
        <v>0</v>
      </c>
      <c r="O1718">
        <v>3.34688E-3</v>
      </c>
      <c r="P1718">
        <v>-0.99783010000000005</v>
      </c>
      <c r="Q1718">
        <v>3.8210809999999998E-2</v>
      </c>
      <c r="R1718">
        <v>5.3619550000000002E-2</v>
      </c>
      <c r="S1718">
        <v>-3.0019529999999999</v>
      </c>
      <c r="T1718">
        <v>7.6119899999999893E-2</v>
      </c>
      <c r="U1718">
        <v>3.2012939999999997E-2</v>
      </c>
      <c r="V1718">
        <v>5.0266280000000003E-2</v>
      </c>
      <c r="W1718">
        <v>5.2508340000000001E-2</v>
      </c>
      <c r="X1718">
        <v>0.99735459999999998</v>
      </c>
      <c r="Y1718">
        <v>7.3150630000000001E-3</v>
      </c>
      <c r="Z1718" s="1">
        <v>-7.8674569999999995E-6</v>
      </c>
      <c r="AA1718">
        <v>0.99997320000000001</v>
      </c>
      <c r="AB1718">
        <v>31</v>
      </c>
      <c r="AC1718">
        <v>-3.0019529999999999</v>
      </c>
      <c r="AD1718">
        <v>7.6119899999999893E-2</v>
      </c>
      <c r="AE1718">
        <v>3.2012939999999997E-2</v>
      </c>
      <c r="AF1718">
        <v>2.1950442476813301E-2</v>
      </c>
      <c r="AG1718">
        <v>7.6119899999999893E-2</v>
      </c>
      <c r="AH1718">
        <v>3.0001145824667499</v>
      </c>
      <c r="AI1718">
        <v>88.5466232329793</v>
      </c>
      <c r="AJ1718">
        <v>89.580800920488699</v>
      </c>
      <c r="AK1718">
        <v>3.0011603704284999</v>
      </c>
      <c r="AL1718">
        <v>86.990109573373402</v>
      </c>
      <c r="AM1718">
        <v>87.114756525559798</v>
      </c>
      <c r="AN1718">
        <v>1.00000001140787</v>
      </c>
    </row>
    <row r="1719" spans="1:40" x14ac:dyDescent="0.25">
      <c r="A1719" t="str">
        <f>"20190312154542484"</f>
        <v>20190312154542484</v>
      </c>
      <c r="B1719" t="str">
        <f>"1552376742478569"</f>
        <v>1552376742478569</v>
      </c>
      <c r="C1719" t="s">
        <v>40</v>
      </c>
      <c r="D1719">
        <v>4.253946</v>
      </c>
      <c r="E1719">
        <v>0.52365509999999904</v>
      </c>
      <c r="F1719" t="s">
        <v>62</v>
      </c>
      <c r="G1719">
        <v>-510.95609999999999</v>
      </c>
      <c r="H1719">
        <v>7.6448689999999999</v>
      </c>
      <c r="I1719">
        <v>296.9502</v>
      </c>
      <c r="J1719">
        <v>-323.9828</v>
      </c>
      <c r="K1719">
        <v>1.110109</v>
      </c>
      <c r="L1719">
        <v>283.19740000000002</v>
      </c>
      <c r="M1719">
        <v>-0.99989260000000002</v>
      </c>
      <c r="N1719">
        <v>0</v>
      </c>
      <c r="O1719">
        <v>3.2067319999999999E-3</v>
      </c>
      <c r="P1719">
        <v>-0.99785029999999997</v>
      </c>
      <c r="Q1719">
        <v>3.8539080000000003E-2</v>
      </c>
      <c r="R1719">
        <v>5.3007810000000002E-2</v>
      </c>
      <c r="S1719">
        <v>-2.990723</v>
      </c>
      <c r="T1719">
        <v>0.10435609999999999</v>
      </c>
      <c r="U1719">
        <v>0.219635</v>
      </c>
      <c r="V1719">
        <v>4.9794419999999999E-2</v>
      </c>
      <c r="W1719">
        <v>5.2832610000000002E-2</v>
      </c>
      <c r="X1719">
        <v>0.9973611</v>
      </c>
      <c r="Y1719">
        <v>7.0002289999999995E-2</v>
      </c>
      <c r="Z1719">
        <v>-1.107575E-3</v>
      </c>
      <c r="AA1719">
        <v>0.99754620000000005</v>
      </c>
      <c r="AB1719">
        <v>31</v>
      </c>
      <c r="AC1719">
        <v>-186.97329999999999</v>
      </c>
      <c r="AD1719">
        <v>6.5347599999999897</v>
      </c>
      <c r="AE1719">
        <v>13.752799999999899</v>
      </c>
      <c r="AF1719">
        <v>13.1371337926442</v>
      </c>
      <c r="AG1719">
        <v>6.5347599999999897</v>
      </c>
      <c r="AH1719">
        <v>186.78950547056201</v>
      </c>
      <c r="AI1719">
        <v>88.001279258477496</v>
      </c>
      <c r="AJ1719">
        <v>85.976942527099098</v>
      </c>
      <c r="AK1719">
        <v>187.36490260046199</v>
      </c>
      <c r="AL1719">
        <v>86.971504309651095</v>
      </c>
      <c r="AM1719">
        <v>87.141814378081406</v>
      </c>
      <c r="AN1719">
        <v>0.99999996636787802</v>
      </c>
    </row>
    <row r="1720" spans="1:40" x14ac:dyDescent="0.25">
      <c r="A1720" t="str">
        <f>"20190312154542506"</f>
        <v>20190312154542506</v>
      </c>
      <c r="B1720" t="str">
        <f>"1552376742498089"</f>
        <v>1552376742498089</v>
      </c>
      <c r="C1720" t="s">
        <v>40</v>
      </c>
      <c r="D1720">
        <v>4.2739719999999997</v>
      </c>
      <c r="E1720">
        <v>0.52900859999999905</v>
      </c>
      <c r="F1720" t="s">
        <v>62</v>
      </c>
      <c r="G1720">
        <v>-511.82279999999997</v>
      </c>
      <c r="H1720">
        <v>7.8153959999999998</v>
      </c>
      <c r="I1720">
        <v>305.04610000000002</v>
      </c>
      <c r="J1720">
        <v>-324.29829999999998</v>
      </c>
      <c r="K1720">
        <v>1.110114</v>
      </c>
      <c r="L1720">
        <v>283.19830000000002</v>
      </c>
      <c r="M1720">
        <v>-0.99989309999999998</v>
      </c>
      <c r="N1720">
        <v>0</v>
      </c>
      <c r="O1720">
        <v>3.0633610000000001E-3</v>
      </c>
      <c r="P1720">
        <v>-0.99786450000000004</v>
      </c>
      <c r="Q1720">
        <v>3.8529840000000003E-2</v>
      </c>
      <c r="R1720">
        <v>5.2746250000000001E-2</v>
      </c>
      <c r="S1720">
        <v>-2.9839169999999999</v>
      </c>
      <c r="T1720">
        <v>0.10651770000000001</v>
      </c>
      <c r="U1720">
        <v>0.34707640000000001</v>
      </c>
      <c r="V1720">
        <v>4.967597E-2</v>
      </c>
      <c r="W1720">
        <v>5.2820239999999997E-2</v>
      </c>
      <c r="X1720">
        <v>0.99736769999999997</v>
      </c>
      <c r="Y1720">
        <v>0.1124243</v>
      </c>
      <c r="Z1720">
        <v>-1.8902910000000001E-3</v>
      </c>
      <c r="AA1720">
        <v>0.9936585</v>
      </c>
      <c r="AB1720">
        <v>31</v>
      </c>
      <c r="AC1720">
        <v>-187.52449999999999</v>
      </c>
      <c r="AD1720">
        <v>6.7052820000000004</v>
      </c>
      <c r="AE1720">
        <v>21.847799999999999</v>
      </c>
      <c r="AF1720">
        <v>21.246382710204202</v>
      </c>
      <c r="AG1720">
        <v>6.7052820000000004</v>
      </c>
      <c r="AH1720">
        <v>187.35422048159</v>
      </c>
      <c r="AI1720">
        <v>87.963340137885496</v>
      </c>
      <c r="AJ1720">
        <v>83.530171618017405</v>
      </c>
      <c r="AK1720">
        <v>188.67425239611299</v>
      </c>
      <c r="AL1720">
        <v>86.972214164658794</v>
      </c>
      <c r="AM1720">
        <v>87.148620978575096</v>
      </c>
      <c r="AN1720">
        <v>1.0000000043761901</v>
      </c>
    </row>
    <row r="1721" spans="1:40" x14ac:dyDescent="0.25">
      <c r="A1721" t="str">
        <f>"20190312154542528"</f>
        <v>20190312154542528</v>
      </c>
      <c r="B1721" t="str">
        <f>"1552376742518584"</f>
        <v>1552376742518584</v>
      </c>
      <c r="C1721" t="s">
        <v>40</v>
      </c>
      <c r="D1721">
        <v>4.2796519999999996</v>
      </c>
      <c r="E1721">
        <v>0.53213650000000001</v>
      </c>
      <c r="F1721" t="s">
        <v>56</v>
      </c>
      <c r="G1721">
        <v>-447.22879999999998</v>
      </c>
      <c r="H1721">
        <v>5.6524029999999996</v>
      </c>
      <c r="I1721">
        <v>299.24849999999998</v>
      </c>
      <c r="J1721">
        <v>-324.58879999999999</v>
      </c>
      <c r="K1721">
        <v>1.110112</v>
      </c>
      <c r="L1721">
        <v>283.19900000000001</v>
      </c>
      <c r="M1721">
        <v>-0.99989349999999999</v>
      </c>
      <c r="N1721">
        <v>0</v>
      </c>
      <c r="O1721">
        <v>2.93173E-3</v>
      </c>
      <c r="P1721">
        <v>-0.99787349999999997</v>
      </c>
      <c r="Q1721">
        <v>3.8692249999999997E-2</v>
      </c>
      <c r="R1721">
        <v>5.2456999999999997E-2</v>
      </c>
      <c r="S1721">
        <v>-2.9815670000000001</v>
      </c>
      <c r="T1721">
        <v>0.1101693</v>
      </c>
      <c r="U1721">
        <v>0.38928220000000002</v>
      </c>
      <c r="V1721">
        <v>4.9518069999999997E-2</v>
      </c>
      <c r="W1721">
        <v>5.2979279999999997E-2</v>
      </c>
      <c r="X1721">
        <v>0.99736709999999995</v>
      </c>
      <c r="Y1721">
        <v>0.12647340000000001</v>
      </c>
      <c r="Z1721">
        <v>-2.218107E-3</v>
      </c>
      <c r="AA1721">
        <v>0.9919675</v>
      </c>
      <c r="AB1721">
        <v>31</v>
      </c>
      <c r="AC1721">
        <v>-122.64</v>
      </c>
      <c r="AD1721">
        <v>4.5422909999999996</v>
      </c>
      <c r="AE1721">
        <v>16.049499999999899</v>
      </c>
      <c r="AF1721">
        <v>15.6687147204839</v>
      </c>
      <c r="AG1721">
        <v>4.5422909999999996</v>
      </c>
      <c r="AH1721">
        <v>122.521287718697</v>
      </c>
      <c r="AI1721">
        <v>87.893954642261505</v>
      </c>
      <c r="AJ1721">
        <v>82.712249849965403</v>
      </c>
      <c r="AK1721">
        <v>123.602617176047</v>
      </c>
      <c r="AL1721">
        <v>86.963089016707698</v>
      </c>
      <c r="AM1721">
        <v>87.157667776585001</v>
      </c>
      <c r="AN1721">
        <v>0.99999998776412602</v>
      </c>
    </row>
    <row r="1722" spans="1:40" x14ac:dyDescent="0.25">
      <c r="A1722" t="str">
        <f>"20190312154542552"</f>
        <v>20190312154542552</v>
      </c>
      <c r="B1722" t="str">
        <f>"1552376742547864"</f>
        <v>1552376742547864</v>
      </c>
      <c r="C1722" t="s">
        <v>40</v>
      </c>
      <c r="D1722">
        <v>4.5556549999999998</v>
      </c>
      <c r="E1722">
        <v>0.53474279999999996</v>
      </c>
      <c r="F1722" t="s">
        <v>56</v>
      </c>
      <c r="G1722">
        <v>-439.93560000000002</v>
      </c>
      <c r="H1722">
        <v>5.4672539999999996</v>
      </c>
      <c r="I1722">
        <v>299.19979999999998</v>
      </c>
      <c r="J1722">
        <v>-324.90929999999997</v>
      </c>
      <c r="K1722">
        <v>1.110115</v>
      </c>
      <c r="L1722">
        <v>283.19979999999998</v>
      </c>
      <c r="M1722">
        <v>-0.99989399999999995</v>
      </c>
      <c r="N1722">
        <v>0</v>
      </c>
      <c r="O1722">
        <v>2.7863330000000002E-3</v>
      </c>
      <c r="P1722">
        <v>-0.99788399999999999</v>
      </c>
      <c r="Q1722">
        <v>3.9047770000000002E-2</v>
      </c>
      <c r="R1722">
        <v>5.1992169999999997E-2</v>
      </c>
      <c r="S1722">
        <v>-2.980286</v>
      </c>
      <c r="T1722">
        <v>0.112578399999999</v>
      </c>
      <c r="U1722">
        <v>0.4134216</v>
      </c>
      <c r="V1722">
        <v>4.9198220000000001E-2</v>
      </c>
      <c r="W1722">
        <v>5.3331169999999997E-2</v>
      </c>
      <c r="X1722">
        <v>0.99736420000000003</v>
      </c>
      <c r="Y1722">
        <v>0.13455020000000001</v>
      </c>
      <c r="Z1722">
        <v>-2.4235569999999998E-3</v>
      </c>
      <c r="AA1722">
        <v>0.9909038</v>
      </c>
      <c r="AB1722">
        <v>31</v>
      </c>
      <c r="AC1722">
        <v>-115.02630000000001</v>
      </c>
      <c r="AD1722">
        <v>4.3571390000000001</v>
      </c>
      <c r="AE1722">
        <v>16</v>
      </c>
      <c r="AF1722">
        <v>15.657363929062701</v>
      </c>
      <c r="AG1722">
        <v>4.3571390000000001</v>
      </c>
      <c r="AH1722">
        <v>114.908691339672</v>
      </c>
      <c r="AI1722">
        <v>87.848346979187497</v>
      </c>
      <c r="AJ1722">
        <v>82.240709777070094</v>
      </c>
      <c r="AK1722">
        <v>116.052337550213</v>
      </c>
      <c r="AL1722">
        <v>86.942898737823597</v>
      </c>
      <c r="AM1722">
        <v>87.1759891206015</v>
      </c>
      <c r="AN1722">
        <v>1.0000000129931801</v>
      </c>
    </row>
    <row r="1723" spans="1:40" x14ac:dyDescent="0.25">
      <c r="A1723" t="str">
        <f>"20190312154542574"</f>
        <v>20190312154542574</v>
      </c>
      <c r="B1723" t="str">
        <f>"1552376742568361"</f>
        <v>1552376742568361</v>
      </c>
      <c r="C1723" t="s">
        <v>40</v>
      </c>
      <c r="D1723">
        <v>4.4225110000000001</v>
      </c>
      <c r="E1723">
        <v>0.53573609999999905</v>
      </c>
      <c r="F1723" t="s">
        <v>56</v>
      </c>
      <c r="G1723">
        <v>-439.93560000000002</v>
      </c>
      <c r="H1723">
        <v>5.4391259999999999</v>
      </c>
      <c r="I1723">
        <v>299.91609999999997</v>
      </c>
      <c r="J1723">
        <v>-325.20760000000001</v>
      </c>
      <c r="K1723">
        <v>1.110115</v>
      </c>
      <c r="L1723">
        <v>283.20049999999998</v>
      </c>
      <c r="M1723">
        <v>-0.99989430000000001</v>
      </c>
      <c r="N1723">
        <v>0</v>
      </c>
      <c r="O1723">
        <v>2.651184E-3</v>
      </c>
      <c r="P1723">
        <v>-0.99791019999999997</v>
      </c>
      <c r="Q1723">
        <v>3.8706039999999997E-2</v>
      </c>
      <c r="R1723">
        <v>5.1742829999999997E-2</v>
      </c>
      <c r="S1723">
        <v>-2.9794010000000002</v>
      </c>
      <c r="T1723">
        <v>0.1121299</v>
      </c>
      <c r="U1723">
        <v>0.43298340000000002</v>
      </c>
      <c r="V1723">
        <v>4.9083960000000003E-2</v>
      </c>
      <c r="W1723">
        <v>5.2985940000000002E-2</v>
      </c>
      <c r="X1723">
        <v>0.99738819999999995</v>
      </c>
      <c r="Y1723">
        <v>0.14109459999999999</v>
      </c>
      <c r="Z1723">
        <v>-2.5410329999999998E-3</v>
      </c>
      <c r="AA1723">
        <v>0.98999289999999995</v>
      </c>
      <c r="AB1723">
        <v>31</v>
      </c>
      <c r="AC1723">
        <v>-114.72799999999999</v>
      </c>
      <c r="AD1723">
        <v>4.3290110000000004</v>
      </c>
      <c r="AE1723">
        <v>16.715599999999899</v>
      </c>
      <c r="AF1723">
        <v>16.388496761057201</v>
      </c>
      <c r="AG1723">
        <v>4.3290110000000004</v>
      </c>
      <c r="AH1723">
        <v>114.61212852495601</v>
      </c>
      <c r="AI1723">
        <v>87.858671117349999</v>
      </c>
      <c r="AJ1723">
        <v>81.862384719068302</v>
      </c>
      <c r="AK1723">
        <v>115.85880703402</v>
      </c>
      <c r="AL1723">
        <v>86.962706876314897</v>
      </c>
      <c r="AM1723">
        <v>87.182604828323903</v>
      </c>
      <c r="AN1723">
        <v>0.99999998323310202</v>
      </c>
    </row>
    <row r="1724" spans="1:40" x14ac:dyDescent="0.25">
      <c r="A1724" t="str">
        <f>"20190312154542595"</f>
        <v>20190312154542595</v>
      </c>
      <c r="B1724" t="str">
        <f>"1552376742587881"</f>
        <v>1552376742587881</v>
      </c>
      <c r="C1724" t="s">
        <v>40</v>
      </c>
      <c r="D1724">
        <v>4.370978</v>
      </c>
      <c r="E1724">
        <v>0.53661440000000005</v>
      </c>
      <c r="F1724" t="s">
        <v>56</v>
      </c>
      <c r="G1724">
        <v>-439.93549999999999</v>
      </c>
      <c r="H1724">
        <v>5.3750099999999996</v>
      </c>
      <c r="I1724">
        <v>300.13690000000003</v>
      </c>
      <c r="J1724">
        <v>-325.50490000000002</v>
      </c>
      <c r="K1724">
        <v>1.1101190000000001</v>
      </c>
      <c r="L1724">
        <v>283.20119999999997</v>
      </c>
      <c r="M1724">
        <v>-0.99989470000000003</v>
      </c>
      <c r="N1724">
        <v>0</v>
      </c>
      <c r="O1724">
        <v>2.516215E-3</v>
      </c>
      <c r="P1724">
        <v>-0.99788809999999994</v>
      </c>
      <c r="Q1724">
        <v>3.9168920000000003E-2</v>
      </c>
      <c r="R1724">
        <v>5.1817299999999997E-2</v>
      </c>
      <c r="S1724">
        <v>-2.9791560000000001</v>
      </c>
      <c r="T1724">
        <v>0.11074730000000001</v>
      </c>
      <c r="U1724">
        <v>0.43978879999999998</v>
      </c>
      <c r="V1724">
        <v>4.9292879999999997E-2</v>
      </c>
      <c r="W1724">
        <v>5.3445439999999997E-2</v>
      </c>
      <c r="X1724">
        <v>0.99735339999999995</v>
      </c>
      <c r="Y1724">
        <v>0.143454</v>
      </c>
      <c r="Z1724">
        <v>-2.5581050000000002E-3</v>
      </c>
      <c r="AA1724">
        <v>0.98965369999999997</v>
      </c>
      <c r="AB1724">
        <v>30</v>
      </c>
      <c r="AC1724">
        <v>-114.430599999999</v>
      </c>
      <c r="AD1724">
        <v>4.2648910000000004</v>
      </c>
      <c r="AE1724">
        <v>16.935700000000001</v>
      </c>
      <c r="AF1724">
        <v>16.625086174294999</v>
      </c>
      <c r="AG1724">
        <v>4.2648910000000004</v>
      </c>
      <c r="AH1724">
        <v>114.317461968983</v>
      </c>
      <c r="AI1724">
        <v>87.885653782209502</v>
      </c>
      <c r="AJ1724">
        <v>81.725534611399496</v>
      </c>
      <c r="AK1724">
        <v>115.59872359405399</v>
      </c>
      <c r="AL1724">
        <v>86.936342170181703</v>
      </c>
      <c r="AM1724">
        <v>87.170533804820707</v>
      </c>
      <c r="AN1724">
        <v>1.0000000037835199</v>
      </c>
    </row>
    <row r="1725" spans="1:40" x14ac:dyDescent="0.25">
      <c r="A1725" t="str">
        <f>"20190312154542618"</f>
        <v>20190312154542618</v>
      </c>
      <c r="B1725" t="str">
        <f>"1552376742608379"</f>
        <v>1552376742608379</v>
      </c>
      <c r="C1725" t="s">
        <v>40</v>
      </c>
      <c r="D1725">
        <v>4.332592</v>
      </c>
      <c r="E1725">
        <v>0.53740480000000002</v>
      </c>
      <c r="F1725" t="s">
        <v>56</v>
      </c>
      <c r="G1725">
        <v>-439.93560000000002</v>
      </c>
      <c r="H1725">
        <v>5.4116839999999904</v>
      </c>
      <c r="I1725">
        <v>300.37389999999999</v>
      </c>
      <c r="J1725">
        <v>-325.80309999999997</v>
      </c>
      <c r="K1725">
        <v>1.110125</v>
      </c>
      <c r="L1725">
        <v>283.20179999999999</v>
      </c>
      <c r="M1725">
        <v>-0.99989510000000004</v>
      </c>
      <c r="N1725">
        <v>0</v>
      </c>
      <c r="O1725">
        <v>2.3807099999999999E-3</v>
      </c>
      <c r="P1725">
        <v>-0.9978918</v>
      </c>
      <c r="Q1725">
        <v>3.9324770000000002E-2</v>
      </c>
      <c r="R1725">
        <v>5.1633869999999998E-2</v>
      </c>
      <c r="S1725">
        <v>-2.978729</v>
      </c>
      <c r="T1725">
        <v>0.1119738</v>
      </c>
      <c r="U1725">
        <v>0.44702150000000002</v>
      </c>
      <c r="V1725">
        <v>4.9244820000000002E-2</v>
      </c>
      <c r="W1725">
        <v>5.3597810000000003E-2</v>
      </c>
      <c r="X1725">
        <v>0.9973476</v>
      </c>
      <c r="Y1725">
        <v>0.14595520000000001</v>
      </c>
      <c r="Z1725">
        <v>-2.6381180000000001E-3</v>
      </c>
      <c r="AA1725">
        <v>0.98928769999999999</v>
      </c>
      <c r="AB1725">
        <v>30</v>
      </c>
      <c r="AC1725">
        <v>-114.13249999999999</v>
      </c>
      <c r="AD1725">
        <v>4.3015589999999904</v>
      </c>
      <c r="AE1725">
        <v>17.1721</v>
      </c>
      <c r="AF1725">
        <v>16.8768647470311</v>
      </c>
      <c r="AG1725">
        <v>4.3015589999999904</v>
      </c>
      <c r="AH1725">
        <v>114.014692711461</v>
      </c>
      <c r="AI1725">
        <v>87.862630333472694</v>
      </c>
      <c r="AJ1725">
        <v>81.580014185846395</v>
      </c>
      <c r="AK1725">
        <v>115.33725385845101</v>
      </c>
      <c r="AL1725">
        <v>86.927599489288298</v>
      </c>
      <c r="AM1725">
        <v>87.173271614043998</v>
      </c>
      <c r="AN1725">
        <v>1.0000000063796901</v>
      </c>
    </row>
    <row r="1726" spans="1:40" x14ac:dyDescent="0.25">
      <c r="A1726" t="str">
        <f>"20190312154542651"</f>
        <v>20190312154542651</v>
      </c>
      <c r="B1726" t="str">
        <f>"1552376742648392"</f>
        <v>1552376742648392</v>
      </c>
      <c r="C1726" t="s">
        <v>40</v>
      </c>
      <c r="D1726">
        <v>4.2344460000000002</v>
      </c>
      <c r="E1726">
        <v>0.53912119999999997</v>
      </c>
      <c r="F1726" t="s">
        <v>56</v>
      </c>
      <c r="G1726">
        <v>-439.93560000000002</v>
      </c>
      <c r="H1726">
        <v>5.4424720000000004</v>
      </c>
      <c r="I1726">
        <v>300.55349999999999</v>
      </c>
      <c r="J1726">
        <v>-326.2525</v>
      </c>
      <c r="K1726">
        <v>1.1101270000000001</v>
      </c>
      <c r="L1726">
        <v>283.20260000000002</v>
      </c>
      <c r="M1726">
        <v>-0.99989570000000005</v>
      </c>
      <c r="N1726">
        <v>0</v>
      </c>
      <c r="O1726">
        <v>2.1765E-3</v>
      </c>
      <c r="P1726">
        <v>-0.99788500000000002</v>
      </c>
      <c r="Q1726">
        <v>3.9533279999999997E-2</v>
      </c>
      <c r="R1726">
        <v>5.160236E-2</v>
      </c>
      <c r="S1726">
        <v>-2.9784549999999999</v>
      </c>
      <c r="T1726">
        <v>0.1130593</v>
      </c>
      <c r="U1726">
        <v>0.45281979999999999</v>
      </c>
      <c r="V1726">
        <v>4.9417229999999999E-2</v>
      </c>
      <c r="W1726">
        <v>5.3800649999999998E-2</v>
      </c>
      <c r="X1726">
        <v>0.9973282</v>
      </c>
      <c r="Y1726">
        <v>0.14804970000000001</v>
      </c>
      <c r="Z1726">
        <v>-2.7107500000000001E-3</v>
      </c>
      <c r="AA1726">
        <v>0.98897619999999997</v>
      </c>
      <c r="AB1726">
        <v>30</v>
      </c>
      <c r="AC1726">
        <v>-113.6831</v>
      </c>
      <c r="AD1726">
        <v>4.3323450000000001</v>
      </c>
      <c r="AE1726">
        <v>17.3508999999999</v>
      </c>
      <c r="AF1726">
        <v>17.079163095520101</v>
      </c>
      <c r="AG1726">
        <v>4.3323450000000001</v>
      </c>
      <c r="AH1726">
        <v>113.55943149150499</v>
      </c>
      <c r="AI1726">
        <v>87.839474142260499</v>
      </c>
      <c r="AJ1726">
        <v>81.446908249460293</v>
      </c>
      <c r="AK1726">
        <v>114.91828186113899</v>
      </c>
      <c r="AL1726">
        <v>86.915960972389897</v>
      </c>
      <c r="AM1726">
        <v>87.163336062814295</v>
      </c>
      <c r="AN1726">
        <v>1.00000005553826</v>
      </c>
    </row>
    <row r="1727" spans="1:40" x14ac:dyDescent="0.25">
      <c r="A1727" t="str">
        <f>"20190312154542673"</f>
        <v>20190312154542673</v>
      </c>
      <c r="B1727" t="str">
        <f>"1552376742658153"</f>
        <v>1552376742658153</v>
      </c>
      <c r="C1727" t="s">
        <v>40</v>
      </c>
      <c r="D1727">
        <v>4.3065749999999996</v>
      </c>
      <c r="E1727">
        <v>0.53934439999999995</v>
      </c>
      <c r="F1727" t="s">
        <v>56</v>
      </c>
      <c r="G1727">
        <v>-440.19979999999998</v>
      </c>
      <c r="H1727">
        <v>5.4885840000000004</v>
      </c>
      <c r="I1727">
        <v>301.05009999999999</v>
      </c>
      <c r="J1727">
        <v>-326.5598</v>
      </c>
      <c r="K1727">
        <v>1.1101289999999999</v>
      </c>
      <c r="L1727">
        <v>283.20310000000001</v>
      </c>
      <c r="M1727">
        <v>-0.99989600000000001</v>
      </c>
      <c r="N1727">
        <v>0</v>
      </c>
      <c r="O1727">
        <v>2.0367649999999998E-3</v>
      </c>
      <c r="P1727">
        <v>-0.99788270000000001</v>
      </c>
      <c r="Q1727">
        <v>3.9517959999999998E-2</v>
      </c>
      <c r="R1727">
        <v>5.1660369999999997E-2</v>
      </c>
      <c r="S1727">
        <v>-2.977722</v>
      </c>
      <c r="T1727">
        <v>0.1144202</v>
      </c>
      <c r="U1727">
        <v>0.46640009999999998</v>
      </c>
      <c r="V1727">
        <v>4.9614730000000003E-2</v>
      </c>
      <c r="W1727">
        <v>5.3782080000000003E-2</v>
      </c>
      <c r="X1727">
        <v>0.99731930000000002</v>
      </c>
      <c r="Y1727">
        <v>0.15262200000000001</v>
      </c>
      <c r="Z1727">
        <v>-2.8356919999999999E-3</v>
      </c>
      <c r="AA1727">
        <v>0.98828059999999995</v>
      </c>
      <c r="AB1727">
        <v>30</v>
      </c>
      <c r="AC1727">
        <v>-113.64</v>
      </c>
      <c r="AD1727">
        <v>4.37845499999999</v>
      </c>
      <c r="AE1727">
        <v>17.846999999999898</v>
      </c>
      <c r="AF1727">
        <v>17.589997644407301</v>
      </c>
      <c r="AG1727">
        <v>4.37845499999999</v>
      </c>
      <c r="AH1727">
        <v>113.511666435853</v>
      </c>
      <c r="AI1727">
        <v>87.817068871584297</v>
      </c>
      <c r="AJ1727">
        <v>81.191391809569794</v>
      </c>
      <c r="AK1727">
        <v>114.949890397345</v>
      </c>
      <c r="AL1727">
        <v>86.917026202360503</v>
      </c>
      <c r="AM1727">
        <v>87.1519923577425</v>
      </c>
      <c r="AN1727">
        <v>0.99999995985729295</v>
      </c>
    </row>
    <row r="1728" spans="1:40" x14ac:dyDescent="0.25">
      <c r="A1728" t="str">
        <f>"20190312154542696"</f>
        <v>20190312154542696</v>
      </c>
      <c r="B1728" t="str">
        <f>"1552376742688410"</f>
        <v>1552376742688410</v>
      </c>
      <c r="C1728" t="s">
        <v>40</v>
      </c>
      <c r="D1728">
        <v>4.3163070000000001</v>
      </c>
      <c r="E1728">
        <v>0.5399273</v>
      </c>
      <c r="F1728" t="s">
        <v>56</v>
      </c>
      <c r="G1728">
        <v>-440.19970000000001</v>
      </c>
      <c r="H1728">
        <v>5.4312440000000004</v>
      </c>
      <c r="I1728">
        <v>301.07639999999998</v>
      </c>
      <c r="J1728">
        <v>-326.86750000000001</v>
      </c>
      <c r="K1728">
        <v>1.110123</v>
      </c>
      <c r="L1728">
        <v>283.20359999999999</v>
      </c>
      <c r="M1728">
        <v>-0.99989629999999996</v>
      </c>
      <c r="N1728">
        <v>0</v>
      </c>
      <c r="O1728">
        <v>1.8968489999999999E-3</v>
      </c>
      <c r="P1728">
        <v>-0.99789459999999996</v>
      </c>
      <c r="Q1728">
        <v>3.979684E-2</v>
      </c>
      <c r="R1728">
        <v>5.121357E-2</v>
      </c>
      <c r="S1728">
        <v>-2.9776310000000001</v>
      </c>
      <c r="T1728">
        <v>0.11322359999999999</v>
      </c>
      <c r="U1728">
        <v>0.46832279999999998</v>
      </c>
      <c r="V1728">
        <v>4.9307650000000001E-2</v>
      </c>
      <c r="W1728">
        <v>5.4057769999999998E-2</v>
      </c>
      <c r="X1728">
        <v>0.99731959999999997</v>
      </c>
      <c r="Y1728">
        <v>0.1533892</v>
      </c>
      <c r="Z1728">
        <v>-2.8257820000000002E-3</v>
      </c>
      <c r="AA1728">
        <v>0.98816179999999998</v>
      </c>
      <c r="AB1728">
        <v>30</v>
      </c>
      <c r="AC1728">
        <v>-113.3322</v>
      </c>
      <c r="AD1728">
        <v>4.3211209999999998</v>
      </c>
      <c r="AE1728">
        <v>17.872799999999899</v>
      </c>
      <c r="AF1728">
        <v>17.6327604801421</v>
      </c>
      <c r="AG1728">
        <v>4.3211209999999998</v>
      </c>
      <c r="AH1728">
        <v>113.20532420342199</v>
      </c>
      <c r="AI1728">
        <v>87.840062867842803</v>
      </c>
      <c r="AJ1728">
        <v>81.146798557308699</v>
      </c>
      <c r="AK1728">
        <v>114.65178479574</v>
      </c>
      <c r="AL1728">
        <v>86.901207240949105</v>
      </c>
      <c r="AM1728">
        <v>87.1695916030164</v>
      </c>
      <c r="AN1728">
        <v>0.99999993569502499</v>
      </c>
    </row>
    <row r="1729" spans="1:40" x14ac:dyDescent="0.25">
      <c r="A1729" t="str">
        <f>"20190312154542717"</f>
        <v>20190312154542717</v>
      </c>
      <c r="B1729" t="str">
        <f>"1552376742707929"</f>
        <v>1552376742707929</v>
      </c>
      <c r="C1729" t="s">
        <v>40</v>
      </c>
      <c r="D1729">
        <v>4.3076339999999904</v>
      </c>
      <c r="E1729">
        <v>0.54024799999999995</v>
      </c>
      <c r="F1729" t="s">
        <v>56</v>
      </c>
      <c r="G1729">
        <v>-440.19970000000001</v>
      </c>
      <c r="H1729">
        <v>5.2989300000000004</v>
      </c>
      <c r="I1729">
        <v>301.1499</v>
      </c>
      <c r="J1729">
        <v>-327.154</v>
      </c>
      <c r="K1729">
        <v>1.110125</v>
      </c>
      <c r="L1729">
        <v>283.20400000000001</v>
      </c>
      <c r="M1729">
        <v>-0.99989649999999997</v>
      </c>
      <c r="N1729">
        <v>0</v>
      </c>
      <c r="O1729">
        <v>1.766468E-3</v>
      </c>
      <c r="P1729">
        <v>-0.99790069999999997</v>
      </c>
      <c r="Q1729">
        <v>4.0023000000000003E-2</v>
      </c>
      <c r="R1729">
        <v>5.091561E-2</v>
      </c>
      <c r="S1729">
        <v>-2.977722</v>
      </c>
      <c r="T1729">
        <v>0.11005819999999999</v>
      </c>
      <c r="U1729">
        <v>0.47152709999999998</v>
      </c>
      <c r="V1729">
        <v>4.9139589999999997E-2</v>
      </c>
      <c r="W1729">
        <v>5.4280599999999998E-2</v>
      </c>
      <c r="X1729">
        <v>0.99731590000000003</v>
      </c>
      <c r="Y1729">
        <v>0.1545559</v>
      </c>
      <c r="Z1729">
        <v>-2.7727310000000001E-3</v>
      </c>
      <c r="AA1729">
        <v>0.98798010000000003</v>
      </c>
      <c r="AB1729">
        <v>30</v>
      </c>
      <c r="AC1729">
        <v>-113.0457</v>
      </c>
      <c r="AD1729">
        <v>4.1888050000000003</v>
      </c>
      <c r="AE1729">
        <v>17.945899999999899</v>
      </c>
      <c r="AF1729">
        <v>17.7224251902826</v>
      </c>
      <c r="AG1729">
        <v>4.1888050000000003</v>
      </c>
      <c r="AH1729">
        <v>112.925991057711</v>
      </c>
      <c r="AI1729">
        <v>87.901344668119293</v>
      </c>
      <c r="AJ1729">
        <v>81.080842069689098</v>
      </c>
      <c r="AK1729">
        <v>114.38491989034</v>
      </c>
      <c r="AL1729">
        <v>86.8884215849355</v>
      </c>
      <c r="AM1729">
        <v>87.179212700416102</v>
      </c>
      <c r="AN1729">
        <v>1.00000004361726</v>
      </c>
    </row>
    <row r="1730" spans="1:40" x14ac:dyDescent="0.25">
      <c r="A1730" t="str">
        <f>"20190312154542742"</f>
        <v>20190312154542742</v>
      </c>
      <c r="B1730" t="str">
        <f>"1552376742728425"</f>
        <v>1552376742728425</v>
      </c>
      <c r="C1730" t="s">
        <v>40</v>
      </c>
      <c r="D1730">
        <v>4.307982</v>
      </c>
      <c r="E1730">
        <v>0.54041759999999905</v>
      </c>
      <c r="F1730" t="s">
        <v>56</v>
      </c>
      <c r="G1730">
        <v>-440.19970000000001</v>
      </c>
      <c r="H1730">
        <v>5.2379429999999996</v>
      </c>
      <c r="I1730">
        <v>301.16449999999998</v>
      </c>
      <c r="J1730">
        <v>-327.48009999999999</v>
      </c>
      <c r="K1730">
        <v>1.1101240000000001</v>
      </c>
      <c r="L1730">
        <v>283.20440000000002</v>
      </c>
      <c r="M1730">
        <v>-0.99989700000000004</v>
      </c>
      <c r="N1730">
        <v>0</v>
      </c>
      <c r="O1730">
        <v>1.6179709999999999E-3</v>
      </c>
      <c r="P1730">
        <v>-0.99792369999999997</v>
      </c>
      <c r="Q1730">
        <v>4.0190650000000001E-2</v>
      </c>
      <c r="R1730">
        <v>5.0333740000000002E-2</v>
      </c>
      <c r="S1730">
        <v>-2.9778440000000002</v>
      </c>
      <c r="T1730">
        <v>0.1087351</v>
      </c>
      <c r="U1730">
        <v>0.47311399999999998</v>
      </c>
      <c r="V1730">
        <v>4.8705909999999998E-2</v>
      </c>
      <c r="W1730">
        <v>5.4444859999999998E-2</v>
      </c>
      <c r="X1730">
        <v>0.9973282</v>
      </c>
      <c r="Y1730">
        <v>0.15521190000000001</v>
      </c>
      <c r="Z1730">
        <v>-2.75648E-3</v>
      </c>
      <c r="AA1730">
        <v>0.98787740000000002</v>
      </c>
      <c r="AB1730">
        <v>30</v>
      </c>
      <c r="AC1730">
        <v>-112.7196</v>
      </c>
      <c r="AD1730">
        <v>4.1278189999999997</v>
      </c>
      <c r="AE1730">
        <v>17.960099999999901</v>
      </c>
      <c r="AF1730">
        <v>17.7544609109815</v>
      </c>
      <c r="AG1730">
        <v>4.1278189999999997</v>
      </c>
      <c r="AH1730">
        <v>112.60124995108301</v>
      </c>
      <c r="AI1730">
        <v>87.926148068661405</v>
      </c>
      <c r="AJ1730">
        <v>81.0396283450699</v>
      </c>
      <c r="AK1730">
        <v>114.06709105821299</v>
      </c>
      <c r="AL1730">
        <v>86.878996179998097</v>
      </c>
      <c r="AM1730">
        <v>87.204102225461099</v>
      </c>
      <c r="AN1730">
        <v>1.0000000234822899</v>
      </c>
    </row>
    <row r="1731" spans="1:40" x14ac:dyDescent="0.25">
      <c r="A1731" t="str">
        <f>"20190312154542765"</f>
        <v>20190312154542765</v>
      </c>
      <c r="B1731" t="str">
        <f>"1552376742758681"</f>
        <v>1552376742758681</v>
      </c>
      <c r="C1731" t="s">
        <v>40</v>
      </c>
      <c r="D1731">
        <v>4.3268279999999999</v>
      </c>
      <c r="E1731">
        <v>0.54067010000000004</v>
      </c>
      <c r="F1731" t="s">
        <v>56</v>
      </c>
      <c r="G1731">
        <v>-440.19959999999998</v>
      </c>
      <c r="H1731">
        <v>5.1860989999999996</v>
      </c>
      <c r="I1731">
        <v>301.09789999999998</v>
      </c>
      <c r="J1731">
        <v>-327.79140000000001</v>
      </c>
      <c r="K1731">
        <v>1.1101270000000001</v>
      </c>
      <c r="L1731">
        <v>283.2047</v>
      </c>
      <c r="M1731">
        <v>-0.99989709999999998</v>
      </c>
      <c r="N1731">
        <v>0</v>
      </c>
      <c r="O1731">
        <v>1.4763279999999901E-3</v>
      </c>
      <c r="P1731">
        <v>-0.99793100000000001</v>
      </c>
      <c r="Q1731">
        <v>4.0328849999999999E-2</v>
      </c>
      <c r="R1731">
        <v>5.0073520000000003E-2</v>
      </c>
      <c r="S1731">
        <v>-2.9780579999999999</v>
      </c>
      <c r="T1731">
        <v>0.1076878</v>
      </c>
      <c r="U1731">
        <v>0.4727478</v>
      </c>
      <c r="V1731">
        <v>4.8587060000000001E-2</v>
      </c>
      <c r="W1731">
        <v>5.4579610000000001E-2</v>
      </c>
      <c r="X1731">
        <v>0.99732659999999995</v>
      </c>
      <c r="Y1731">
        <v>0.15522420000000001</v>
      </c>
      <c r="Z1731">
        <v>-2.7350899999999999E-3</v>
      </c>
      <c r="AA1731">
        <v>0.98787550000000002</v>
      </c>
      <c r="AB1731">
        <v>30</v>
      </c>
      <c r="AC1731">
        <v>-112.408199999999</v>
      </c>
      <c r="AD1731">
        <v>4.0759719999999904</v>
      </c>
      <c r="AE1731">
        <v>17.893199999999901</v>
      </c>
      <c r="AF1731">
        <v>17.704509236786301</v>
      </c>
      <c r="AG1731">
        <v>4.0759719999999904</v>
      </c>
      <c r="AH1731">
        <v>112.29050313197099</v>
      </c>
      <c r="AI1731">
        <v>87.946509247229699</v>
      </c>
      <c r="AJ1731">
        <v>81.040103564458207</v>
      </c>
      <c r="AK1731">
        <v>113.75069357455099</v>
      </c>
      <c r="AL1731">
        <v>86.871263977339396</v>
      </c>
      <c r="AM1731">
        <v>87.2109093979563</v>
      </c>
      <c r="AN1731">
        <v>0.99999999164737696</v>
      </c>
    </row>
    <row r="1732" spans="1:40" x14ac:dyDescent="0.25">
      <c r="A1732" t="str">
        <f>"20190312154542786"</f>
        <v>20190312154542786</v>
      </c>
      <c r="B1732" t="str">
        <f>"1552376742778201"</f>
        <v>1552376742778201</v>
      </c>
      <c r="C1732" t="s">
        <v>40</v>
      </c>
      <c r="D1732">
        <v>4.284808</v>
      </c>
      <c r="E1732">
        <v>0.54081590000000002</v>
      </c>
      <c r="F1732" t="s">
        <v>56</v>
      </c>
      <c r="G1732">
        <v>-440.19959999999998</v>
      </c>
      <c r="H1732">
        <v>5.1178419999999996</v>
      </c>
      <c r="I1732">
        <v>301.0874</v>
      </c>
      <c r="J1732">
        <v>-328.07780000000002</v>
      </c>
      <c r="K1732">
        <v>1.110125</v>
      </c>
      <c r="L1732">
        <v>283.20499999999998</v>
      </c>
      <c r="M1732">
        <v>-0.99989740000000005</v>
      </c>
      <c r="N1732">
        <v>0</v>
      </c>
      <c r="O1732">
        <v>1.3459469999999999E-3</v>
      </c>
      <c r="P1732">
        <v>-0.99793520000000002</v>
      </c>
      <c r="Q1732">
        <v>4.0611899999999999E-2</v>
      </c>
      <c r="R1732">
        <v>4.9759600000000001E-2</v>
      </c>
      <c r="S1732">
        <v>-2.9781490000000002</v>
      </c>
      <c r="T1732">
        <v>0.10618089999999999</v>
      </c>
      <c r="U1732">
        <v>0.47378540000000002</v>
      </c>
      <c r="V1732">
        <v>4.8403250000000002E-2</v>
      </c>
      <c r="W1732">
        <v>5.4859570000000003E-2</v>
      </c>
      <c r="X1732">
        <v>0.99732019999999999</v>
      </c>
      <c r="Y1732">
        <v>0.155686299999999</v>
      </c>
      <c r="Z1732">
        <v>-2.7094900000000002E-3</v>
      </c>
      <c r="AA1732">
        <v>0.98780279999999998</v>
      </c>
      <c r="AB1732">
        <v>30</v>
      </c>
      <c r="AC1732">
        <v>-112.121799999999</v>
      </c>
      <c r="AD1732">
        <v>4.0077170000000004</v>
      </c>
      <c r="AE1732">
        <v>17.882400000000001</v>
      </c>
      <c r="AF1732">
        <v>17.709393216898601</v>
      </c>
      <c r="AG1732">
        <v>4.0077170000000004</v>
      </c>
      <c r="AH1732">
        <v>112.006214128365</v>
      </c>
      <c r="AI1732">
        <v>87.975885337711802</v>
      </c>
      <c r="AJ1732">
        <v>81.015294856371099</v>
      </c>
      <c r="AK1732">
        <v>113.468393868213</v>
      </c>
      <c r="AL1732">
        <v>86.855199453045003</v>
      </c>
      <c r="AM1732">
        <v>87.221426454370601</v>
      </c>
      <c r="AN1732">
        <v>1.0000000141795899</v>
      </c>
    </row>
    <row r="1733" spans="1:40" x14ac:dyDescent="0.25">
      <c r="A1733" t="str">
        <f>"20190312154542807"</f>
        <v>20190312154542807</v>
      </c>
      <c r="B1733" t="str">
        <f>"1552376742798697"</f>
        <v>1552376742798697</v>
      </c>
      <c r="C1733" t="s">
        <v>40</v>
      </c>
      <c r="D1733">
        <v>4.2987279999999997</v>
      </c>
      <c r="E1733">
        <v>0.54090309999999997</v>
      </c>
      <c r="F1733" t="s">
        <v>56</v>
      </c>
      <c r="G1733">
        <v>-440.19959999999998</v>
      </c>
      <c r="H1733">
        <v>5.0965249999999997</v>
      </c>
      <c r="I1733">
        <v>301.05040000000002</v>
      </c>
      <c r="J1733">
        <v>-328.35899999999998</v>
      </c>
      <c r="K1733">
        <v>1.110128</v>
      </c>
      <c r="L1733">
        <v>283.20530000000002</v>
      </c>
      <c r="M1733">
        <v>-0.99989760000000005</v>
      </c>
      <c r="N1733">
        <v>0</v>
      </c>
      <c r="O1733">
        <v>1.217772E-3</v>
      </c>
      <c r="P1733">
        <v>-0.99792899999999995</v>
      </c>
      <c r="Q1733">
        <v>4.0863490000000002E-2</v>
      </c>
      <c r="R1733">
        <v>4.9680870000000002E-2</v>
      </c>
      <c r="S1733">
        <v>-2.9783019999999998</v>
      </c>
      <c r="T1733">
        <v>0.10589129999999999</v>
      </c>
      <c r="U1733">
        <v>0.47402949999999999</v>
      </c>
      <c r="V1733">
        <v>4.8452530000000001E-2</v>
      </c>
      <c r="W1733">
        <v>5.5107620000000003E-2</v>
      </c>
      <c r="X1733">
        <v>0.99730410000000003</v>
      </c>
      <c r="Y1733">
        <v>0.15588440000000001</v>
      </c>
      <c r="Z1733">
        <v>-2.7099770000000001E-3</v>
      </c>
      <c r="AA1733">
        <v>0.98777159999999997</v>
      </c>
      <c r="AB1733">
        <v>30</v>
      </c>
      <c r="AC1733">
        <v>-111.840599999999</v>
      </c>
      <c r="AD1733">
        <v>3.9863970000000002</v>
      </c>
      <c r="AE1733">
        <v>17.845099999999999</v>
      </c>
      <c r="AF1733">
        <v>17.686963803339601</v>
      </c>
      <c r="AG1733">
        <v>3.9863970000000002</v>
      </c>
      <c r="AH1733">
        <v>111.723833440975</v>
      </c>
      <c r="AI1733">
        <v>87.981621582640201</v>
      </c>
      <c r="AJ1733">
        <v>81.004178934513106</v>
      </c>
      <c r="AK1733">
        <v>113.185401039043</v>
      </c>
      <c r="AL1733">
        <v>86.840965603441006</v>
      </c>
      <c r="AM1733">
        <v>87.218557160214303</v>
      </c>
      <c r="AN1733">
        <v>0.99999998266113699</v>
      </c>
    </row>
    <row r="1734" spans="1:40" x14ac:dyDescent="0.25">
      <c r="A1734" t="str">
        <f>"20190312154542829"</f>
        <v>20190312154542829</v>
      </c>
      <c r="B1734" t="str">
        <f>"1552376742818218"</f>
        <v>1552376742818218</v>
      </c>
      <c r="C1734" t="s">
        <v>40</v>
      </c>
      <c r="D1734">
        <v>4.223382</v>
      </c>
      <c r="E1734">
        <v>0.54075030000000002</v>
      </c>
      <c r="F1734" t="s">
        <v>56</v>
      </c>
      <c r="G1734">
        <v>-440.19959999999998</v>
      </c>
      <c r="H1734">
        <v>5.1112349999999998</v>
      </c>
      <c r="I1734">
        <v>301.02100000000002</v>
      </c>
      <c r="J1734">
        <v>-328.66699999999997</v>
      </c>
      <c r="K1734">
        <v>1.1101319999999999</v>
      </c>
      <c r="L1734">
        <v>283.2054</v>
      </c>
      <c r="M1734">
        <v>-0.99989779999999995</v>
      </c>
      <c r="N1734">
        <v>0</v>
      </c>
      <c r="O1734">
        <v>1.077499E-3</v>
      </c>
      <c r="P1734">
        <v>-0.99794179999999999</v>
      </c>
      <c r="Q1734">
        <v>4.0622619999999998E-2</v>
      </c>
      <c r="R1734">
        <v>4.962043E-2</v>
      </c>
      <c r="S1734">
        <v>-2.9782709999999999</v>
      </c>
      <c r="T1734">
        <v>0.1065482</v>
      </c>
      <c r="U1734">
        <v>0.47442630000000002</v>
      </c>
      <c r="V1734">
        <v>4.8532159999999998E-2</v>
      </c>
      <c r="W1734">
        <v>5.4863370000000002E-2</v>
      </c>
      <c r="X1734">
        <v>0.99731369999999997</v>
      </c>
      <c r="Y1734">
        <v>0.1561514</v>
      </c>
      <c r="Z1734">
        <v>-2.736507E-3</v>
      </c>
      <c r="AA1734">
        <v>0.98772930000000003</v>
      </c>
      <c r="AB1734">
        <v>30</v>
      </c>
      <c r="AC1734">
        <v>-111.5326</v>
      </c>
      <c r="AD1734">
        <v>4.0011029999999996</v>
      </c>
      <c r="AE1734">
        <v>17.8155999999999</v>
      </c>
      <c r="AF1734">
        <v>17.673222813595601</v>
      </c>
      <c r="AG1734">
        <v>4.0011029999999996</v>
      </c>
      <c r="AH1734">
        <v>111.411921172958</v>
      </c>
      <c r="AI1734">
        <v>87.968615454843103</v>
      </c>
      <c r="AJ1734">
        <v>80.986300497713799</v>
      </c>
      <c r="AK1734">
        <v>112.875895607898</v>
      </c>
      <c r="AL1734">
        <v>86.854981318479801</v>
      </c>
      <c r="AM1734">
        <v>87.214019929951306</v>
      </c>
      <c r="AN1734">
        <v>0.99999998806485602</v>
      </c>
    </row>
    <row r="1735" spans="1:40" x14ac:dyDescent="0.25">
      <c r="A1735" t="str">
        <f>"20190312154542852"</f>
        <v>20190312154542852</v>
      </c>
      <c r="B1735" t="str">
        <f>"1552376742848473"</f>
        <v>1552376742848473</v>
      </c>
      <c r="C1735" t="s">
        <v>40</v>
      </c>
      <c r="D1735">
        <v>4.2742570000000004</v>
      </c>
      <c r="E1735">
        <v>0.491873</v>
      </c>
      <c r="F1735" t="s">
        <v>56</v>
      </c>
      <c r="G1735">
        <v>-439.93549999999999</v>
      </c>
      <c r="H1735">
        <v>5.0632060000000001</v>
      </c>
      <c r="I1735">
        <v>300.8852</v>
      </c>
      <c r="J1735">
        <v>-328.9631</v>
      </c>
      <c r="K1735">
        <v>1.110134</v>
      </c>
      <c r="L1735">
        <v>283.2056</v>
      </c>
      <c r="M1735">
        <v>-0.99989790000000001</v>
      </c>
      <c r="N1735">
        <v>0</v>
      </c>
      <c r="O1735">
        <v>9.4270970000000004E-4</v>
      </c>
      <c r="P1735">
        <v>-0.997919</v>
      </c>
      <c r="Q1735">
        <v>4.060449E-2</v>
      </c>
      <c r="R1735">
        <v>5.0092100000000001E-2</v>
      </c>
      <c r="S1735">
        <v>-2.9783330000000001</v>
      </c>
      <c r="T1735">
        <v>0.1058125</v>
      </c>
      <c r="U1735">
        <v>0.47323609999999999</v>
      </c>
      <c r="V1735">
        <v>4.9138330000000001E-2</v>
      </c>
      <c r="W1735">
        <v>5.4841479999999998E-2</v>
      </c>
      <c r="X1735">
        <v>0.99728519999999998</v>
      </c>
      <c r="Y1735">
        <v>0.15589790000000001</v>
      </c>
      <c r="Z1735">
        <v>-2.7179370000000001E-3</v>
      </c>
      <c r="AA1735">
        <v>0.98776940000000002</v>
      </c>
      <c r="AB1735">
        <v>30</v>
      </c>
      <c r="AC1735">
        <v>-110.97239999999999</v>
      </c>
      <c r="AD1735">
        <v>3.9530720000000001</v>
      </c>
      <c r="AE1735">
        <v>17.679599999999901</v>
      </c>
      <c r="AF1735">
        <v>17.553244165711199</v>
      </c>
      <c r="AG1735">
        <v>3.9530720000000001</v>
      </c>
      <c r="AH1735">
        <v>110.85183715538101</v>
      </c>
      <c r="AI1735">
        <v>87.982761307978606</v>
      </c>
      <c r="AJ1735">
        <v>81.001997739113193</v>
      </c>
      <c r="AK1735">
        <v>112.302595516316</v>
      </c>
      <c r="AL1735">
        <v>86.856237347186294</v>
      </c>
      <c r="AM1735">
        <v>87.179198220642704</v>
      </c>
      <c r="AN1735">
        <v>0.99999996677140901</v>
      </c>
    </row>
    <row r="1736" spans="1:40" x14ac:dyDescent="0.25">
      <c r="A1736" t="str">
        <f>"20190312154542874"</f>
        <v>20190312154542874</v>
      </c>
      <c r="B1736" t="str">
        <f>"1552376742867993"</f>
        <v>1552376742867993</v>
      </c>
      <c r="C1736" t="s">
        <v>40</v>
      </c>
      <c r="D1736">
        <v>4.2056279999999999</v>
      </c>
      <c r="E1736">
        <v>0.47769780000000001</v>
      </c>
      <c r="F1736" t="s">
        <v>44</v>
      </c>
      <c r="G1736">
        <v>0</v>
      </c>
      <c r="H1736">
        <v>0</v>
      </c>
      <c r="I1736">
        <v>0</v>
      </c>
      <c r="J1736">
        <v>-329.26589999999999</v>
      </c>
      <c r="K1736">
        <v>1.110134</v>
      </c>
      <c r="L1736">
        <v>283.20569999999998</v>
      </c>
      <c r="M1736">
        <v>-0.99989810000000001</v>
      </c>
      <c r="N1736">
        <v>0</v>
      </c>
      <c r="O1736">
        <v>8.0493830000000004E-4</v>
      </c>
      <c r="P1736">
        <v>-0.99791750000000001</v>
      </c>
      <c r="Q1736">
        <v>4.0604080000000001E-2</v>
      </c>
      <c r="R1736">
        <v>5.0122899999999998E-2</v>
      </c>
      <c r="S1736">
        <v>-2.9957579999999999</v>
      </c>
      <c r="T1736">
        <v>0.15135399999999999</v>
      </c>
      <c r="U1736">
        <v>8.6547849999999996E-2</v>
      </c>
      <c r="V1736">
        <v>4.9306799999999998E-2</v>
      </c>
      <c r="W1736">
        <v>5.4838150000000002E-2</v>
      </c>
      <c r="X1736">
        <v>0.99727710000000003</v>
      </c>
      <c r="Y1736">
        <v>2.803868E-2</v>
      </c>
      <c r="Z1736">
        <v>-6.670596E-4</v>
      </c>
      <c r="AA1736">
        <v>0.99960660000000001</v>
      </c>
      <c r="AB1736">
        <v>30</v>
      </c>
      <c r="AC1736">
        <v>-2.9957579999999999</v>
      </c>
      <c r="AD1736">
        <v>0.15135399999999999</v>
      </c>
      <c r="AE1736">
        <v>8.6547849999999996E-2</v>
      </c>
      <c r="AF1736">
        <v>8.3922139779088301E-2</v>
      </c>
      <c r="AG1736">
        <v>0.15135399999999999</v>
      </c>
      <c r="AH1736">
        <v>2.9882055173686801</v>
      </c>
      <c r="AI1736">
        <v>87.101560883912001</v>
      </c>
      <c r="AJ1736">
        <v>88.391301801835198</v>
      </c>
      <c r="AK1736">
        <v>2.99321285125093</v>
      </c>
      <c r="AL1736">
        <v>86.856428530166298</v>
      </c>
      <c r="AM1736">
        <v>87.169519893675599</v>
      </c>
      <c r="AN1736">
        <v>0.99999999870303602</v>
      </c>
    </row>
    <row r="1737" spans="1:40" x14ac:dyDescent="0.25">
      <c r="A1737" t="str">
        <f>"20190312154542896"</f>
        <v>20190312154542896</v>
      </c>
      <c r="B1737" t="str">
        <f>"1552376742888492"</f>
        <v>1552376742888492</v>
      </c>
      <c r="C1737" t="s">
        <v>40</v>
      </c>
      <c r="D1737">
        <v>4.2011079999999996</v>
      </c>
      <c r="E1737">
        <v>0.46944570000000002</v>
      </c>
      <c r="F1737" t="s">
        <v>44</v>
      </c>
      <c r="G1737">
        <v>0</v>
      </c>
      <c r="H1737">
        <v>0</v>
      </c>
      <c r="I1737">
        <v>0</v>
      </c>
      <c r="J1737">
        <v>-329.55880000000002</v>
      </c>
      <c r="K1737">
        <v>1.110131</v>
      </c>
      <c r="L1737">
        <v>283.20580000000001</v>
      </c>
      <c r="M1737">
        <v>-0.99989830000000002</v>
      </c>
      <c r="N1737">
        <v>0</v>
      </c>
      <c r="O1737">
        <v>6.7163539999999999E-4</v>
      </c>
      <c r="P1737">
        <v>-0.99790880000000004</v>
      </c>
      <c r="Q1737">
        <v>4.0702750000000003E-2</v>
      </c>
      <c r="R1737">
        <v>5.0211840000000001E-2</v>
      </c>
      <c r="S1737">
        <v>-3.0015260000000001</v>
      </c>
      <c r="T1737">
        <v>0.14946589999999901</v>
      </c>
      <c r="U1737">
        <v>-2.651978E-2</v>
      </c>
      <c r="V1737">
        <v>4.9528570000000001E-2</v>
      </c>
      <c r="W1737">
        <v>5.4933839999999998E-2</v>
      </c>
      <c r="X1737">
        <v>0.99726090000000001</v>
      </c>
      <c r="Y1737">
        <v>-9.4941680000000007E-3</v>
      </c>
      <c r="Z1737">
        <v>2.6966510000000002E-4</v>
      </c>
      <c r="AA1737">
        <v>0.99995489999999998</v>
      </c>
      <c r="AB1737">
        <v>30</v>
      </c>
      <c r="AC1737">
        <v>-3.0015260000000001</v>
      </c>
      <c r="AD1737">
        <v>0.14946589999999901</v>
      </c>
      <c r="AE1737">
        <v>-2.651978E-2</v>
      </c>
      <c r="AF1737">
        <v>-2.8465329607862501E-2</v>
      </c>
      <c r="AG1737">
        <v>0.14946589999999901</v>
      </c>
      <c r="AH1737">
        <v>2.9940836447024899</v>
      </c>
      <c r="AI1737">
        <v>87.142272202063793</v>
      </c>
      <c r="AJ1737">
        <v>90.544705594981707</v>
      </c>
      <c r="AK1737">
        <v>2.9979471645990401</v>
      </c>
      <c r="AL1737">
        <v>86.850937795569806</v>
      </c>
      <c r="AM1737">
        <v>87.156763814186405</v>
      </c>
      <c r="AN1737">
        <v>1.0000000543460901</v>
      </c>
    </row>
    <row r="1738" spans="1:40" x14ac:dyDescent="0.25">
      <c r="A1738" t="str">
        <f>"20190312154542918"</f>
        <v>20190312154542918</v>
      </c>
      <c r="B1738" t="str">
        <f>"1552376742908010"</f>
        <v>1552376742908010</v>
      </c>
      <c r="C1738" t="s">
        <v>40</v>
      </c>
      <c r="D1738">
        <v>4.233657</v>
      </c>
      <c r="E1738">
        <v>0.46485969999999999</v>
      </c>
      <c r="F1738" t="s">
        <v>58</v>
      </c>
      <c r="G1738">
        <v>-511.96199999999999</v>
      </c>
      <c r="H1738">
        <v>10.226929999999999</v>
      </c>
      <c r="I1738">
        <v>277.63339999999999</v>
      </c>
      <c r="J1738">
        <v>-329.8503</v>
      </c>
      <c r="K1738">
        <v>1.1101350000000001</v>
      </c>
      <c r="L1738">
        <v>283.20589999999999</v>
      </c>
      <c r="M1738">
        <v>-0.99989830000000002</v>
      </c>
      <c r="N1738">
        <v>0</v>
      </c>
      <c r="O1738">
        <v>5.3922300000000002E-4</v>
      </c>
      <c r="P1738">
        <v>-0.99788659999999996</v>
      </c>
      <c r="Q1738">
        <v>4.1194250000000002E-2</v>
      </c>
      <c r="R1738">
        <v>5.02523E-2</v>
      </c>
      <c r="S1738">
        <v>-3.004791</v>
      </c>
      <c r="T1738">
        <v>0.15018529999999999</v>
      </c>
      <c r="U1738">
        <v>-9.1796879999999997E-2</v>
      </c>
      <c r="V1738">
        <v>4.9701330000000002E-2</v>
      </c>
      <c r="W1738">
        <v>5.5421860000000003E-2</v>
      </c>
      <c r="X1738">
        <v>0.99722520000000003</v>
      </c>
      <c r="Y1738">
        <v>-3.103556E-2</v>
      </c>
      <c r="Z1738">
        <v>8.0187599999999998E-4</v>
      </c>
      <c r="AA1738">
        <v>0.99951800000000002</v>
      </c>
      <c r="AB1738">
        <v>30</v>
      </c>
      <c r="AC1738">
        <v>-182.11170000000001</v>
      </c>
      <c r="AD1738">
        <v>9.1167949999999998</v>
      </c>
      <c r="AE1738">
        <v>-5.57249999999999</v>
      </c>
      <c r="AF1738">
        <v>-5.6565450382692397</v>
      </c>
      <c r="AG1738">
        <v>9.1167949999999998</v>
      </c>
      <c r="AH1738">
        <v>181.65384078618899</v>
      </c>
      <c r="AI1738">
        <v>87.128254839079304</v>
      </c>
      <c r="AJ1738">
        <v>91.783565180575394</v>
      </c>
      <c r="AK1738">
        <v>181.97041057604901</v>
      </c>
      <c r="AL1738">
        <v>86.822933322309495</v>
      </c>
      <c r="AM1738">
        <v>87.146760743515998</v>
      </c>
      <c r="AN1738">
        <v>0.99999995214233295</v>
      </c>
    </row>
    <row r="1739" spans="1:40" x14ac:dyDescent="0.25">
      <c r="A1739" t="str">
        <f>"20190312154542942"</f>
        <v>20190312154542942</v>
      </c>
      <c r="B1739" t="str">
        <f>"1552376742928509"</f>
        <v>1552376742928509</v>
      </c>
      <c r="C1739" t="s">
        <v>40</v>
      </c>
      <c r="D1739">
        <v>4.2218330000000002</v>
      </c>
      <c r="E1739">
        <v>0.46201300000000001</v>
      </c>
      <c r="F1739" t="s">
        <v>58</v>
      </c>
      <c r="G1739">
        <v>-512.82860000000005</v>
      </c>
      <c r="H1739">
        <v>10.21561</v>
      </c>
      <c r="I1739">
        <v>275.38139999999999</v>
      </c>
      <c r="J1739">
        <v>-330.16039999999998</v>
      </c>
      <c r="K1739">
        <v>1.1101350000000001</v>
      </c>
      <c r="L1739">
        <v>283.20589999999999</v>
      </c>
      <c r="M1739">
        <v>-0.99989839999999997</v>
      </c>
      <c r="N1739">
        <v>0</v>
      </c>
      <c r="O1739">
        <v>3.9752199999999998E-4</v>
      </c>
      <c r="P1739">
        <v>-0.99790199999999996</v>
      </c>
      <c r="Q1739">
        <v>4.1105929999999999E-2</v>
      </c>
      <c r="R1739">
        <v>5.0016209999999998E-2</v>
      </c>
      <c r="S1739">
        <v>-3.006653</v>
      </c>
      <c r="T1739">
        <v>0.14962010000000001</v>
      </c>
      <c r="U1739">
        <v>-0.12857060000000001</v>
      </c>
      <c r="V1739">
        <v>4.9606549999999999E-2</v>
      </c>
      <c r="W1739">
        <v>5.5330440000000002E-2</v>
      </c>
      <c r="X1739">
        <v>0.99723510000000004</v>
      </c>
      <c r="Y1739">
        <v>-4.3066489999999999E-2</v>
      </c>
      <c r="Z1739">
        <v>1.090171E-3</v>
      </c>
      <c r="AA1739">
        <v>0.99907159999999995</v>
      </c>
      <c r="AB1739">
        <v>30</v>
      </c>
      <c r="AC1739">
        <v>-182.66820000000001</v>
      </c>
      <c r="AD1739">
        <v>9.1054750000000002</v>
      </c>
      <c r="AE1739">
        <v>-7.8244999999999996</v>
      </c>
      <c r="AF1739">
        <v>-7.8775835572153996</v>
      </c>
      <c r="AG1739">
        <v>9.1054750000000002</v>
      </c>
      <c r="AH1739">
        <v>182.213153416247</v>
      </c>
      <c r="AI1739">
        <v>87.141885704753506</v>
      </c>
      <c r="AJ1739">
        <v>92.4755150404728</v>
      </c>
      <c r="AK1739">
        <v>182.61051250015501</v>
      </c>
      <c r="AL1739">
        <v>86.828179682283306</v>
      </c>
      <c r="AM1739">
        <v>87.152221105232897</v>
      </c>
      <c r="AN1739">
        <v>1.00000005603275</v>
      </c>
    </row>
    <row r="1740" spans="1:40" x14ac:dyDescent="0.25">
      <c r="A1740" t="str">
        <f>"20190312154542964"</f>
        <v>20190312154542964</v>
      </c>
      <c r="B1740" t="str">
        <f>"1552376742958761"</f>
        <v>1552376742958761</v>
      </c>
      <c r="C1740" t="s">
        <v>40</v>
      </c>
      <c r="D1740">
        <v>4.2763600000000004</v>
      </c>
      <c r="E1740">
        <v>0.45843899999999999</v>
      </c>
      <c r="F1740" t="s">
        <v>47</v>
      </c>
      <c r="G1740">
        <v>-455.33229999999998</v>
      </c>
      <c r="H1740">
        <v>7.2370369999999999</v>
      </c>
      <c r="I1740">
        <v>276.88900000000001</v>
      </c>
      <c r="J1740">
        <v>-330.46230000000003</v>
      </c>
      <c r="K1740">
        <v>1.110131</v>
      </c>
      <c r="L1740">
        <v>283.20589999999999</v>
      </c>
      <c r="M1740">
        <v>-0.99989870000000003</v>
      </c>
      <c r="N1740">
        <v>0</v>
      </c>
      <c r="O1740">
        <v>2.6016480000000001E-4</v>
      </c>
      <c r="P1740">
        <v>-0.99791249999999998</v>
      </c>
      <c r="Q1740">
        <v>4.1075830000000001E-2</v>
      </c>
      <c r="R1740">
        <v>4.9838100000000003E-2</v>
      </c>
      <c r="S1740">
        <v>-3.0078429999999998</v>
      </c>
      <c r="T1740">
        <v>0.147229</v>
      </c>
      <c r="U1740">
        <v>-0.1517944</v>
      </c>
      <c r="V1740">
        <v>4.9565619999999998E-2</v>
      </c>
      <c r="W1740">
        <v>5.5296640000000001E-2</v>
      </c>
      <c r="X1740">
        <v>0.99723890000000004</v>
      </c>
      <c r="Y1740">
        <v>-5.0601199999999902E-2</v>
      </c>
      <c r="Z1740">
        <v>1.2496160000000001E-3</v>
      </c>
      <c r="AA1740">
        <v>0.99871810000000005</v>
      </c>
      <c r="AB1740">
        <v>30</v>
      </c>
      <c r="AC1740">
        <v>-124.869999999999</v>
      </c>
      <c r="AD1740">
        <v>6.126906</v>
      </c>
      <c r="AE1740">
        <v>-6.3168999999999702</v>
      </c>
      <c r="AF1740">
        <v>-6.3341792471960403</v>
      </c>
      <c r="AG1740">
        <v>6.126906</v>
      </c>
      <c r="AH1740">
        <v>124.56921736312999</v>
      </c>
      <c r="AI1740">
        <v>87.187817853164105</v>
      </c>
      <c r="AJ1740">
        <v>92.9109072124227</v>
      </c>
      <c r="AK1740">
        <v>124.880545796098</v>
      </c>
      <c r="AL1740">
        <v>86.830118900982299</v>
      </c>
      <c r="AM1740">
        <v>87.154577748363096</v>
      </c>
      <c r="AN1740">
        <v>0.99999994637723999</v>
      </c>
    </row>
    <row r="1741" spans="1:40" x14ac:dyDescent="0.25">
      <c r="A1741" t="str">
        <f>"20190312154542989"</f>
        <v>20190312154542989</v>
      </c>
      <c r="B1741" t="str">
        <f>"1552376742978281"</f>
        <v>1552376742978281</v>
      </c>
      <c r="C1741" t="s">
        <v>40</v>
      </c>
      <c r="D1741">
        <v>4.2867689999999996</v>
      </c>
      <c r="E1741">
        <v>0.45649269999999997</v>
      </c>
      <c r="F1741" t="s">
        <v>58</v>
      </c>
      <c r="G1741">
        <v>-512.82849999999996</v>
      </c>
      <c r="H1741">
        <v>9.9819499999999994</v>
      </c>
      <c r="I1741">
        <v>272.23910000000001</v>
      </c>
      <c r="J1741">
        <v>-330.77859999999998</v>
      </c>
      <c r="K1741">
        <v>1.1101350000000001</v>
      </c>
      <c r="L1741">
        <v>283.20580000000001</v>
      </c>
      <c r="M1741">
        <v>-0.99989870000000003</v>
      </c>
      <c r="N1741">
        <v>0</v>
      </c>
      <c r="O1741">
        <v>1.154263E-4</v>
      </c>
      <c r="P1741">
        <v>-0.99791620000000003</v>
      </c>
      <c r="Q1741">
        <v>4.0952809999999999E-2</v>
      </c>
      <c r="R1741">
        <v>4.9862940000000001E-2</v>
      </c>
      <c r="S1741">
        <v>-3.0093380000000001</v>
      </c>
      <c r="T1741">
        <v>0.14640059999999999</v>
      </c>
      <c r="U1741">
        <v>-0.1809692</v>
      </c>
      <c r="V1741">
        <v>4.9735050000000003E-2</v>
      </c>
      <c r="W1741">
        <v>5.5170950000000003E-2</v>
      </c>
      <c r="X1741">
        <v>0.9972375</v>
      </c>
      <c r="Y1741">
        <v>-6.007175E-2</v>
      </c>
      <c r="Z1741">
        <v>1.4646360000000001E-3</v>
      </c>
      <c r="AA1741">
        <v>0.998193</v>
      </c>
      <c r="AB1741">
        <v>30</v>
      </c>
      <c r="AC1741">
        <v>-182.04990000000001</v>
      </c>
      <c r="AD1741">
        <v>8.8718149999999998</v>
      </c>
      <c r="AE1741">
        <v>-10.966699999999999</v>
      </c>
      <c r="AF1741">
        <v>-10.961776483633299</v>
      </c>
      <c r="AG1741">
        <v>8.8718149999999998</v>
      </c>
      <c r="AH1741">
        <v>181.61886698307001</v>
      </c>
      <c r="AI1741">
        <v>87.208480117500798</v>
      </c>
      <c r="AJ1741">
        <v>93.453950334268001</v>
      </c>
      <c r="AK1741">
        <v>182.165535953664</v>
      </c>
      <c r="AL1741">
        <v>86.837331651779905</v>
      </c>
      <c r="AM1741">
        <v>87.144863315368099</v>
      </c>
      <c r="AN1741">
        <v>1.00000002016432</v>
      </c>
    </row>
    <row r="1742" spans="1:40" x14ac:dyDescent="0.25">
      <c r="A1742" t="str">
        <f>"20190312154543009"</f>
        <v>20190312154543009</v>
      </c>
      <c r="B1742" t="str">
        <f>"1552376742998777"</f>
        <v>1552376742998777</v>
      </c>
      <c r="C1742" t="s">
        <v>40</v>
      </c>
      <c r="D1742">
        <v>4.2912730000000003</v>
      </c>
      <c r="E1742">
        <v>0.45510200000000001</v>
      </c>
      <c r="F1742" t="s">
        <v>58</v>
      </c>
      <c r="G1742">
        <v>-512.82830000000001</v>
      </c>
      <c r="H1742">
        <v>9.5808850000000003</v>
      </c>
      <c r="I1742">
        <v>271.31880000000001</v>
      </c>
      <c r="J1742">
        <v>-331.05579999999998</v>
      </c>
      <c r="K1742">
        <v>1.1101369999999999</v>
      </c>
      <c r="L1742">
        <v>283.20569999999998</v>
      </c>
      <c r="M1742">
        <v>-0.99989870000000003</v>
      </c>
      <c r="N1742">
        <v>0</v>
      </c>
      <c r="O1742" s="1">
        <v>-1.0846650000000001E-5</v>
      </c>
      <c r="P1742">
        <v>-0.99791070000000004</v>
      </c>
      <c r="Q1742">
        <v>4.0830039999999998E-2</v>
      </c>
      <c r="R1742">
        <v>5.0072220000000001E-2</v>
      </c>
      <c r="S1742">
        <v>-3.0103759999999999</v>
      </c>
      <c r="T1742">
        <v>0.14007349999999999</v>
      </c>
      <c r="U1742">
        <v>-0.19656370000000001</v>
      </c>
      <c r="V1742">
        <v>5.0070320000000001E-2</v>
      </c>
      <c r="W1742">
        <v>5.5045249999999997E-2</v>
      </c>
      <c r="X1742">
        <v>0.99722770000000005</v>
      </c>
      <c r="Y1742">
        <v>-6.5075740000000007E-2</v>
      </c>
      <c r="Z1742">
        <v>1.5110659999999999E-3</v>
      </c>
      <c r="AA1742">
        <v>0.99787919999999997</v>
      </c>
      <c r="AB1742">
        <v>30</v>
      </c>
      <c r="AC1742">
        <v>-181.77250000000001</v>
      </c>
      <c r="AD1742">
        <v>8.4707480000000004</v>
      </c>
      <c r="AE1742">
        <v>-11.886899999999899</v>
      </c>
      <c r="AF1742">
        <v>-11.8592837878144</v>
      </c>
      <c r="AG1742">
        <v>8.4707480000000004</v>
      </c>
      <c r="AH1742">
        <v>181.380413858775</v>
      </c>
      <c r="AI1742">
        <v>87.331829475324895</v>
      </c>
      <c r="AJ1742">
        <v>93.740873128467101</v>
      </c>
      <c r="AK1742">
        <v>181.964971121422</v>
      </c>
      <c r="AL1742">
        <v>86.844544789722605</v>
      </c>
      <c r="AM1742">
        <v>87.125620461866404</v>
      </c>
      <c r="AN1742">
        <v>1.0000000510698701</v>
      </c>
    </row>
    <row r="1743" spans="1:40" x14ac:dyDescent="0.25">
      <c r="A1743" t="str">
        <f>"20190312154543030"</f>
        <v>20190312154543030</v>
      </c>
      <c r="B1743" t="str">
        <f>"1552376743018297"</f>
        <v>1552376743018297</v>
      </c>
      <c r="C1743" t="s">
        <v>40</v>
      </c>
      <c r="D1743">
        <v>4.308942</v>
      </c>
      <c r="E1743">
        <v>0.45394859999999998</v>
      </c>
      <c r="F1743" t="s">
        <v>58</v>
      </c>
      <c r="G1743">
        <v>-512.82820000000004</v>
      </c>
      <c r="H1743">
        <v>9.3360369999999993</v>
      </c>
      <c r="I1743">
        <v>270.70240000000001</v>
      </c>
      <c r="J1743">
        <v>-331.3399</v>
      </c>
      <c r="K1743">
        <v>1.1101379999999901</v>
      </c>
      <c r="L1743">
        <v>283.2056</v>
      </c>
      <c r="M1743">
        <v>-0.99989879999999998</v>
      </c>
      <c r="N1743">
        <v>0</v>
      </c>
      <c r="O1743">
        <v>-1.4098680000000001E-4</v>
      </c>
      <c r="P1743">
        <v>-0.99791680000000005</v>
      </c>
      <c r="Q1743">
        <v>4.0795949999999997E-2</v>
      </c>
      <c r="R1743">
        <v>4.9982560000000002E-2</v>
      </c>
      <c r="S1743">
        <v>-3.011139</v>
      </c>
      <c r="T1743">
        <v>0.13626669999999999</v>
      </c>
      <c r="U1743">
        <v>-0.2071228</v>
      </c>
      <c r="V1743">
        <v>5.0110660000000001E-2</v>
      </c>
      <c r="W1743">
        <v>5.5008120000000001E-2</v>
      </c>
      <c r="X1743">
        <v>0.99722770000000005</v>
      </c>
      <c r="Y1743">
        <v>-6.8413160000000001E-2</v>
      </c>
      <c r="Z1743">
        <v>1.539007E-3</v>
      </c>
      <c r="AA1743">
        <v>0.99765590000000004</v>
      </c>
      <c r="AB1743">
        <v>30</v>
      </c>
      <c r="AC1743">
        <v>-181.48830000000001</v>
      </c>
      <c r="AD1743">
        <v>8.2258990000000001</v>
      </c>
      <c r="AE1743">
        <v>-12.5031999999999</v>
      </c>
      <c r="AF1743">
        <v>-12.452149887124101</v>
      </c>
      <c r="AG1743">
        <v>8.2258990000000001</v>
      </c>
      <c r="AH1743">
        <v>181.11973968525601</v>
      </c>
      <c r="AI1743">
        <v>87.4057052703605</v>
      </c>
      <c r="AJ1743">
        <v>93.932949099585301</v>
      </c>
      <c r="AK1743">
        <v>181.73354548575901</v>
      </c>
      <c r="AL1743">
        <v>86.846675339052197</v>
      </c>
      <c r="AM1743">
        <v>87.123308557654994</v>
      </c>
      <c r="AN1743">
        <v>1.0000000285794199</v>
      </c>
    </row>
    <row r="1744" spans="1:40" x14ac:dyDescent="0.25">
      <c r="A1744" t="str">
        <f>"20190312154543052"</f>
        <v>20190312154543052</v>
      </c>
      <c r="B1744" t="str">
        <f>"1552376743048553"</f>
        <v>1552376743048553</v>
      </c>
      <c r="C1744" t="s">
        <v>40</v>
      </c>
      <c r="D1744">
        <v>4.3240089999999904</v>
      </c>
      <c r="E1744">
        <v>0.45278190000000001</v>
      </c>
      <c r="F1744" t="s">
        <v>58</v>
      </c>
      <c r="G1744">
        <v>-512.82820000000004</v>
      </c>
      <c r="H1744">
        <v>9.1261030000000005</v>
      </c>
      <c r="I1744">
        <v>270.14679999999998</v>
      </c>
      <c r="J1744">
        <v>-331.63069999999999</v>
      </c>
      <c r="K1744">
        <v>1.1101399999999999</v>
      </c>
      <c r="L1744">
        <v>283.2054</v>
      </c>
      <c r="M1744">
        <v>-0.99989890000000003</v>
      </c>
      <c r="N1744">
        <v>0</v>
      </c>
      <c r="O1744">
        <v>-2.7375210000000002E-4</v>
      </c>
      <c r="P1744">
        <v>-0.99793829999999994</v>
      </c>
      <c r="Q1744">
        <v>4.0835980000000001E-2</v>
      </c>
      <c r="R1744">
        <v>4.9515469999999999E-2</v>
      </c>
      <c r="S1744">
        <v>-3.0117189999999998</v>
      </c>
      <c r="T1744">
        <v>0.13302249999999999</v>
      </c>
      <c r="U1744">
        <v>-0.21670529999999999</v>
      </c>
      <c r="V1744">
        <v>4.9776050000000002E-2</v>
      </c>
      <c r="W1744">
        <v>5.504477E-2</v>
      </c>
      <c r="X1744">
        <v>0.99724239999999997</v>
      </c>
      <c r="Y1744">
        <v>-7.1426409999999996E-2</v>
      </c>
      <c r="Z1744">
        <v>1.56252E-3</v>
      </c>
      <c r="AA1744">
        <v>0.99744460000000001</v>
      </c>
      <c r="AB1744">
        <v>30</v>
      </c>
      <c r="AC1744">
        <v>-181.19749999999999</v>
      </c>
      <c r="AD1744">
        <v>8.0159629999999993</v>
      </c>
      <c r="AE1744">
        <v>-13.0586</v>
      </c>
      <c r="AF1744">
        <v>-12.983712522904</v>
      </c>
      <c r="AG1744">
        <v>8.0159629999999993</v>
      </c>
      <c r="AH1744">
        <v>180.84896256691499</v>
      </c>
      <c r="AI1744">
        <v>87.468585598122104</v>
      </c>
      <c r="AJ1744">
        <v>94.106397703861603</v>
      </c>
      <c r="AK1744">
        <v>181.491541718132</v>
      </c>
      <c r="AL1744">
        <v>86.844572150375001</v>
      </c>
      <c r="AM1744">
        <v>87.142527547535906</v>
      </c>
      <c r="AN1744">
        <v>0.99999999310785703</v>
      </c>
    </row>
    <row r="1745" spans="1:40" x14ac:dyDescent="0.25">
      <c r="A1745" t="str">
        <f>"20190312154543075"</f>
        <v>20190312154543075</v>
      </c>
      <c r="B1745" t="str">
        <f>"1552376743068077"</f>
        <v>1552376743068077</v>
      </c>
      <c r="C1745" t="s">
        <v>40</v>
      </c>
      <c r="D1745">
        <v>4.321186</v>
      </c>
      <c r="E1745">
        <v>0.4522061</v>
      </c>
      <c r="F1745" t="s">
        <v>58</v>
      </c>
      <c r="G1745">
        <v>-512.82799999999997</v>
      </c>
      <c r="H1745">
        <v>8.624485</v>
      </c>
      <c r="I1745">
        <v>269.5061</v>
      </c>
      <c r="J1745">
        <v>-331.93490000000003</v>
      </c>
      <c r="K1745">
        <v>1.110141</v>
      </c>
      <c r="L1745">
        <v>283.20519999999999</v>
      </c>
      <c r="M1745">
        <v>-0.99989890000000003</v>
      </c>
      <c r="N1745">
        <v>0</v>
      </c>
      <c r="O1745">
        <v>-4.1271549999999998E-4</v>
      </c>
      <c r="P1745">
        <v>-0.99793540000000003</v>
      </c>
      <c r="Q1745">
        <v>4.0702009999999997E-2</v>
      </c>
      <c r="R1745">
        <v>4.9685729999999997E-2</v>
      </c>
      <c r="S1745">
        <v>-3.0124209999999998</v>
      </c>
      <c r="T1745">
        <v>0.12492780000000001</v>
      </c>
      <c r="U1745">
        <v>-0.2277527</v>
      </c>
      <c r="V1745">
        <v>5.0085079999999997E-2</v>
      </c>
      <c r="W1745">
        <v>5.4907650000000002E-2</v>
      </c>
      <c r="X1745">
        <v>0.99723450000000002</v>
      </c>
      <c r="Y1745">
        <v>-7.4914140000000004E-2</v>
      </c>
      <c r="Z1745">
        <v>1.533415E-3</v>
      </c>
      <c r="AA1745">
        <v>0.99718879999999999</v>
      </c>
      <c r="AB1745">
        <v>30</v>
      </c>
      <c r="AC1745">
        <v>-180.8931</v>
      </c>
      <c r="AD1745">
        <v>7.5143439999999897</v>
      </c>
      <c r="AE1745">
        <v>-13.6990999999999</v>
      </c>
      <c r="AF1745">
        <v>-13.6010977923823</v>
      </c>
      <c r="AG1745">
        <v>7.5143439999999897</v>
      </c>
      <c r="AH1745">
        <v>180.588893218832</v>
      </c>
      <c r="AI1745">
        <v>87.624005898643404</v>
      </c>
      <c r="AJ1745">
        <v>94.307114415285596</v>
      </c>
      <c r="AK1745">
        <v>181.256182186736</v>
      </c>
      <c r="AL1745">
        <v>86.852440489826805</v>
      </c>
      <c r="AM1745">
        <v>87.124794131151305</v>
      </c>
      <c r="AN1745">
        <v>1.00000000662868</v>
      </c>
    </row>
    <row r="1746" spans="1:40" x14ac:dyDescent="0.25">
      <c r="A1746" t="str">
        <f>"20190312154543097"</f>
        <v>20190312154543097</v>
      </c>
      <c r="B1746" t="str">
        <f>"1552376743088587"</f>
        <v>1552376743088587</v>
      </c>
      <c r="C1746" t="s">
        <v>40</v>
      </c>
      <c r="D1746">
        <v>4.3244259999999999</v>
      </c>
      <c r="E1746">
        <v>0.45167170000000001</v>
      </c>
      <c r="F1746" t="s">
        <v>58</v>
      </c>
      <c r="G1746">
        <v>-512.8279</v>
      </c>
      <c r="H1746">
        <v>8.3050660000000001</v>
      </c>
      <c r="I1746">
        <v>269.27589999999998</v>
      </c>
      <c r="J1746">
        <v>-332.22</v>
      </c>
      <c r="K1746">
        <v>1.110139</v>
      </c>
      <c r="L1746">
        <v>283.20499999999998</v>
      </c>
      <c r="M1746">
        <v>-0.99989870000000003</v>
      </c>
      <c r="N1746">
        <v>0</v>
      </c>
      <c r="O1746">
        <v>-5.4285930000000002E-4</v>
      </c>
      <c r="P1746">
        <v>-0.99796030000000002</v>
      </c>
      <c r="Q1746">
        <v>4.0729439999999999E-2</v>
      </c>
      <c r="R1746">
        <v>4.9155369999999997E-2</v>
      </c>
      <c r="S1746">
        <v>-3.0128170000000001</v>
      </c>
      <c r="T1746">
        <v>0.11983439999999999</v>
      </c>
      <c r="U1746">
        <v>-0.2319946</v>
      </c>
      <c r="V1746">
        <v>4.9684609999999997E-2</v>
      </c>
      <c r="W1746">
        <v>5.4931929999999997E-2</v>
      </c>
      <c r="X1746">
        <v>0.99725319999999995</v>
      </c>
      <c r="Y1746">
        <v>-7.6174510000000001E-2</v>
      </c>
      <c r="Z1746">
        <v>1.4905280000000001E-3</v>
      </c>
      <c r="AA1746">
        <v>0.99709340000000002</v>
      </c>
      <c r="AB1746">
        <v>30</v>
      </c>
      <c r="AC1746">
        <v>-180.6079</v>
      </c>
      <c r="AD1746">
        <v>7.1949269999999999</v>
      </c>
      <c r="AE1746">
        <v>-13.9291</v>
      </c>
      <c r="AF1746">
        <v>-13.8092575217717</v>
      </c>
      <c r="AG1746">
        <v>7.1949269999999999</v>
      </c>
      <c r="AH1746">
        <v>180.33094110300701</v>
      </c>
      <c r="AI1746">
        <v>87.721861226087398</v>
      </c>
      <c r="AJ1746">
        <v>94.379010113923499</v>
      </c>
      <c r="AK1746">
        <v>181.00196376540799</v>
      </c>
      <c r="AL1746">
        <v>86.851047259857495</v>
      </c>
      <c r="AM1746">
        <v>87.147798966632493</v>
      </c>
      <c r="AN1746">
        <v>1.0000000111573</v>
      </c>
    </row>
    <row r="1747" spans="1:40" x14ac:dyDescent="0.25">
      <c r="A1747" t="str">
        <f>"20190312154543119"</f>
        <v>20190312154543119</v>
      </c>
      <c r="B1747" t="str">
        <f>"1552376743108089"</f>
        <v>1552376743108089</v>
      </c>
      <c r="C1747" t="s">
        <v>40</v>
      </c>
      <c r="D1747">
        <v>4.3367559999999896</v>
      </c>
      <c r="E1747">
        <v>0.4511945</v>
      </c>
      <c r="F1747" t="s">
        <v>58</v>
      </c>
      <c r="G1747">
        <v>-512.8279</v>
      </c>
      <c r="H1747">
        <v>8.1681639999999902</v>
      </c>
      <c r="I1747">
        <v>268.94729999999998</v>
      </c>
      <c r="J1747">
        <v>-332.52330000000001</v>
      </c>
      <c r="K1747">
        <v>1.110139</v>
      </c>
      <c r="L1747">
        <v>283.20460000000003</v>
      </c>
      <c r="M1747">
        <v>-0.99989870000000003</v>
      </c>
      <c r="N1747">
        <v>0</v>
      </c>
      <c r="O1747">
        <v>-6.811063E-4</v>
      </c>
      <c r="P1747">
        <v>-0.99797769999999997</v>
      </c>
      <c r="Q1747">
        <v>4.0364520000000001E-2</v>
      </c>
      <c r="R1747">
        <v>4.910846E-2</v>
      </c>
      <c r="S1747">
        <v>-3.0129999999999999</v>
      </c>
      <c r="T1747">
        <v>0.11774709999999999</v>
      </c>
      <c r="U1747">
        <v>-0.23785400000000001</v>
      </c>
      <c r="V1747">
        <v>4.9776029999999999E-2</v>
      </c>
      <c r="W1747">
        <v>5.4563889999999997E-2</v>
      </c>
      <c r="X1747">
        <v>0.99726890000000001</v>
      </c>
      <c r="Y1747">
        <v>-7.7960020000000005E-2</v>
      </c>
      <c r="Z1747">
        <v>1.4938149999999999E-3</v>
      </c>
      <c r="AA1747">
        <v>0.99695540000000005</v>
      </c>
      <c r="AB1747">
        <v>30</v>
      </c>
      <c r="AC1747">
        <v>-180.30459999999999</v>
      </c>
      <c r="AD1747">
        <v>7.05802499999999</v>
      </c>
      <c r="AE1747">
        <v>-14.257300000000001</v>
      </c>
      <c r="AF1747">
        <v>-14.1129862819535</v>
      </c>
      <c r="AG1747">
        <v>7.05802499999999</v>
      </c>
      <c r="AH1747">
        <v>180.04010299731701</v>
      </c>
      <c r="AI1747">
        <v>87.761869636085393</v>
      </c>
      <c r="AJ1747">
        <v>94.482136980815696</v>
      </c>
      <c r="AK1747">
        <v>180.73027080702201</v>
      </c>
      <c r="AL1747">
        <v>86.872166241081104</v>
      </c>
      <c r="AM1747">
        <v>87.142604498290297</v>
      </c>
      <c r="AN1747">
        <v>1.0000000650808401</v>
      </c>
    </row>
    <row r="1748" spans="1:40" x14ac:dyDescent="0.25">
      <c r="A1748" t="str">
        <f>"20190312154543142"</f>
        <v>20190312154543142</v>
      </c>
      <c r="B1748" t="str">
        <f>"1552376743138345"</f>
        <v>1552376743138345</v>
      </c>
      <c r="C1748" t="s">
        <v>40</v>
      </c>
      <c r="D1748">
        <v>4.2253100000000003</v>
      </c>
      <c r="E1748">
        <v>0.43101679999999998</v>
      </c>
      <c r="F1748" t="s">
        <v>58</v>
      </c>
      <c r="G1748">
        <v>-512.82780000000002</v>
      </c>
      <c r="H1748">
        <v>7.9177770000000001</v>
      </c>
      <c r="I1748">
        <v>268.72980000000001</v>
      </c>
      <c r="J1748">
        <v>-332.80340000000001</v>
      </c>
      <c r="K1748">
        <v>1.110139</v>
      </c>
      <c r="L1748">
        <v>283.20429999999999</v>
      </c>
      <c r="M1748">
        <v>-0.99989870000000003</v>
      </c>
      <c r="N1748">
        <v>0</v>
      </c>
      <c r="O1748">
        <v>-8.0922250000000002E-4</v>
      </c>
      <c r="P1748">
        <v>-0.99796680000000004</v>
      </c>
      <c r="Q1748">
        <v>4.0527559999999997E-2</v>
      </c>
      <c r="R1748">
        <v>4.9192E-2</v>
      </c>
      <c r="S1748">
        <v>-3.0133670000000001</v>
      </c>
      <c r="T1748">
        <v>0.1137749</v>
      </c>
      <c r="U1748">
        <v>-0.24191280000000001</v>
      </c>
      <c r="V1748">
        <v>4.9987169999999997E-2</v>
      </c>
      <c r="W1748">
        <v>5.4723870000000001E-2</v>
      </c>
      <c r="X1748">
        <v>0.99724950000000001</v>
      </c>
      <c r="Y1748">
        <v>-7.9160270000000005E-2</v>
      </c>
      <c r="Z1748">
        <v>1.460991E-3</v>
      </c>
      <c r="AA1748">
        <v>0.99686079999999999</v>
      </c>
      <c r="AB1748">
        <v>30</v>
      </c>
      <c r="AC1748">
        <v>-180.02440000000001</v>
      </c>
      <c r="AD1748">
        <v>6.8076379999999999</v>
      </c>
      <c r="AE1748">
        <v>-14.4744999999999</v>
      </c>
      <c r="AF1748">
        <v>-14.3084713387156</v>
      </c>
      <c r="AG1748">
        <v>6.8076379999999999</v>
      </c>
      <c r="AH1748">
        <v>179.78062377666899</v>
      </c>
      <c r="AI1748">
        <v>87.838282590782896</v>
      </c>
      <c r="AJ1748">
        <v>94.550493584571299</v>
      </c>
      <c r="AK1748">
        <v>180.47755808609099</v>
      </c>
      <c r="AL1748">
        <v>86.8629861183326</v>
      </c>
      <c r="AM1748">
        <v>87.130448481968401</v>
      </c>
      <c r="AN1748">
        <v>0.99999999218131697</v>
      </c>
    </row>
    <row r="1749" spans="1:40" x14ac:dyDescent="0.25">
      <c r="A1749" t="str">
        <f>"20190312154543166"</f>
        <v>20190312154543166</v>
      </c>
      <c r="B1749" t="str">
        <f>"1552376743158842"</f>
        <v>1552376743158842</v>
      </c>
      <c r="C1749" t="s">
        <v>40</v>
      </c>
      <c r="D1749">
        <v>4.223846</v>
      </c>
      <c r="E1749">
        <v>0.42247380000000001</v>
      </c>
      <c r="F1749" t="s">
        <v>63</v>
      </c>
      <c r="G1749">
        <v>-440.6841</v>
      </c>
      <c r="H1749">
        <v>6.3699960000000004</v>
      </c>
      <c r="I1749">
        <v>268.86079999999998</v>
      </c>
      <c r="J1749">
        <v>-333.1232</v>
      </c>
      <c r="K1749">
        <v>1.1101379999999901</v>
      </c>
      <c r="L1749">
        <v>283.2038</v>
      </c>
      <c r="M1749">
        <v>-0.99989859999999997</v>
      </c>
      <c r="N1749">
        <v>0</v>
      </c>
      <c r="O1749">
        <v>-9.5521600000000005E-4</v>
      </c>
      <c r="P1749">
        <v>-0.99796770000000001</v>
      </c>
      <c r="Q1749">
        <v>4.0640040000000002E-2</v>
      </c>
      <c r="R1749">
        <v>4.9079079999999997E-2</v>
      </c>
      <c r="S1749">
        <v>-3.0199280000000002</v>
      </c>
      <c r="T1749">
        <v>0.1472405</v>
      </c>
      <c r="U1749">
        <v>-0.40151979999999998</v>
      </c>
      <c r="V1749">
        <v>5.0020019999999998E-2</v>
      </c>
      <c r="W1749">
        <v>5.483242E-2</v>
      </c>
      <c r="X1749">
        <v>0.99724190000000001</v>
      </c>
      <c r="Y1749">
        <v>-0.1306985</v>
      </c>
      <c r="Z1749">
        <v>3.1240249999999999E-3</v>
      </c>
      <c r="AA1749">
        <v>0.9914172</v>
      </c>
      <c r="AB1749">
        <v>29</v>
      </c>
      <c r="AC1749">
        <v>-107.5609</v>
      </c>
      <c r="AD1749">
        <v>5.2598580000000004</v>
      </c>
      <c r="AE1749">
        <v>-14.343</v>
      </c>
      <c r="AF1749">
        <v>-14.2068594716759</v>
      </c>
      <c r="AG1749">
        <v>5.2598580000000004</v>
      </c>
      <c r="AH1749">
        <v>107.322393697363</v>
      </c>
      <c r="AI1749">
        <v>87.218412406588101</v>
      </c>
      <c r="AJ1749">
        <v>97.540717479116793</v>
      </c>
      <c r="AK1749">
        <v>108.386332861482</v>
      </c>
      <c r="AL1749">
        <v>86.856757339748597</v>
      </c>
      <c r="AM1749">
        <v>87.128544011041797</v>
      </c>
      <c r="AN1749">
        <v>1.0000000018997299</v>
      </c>
    </row>
    <row r="1750" spans="1:40" x14ac:dyDescent="0.25">
      <c r="A1750" t="str">
        <f>"20190312154543188"</f>
        <v>20190312154543188</v>
      </c>
      <c r="B1750" t="str">
        <f>"1552376743178361"</f>
        <v>1552376743178361</v>
      </c>
      <c r="C1750" t="s">
        <v>40</v>
      </c>
      <c r="D1750">
        <v>4.2289180000000002</v>
      </c>
      <c r="E1750">
        <v>0.41930529999999999</v>
      </c>
      <c r="F1750" t="s">
        <v>63</v>
      </c>
      <c r="G1750">
        <v>-440.6841</v>
      </c>
      <c r="H1750">
        <v>6.3748180000000003</v>
      </c>
      <c r="I1750">
        <v>266.49270000000001</v>
      </c>
      <c r="J1750">
        <v>-333.41820000000001</v>
      </c>
      <c r="K1750">
        <v>1.1101399999999999</v>
      </c>
      <c r="L1750">
        <v>283.20339999999999</v>
      </c>
      <c r="M1750">
        <v>-0.99989839999999997</v>
      </c>
      <c r="N1750">
        <v>0</v>
      </c>
      <c r="O1750">
        <v>-1.0898870000000001E-3</v>
      </c>
      <c r="P1750">
        <v>-0.99796799999999997</v>
      </c>
      <c r="Q1750">
        <v>4.0803230000000003E-2</v>
      </c>
      <c r="R1750">
        <v>4.8941060000000002E-2</v>
      </c>
      <c r="S1750">
        <v>-3.023193</v>
      </c>
      <c r="T1750">
        <v>0.14797370000000001</v>
      </c>
      <c r="U1750">
        <v>-0.469696</v>
      </c>
      <c r="V1750">
        <v>5.0016619999999998E-2</v>
      </c>
      <c r="W1750">
        <v>5.4992880000000001E-2</v>
      </c>
      <c r="X1750">
        <v>0.99723320000000004</v>
      </c>
      <c r="Y1750">
        <v>-0.1522685</v>
      </c>
      <c r="Z1750">
        <v>3.6490810000000002E-3</v>
      </c>
      <c r="AA1750">
        <v>0.98833249999999995</v>
      </c>
      <c r="AB1750">
        <v>29</v>
      </c>
      <c r="AC1750">
        <v>-107.2659</v>
      </c>
      <c r="AD1750">
        <v>5.264678</v>
      </c>
      <c r="AE1750">
        <v>-16.7106999999999</v>
      </c>
      <c r="AF1750">
        <v>-16.554836394597</v>
      </c>
      <c r="AG1750">
        <v>5.264678</v>
      </c>
      <c r="AH1750">
        <v>107.032329063597</v>
      </c>
      <c r="AI1750">
        <v>87.217058633755897</v>
      </c>
      <c r="AJ1750">
        <v>98.792344415022399</v>
      </c>
      <c r="AK1750">
        <v>108.432923539272</v>
      </c>
      <c r="AL1750">
        <v>86.847549656596897</v>
      </c>
      <c r="AM1750">
        <v>87.128713857917603</v>
      </c>
      <c r="AN1750">
        <v>0.99999996715457895</v>
      </c>
    </row>
    <row r="1751" spans="1:40" x14ac:dyDescent="0.25">
      <c r="A1751" t="str">
        <f>"20190312154543209"</f>
        <v>20190312154543209</v>
      </c>
      <c r="B1751" t="str">
        <f>"1552376743197882"</f>
        <v>1552376743197882</v>
      </c>
      <c r="C1751" t="s">
        <v>40</v>
      </c>
      <c r="D1751">
        <v>4.2697250000000002</v>
      </c>
      <c r="E1751">
        <v>0.41744140000000002</v>
      </c>
      <c r="F1751" t="s">
        <v>63</v>
      </c>
      <c r="G1751">
        <v>-440.6841</v>
      </c>
      <c r="H1751">
        <v>6.2785599999999997</v>
      </c>
      <c r="I1751">
        <v>265.62720000000002</v>
      </c>
      <c r="J1751">
        <v>-333.69819999999999</v>
      </c>
      <c r="K1751">
        <v>1.110142</v>
      </c>
      <c r="L1751">
        <v>283.2029</v>
      </c>
      <c r="M1751">
        <v>-0.99989839999999997</v>
      </c>
      <c r="N1751">
        <v>0</v>
      </c>
      <c r="O1751">
        <v>-1.2182429999999999E-3</v>
      </c>
      <c r="P1751">
        <v>-0.99794879999999997</v>
      </c>
      <c r="Q1751">
        <v>4.0971460000000001E-2</v>
      </c>
      <c r="R1751">
        <v>4.9191980000000003E-2</v>
      </c>
      <c r="S1751">
        <v>-3.0244450000000001</v>
      </c>
      <c r="T1751">
        <v>0.14572789999999999</v>
      </c>
      <c r="U1751">
        <v>-0.49557499999999999</v>
      </c>
      <c r="V1751">
        <v>5.0395530000000001E-2</v>
      </c>
      <c r="W1751">
        <v>5.5157610000000003E-2</v>
      </c>
      <c r="X1751">
        <v>0.99720509999999996</v>
      </c>
      <c r="Y1751">
        <v>-0.16031799999999999</v>
      </c>
      <c r="Z1751">
        <v>3.776284E-3</v>
      </c>
      <c r="AA1751">
        <v>0.9870582</v>
      </c>
      <c r="AB1751">
        <v>29</v>
      </c>
      <c r="AC1751">
        <v>-106.9859</v>
      </c>
      <c r="AD1751">
        <v>5.168418</v>
      </c>
      <c r="AE1751">
        <v>-17.575699999999902</v>
      </c>
      <c r="AF1751">
        <v>-17.405784987585001</v>
      </c>
      <c r="AG1751">
        <v>5.168418</v>
      </c>
      <c r="AH1751">
        <v>106.76461562045699</v>
      </c>
      <c r="AI1751">
        <v>87.264563297814703</v>
      </c>
      <c r="AJ1751">
        <v>99.259442985988102</v>
      </c>
      <c r="AK1751">
        <v>108.29753941914301</v>
      </c>
      <c r="AL1751">
        <v>86.838097210377001</v>
      </c>
      <c r="AM1751">
        <v>87.106917338356595</v>
      </c>
      <c r="AN1751">
        <v>1.00000004142545</v>
      </c>
    </row>
    <row r="1752" spans="1:40" x14ac:dyDescent="0.25">
      <c r="A1752" t="str">
        <f>"20190312154543231"</f>
        <v>20190312154543231</v>
      </c>
      <c r="B1752" t="str">
        <f>"1552376743218377"</f>
        <v>1552376743218377</v>
      </c>
      <c r="C1752" t="s">
        <v>40</v>
      </c>
      <c r="D1752">
        <v>4.2337930000000004</v>
      </c>
      <c r="E1752">
        <v>0.41624610000000001</v>
      </c>
      <c r="F1752" t="s">
        <v>63</v>
      </c>
      <c r="G1752">
        <v>-440.6841</v>
      </c>
      <c r="H1752">
        <v>6.1684130000000001</v>
      </c>
      <c r="I1752">
        <v>265.17750000000001</v>
      </c>
      <c r="J1752">
        <v>-333.97930000000002</v>
      </c>
      <c r="K1752">
        <v>1.1101399999999999</v>
      </c>
      <c r="L1752">
        <v>283.20240000000001</v>
      </c>
      <c r="M1752">
        <v>-0.99989830000000002</v>
      </c>
      <c r="N1752">
        <v>0</v>
      </c>
      <c r="O1752">
        <v>-1.3469549999999999E-3</v>
      </c>
      <c r="P1752">
        <v>-0.99791560000000001</v>
      </c>
      <c r="Q1752">
        <v>4.1495690000000002E-2</v>
      </c>
      <c r="R1752">
        <v>4.9424450000000002E-2</v>
      </c>
      <c r="S1752">
        <v>-3.0254210000000001</v>
      </c>
      <c r="T1752">
        <v>0.14304159999999999</v>
      </c>
      <c r="U1752">
        <v>-0.5097351</v>
      </c>
      <c r="V1752">
        <v>5.0756210000000003E-2</v>
      </c>
      <c r="W1752">
        <v>5.5677999999999998E-2</v>
      </c>
      <c r="X1752">
        <v>0.99715790000000004</v>
      </c>
      <c r="Y1752">
        <v>-0.16463649999999999</v>
      </c>
      <c r="Z1752">
        <v>3.799443E-3</v>
      </c>
      <c r="AA1752">
        <v>0.98634699999999997</v>
      </c>
      <c r="AB1752">
        <v>29</v>
      </c>
      <c r="AC1752">
        <v>-106.704799999999</v>
      </c>
      <c r="AD1752">
        <v>5.0582729999999998</v>
      </c>
      <c r="AE1752">
        <v>-18.024899999999999</v>
      </c>
      <c r="AF1752">
        <v>-17.842160515535799</v>
      </c>
      <c r="AG1752">
        <v>5.0582729999999998</v>
      </c>
      <c r="AH1752">
        <v>106.496308088395</v>
      </c>
      <c r="AI1752">
        <v>87.317980935521106</v>
      </c>
      <c r="AJ1752">
        <v>99.510880373650494</v>
      </c>
      <c r="AK1752">
        <v>108.098993769891</v>
      </c>
      <c r="AL1752">
        <v>86.808235213646697</v>
      </c>
      <c r="AM1752">
        <v>87.086109463128693</v>
      </c>
      <c r="AN1752">
        <v>1.0000000550349799</v>
      </c>
    </row>
    <row r="1753" spans="1:40" x14ac:dyDescent="0.25">
      <c r="A1753" t="str">
        <f>"20190312154543254"</f>
        <v>20190312154543254</v>
      </c>
      <c r="B1753" t="str">
        <f>"1552376743248633"</f>
        <v>1552376743248633</v>
      </c>
      <c r="C1753" t="s">
        <v>40</v>
      </c>
      <c r="D1753">
        <v>4.2225159999999997</v>
      </c>
      <c r="E1753">
        <v>0.4149275</v>
      </c>
      <c r="F1753" t="s">
        <v>63</v>
      </c>
      <c r="G1753">
        <v>-440.6841</v>
      </c>
      <c r="H1753">
        <v>6.1658660000000003</v>
      </c>
      <c r="I1753">
        <v>264.91140000000001</v>
      </c>
      <c r="J1753">
        <v>-334.28210000000001</v>
      </c>
      <c r="K1753">
        <v>1.1101399999999999</v>
      </c>
      <c r="L1753">
        <v>283.20179999999999</v>
      </c>
      <c r="M1753">
        <v>-0.99989810000000001</v>
      </c>
      <c r="N1753">
        <v>0</v>
      </c>
      <c r="O1753">
        <v>-1.48544E-3</v>
      </c>
      <c r="P1753">
        <v>-0.99791490000000005</v>
      </c>
      <c r="Q1753">
        <v>4.1783420000000002E-2</v>
      </c>
      <c r="R1753">
        <v>4.9195379999999997E-2</v>
      </c>
      <c r="S1753">
        <v>-3.0260009999999999</v>
      </c>
      <c r="T1753">
        <v>0.14337369999999999</v>
      </c>
      <c r="U1753">
        <v>-0.51870729999999998</v>
      </c>
      <c r="V1753">
        <v>5.0665309999999998E-2</v>
      </c>
      <c r="W1753">
        <v>5.5962230000000002E-2</v>
      </c>
      <c r="X1753">
        <v>0.99714650000000005</v>
      </c>
      <c r="Y1753">
        <v>-0.1673074</v>
      </c>
      <c r="Z1753">
        <v>3.86287E-3</v>
      </c>
      <c r="AA1753">
        <v>0.98589720000000003</v>
      </c>
      <c r="AB1753">
        <v>29</v>
      </c>
      <c r="AC1753">
        <v>-106.402</v>
      </c>
      <c r="AD1753">
        <v>5.0557259999999999</v>
      </c>
      <c r="AE1753">
        <v>-18.290399999999899</v>
      </c>
      <c r="AF1753">
        <v>-18.092634620501698</v>
      </c>
      <c r="AG1753">
        <v>5.0557259999999999</v>
      </c>
      <c r="AH1753">
        <v>106.196176212312</v>
      </c>
      <c r="AI1753">
        <v>87.313012904565298</v>
      </c>
      <c r="AJ1753">
        <v>99.668643886058504</v>
      </c>
      <c r="AK1753">
        <v>107.844942556498</v>
      </c>
      <c r="AL1753">
        <v>86.791924246533</v>
      </c>
      <c r="AM1753">
        <v>87.091285823835506</v>
      </c>
      <c r="AN1753">
        <v>0.99999994364310796</v>
      </c>
    </row>
    <row r="1754" spans="1:40" x14ac:dyDescent="0.25">
      <c r="A1754" t="str">
        <f>"20190312154543275"</f>
        <v>20190312154543275</v>
      </c>
      <c r="B1754" t="str">
        <f>"1552376743268157"</f>
        <v>1552376743268157</v>
      </c>
      <c r="C1754" t="s">
        <v>40</v>
      </c>
      <c r="D1754">
        <v>4.1873060000000004</v>
      </c>
      <c r="E1754">
        <v>0.41439039999999999</v>
      </c>
      <c r="F1754" t="s">
        <v>63</v>
      </c>
      <c r="G1754">
        <v>-440.6841</v>
      </c>
      <c r="H1754">
        <v>6.1969979999999998</v>
      </c>
      <c r="I1754">
        <v>264.57319999999999</v>
      </c>
      <c r="J1754">
        <v>-334.56299999999999</v>
      </c>
      <c r="K1754">
        <v>1.1101399999999999</v>
      </c>
      <c r="L1754">
        <v>283.2013</v>
      </c>
      <c r="M1754">
        <v>-0.99989790000000001</v>
      </c>
      <c r="N1754">
        <v>0</v>
      </c>
      <c r="O1754">
        <v>-1.6139139999999999E-3</v>
      </c>
      <c r="P1754">
        <v>-0.99792740000000002</v>
      </c>
      <c r="Q1754">
        <v>4.1758749999999997E-2</v>
      </c>
      <c r="R1754">
        <v>4.8965080000000001E-2</v>
      </c>
      <c r="S1754">
        <v>-3.0263369999999998</v>
      </c>
      <c r="T1754">
        <v>0.14468310000000001</v>
      </c>
      <c r="U1754">
        <v>-0.52984619999999905</v>
      </c>
      <c r="V1754">
        <v>5.0563579999999997E-2</v>
      </c>
      <c r="W1754">
        <v>5.5934619999999997E-2</v>
      </c>
      <c r="X1754">
        <v>0.99715330000000002</v>
      </c>
      <c r="Y1754">
        <v>-0.17067779999999999</v>
      </c>
      <c r="Z1754">
        <v>3.9702909999999999E-3</v>
      </c>
      <c r="AA1754">
        <v>0.9853189</v>
      </c>
      <c r="AB1754">
        <v>29</v>
      </c>
      <c r="AC1754">
        <v>-106.121099999999</v>
      </c>
      <c r="AD1754">
        <v>5.0868580000000003</v>
      </c>
      <c r="AE1754">
        <v>-18.6281</v>
      </c>
      <c r="AF1754">
        <v>-18.415738910235198</v>
      </c>
      <c r="AG1754">
        <v>5.0868580000000003</v>
      </c>
      <c r="AH1754">
        <v>105.914941390241</v>
      </c>
      <c r="AI1754">
        <v>87.290908133840603</v>
      </c>
      <c r="AJ1754">
        <v>99.8635748717399</v>
      </c>
      <c r="AK1754">
        <v>107.624301965775</v>
      </c>
      <c r="AL1754">
        <v>86.793508943690099</v>
      </c>
      <c r="AM1754">
        <v>87.097135943428697</v>
      </c>
      <c r="AN1754">
        <v>1.0000000305189201</v>
      </c>
    </row>
    <row r="1755" spans="1:40" x14ac:dyDescent="0.25">
      <c r="A1755" t="str">
        <f>"20190312154543298"</f>
        <v>20190312154543298</v>
      </c>
      <c r="B1755" t="str">
        <f>"1552376743288649"</f>
        <v>1552376743288649</v>
      </c>
      <c r="C1755" t="s">
        <v>40</v>
      </c>
      <c r="D1755">
        <v>4.1503410000000001</v>
      </c>
      <c r="E1755">
        <v>0.41400690000000001</v>
      </c>
      <c r="F1755" t="s">
        <v>63</v>
      </c>
      <c r="G1755">
        <v>-440.6841</v>
      </c>
      <c r="H1755">
        <v>6.254664</v>
      </c>
      <c r="I1755">
        <v>264.4529</v>
      </c>
      <c r="J1755">
        <v>-334.86610000000002</v>
      </c>
      <c r="K1755">
        <v>1.110147</v>
      </c>
      <c r="L1755">
        <v>283.20069999999998</v>
      </c>
      <c r="M1755">
        <v>-0.99989779999999995</v>
      </c>
      <c r="N1755">
        <v>0</v>
      </c>
      <c r="O1755">
        <v>-1.752757E-3</v>
      </c>
      <c r="P1755">
        <v>-0.99793359999999998</v>
      </c>
      <c r="Q1755">
        <v>4.2154009999999999E-2</v>
      </c>
      <c r="R1755">
        <v>4.8495040000000003E-2</v>
      </c>
      <c r="S1755">
        <v>-3.026367</v>
      </c>
      <c r="T1755">
        <v>0.14671210000000001</v>
      </c>
      <c r="U1755">
        <v>-0.53466800000000003</v>
      </c>
      <c r="V1755">
        <v>5.0231869999999998E-2</v>
      </c>
      <c r="W1755">
        <v>5.6325960000000001E-2</v>
      </c>
      <c r="X1755">
        <v>0.99714800000000003</v>
      </c>
      <c r="Y1755">
        <v>-0.17205519999999999</v>
      </c>
      <c r="Z1755">
        <v>4.0517499999999998E-3</v>
      </c>
      <c r="AA1755">
        <v>0.98507900000000004</v>
      </c>
      <c r="AB1755">
        <v>29</v>
      </c>
      <c r="AC1755">
        <v>-105.817999999999</v>
      </c>
      <c r="AD1755">
        <v>5.1445169999999996</v>
      </c>
      <c r="AE1755">
        <v>-18.747799999999899</v>
      </c>
      <c r="AF1755">
        <v>-18.5198383733503</v>
      </c>
      <c r="AG1755">
        <v>5.1445169999999996</v>
      </c>
      <c r="AH1755">
        <v>105.608683370449</v>
      </c>
      <c r="AI1755">
        <v>87.2530070078151</v>
      </c>
      <c r="AJ1755">
        <v>99.946415570391807</v>
      </c>
      <c r="AK1755">
        <v>107.34358141863</v>
      </c>
      <c r="AL1755">
        <v>86.771051291171005</v>
      </c>
      <c r="AM1755">
        <v>87.116131918242004</v>
      </c>
      <c r="AN1755">
        <v>0.99999999421880903</v>
      </c>
    </row>
    <row r="1756" spans="1:40" x14ac:dyDescent="0.25">
      <c r="A1756" t="str">
        <f>"20190312154543321"</f>
        <v>20190312154543321</v>
      </c>
      <c r="B1756" t="str">
        <f>"1552376743317930"</f>
        <v>1552376743317930</v>
      </c>
      <c r="C1756" t="s">
        <v>40</v>
      </c>
      <c r="D1756">
        <v>4.1836339999999996</v>
      </c>
      <c r="E1756">
        <v>0.41356310000000002</v>
      </c>
      <c r="F1756" t="s">
        <v>63</v>
      </c>
      <c r="G1756">
        <v>-440.6841</v>
      </c>
      <c r="H1756">
        <v>6.3275069999999998</v>
      </c>
      <c r="I1756">
        <v>264.34870000000001</v>
      </c>
      <c r="J1756">
        <v>-335.16579999999999</v>
      </c>
      <c r="K1756">
        <v>1.1101460000000001</v>
      </c>
      <c r="L1756">
        <v>283.19990000000001</v>
      </c>
      <c r="M1756">
        <v>-0.99989760000000005</v>
      </c>
      <c r="N1756">
        <v>0</v>
      </c>
      <c r="O1756">
        <v>-1.889932E-3</v>
      </c>
      <c r="P1756">
        <v>-0.99793829999999994</v>
      </c>
      <c r="Q1756">
        <v>4.2166009999999997E-2</v>
      </c>
      <c r="R1756">
        <v>4.8387149999999997E-2</v>
      </c>
      <c r="S1756">
        <v>-3.026154</v>
      </c>
      <c r="T1756">
        <v>0.149205</v>
      </c>
      <c r="U1756">
        <v>-0.53912349999999998</v>
      </c>
      <c r="V1756">
        <v>5.026079E-2</v>
      </c>
      <c r="W1756">
        <v>5.6335000000000003E-2</v>
      </c>
      <c r="X1756">
        <v>0.99714599999999998</v>
      </c>
      <c r="Y1756">
        <v>-0.17333009999999999</v>
      </c>
      <c r="Z1756">
        <v>4.1447339999999997E-3</v>
      </c>
      <c r="AA1756">
        <v>0.98485509999999998</v>
      </c>
      <c r="AB1756">
        <v>29</v>
      </c>
      <c r="AC1756">
        <v>-105.5183</v>
      </c>
      <c r="AD1756">
        <v>5.2173610000000004</v>
      </c>
      <c r="AE1756">
        <v>-18.851199999999999</v>
      </c>
      <c r="AF1756">
        <v>-18.607638660815802</v>
      </c>
      <c r="AG1756">
        <v>5.2173610000000004</v>
      </c>
      <c r="AH1756">
        <v>105.30425591419601</v>
      </c>
      <c r="AI1756">
        <v>87.206769284653504</v>
      </c>
      <c r="AJ1756">
        <v>100.020925374789</v>
      </c>
      <c r="AK1756">
        <v>107.062838492067</v>
      </c>
      <c r="AL1756">
        <v>86.770532410327803</v>
      </c>
      <c r="AM1756">
        <v>87.114468615961599</v>
      </c>
      <c r="AN1756">
        <v>0.99999996227621102</v>
      </c>
    </row>
    <row r="1757" spans="1:40" x14ac:dyDescent="0.25">
      <c r="A1757" t="str">
        <f>"20190312154543342"</f>
        <v>20190312154543342</v>
      </c>
      <c r="B1757" t="str">
        <f>"1552376743338425"</f>
        <v>1552376743338425</v>
      </c>
      <c r="C1757" t="s">
        <v>40</v>
      </c>
      <c r="D1757">
        <v>4.1213600000000001</v>
      </c>
      <c r="E1757">
        <v>0.4133734</v>
      </c>
      <c r="F1757" t="s">
        <v>63</v>
      </c>
      <c r="G1757">
        <v>-440.6841</v>
      </c>
      <c r="H1757">
        <v>6.4442019999999998</v>
      </c>
      <c r="I1757">
        <v>264.27179999999998</v>
      </c>
      <c r="J1757">
        <v>-335.43790000000001</v>
      </c>
      <c r="K1757">
        <v>1.1101460000000001</v>
      </c>
      <c r="L1757">
        <v>283.19929999999999</v>
      </c>
      <c r="M1757">
        <v>-0.99989740000000005</v>
      </c>
      <c r="N1757">
        <v>0</v>
      </c>
      <c r="O1757">
        <v>-2.0144730000000001E-3</v>
      </c>
      <c r="P1757">
        <v>-0.99793140000000002</v>
      </c>
      <c r="Q1757">
        <v>4.264826E-2</v>
      </c>
      <c r="R1757">
        <v>4.811004E-2</v>
      </c>
      <c r="S1757">
        <v>-3.0260310000000001</v>
      </c>
      <c r="T1757">
        <v>0.1529692</v>
      </c>
      <c r="U1757">
        <v>-0.54281619999999997</v>
      </c>
      <c r="V1757">
        <v>5.0108119999999999E-2</v>
      </c>
      <c r="W1757">
        <v>5.6813460000000003E-2</v>
      </c>
      <c r="X1757">
        <v>0.99712659999999997</v>
      </c>
      <c r="Y1757">
        <v>-0.17436740000000001</v>
      </c>
      <c r="Z1757">
        <v>4.2686429999999999E-3</v>
      </c>
      <c r="AA1757">
        <v>0.98467139999999997</v>
      </c>
      <c r="AB1757">
        <v>29</v>
      </c>
      <c r="AC1757">
        <v>-105.2462</v>
      </c>
      <c r="AD1757">
        <v>5.3340559999999897</v>
      </c>
      <c r="AE1757">
        <v>-18.927499999999998</v>
      </c>
      <c r="AF1757">
        <v>-18.6689732227535</v>
      </c>
      <c r="AG1757">
        <v>5.3340559999999897</v>
      </c>
      <c r="AH1757">
        <v>105.022805527637</v>
      </c>
      <c r="AI1757">
        <v>87.137275692612903</v>
      </c>
      <c r="AJ1757">
        <v>100.07967369674201</v>
      </c>
      <c r="AK1757">
        <v>106.80249245920599</v>
      </c>
      <c r="AL1757">
        <v>86.7430748974175</v>
      </c>
      <c r="AM1757">
        <v>87.1231629590484</v>
      </c>
      <c r="AN1757">
        <v>1.00000002467733</v>
      </c>
    </row>
    <row r="1758" spans="1:40" x14ac:dyDescent="0.25">
      <c r="A1758" t="str">
        <f>"20190312154543367"</f>
        <v>20190312154543367</v>
      </c>
      <c r="B1758" t="str">
        <f>"1552376743358574"</f>
        <v>1552376743358574</v>
      </c>
      <c r="C1758" t="s">
        <v>40</v>
      </c>
      <c r="D1758">
        <v>4.1320139999999999</v>
      </c>
      <c r="E1758">
        <v>0.41302060000000002</v>
      </c>
      <c r="F1758" t="s">
        <v>63</v>
      </c>
      <c r="G1758">
        <v>-440.6841</v>
      </c>
      <c r="H1758">
        <v>6.5232640000000002</v>
      </c>
      <c r="I1758">
        <v>264.2362</v>
      </c>
      <c r="J1758">
        <v>-335.7473</v>
      </c>
      <c r="K1758">
        <v>1.110152</v>
      </c>
      <c r="L1758">
        <v>283.19850000000002</v>
      </c>
      <c r="M1758">
        <v>-0.99989709999999998</v>
      </c>
      <c r="N1758">
        <v>0</v>
      </c>
      <c r="O1758">
        <v>-2.1559389999999999E-3</v>
      </c>
      <c r="P1758">
        <v>-0.99792800000000004</v>
      </c>
      <c r="Q1758">
        <v>4.2703930000000001E-2</v>
      </c>
      <c r="R1758">
        <v>4.8127789999999997E-2</v>
      </c>
      <c r="S1758">
        <v>-3.0258790000000002</v>
      </c>
      <c r="T1758">
        <v>0.15563009999999999</v>
      </c>
      <c r="U1758">
        <v>-0.54519649999999997</v>
      </c>
      <c r="V1758">
        <v>5.0267050000000001E-2</v>
      </c>
      <c r="W1758">
        <v>5.6866300000000002E-2</v>
      </c>
      <c r="X1758">
        <v>0.99711559999999999</v>
      </c>
      <c r="Y1758">
        <v>-0.17497889999999999</v>
      </c>
      <c r="Z1758">
        <v>4.3510939999999998E-3</v>
      </c>
      <c r="AA1758">
        <v>0.98456259999999995</v>
      </c>
      <c r="AB1758">
        <v>29</v>
      </c>
      <c r="AC1758">
        <v>-104.93680000000001</v>
      </c>
      <c r="AD1758">
        <v>5.4131119999999999</v>
      </c>
      <c r="AE1758">
        <v>-18.962299999999999</v>
      </c>
      <c r="AF1758">
        <v>-18.687840647289999</v>
      </c>
      <c r="AG1758">
        <v>5.4131119999999999</v>
      </c>
      <c r="AH1758">
        <v>104.70762916239499</v>
      </c>
      <c r="AI1758">
        <v>87.086549173533598</v>
      </c>
      <c r="AJ1758">
        <v>100.119395056858</v>
      </c>
      <c r="AK1758">
        <v>106.499881569853</v>
      </c>
      <c r="AL1758">
        <v>86.740042523228695</v>
      </c>
      <c r="AM1758">
        <v>87.114021993356104</v>
      </c>
      <c r="AN1758">
        <v>1.00000003607737</v>
      </c>
    </row>
    <row r="1759" spans="1:40" x14ac:dyDescent="0.25">
      <c r="A1759" t="str">
        <f>"20190312154543388"</f>
        <v>20190312154543388</v>
      </c>
      <c r="B1759" t="str">
        <f>"1552376743378094"</f>
        <v>1552376743378094</v>
      </c>
      <c r="C1759" t="s">
        <v>40</v>
      </c>
      <c r="D1759">
        <v>4.0894599999999999</v>
      </c>
      <c r="E1759">
        <v>0.41290310000000002</v>
      </c>
      <c r="F1759" t="s">
        <v>63</v>
      </c>
      <c r="G1759">
        <v>-440.6841</v>
      </c>
      <c r="H1759">
        <v>6.5085670000000002</v>
      </c>
      <c r="I1759">
        <v>264.19600000000003</v>
      </c>
      <c r="J1759">
        <v>-336.03339999999997</v>
      </c>
      <c r="K1759">
        <v>1.1101559999999999</v>
      </c>
      <c r="L1759">
        <v>283.1977</v>
      </c>
      <c r="M1759">
        <v>-0.99989680000000003</v>
      </c>
      <c r="N1759">
        <v>0</v>
      </c>
      <c r="O1759">
        <v>-2.2870379999999999E-3</v>
      </c>
      <c r="P1759">
        <v>-0.99793869999999896</v>
      </c>
      <c r="Q1759">
        <v>4.2666219999999998E-2</v>
      </c>
      <c r="R1759">
        <v>4.7938349999999998E-2</v>
      </c>
      <c r="S1759">
        <v>-3.026062</v>
      </c>
      <c r="T1759">
        <v>0.15567429999999999</v>
      </c>
      <c r="U1759">
        <v>-0.54797359999999995</v>
      </c>
      <c r="V1759">
        <v>5.0208299999999997E-2</v>
      </c>
      <c r="W1759">
        <v>5.6825359999999998E-2</v>
      </c>
      <c r="X1759">
        <v>0.99712089999999998</v>
      </c>
      <c r="Y1759">
        <v>-0.1757136</v>
      </c>
      <c r="Z1759">
        <v>4.3637670000000002E-3</v>
      </c>
      <c r="AA1759">
        <v>0.98443159999999996</v>
      </c>
      <c r="AB1759">
        <v>29</v>
      </c>
      <c r="AC1759">
        <v>-104.6507</v>
      </c>
      <c r="AD1759">
        <v>5.3984110000000003</v>
      </c>
      <c r="AE1759">
        <v>-19.0017</v>
      </c>
      <c r="AF1759">
        <v>-18.7140770046698</v>
      </c>
      <c r="AG1759">
        <v>5.3984110000000003</v>
      </c>
      <c r="AH1759">
        <v>104.424880679604</v>
      </c>
      <c r="AI1759">
        <v>87.086964418021296</v>
      </c>
      <c r="AJ1759">
        <v>100.16017458717501</v>
      </c>
      <c r="AK1759">
        <v>106.225774764937</v>
      </c>
      <c r="AL1759">
        <v>86.7423920311046</v>
      </c>
      <c r="AM1759">
        <v>87.1174046060992</v>
      </c>
      <c r="AN1759">
        <v>1.00000004207241</v>
      </c>
    </row>
    <row r="1760" spans="1:40" x14ac:dyDescent="0.25">
      <c r="A1760" t="str">
        <f>"20190312154543410"</f>
        <v>20190312154543410</v>
      </c>
      <c r="B1760" t="str">
        <f>"1552376743398590"</f>
        <v>1552376743398590</v>
      </c>
      <c r="C1760" t="s">
        <v>40</v>
      </c>
      <c r="D1760">
        <v>4.0838789999999996</v>
      </c>
      <c r="E1760">
        <v>0.41276210000000002</v>
      </c>
      <c r="F1760" t="s">
        <v>63</v>
      </c>
      <c r="G1760">
        <v>-440.6841</v>
      </c>
      <c r="H1760">
        <v>6.5517659999999998</v>
      </c>
      <c r="I1760">
        <v>264.19310000000002</v>
      </c>
      <c r="J1760">
        <v>-336.3141</v>
      </c>
      <c r="K1760">
        <v>1.110155</v>
      </c>
      <c r="L1760">
        <v>283.19690000000003</v>
      </c>
      <c r="M1760">
        <v>-0.99989660000000002</v>
      </c>
      <c r="N1760">
        <v>0</v>
      </c>
      <c r="O1760">
        <v>-2.4156329999999999E-3</v>
      </c>
      <c r="P1760">
        <v>-0.99796119999999999</v>
      </c>
      <c r="Q1760">
        <v>4.2582229999999999E-2</v>
      </c>
      <c r="R1760">
        <v>4.7545850000000001E-2</v>
      </c>
      <c r="S1760">
        <v>-3.0258790000000002</v>
      </c>
      <c r="T1760">
        <v>0.15733949999999999</v>
      </c>
      <c r="U1760">
        <v>-0.54949950000000003</v>
      </c>
      <c r="V1760">
        <v>4.9944269999999999E-2</v>
      </c>
      <c r="W1760">
        <v>5.6738719999999999E-2</v>
      </c>
      <c r="X1760">
        <v>0.997139</v>
      </c>
      <c r="Y1760">
        <v>-0.17607300000000001</v>
      </c>
      <c r="Z1760">
        <v>4.4130799999999998E-3</v>
      </c>
      <c r="AA1760">
        <v>0.9843672</v>
      </c>
      <c r="AB1760">
        <v>29</v>
      </c>
      <c r="AC1760">
        <v>-104.37</v>
      </c>
      <c r="AD1760">
        <v>5.441611</v>
      </c>
      <c r="AE1760">
        <v>-19.003799999999998</v>
      </c>
      <c r="AF1760">
        <v>-18.702391568335798</v>
      </c>
      <c r="AG1760">
        <v>5.441611</v>
      </c>
      <c r="AH1760">
        <v>104.141598396291</v>
      </c>
      <c r="AI1760">
        <v>87.0559124015967</v>
      </c>
      <c r="AJ1760">
        <v>100.18100588388199</v>
      </c>
      <c r="AK1760">
        <v>105.947454415786</v>
      </c>
      <c r="AL1760">
        <v>86.747363855848903</v>
      </c>
      <c r="AM1760">
        <v>87.132589885723107</v>
      </c>
      <c r="AN1760">
        <v>0.99999994888703403</v>
      </c>
    </row>
    <row r="1761" spans="1:40" x14ac:dyDescent="0.25">
      <c r="A1761" t="str">
        <f>"20190312154543432"</f>
        <v>20190312154543432</v>
      </c>
      <c r="B1761" t="str">
        <f>"1552376743418110"</f>
        <v>1552376743418110</v>
      </c>
      <c r="C1761" t="s">
        <v>40</v>
      </c>
      <c r="D1761">
        <v>4.2289450000000004</v>
      </c>
      <c r="E1761">
        <v>0.41286630000000002</v>
      </c>
      <c r="F1761" t="s">
        <v>63</v>
      </c>
      <c r="G1761">
        <v>-440.6841</v>
      </c>
      <c r="H1761">
        <v>6.5881939999999997</v>
      </c>
      <c r="I1761">
        <v>264.166</v>
      </c>
      <c r="J1761">
        <v>-336.59530000000001</v>
      </c>
      <c r="K1761">
        <v>1.1101529999999999</v>
      </c>
      <c r="L1761">
        <v>283.1961</v>
      </c>
      <c r="M1761">
        <v>-0.99989629999999996</v>
      </c>
      <c r="N1761">
        <v>0</v>
      </c>
      <c r="O1761">
        <v>-2.544466E-3</v>
      </c>
      <c r="P1761">
        <v>-0.99796560000000001</v>
      </c>
      <c r="Q1761">
        <v>4.2656699999999902E-2</v>
      </c>
      <c r="R1761">
        <v>4.7384040000000002E-2</v>
      </c>
      <c r="S1761">
        <v>-3.0256349999999999</v>
      </c>
      <c r="T1761">
        <v>0.158806</v>
      </c>
      <c r="U1761">
        <v>-0.55169679999999999</v>
      </c>
      <c r="V1761">
        <v>4.9911030000000002E-2</v>
      </c>
      <c r="W1761">
        <v>5.6810600000000003E-2</v>
      </c>
      <c r="X1761">
        <v>0.99713669999999999</v>
      </c>
      <c r="Y1761">
        <v>-0.1766472</v>
      </c>
      <c r="Z1761">
        <v>4.4624590000000002E-3</v>
      </c>
      <c r="AA1761">
        <v>0.98426409999999998</v>
      </c>
      <c r="AB1761">
        <v>29</v>
      </c>
      <c r="AC1761">
        <v>-104.08880000000001</v>
      </c>
      <c r="AD1761">
        <v>5.4780410000000002</v>
      </c>
      <c r="AE1761">
        <v>-19.030100000000001</v>
      </c>
      <c r="AF1761">
        <v>-18.715001840909402</v>
      </c>
      <c r="AG1761">
        <v>5.4780410000000002</v>
      </c>
      <c r="AH1761">
        <v>103.858530027832</v>
      </c>
      <c r="AI1761">
        <v>87.028490048031898</v>
      </c>
      <c r="AJ1761">
        <v>100.214909753377</v>
      </c>
      <c r="AK1761">
        <v>105.67333858000799</v>
      </c>
      <c r="AL1761">
        <v>86.743239198488297</v>
      </c>
      <c r="AM1761">
        <v>87.134488486788101</v>
      </c>
      <c r="AN1761">
        <v>1.00000007683745</v>
      </c>
    </row>
    <row r="1762" spans="1:40" x14ac:dyDescent="0.25">
      <c r="A1762" t="str">
        <f>"20190312154543456"</f>
        <v>20190312154543456</v>
      </c>
      <c r="B1762" t="str">
        <f>"1552376743448366"</f>
        <v>1552376743448366</v>
      </c>
      <c r="C1762" t="s">
        <v>40</v>
      </c>
      <c r="D1762">
        <v>4.2536160000000001</v>
      </c>
      <c r="E1762">
        <v>0.47957240000000001</v>
      </c>
      <c r="F1762" t="s">
        <v>63</v>
      </c>
      <c r="G1762">
        <v>-440.6841</v>
      </c>
      <c r="H1762">
        <v>6.589556</v>
      </c>
      <c r="I1762">
        <v>264.23020000000002</v>
      </c>
      <c r="J1762">
        <v>-336.90269999999998</v>
      </c>
      <c r="K1762">
        <v>1.1101559999999999</v>
      </c>
      <c r="L1762">
        <v>283.19510000000002</v>
      </c>
      <c r="M1762">
        <v>-0.99989600000000001</v>
      </c>
      <c r="N1762">
        <v>0</v>
      </c>
      <c r="O1762">
        <v>-2.6853379999999998E-3</v>
      </c>
      <c r="P1762">
        <v>-0.99795440000000002</v>
      </c>
      <c r="Q1762">
        <v>4.3126039999999997E-2</v>
      </c>
      <c r="R1762">
        <v>4.7197120000000002E-2</v>
      </c>
      <c r="S1762">
        <v>-3.0254819999999998</v>
      </c>
      <c r="T1762">
        <v>0.15926660000000001</v>
      </c>
      <c r="U1762">
        <v>-0.55126949999999997</v>
      </c>
      <c r="V1762">
        <v>4.986471E-2</v>
      </c>
      <c r="W1762">
        <v>5.7276189999999998E-2</v>
      </c>
      <c r="X1762">
        <v>0.99711229999999995</v>
      </c>
      <c r="Y1762">
        <v>-0.17638190000000001</v>
      </c>
      <c r="Z1762">
        <v>4.4613919999999998E-3</v>
      </c>
      <c r="AA1762">
        <v>0.98431170000000001</v>
      </c>
      <c r="AB1762">
        <v>29</v>
      </c>
      <c r="AC1762">
        <v>-103.7814</v>
      </c>
      <c r="AD1762">
        <v>5.4794</v>
      </c>
      <c r="AE1762">
        <v>-18.9649</v>
      </c>
      <c r="AF1762">
        <v>-18.6358453221955</v>
      </c>
      <c r="AG1762">
        <v>5.4794</v>
      </c>
      <c r="AH1762">
        <v>103.552624955214</v>
      </c>
      <c r="AI1762">
        <v>87.018869226375401</v>
      </c>
      <c r="AJ1762">
        <v>100.202029776359</v>
      </c>
      <c r="AK1762">
        <v>105.358742828244</v>
      </c>
      <c r="AL1762">
        <v>86.716519081469897</v>
      </c>
      <c r="AM1762">
        <v>87.137073463134996</v>
      </c>
      <c r="AN1762">
        <v>0.99999999502779502</v>
      </c>
    </row>
    <row r="1763" spans="1:40" x14ac:dyDescent="0.25">
      <c r="A1763" t="str">
        <f>"20190312154543477"</f>
        <v>20190312154543477</v>
      </c>
      <c r="B1763" t="str">
        <f>"1552376743467885"</f>
        <v>1552376743467885</v>
      </c>
      <c r="C1763" t="s">
        <v>40</v>
      </c>
      <c r="D1763">
        <v>4.2428419999999996</v>
      </c>
      <c r="E1763">
        <v>0.54379290000000002</v>
      </c>
      <c r="F1763" t="s">
        <v>44</v>
      </c>
      <c r="G1763">
        <v>0</v>
      </c>
      <c r="H1763">
        <v>0</v>
      </c>
      <c r="I1763">
        <v>0</v>
      </c>
      <c r="J1763">
        <v>-337.18770000000001</v>
      </c>
      <c r="K1763">
        <v>1.1101570000000001</v>
      </c>
      <c r="L1763">
        <v>283.19420000000002</v>
      </c>
      <c r="M1763">
        <v>-0.9998956</v>
      </c>
      <c r="N1763">
        <v>0</v>
      </c>
      <c r="O1763">
        <v>-2.81584E-3</v>
      </c>
      <c r="P1763">
        <v>-0.99794190000000005</v>
      </c>
      <c r="Q1763">
        <v>4.332896E-2</v>
      </c>
      <c r="R1763">
        <v>4.7271680000000003E-2</v>
      </c>
      <c r="S1763">
        <v>-3.001465</v>
      </c>
      <c r="T1763">
        <v>0.13175020000000001</v>
      </c>
      <c r="U1763">
        <v>-2.1179199999999999E-2</v>
      </c>
      <c r="V1763">
        <v>5.0069309999999999E-2</v>
      </c>
      <c r="W1763">
        <v>5.747613E-2</v>
      </c>
      <c r="X1763">
        <v>0.99709049999999999</v>
      </c>
      <c r="Y1763">
        <v>-4.2386619999999998E-3</v>
      </c>
      <c r="Z1763" s="1">
        <v>-3.0570349999999998E-5</v>
      </c>
      <c r="AA1763">
        <v>0.99999099999999996</v>
      </c>
      <c r="AB1763">
        <v>29</v>
      </c>
      <c r="AC1763">
        <v>-3.001465</v>
      </c>
      <c r="AD1763">
        <v>0.13175020000000001</v>
      </c>
      <c r="AE1763">
        <v>-2.1179199999999999E-2</v>
      </c>
      <c r="AF1763">
        <v>-1.27021486401881E-2</v>
      </c>
      <c r="AG1763">
        <v>0.13175020000000001</v>
      </c>
      <c r="AH1763">
        <v>2.9957408439878699</v>
      </c>
      <c r="AI1763">
        <v>87.4818244026023</v>
      </c>
      <c r="AJ1763">
        <v>90.242936617148501</v>
      </c>
      <c r="AK1763">
        <v>2.9986634796384402</v>
      </c>
      <c r="AL1763">
        <v>86.705044322519896</v>
      </c>
      <c r="AM1763">
        <v>87.125283501273501</v>
      </c>
      <c r="AN1763">
        <v>0.99999995325695001</v>
      </c>
    </row>
    <row r="1764" spans="1:40" x14ac:dyDescent="0.25">
      <c r="A1764" t="str">
        <f>"20190312154543502"</f>
        <v>20190312154543502</v>
      </c>
      <c r="B1764" t="str">
        <f>"1552376743488382"</f>
        <v>1552376743488382</v>
      </c>
      <c r="C1764" t="s">
        <v>40</v>
      </c>
      <c r="D1764">
        <v>4.2248299999999999</v>
      </c>
      <c r="E1764">
        <v>0.54772200000000004</v>
      </c>
      <c r="F1764" t="s">
        <v>56</v>
      </c>
      <c r="G1764">
        <v>-439.93549999999999</v>
      </c>
      <c r="H1764">
        <v>5.0679470000000002</v>
      </c>
      <c r="I1764">
        <v>300.10719999999998</v>
      </c>
      <c r="J1764">
        <v>-337.48930000000001</v>
      </c>
      <c r="K1764">
        <v>1.1101559999999999</v>
      </c>
      <c r="L1764">
        <v>283.19319999999999</v>
      </c>
      <c r="M1764">
        <v>-0.99989530000000004</v>
      </c>
      <c r="N1764">
        <v>0</v>
      </c>
      <c r="O1764">
        <v>-2.9543270000000001E-3</v>
      </c>
      <c r="P1764">
        <v>-0.99792159999999996</v>
      </c>
      <c r="Q1764">
        <v>4.3825179999999998E-2</v>
      </c>
      <c r="R1764">
        <v>4.7246120000000003E-2</v>
      </c>
      <c r="S1764">
        <v>-2.978027</v>
      </c>
      <c r="T1764">
        <v>0.11471240000000001</v>
      </c>
      <c r="U1764">
        <v>0.49020390000000003</v>
      </c>
      <c r="V1764">
        <v>5.0182020000000001E-2</v>
      </c>
      <c r="W1764">
        <v>5.7968359999999997E-2</v>
      </c>
      <c r="X1764">
        <v>0.99705639999999995</v>
      </c>
      <c r="Y1764">
        <v>0.16521440000000001</v>
      </c>
      <c r="Z1764">
        <v>-3.2725950000000001E-3</v>
      </c>
      <c r="AA1764">
        <v>0.98625220000000002</v>
      </c>
      <c r="AB1764">
        <v>29</v>
      </c>
      <c r="AC1764">
        <v>-102.446199999999</v>
      </c>
      <c r="AD1764">
        <v>3.9577909999999998</v>
      </c>
      <c r="AE1764">
        <v>16.913999999999898</v>
      </c>
      <c r="AF1764">
        <v>17.191638468194402</v>
      </c>
      <c r="AG1764">
        <v>3.9577909999999998</v>
      </c>
      <c r="AH1764">
        <v>102.247223829923</v>
      </c>
      <c r="AI1764">
        <v>87.813952992701303</v>
      </c>
      <c r="AJ1764">
        <v>80.455677495970903</v>
      </c>
      <c r="AK1764">
        <v>103.75794583426899</v>
      </c>
      <c r="AL1764">
        <v>86.676794724465097</v>
      </c>
      <c r="AM1764">
        <v>87.118724804971805</v>
      </c>
      <c r="AN1764">
        <v>1.0000000153366599</v>
      </c>
    </row>
    <row r="1765" spans="1:40" x14ac:dyDescent="0.25">
      <c r="A1765" t="str">
        <f>"20190312154543522"</f>
        <v>20190312154543522</v>
      </c>
      <c r="B1765" t="str">
        <f>"1552376743518637"</f>
        <v>1552376743518637</v>
      </c>
      <c r="C1765" t="s">
        <v>40</v>
      </c>
      <c r="D1765">
        <v>4.2004799999999998</v>
      </c>
      <c r="E1765">
        <v>0.54868240000000001</v>
      </c>
      <c r="F1765" t="s">
        <v>56</v>
      </c>
      <c r="G1765">
        <v>-440.19959999999998</v>
      </c>
      <c r="H1765">
        <v>4.9079370000000004</v>
      </c>
      <c r="I1765">
        <v>301.17899999999997</v>
      </c>
      <c r="J1765">
        <v>-337.75529999999998</v>
      </c>
      <c r="K1765">
        <v>1.110161</v>
      </c>
      <c r="L1765">
        <v>283.19229999999999</v>
      </c>
      <c r="M1765">
        <v>-0.99989499999999998</v>
      </c>
      <c r="N1765">
        <v>0</v>
      </c>
      <c r="O1765">
        <v>-3.0758949999999999E-3</v>
      </c>
      <c r="P1765">
        <v>-0.99791339999999995</v>
      </c>
      <c r="Q1765">
        <v>4.4025769999999999E-2</v>
      </c>
      <c r="R1765">
        <v>4.7226619999999997E-2</v>
      </c>
      <c r="S1765">
        <v>-2.9767760000000001</v>
      </c>
      <c r="T1765">
        <v>0.11006870000000001</v>
      </c>
      <c r="U1765">
        <v>0.52127079999999903</v>
      </c>
      <c r="V1765">
        <v>5.0283469999999997E-2</v>
      </c>
      <c r="W1765">
        <v>5.8166379999999997E-2</v>
      </c>
      <c r="X1765">
        <v>0.99703969999999997</v>
      </c>
      <c r="Y1765">
        <v>0.17539879999999999</v>
      </c>
      <c r="Z1765">
        <v>-3.3300529999999999E-3</v>
      </c>
      <c r="AA1765">
        <v>0.98449180000000003</v>
      </c>
      <c r="AB1765">
        <v>29</v>
      </c>
      <c r="AC1765">
        <v>-102.4443</v>
      </c>
      <c r="AD1765">
        <v>3.7977759999999998</v>
      </c>
      <c r="AE1765">
        <v>17.986699999999999</v>
      </c>
      <c r="AF1765">
        <v>18.277386873293</v>
      </c>
      <c r="AG1765">
        <v>3.7977759999999998</v>
      </c>
      <c r="AH1765">
        <v>102.25216128727899</v>
      </c>
      <c r="AI1765">
        <v>87.906097003683698</v>
      </c>
      <c r="AJ1765">
        <v>79.865514951325494</v>
      </c>
      <c r="AK1765">
        <v>103.942245797279</v>
      </c>
      <c r="AL1765">
        <v>86.665429650763699</v>
      </c>
      <c r="AM1765">
        <v>87.112861471819102</v>
      </c>
      <c r="AN1765">
        <v>0.99999995924681595</v>
      </c>
    </row>
    <row r="1766" spans="1:40" x14ac:dyDescent="0.25">
      <c r="A1766" t="str">
        <f>"20190312154543544"</f>
        <v>20190312154543544</v>
      </c>
      <c r="B1766" t="str">
        <f>"1552376743538158"</f>
        <v>1552376743538158</v>
      </c>
      <c r="C1766" t="s">
        <v>40</v>
      </c>
      <c r="D1766">
        <v>4.2394100000000003</v>
      </c>
      <c r="E1766">
        <v>0.54857400000000001</v>
      </c>
      <c r="F1766" t="s">
        <v>56</v>
      </c>
      <c r="G1766">
        <v>-440.1995</v>
      </c>
      <c r="H1766">
        <v>4.7786710000000001</v>
      </c>
      <c r="I1766">
        <v>301.3956</v>
      </c>
      <c r="J1766">
        <v>-338.0403</v>
      </c>
      <c r="K1766">
        <v>1.1101620000000001</v>
      </c>
      <c r="L1766">
        <v>283.19130000000001</v>
      </c>
      <c r="M1766">
        <v>-0.99989459999999997</v>
      </c>
      <c r="N1766">
        <v>0</v>
      </c>
      <c r="O1766">
        <v>-3.2056860000000001E-3</v>
      </c>
      <c r="P1766">
        <v>-0.99789779999999995</v>
      </c>
      <c r="Q1766">
        <v>4.451563E-2</v>
      </c>
      <c r="R1766">
        <v>4.7103949999999999E-2</v>
      </c>
      <c r="S1766">
        <v>-2.9765320000000002</v>
      </c>
      <c r="T1766">
        <v>0.1065894</v>
      </c>
      <c r="U1766">
        <v>0.52890009999999998</v>
      </c>
      <c r="V1766">
        <v>5.0290460000000002E-2</v>
      </c>
      <c r="W1766">
        <v>5.8652870000000003E-2</v>
      </c>
      <c r="X1766">
        <v>0.99701090000000003</v>
      </c>
      <c r="Y1766">
        <v>0.1779927</v>
      </c>
      <c r="Z1766">
        <v>-3.2750840000000002E-3</v>
      </c>
      <c r="AA1766">
        <v>0.98402639999999997</v>
      </c>
      <c r="AB1766">
        <v>29</v>
      </c>
      <c r="AC1766">
        <v>-102.1592</v>
      </c>
      <c r="AD1766">
        <v>3.6685089999999998</v>
      </c>
      <c r="AE1766">
        <v>18.2042999999999</v>
      </c>
      <c r="AF1766">
        <v>18.508597143878902</v>
      </c>
      <c r="AG1766">
        <v>3.6685089999999998</v>
      </c>
      <c r="AH1766">
        <v>101.972863912588</v>
      </c>
      <c r="AI1766">
        <v>87.972747201875194</v>
      </c>
      <c r="AJ1766">
        <v>79.712517488476806</v>
      </c>
      <c r="AK1766">
        <v>103.70386251751999</v>
      </c>
      <c r="AL1766">
        <v>86.637508333210704</v>
      </c>
      <c r="AM1766">
        <v>87.112377535149704</v>
      </c>
      <c r="AN1766">
        <v>1.0000000121225201</v>
      </c>
    </row>
    <row r="1767" spans="1:40" x14ac:dyDescent="0.25">
      <c r="A1767" t="str">
        <f>"20190312154543568"</f>
        <v>20190312154543568</v>
      </c>
      <c r="B1767" t="str">
        <f>"1552376743558294"</f>
        <v>1552376743558294</v>
      </c>
      <c r="C1767" t="s">
        <v>40</v>
      </c>
      <c r="D1767">
        <v>4.2500929999999997</v>
      </c>
      <c r="E1767">
        <v>0.54857819999999902</v>
      </c>
      <c r="F1767" t="s">
        <v>56</v>
      </c>
      <c r="G1767">
        <v>-440.1995</v>
      </c>
      <c r="H1767">
        <v>4.7611720000000002</v>
      </c>
      <c r="I1767">
        <v>301.29360000000003</v>
      </c>
      <c r="J1767">
        <v>-338.34570000000002</v>
      </c>
      <c r="K1767">
        <v>1.1101620000000001</v>
      </c>
      <c r="L1767">
        <v>283.1902</v>
      </c>
      <c r="M1767">
        <v>-0.99989430000000001</v>
      </c>
      <c r="N1767">
        <v>0</v>
      </c>
      <c r="O1767">
        <v>-3.3454880000000002E-3</v>
      </c>
      <c r="P1767">
        <v>-0.99786870000000005</v>
      </c>
      <c r="Q1767">
        <v>4.5239080000000001E-2</v>
      </c>
      <c r="R1767">
        <v>4.7028279999999999E-2</v>
      </c>
      <c r="S1767">
        <v>-2.976715</v>
      </c>
      <c r="T1767">
        <v>0.1063834</v>
      </c>
      <c r="U1767">
        <v>0.52746579999999998</v>
      </c>
      <c r="V1767">
        <v>5.0353929999999998E-2</v>
      </c>
      <c r="W1767">
        <v>5.9372599999999998E-2</v>
      </c>
      <c r="X1767">
        <v>0.99696510000000005</v>
      </c>
      <c r="Y1767">
        <v>0.1776607</v>
      </c>
      <c r="Z1767">
        <v>-3.2677700000000001E-3</v>
      </c>
      <c r="AA1767">
        <v>0.98408640000000003</v>
      </c>
      <c r="AB1767">
        <v>29</v>
      </c>
      <c r="AC1767">
        <v>-101.853799999999</v>
      </c>
      <c r="AD1767">
        <v>3.6510099999999999</v>
      </c>
      <c r="AE1767">
        <v>18.103400000000001</v>
      </c>
      <c r="AF1767">
        <v>18.421138852797</v>
      </c>
      <c r="AG1767">
        <v>3.6510099999999999</v>
      </c>
      <c r="AH1767">
        <v>101.666028190969</v>
      </c>
      <c r="AI1767">
        <v>87.976214190798103</v>
      </c>
      <c r="AJ1767">
        <v>79.729849812744703</v>
      </c>
      <c r="AK1767">
        <v>103.385925148354</v>
      </c>
      <c r="AL1767">
        <v>86.596198865986693</v>
      </c>
      <c r="AM1767">
        <v>87.108606740342594</v>
      </c>
      <c r="AN1767">
        <v>1.0000000172576</v>
      </c>
    </row>
    <row r="1768" spans="1:40" x14ac:dyDescent="0.25">
      <c r="A1768" t="str">
        <f>"20190312154543589"</f>
        <v>20190312154543589</v>
      </c>
      <c r="B1768" t="str">
        <f>"1552376743578790"</f>
        <v>1552376743578790</v>
      </c>
      <c r="C1768" t="s">
        <v>40</v>
      </c>
      <c r="D1768">
        <v>4.243741</v>
      </c>
      <c r="E1768">
        <v>0.54873899999999998</v>
      </c>
      <c r="F1768" t="s">
        <v>56</v>
      </c>
      <c r="G1768">
        <v>-440.1995</v>
      </c>
      <c r="H1768">
        <v>4.7611270000000001</v>
      </c>
      <c r="I1768">
        <v>301.23230000000001</v>
      </c>
      <c r="J1768">
        <v>-338.62450000000001</v>
      </c>
      <c r="K1768">
        <v>1.110166</v>
      </c>
      <c r="L1768">
        <v>283.1891</v>
      </c>
      <c r="M1768">
        <v>-0.9998937</v>
      </c>
      <c r="N1768">
        <v>0</v>
      </c>
      <c r="O1768">
        <v>-3.473482E-3</v>
      </c>
      <c r="P1768">
        <v>-0.99786070000000004</v>
      </c>
      <c r="Q1768">
        <v>4.5572469999999997E-2</v>
      </c>
      <c r="R1768">
        <v>4.687152E-2</v>
      </c>
      <c r="S1768">
        <v>-2.9766849999999998</v>
      </c>
      <c r="T1768">
        <v>0.10670010000000001</v>
      </c>
      <c r="U1768">
        <v>0.52728269999999899</v>
      </c>
      <c r="V1768">
        <v>5.032478E-2</v>
      </c>
      <c r="W1768">
        <v>5.9702940000000003E-2</v>
      </c>
      <c r="X1768">
        <v>0.99694680000000002</v>
      </c>
      <c r="Y1768">
        <v>0.1777289</v>
      </c>
      <c r="Z1768">
        <v>-3.2833049999999998E-3</v>
      </c>
      <c r="AA1768">
        <v>0.984074</v>
      </c>
      <c r="AB1768">
        <v>29</v>
      </c>
      <c r="AC1768">
        <v>-101.575</v>
      </c>
      <c r="AD1768">
        <v>3.6509610000000001</v>
      </c>
      <c r="AE1768">
        <v>18.043199999999999</v>
      </c>
      <c r="AF1768">
        <v>18.372934878121399</v>
      </c>
      <c r="AG1768">
        <v>3.6509610000000001</v>
      </c>
      <c r="AH1768">
        <v>101.384732191662</v>
      </c>
      <c r="AI1768">
        <v>87.970640719562098</v>
      </c>
      <c r="AJ1768">
        <v>79.728337010353599</v>
      </c>
      <c r="AK1768">
        <v>103.10071859029</v>
      </c>
      <c r="AL1768">
        <v>86.577237992405998</v>
      </c>
      <c r="AM1768">
        <v>87.1102247823803</v>
      </c>
      <c r="AN1768">
        <v>0.99999997327846502</v>
      </c>
    </row>
    <row r="1769" spans="1:40" x14ac:dyDescent="0.25">
      <c r="A1769" t="str">
        <f>"20190312154543610"</f>
        <v>20190312154543610</v>
      </c>
      <c r="B1769" t="str">
        <f>"1552376743598311"</f>
        <v>1552376743598311</v>
      </c>
      <c r="C1769" t="s">
        <v>40</v>
      </c>
      <c r="D1769">
        <v>4.2630549999999996</v>
      </c>
      <c r="E1769">
        <v>0.54879409999999995</v>
      </c>
      <c r="F1769" t="s">
        <v>56</v>
      </c>
      <c r="G1769">
        <v>-440.1995</v>
      </c>
      <c r="H1769">
        <v>4.7260099999999996</v>
      </c>
      <c r="I1769">
        <v>301.20749999999998</v>
      </c>
      <c r="J1769">
        <v>-338.89260000000002</v>
      </c>
      <c r="K1769">
        <v>1.110166</v>
      </c>
      <c r="L1769">
        <v>283.18799999999999</v>
      </c>
      <c r="M1769">
        <v>-0.99989349999999999</v>
      </c>
      <c r="N1769">
        <v>0</v>
      </c>
      <c r="O1769">
        <v>-3.5974230000000002E-3</v>
      </c>
      <c r="P1769">
        <v>-0.99784530000000005</v>
      </c>
      <c r="Q1769">
        <v>4.597234E-2</v>
      </c>
      <c r="R1769">
        <v>4.6816320000000002E-2</v>
      </c>
      <c r="S1769">
        <v>-2.9767459999999999</v>
      </c>
      <c r="T1769">
        <v>0.1059659</v>
      </c>
      <c r="U1769">
        <v>0.52804569999999995</v>
      </c>
      <c r="V1769">
        <v>5.039329E-2</v>
      </c>
      <c r="W1769">
        <v>6.0098949999999998E-2</v>
      </c>
      <c r="X1769">
        <v>0.99691960000000002</v>
      </c>
      <c r="Y1769">
        <v>0.17809320000000001</v>
      </c>
      <c r="Z1769">
        <v>-3.271398E-3</v>
      </c>
      <c r="AA1769">
        <v>0.9840082</v>
      </c>
      <c r="AB1769">
        <v>29</v>
      </c>
      <c r="AC1769">
        <v>-101.306899999999</v>
      </c>
      <c r="AD1769">
        <v>3.6158440000000001</v>
      </c>
      <c r="AE1769">
        <v>18.019499999999901</v>
      </c>
      <c r="AF1769">
        <v>18.361190300618699</v>
      </c>
      <c r="AG1769">
        <v>3.6158440000000001</v>
      </c>
      <c r="AH1769">
        <v>101.116550365403</v>
      </c>
      <c r="AI1769">
        <v>87.984946878291694</v>
      </c>
      <c r="AJ1769">
        <v>79.708118953589306</v>
      </c>
      <c r="AK1769">
        <v>102.833673448375</v>
      </c>
      <c r="AL1769">
        <v>86.554507662747397</v>
      </c>
      <c r="AM1769">
        <v>87.1062186302199</v>
      </c>
      <c r="AN1769">
        <v>1.0000000281661401</v>
      </c>
    </row>
    <row r="1770" spans="1:40" x14ac:dyDescent="0.25">
      <c r="A1770" t="str">
        <f>"20190312154543634"</f>
        <v>20190312154543634</v>
      </c>
      <c r="B1770" t="str">
        <f>"1552376743628566"</f>
        <v>1552376743628566</v>
      </c>
      <c r="C1770" t="s">
        <v>40</v>
      </c>
      <c r="D1770">
        <v>4.2693269999999997</v>
      </c>
      <c r="E1770">
        <v>0.54867900000000003</v>
      </c>
      <c r="F1770" t="s">
        <v>56</v>
      </c>
      <c r="G1770">
        <v>-440.1995</v>
      </c>
      <c r="H1770">
        <v>4.7496150000000004</v>
      </c>
      <c r="I1770">
        <v>301.17239999999998</v>
      </c>
      <c r="J1770">
        <v>-339.19199999999898</v>
      </c>
      <c r="K1770">
        <v>1.110168</v>
      </c>
      <c r="L1770">
        <v>283.18680000000001</v>
      </c>
      <c r="M1770">
        <v>-0.99989300000000003</v>
      </c>
      <c r="N1770">
        <v>0</v>
      </c>
      <c r="O1770">
        <v>-3.734954E-3</v>
      </c>
      <c r="P1770">
        <v>-0.99785049999999997</v>
      </c>
      <c r="Q1770">
        <v>4.6370670000000003E-2</v>
      </c>
      <c r="R1770">
        <v>4.6306460000000001E-2</v>
      </c>
      <c r="S1770">
        <v>-2.9767459999999999</v>
      </c>
      <c r="T1770">
        <v>0.1069399</v>
      </c>
      <c r="U1770">
        <v>0.52844239999999998</v>
      </c>
      <c r="V1770">
        <v>5.0020679999999998E-2</v>
      </c>
      <c r="W1770">
        <v>6.0494010000000001E-2</v>
      </c>
      <c r="X1770">
        <v>0.99691439999999998</v>
      </c>
      <c r="Y1770">
        <v>0.1783534</v>
      </c>
      <c r="Z1770">
        <v>-3.31095E-3</v>
      </c>
      <c r="AA1770">
        <v>0.98396090000000003</v>
      </c>
      <c r="AB1770">
        <v>29</v>
      </c>
      <c r="AC1770">
        <v>-101.00749999999999</v>
      </c>
      <c r="AD1770">
        <v>3.6394470000000001</v>
      </c>
      <c r="AE1770">
        <v>17.985599999999899</v>
      </c>
      <c r="AF1770">
        <v>18.339692554174999</v>
      </c>
      <c r="AG1770">
        <v>3.6394470000000001</v>
      </c>
      <c r="AH1770">
        <v>100.81275371370801</v>
      </c>
      <c r="AI1770">
        <v>87.965816881785599</v>
      </c>
      <c r="AJ1770">
        <v>79.689596562828001</v>
      </c>
      <c r="AK1770">
        <v>102.53195213585001</v>
      </c>
      <c r="AL1770">
        <v>86.5318308868343</v>
      </c>
      <c r="AM1770">
        <v>87.127564441015394</v>
      </c>
      <c r="AN1770">
        <v>0.99999995730044999</v>
      </c>
    </row>
    <row r="1771" spans="1:40" x14ac:dyDescent="0.25">
      <c r="A1771" t="str">
        <f>"20190312154543655"</f>
        <v>20190312154543655</v>
      </c>
      <c r="B1771" t="str">
        <f>"1552376743648086"</f>
        <v>1552376743648086</v>
      </c>
      <c r="C1771" t="s">
        <v>40</v>
      </c>
      <c r="D1771">
        <v>4.2715639999999997</v>
      </c>
      <c r="E1771">
        <v>0.54869650000000003</v>
      </c>
      <c r="F1771" t="s">
        <v>56</v>
      </c>
      <c r="G1771">
        <v>-440.1995</v>
      </c>
      <c r="H1771">
        <v>4.6772410000000004</v>
      </c>
      <c r="I1771">
        <v>301.0256</v>
      </c>
      <c r="J1771">
        <v>-339.47230000000002</v>
      </c>
      <c r="K1771">
        <v>1.110166</v>
      </c>
      <c r="L1771">
        <v>283.18560000000002</v>
      </c>
      <c r="M1771">
        <v>-0.99989260000000002</v>
      </c>
      <c r="N1771">
        <v>0</v>
      </c>
      <c r="O1771">
        <v>-3.8637889999999999E-3</v>
      </c>
      <c r="P1771">
        <v>-0.99782439999999994</v>
      </c>
      <c r="Q1771">
        <v>4.7160260000000002E-2</v>
      </c>
      <c r="R1771">
        <v>4.6071309999999997E-2</v>
      </c>
      <c r="S1771">
        <v>-2.9771420000000002</v>
      </c>
      <c r="T1771">
        <v>0.10513790000000001</v>
      </c>
      <c r="U1771">
        <v>0.52578740000000002</v>
      </c>
      <c r="V1771">
        <v>4.9913819999999998E-2</v>
      </c>
      <c r="W1771">
        <v>6.1280290000000001E-2</v>
      </c>
      <c r="X1771">
        <v>0.99687179999999997</v>
      </c>
      <c r="Y1771">
        <v>0.17761089999999999</v>
      </c>
      <c r="Z1771">
        <v>-3.2465279999999998E-3</v>
      </c>
      <c r="AA1771">
        <v>0.98409550000000001</v>
      </c>
      <c r="AB1771">
        <v>29</v>
      </c>
      <c r="AC1771">
        <v>-100.727199999999</v>
      </c>
      <c r="AD1771">
        <v>3.567075</v>
      </c>
      <c r="AE1771">
        <v>17.8399999999999</v>
      </c>
      <c r="AF1771">
        <v>18.206955538064499</v>
      </c>
      <c r="AG1771">
        <v>3.567075</v>
      </c>
      <c r="AH1771">
        <v>100.535264868086</v>
      </c>
      <c r="AI1771">
        <v>88.000448741690093</v>
      </c>
      <c r="AJ1771">
        <v>79.734980062879799</v>
      </c>
      <c r="AK1771">
        <v>102.23285546299201</v>
      </c>
      <c r="AL1771">
        <v>86.486696855028498</v>
      </c>
      <c r="AM1771">
        <v>87.133568344546802</v>
      </c>
      <c r="AN1771">
        <v>1.0000000245023499</v>
      </c>
    </row>
    <row r="1772" spans="1:40" x14ac:dyDescent="0.25">
      <c r="A1772" t="str">
        <f>"20190312154543689"</f>
        <v>20190312154543689</v>
      </c>
      <c r="B1772" t="str">
        <f>"1552376743678346"</f>
        <v>1552376743678346</v>
      </c>
      <c r="C1772" t="s">
        <v>40</v>
      </c>
      <c r="D1772">
        <v>4.2765040000000001</v>
      </c>
      <c r="E1772">
        <v>0.54880079999999998</v>
      </c>
      <c r="F1772" t="s">
        <v>56</v>
      </c>
      <c r="G1772">
        <v>-439.93529999999998</v>
      </c>
      <c r="H1772">
        <v>4.6972750000000003</v>
      </c>
      <c r="I1772">
        <v>300.90480000000002</v>
      </c>
      <c r="J1772">
        <v>-339.89580000000001</v>
      </c>
      <c r="K1772">
        <v>1.110163</v>
      </c>
      <c r="L1772">
        <v>283.18380000000002</v>
      </c>
      <c r="M1772">
        <v>-0.99989189999999994</v>
      </c>
      <c r="N1772">
        <v>0</v>
      </c>
      <c r="O1772">
        <v>-4.058173E-3</v>
      </c>
      <c r="P1772">
        <v>-0.99786750000000002</v>
      </c>
      <c r="Q1772">
        <v>4.6398830000000002E-2</v>
      </c>
      <c r="R1772">
        <v>4.5913929999999999E-2</v>
      </c>
      <c r="S1772">
        <v>-2.9772639999999999</v>
      </c>
      <c r="T1772">
        <v>0.10630580000000001</v>
      </c>
      <c r="U1772">
        <v>0.52511600000000003</v>
      </c>
      <c r="V1772">
        <v>4.9950899999999999E-2</v>
      </c>
      <c r="W1772">
        <v>6.0515430000000002E-2</v>
      </c>
      <c r="X1772">
        <v>0.99691669999999999</v>
      </c>
      <c r="Y1772">
        <v>0.1775776</v>
      </c>
      <c r="Z1772">
        <v>-3.2887950000000002E-3</v>
      </c>
      <c r="AA1772">
        <v>0.98410129999999996</v>
      </c>
      <c r="AB1772">
        <v>29</v>
      </c>
      <c r="AC1772">
        <v>-100.03949999999899</v>
      </c>
      <c r="AD1772">
        <v>3.5871119999999999</v>
      </c>
      <c r="AE1772">
        <v>17.721</v>
      </c>
      <c r="AF1772">
        <v>18.1043032851018</v>
      </c>
      <c r="AG1772">
        <v>3.5871119999999999</v>
      </c>
      <c r="AH1772">
        <v>99.842290140642206</v>
      </c>
      <c r="AI1772">
        <v>87.975362668531403</v>
      </c>
      <c r="AJ1772">
        <v>79.722286656596594</v>
      </c>
      <c r="AK1772">
        <v>101.53381737365901</v>
      </c>
      <c r="AL1772">
        <v>86.530601709099599</v>
      </c>
      <c r="AM1772">
        <v>87.131571464652396</v>
      </c>
      <c r="AN1772">
        <v>1.0000000582088899</v>
      </c>
    </row>
    <row r="1773" spans="1:40" x14ac:dyDescent="0.25">
      <c r="A1773" t="str">
        <f>"20190312154543711"</f>
        <v>20190312154543711</v>
      </c>
      <c r="B1773" t="str">
        <f>"1552376743698839"</f>
        <v>1552376743698839</v>
      </c>
      <c r="C1773" t="s">
        <v>40</v>
      </c>
      <c r="D1773">
        <v>4.2965359999999997</v>
      </c>
      <c r="E1773">
        <v>0.54885669999999898</v>
      </c>
      <c r="F1773" t="s">
        <v>56</v>
      </c>
      <c r="G1773">
        <v>-439.93529999999998</v>
      </c>
      <c r="H1773">
        <v>4.565639</v>
      </c>
      <c r="I1773">
        <v>300.83330000000001</v>
      </c>
      <c r="J1773">
        <v>-340.17520000000002</v>
      </c>
      <c r="K1773">
        <v>1.1101669999999999</v>
      </c>
      <c r="L1773">
        <v>283.1825</v>
      </c>
      <c r="M1773">
        <v>-0.99989130000000004</v>
      </c>
      <c r="N1773">
        <v>0</v>
      </c>
      <c r="O1773">
        <v>-4.1865319999999998E-3</v>
      </c>
      <c r="P1773">
        <v>-0.99784669999999998</v>
      </c>
      <c r="Q1773">
        <v>4.6565660000000002E-2</v>
      </c>
      <c r="R1773">
        <v>4.6193720000000001E-2</v>
      </c>
      <c r="S1773">
        <v>-2.9774479999999999</v>
      </c>
      <c r="T1773">
        <v>0.102844699999999</v>
      </c>
      <c r="U1773">
        <v>0.52529910000000002</v>
      </c>
      <c r="V1773">
        <v>5.035862E-2</v>
      </c>
      <c r="W1773">
        <v>6.0679160000000003E-2</v>
      </c>
      <c r="X1773">
        <v>0.99688619999999994</v>
      </c>
      <c r="Y1773">
        <v>0.17775920000000001</v>
      </c>
      <c r="Z1773">
        <v>-3.1890859999999998E-3</v>
      </c>
      <c r="AA1773">
        <v>0.98406879999999997</v>
      </c>
      <c r="AB1773">
        <v>29</v>
      </c>
      <c r="AC1773">
        <v>-99.760099999999895</v>
      </c>
      <c r="AD1773">
        <v>3.4554719999999999</v>
      </c>
      <c r="AE1773">
        <v>17.6508</v>
      </c>
      <c r="AF1773">
        <v>18.047340338267201</v>
      </c>
      <c r="AG1773">
        <v>3.4554719999999999</v>
      </c>
      <c r="AH1773">
        <v>99.569487464088994</v>
      </c>
      <c r="AI1773">
        <v>88.044239009482098</v>
      </c>
      <c r="AJ1773">
        <v>79.726462809785502</v>
      </c>
      <c r="AK1773">
        <v>101.250825250411</v>
      </c>
      <c r="AL1773">
        <v>86.521203279129196</v>
      </c>
      <c r="AM1773">
        <v>87.108109414716694</v>
      </c>
      <c r="AN1773">
        <v>1.00000002340852</v>
      </c>
    </row>
    <row r="1774" spans="1:40" x14ac:dyDescent="0.25">
      <c r="A1774" t="str">
        <f>"20190312154543733"</f>
        <v>20190312154543733</v>
      </c>
      <c r="B1774" t="str">
        <f>"1552376743728119"</f>
        <v>1552376743728119</v>
      </c>
      <c r="C1774" t="s">
        <v>40</v>
      </c>
      <c r="D1774">
        <v>4.2604499999999996</v>
      </c>
      <c r="E1774">
        <v>0.54895989999999995</v>
      </c>
      <c r="F1774" t="s">
        <v>56</v>
      </c>
      <c r="G1774">
        <v>-439.93529999999998</v>
      </c>
      <c r="H1774">
        <v>4.510885</v>
      </c>
      <c r="I1774">
        <v>300.82760000000002</v>
      </c>
      <c r="J1774">
        <v>-340.46710000000002</v>
      </c>
      <c r="K1774">
        <v>1.110168</v>
      </c>
      <c r="L1774">
        <v>283.18110000000001</v>
      </c>
      <c r="M1774">
        <v>-0.99989070000000002</v>
      </c>
      <c r="N1774">
        <v>0</v>
      </c>
      <c r="O1774">
        <v>-4.3213330000000001E-3</v>
      </c>
      <c r="P1774">
        <v>-0.99781869999999995</v>
      </c>
      <c r="Q1774">
        <v>4.6484119999999997E-2</v>
      </c>
      <c r="R1774">
        <v>4.6877309999999998E-2</v>
      </c>
      <c r="S1774">
        <v>-2.9772949999999998</v>
      </c>
      <c r="T1774">
        <v>0.1014934</v>
      </c>
      <c r="U1774">
        <v>0.5266113</v>
      </c>
      <c r="V1774">
        <v>5.1176689999999997E-2</v>
      </c>
      <c r="W1774">
        <v>6.0594439999999999E-2</v>
      </c>
      <c r="X1774">
        <v>0.99684969999999995</v>
      </c>
      <c r="Y1774">
        <v>0.17832339999999999</v>
      </c>
      <c r="Z1774">
        <v>-3.1613430000000001E-3</v>
      </c>
      <c r="AA1774">
        <v>0.98396680000000003</v>
      </c>
      <c r="AB1774">
        <v>28</v>
      </c>
      <c r="AC1774">
        <v>-99.468199999999896</v>
      </c>
      <c r="AD1774">
        <v>3.40071699999999</v>
      </c>
      <c r="AE1774">
        <v>17.6465</v>
      </c>
      <c r="AF1774">
        <v>18.055752246259999</v>
      </c>
      <c r="AG1774">
        <v>3.40071699999999</v>
      </c>
      <c r="AH1774">
        <v>99.278502654970694</v>
      </c>
      <c r="AI1774">
        <v>88.069777807371906</v>
      </c>
      <c r="AJ1774">
        <v>79.692295819465102</v>
      </c>
      <c r="AK1774">
        <v>100.964331101163</v>
      </c>
      <c r="AL1774">
        <v>86.526066356108501</v>
      </c>
      <c r="AM1774">
        <v>87.061105262889299</v>
      </c>
      <c r="AN1774">
        <v>1.00000003207417</v>
      </c>
    </row>
    <row r="1775" spans="1:40" x14ac:dyDescent="0.25">
      <c r="A1775" t="str">
        <f>"20190312154543757"</f>
        <v>20190312154543757</v>
      </c>
      <c r="B1775" t="str">
        <f>"1552376743748616"</f>
        <v>1552376743748616</v>
      </c>
      <c r="C1775" t="s">
        <v>40</v>
      </c>
      <c r="D1775">
        <v>4.2542650000000002</v>
      </c>
      <c r="E1775">
        <v>0.54917769999999899</v>
      </c>
      <c r="F1775" t="s">
        <v>56</v>
      </c>
      <c r="G1775">
        <v>-439.93520000000001</v>
      </c>
      <c r="H1775">
        <v>4.4740199999999897</v>
      </c>
      <c r="I1775">
        <v>300.87329999999997</v>
      </c>
      <c r="J1775">
        <v>-340.75749999999999</v>
      </c>
      <c r="K1775">
        <v>1.110166</v>
      </c>
      <c r="L1775">
        <v>283.17970000000003</v>
      </c>
      <c r="M1775">
        <v>-0.99989030000000001</v>
      </c>
      <c r="N1775">
        <v>0</v>
      </c>
      <c r="O1775">
        <v>-4.456977E-3</v>
      </c>
      <c r="P1775">
        <v>-0.99779119999999999</v>
      </c>
      <c r="Q1775">
        <v>4.6606759999999997E-2</v>
      </c>
      <c r="R1775">
        <v>4.7338600000000002E-2</v>
      </c>
      <c r="S1775">
        <v>-2.9769899999999998</v>
      </c>
      <c r="T1775">
        <v>0.10067710000000001</v>
      </c>
      <c r="U1775">
        <v>0.5295105</v>
      </c>
      <c r="V1775">
        <v>5.1772899999999997E-2</v>
      </c>
      <c r="W1775">
        <v>6.0713419999999997E-2</v>
      </c>
      <c r="X1775">
        <v>0.99681160000000002</v>
      </c>
      <c r="Y1775">
        <v>0.17940410000000001</v>
      </c>
      <c r="Z1775">
        <v>-3.1586639999999998E-3</v>
      </c>
      <c r="AA1775">
        <v>0.98377040000000004</v>
      </c>
      <c r="AB1775">
        <v>28</v>
      </c>
      <c r="AC1775">
        <v>-99.177700000000002</v>
      </c>
      <c r="AD1775">
        <v>3.3638539999999901</v>
      </c>
      <c r="AE1775">
        <v>17.693599999999901</v>
      </c>
      <c r="AF1775">
        <v>18.115304159169298</v>
      </c>
      <c r="AG1775">
        <v>3.3638539999999901</v>
      </c>
      <c r="AH1775">
        <v>98.987484951853006</v>
      </c>
      <c r="AI1775">
        <v>88.085460159838405</v>
      </c>
      <c r="AJ1775">
        <v>79.629287910800002</v>
      </c>
      <c r="AK1775">
        <v>100.687645397068</v>
      </c>
      <c r="AL1775">
        <v>86.519236476243293</v>
      </c>
      <c r="AM1775">
        <v>87.026814690272204</v>
      </c>
      <c r="AN1775">
        <v>0.99999995921853202</v>
      </c>
    </row>
    <row r="1776" spans="1:40" x14ac:dyDescent="0.25">
      <c r="A1776" t="str">
        <f>"20190312154543780"</f>
        <v>20190312154543780</v>
      </c>
      <c r="B1776" t="str">
        <f>"1552376743768135"</f>
        <v>1552376743768135</v>
      </c>
      <c r="C1776" t="s">
        <v>40</v>
      </c>
      <c r="D1776">
        <v>4.2371089999999896</v>
      </c>
      <c r="E1776">
        <v>0.54929309999999998</v>
      </c>
      <c r="F1776" t="s">
        <v>56</v>
      </c>
      <c r="G1776">
        <v>-440.19940000000003</v>
      </c>
      <c r="H1776">
        <v>4.5251229999999998</v>
      </c>
      <c r="I1776">
        <v>300.9796</v>
      </c>
      <c r="J1776">
        <v>-341.05180000000001</v>
      </c>
      <c r="K1776">
        <v>1.1101669999999999</v>
      </c>
      <c r="L1776">
        <v>283.1782</v>
      </c>
      <c r="M1776">
        <v>-0.99988960000000005</v>
      </c>
      <c r="N1776">
        <v>0</v>
      </c>
      <c r="O1776">
        <v>-4.5953699999999997E-3</v>
      </c>
      <c r="P1776">
        <v>-0.99778120000000003</v>
      </c>
      <c r="Q1776">
        <v>4.6723309999999997E-2</v>
      </c>
      <c r="R1776">
        <v>4.742942E-2</v>
      </c>
      <c r="S1776">
        <v>-2.9765929999999998</v>
      </c>
      <c r="T1776">
        <v>0.1022202</v>
      </c>
      <c r="U1776">
        <v>0.53280640000000001</v>
      </c>
      <c r="V1776">
        <v>5.2001529999999997E-2</v>
      </c>
      <c r="W1776">
        <v>6.0827659999999999E-2</v>
      </c>
      <c r="X1776">
        <v>0.99679280000000003</v>
      </c>
      <c r="Y1776">
        <v>0.18061450000000001</v>
      </c>
      <c r="Z1776">
        <v>-3.2324879999999999E-3</v>
      </c>
      <c r="AA1776">
        <v>0.9835486</v>
      </c>
      <c r="AB1776">
        <v>28</v>
      </c>
      <c r="AC1776">
        <v>-99.147599999999997</v>
      </c>
      <c r="AD1776">
        <v>3.4149560000000001</v>
      </c>
      <c r="AE1776">
        <v>17.801400000000001</v>
      </c>
      <c r="AF1776">
        <v>18.235919182445599</v>
      </c>
      <c r="AG1776">
        <v>3.4149560000000001</v>
      </c>
      <c r="AH1776">
        <v>98.951018071225704</v>
      </c>
      <c r="AI1776">
        <v>88.056125779139805</v>
      </c>
      <c r="AJ1776">
        <v>79.557988452269598</v>
      </c>
      <c r="AK1776">
        <v>100.675293147041</v>
      </c>
      <c r="AL1776">
        <v>86.512679114906604</v>
      </c>
      <c r="AM1776">
        <v>87.013652546087002</v>
      </c>
      <c r="AN1776">
        <v>1.00000002473762</v>
      </c>
    </row>
    <row r="1777" spans="1:40" x14ac:dyDescent="0.25">
      <c r="A1777" t="str">
        <f>"20190312154543801"</f>
        <v>20190312154543801</v>
      </c>
      <c r="B1777" t="str">
        <f>"1552376743788630"</f>
        <v>1552376743788630</v>
      </c>
      <c r="C1777" t="s">
        <v>40</v>
      </c>
      <c r="D1777">
        <v>4.254766</v>
      </c>
      <c r="E1777">
        <v>0.54936779999999996</v>
      </c>
      <c r="F1777" t="s">
        <v>56</v>
      </c>
      <c r="G1777">
        <v>-439.93529999999998</v>
      </c>
      <c r="H1777">
        <v>4.5070189999999997</v>
      </c>
      <c r="I1777">
        <v>300.91019999999997</v>
      </c>
      <c r="J1777">
        <v>-341.3227</v>
      </c>
      <c r="K1777">
        <v>1.110169</v>
      </c>
      <c r="L1777">
        <v>283.17680000000001</v>
      </c>
      <c r="M1777">
        <v>-0.99988909999999998</v>
      </c>
      <c r="N1777">
        <v>0</v>
      </c>
      <c r="O1777">
        <v>-4.7247050000000001E-3</v>
      </c>
      <c r="P1777">
        <v>-0.99779070000000003</v>
      </c>
      <c r="Q1777">
        <v>4.6409800000000001E-2</v>
      </c>
      <c r="R1777">
        <v>4.7539640000000001E-2</v>
      </c>
      <c r="S1777">
        <v>-2.9765009999999998</v>
      </c>
      <c r="T1777">
        <v>0.1022491</v>
      </c>
      <c r="U1777">
        <v>0.53375240000000002</v>
      </c>
      <c r="V1777">
        <v>5.2240599999999998E-2</v>
      </c>
      <c r="W1777">
        <v>6.0511139999999998E-2</v>
      </c>
      <c r="X1777">
        <v>0.99679949999999995</v>
      </c>
      <c r="Y1777">
        <v>0.1810495</v>
      </c>
      <c r="Z1777">
        <v>-3.24523E-3</v>
      </c>
      <c r="AA1777">
        <v>0.98346869999999997</v>
      </c>
      <c r="AB1777">
        <v>28</v>
      </c>
      <c r="AC1777">
        <v>-98.6126</v>
      </c>
      <c r="AD1777">
        <v>3.3968500000000001</v>
      </c>
      <c r="AE1777">
        <v>17.7333999999999</v>
      </c>
      <c r="AF1777">
        <v>18.1782701026059</v>
      </c>
      <c r="AG1777">
        <v>3.3968500000000001</v>
      </c>
      <c r="AH1777">
        <v>98.414589348015298</v>
      </c>
      <c r="AI1777">
        <v>88.056038158066499</v>
      </c>
      <c r="AJ1777">
        <v>79.534785946838895</v>
      </c>
      <c r="AK1777">
        <v>100.137003601986</v>
      </c>
      <c r="AL1777">
        <v>86.530847620837406</v>
      </c>
      <c r="AM1777">
        <v>86.999968368719607</v>
      </c>
      <c r="AN1777">
        <v>0.999999960776354</v>
      </c>
    </row>
    <row r="1778" spans="1:40" x14ac:dyDescent="0.25">
      <c r="A1778" t="str">
        <f>"20190312154543823"</f>
        <v>20190312154543823</v>
      </c>
      <c r="B1778" t="str">
        <f>"1552376743817911"</f>
        <v>1552376743817911</v>
      </c>
      <c r="C1778" t="s">
        <v>40</v>
      </c>
      <c r="D1778">
        <v>4.2588679999999997</v>
      </c>
      <c r="E1778">
        <v>0.54956780000000005</v>
      </c>
      <c r="F1778" t="s">
        <v>56</v>
      </c>
      <c r="G1778">
        <v>-439.93520000000001</v>
      </c>
      <c r="H1778">
        <v>4.4693430000000003</v>
      </c>
      <c r="I1778">
        <v>300.89499999999998</v>
      </c>
      <c r="J1778">
        <v>-341.59769999999997</v>
      </c>
      <c r="K1778">
        <v>1.1101669999999999</v>
      </c>
      <c r="L1778">
        <v>283.17540000000002</v>
      </c>
      <c r="M1778">
        <v>-0.99988849999999996</v>
      </c>
      <c r="N1778">
        <v>0</v>
      </c>
      <c r="O1778">
        <v>-4.8567760000000001E-3</v>
      </c>
      <c r="P1778">
        <v>-0.99775590000000003</v>
      </c>
      <c r="Q1778">
        <v>4.6949110000000002E-2</v>
      </c>
      <c r="R1778">
        <v>4.7742930000000003E-2</v>
      </c>
      <c r="S1778">
        <v>-2.9764400000000002</v>
      </c>
      <c r="T1778">
        <v>0.1013908</v>
      </c>
      <c r="U1778">
        <v>0.53478999999999999</v>
      </c>
      <c r="V1778">
        <v>5.2575419999999998E-2</v>
      </c>
      <c r="W1778">
        <v>6.1047079999999997E-2</v>
      </c>
      <c r="X1778">
        <v>0.99674929999999995</v>
      </c>
      <c r="Y1778">
        <v>0.18151639999999999</v>
      </c>
      <c r="Z1778">
        <v>-3.2303219999999999E-3</v>
      </c>
      <c r="AA1778">
        <v>0.9833826</v>
      </c>
      <c r="AB1778">
        <v>28</v>
      </c>
      <c r="AC1778">
        <v>-98.337500000000006</v>
      </c>
      <c r="AD1778">
        <v>3.3591760000000002</v>
      </c>
      <c r="AE1778">
        <v>17.7195999999999</v>
      </c>
      <c r="AF1778">
        <v>18.176498968119098</v>
      </c>
      <c r="AG1778">
        <v>3.3591760000000002</v>
      </c>
      <c r="AH1778">
        <v>98.139355462492205</v>
      </c>
      <c r="AI1778">
        <v>88.072366948628598</v>
      </c>
      <c r="AJ1778">
        <v>79.507086857299697</v>
      </c>
      <c r="AK1778">
        <v>99.864920110769702</v>
      </c>
      <c r="AL1778">
        <v>86.500083935317207</v>
      </c>
      <c r="AM1778">
        <v>86.980624275867697</v>
      </c>
      <c r="AN1778">
        <v>1.00000004390759</v>
      </c>
    </row>
    <row r="1779" spans="1:40" x14ac:dyDescent="0.25">
      <c r="A1779" t="str">
        <f>"20190312154543846"</f>
        <v>20190312154543846</v>
      </c>
      <c r="B1779" t="str">
        <f>"1552376743838410"</f>
        <v>1552376743838410</v>
      </c>
      <c r="C1779" t="s">
        <v>40</v>
      </c>
      <c r="D1779">
        <v>4.2362869999999999</v>
      </c>
      <c r="E1779">
        <v>0.5496953</v>
      </c>
      <c r="F1779" t="s">
        <v>56</v>
      </c>
      <c r="G1779">
        <v>-439.93529999999998</v>
      </c>
      <c r="H1779">
        <v>4.5029079999999997</v>
      </c>
      <c r="I1779">
        <v>300.91800000000001</v>
      </c>
      <c r="J1779">
        <v>-341.88350000000003</v>
      </c>
      <c r="K1779">
        <v>1.110179</v>
      </c>
      <c r="L1779">
        <v>283.17380000000003</v>
      </c>
      <c r="M1779">
        <v>-0.99988790000000005</v>
      </c>
      <c r="N1779">
        <v>0</v>
      </c>
      <c r="O1779">
        <v>-4.9951570000000001E-3</v>
      </c>
      <c r="P1779">
        <v>-0.99772640000000001</v>
      </c>
      <c r="Q1779">
        <v>4.7889979999999999E-2</v>
      </c>
      <c r="R1779">
        <v>4.7418929999999998E-2</v>
      </c>
      <c r="S1779">
        <v>-2.9762270000000002</v>
      </c>
      <c r="T1779">
        <v>0.1026831</v>
      </c>
      <c r="U1779">
        <v>0.53698729999999995</v>
      </c>
      <c r="V1779">
        <v>5.2388919999999999E-2</v>
      </c>
      <c r="W1779">
        <v>6.198418E-2</v>
      </c>
      <c r="X1779">
        <v>0.99670119999999895</v>
      </c>
      <c r="Y1779">
        <v>0.18236469999999999</v>
      </c>
      <c r="Z1779">
        <v>-3.2907349999999999E-3</v>
      </c>
      <c r="AA1779">
        <v>0.98322549999999997</v>
      </c>
      <c r="AB1779">
        <v>28</v>
      </c>
      <c r="AC1779">
        <v>-98.051799999999901</v>
      </c>
      <c r="AD1779">
        <v>3.3927290000000001</v>
      </c>
      <c r="AE1779">
        <v>17.7441999999999</v>
      </c>
      <c r="AF1779">
        <v>18.212697706557801</v>
      </c>
      <c r="AG1779">
        <v>3.3927290000000001</v>
      </c>
      <c r="AH1779">
        <v>97.848497738239104</v>
      </c>
      <c r="AI1779">
        <v>88.047667266972795</v>
      </c>
      <c r="AJ1779">
        <v>79.456104090390298</v>
      </c>
      <c r="AK1779">
        <v>99.586853938901399</v>
      </c>
      <c r="AL1779">
        <v>86.446289882511707</v>
      </c>
      <c r="AM1779">
        <v>86.991170218866401</v>
      </c>
      <c r="AN1779">
        <v>0.99999995979523804</v>
      </c>
    </row>
    <row r="1780" spans="1:40" x14ac:dyDescent="0.25">
      <c r="A1780" t="str">
        <f>"20190312154543867"</f>
        <v>20190312154543867</v>
      </c>
      <c r="B1780" t="str">
        <f>"1552376743857930"</f>
        <v>1552376743857930</v>
      </c>
      <c r="C1780" t="s">
        <v>40</v>
      </c>
      <c r="D1780">
        <v>4.2372379999999996</v>
      </c>
      <c r="E1780">
        <v>0.54977909999999997</v>
      </c>
      <c r="F1780" t="s">
        <v>56</v>
      </c>
      <c r="G1780">
        <v>-439.93529999999998</v>
      </c>
      <c r="H1780">
        <v>4.584676</v>
      </c>
      <c r="I1780">
        <v>300.86349999999999</v>
      </c>
      <c r="J1780">
        <v>-342.15660000000003</v>
      </c>
      <c r="K1780">
        <v>1.110185</v>
      </c>
      <c r="L1780">
        <v>283.17230000000001</v>
      </c>
      <c r="M1780">
        <v>-0.99988730000000003</v>
      </c>
      <c r="N1780">
        <v>0</v>
      </c>
      <c r="O1780">
        <v>-5.1280520000000001E-3</v>
      </c>
      <c r="P1780">
        <v>-0.99774870000000004</v>
      </c>
      <c r="Q1780">
        <v>4.7727859999999997E-2</v>
      </c>
      <c r="R1780">
        <v>4.7112759999999997E-2</v>
      </c>
      <c r="S1780">
        <v>-2.9762879999999998</v>
      </c>
      <c r="T1780">
        <v>0.10546609999999999</v>
      </c>
      <c r="U1780">
        <v>0.53695680000000001</v>
      </c>
      <c r="V1780">
        <v>5.2215360000000002E-2</v>
      </c>
      <c r="W1780">
        <v>6.1819510000000001E-2</v>
      </c>
      <c r="X1780">
        <v>0.99672059999999996</v>
      </c>
      <c r="Y1780">
        <v>0.182476</v>
      </c>
      <c r="Z1780">
        <v>-3.386432E-3</v>
      </c>
      <c r="AA1780">
        <v>0.98320450000000004</v>
      </c>
      <c r="AB1780">
        <v>28</v>
      </c>
      <c r="AC1780">
        <v>-97.778699999999901</v>
      </c>
      <c r="AD1780">
        <v>3.474491</v>
      </c>
      <c r="AE1780">
        <v>17.691199999999899</v>
      </c>
      <c r="AF1780">
        <v>18.1702155831588</v>
      </c>
      <c r="AG1780">
        <v>3.474491</v>
      </c>
      <c r="AH1780">
        <v>97.567392244308195</v>
      </c>
      <c r="AI1780">
        <v>87.994936037635298</v>
      </c>
      <c r="AJ1780">
        <v>79.450518931333207</v>
      </c>
      <c r="AK1780">
        <v>99.305714092403704</v>
      </c>
      <c r="AL1780">
        <v>86.455743139107895</v>
      </c>
      <c r="AM1780">
        <v>87.001178251966905</v>
      </c>
      <c r="AN1780">
        <v>1.0000000250504599</v>
      </c>
    </row>
    <row r="1781" spans="1:40" x14ac:dyDescent="0.25">
      <c r="A1781" t="str">
        <f>"20190312154543890"</f>
        <v>20190312154543890</v>
      </c>
      <c r="B1781" t="str">
        <f>"1552376743878423"</f>
        <v>1552376743878423</v>
      </c>
      <c r="C1781" t="s">
        <v>40</v>
      </c>
      <c r="D1781">
        <v>4.1899509999999998</v>
      </c>
      <c r="E1781">
        <v>0.54978439999999995</v>
      </c>
      <c r="F1781" t="s">
        <v>56</v>
      </c>
      <c r="G1781">
        <v>-439.93529999999998</v>
      </c>
      <c r="H1781">
        <v>4.5683920000000002</v>
      </c>
      <c r="I1781">
        <v>300.80720000000002</v>
      </c>
      <c r="J1781">
        <v>-342.43939999999998</v>
      </c>
      <c r="K1781">
        <v>1.1101890000000001</v>
      </c>
      <c r="L1781">
        <v>283.17070000000001</v>
      </c>
      <c r="M1781">
        <v>-0.99988659999999996</v>
      </c>
      <c r="N1781">
        <v>0</v>
      </c>
      <c r="O1781">
        <v>-5.2660679999999996E-3</v>
      </c>
      <c r="P1781">
        <v>-0.99774969999999996</v>
      </c>
      <c r="Q1781">
        <v>4.8064790000000003E-2</v>
      </c>
      <c r="R1781">
        <v>4.6747289999999997E-2</v>
      </c>
      <c r="S1781">
        <v>-2.9763790000000001</v>
      </c>
      <c r="T1781">
        <v>0.105267899999999</v>
      </c>
      <c r="U1781">
        <v>0.53680419999999995</v>
      </c>
      <c r="V1781">
        <v>5.1987640000000002E-2</v>
      </c>
      <c r="W1781">
        <v>6.2153130000000001E-2</v>
      </c>
      <c r="X1781">
        <v>0.99671169999999998</v>
      </c>
      <c r="Y1781">
        <v>0.1825579</v>
      </c>
      <c r="Z1781">
        <v>-3.386263E-3</v>
      </c>
      <c r="AA1781">
        <v>0.98318930000000004</v>
      </c>
      <c r="AB1781">
        <v>28</v>
      </c>
      <c r="AC1781">
        <v>-97.495900000000006</v>
      </c>
      <c r="AD1781">
        <v>3.4582029999999899</v>
      </c>
      <c r="AE1781">
        <v>17.636500000000002</v>
      </c>
      <c r="AF1781">
        <v>18.127642144843701</v>
      </c>
      <c r="AG1781">
        <v>3.4582029999999899</v>
      </c>
      <c r="AH1781">
        <v>97.283146233230696</v>
      </c>
      <c r="AI1781">
        <v>87.998539968598607</v>
      </c>
      <c r="AJ1781">
        <v>79.444620591903501</v>
      </c>
      <c r="AK1781">
        <v>99.0180848065487</v>
      </c>
      <c r="AL1781">
        <v>86.4365910946686</v>
      </c>
      <c r="AM1781">
        <v>87.014206291177203</v>
      </c>
      <c r="AN1781">
        <v>0.99999996959922699</v>
      </c>
    </row>
    <row r="1782" spans="1:40" x14ac:dyDescent="0.25">
      <c r="A1782" t="str">
        <f>"20190312154543912"</f>
        <v>20190312154543912</v>
      </c>
      <c r="B1782" t="str">
        <f>"1552376743897943"</f>
        <v>1552376743897943</v>
      </c>
      <c r="C1782" t="s">
        <v>40</v>
      </c>
      <c r="D1782">
        <v>4.2139559999999996</v>
      </c>
      <c r="E1782">
        <v>0.54906080000000002</v>
      </c>
      <c r="F1782" t="s">
        <v>56</v>
      </c>
      <c r="G1782">
        <v>-439.93529999999998</v>
      </c>
      <c r="H1782">
        <v>4.6053810000000004</v>
      </c>
      <c r="I1782">
        <v>300.70870000000002</v>
      </c>
      <c r="J1782">
        <v>-342.71929999999998</v>
      </c>
      <c r="K1782">
        <v>1.110187</v>
      </c>
      <c r="L1782">
        <v>283.16910000000001</v>
      </c>
      <c r="M1782">
        <v>-0.99988589999999999</v>
      </c>
      <c r="N1782">
        <v>0</v>
      </c>
      <c r="O1782">
        <v>-5.4031319999999997E-3</v>
      </c>
      <c r="P1782">
        <v>-0.99778219999999995</v>
      </c>
      <c r="Q1782">
        <v>4.7611029999999999E-2</v>
      </c>
      <c r="R1782">
        <v>4.6521760000000002E-2</v>
      </c>
      <c r="S1782">
        <v>-2.9765320000000002</v>
      </c>
      <c r="T1782">
        <v>0.10670789999999999</v>
      </c>
      <c r="U1782">
        <v>0.53543090000000004</v>
      </c>
      <c r="V1782">
        <v>5.1899250000000001E-2</v>
      </c>
      <c r="W1782">
        <v>6.1697200000000001E-2</v>
      </c>
      <c r="X1782">
        <v>0.99674470000000004</v>
      </c>
      <c r="Y1782">
        <v>0.1822415</v>
      </c>
      <c r="Z1782">
        <v>-3.4317729999999999E-3</v>
      </c>
      <c r="AA1782">
        <v>0.98324780000000001</v>
      </c>
      <c r="AB1782">
        <v>28</v>
      </c>
      <c r="AC1782">
        <v>-97.215999999999994</v>
      </c>
      <c r="AD1782">
        <v>3.4951940000000001</v>
      </c>
      <c r="AE1782">
        <v>17.5396</v>
      </c>
      <c r="AF1782">
        <v>18.042080924149499</v>
      </c>
      <c r="AG1782">
        <v>3.4951940000000001</v>
      </c>
      <c r="AH1782">
        <v>96.998374115282203</v>
      </c>
      <c r="AI1782">
        <v>87.971092828108098</v>
      </c>
      <c r="AJ1782">
        <v>79.463173195488295</v>
      </c>
      <c r="AK1782">
        <v>98.723946670397297</v>
      </c>
      <c r="AL1782">
        <v>86.462764430017003</v>
      </c>
      <c r="AM1782">
        <v>87.019372117910194</v>
      </c>
      <c r="AN1782">
        <v>1.00000003680824</v>
      </c>
    </row>
    <row r="1783" spans="1:40" x14ac:dyDescent="0.25">
      <c r="A1783" t="str">
        <f>"20190312154543935"</f>
        <v>20190312154543935</v>
      </c>
      <c r="B1783" t="str">
        <f>"1552376743928201"</f>
        <v>1552376743928201</v>
      </c>
      <c r="C1783" t="s">
        <v>40</v>
      </c>
      <c r="D1783">
        <v>4.2215210000000001</v>
      </c>
      <c r="E1783">
        <v>0.52492780000000006</v>
      </c>
      <c r="F1783" t="s">
        <v>56</v>
      </c>
      <c r="G1783">
        <v>-439.93529999999998</v>
      </c>
      <c r="H1783">
        <v>4.49939</v>
      </c>
      <c r="I1783">
        <v>300.45229999999998</v>
      </c>
      <c r="J1783">
        <v>-343.00330000000002</v>
      </c>
      <c r="K1783">
        <v>1.1101909999999999</v>
      </c>
      <c r="L1783">
        <v>283.16739999999999</v>
      </c>
      <c r="M1783">
        <v>-0.99988509999999997</v>
      </c>
      <c r="N1783">
        <v>0</v>
      </c>
      <c r="O1783">
        <v>-5.5423429999999999E-3</v>
      </c>
      <c r="P1783">
        <v>-0.9977625</v>
      </c>
      <c r="Q1783">
        <v>4.7469740000000003E-2</v>
      </c>
      <c r="R1783">
        <v>4.7080240000000002E-2</v>
      </c>
      <c r="S1783">
        <v>-2.9770509999999999</v>
      </c>
      <c r="T1783">
        <v>0.10378809999999999</v>
      </c>
      <c r="U1783">
        <v>0.52926640000000003</v>
      </c>
      <c r="V1783">
        <v>5.259635E-2</v>
      </c>
      <c r="W1783">
        <v>6.1552519999999999E-2</v>
      </c>
      <c r="X1783">
        <v>0.99671710000000002</v>
      </c>
      <c r="Y1783">
        <v>0.1803826</v>
      </c>
      <c r="Z1783">
        <v>-3.310632E-3</v>
      </c>
      <c r="AA1783">
        <v>0.98359099999999999</v>
      </c>
      <c r="AB1783">
        <v>28</v>
      </c>
      <c r="AC1783">
        <v>-96.931999999999903</v>
      </c>
      <c r="AD1783">
        <v>3.3891989999999899</v>
      </c>
      <c r="AE1783">
        <v>17.284899999999901</v>
      </c>
      <c r="AF1783">
        <v>17.8008269479615</v>
      </c>
      <c r="AG1783">
        <v>3.3891989999999899</v>
      </c>
      <c r="AH1783">
        <v>96.720103277209702</v>
      </c>
      <c r="AI1783">
        <v>88.0262251015359</v>
      </c>
      <c r="AJ1783">
        <v>79.571711631619806</v>
      </c>
      <c r="AK1783">
        <v>98.4029191022654</v>
      </c>
      <c r="AL1783">
        <v>86.471069755241601</v>
      </c>
      <c r="AM1783">
        <v>86.979327101453407</v>
      </c>
      <c r="AN1783">
        <v>1.00000003309204</v>
      </c>
    </row>
    <row r="1784" spans="1:40" x14ac:dyDescent="0.25">
      <c r="A1784" t="str">
        <f>"20190312154543958"</f>
        <v>20190312154543958</v>
      </c>
      <c r="B1784" t="str">
        <f>"1552376743948694"</f>
        <v>1552376743948694</v>
      </c>
      <c r="C1784" t="s">
        <v>40</v>
      </c>
      <c r="D1784">
        <v>4.2489720000000002</v>
      </c>
      <c r="E1784">
        <v>0.52466669999999904</v>
      </c>
      <c r="F1784" t="s">
        <v>62</v>
      </c>
      <c r="G1784">
        <v>-511.82069999999999</v>
      </c>
      <c r="H1784">
        <v>1.774338</v>
      </c>
      <c r="I1784">
        <v>302.04750000000001</v>
      </c>
      <c r="J1784">
        <v>-343.29169999999999</v>
      </c>
      <c r="K1784">
        <v>1.1101920000000001</v>
      </c>
      <c r="L1784">
        <v>283.16559999999998</v>
      </c>
      <c r="M1784">
        <v>-0.99988429999999995</v>
      </c>
      <c r="N1784">
        <v>0</v>
      </c>
      <c r="O1784">
        <v>-5.6840550000000004E-3</v>
      </c>
      <c r="P1784">
        <v>-0.99771750000000003</v>
      </c>
      <c r="Q1784">
        <v>4.7900409999999997E-2</v>
      </c>
      <c r="R1784">
        <v>4.7598550000000003E-2</v>
      </c>
      <c r="S1784">
        <v>-2.9904169999999999</v>
      </c>
      <c r="T1784">
        <v>1.1766199999999999E-2</v>
      </c>
      <c r="U1784">
        <v>0.33444210000000002</v>
      </c>
      <c r="V1784">
        <v>5.3255789999999997E-2</v>
      </c>
      <c r="W1784">
        <v>6.1979430000000002E-2</v>
      </c>
      <c r="X1784">
        <v>0.99665559999999997</v>
      </c>
      <c r="Y1784">
        <v>0.1167917</v>
      </c>
      <c r="Z1784">
        <v>-2.513503E-4</v>
      </c>
      <c r="AA1784">
        <v>0.99315640000000005</v>
      </c>
      <c r="AB1784">
        <v>28</v>
      </c>
      <c r="AC1784">
        <v>-168.529</v>
      </c>
      <c r="AD1784">
        <v>0.66414600000000001</v>
      </c>
      <c r="AE1784">
        <v>18.881900000000002</v>
      </c>
      <c r="AF1784">
        <v>19.839314095270101</v>
      </c>
      <c r="AG1784">
        <v>0.66414600000000001</v>
      </c>
      <c r="AH1784">
        <v>168.41635741612501</v>
      </c>
      <c r="AI1784">
        <v>89.775608117602502</v>
      </c>
      <c r="AJ1784">
        <v>83.281564655017405</v>
      </c>
      <c r="AK1784">
        <v>169.58215978986701</v>
      </c>
      <c r="AL1784">
        <v>86.446562729579</v>
      </c>
      <c r="AM1784">
        <v>86.941337743839597</v>
      </c>
      <c r="AN1784">
        <v>1.0000000069615</v>
      </c>
    </row>
    <row r="1785" spans="1:40" x14ac:dyDescent="0.25">
      <c r="A1785" t="str">
        <f>"20190312154543980"</f>
        <v>20190312154543980</v>
      </c>
      <c r="B1785" t="str">
        <f>"1552376743968215"</f>
        <v>1552376743968215</v>
      </c>
      <c r="C1785" t="s">
        <v>40</v>
      </c>
      <c r="D1785">
        <v>4.2304079999999997</v>
      </c>
      <c r="E1785">
        <v>0.52481169999999899</v>
      </c>
      <c r="F1785" t="s">
        <v>62</v>
      </c>
      <c r="G1785">
        <v>-511.82069999999999</v>
      </c>
      <c r="H1785">
        <v>1.7512430000000001</v>
      </c>
      <c r="I1785">
        <v>301.98790000000002</v>
      </c>
      <c r="J1785">
        <v>-343.57249999999999</v>
      </c>
      <c r="K1785">
        <v>1.110195</v>
      </c>
      <c r="L1785">
        <v>283.16379999999998</v>
      </c>
      <c r="M1785">
        <v>-0.99988370000000004</v>
      </c>
      <c r="N1785">
        <v>0</v>
      </c>
      <c r="O1785">
        <v>-5.8220709999999998E-3</v>
      </c>
      <c r="P1785">
        <v>-0.99769629999999998</v>
      </c>
      <c r="Q1785">
        <v>4.7956560000000002E-2</v>
      </c>
      <c r="R1785">
        <v>4.7983610000000003E-2</v>
      </c>
      <c r="S1785">
        <v>-2.9903870000000001</v>
      </c>
      <c r="T1785">
        <v>1.137638E-2</v>
      </c>
      <c r="U1785">
        <v>0.33398440000000001</v>
      </c>
      <c r="V1785">
        <v>5.3778380000000001E-2</v>
      </c>
      <c r="W1785">
        <v>6.2032730000000001E-2</v>
      </c>
      <c r="X1785">
        <v>0.99662419999999996</v>
      </c>
      <c r="Y1785">
        <v>0.1167798</v>
      </c>
      <c r="Z1785">
        <v>-2.435286E-4</v>
      </c>
      <c r="AA1785">
        <v>0.99315779999999998</v>
      </c>
      <c r="AB1785">
        <v>28</v>
      </c>
      <c r="AC1785">
        <v>-168.2482</v>
      </c>
      <c r="AD1785">
        <v>0.64104799999999995</v>
      </c>
      <c r="AE1785">
        <v>18.824100000000001</v>
      </c>
      <c r="AF1785">
        <v>19.8031472620982</v>
      </c>
      <c r="AG1785">
        <v>0.64104799999999995</v>
      </c>
      <c r="AH1785">
        <v>168.133331124927</v>
      </c>
      <c r="AI1785">
        <v>89.7830470420962</v>
      </c>
      <c r="AJ1785">
        <v>83.282514696643901</v>
      </c>
      <c r="AK1785">
        <v>169.29675903332301</v>
      </c>
      <c r="AL1785">
        <v>86.443502898277302</v>
      </c>
      <c r="AM1785">
        <v>86.911284319636394</v>
      </c>
      <c r="AN1785">
        <v>0.99999998488615804</v>
      </c>
    </row>
    <row r="1786" spans="1:40" x14ac:dyDescent="0.25">
      <c r="A1786" t="str">
        <f>"20190312154544003"</f>
        <v>20190312154544003</v>
      </c>
      <c r="B1786" t="str">
        <f>"1552376743988711"</f>
        <v>1552376743988711</v>
      </c>
      <c r="C1786" t="s">
        <v>40</v>
      </c>
      <c r="D1786">
        <v>4.2615889999999998</v>
      </c>
      <c r="E1786">
        <v>0.52501690000000001</v>
      </c>
      <c r="F1786" t="s">
        <v>62</v>
      </c>
      <c r="G1786">
        <v>-511.82069999999999</v>
      </c>
      <c r="H1786">
        <v>1.660002</v>
      </c>
      <c r="I1786">
        <v>302.10340000000002</v>
      </c>
      <c r="J1786">
        <v>-343.85489999999999</v>
      </c>
      <c r="K1786">
        <v>1.110195</v>
      </c>
      <c r="L1786">
        <v>283.16199999999998</v>
      </c>
      <c r="M1786">
        <v>-0.99988279999999996</v>
      </c>
      <c r="N1786">
        <v>0</v>
      </c>
      <c r="O1786">
        <v>-5.9612769999999897E-3</v>
      </c>
      <c r="P1786">
        <v>-0.99766699999999997</v>
      </c>
      <c r="Q1786">
        <v>4.8412089999999998E-2</v>
      </c>
      <c r="R1786">
        <v>4.8133919999999997E-2</v>
      </c>
      <c r="S1786">
        <v>-2.9902340000000001</v>
      </c>
      <c r="T1786">
        <v>9.7731350000000005E-3</v>
      </c>
      <c r="U1786">
        <v>0.33660889999999999</v>
      </c>
      <c r="V1786">
        <v>5.4067120000000003E-2</v>
      </c>
      <c r="W1786">
        <v>6.2484369999999997E-2</v>
      </c>
      <c r="X1786">
        <v>0.99658040000000003</v>
      </c>
      <c r="Y1786">
        <v>0.11778470000000001</v>
      </c>
      <c r="Z1786">
        <v>-2.1130000000000001E-4</v>
      </c>
      <c r="AA1786">
        <v>0.99303909999999995</v>
      </c>
      <c r="AB1786">
        <v>28</v>
      </c>
      <c r="AC1786">
        <v>-167.9658</v>
      </c>
      <c r="AD1786">
        <v>0.54980699999999905</v>
      </c>
      <c r="AE1786">
        <v>18.941399999999899</v>
      </c>
      <c r="AF1786">
        <v>19.942242608309598</v>
      </c>
      <c r="AG1786">
        <v>0.54980699999999905</v>
      </c>
      <c r="AH1786">
        <v>167.84811288028001</v>
      </c>
      <c r="AI1786">
        <v>89.8136321214362</v>
      </c>
      <c r="AJ1786">
        <v>83.224379994213805</v>
      </c>
      <c r="AK1786">
        <v>169.02953684329</v>
      </c>
      <c r="AL1786">
        <v>86.417575666591802</v>
      </c>
      <c r="AM1786">
        <v>86.8945969408976</v>
      </c>
      <c r="AN1786">
        <v>1.0000000218117699</v>
      </c>
    </row>
    <row r="1787" spans="1:40" x14ac:dyDescent="0.25">
      <c r="A1787" t="str">
        <f>"20190312154544024"</f>
        <v>20190312154544024</v>
      </c>
      <c r="B1787" t="str">
        <f>"1552376744017994"</f>
        <v>1552376744017994</v>
      </c>
      <c r="C1787" t="s">
        <v>40</v>
      </c>
      <c r="D1787">
        <v>4.3186059999999999</v>
      </c>
      <c r="E1787">
        <v>0.52526490000000003</v>
      </c>
      <c r="F1787" t="s">
        <v>62</v>
      </c>
      <c r="G1787">
        <v>-511.82069999999999</v>
      </c>
      <c r="H1787">
        <v>1.5968709999999999</v>
      </c>
      <c r="I1787">
        <v>302.17090000000002</v>
      </c>
      <c r="J1787">
        <v>-344.11880000000002</v>
      </c>
      <c r="K1787">
        <v>1.11019</v>
      </c>
      <c r="L1787">
        <v>283.16030000000001</v>
      </c>
      <c r="M1787">
        <v>-0.99988200000000005</v>
      </c>
      <c r="N1787">
        <v>0</v>
      </c>
      <c r="O1787">
        <v>-6.0911849999999998E-3</v>
      </c>
      <c r="P1787">
        <v>-0.9976642</v>
      </c>
      <c r="Q1787">
        <v>4.8543669999999997E-2</v>
      </c>
      <c r="R1787">
        <v>4.805997E-2</v>
      </c>
      <c r="S1787">
        <v>-2.9902340000000001</v>
      </c>
      <c r="T1787">
        <v>8.6656809999999997E-3</v>
      </c>
      <c r="U1787">
        <v>0.33840940000000003</v>
      </c>
      <c r="V1787">
        <v>5.4122820000000002E-2</v>
      </c>
      <c r="W1787">
        <v>6.2613340000000003E-2</v>
      </c>
      <c r="X1787">
        <v>0.99656929999999999</v>
      </c>
      <c r="Y1787">
        <v>0.11850430000000001</v>
      </c>
      <c r="Z1787">
        <v>-1.8876489999999999E-4</v>
      </c>
      <c r="AA1787">
        <v>0.99295350000000004</v>
      </c>
      <c r="AB1787">
        <v>28</v>
      </c>
      <c r="AC1787">
        <v>-167.701899999999</v>
      </c>
      <c r="AD1787">
        <v>0.48668099999999898</v>
      </c>
      <c r="AE1787">
        <v>19.0106</v>
      </c>
      <c r="AF1787">
        <v>20.031685583364801</v>
      </c>
      <c r="AG1787">
        <v>0.48668099999999898</v>
      </c>
      <c r="AH1787">
        <v>167.58158621333101</v>
      </c>
      <c r="AI1787">
        <v>89.834781451392303</v>
      </c>
      <c r="AJ1787">
        <v>83.183552808469102</v>
      </c>
      <c r="AK1787">
        <v>168.77527462126201</v>
      </c>
      <c r="AL1787">
        <v>86.410171797272397</v>
      </c>
      <c r="AM1787">
        <v>86.891369466571604</v>
      </c>
      <c r="AN1787">
        <v>1.00000003984659</v>
      </c>
    </row>
    <row r="1788" spans="1:40" x14ac:dyDescent="0.25">
      <c r="A1788" t="str">
        <f>"20190312154544047"</f>
        <v>20190312154544047</v>
      </c>
      <c r="B1788" t="str">
        <f>"1552376744038490"</f>
        <v>1552376744038490</v>
      </c>
      <c r="C1788" t="s">
        <v>40</v>
      </c>
      <c r="D1788">
        <v>4.3088230000000003</v>
      </c>
      <c r="E1788">
        <v>0.52542330000000004</v>
      </c>
      <c r="F1788" t="s">
        <v>62</v>
      </c>
      <c r="G1788">
        <v>-511.82060000000001</v>
      </c>
      <c r="H1788">
        <v>1.505957</v>
      </c>
      <c r="I1788">
        <v>302.23480000000001</v>
      </c>
      <c r="J1788">
        <v>-344.39920000000001</v>
      </c>
      <c r="K1788">
        <v>1.1101970000000001</v>
      </c>
      <c r="L1788">
        <v>283.15839999999997</v>
      </c>
      <c r="M1788">
        <v>-0.99988140000000003</v>
      </c>
      <c r="N1788">
        <v>0</v>
      </c>
      <c r="O1788">
        <v>-6.2299060000000003E-3</v>
      </c>
      <c r="P1788">
        <v>-0.99765150000000002</v>
      </c>
      <c r="Q1788">
        <v>4.9146040000000002E-2</v>
      </c>
      <c r="R1788">
        <v>4.7715859999999999E-2</v>
      </c>
      <c r="S1788">
        <v>-2.9902950000000001</v>
      </c>
      <c r="T1788">
        <v>7.058501E-3</v>
      </c>
      <c r="U1788">
        <v>0.34011839999999999</v>
      </c>
      <c r="V1788">
        <v>5.391696E-2</v>
      </c>
      <c r="W1788">
        <v>6.3211539999999997E-2</v>
      </c>
      <c r="X1788">
        <v>0.99654259999999995</v>
      </c>
      <c r="Y1788">
        <v>0.1192001</v>
      </c>
      <c r="Z1788">
        <v>-1.5489280000000001E-4</v>
      </c>
      <c r="AA1788">
        <v>0.99287020000000004</v>
      </c>
      <c r="AB1788">
        <v>28</v>
      </c>
      <c r="AC1788">
        <v>-167.42140000000001</v>
      </c>
      <c r="AD1788">
        <v>0.39576</v>
      </c>
      <c r="AE1788">
        <v>19.0764</v>
      </c>
      <c r="AF1788">
        <v>20.119041802203</v>
      </c>
      <c r="AG1788">
        <v>0.39576</v>
      </c>
      <c r="AH1788">
        <v>167.29837154771599</v>
      </c>
      <c r="AI1788">
        <v>89.865431284880898</v>
      </c>
      <c r="AJ1788">
        <v>83.142629502987802</v>
      </c>
      <c r="AK1788">
        <v>168.504236123411</v>
      </c>
      <c r="AL1788">
        <v>86.375829089902297</v>
      </c>
      <c r="AM1788">
        <v>86.903087494977299</v>
      </c>
      <c r="AN1788">
        <v>0.99999994548978499</v>
      </c>
    </row>
    <row r="1789" spans="1:40" x14ac:dyDescent="0.25">
      <c r="A1789" t="str">
        <f>"20190312154544069"</f>
        <v>20190312154544069</v>
      </c>
      <c r="B1789" t="str">
        <f>"1552376744058007"</f>
        <v>1552376744058007</v>
      </c>
      <c r="C1789" t="s">
        <v>40</v>
      </c>
      <c r="D1789">
        <v>4.3035100000000002</v>
      </c>
      <c r="E1789">
        <v>0.52561150000000001</v>
      </c>
      <c r="F1789" t="s">
        <v>62</v>
      </c>
      <c r="G1789">
        <v>-511.82060000000001</v>
      </c>
      <c r="H1789">
        <v>1.537566</v>
      </c>
      <c r="I1789">
        <v>302.22269999999997</v>
      </c>
      <c r="J1789">
        <v>-344.68189999999998</v>
      </c>
      <c r="K1789">
        <v>1.1102000000000001</v>
      </c>
      <c r="L1789">
        <v>283.15649999999999</v>
      </c>
      <c r="M1789">
        <v>-0.99988060000000001</v>
      </c>
      <c r="N1789">
        <v>0</v>
      </c>
      <c r="O1789">
        <v>-6.3693459999999997E-3</v>
      </c>
      <c r="P1789">
        <v>-0.99762050000000002</v>
      </c>
      <c r="Q1789">
        <v>5.0170199999999998E-2</v>
      </c>
      <c r="R1789">
        <v>4.7292399999999998E-2</v>
      </c>
      <c r="S1789">
        <v>-2.9903870000000001</v>
      </c>
      <c r="T1789">
        <v>7.6349969999999897E-3</v>
      </c>
      <c r="U1789">
        <v>0.34051510000000001</v>
      </c>
      <c r="V1789">
        <v>5.3632159999999998E-2</v>
      </c>
      <c r="W1789">
        <v>6.4232280000000003E-2</v>
      </c>
      <c r="X1789">
        <v>0.99649270000000001</v>
      </c>
      <c r="Y1789">
        <v>0.11946519999999999</v>
      </c>
      <c r="Z1789">
        <v>-1.6822930000000001E-4</v>
      </c>
      <c r="AA1789">
        <v>0.99283840000000001</v>
      </c>
      <c r="AB1789">
        <v>28</v>
      </c>
      <c r="AC1789">
        <v>-167.1387</v>
      </c>
      <c r="AD1789">
        <v>0.42736599999999902</v>
      </c>
      <c r="AE1789">
        <v>19.066199999999899</v>
      </c>
      <c r="AF1789">
        <v>20.130352986730699</v>
      </c>
      <c r="AG1789">
        <v>0.42736599999999902</v>
      </c>
      <c r="AH1789">
        <v>167.01277983705299</v>
      </c>
      <c r="AI1789">
        <v>89.854440699396093</v>
      </c>
      <c r="AJ1789">
        <v>83.127190442389207</v>
      </c>
      <c r="AK1789">
        <v>168.222122153919</v>
      </c>
      <c r="AL1789">
        <v>86.317225898901697</v>
      </c>
      <c r="AM1789">
        <v>86.919260440034904</v>
      </c>
      <c r="AN1789">
        <v>0.99999994776677503</v>
      </c>
    </row>
    <row r="1790" spans="1:40" x14ac:dyDescent="0.25">
      <c r="A1790" t="str">
        <f>"20190312154544091"</f>
        <v>20190312154544091</v>
      </c>
      <c r="B1790" t="str">
        <f>"1552376744078502"</f>
        <v>1552376744078502</v>
      </c>
      <c r="C1790" t="s">
        <v>40</v>
      </c>
      <c r="D1790">
        <v>4.3396619999999997</v>
      </c>
      <c r="E1790">
        <v>0.52580300000000002</v>
      </c>
      <c r="F1790" t="s">
        <v>62</v>
      </c>
      <c r="G1790">
        <v>-511.82069999999999</v>
      </c>
      <c r="H1790">
        <v>1.616279</v>
      </c>
      <c r="I1790">
        <v>302.18889999999999</v>
      </c>
      <c r="J1790">
        <v>-344.95609999999999</v>
      </c>
      <c r="K1790">
        <v>1.1102050000000001</v>
      </c>
      <c r="L1790">
        <v>283.15460000000002</v>
      </c>
      <c r="M1790">
        <v>-0.99987950000000003</v>
      </c>
      <c r="N1790">
        <v>0</v>
      </c>
      <c r="O1790">
        <v>-6.5044969999999997E-3</v>
      </c>
      <c r="P1790">
        <v>-0.99757309999999999</v>
      </c>
      <c r="Q1790">
        <v>5.1223739999999997E-2</v>
      </c>
      <c r="R1790">
        <v>4.7159810000000003E-2</v>
      </c>
      <c r="S1790">
        <v>-2.9906009999999998</v>
      </c>
      <c r="T1790">
        <v>9.0568070000000001E-3</v>
      </c>
      <c r="U1790">
        <v>0.34054570000000001</v>
      </c>
      <c r="V1790">
        <v>5.3633939999999998E-2</v>
      </c>
      <c r="W1790">
        <v>6.528196E-2</v>
      </c>
      <c r="X1790">
        <v>0.99642439999999999</v>
      </c>
      <c r="Y1790">
        <v>0.1196012</v>
      </c>
      <c r="Z1790">
        <v>-2.0015650000000001E-4</v>
      </c>
      <c r="AA1790">
        <v>0.99282199999999998</v>
      </c>
      <c r="AB1790">
        <v>28</v>
      </c>
      <c r="AC1790">
        <v>-166.8646</v>
      </c>
      <c r="AD1790">
        <v>0.50607400000000002</v>
      </c>
      <c r="AE1790">
        <v>19.034299999999899</v>
      </c>
      <c r="AF1790">
        <v>20.1191927028718</v>
      </c>
      <c r="AG1790">
        <v>0.50607400000000002</v>
      </c>
      <c r="AH1790">
        <v>166.73573456168299</v>
      </c>
      <c r="AI1790">
        <v>89.827349527363296</v>
      </c>
      <c r="AJ1790">
        <v>83.1196601633021</v>
      </c>
      <c r="AK1790">
        <v>167.94595322821201</v>
      </c>
      <c r="AL1790">
        <v>86.256957201810593</v>
      </c>
      <c r="AM1790">
        <v>86.918947620499594</v>
      </c>
      <c r="AN1790">
        <v>0.99999995936836095</v>
      </c>
    </row>
    <row r="1791" spans="1:40" x14ac:dyDescent="0.25">
      <c r="A1791" t="str">
        <f>"20190312154544113"</f>
        <v>20190312154544113</v>
      </c>
      <c r="B1791" t="str">
        <f>"1552376744108760"</f>
        <v>1552376744108760</v>
      </c>
      <c r="C1791" t="s">
        <v>40</v>
      </c>
      <c r="D1791">
        <v>4.3715929999999998</v>
      </c>
      <c r="E1791">
        <v>0.52595749999999997</v>
      </c>
      <c r="F1791" t="s">
        <v>62</v>
      </c>
      <c r="G1791">
        <v>-511.82069999999999</v>
      </c>
      <c r="H1791">
        <v>1.692798</v>
      </c>
      <c r="I1791">
        <v>302.21179999999998</v>
      </c>
      <c r="J1791">
        <v>-345.22699999999998</v>
      </c>
      <c r="K1791">
        <v>1.1102080000000001</v>
      </c>
      <c r="L1791">
        <v>283.15269999999998</v>
      </c>
      <c r="M1791">
        <v>-0.99987890000000001</v>
      </c>
      <c r="N1791">
        <v>0</v>
      </c>
      <c r="O1791">
        <v>-6.6379789999999996E-3</v>
      </c>
      <c r="P1791">
        <v>-0.99752419999999997</v>
      </c>
      <c r="Q1791">
        <v>5.2783410000000003E-2</v>
      </c>
      <c r="R1791">
        <v>4.6472380000000001E-2</v>
      </c>
      <c r="S1791">
        <v>-2.990631</v>
      </c>
      <c r="T1791">
        <v>1.044309E-2</v>
      </c>
      <c r="U1791">
        <v>0.34155269999999999</v>
      </c>
      <c r="V1791">
        <v>5.3079069999999999E-2</v>
      </c>
      <c r="W1791">
        <v>6.6837820000000006E-2</v>
      </c>
      <c r="X1791">
        <v>0.99635099999999999</v>
      </c>
      <c r="Y1791">
        <v>0.1200625</v>
      </c>
      <c r="Z1791">
        <v>-2.3205400000000001E-4</v>
      </c>
      <c r="AA1791">
        <v>0.99276629999999999</v>
      </c>
      <c r="AB1791">
        <v>28</v>
      </c>
      <c r="AC1791">
        <v>-166.59370000000001</v>
      </c>
      <c r="AD1791">
        <v>0.58258999999999905</v>
      </c>
      <c r="AE1791">
        <v>19.059100000000001</v>
      </c>
      <c r="AF1791">
        <v>20.1643916441008</v>
      </c>
      <c r="AG1791">
        <v>0.58258999999999905</v>
      </c>
      <c r="AH1791">
        <v>166.461493061303</v>
      </c>
      <c r="AI1791">
        <v>89.800929502817496</v>
      </c>
      <c r="AJ1791">
        <v>83.093100968977396</v>
      </c>
      <c r="AK1791">
        <v>167.67936895659901</v>
      </c>
      <c r="AL1791">
        <v>86.167617980225899</v>
      </c>
      <c r="AM1791">
        <v>86.950537976811205</v>
      </c>
      <c r="AN1791">
        <v>0.99999999852770804</v>
      </c>
    </row>
    <row r="1792" spans="1:40" x14ac:dyDescent="0.25">
      <c r="A1792" t="str">
        <f>"20190312154544137"</f>
        <v>20190312154544137</v>
      </c>
      <c r="B1792" t="str">
        <f>"1552376744128279"</f>
        <v>1552376744128279</v>
      </c>
      <c r="C1792" t="s">
        <v>40</v>
      </c>
      <c r="D1792">
        <v>4.3567369999999999</v>
      </c>
      <c r="E1792">
        <v>0.52605789999999997</v>
      </c>
      <c r="F1792" t="s">
        <v>62</v>
      </c>
      <c r="G1792">
        <v>-511.82069999999999</v>
      </c>
      <c r="H1792">
        <v>1.777312</v>
      </c>
      <c r="I1792">
        <v>302.13459999999998</v>
      </c>
      <c r="J1792">
        <v>-345.51459999999997</v>
      </c>
      <c r="K1792">
        <v>1.110215</v>
      </c>
      <c r="L1792">
        <v>283.1506</v>
      </c>
      <c r="M1792">
        <v>-0.99987789999999999</v>
      </c>
      <c r="N1792">
        <v>0</v>
      </c>
      <c r="O1792">
        <v>-6.7794469999999897E-3</v>
      </c>
      <c r="P1792">
        <v>-0.99751409999999996</v>
      </c>
      <c r="Q1792">
        <v>5.3165650000000002E-2</v>
      </c>
      <c r="R1792">
        <v>4.6252250000000002E-2</v>
      </c>
      <c r="S1792">
        <v>-2.990936</v>
      </c>
      <c r="T1792">
        <v>1.197839E-2</v>
      </c>
      <c r="U1792">
        <v>0.34078979999999998</v>
      </c>
      <c r="V1792">
        <v>5.300001E-2</v>
      </c>
      <c r="W1792">
        <v>6.7216520000000002E-2</v>
      </c>
      <c r="X1792">
        <v>0.99632969999999998</v>
      </c>
      <c r="Y1792">
        <v>0.1199413</v>
      </c>
      <c r="Z1792">
        <v>-2.6646919999999999E-4</v>
      </c>
      <c r="AA1792">
        <v>0.99278089999999997</v>
      </c>
      <c r="AB1792">
        <v>28</v>
      </c>
      <c r="AC1792">
        <v>-166.30609999999999</v>
      </c>
      <c r="AD1792">
        <v>0.66709700000000005</v>
      </c>
      <c r="AE1792">
        <v>18.983999999999899</v>
      </c>
      <c r="AF1792">
        <v>20.110819375225599</v>
      </c>
      <c r="AG1792">
        <v>0.66709700000000005</v>
      </c>
      <c r="AH1792">
        <v>166.17092429681099</v>
      </c>
      <c r="AI1792">
        <v>89.771652221119894</v>
      </c>
      <c r="AJ1792">
        <v>83.099344820738395</v>
      </c>
      <c r="AK1792">
        <v>167.38478472073601</v>
      </c>
      <c r="AL1792">
        <v>86.145871038882902</v>
      </c>
      <c r="AM1792">
        <v>86.955006550202498</v>
      </c>
      <c r="AN1792">
        <v>0.99999996636149902</v>
      </c>
    </row>
    <row r="1793" spans="1:40" x14ac:dyDescent="0.25">
      <c r="A1793" t="str">
        <f>"20190312154544160"</f>
        <v>20190312154544160</v>
      </c>
      <c r="B1793" t="str">
        <f>"1552376744148775"</f>
        <v>1552376744148775</v>
      </c>
      <c r="C1793" t="s">
        <v>40</v>
      </c>
      <c r="D1793">
        <v>4.4688670000000004</v>
      </c>
      <c r="E1793">
        <v>0.52605519999999995</v>
      </c>
      <c r="F1793" t="s">
        <v>62</v>
      </c>
      <c r="G1793">
        <v>-511.82069999999999</v>
      </c>
      <c r="H1793">
        <v>1.7245330000000001</v>
      </c>
      <c r="I1793">
        <v>302.10039999999998</v>
      </c>
      <c r="J1793">
        <v>-345.80380000000002</v>
      </c>
      <c r="K1793">
        <v>1.1102209999999999</v>
      </c>
      <c r="L1793">
        <v>283.14850000000001</v>
      </c>
      <c r="M1793">
        <v>-0.99987689999999996</v>
      </c>
      <c r="N1793">
        <v>0</v>
      </c>
      <c r="O1793">
        <v>-6.9217480000000001E-3</v>
      </c>
      <c r="P1793">
        <v>-0.99751129999999999</v>
      </c>
      <c r="Q1793">
        <v>5.3314550000000002E-2</v>
      </c>
      <c r="R1793">
        <v>4.6139289999999999E-2</v>
      </c>
      <c r="S1793">
        <v>-2.9910890000000001</v>
      </c>
      <c r="T1793">
        <v>1.1050340000000001E-2</v>
      </c>
      <c r="U1793">
        <v>0.34082030000000002</v>
      </c>
      <c r="V1793">
        <v>5.302896E-2</v>
      </c>
      <c r="W1793">
        <v>6.7362110000000003E-2</v>
      </c>
      <c r="X1793">
        <v>0.99631829999999999</v>
      </c>
      <c r="Y1793">
        <v>0.120087</v>
      </c>
      <c r="Z1793">
        <v>-2.4660410000000002E-4</v>
      </c>
      <c r="AA1793">
        <v>0.99276330000000002</v>
      </c>
      <c r="AB1793">
        <v>28</v>
      </c>
      <c r="AC1793">
        <v>-166.016899999999</v>
      </c>
      <c r="AD1793">
        <v>0.61431199999999997</v>
      </c>
      <c r="AE1793">
        <v>18.951899999999899</v>
      </c>
      <c r="AF1793">
        <v>20.100415311188598</v>
      </c>
      <c r="AG1793">
        <v>0.61431199999999997</v>
      </c>
      <c r="AH1793">
        <v>165.879486858299</v>
      </c>
      <c r="AI1793">
        <v>89.789354722181798</v>
      </c>
      <c r="AJ1793">
        <v>83.090879708336004</v>
      </c>
      <c r="AK1793">
        <v>167.09401017178399</v>
      </c>
      <c r="AL1793">
        <v>86.137510293524997</v>
      </c>
      <c r="AM1793">
        <v>86.953311632738803</v>
      </c>
      <c r="AN1793">
        <v>0.99999993968861001</v>
      </c>
    </row>
    <row r="1794" spans="1:40" x14ac:dyDescent="0.25">
      <c r="A1794" t="str">
        <f>"20190312154544181"</f>
        <v>20190312154544181</v>
      </c>
      <c r="B1794" t="str">
        <f>"1552376744168295"</f>
        <v>1552376744168295</v>
      </c>
      <c r="C1794" t="s">
        <v>40</v>
      </c>
      <c r="D1794">
        <v>4.5053739999999998</v>
      </c>
      <c r="E1794">
        <v>0.49259799999999998</v>
      </c>
      <c r="F1794" t="s">
        <v>62</v>
      </c>
      <c r="G1794">
        <v>-511.82069999999999</v>
      </c>
      <c r="H1794">
        <v>1.6861009999999901</v>
      </c>
      <c r="I1794">
        <v>302.0378</v>
      </c>
      <c r="J1794">
        <v>-346.07150000000001</v>
      </c>
      <c r="K1794">
        <v>1.1102190000000001</v>
      </c>
      <c r="L1794">
        <v>283.1465</v>
      </c>
      <c r="M1794">
        <v>-0.99987610000000005</v>
      </c>
      <c r="N1794">
        <v>0</v>
      </c>
      <c r="O1794">
        <v>-7.0540369999999896E-3</v>
      </c>
      <c r="P1794">
        <v>-0.9974864</v>
      </c>
      <c r="Q1794">
        <v>5.3838499999999997E-2</v>
      </c>
      <c r="R1794">
        <v>4.6071519999999998E-2</v>
      </c>
      <c r="S1794">
        <v>-2.9911500000000002</v>
      </c>
      <c r="T1794">
        <v>1.0377290000000001E-2</v>
      </c>
      <c r="U1794">
        <v>0.34033200000000002</v>
      </c>
      <c r="V1794">
        <v>5.3092760000000003E-2</v>
      </c>
      <c r="W1794">
        <v>6.7882579999999998E-2</v>
      </c>
      <c r="X1794">
        <v>0.99627969999999999</v>
      </c>
      <c r="Y1794">
        <v>0.1200562</v>
      </c>
      <c r="Z1794">
        <v>-2.319857E-4</v>
      </c>
      <c r="AA1794">
        <v>0.99276710000000001</v>
      </c>
      <c r="AB1794">
        <v>28</v>
      </c>
      <c r="AC1794">
        <v>-165.74919999999901</v>
      </c>
      <c r="AD1794">
        <v>0.57588199999999901</v>
      </c>
      <c r="AE1794">
        <v>18.891300000000001</v>
      </c>
      <c r="AF1794">
        <v>20.059907613726299</v>
      </c>
      <c r="AG1794">
        <v>0.57588199999999901</v>
      </c>
      <c r="AH1794">
        <v>165.60982867740299</v>
      </c>
      <c r="AI1794">
        <v>89.802209470942799</v>
      </c>
      <c r="AJ1794">
        <v>83.093550110155604</v>
      </c>
      <c r="AK1794">
        <v>166.82130226115601</v>
      </c>
      <c r="AL1794">
        <v>86.107621622043894</v>
      </c>
      <c r="AM1794">
        <v>86.9495350709566</v>
      </c>
      <c r="AN1794">
        <v>1.0000000632319701</v>
      </c>
    </row>
    <row r="1795" spans="1:40" x14ac:dyDescent="0.25">
      <c r="A1795" t="str">
        <f>"20190312154544203"</f>
        <v>20190312154544203</v>
      </c>
      <c r="B1795" t="str">
        <f>"1552376744198552"</f>
        <v>1552376744198552</v>
      </c>
      <c r="C1795" t="s">
        <v>40</v>
      </c>
      <c r="D1795">
        <v>4.435473</v>
      </c>
      <c r="E1795">
        <v>0.47306359999999997</v>
      </c>
      <c r="F1795" t="s">
        <v>44</v>
      </c>
      <c r="G1795">
        <v>0</v>
      </c>
      <c r="H1795">
        <v>0</v>
      </c>
      <c r="I1795">
        <v>0</v>
      </c>
      <c r="J1795">
        <v>-346.34519999999998</v>
      </c>
      <c r="K1795">
        <v>1.1102209999999999</v>
      </c>
      <c r="L1795">
        <v>283.14440000000002</v>
      </c>
      <c r="M1795">
        <v>-0.99987510000000002</v>
      </c>
      <c r="N1795">
        <v>0</v>
      </c>
      <c r="O1795">
        <v>-7.1888300000000002E-3</v>
      </c>
      <c r="P1795">
        <v>-0.99742929999999996</v>
      </c>
      <c r="Q1795">
        <v>5.504734E-2</v>
      </c>
      <c r="R1795">
        <v>4.5874409999999997E-2</v>
      </c>
      <c r="S1795">
        <v>-3.0020449999999999</v>
      </c>
      <c r="T1795">
        <v>3.8123490000000003E-2</v>
      </c>
      <c r="U1795">
        <v>7.4523930000000002E-2</v>
      </c>
      <c r="V1795">
        <v>5.3029350000000003E-2</v>
      </c>
      <c r="W1795">
        <v>6.9087090000000004E-2</v>
      </c>
      <c r="X1795">
        <v>0.99620019999999998</v>
      </c>
      <c r="Y1795">
        <v>3.2000269999999997E-2</v>
      </c>
      <c r="Z1795">
        <v>-2.9443399999999999E-4</v>
      </c>
      <c r="AA1795">
        <v>0.99948780000000004</v>
      </c>
      <c r="AB1795">
        <v>28</v>
      </c>
      <c r="AC1795">
        <v>-3.0020449999999999</v>
      </c>
      <c r="AD1795">
        <v>3.8123490000000003E-2</v>
      </c>
      <c r="AE1795">
        <v>7.4523930000000002E-2</v>
      </c>
      <c r="AF1795">
        <v>9.6089846299255294E-2</v>
      </c>
      <c r="AG1795">
        <v>3.8123490000000003E-2</v>
      </c>
      <c r="AH1795">
        <v>3.00094795709748</v>
      </c>
      <c r="AI1795">
        <v>89.272536912295706</v>
      </c>
      <c r="AJ1795">
        <v>88.166025426904596</v>
      </c>
      <c r="AK1795">
        <v>3.0027279764006498</v>
      </c>
      <c r="AL1795">
        <v>86.038445571397304</v>
      </c>
      <c r="AM1795">
        <v>86.952928759785394</v>
      </c>
      <c r="AN1795">
        <v>0.99999998822306502</v>
      </c>
    </row>
    <row r="1796" spans="1:40" x14ac:dyDescent="0.25">
      <c r="A1796" t="str">
        <f>"20190312154544226"</f>
        <v>20190312154544226</v>
      </c>
      <c r="B1796" t="str">
        <f>"1552376744218084"</f>
        <v>1552376744218084</v>
      </c>
      <c r="C1796" t="s">
        <v>40</v>
      </c>
      <c r="D1796">
        <v>4.3911280000000001</v>
      </c>
      <c r="E1796">
        <v>0.46824310000000002</v>
      </c>
      <c r="F1796" t="s">
        <v>58</v>
      </c>
      <c r="G1796">
        <v>-511.95940000000002</v>
      </c>
      <c r="H1796">
        <v>2.3712689999999998</v>
      </c>
      <c r="I1796">
        <v>278.60610000000003</v>
      </c>
      <c r="J1796">
        <v>-346.62119999999999</v>
      </c>
      <c r="K1796">
        <v>1.1102320000000001</v>
      </c>
      <c r="L1796">
        <v>283.14229999999998</v>
      </c>
      <c r="M1796">
        <v>-0.99987420000000005</v>
      </c>
      <c r="N1796">
        <v>0</v>
      </c>
      <c r="O1796">
        <v>-7.3251719999999996E-3</v>
      </c>
      <c r="P1796">
        <v>-0.99735010000000002</v>
      </c>
      <c r="Q1796">
        <v>5.6399730000000002E-2</v>
      </c>
      <c r="R1796">
        <v>4.595863E-2</v>
      </c>
      <c r="S1796">
        <v>-3.0102540000000002</v>
      </c>
      <c r="T1796">
        <v>2.2922640000000001E-2</v>
      </c>
      <c r="U1796">
        <v>-8.2489010000000001E-2</v>
      </c>
      <c r="V1796">
        <v>5.3248820000000002E-2</v>
      </c>
      <c r="W1796">
        <v>7.0435150000000002E-2</v>
      </c>
      <c r="X1796">
        <v>0.99609409999999998</v>
      </c>
      <c r="Y1796">
        <v>-2.0068140000000002E-2</v>
      </c>
      <c r="Z1796" s="1">
        <v>2.0619949999999999E-5</v>
      </c>
      <c r="AA1796">
        <v>0.99979859999999998</v>
      </c>
      <c r="AB1796">
        <v>28</v>
      </c>
      <c r="AC1796">
        <v>-165.3382</v>
      </c>
      <c r="AD1796">
        <v>1.261037</v>
      </c>
      <c r="AE1796">
        <v>-4.5361999999999503</v>
      </c>
      <c r="AF1796">
        <v>-3.3246343910687202</v>
      </c>
      <c r="AG1796">
        <v>1.261037</v>
      </c>
      <c r="AH1796">
        <v>165.35738309643</v>
      </c>
      <c r="AI1796">
        <v>89.563151656330405</v>
      </c>
      <c r="AJ1796">
        <v>91.151819495769004</v>
      </c>
      <c r="AK1796">
        <v>165.39560923026099</v>
      </c>
      <c r="AL1796">
        <v>85.961018837271297</v>
      </c>
      <c r="AM1796">
        <v>86.940016622088905</v>
      </c>
      <c r="AN1796">
        <v>1.0000000016208599</v>
      </c>
    </row>
    <row r="1797" spans="1:40" x14ac:dyDescent="0.25">
      <c r="A1797" t="str">
        <f>"20190312154544248"</f>
        <v>20190312154544248</v>
      </c>
      <c r="B1797" t="str">
        <f>"1552376744238568"</f>
        <v>1552376744238568</v>
      </c>
      <c r="C1797" t="s">
        <v>40</v>
      </c>
      <c r="D1797">
        <v>4.4055589999999896</v>
      </c>
      <c r="E1797">
        <v>0.4654623</v>
      </c>
      <c r="F1797" t="s">
        <v>58</v>
      </c>
      <c r="G1797">
        <v>-511.95909999999998</v>
      </c>
      <c r="H1797">
        <v>1.5118309999999999</v>
      </c>
      <c r="I1797">
        <v>276.49419999999998</v>
      </c>
      <c r="J1797">
        <v>-346.89580000000001</v>
      </c>
      <c r="K1797">
        <v>1.110231</v>
      </c>
      <c r="L1797">
        <v>283.14010000000002</v>
      </c>
      <c r="M1797">
        <v>-0.99987329999999996</v>
      </c>
      <c r="N1797">
        <v>0</v>
      </c>
      <c r="O1797">
        <v>-7.4606819999999997E-3</v>
      </c>
      <c r="P1797">
        <v>-0.99731029999999998</v>
      </c>
      <c r="Q1797">
        <v>5.7095470000000002E-2</v>
      </c>
      <c r="R1797">
        <v>4.596186E-2</v>
      </c>
      <c r="S1797">
        <v>-3.013153</v>
      </c>
      <c r="T1797">
        <v>7.3202850000000002E-3</v>
      </c>
      <c r="U1797">
        <v>-0.12115480000000001</v>
      </c>
      <c r="V1797">
        <v>5.3386790000000003E-2</v>
      </c>
      <c r="W1797">
        <v>7.1127209999999996E-2</v>
      </c>
      <c r="X1797">
        <v>0.99603750000000002</v>
      </c>
      <c r="Y1797">
        <v>-3.271959E-2</v>
      </c>
      <c r="Z1797" s="1">
        <v>2.1610140000000001E-5</v>
      </c>
      <c r="AA1797">
        <v>0.99946460000000004</v>
      </c>
      <c r="AB1797">
        <v>28</v>
      </c>
      <c r="AC1797">
        <v>-165.063299999999</v>
      </c>
      <c r="AD1797">
        <v>0.40160000000000001</v>
      </c>
      <c r="AE1797">
        <v>-6.6459000000000401</v>
      </c>
      <c r="AF1797">
        <v>-5.4140764475434198</v>
      </c>
      <c r="AG1797">
        <v>0.40160000000000001</v>
      </c>
      <c r="AH1797">
        <v>165.10731724445</v>
      </c>
      <c r="AI1797">
        <v>89.860711329059697</v>
      </c>
      <c r="AJ1797">
        <v>91.878127652736495</v>
      </c>
      <c r="AK1797">
        <v>165.19654873513301</v>
      </c>
      <c r="AL1797">
        <v>85.921266868424894</v>
      </c>
      <c r="AM1797">
        <v>86.931929198058995</v>
      </c>
      <c r="AN1797">
        <v>0.99999996537756797</v>
      </c>
    </row>
    <row r="1798" spans="1:40" x14ac:dyDescent="0.25">
      <c r="A1798" t="str">
        <f>"20190312154544270"</f>
        <v>20190312154544270</v>
      </c>
      <c r="B1798" t="str">
        <f>"1552376744268822"</f>
        <v>1552376744268822</v>
      </c>
      <c r="C1798" t="s">
        <v>40</v>
      </c>
      <c r="D1798">
        <v>4.3832449999999996</v>
      </c>
      <c r="E1798">
        <v>0.46260089999999998</v>
      </c>
      <c r="F1798" t="s">
        <v>58</v>
      </c>
      <c r="G1798">
        <v>-512.82560000000001</v>
      </c>
      <c r="H1798">
        <v>1.4233849999999999</v>
      </c>
      <c r="I1798">
        <v>275.23779999999999</v>
      </c>
      <c r="J1798">
        <v>-347.1746</v>
      </c>
      <c r="K1798">
        <v>1.1102339999999999</v>
      </c>
      <c r="L1798">
        <v>283.13780000000003</v>
      </c>
      <c r="M1798">
        <v>-0.99987230000000005</v>
      </c>
      <c r="N1798">
        <v>0</v>
      </c>
      <c r="O1798">
        <v>-7.5982169999999896E-3</v>
      </c>
      <c r="P1798">
        <v>-0.99733320000000003</v>
      </c>
      <c r="Q1798">
        <v>5.716326E-2</v>
      </c>
      <c r="R1798">
        <v>4.5375209999999999E-2</v>
      </c>
      <c r="S1798">
        <v>-3.0143430000000002</v>
      </c>
      <c r="T1798">
        <v>5.6903359999999998E-3</v>
      </c>
      <c r="U1798">
        <v>-0.14355470000000001</v>
      </c>
      <c r="V1798">
        <v>5.2937350000000001E-2</v>
      </c>
      <c r="W1798">
        <v>7.1191909999999997E-2</v>
      </c>
      <c r="X1798">
        <v>0.99605690000000002</v>
      </c>
      <c r="Y1798">
        <v>-3.997817E-2</v>
      </c>
      <c r="Z1798" s="1">
        <v>2.3376960000000001E-5</v>
      </c>
      <c r="AA1798">
        <v>0.99920059999999999</v>
      </c>
      <c r="AB1798">
        <v>28</v>
      </c>
      <c r="AC1798">
        <v>-165.65099999999899</v>
      </c>
      <c r="AD1798">
        <v>0.31315100000000001</v>
      </c>
      <c r="AE1798">
        <v>-7.9000000000000297</v>
      </c>
      <c r="AF1798">
        <v>-6.6409715780884602</v>
      </c>
      <c r="AG1798">
        <v>0.31315100000000001</v>
      </c>
      <c r="AH1798">
        <v>165.70565823607299</v>
      </c>
      <c r="AI1798">
        <v>89.891809260898199</v>
      </c>
      <c r="AJ1798">
        <v>92.2950098935016</v>
      </c>
      <c r="AK1798">
        <v>165.83897532998699</v>
      </c>
      <c r="AL1798">
        <v>85.917550549703506</v>
      </c>
      <c r="AM1798">
        <v>86.957768359384303</v>
      </c>
      <c r="AN1798">
        <v>0.99999999955604002</v>
      </c>
    </row>
    <row r="1799" spans="1:40" x14ac:dyDescent="0.25">
      <c r="A1799" t="str">
        <f>"20190312154544292"</f>
        <v>20190312154544292</v>
      </c>
      <c r="B1799" t="str">
        <f>"1552376744288344"</f>
        <v>1552376744288344</v>
      </c>
      <c r="C1799" t="s">
        <v>40</v>
      </c>
      <c r="D1799">
        <v>4.3418390000000002</v>
      </c>
      <c r="E1799">
        <v>0.46133170000000001</v>
      </c>
      <c r="F1799" t="s">
        <v>58</v>
      </c>
      <c r="G1799">
        <v>-512.82550000000003</v>
      </c>
      <c r="H1799">
        <v>1.06932</v>
      </c>
      <c r="I1799">
        <v>273.89460000000003</v>
      </c>
      <c r="J1799">
        <v>-347.43860000000001</v>
      </c>
      <c r="K1799">
        <v>1.1102289999999999</v>
      </c>
      <c r="L1799">
        <v>283.13569999999999</v>
      </c>
      <c r="M1799">
        <v>-0.99987130000000002</v>
      </c>
      <c r="N1799">
        <v>0</v>
      </c>
      <c r="O1799">
        <v>-7.7283619999999999E-3</v>
      </c>
      <c r="P1799">
        <v>-0.99731559999999997</v>
      </c>
      <c r="Q1799">
        <v>5.7548549999999997E-2</v>
      </c>
      <c r="R1799">
        <v>4.5273430000000003E-2</v>
      </c>
      <c r="S1799">
        <v>-3.0156860000000001</v>
      </c>
      <c r="T1799">
        <v>-7.4338910000000004E-4</v>
      </c>
      <c r="U1799">
        <v>-0.1682739</v>
      </c>
      <c r="V1799">
        <v>5.2965209999999999E-2</v>
      </c>
      <c r="W1799">
        <v>7.1574310000000002E-2</v>
      </c>
      <c r="X1799">
        <v>0.99602800000000002</v>
      </c>
      <c r="Y1799">
        <v>-4.7994099999999998E-2</v>
      </c>
      <c r="Z1799" s="1">
        <v>-4.0071659999999998E-6</v>
      </c>
      <c r="AA1799">
        <v>0.99884759999999995</v>
      </c>
      <c r="AB1799">
        <v>28</v>
      </c>
      <c r="AC1799">
        <v>-165.3869</v>
      </c>
      <c r="AD1799">
        <v>-4.0909000000000001E-2</v>
      </c>
      <c r="AE1799">
        <v>-9.2410999999999603</v>
      </c>
      <c r="AF1799">
        <v>-7.9625273105286301</v>
      </c>
      <c r="AG1799">
        <v>-4.0909000000000001E-2</v>
      </c>
      <c r="AH1799">
        <v>165.45337540393899</v>
      </c>
      <c r="AI1799">
        <v>90.014150230359405</v>
      </c>
      <c r="AJ1799">
        <v>92.755262536485603</v>
      </c>
      <c r="AK1799">
        <v>165.644869969685</v>
      </c>
      <c r="AL1799">
        <v>85.895584552220797</v>
      </c>
      <c r="AM1799">
        <v>86.956082144699707</v>
      </c>
      <c r="AN1799">
        <v>0.99999998605315998</v>
      </c>
    </row>
    <row r="1800" spans="1:40" x14ac:dyDescent="0.25">
      <c r="A1800" t="str">
        <f>"20190312154544314"</f>
        <v>20190312154544314</v>
      </c>
      <c r="B1800" t="str">
        <f>"1552376744307863"</f>
        <v>1552376744307863</v>
      </c>
      <c r="C1800" t="s">
        <v>40</v>
      </c>
      <c r="D1800">
        <v>4.3161319999999996</v>
      </c>
      <c r="E1800">
        <v>0.46029110000000001</v>
      </c>
      <c r="F1800" t="s">
        <v>58</v>
      </c>
      <c r="G1800">
        <v>-512.82550000000003</v>
      </c>
      <c r="H1800">
        <v>1.0013920000000001</v>
      </c>
      <c r="I1800">
        <v>273.33679999999998</v>
      </c>
      <c r="J1800">
        <v>-347.71570000000003</v>
      </c>
      <c r="K1800">
        <v>1.110241</v>
      </c>
      <c r="L1800">
        <v>283.13330000000002</v>
      </c>
      <c r="M1800">
        <v>-0.99987020000000004</v>
      </c>
      <c r="N1800">
        <v>0</v>
      </c>
      <c r="O1800">
        <v>-7.8649440000000004E-3</v>
      </c>
      <c r="P1800">
        <v>-0.99734489999999998</v>
      </c>
      <c r="Q1800">
        <v>5.7769139999999997E-2</v>
      </c>
      <c r="R1800">
        <v>4.4338120000000002E-2</v>
      </c>
      <c r="S1800">
        <v>-3.016327</v>
      </c>
      <c r="T1800">
        <v>-1.9835230000000001E-3</v>
      </c>
      <c r="U1800">
        <v>-0.17871090000000001</v>
      </c>
      <c r="V1800">
        <v>5.2166320000000002E-2</v>
      </c>
      <c r="W1800">
        <v>7.1792129999999996E-2</v>
      </c>
      <c r="X1800">
        <v>0.99605449999999995</v>
      </c>
      <c r="Y1800">
        <v>-5.129036E-2</v>
      </c>
      <c r="Z1800" s="1">
        <v>-1.16817899999999E-5</v>
      </c>
      <c r="AA1800">
        <v>0.99868380000000001</v>
      </c>
      <c r="AB1800">
        <v>28</v>
      </c>
      <c r="AC1800">
        <v>-165.10980000000001</v>
      </c>
      <c r="AD1800">
        <v>-0.108848999999999</v>
      </c>
      <c r="AE1800">
        <v>-9.7965000000000302</v>
      </c>
      <c r="AF1800">
        <v>-8.4974855312731794</v>
      </c>
      <c r="AG1800">
        <v>-0.108848999999999</v>
      </c>
      <c r="AH1800">
        <v>165.181677288195</v>
      </c>
      <c r="AI1800">
        <v>90.037706067438904</v>
      </c>
      <c r="AJ1800">
        <v>92.944886261888399</v>
      </c>
      <c r="AK1800">
        <v>165.40013790865001</v>
      </c>
      <c r="AL1800">
        <v>85.883072257970397</v>
      </c>
      <c r="AM1800">
        <v>87.001989679808602</v>
      </c>
      <c r="AN1800">
        <v>1.00000000092126</v>
      </c>
    </row>
    <row r="1801" spans="1:40" x14ac:dyDescent="0.25">
      <c r="A1801" t="str">
        <f>"20190312154544337"</f>
        <v>20190312154544337</v>
      </c>
      <c r="B1801" t="str">
        <f>"1552376744328358"</f>
        <v>1552376744328358</v>
      </c>
      <c r="C1801" t="s">
        <v>40</v>
      </c>
      <c r="D1801">
        <v>4.270086</v>
      </c>
      <c r="E1801">
        <v>0.4594858</v>
      </c>
      <c r="F1801" t="s">
        <v>58</v>
      </c>
      <c r="G1801">
        <v>-512.82550000000003</v>
      </c>
      <c r="H1801">
        <v>0.96177970000000002</v>
      </c>
      <c r="I1801">
        <v>272.74700000000001</v>
      </c>
      <c r="J1801">
        <v>-347.99130000000002</v>
      </c>
      <c r="K1801">
        <v>1.110242</v>
      </c>
      <c r="L1801">
        <v>283.13099999999997</v>
      </c>
      <c r="M1801">
        <v>-0.99986920000000001</v>
      </c>
      <c r="N1801">
        <v>0</v>
      </c>
      <c r="O1801">
        <v>-8.0011679999999995E-3</v>
      </c>
      <c r="P1801">
        <v>-0.99736899999999995</v>
      </c>
      <c r="Q1801">
        <v>5.7734710000000002E-2</v>
      </c>
      <c r="R1801">
        <v>4.3840879999999999E-2</v>
      </c>
      <c r="S1801">
        <v>-3.0165709999999999</v>
      </c>
      <c r="T1801">
        <v>-2.710938E-3</v>
      </c>
      <c r="U1801">
        <v>-0.18975829999999999</v>
      </c>
      <c r="V1801">
        <v>5.1805190000000001E-2</v>
      </c>
      <c r="W1801">
        <v>7.1754559999999995E-2</v>
      </c>
      <c r="X1801">
        <v>0.99607599999999996</v>
      </c>
      <c r="Y1801">
        <v>-5.4793000000000001E-2</v>
      </c>
      <c r="Z1801" s="1">
        <v>-1.7412829999999999E-5</v>
      </c>
      <c r="AA1801">
        <v>0.99849770000000004</v>
      </c>
      <c r="AB1801">
        <v>27</v>
      </c>
      <c r="AC1801">
        <v>-164.83420000000001</v>
      </c>
      <c r="AD1801">
        <v>-0.14846229999999999</v>
      </c>
      <c r="AE1801">
        <v>-10.383999999999901</v>
      </c>
      <c r="AF1801">
        <v>-9.0646637935891405</v>
      </c>
      <c r="AG1801">
        <v>-0.14846229999999999</v>
      </c>
      <c r="AH1801">
        <v>164.91188172443299</v>
      </c>
      <c r="AI1801">
        <v>90.051502897922802</v>
      </c>
      <c r="AJ1801">
        <v>93.146194546577803</v>
      </c>
      <c r="AK1801">
        <v>165.160887938515</v>
      </c>
      <c r="AL1801">
        <v>85.885230200770906</v>
      </c>
      <c r="AM1801">
        <v>87.022770581569205</v>
      </c>
      <c r="AN1801">
        <v>0.99999994618386301</v>
      </c>
    </row>
    <row r="1802" spans="1:40" x14ac:dyDescent="0.25">
      <c r="A1802" t="str">
        <f>"20190312154544360"</f>
        <v>20190312154544360</v>
      </c>
      <c r="B1802" t="str">
        <f>"1552376744348855"</f>
        <v>1552376744348855</v>
      </c>
      <c r="C1802" t="s">
        <v>40</v>
      </c>
      <c r="D1802">
        <v>4.307563</v>
      </c>
      <c r="E1802">
        <v>0.45871699999999999</v>
      </c>
      <c r="F1802" t="s">
        <v>58</v>
      </c>
      <c r="G1802">
        <v>-512.82550000000003</v>
      </c>
      <c r="H1802">
        <v>0.98361679999999996</v>
      </c>
      <c r="I1802">
        <v>272.33080000000001</v>
      </c>
      <c r="J1802">
        <v>-348.26990000000001</v>
      </c>
      <c r="K1802">
        <v>1.110242</v>
      </c>
      <c r="L1802">
        <v>283.12860000000001</v>
      </c>
      <c r="M1802">
        <v>-0.99986819999999998</v>
      </c>
      <c r="N1802">
        <v>0</v>
      </c>
      <c r="O1802">
        <v>-8.1384649999999992E-3</v>
      </c>
      <c r="P1802">
        <v>-0.99739710000000004</v>
      </c>
      <c r="Q1802">
        <v>5.7708830000000003E-2</v>
      </c>
      <c r="R1802">
        <v>4.3231260000000001E-2</v>
      </c>
      <c r="S1802">
        <v>-3.0167540000000002</v>
      </c>
      <c r="T1802">
        <v>-2.3159980000000001E-3</v>
      </c>
      <c r="U1802">
        <v>-0.19766239999999999</v>
      </c>
      <c r="V1802">
        <v>5.1332830000000003E-2</v>
      </c>
      <c r="W1802">
        <v>7.1726020000000001E-2</v>
      </c>
      <c r="X1802">
        <v>0.99610259999999995</v>
      </c>
      <c r="Y1802">
        <v>-5.7257309999999999E-2</v>
      </c>
      <c r="Z1802" s="1">
        <v>-1.5713569999999999E-5</v>
      </c>
      <c r="AA1802">
        <v>0.99835940000000001</v>
      </c>
      <c r="AB1802">
        <v>27</v>
      </c>
      <c r="AC1802">
        <v>-164.5556</v>
      </c>
      <c r="AD1802">
        <v>-0.12662519999999999</v>
      </c>
      <c r="AE1802">
        <v>-10.797799999999899</v>
      </c>
      <c r="AF1802">
        <v>-9.4580745951623495</v>
      </c>
      <c r="AG1802">
        <v>-0.12662519999999999</v>
      </c>
      <c r="AH1802">
        <v>164.63793831707801</v>
      </c>
      <c r="AI1802">
        <v>90.043994391391493</v>
      </c>
      <c r="AJ1802">
        <v>93.287898268129794</v>
      </c>
      <c r="AK1802">
        <v>164.90943557688499</v>
      </c>
      <c r="AL1802">
        <v>85.886870014914905</v>
      </c>
      <c r="AM1802">
        <v>87.049947442371206</v>
      </c>
      <c r="AN1802">
        <v>1.0000000355537999</v>
      </c>
    </row>
    <row r="1803" spans="1:40" x14ac:dyDescent="0.25">
      <c r="A1803" t="str">
        <f>"20190312154544383"</f>
        <v>20190312154544383</v>
      </c>
      <c r="B1803" t="str">
        <f>"1552376744378135"</f>
        <v>1552376744378135</v>
      </c>
      <c r="C1803" t="s">
        <v>40</v>
      </c>
      <c r="D1803">
        <v>4.289866</v>
      </c>
      <c r="E1803">
        <v>0.45781860000000002</v>
      </c>
      <c r="F1803" t="s">
        <v>58</v>
      </c>
      <c r="G1803">
        <v>-512.82550000000003</v>
      </c>
      <c r="H1803">
        <v>1.0756019999999999</v>
      </c>
      <c r="I1803">
        <v>271.93049999999999</v>
      </c>
      <c r="J1803">
        <v>-348.54059999999998</v>
      </c>
      <c r="K1803">
        <v>1.110242</v>
      </c>
      <c r="L1803">
        <v>283.12630000000001</v>
      </c>
      <c r="M1803">
        <v>-0.99986710000000001</v>
      </c>
      <c r="N1803">
        <v>0</v>
      </c>
      <c r="O1803">
        <v>-8.2724240000000004E-3</v>
      </c>
      <c r="P1803">
        <v>-0.99742819999999999</v>
      </c>
      <c r="Q1803">
        <v>5.7586730000000003E-2</v>
      </c>
      <c r="R1803">
        <v>4.2672549999999997E-2</v>
      </c>
      <c r="S1803">
        <v>-3.0167540000000002</v>
      </c>
      <c r="T1803">
        <v>-6.3359739999999999E-4</v>
      </c>
      <c r="U1803">
        <v>-0.20529169999999999</v>
      </c>
      <c r="V1803">
        <v>5.0908000000000002E-2</v>
      </c>
      <c r="W1803">
        <v>7.1601880000000007E-2</v>
      </c>
      <c r="X1803">
        <v>0.9961333</v>
      </c>
      <c r="Y1803">
        <v>-5.9637049999999997E-2</v>
      </c>
      <c r="Z1803" s="1">
        <v>-4.5199840000000003E-6</v>
      </c>
      <c r="AA1803">
        <v>0.99822010000000005</v>
      </c>
      <c r="AB1803">
        <v>27</v>
      </c>
      <c r="AC1803">
        <v>-164.28489999999999</v>
      </c>
      <c r="AD1803">
        <v>-3.4639999999999997E-2</v>
      </c>
      <c r="AE1803">
        <v>-11.1958</v>
      </c>
      <c r="AF1803">
        <v>-9.8362479297397805</v>
      </c>
      <c r="AG1803">
        <v>-3.4639999999999997E-2</v>
      </c>
      <c r="AH1803">
        <v>164.37189581085801</v>
      </c>
      <c r="AI1803">
        <v>90.012053043689804</v>
      </c>
      <c r="AJ1803">
        <v>93.424577000095397</v>
      </c>
      <c r="AK1803">
        <v>164.66594397664801</v>
      </c>
      <c r="AL1803">
        <v>85.894000911961797</v>
      </c>
      <c r="AM1803">
        <v>87.074409465390502</v>
      </c>
      <c r="AN1803">
        <v>1.0000000025262099</v>
      </c>
    </row>
    <row r="1804" spans="1:40" x14ac:dyDescent="0.25">
      <c r="A1804" t="str">
        <f>"20190312154544405"</f>
        <v>20190312154544405</v>
      </c>
      <c r="B1804" t="str">
        <f>"1552376744398631"</f>
        <v>1552376744398631</v>
      </c>
      <c r="C1804" t="s">
        <v>40</v>
      </c>
      <c r="D1804">
        <v>4.2647820000000003</v>
      </c>
      <c r="E1804">
        <v>0.45742569999999999</v>
      </c>
      <c r="F1804" t="s">
        <v>58</v>
      </c>
      <c r="G1804">
        <v>-512.82550000000003</v>
      </c>
      <c r="H1804">
        <v>1.095583</v>
      </c>
      <c r="I1804">
        <v>271.46850000000001</v>
      </c>
      <c r="J1804">
        <v>-348.81349999999998</v>
      </c>
      <c r="K1804">
        <v>1.110242</v>
      </c>
      <c r="L1804">
        <v>283.12380000000002</v>
      </c>
      <c r="M1804">
        <v>-0.99986600000000003</v>
      </c>
      <c r="N1804">
        <v>0</v>
      </c>
      <c r="O1804">
        <v>-8.4070969999999901E-3</v>
      </c>
      <c r="P1804">
        <v>-0.99738260000000001</v>
      </c>
      <c r="Q1804">
        <v>5.8682100000000001E-2</v>
      </c>
      <c r="R1804">
        <v>4.2247850000000003E-2</v>
      </c>
      <c r="S1804">
        <v>-3.0169069999999998</v>
      </c>
      <c r="T1804">
        <v>-2.6774410000000002E-4</v>
      </c>
      <c r="U1804">
        <v>-0.21408079999999999</v>
      </c>
      <c r="V1804">
        <v>5.0617200000000001E-2</v>
      </c>
      <c r="W1804">
        <v>7.2692899999999894E-2</v>
      </c>
      <c r="X1804">
        <v>0.99606910000000004</v>
      </c>
      <c r="Y1804">
        <v>-6.2393039999999997E-2</v>
      </c>
      <c r="Z1804" s="1">
        <v>-2.0199619999999999E-6</v>
      </c>
      <c r="AA1804">
        <v>0.99805160000000004</v>
      </c>
      <c r="AB1804">
        <v>27</v>
      </c>
      <c r="AC1804">
        <v>-164.012</v>
      </c>
      <c r="AD1804">
        <v>-1.46589999999999E-2</v>
      </c>
      <c r="AE1804">
        <v>-11.6553</v>
      </c>
      <c r="AF1804">
        <v>-10.2758870954403</v>
      </c>
      <c r="AG1804">
        <v>-1.46589999999999E-2</v>
      </c>
      <c r="AH1804">
        <v>164.104198230024</v>
      </c>
      <c r="AI1804">
        <v>90.005108077882497</v>
      </c>
      <c r="AJ1804">
        <v>93.583072541076902</v>
      </c>
      <c r="AK1804">
        <v>164.42561219957099</v>
      </c>
      <c r="AL1804">
        <v>85.831326749153305</v>
      </c>
      <c r="AM1804">
        <v>87.090905262925503</v>
      </c>
      <c r="AN1804">
        <v>1.00000000531053</v>
      </c>
    </row>
    <row r="1805" spans="1:40" x14ac:dyDescent="0.25">
      <c r="A1805" t="str">
        <f>"20190312154544426"</f>
        <v>20190312154544426</v>
      </c>
      <c r="B1805" t="str">
        <f>"1552376744418155"</f>
        <v>1552376744418155</v>
      </c>
      <c r="C1805" t="s">
        <v>40</v>
      </c>
      <c r="D1805">
        <v>4.2412929999999998</v>
      </c>
      <c r="E1805">
        <v>0.45705180000000001</v>
      </c>
      <c r="F1805" t="s">
        <v>58</v>
      </c>
      <c r="G1805">
        <v>-512.82560000000001</v>
      </c>
      <c r="H1805">
        <v>1.2511289999999999</v>
      </c>
      <c r="I1805">
        <v>271.24180000000001</v>
      </c>
      <c r="J1805">
        <v>-349.08199999999999</v>
      </c>
      <c r="K1805">
        <v>1.1102479999999999</v>
      </c>
      <c r="L1805">
        <v>283.12139999999999</v>
      </c>
      <c r="M1805">
        <v>-0.999865</v>
      </c>
      <c r="N1805">
        <v>0</v>
      </c>
      <c r="O1805">
        <v>-8.5397459999999904E-3</v>
      </c>
      <c r="P1805">
        <v>-0.99734679999999998</v>
      </c>
      <c r="Q1805">
        <v>5.9724180000000002E-2</v>
      </c>
      <c r="R1805">
        <v>4.1625450000000001E-2</v>
      </c>
      <c r="S1805">
        <v>-3.0169679999999999</v>
      </c>
      <c r="T1805">
        <v>2.59304E-3</v>
      </c>
      <c r="U1805">
        <v>-0.21856690000000001</v>
      </c>
      <c r="V1805">
        <v>5.0126570000000002E-2</v>
      </c>
      <c r="W1805">
        <v>7.3731500000000005E-2</v>
      </c>
      <c r="X1805">
        <v>0.99601759999999995</v>
      </c>
      <c r="Y1805">
        <v>-6.3735600000000003E-2</v>
      </c>
      <c r="Z1805" s="1">
        <v>2.00238E-5</v>
      </c>
      <c r="AA1805">
        <v>0.99796680000000004</v>
      </c>
      <c r="AB1805">
        <v>27</v>
      </c>
      <c r="AC1805">
        <v>-163.74359999999999</v>
      </c>
      <c r="AD1805">
        <v>0.14088100000000001</v>
      </c>
      <c r="AE1805">
        <v>-11.8795999999999</v>
      </c>
      <c r="AF1805">
        <v>-10.480692468716899</v>
      </c>
      <c r="AG1805">
        <v>0.14088100000000001</v>
      </c>
      <c r="AH1805">
        <v>163.838966145504</v>
      </c>
      <c r="AI1805">
        <v>89.9508333091769</v>
      </c>
      <c r="AJ1805">
        <v>93.660193690208601</v>
      </c>
      <c r="AK1805">
        <v>164.17390654335901</v>
      </c>
      <c r="AL1805">
        <v>85.771659344144993</v>
      </c>
      <c r="AM1805">
        <v>87.118906526931696</v>
      </c>
      <c r="AN1805">
        <v>1.00000003331098</v>
      </c>
    </row>
    <row r="1806" spans="1:40" x14ac:dyDescent="0.25">
      <c r="A1806" t="str">
        <f>"20190312154544449"</f>
        <v>20190312154544449</v>
      </c>
      <c r="B1806" t="str">
        <f>"1552376744438647"</f>
        <v>1552376744438647</v>
      </c>
      <c r="C1806" t="s">
        <v>40</v>
      </c>
      <c r="D1806">
        <v>4.2009930000000004</v>
      </c>
      <c r="E1806">
        <v>0.45675579999999999</v>
      </c>
      <c r="F1806" t="s">
        <v>58</v>
      </c>
      <c r="G1806">
        <v>-512.82560000000001</v>
      </c>
      <c r="H1806">
        <v>1.386109</v>
      </c>
      <c r="I1806">
        <v>271.00040000000001</v>
      </c>
      <c r="J1806">
        <v>-349.35989999999998</v>
      </c>
      <c r="K1806">
        <v>1.1102529999999999</v>
      </c>
      <c r="L1806">
        <v>283.1189</v>
      </c>
      <c r="M1806">
        <v>-0.99986370000000002</v>
      </c>
      <c r="N1806">
        <v>0</v>
      </c>
      <c r="O1806">
        <v>-8.6770440000000001E-3</v>
      </c>
      <c r="P1806">
        <v>-0.99732100000000001</v>
      </c>
      <c r="Q1806">
        <v>6.0602049999999998E-2</v>
      </c>
      <c r="R1806">
        <v>4.0967400000000001E-2</v>
      </c>
      <c r="S1806">
        <v>-3.0169679999999999</v>
      </c>
      <c r="T1806">
        <v>5.0841569999999997E-3</v>
      </c>
      <c r="U1806">
        <v>-0.22332759999999999</v>
      </c>
      <c r="V1806">
        <v>4.9605059999999999E-2</v>
      </c>
      <c r="W1806">
        <v>7.4605539999999998E-2</v>
      </c>
      <c r="X1806">
        <v>0.99597860000000005</v>
      </c>
      <c r="Y1806">
        <v>-6.5164819999999998E-2</v>
      </c>
      <c r="Z1806" s="1">
        <v>4.0229830000000001E-5</v>
      </c>
      <c r="AA1806">
        <v>0.9978745</v>
      </c>
      <c r="AB1806">
        <v>27</v>
      </c>
      <c r="AC1806">
        <v>-163.4657</v>
      </c>
      <c r="AD1806">
        <v>0.27585599999999899</v>
      </c>
      <c r="AE1806">
        <v>-12.1184999999999</v>
      </c>
      <c r="AF1806">
        <v>-10.699474379962099</v>
      </c>
      <c r="AG1806">
        <v>0.27585599999999899</v>
      </c>
      <c r="AH1806">
        <v>163.56424479180501</v>
      </c>
      <c r="AI1806">
        <v>89.903575125800401</v>
      </c>
      <c r="AJ1806">
        <v>93.742642900011603</v>
      </c>
      <c r="AK1806">
        <v>163.91405376859399</v>
      </c>
      <c r="AL1806">
        <v>85.721442129766103</v>
      </c>
      <c r="AM1806">
        <v>87.148719851903394</v>
      </c>
      <c r="AN1806">
        <v>1.00000001011712</v>
      </c>
    </row>
    <row r="1807" spans="1:40" x14ac:dyDescent="0.25">
      <c r="A1807" t="str">
        <f>"20190312154544471"</f>
        <v>20190312154544471</v>
      </c>
      <c r="B1807" t="str">
        <f>"1552376744467927"</f>
        <v>1552376744467927</v>
      </c>
      <c r="C1807" t="s">
        <v>40</v>
      </c>
      <c r="D1807">
        <v>4.231732</v>
      </c>
      <c r="E1807">
        <v>0.44161519999999999</v>
      </c>
      <c r="F1807" t="s">
        <v>58</v>
      </c>
      <c r="G1807">
        <v>-512.82569999999998</v>
      </c>
      <c r="H1807">
        <v>1.5199879999999999</v>
      </c>
      <c r="I1807">
        <v>270.79340000000002</v>
      </c>
      <c r="J1807">
        <v>-349.6277</v>
      </c>
      <c r="K1807">
        <v>1.110257</v>
      </c>
      <c r="L1807">
        <v>283.1164</v>
      </c>
      <c r="M1807">
        <v>-0.99986269999999999</v>
      </c>
      <c r="N1807">
        <v>0</v>
      </c>
      <c r="O1807">
        <v>-8.809575E-3</v>
      </c>
      <c r="P1807">
        <v>-0.99727310000000002</v>
      </c>
      <c r="Q1807">
        <v>6.1904590000000002E-2</v>
      </c>
      <c r="R1807">
        <v>4.0178850000000002E-2</v>
      </c>
      <c r="S1807">
        <v>-3.0169069999999998</v>
      </c>
      <c r="T1807">
        <v>7.5634719999999999E-3</v>
      </c>
      <c r="U1807">
        <v>-0.22747800000000001</v>
      </c>
      <c r="V1807">
        <v>4.8947919999999999E-2</v>
      </c>
      <c r="W1807">
        <v>7.5905029999999998E-2</v>
      </c>
      <c r="X1807">
        <v>0.99591289999999999</v>
      </c>
      <c r="Y1807">
        <v>-6.6399050000000001E-2</v>
      </c>
      <c r="Z1807" s="1">
        <v>6.1059419999999907E-5</v>
      </c>
      <c r="AA1807">
        <v>0.99779309999999999</v>
      </c>
      <c r="AB1807">
        <v>27</v>
      </c>
      <c r="AC1807">
        <v>-163.19799999999901</v>
      </c>
      <c r="AD1807">
        <v>0.40973099999999901</v>
      </c>
      <c r="AE1807">
        <v>-12.322999999999899</v>
      </c>
      <c r="AF1807">
        <v>-10.884606855101</v>
      </c>
      <c r="AG1807">
        <v>0.40973099999999901</v>
      </c>
      <c r="AH1807">
        <v>163.29921344201699</v>
      </c>
      <c r="AI1807">
        <v>89.856558819871395</v>
      </c>
      <c r="AJ1807">
        <v>93.813373635195305</v>
      </c>
      <c r="AK1807">
        <v>163.662077637625</v>
      </c>
      <c r="AL1807">
        <v>85.646775004741798</v>
      </c>
      <c r="AM1807">
        <v>87.186245599856605</v>
      </c>
      <c r="AN1807">
        <v>0.99999998841901805</v>
      </c>
    </row>
    <row r="1808" spans="1:40" x14ac:dyDescent="0.25">
      <c r="A1808" t="str">
        <f>"20190312154544494"</f>
        <v>20190312154544494</v>
      </c>
      <c r="B1808" t="str">
        <f>"1552376744488424"</f>
        <v>1552376744488424</v>
      </c>
      <c r="C1808" t="s">
        <v>40</v>
      </c>
      <c r="D1808">
        <v>4.2232519999999996</v>
      </c>
      <c r="E1808">
        <v>0.44147609999999898</v>
      </c>
      <c r="F1808" t="s">
        <v>58</v>
      </c>
      <c r="G1808">
        <v>-512.82590000000005</v>
      </c>
      <c r="H1808">
        <v>2.0697169999999998</v>
      </c>
      <c r="I1808">
        <v>264.19690000000003</v>
      </c>
      <c r="J1808">
        <v>-349.90179999999998</v>
      </c>
      <c r="K1808">
        <v>1.1102639999999999</v>
      </c>
      <c r="L1808">
        <v>283.1139</v>
      </c>
      <c r="M1808">
        <v>-0.99986160000000002</v>
      </c>
      <c r="N1808">
        <v>0</v>
      </c>
      <c r="O1808">
        <v>-8.9450850000000002E-3</v>
      </c>
      <c r="P1808">
        <v>-0.99721380000000004</v>
      </c>
      <c r="Q1808">
        <v>6.3316540000000004E-2</v>
      </c>
      <c r="R1808">
        <v>3.9444640000000003E-2</v>
      </c>
      <c r="S1808">
        <v>-3.0212400000000001</v>
      </c>
      <c r="T1808">
        <v>1.7763609999999999E-2</v>
      </c>
      <c r="U1808">
        <v>-0.35025020000000001</v>
      </c>
      <c r="V1808">
        <v>4.8348099999999998E-2</v>
      </c>
      <c r="W1808">
        <v>7.7312800000000001E-2</v>
      </c>
      <c r="X1808">
        <v>0.99583390000000005</v>
      </c>
      <c r="Y1808">
        <v>-0.10626529999999999</v>
      </c>
      <c r="Z1808">
        <v>2.5893710000000003E-4</v>
      </c>
      <c r="AA1808">
        <v>0.99433780000000005</v>
      </c>
      <c r="AB1808">
        <v>27</v>
      </c>
      <c r="AC1808">
        <v>-162.92410000000001</v>
      </c>
      <c r="AD1808">
        <v>0.959453</v>
      </c>
      <c r="AE1808">
        <v>-18.916999999999899</v>
      </c>
      <c r="AF1808">
        <v>-17.458132302355001</v>
      </c>
      <c r="AG1808">
        <v>0.959453</v>
      </c>
      <c r="AH1808">
        <v>163.08123086578701</v>
      </c>
      <c r="AI1808">
        <v>89.664831628042705</v>
      </c>
      <c r="AJ1808">
        <v>96.110343103797305</v>
      </c>
      <c r="AK1808">
        <v>164.01583702266601</v>
      </c>
      <c r="AL1808">
        <v>85.565877950743399</v>
      </c>
      <c r="AM1808">
        <v>87.220451508213799</v>
      </c>
      <c r="AN1808">
        <v>0.99999998210332897</v>
      </c>
    </row>
    <row r="1809" spans="1:40" x14ac:dyDescent="0.25">
      <c r="A1809" t="str">
        <f>"20190312154544516"</f>
        <v>20190312154544516</v>
      </c>
      <c r="B1809" t="str">
        <f>"1552376744507947"</f>
        <v>1552376744507947</v>
      </c>
      <c r="C1809" t="s">
        <v>40</v>
      </c>
      <c r="D1809">
        <v>4.1544460000000001</v>
      </c>
      <c r="E1809">
        <v>0.4415019</v>
      </c>
      <c r="F1809" t="s">
        <v>58</v>
      </c>
      <c r="G1809">
        <v>-512.82590000000005</v>
      </c>
      <c r="H1809">
        <v>2.2187860000000001</v>
      </c>
      <c r="I1809">
        <v>264.04539999999997</v>
      </c>
      <c r="J1809">
        <v>-350.16829999999999</v>
      </c>
      <c r="K1809">
        <v>1.110274</v>
      </c>
      <c r="L1809">
        <v>283.11130000000003</v>
      </c>
      <c r="M1809">
        <v>-0.99986030000000004</v>
      </c>
      <c r="N1809">
        <v>0</v>
      </c>
      <c r="O1809">
        <v>-9.0767829999999997E-3</v>
      </c>
      <c r="P1809">
        <v>-0.99715450000000005</v>
      </c>
      <c r="Q1809">
        <v>6.4569219999999997E-2</v>
      </c>
      <c r="R1809">
        <v>3.8903069999999998E-2</v>
      </c>
      <c r="S1809">
        <v>-3.0210270000000001</v>
      </c>
      <c r="T1809">
        <v>2.0556209999999998E-2</v>
      </c>
      <c r="U1809">
        <v>-0.35357670000000002</v>
      </c>
      <c r="V1809">
        <v>4.7936949999999999E-2</v>
      </c>
      <c r="W1809">
        <v>7.8561640000000002E-2</v>
      </c>
      <c r="X1809">
        <v>0.99575599999999997</v>
      </c>
      <c r="Y1809">
        <v>-0.107222</v>
      </c>
      <c r="Z1809">
        <v>3.0199619999999997E-4</v>
      </c>
      <c r="AA1809">
        <v>0.99423499999999998</v>
      </c>
      <c r="AB1809">
        <v>27</v>
      </c>
      <c r="AC1809">
        <v>-162.6576</v>
      </c>
      <c r="AD1809">
        <v>1.1085119999999999</v>
      </c>
      <c r="AE1809">
        <v>-19.065899999999999</v>
      </c>
      <c r="AF1809">
        <v>-17.587755468405501</v>
      </c>
      <c r="AG1809">
        <v>1.1085119999999999</v>
      </c>
      <c r="AH1809">
        <v>162.81651270472</v>
      </c>
      <c r="AI1809">
        <v>89.612172335754806</v>
      </c>
      <c r="AJ1809">
        <v>96.165294981827898</v>
      </c>
      <c r="AK1809">
        <v>163.76744105773</v>
      </c>
      <c r="AL1809">
        <v>85.494106215039096</v>
      </c>
      <c r="AM1809">
        <v>87.243836791067395</v>
      </c>
      <c r="AN1809">
        <v>0.99999994699539396</v>
      </c>
    </row>
    <row r="1810" spans="1:40" x14ac:dyDescent="0.25">
      <c r="A1810" t="str">
        <f>"20190312154544538"</f>
        <v>20190312154544538</v>
      </c>
      <c r="B1810" t="str">
        <f>"1552376744528442"</f>
        <v>1552376744528442</v>
      </c>
      <c r="C1810" t="s">
        <v>40</v>
      </c>
      <c r="D1810">
        <v>4.1447729999999998</v>
      </c>
      <c r="E1810">
        <v>0.44144939999999999</v>
      </c>
      <c r="F1810" t="s">
        <v>58</v>
      </c>
      <c r="G1810">
        <v>-512.82579999999996</v>
      </c>
      <c r="H1810">
        <v>2.00095</v>
      </c>
      <c r="I1810">
        <v>263.9939</v>
      </c>
      <c r="J1810">
        <v>-350.43540000000002</v>
      </c>
      <c r="K1810">
        <v>1.110277</v>
      </c>
      <c r="L1810">
        <v>283.1087</v>
      </c>
      <c r="M1810">
        <v>-0.99985919999999895</v>
      </c>
      <c r="N1810">
        <v>0</v>
      </c>
      <c r="O1810">
        <v>-9.2088369999999992E-3</v>
      </c>
      <c r="P1810">
        <v>-0.99718370000000001</v>
      </c>
      <c r="Q1810">
        <v>6.4817970000000003E-2</v>
      </c>
      <c r="R1810">
        <v>3.7731059999999997E-2</v>
      </c>
      <c r="S1810">
        <v>-3.0213320000000001</v>
      </c>
      <c r="T1810">
        <v>1.6545529999999999E-2</v>
      </c>
      <c r="U1810">
        <v>-0.35510249999999999</v>
      </c>
      <c r="V1810">
        <v>4.6897229999999998E-2</v>
      </c>
      <c r="W1810">
        <v>7.8807879999999997E-2</v>
      </c>
      <c r="X1810">
        <v>0.99578610000000001</v>
      </c>
      <c r="Y1810">
        <v>-0.1075752</v>
      </c>
      <c r="Z1810">
        <v>2.432871E-4</v>
      </c>
      <c r="AA1810">
        <v>0.994197</v>
      </c>
      <c r="AB1810">
        <v>27</v>
      </c>
      <c r="AC1810">
        <v>-162.390399999999</v>
      </c>
      <c r="AD1810">
        <v>0.89067299999999905</v>
      </c>
      <c r="AE1810">
        <v>-19.114799999999999</v>
      </c>
      <c r="AF1810">
        <v>-17.617892701592201</v>
      </c>
      <c r="AG1810">
        <v>0.89067299999999905</v>
      </c>
      <c r="AH1810">
        <v>162.55473208055599</v>
      </c>
      <c r="AI1810">
        <v>89.687894694808904</v>
      </c>
      <c r="AJ1810">
        <v>96.185646391416299</v>
      </c>
      <c r="AK1810">
        <v>163.50909565959699</v>
      </c>
      <c r="AL1810">
        <v>85.479954038049797</v>
      </c>
      <c r="AM1810">
        <v>87.303608287354905</v>
      </c>
      <c r="AN1810">
        <v>0.999999994542488</v>
      </c>
    </row>
    <row r="1811" spans="1:40" x14ac:dyDescent="0.25">
      <c r="A1811" t="str">
        <f>"20190312154544560"</f>
        <v>20190312154544560</v>
      </c>
      <c r="B1811" t="str">
        <f>"1552376744547960"</f>
        <v>1552376744547960</v>
      </c>
      <c r="C1811" t="s">
        <v>40</v>
      </c>
      <c r="D1811">
        <v>4.1760210000000004</v>
      </c>
      <c r="E1811">
        <v>0.44155899999999998</v>
      </c>
      <c r="F1811" t="s">
        <v>58</v>
      </c>
      <c r="G1811">
        <v>-512.82569999999998</v>
      </c>
      <c r="H1811">
        <v>1.7842960000000001</v>
      </c>
      <c r="I1811">
        <v>263.80579999999998</v>
      </c>
      <c r="J1811">
        <v>-350.70490000000001</v>
      </c>
      <c r="K1811">
        <v>1.110276</v>
      </c>
      <c r="L1811">
        <v>283.10610000000003</v>
      </c>
      <c r="M1811">
        <v>-0.99985800000000002</v>
      </c>
      <c r="N1811">
        <v>0</v>
      </c>
      <c r="O1811">
        <v>-9.3424379999999998E-3</v>
      </c>
      <c r="P1811">
        <v>-0.99722569999999999</v>
      </c>
      <c r="Q1811">
        <v>6.4397679999999999E-2</v>
      </c>
      <c r="R1811">
        <v>3.7340819999999997E-2</v>
      </c>
      <c r="S1811">
        <v>-3.021271</v>
      </c>
      <c r="T1811">
        <v>1.254153E-2</v>
      </c>
      <c r="U1811">
        <v>-0.35913089999999998</v>
      </c>
      <c r="V1811">
        <v>4.6640760000000003E-2</v>
      </c>
      <c r="W1811">
        <v>7.8385270000000007E-2</v>
      </c>
      <c r="X1811">
        <v>0.99583149999999998</v>
      </c>
      <c r="Y1811">
        <v>-0.1087525</v>
      </c>
      <c r="Z1811">
        <v>1.8628429999999999E-4</v>
      </c>
      <c r="AA1811">
        <v>0.99406890000000003</v>
      </c>
      <c r="AB1811">
        <v>27</v>
      </c>
      <c r="AC1811">
        <v>-162.12079999999901</v>
      </c>
      <c r="AD1811">
        <v>0.67401999999999895</v>
      </c>
      <c r="AE1811">
        <v>-19.3003</v>
      </c>
      <c r="AF1811">
        <v>-17.784401928333999</v>
      </c>
      <c r="AG1811">
        <v>0.67401999999999895</v>
      </c>
      <c r="AH1811">
        <v>162.291287006076</v>
      </c>
      <c r="AI1811">
        <v>89.763459414289599</v>
      </c>
      <c r="AJ1811">
        <v>96.253703219447004</v>
      </c>
      <c r="AK1811">
        <v>163.26420640482601</v>
      </c>
      <c r="AL1811">
        <v>85.504242941668394</v>
      </c>
      <c r="AM1811">
        <v>87.318454718226405</v>
      </c>
      <c r="AN1811">
        <v>0.99999999371930004</v>
      </c>
    </row>
    <row r="1812" spans="1:40" x14ac:dyDescent="0.25">
      <c r="A1812" t="str">
        <f>"20190312154544584"</f>
        <v>20190312154544584</v>
      </c>
      <c r="B1812" t="str">
        <f>"1552376744578215"</f>
        <v>1552376744578215</v>
      </c>
      <c r="C1812" t="s">
        <v>40</v>
      </c>
      <c r="D1812">
        <v>4.2010930000000002</v>
      </c>
      <c r="E1812">
        <v>0.44153389999999998</v>
      </c>
      <c r="F1812" t="s">
        <v>58</v>
      </c>
      <c r="G1812">
        <v>-512.82560000000001</v>
      </c>
      <c r="H1812">
        <v>1.455962</v>
      </c>
      <c r="I1812">
        <v>263.81799999999998</v>
      </c>
      <c r="J1812">
        <v>-350.9853</v>
      </c>
      <c r="K1812">
        <v>1.1102810000000001</v>
      </c>
      <c r="L1812">
        <v>283.10329999999999</v>
      </c>
      <c r="M1812">
        <v>-0.99985679999999999</v>
      </c>
      <c r="N1812">
        <v>0</v>
      </c>
      <c r="O1812">
        <v>-9.4812850000000008E-3</v>
      </c>
      <c r="P1812">
        <v>-0.99727220000000005</v>
      </c>
      <c r="Q1812">
        <v>6.3886719999999994E-2</v>
      </c>
      <c r="R1812">
        <v>3.6966899999999997E-2</v>
      </c>
      <c r="S1812">
        <v>-3.0213930000000002</v>
      </c>
      <c r="T1812">
        <v>6.4438580000000002E-3</v>
      </c>
      <c r="U1812">
        <v>-0.35946660000000002</v>
      </c>
      <c r="V1812">
        <v>4.6405670000000003E-2</v>
      </c>
      <c r="W1812">
        <v>7.7872339999999998E-2</v>
      </c>
      <c r="X1812">
        <v>0.99588270000000001</v>
      </c>
      <c r="Y1812">
        <v>-0.1087193</v>
      </c>
      <c r="Z1812" s="1">
        <v>9.537867E-5</v>
      </c>
      <c r="AA1812">
        <v>0.99407250000000003</v>
      </c>
      <c r="AB1812">
        <v>27</v>
      </c>
      <c r="AC1812">
        <v>-161.84030000000001</v>
      </c>
      <c r="AD1812">
        <v>0.34568100000000002</v>
      </c>
      <c r="AE1812">
        <v>-19.285299999999999</v>
      </c>
      <c r="AF1812">
        <v>-17.749748362253602</v>
      </c>
      <c r="AG1812">
        <v>0.34568100000000002</v>
      </c>
      <c r="AH1812">
        <v>162.01516269831501</v>
      </c>
      <c r="AI1812">
        <v>89.878479085586306</v>
      </c>
      <c r="AJ1812">
        <v>96.252167398756399</v>
      </c>
      <c r="AK1812">
        <v>162.98492570308099</v>
      </c>
      <c r="AL1812">
        <v>85.533721668298995</v>
      </c>
      <c r="AM1812">
        <v>87.332088279745705</v>
      </c>
      <c r="AN1812">
        <v>0.99999996985225603</v>
      </c>
    </row>
    <row r="1813" spans="1:40" x14ac:dyDescent="0.25">
      <c r="A1813" t="str">
        <f>"20190312154544606"</f>
        <v>20190312154544606</v>
      </c>
      <c r="B1813" t="str">
        <f>"1552376744598711"</f>
        <v>1552376744598711</v>
      </c>
      <c r="C1813" t="s">
        <v>40</v>
      </c>
      <c r="D1813">
        <v>4.2057900000000004</v>
      </c>
      <c r="E1813">
        <v>0.44166149999999998</v>
      </c>
      <c r="F1813" t="s">
        <v>58</v>
      </c>
      <c r="G1813">
        <v>-512.82550000000003</v>
      </c>
      <c r="H1813">
        <v>1.1052360000000001</v>
      </c>
      <c r="I1813">
        <v>263.77940000000001</v>
      </c>
      <c r="J1813">
        <v>-351.2586</v>
      </c>
      <c r="K1813">
        <v>1.1102810000000001</v>
      </c>
      <c r="L1813">
        <v>283.10059999999999</v>
      </c>
      <c r="M1813">
        <v>-0.99985550000000001</v>
      </c>
      <c r="N1813">
        <v>0</v>
      </c>
      <c r="O1813">
        <v>-9.6167960000000004E-3</v>
      </c>
      <c r="P1813">
        <v>-0.99731700000000001</v>
      </c>
      <c r="Q1813">
        <v>6.3308050000000005E-2</v>
      </c>
      <c r="R1813">
        <v>3.6756839999999999E-2</v>
      </c>
      <c r="S1813">
        <v>-3.021576</v>
      </c>
      <c r="T1813" s="1">
        <v>-9.2744829999999995E-5</v>
      </c>
      <c r="U1813">
        <v>-0.36077880000000001</v>
      </c>
      <c r="V1813">
        <v>4.6331379999999998E-2</v>
      </c>
      <c r="W1813">
        <v>7.7291410000000005E-2</v>
      </c>
      <c r="X1813">
        <v>0.99593140000000002</v>
      </c>
      <c r="Y1813">
        <v>-0.1090034</v>
      </c>
      <c r="Z1813" s="1">
        <v>-1.372846E-6</v>
      </c>
      <c r="AA1813">
        <v>0.99404139999999996</v>
      </c>
      <c r="AB1813">
        <v>27</v>
      </c>
      <c r="AC1813">
        <v>-161.5669</v>
      </c>
      <c r="AD1813">
        <v>-5.0449999999997398E-3</v>
      </c>
      <c r="AE1813">
        <v>-19.321199999999902</v>
      </c>
      <c r="AF1813">
        <v>-17.766397753821099</v>
      </c>
      <c r="AG1813">
        <v>-5.0449999999997398E-3</v>
      </c>
      <c r="AH1813">
        <v>161.745253423397</v>
      </c>
      <c r="AI1813">
        <v>90.001776429617607</v>
      </c>
      <c r="AJ1813">
        <v>96.2683453006794</v>
      </c>
      <c r="AK1813">
        <v>162.71807496279499</v>
      </c>
      <c r="AL1813">
        <v>85.567107070516997</v>
      </c>
      <c r="AM1813">
        <v>87.336483197334303</v>
      </c>
      <c r="AN1813">
        <v>0.99999995616922499</v>
      </c>
    </row>
    <row r="1814" spans="1:40" x14ac:dyDescent="0.25">
      <c r="A1814" t="str">
        <f>"20190312154544627"</f>
        <v>20190312154544627</v>
      </c>
      <c r="B1814" t="str">
        <f>"1552376744618231"</f>
        <v>1552376744618231</v>
      </c>
      <c r="C1814" t="s">
        <v>40</v>
      </c>
      <c r="D1814">
        <v>4.2200259999999998</v>
      </c>
      <c r="E1814">
        <v>0.44171080000000001</v>
      </c>
      <c r="F1814" t="s">
        <v>58</v>
      </c>
      <c r="G1814">
        <v>-512.82539999999995</v>
      </c>
      <c r="H1814">
        <v>0.89724859999999995</v>
      </c>
      <c r="I1814">
        <v>263.84379999999999</v>
      </c>
      <c r="J1814">
        <v>-351.5154</v>
      </c>
      <c r="K1814">
        <v>1.1102799999999999</v>
      </c>
      <c r="L1814">
        <v>283.09800000000001</v>
      </c>
      <c r="M1814">
        <v>-0.99985429999999997</v>
      </c>
      <c r="N1814">
        <v>0</v>
      </c>
      <c r="O1814">
        <v>-9.7434889999999993E-3</v>
      </c>
      <c r="P1814">
        <v>-0.99733019999999994</v>
      </c>
      <c r="Q1814">
        <v>6.3370480000000007E-2</v>
      </c>
      <c r="R1814">
        <v>3.6286819999999997E-2</v>
      </c>
      <c r="S1814">
        <v>-3.0216059999999998</v>
      </c>
      <c r="T1814">
        <v>-3.982663E-3</v>
      </c>
      <c r="U1814">
        <v>-0.36013790000000001</v>
      </c>
      <c r="V1814">
        <v>4.5987680000000003E-2</v>
      </c>
      <c r="W1814">
        <v>7.7350829999999995E-2</v>
      </c>
      <c r="X1814">
        <v>0.99594280000000002</v>
      </c>
      <c r="Y1814">
        <v>-0.10866820000000001</v>
      </c>
      <c r="Z1814" s="1">
        <v>-5.8566649999999999E-5</v>
      </c>
      <c r="AA1814">
        <v>0.99407809999999996</v>
      </c>
      <c r="AB1814">
        <v>27</v>
      </c>
      <c r="AC1814">
        <v>-161.30999999999901</v>
      </c>
      <c r="AD1814">
        <v>-0.21303140000000001</v>
      </c>
      <c r="AE1814">
        <v>-19.254200000000001</v>
      </c>
      <c r="AF1814">
        <v>-17.681378829579099</v>
      </c>
      <c r="AG1814">
        <v>-0.21303140000000001</v>
      </c>
      <c r="AH1814">
        <v>161.48968510652301</v>
      </c>
      <c r="AI1814">
        <v>90.075133489535006</v>
      </c>
      <c r="AJ1814">
        <v>96.2483809366841</v>
      </c>
      <c r="AK1814">
        <v>162.45490123568601</v>
      </c>
      <c r="AL1814">
        <v>85.563692701521504</v>
      </c>
      <c r="AM1814">
        <v>87.356244039753406</v>
      </c>
      <c r="AN1814">
        <v>1.00000003924265</v>
      </c>
    </row>
    <row r="1815" spans="1:40" x14ac:dyDescent="0.25">
      <c r="A1815" t="str">
        <f>"20190312154544650"</f>
        <v>20190312154544650</v>
      </c>
      <c r="B1815" t="str">
        <f>"1552376744638729"</f>
        <v>1552376744638729</v>
      </c>
      <c r="C1815" t="s">
        <v>40</v>
      </c>
      <c r="D1815">
        <v>4.2029069999999997</v>
      </c>
      <c r="E1815">
        <v>0.44170789999999999</v>
      </c>
      <c r="F1815" t="s">
        <v>58</v>
      </c>
      <c r="G1815">
        <v>-512.82539999999995</v>
      </c>
      <c r="H1815">
        <v>0.84710589999999997</v>
      </c>
      <c r="I1815">
        <v>263.81220000000002</v>
      </c>
      <c r="J1815">
        <v>-351.78590000000003</v>
      </c>
      <c r="K1815">
        <v>1.110282</v>
      </c>
      <c r="L1815">
        <v>283.09519999999998</v>
      </c>
      <c r="M1815">
        <v>-0.99985310000000005</v>
      </c>
      <c r="N1815">
        <v>0</v>
      </c>
      <c r="O1815">
        <v>-9.877449E-3</v>
      </c>
      <c r="P1815">
        <v>-0.99726859999999995</v>
      </c>
      <c r="Q1815">
        <v>6.4299099999999998E-2</v>
      </c>
      <c r="R1815">
        <v>3.6349840000000001E-2</v>
      </c>
      <c r="S1815">
        <v>-3.0214539999999999</v>
      </c>
      <c r="T1815">
        <v>-4.9279930000000003E-3</v>
      </c>
      <c r="U1815">
        <v>-0.36123660000000002</v>
      </c>
      <c r="V1815">
        <v>4.6183509999999997E-2</v>
      </c>
      <c r="W1815">
        <v>7.8275929999999994E-2</v>
      </c>
      <c r="X1815">
        <v>0.99586140000000001</v>
      </c>
      <c r="Y1815">
        <v>-0.1088973</v>
      </c>
      <c r="Z1815" s="1">
        <v>-7.2438679999999993E-5</v>
      </c>
      <c r="AA1815">
        <v>0.99405299999999996</v>
      </c>
      <c r="AB1815">
        <v>27</v>
      </c>
      <c r="AC1815">
        <v>-161.03949999999901</v>
      </c>
      <c r="AD1815">
        <v>-0.26317609999999902</v>
      </c>
      <c r="AE1815">
        <v>-19.282999999999902</v>
      </c>
      <c r="AF1815">
        <v>-17.691197022438399</v>
      </c>
      <c r="AG1815">
        <v>-0.26317609999999902</v>
      </c>
      <c r="AH1815">
        <v>161.22170348433499</v>
      </c>
      <c r="AI1815">
        <v>90.092970701935897</v>
      </c>
      <c r="AJ1815">
        <v>96.262132345803707</v>
      </c>
      <c r="AK1815">
        <v>162.18965869665499</v>
      </c>
      <c r="AL1815">
        <v>85.510526921688907</v>
      </c>
      <c r="AM1815">
        <v>87.344785466045906</v>
      </c>
      <c r="AN1815">
        <v>0.99999998291162195</v>
      </c>
    </row>
    <row r="1816" spans="1:40" x14ac:dyDescent="0.25">
      <c r="A1816" t="str">
        <f>"20190312154544671"</f>
        <v>20190312154544671</v>
      </c>
      <c r="B1816" t="str">
        <f>"1552376744668007"</f>
        <v>1552376744668007</v>
      </c>
      <c r="C1816" t="s">
        <v>40</v>
      </c>
      <c r="D1816">
        <v>4.2666659999999998</v>
      </c>
      <c r="E1816">
        <v>0.44176680000000002</v>
      </c>
      <c r="F1816" t="s">
        <v>58</v>
      </c>
      <c r="G1816">
        <v>-512.82539999999995</v>
      </c>
      <c r="H1816">
        <v>0.88056710000000005</v>
      </c>
      <c r="I1816">
        <v>263.86750000000001</v>
      </c>
      <c r="J1816">
        <v>-352.04430000000002</v>
      </c>
      <c r="K1816">
        <v>1.110285</v>
      </c>
      <c r="L1816">
        <v>283.09249999999997</v>
      </c>
      <c r="M1816">
        <v>-0.99985179999999996</v>
      </c>
      <c r="N1816">
        <v>0</v>
      </c>
      <c r="O1816">
        <v>-1.000533E-2</v>
      </c>
      <c r="P1816">
        <v>-0.99720469999999894</v>
      </c>
      <c r="Q1816">
        <v>6.5068379999999995E-2</v>
      </c>
      <c r="R1816">
        <v>3.6730329999999999E-2</v>
      </c>
      <c r="S1816">
        <v>-3.0216669999999999</v>
      </c>
      <c r="T1816">
        <v>-4.3088199999999997E-3</v>
      </c>
      <c r="U1816">
        <v>-0.36077880000000001</v>
      </c>
      <c r="V1816">
        <v>4.6690740000000001E-2</v>
      </c>
      <c r="W1816">
        <v>7.9041730000000004E-2</v>
      </c>
      <c r="X1816">
        <v>0.99577720000000003</v>
      </c>
      <c r="Y1816">
        <v>-0.1086134</v>
      </c>
      <c r="Z1816" s="1">
        <v>-6.2949929999999994E-5</v>
      </c>
      <c r="AA1816">
        <v>0.99408410000000003</v>
      </c>
      <c r="AB1816">
        <v>27</v>
      </c>
      <c r="AC1816">
        <v>-160.78109999999899</v>
      </c>
      <c r="AD1816">
        <v>-0.229717899999999</v>
      </c>
      <c r="AE1816">
        <v>-19.224999999999898</v>
      </c>
      <c r="AF1816">
        <v>-17.615176205723799</v>
      </c>
      <c r="AG1816">
        <v>-0.229717899999999</v>
      </c>
      <c r="AH1816">
        <v>160.965097984447</v>
      </c>
      <c r="AI1816">
        <v>90.081283119201998</v>
      </c>
      <c r="AJ1816">
        <v>96.245297612319703</v>
      </c>
      <c r="AK1816">
        <v>161.926248558456</v>
      </c>
      <c r="AL1816">
        <v>85.466513182442796</v>
      </c>
      <c r="AM1816">
        <v>87.315439221323899</v>
      </c>
      <c r="AN1816">
        <v>0.99999992616148703</v>
      </c>
    </row>
    <row r="1817" spans="1:40" x14ac:dyDescent="0.25">
      <c r="A1817" t="str">
        <f>"20190312154544695"</f>
        <v>20190312154544695</v>
      </c>
      <c r="B1817" t="str">
        <f>"1552376744688504"</f>
        <v>1552376744688504</v>
      </c>
      <c r="C1817" t="s">
        <v>40</v>
      </c>
      <c r="D1817">
        <v>4.2810489999999897</v>
      </c>
      <c r="E1817">
        <v>0.44173770000000001</v>
      </c>
      <c r="F1817" t="s">
        <v>58</v>
      </c>
      <c r="G1817">
        <v>-512.82539999999995</v>
      </c>
      <c r="H1817">
        <v>0.88900480000000004</v>
      </c>
      <c r="I1817">
        <v>263.98320000000001</v>
      </c>
      <c r="J1817">
        <v>-352.32029999999997</v>
      </c>
      <c r="K1817">
        <v>1.110287</v>
      </c>
      <c r="L1817">
        <v>283.08949999999999</v>
      </c>
      <c r="M1817">
        <v>-0.99985040000000003</v>
      </c>
      <c r="N1817">
        <v>0</v>
      </c>
      <c r="O1817">
        <v>-1.0141789999999999E-2</v>
      </c>
      <c r="P1817">
        <v>-0.9971023</v>
      </c>
      <c r="Q1817">
        <v>6.6506599999999999E-2</v>
      </c>
      <c r="R1817">
        <v>3.6929429999999999E-2</v>
      </c>
      <c r="S1817">
        <v>-3.0219119999999999</v>
      </c>
      <c r="T1817">
        <v>-4.1575429999999997E-3</v>
      </c>
      <c r="U1817">
        <v>-0.35916140000000002</v>
      </c>
      <c r="V1817">
        <v>4.702477E-2</v>
      </c>
      <c r="W1817">
        <v>8.04753E-2</v>
      </c>
      <c r="X1817">
        <v>0.9956467</v>
      </c>
      <c r="Y1817">
        <v>-0.1079436</v>
      </c>
      <c r="Z1817" s="1">
        <v>-6.0090719999999897E-5</v>
      </c>
      <c r="AA1817">
        <v>0.99415699999999996</v>
      </c>
      <c r="AB1817">
        <v>27</v>
      </c>
      <c r="AC1817">
        <v>-160.505099999999</v>
      </c>
      <c r="AD1817">
        <v>-0.22128220000000001</v>
      </c>
      <c r="AE1817">
        <v>-19.106299999999901</v>
      </c>
      <c r="AF1817">
        <v>-17.477315599987602</v>
      </c>
      <c r="AG1817">
        <v>-0.22128220000000001</v>
      </c>
      <c r="AH1817">
        <v>160.690333666246</v>
      </c>
      <c r="AI1817">
        <v>90.078437799187398</v>
      </c>
      <c r="AJ1817">
        <v>96.207315421869595</v>
      </c>
      <c r="AK1817">
        <v>161.63814172454201</v>
      </c>
      <c r="AL1817">
        <v>85.384113385164</v>
      </c>
      <c r="AM1817">
        <v>87.295908161174296</v>
      </c>
      <c r="AN1817">
        <v>0.99999997706226595</v>
      </c>
    </row>
    <row r="1818" spans="1:40" x14ac:dyDescent="0.25">
      <c r="A1818" t="str">
        <f>"20190312154544716"</f>
        <v>20190312154544716</v>
      </c>
      <c r="B1818" t="str">
        <f>"1552376744708027"</f>
        <v>1552376744708027</v>
      </c>
      <c r="C1818" t="s">
        <v>40</v>
      </c>
      <c r="D1818">
        <v>4.281142</v>
      </c>
      <c r="E1818">
        <v>0.44173839999999998</v>
      </c>
      <c r="F1818" t="s">
        <v>58</v>
      </c>
      <c r="G1818">
        <v>-512.82550000000003</v>
      </c>
      <c r="H1818">
        <v>1.0354369999999999</v>
      </c>
      <c r="I1818">
        <v>264.04809999999998</v>
      </c>
      <c r="J1818">
        <v>-352.58539999999999</v>
      </c>
      <c r="K1818">
        <v>1.1102959999999999</v>
      </c>
      <c r="L1818">
        <v>283.08670000000001</v>
      </c>
      <c r="M1818">
        <v>-0.99984930000000005</v>
      </c>
      <c r="N1818">
        <v>0</v>
      </c>
      <c r="O1818">
        <v>-1.0273249999999999E-2</v>
      </c>
      <c r="P1818">
        <v>-0.99695219999999996</v>
      </c>
      <c r="Q1818">
        <v>6.8647849999999996E-2</v>
      </c>
      <c r="R1818">
        <v>3.7069730000000002E-2</v>
      </c>
      <c r="S1818">
        <v>-3.0220639999999999</v>
      </c>
      <c r="T1818">
        <v>-1.407862E-3</v>
      </c>
      <c r="U1818">
        <v>-0.35852050000000002</v>
      </c>
      <c r="V1818">
        <v>4.729423E-2</v>
      </c>
      <c r="W1818">
        <v>8.2611550000000006E-2</v>
      </c>
      <c r="X1818">
        <v>0.99545899999999998</v>
      </c>
      <c r="Y1818">
        <v>-0.10759929999999999</v>
      </c>
      <c r="Z1818" s="1">
        <v>-2.0206710000000002E-5</v>
      </c>
      <c r="AA1818">
        <v>0.99419429999999998</v>
      </c>
      <c r="AB1818">
        <v>27</v>
      </c>
      <c r="AC1818">
        <v>-160.24010000000001</v>
      </c>
      <c r="AD1818">
        <v>-7.4858999999999704E-2</v>
      </c>
      <c r="AE1818">
        <v>-19.038599999999999</v>
      </c>
      <c r="AF1818">
        <v>-17.391243546581698</v>
      </c>
      <c r="AG1818">
        <v>-7.4858999999999704E-2</v>
      </c>
      <c r="AH1818">
        <v>160.42721520408301</v>
      </c>
      <c r="AI1818">
        <v>90.026579792137696</v>
      </c>
      <c r="AJ1818">
        <v>96.187035042796495</v>
      </c>
      <c r="AK1818">
        <v>161.367135235474</v>
      </c>
      <c r="AL1818">
        <v>85.2613064634279</v>
      </c>
      <c r="AM1818">
        <v>87.279924426740706</v>
      </c>
      <c r="AN1818">
        <v>1.00000001653284</v>
      </c>
    </row>
    <row r="1819" spans="1:40" x14ac:dyDescent="0.25">
      <c r="A1819" t="str">
        <f>"20190312154544740"</f>
        <v>20190312154544740</v>
      </c>
      <c r="B1819" t="str">
        <f>"1552376744728519"</f>
        <v>1552376744728519</v>
      </c>
      <c r="C1819" t="s">
        <v>40</v>
      </c>
      <c r="D1819">
        <v>4.5409119999999996</v>
      </c>
      <c r="E1819">
        <v>0.44172509999999998</v>
      </c>
      <c r="F1819" t="s">
        <v>58</v>
      </c>
      <c r="G1819">
        <v>-512.82560000000001</v>
      </c>
      <c r="H1819">
        <v>1.286826</v>
      </c>
      <c r="I1819">
        <v>264.09089999999998</v>
      </c>
      <c r="J1819">
        <v>-352.8603</v>
      </c>
      <c r="K1819">
        <v>1.110303</v>
      </c>
      <c r="L1819">
        <v>283.08370000000002</v>
      </c>
      <c r="M1819">
        <v>-0.99984770000000001</v>
      </c>
      <c r="N1819">
        <v>0</v>
      </c>
      <c r="O1819">
        <v>-1.0409470000000001E-2</v>
      </c>
      <c r="P1819">
        <v>-0.99682440000000005</v>
      </c>
      <c r="Q1819">
        <v>7.0772299999999996E-2</v>
      </c>
      <c r="R1819">
        <v>3.6506030000000002E-2</v>
      </c>
      <c r="S1819">
        <v>-3.022278</v>
      </c>
      <c r="T1819">
        <v>3.330946E-3</v>
      </c>
      <c r="U1819">
        <v>-0.35827639999999999</v>
      </c>
      <c r="V1819">
        <v>4.6864669999999997E-2</v>
      </c>
      <c r="W1819">
        <v>8.473079E-2</v>
      </c>
      <c r="X1819">
        <v>0.9953012</v>
      </c>
      <c r="Y1819">
        <v>-0.10737629999999999</v>
      </c>
      <c r="Z1819" s="1">
        <v>4.7533169999999999E-5</v>
      </c>
      <c r="AA1819">
        <v>0.99421850000000001</v>
      </c>
      <c r="AB1819">
        <v>27</v>
      </c>
      <c r="AC1819">
        <v>-159.96530000000001</v>
      </c>
      <c r="AD1819">
        <v>0.17652300000000001</v>
      </c>
      <c r="AE1819">
        <v>-18.992799999999999</v>
      </c>
      <c r="AF1819">
        <v>-17.3264325790249</v>
      </c>
      <c r="AG1819">
        <v>0.17652300000000001</v>
      </c>
      <c r="AH1819">
        <v>160.154163446935</v>
      </c>
      <c r="AI1819">
        <v>89.937214588083904</v>
      </c>
      <c r="AJ1819">
        <v>96.174584345815205</v>
      </c>
      <c r="AK1819">
        <v>161.088772096855</v>
      </c>
      <c r="AL1819">
        <v>85.139455775783802</v>
      </c>
      <c r="AM1819">
        <v>87.304166783090594</v>
      </c>
      <c r="AN1819">
        <v>1.00000004139483</v>
      </c>
    </row>
    <row r="1820" spans="1:40" x14ac:dyDescent="0.25">
      <c r="A1820" t="str">
        <f>"20190312154544760"</f>
        <v>20190312154544760</v>
      </c>
      <c r="B1820" t="str">
        <f>"1552376744748040"</f>
        <v>1552376744748040</v>
      </c>
      <c r="C1820" t="s">
        <v>40</v>
      </c>
      <c r="D1820">
        <v>4.271814</v>
      </c>
      <c r="E1820">
        <v>0.43790099999999998</v>
      </c>
      <c r="F1820" t="s">
        <v>58</v>
      </c>
      <c r="G1820">
        <v>-512.82569999999998</v>
      </c>
      <c r="H1820">
        <v>1.570883</v>
      </c>
      <c r="I1820">
        <v>264.02749999999997</v>
      </c>
      <c r="J1820">
        <v>-353.11320000000001</v>
      </c>
      <c r="K1820">
        <v>1.1103179999999999</v>
      </c>
      <c r="L1820">
        <v>283.08089999999999</v>
      </c>
      <c r="M1820">
        <v>-0.99984640000000002</v>
      </c>
      <c r="N1820">
        <v>0</v>
      </c>
      <c r="O1820">
        <v>-1.053485E-2</v>
      </c>
      <c r="P1820">
        <v>-0.99667550000000005</v>
      </c>
      <c r="Q1820">
        <v>7.2685260000000002E-2</v>
      </c>
      <c r="R1820">
        <v>3.6807909999999999E-2</v>
      </c>
      <c r="S1820">
        <v>-3.022125</v>
      </c>
      <c r="T1820">
        <v>8.7028739999999993E-3</v>
      </c>
      <c r="U1820">
        <v>-0.3600159</v>
      </c>
      <c r="V1820">
        <v>4.7289419999999999E-2</v>
      </c>
      <c r="W1820">
        <v>8.6638229999999997E-2</v>
      </c>
      <c r="X1820">
        <v>0.99511680000000002</v>
      </c>
      <c r="Y1820">
        <v>-0.1078215</v>
      </c>
      <c r="Z1820">
        <v>1.244723E-4</v>
      </c>
      <c r="AA1820">
        <v>0.9941702</v>
      </c>
      <c r="AB1820">
        <v>27</v>
      </c>
      <c r="AC1820">
        <v>-159.71249999999901</v>
      </c>
      <c r="AD1820">
        <v>0.460564999999999</v>
      </c>
      <c r="AE1820">
        <v>-19.0534</v>
      </c>
      <c r="AF1820">
        <v>-17.3694877392726</v>
      </c>
      <c r="AG1820">
        <v>0.460564999999999</v>
      </c>
      <c r="AH1820">
        <v>159.90306866493901</v>
      </c>
      <c r="AI1820">
        <v>89.835937862023101</v>
      </c>
      <c r="AJ1820">
        <v>96.199453055299202</v>
      </c>
      <c r="AK1820">
        <v>160.84434274449401</v>
      </c>
      <c r="AL1820">
        <v>85.0297636795665</v>
      </c>
      <c r="AM1820">
        <v>87.279266775775199</v>
      </c>
      <c r="AN1820">
        <v>0.999999958891853</v>
      </c>
    </row>
    <row r="1821" spans="1:40" x14ac:dyDescent="0.25">
      <c r="A1821" t="str">
        <f>"20190312154544786"</f>
        <v>20190312154544786</v>
      </c>
      <c r="B1821" t="str">
        <f>"1552376744778296"</f>
        <v>1552376744778296</v>
      </c>
      <c r="C1821" t="s">
        <v>40</v>
      </c>
      <c r="D1821">
        <v>4.3270499999999998</v>
      </c>
      <c r="E1821">
        <v>0.4416754</v>
      </c>
      <c r="F1821" t="s">
        <v>63</v>
      </c>
      <c r="G1821">
        <v>-453.95030000000003</v>
      </c>
      <c r="H1821">
        <v>2.1198329999999999</v>
      </c>
      <c r="I1821">
        <v>270.08620000000002</v>
      </c>
      <c r="J1821">
        <v>-353.39960000000002</v>
      </c>
      <c r="K1821">
        <v>1.1103259999999999</v>
      </c>
      <c r="L1821">
        <v>283.07780000000002</v>
      </c>
      <c r="M1821">
        <v>-0.99984499999999998</v>
      </c>
      <c r="N1821">
        <v>0</v>
      </c>
      <c r="O1821">
        <v>-1.0676679999999999E-2</v>
      </c>
      <c r="P1821">
        <v>-0.99655510000000003</v>
      </c>
      <c r="Q1821">
        <v>7.3885809999999996E-2</v>
      </c>
      <c r="R1821">
        <v>3.7668729999999997E-2</v>
      </c>
      <c r="S1821">
        <v>-3.022186</v>
      </c>
      <c r="T1821">
        <v>3.025651E-2</v>
      </c>
      <c r="U1821">
        <v>-0.38946530000000001</v>
      </c>
      <c r="V1821">
        <v>4.8290079999999999E-2</v>
      </c>
      <c r="W1821">
        <v>8.7833869999999994E-2</v>
      </c>
      <c r="X1821">
        <v>0.99496390000000001</v>
      </c>
      <c r="Y1821">
        <v>-0.1172091</v>
      </c>
      <c r="Z1821">
        <v>4.7784999999999999E-4</v>
      </c>
      <c r="AA1821">
        <v>0.99310710000000002</v>
      </c>
      <c r="AB1821">
        <v>27</v>
      </c>
      <c r="AC1821">
        <v>-100.55070000000001</v>
      </c>
      <c r="AD1821">
        <v>1.0095069999999999</v>
      </c>
      <c r="AE1821">
        <v>-12.9916</v>
      </c>
      <c r="AF1821">
        <v>-11.916025125041999</v>
      </c>
      <c r="AG1821">
        <v>1.0095069999999999</v>
      </c>
      <c r="AH1821">
        <v>100.673707493922</v>
      </c>
      <c r="AI1821">
        <v>89.4294673769393</v>
      </c>
      <c r="AJ1821">
        <v>96.750284348392697</v>
      </c>
      <c r="AK1821">
        <v>101.38148815111801</v>
      </c>
      <c r="AL1821">
        <v>84.960996294752704</v>
      </c>
      <c r="AM1821">
        <v>87.221358143628905</v>
      </c>
      <c r="AN1821">
        <v>0.99999994142439497</v>
      </c>
    </row>
    <row r="1822" spans="1:40" x14ac:dyDescent="0.25">
      <c r="A1822" t="str">
        <f>"20190312154544807"</f>
        <v>20190312154544807</v>
      </c>
      <c r="B1822" t="str">
        <f>"1552376744798791"</f>
        <v>1552376744798791</v>
      </c>
      <c r="C1822" t="s">
        <v>40</v>
      </c>
      <c r="D1822">
        <v>4.5361699999999896</v>
      </c>
      <c r="E1822">
        <v>0.44134430000000002</v>
      </c>
      <c r="F1822" t="s">
        <v>58</v>
      </c>
      <c r="G1822">
        <v>-512.82529999999997</v>
      </c>
      <c r="H1822">
        <v>0.3035622</v>
      </c>
      <c r="I1822">
        <v>264.22469999999998</v>
      </c>
      <c r="J1822">
        <v>-353.66449999999998</v>
      </c>
      <c r="K1822">
        <v>1.1103270000000001</v>
      </c>
      <c r="L1822">
        <v>283.07479999999998</v>
      </c>
      <c r="M1822">
        <v>-0.9998437</v>
      </c>
      <c r="N1822">
        <v>0</v>
      </c>
      <c r="O1822">
        <v>-1.0808130000000001E-2</v>
      </c>
      <c r="P1822">
        <v>-0.99641349999999995</v>
      </c>
      <c r="Q1822">
        <v>7.5322399999999998E-2</v>
      </c>
      <c r="R1822">
        <v>3.856246E-2</v>
      </c>
      <c r="S1822">
        <v>-3.0250240000000002</v>
      </c>
      <c r="T1822">
        <v>-1.5306470000000001E-2</v>
      </c>
      <c r="U1822">
        <v>-0.35772710000000002</v>
      </c>
      <c r="V1822">
        <v>4.9313070000000001E-2</v>
      </c>
      <c r="W1822">
        <v>8.9265410000000003E-2</v>
      </c>
      <c r="X1822">
        <v>0.99478639999999996</v>
      </c>
      <c r="Y1822">
        <v>-0.1066952</v>
      </c>
      <c r="Z1822">
        <v>-2.145029E-4</v>
      </c>
      <c r="AA1822">
        <v>0.99429179999999995</v>
      </c>
      <c r="AB1822">
        <v>27</v>
      </c>
      <c r="AC1822">
        <v>-159.16079999999999</v>
      </c>
      <c r="AD1822">
        <v>-0.80676479999999995</v>
      </c>
      <c r="AE1822">
        <v>-18.850100000000001</v>
      </c>
      <c r="AF1822">
        <v>-17.128165747174901</v>
      </c>
      <c r="AG1822">
        <v>-0.80676479999999995</v>
      </c>
      <c r="AH1822">
        <v>159.35121830527601</v>
      </c>
      <c r="AI1822">
        <v>90.288413844565696</v>
      </c>
      <c r="AJ1822">
        <v>96.134990372468494</v>
      </c>
      <c r="AK1822">
        <v>160.27113185686599</v>
      </c>
      <c r="AL1822">
        <v>84.878652103808093</v>
      </c>
      <c r="AM1822">
        <v>87.162084394585904</v>
      </c>
      <c r="AN1822">
        <v>1.0000000369601201</v>
      </c>
    </row>
    <row r="1823" spans="1:40" x14ac:dyDescent="0.25">
      <c r="A1823" t="str">
        <f>"20190312154544828"</f>
        <v>20190312154544828</v>
      </c>
      <c r="B1823" t="str">
        <f>"1552376744818312"</f>
        <v>1552376744818312</v>
      </c>
      <c r="C1823" t="s">
        <v>40</v>
      </c>
      <c r="D1823">
        <v>4.324306</v>
      </c>
      <c r="E1823">
        <v>0.44090269999999998</v>
      </c>
      <c r="F1823" t="s">
        <v>58</v>
      </c>
      <c r="G1823">
        <v>-512.82529999999997</v>
      </c>
      <c r="H1823">
        <v>0.4641824</v>
      </c>
      <c r="I1823">
        <v>264.24180000000001</v>
      </c>
      <c r="J1823">
        <v>-353.91699999999997</v>
      </c>
      <c r="K1823">
        <v>1.11032</v>
      </c>
      <c r="L1823">
        <v>283.07190000000003</v>
      </c>
      <c r="M1823">
        <v>-0.99984220000000001</v>
      </c>
      <c r="N1823">
        <v>0</v>
      </c>
      <c r="O1823">
        <v>-1.093363E-2</v>
      </c>
      <c r="P1823">
        <v>-0.99624400000000002</v>
      </c>
      <c r="Q1823">
        <v>7.6966060000000003E-2</v>
      </c>
      <c r="R1823">
        <v>3.9679039999999999E-2</v>
      </c>
      <c r="S1823">
        <v>-3.0255429999999999</v>
      </c>
      <c r="T1823">
        <v>-1.22812999999999E-2</v>
      </c>
      <c r="U1823">
        <v>-0.35800169999999998</v>
      </c>
      <c r="V1823">
        <v>5.05525E-2</v>
      </c>
      <c r="W1823">
        <v>9.0903810000000002E-2</v>
      </c>
      <c r="X1823">
        <v>0.99457569999999995</v>
      </c>
      <c r="Y1823">
        <v>-0.106639899999999</v>
      </c>
      <c r="Z1823">
        <v>-1.7145950000000001E-4</v>
      </c>
      <c r="AA1823">
        <v>0.99429769999999895</v>
      </c>
      <c r="AB1823">
        <v>27</v>
      </c>
      <c r="AC1823">
        <v>-158.9083</v>
      </c>
      <c r="AD1823">
        <v>-0.64613759999999898</v>
      </c>
      <c r="AE1823">
        <v>-18.830100000000002</v>
      </c>
      <c r="AF1823">
        <v>-17.091080695449101</v>
      </c>
      <c r="AG1823">
        <v>-0.64613759999999898</v>
      </c>
      <c r="AH1823">
        <v>159.10210705199799</v>
      </c>
      <c r="AI1823">
        <v>90.231354489091601</v>
      </c>
      <c r="AJ1823">
        <v>96.131320326627801</v>
      </c>
      <c r="AK1823">
        <v>160.01875828015301</v>
      </c>
      <c r="AL1823">
        <v>84.784394950088696</v>
      </c>
      <c r="AM1823">
        <v>87.090262284764904</v>
      </c>
      <c r="AN1823">
        <v>0.99999994047962604</v>
      </c>
    </row>
    <row r="1824" spans="1:40" x14ac:dyDescent="0.25">
      <c r="A1824" t="str">
        <f>"20190312154544851"</f>
        <v>20190312154544851</v>
      </c>
      <c r="B1824" t="str">
        <f>"1552376744848567"</f>
        <v>1552376744848567</v>
      </c>
      <c r="C1824" t="s">
        <v>40</v>
      </c>
      <c r="D1824">
        <v>4.5599350000000003</v>
      </c>
      <c r="E1824">
        <v>0.47572550000000002</v>
      </c>
      <c r="F1824" t="s">
        <v>58</v>
      </c>
      <c r="G1824">
        <v>-512.82539999999995</v>
      </c>
      <c r="H1824">
        <v>0.75440850000000004</v>
      </c>
      <c r="I1824">
        <v>264.27890000000002</v>
      </c>
      <c r="J1824">
        <v>-354.18389999999999</v>
      </c>
      <c r="K1824">
        <v>1.110311</v>
      </c>
      <c r="L1824">
        <v>283.06880000000001</v>
      </c>
      <c r="M1824">
        <v>-0.99984099999999998</v>
      </c>
      <c r="N1824">
        <v>0</v>
      </c>
      <c r="O1824">
        <v>-1.1065439999999999E-2</v>
      </c>
      <c r="P1824">
        <v>-0.99621550000000003</v>
      </c>
      <c r="Q1824">
        <v>7.6869569999999998E-2</v>
      </c>
      <c r="R1824">
        <v>4.056978E-2</v>
      </c>
      <c r="S1824">
        <v>-3.0261230000000001</v>
      </c>
      <c r="T1824">
        <v>-6.776214E-3</v>
      </c>
      <c r="U1824">
        <v>-0.35787960000000002</v>
      </c>
      <c r="V1824">
        <v>5.1574149999999999E-2</v>
      </c>
      <c r="W1824">
        <v>9.0804109999999993E-2</v>
      </c>
      <c r="X1824">
        <v>0.99453239999999998</v>
      </c>
      <c r="Y1824">
        <v>-0.1064476</v>
      </c>
      <c r="Z1824" s="1">
        <v>-9.4076729999999995E-5</v>
      </c>
      <c r="AA1824">
        <v>0.99431829999999999</v>
      </c>
      <c r="AB1824">
        <v>27</v>
      </c>
      <c r="AC1824">
        <v>-158.64149999999901</v>
      </c>
      <c r="AD1824">
        <v>-0.35590250000000001</v>
      </c>
      <c r="AE1824">
        <v>-18.7898999999999</v>
      </c>
      <c r="AF1824">
        <v>-17.033055197234901</v>
      </c>
      <c r="AG1824">
        <v>-0.35590250000000001</v>
      </c>
      <c r="AH1824">
        <v>158.83893591816499</v>
      </c>
      <c r="AI1824">
        <v>90.127647758094099</v>
      </c>
      <c r="AJ1824">
        <v>96.120709409059899</v>
      </c>
      <c r="AK1824">
        <v>159.74998966997299</v>
      </c>
      <c r="AL1824">
        <v>84.7901313059253</v>
      </c>
      <c r="AM1824">
        <v>87.031432532200697</v>
      </c>
      <c r="AN1824">
        <v>0.99999998699543702</v>
      </c>
    </row>
    <row r="1825" spans="1:40" x14ac:dyDescent="0.25">
      <c r="A1825" t="str">
        <f>"20190312154544872"</f>
        <v>20190312154544872</v>
      </c>
      <c r="B1825" t="str">
        <f>"1552376744868088"</f>
        <v>1552376744868088</v>
      </c>
      <c r="C1825" t="s">
        <v>40</v>
      </c>
      <c r="D1825">
        <v>4.4631509999999999</v>
      </c>
      <c r="E1825">
        <v>0.49401869999999998</v>
      </c>
      <c r="F1825" t="s">
        <v>57</v>
      </c>
      <c r="G1825">
        <v>-404.39449999999999</v>
      </c>
      <c r="H1825" s="1">
        <v>7.0442649999999997E-6</v>
      </c>
      <c r="I1825">
        <v>281.75709999999998</v>
      </c>
      <c r="J1825">
        <v>-354.44749999999999</v>
      </c>
      <c r="K1825">
        <v>1.1103050000000001</v>
      </c>
      <c r="L1825">
        <v>283.06580000000002</v>
      </c>
      <c r="M1825">
        <v>-0.9998397</v>
      </c>
      <c r="N1825">
        <v>0</v>
      </c>
      <c r="O1825">
        <v>-1.119234E-2</v>
      </c>
      <c r="P1825">
        <v>-0.99629190000000001</v>
      </c>
      <c r="Q1825">
        <v>7.5595410000000002E-2</v>
      </c>
      <c r="R1825">
        <v>4.1086159999999997E-2</v>
      </c>
      <c r="S1825">
        <v>-3.0197750000000001</v>
      </c>
      <c r="T1825">
        <v>-6.6776039999999995E-2</v>
      </c>
      <c r="U1825">
        <v>-7.8887940000000004E-2</v>
      </c>
      <c r="V1825">
        <v>5.2218269999999997E-2</v>
      </c>
      <c r="W1825">
        <v>8.9528049999999998E-2</v>
      </c>
      <c r="X1825">
        <v>0.99461449999999996</v>
      </c>
      <c r="Y1825">
        <v>-1.4922700000000001E-2</v>
      </c>
      <c r="Z1825" s="1">
        <v>8.2490219999999898E-5</v>
      </c>
      <c r="AA1825">
        <v>0.99988869999999996</v>
      </c>
      <c r="AB1825">
        <v>27</v>
      </c>
      <c r="AC1825">
        <v>-49.946999999999903</v>
      </c>
      <c r="AD1825">
        <v>-1.1102979557349999</v>
      </c>
      <c r="AE1825">
        <v>-1.3087000000000399</v>
      </c>
      <c r="AF1825">
        <v>-0.74916965825891102</v>
      </c>
      <c r="AG1825">
        <v>-1.1102979557349999</v>
      </c>
      <c r="AH1825">
        <v>49.933861772049603</v>
      </c>
      <c r="AI1825">
        <v>91.273639742184102</v>
      </c>
      <c r="AJ1825">
        <v>90.859557778215603</v>
      </c>
      <c r="AK1825">
        <v>49.951822471232397</v>
      </c>
      <c r="AL1825">
        <v>84.863543316243906</v>
      </c>
      <c r="AM1825">
        <v>86.994672689969406</v>
      </c>
      <c r="AN1825">
        <v>1.0000000115344201</v>
      </c>
    </row>
    <row r="1826" spans="1:40" x14ac:dyDescent="0.25">
      <c r="A1826" t="str">
        <f>"20190312154544896"</f>
        <v>20190312154544896</v>
      </c>
      <c r="B1826" t="str">
        <f>"1552376744888598"</f>
        <v>1552376744888598</v>
      </c>
      <c r="C1826" t="s">
        <v>40</v>
      </c>
      <c r="D1826">
        <v>4.4684239999999997</v>
      </c>
      <c r="E1826">
        <v>0.50248519999999997</v>
      </c>
      <c r="F1826" t="s">
        <v>57</v>
      </c>
      <c r="G1826">
        <v>-407.30250000000001</v>
      </c>
      <c r="H1826" s="1">
        <v>5.2352859999999997E-6</v>
      </c>
      <c r="I1826">
        <v>284.27080000000001</v>
      </c>
      <c r="J1826">
        <v>-354.72469999999998</v>
      </c>
      <c r="K1826">
        <v>1.110303</v>
      </c>
      <c r="L1826">
        <v>283.06259999999997</v>
      </c>
      <c r="M1826">
        <v>-0.99983809999999995</v>
      </c>
      <c r="N1826">
        <v>0</v>
      </c>
      <c r="O1826">
        <v>-1.131969E-2</v>
      </c>
      <c r="P1826">
        <v>-0.99629270000000003</v>
      </c>
      <c r="Q1826">
        <v>7.6037010000000002E-2</v>
      </c>
      <c r="R1826">
        <v>4.024179E-2</v>
      </c>
      <c r="S1826">
        <v>-3.013153</v>
      </c>
      <c r="T1826">
        <v>-6.3295840000000006E-2</v>
      </c>
      <c r="U1826">
        <v>6.8695069999999997E-2</v>
      </c>
      <c r="V1826">
        <v>5.1501720000000001E-2</v>
      </c>
      <c r="W1826">
        <v>8.9965920000000005E-2</v>
      </c>
      <c r="X1826">
        <v>0.9946123</v>
      </c>
      <c r="Y1826">
        <v>3.409885E-2</v>
      </c>
      <c r="Z1826">
        <v>5.9582009999999998E-4</v>
      </c>
      <c r="AA1826">
        <v>0.99941829999999998</v>
      </c>
      <c r="AB1826">
        <v>27</v>
      </c>
      <c r="AC1826">
        <v>-52.577800000000003</v>
      </c>
      <c r="AD1826">
        <v>-1.110297764714</v>
      </c>
      <c r="AE1826">
        <v>1.2082000000000299</v>
      </c>
      <c r="AF1826">
        <v>1.8025418027531199</v>
      </c>
      <c r="AG1826">
        <v>-1.110297764714</v>
      </c>
      <c r="AH1826">
        <v>52.537336897019699</v>
      </c>
      <c r="AI1826">
        <v>91.209968348878405</v>
      </c>
      <c r="AJ1826">
        <v>88.034968128382502</v>
      </c>
      <c r="AK1826">
        <v>52.579974194629898</v>
      </c>
      <c r="AL1826">
        <v>84.838353299021506</v>
      </c>
      <c r="AM1826">
        <v>87.035831819106207</v>
      </c>
      <c r="AN1826">
        <v>0.99999996061784602</v>
      </c>
    </row>
    <row r="1827" spans="1:40" x14ac:dyDescent="0.25">
      <c r="A1827" t="str">
        <f>"20190312154544917"</f>
        <v>20190312154544917</v>
      </c>
      <c r="B1827" t="str">
        <f>"1552376744908107"</f>
        <v>1552376744908107</v>
      </c>
      <c r="C1827" t="s">
        <v>40</v>
      </c>
      <c r="D1827">
        <v>4.4719720000000001</v>
      </c>
      <c r="E1827">
        <v>0.50615239999999995</v>
      </c>
      <c r="F1827" t="s">
        <v>57</v>
      </c>
      <c r="G1827">
        <v>-409.40609999999998</v>
      </c>
      <c r="H1827" s="1">
        <v>4.0501999999999998E-6</v>
      </c>
      <c r="I1827">
        <v>285.49149999999997</v>
      </c>
      <c r="J1827">
        <v>-354.97570000000002</v>
      </c>
      <c r="K1827">
        <v>1.1102890000000001</v>
      </c>
      <c r="L1827">
        <v>283.05959999999999</v>
      </c>
      <c r="M1827">
        <v>-0.99983699999999998</v>
      </c>
      <c r="N1827">
        <v>0</v>
      </c>
      <c r="O1827">
        <v>-1.142757E-2</v>
      </c>
      <c r="P1827">
        <v>-0.99648950000000003</v>
      </c>
      <c r="Q1827">
        <v>7.4138570000000001E-2</v>
      </c>
      <c r="R1827">
        <v>3.889132E-2</v>
      </c>
      <c r="S1827">
        <v>-3.0104980000000001</v>
      </c>
      <c r="T1827">
        <v>-6.112778E-2</v>
      </c>
      <c r="U1827">
        <v>0.13372800000000001</v>
      </c>
      <c r="V1827">
        <v>5.0262540000000001E-2</v>
      </c>
      <c r="W1827">
        <v>8.8066619999999998E-2</v>
      </c>
      <c r="X1827">
        <v>0.99484570000000005</v>
      </c>
      <c r="Y1827">
        <v>5.5777519999999997E-2</v>
      </c>
      <c r="Z1827">
        <v>7.9787130000000001E-4</v>
      </c>
      <c r="AA1827">
        <v>0.99844290000000002</v>
      </c>
      <c r="AB1827">
        <v>27</v>
      </c>
      <c r="AC1827">
        <v>-54.430399999999899</v>
      </c>
      <c r="AD1827">
        <v>-1.11028494979999</v>
      </c>
      <c r="AE1827">
        <v>2.4318999999999802</v>
      </c>
      <c r="AF1827">
        <v>3.0525415563928302</v>
      </c>
      <c r="AG1827">
        <v>-1.11028494979999</v>
      </c>
      <c r="AH1827">
        <v>54.376471394709597</v>
      </c>
      <c r="AI1827">
        <v>91.167891967048405</v>
      </c>
      <c r="AJ1827">
        <v>86.786949081828297</v>
      </c>
      <c r="AK1827">
        <v>54.4734007012866</v>
      </c>
      <c r="AL1827">
        <v>84.947609168627906</v>
      </c>
      <c r="AM1827">
        <v>87.107707423157507</v>
      </c>
      <c r="AN1827">
        <v>1.0000000096469801</v>
      </c>
    </row>
    <row r="1828" spans="1:40" x14ac:dyDescent="0.25">
      <c r="A1828" t="str">
        <f>"20190312154544940"</f>
        <v>20190312154544940</v>
      </c>
      <c r="B1828" t="str">
        <f>"1552376744928600"</f>
        <v>1552376744928600</v>
      </c>
      <c r="C1828" t="s">
        <v>40</v>
      </c>
      <c r="D1828">
        <v>4.4541879999999896</v>
      </c>
      <c r="E1828">
        <v>0.50892979999999999</v>
      </c>
      <c r="F1828" t="s">
        <v>54</v>
      </c>
      <c r="G1828">
        <v>-397.89530000000002</v>
      </c>
      <c r="H1828" s="1">
        <v>2.6647090000000001E-6</v>
      </c>
      <c r="I1828">
        <v>285.32</v>
      </c>
      <c r="J1828">
        <v>-355.23809999999997</v>
      </c>
      <c r="K1828">
        <v>1.1102749999999999</v>
      </c>
      <c r="L1828">
        <v>283.0564</v>
      </c>
      <c r="M1828">
        <v>-0.99983580000000005</v>
      </c>
      <c r="N1828">
        <v>0</v>
      </c>
      <c r="O1828">
        <v>-1.152896E-2</v>
      </c>
      <c r="P1828">
        <v>-0.99682979999999999</v>
      </c>
      <c r="Q1828">
        <v>7.0467810000000006E-2</v>
      </c>
      <c r="R1828">
        <v>3.694592E-2</v>
      </c>
      <c r="S1828">
        <v>-3.0101930000000001</v>
      </c>
      <c r="T1828">
        <v>-7.7870610000000007E-2</v>
      </c>
      <c r="U1828">
        <v>0.15853879999999901</v>
      </c>
      <c r="V1828">
        <v>4.8424549999999997E-2</v>
      </c>
      <c r="W1828">
        <v>8.4397249999999993E-2</v>
      </c>
      <c r="X1828">
        <v>0.9952548</v>
      </c>
      <c r="Y1828">
        <v>6.4079839999999999E-2</v>
      </c>
      <c r="Z1828">
        <v>1.1261610000000001E-3</v>
      </c>
      <c r="AA1828">
        <v>0.9979441</v>
      </c>
      <c r="AB1828">
        <v>26</v>
      </c>
      <c r="AC1828">
        <v>-42.657200000000003</v>
      </c>
      <c r="AD1828">
        <v>-1.110272335291</v>
      </c>
      <c r="AE1828">
        <v>2.2635999999999901</v>
      </c>
      <c r="AF1828">
        <v>2.75343069032182</v>
      </c>
      <c r="AG1828">
        <v>-1.110272335291</v>
      </c>
      <c r="AH1828">
        <v>42.599487120200003</v>
      </c>
      <c r="AI1828">
        <v>91.489857018171705</v>
      </c>
      <c r="AJ1828">
        <v>86.301814293732406</v>
      </c>
      <c r="AK1828">
        <v>42.702814756512304</v>
      </c>
      <c r="AL1828">
        <v>85.158634585348096</v>
      </c>
      <c r="AM1828">
        <v>87.214445967153907</v>
      </c>
      <c r="AN1828">
        <v>0.99999997488665204</v>
      </c>
    </row>
    <row r="1829" spans="1:40" x14ac:dyDescent="0.25">
      <c r="A1829" t="str">
        <f>"20190312154544962"</f>
        <v>20190312154544962</v>
      </c>
      <c r="B1829" t="str">
        <f>"1552376744958855"</f>
        <v>1552376744958855</v>
      </c>
      <c r="C1829" t="s">
        <v>40</v>
      </c>
      <c r="D1829">
        <v>4.4554489999999998</v>
      </c>
      <c r="E1829">
        <v>0.51168130000000001</v>
      </c>
      <c r="F1829" t="s">
        <v>54</v>
      </c>
      <c r="G1829">
        <v>-393.56740000000002</v>
      </c>
      <c r="H1829" s="1">
        <v>3.6159159999999998E-7</v>
      </c>
      <c r="I1829">
        <v>285.27670000000001</v>
      </c>
      <c r="J1829">
        <v>-355.5061</v>
      </c>
      <c r="K1829">
        <v>1.1102529999999999</v>
      </c>
      <c r="L1829">
        <v>283.0532</v>
      </c>
      <c r="M1829">
        <v>-0.99983489999999997</v>
      </c>
      <c r="N1829">
        <v>0</v>
      </c>
      <c r="O1829">
        <v>-1.161742E-2</v>
      </c>
      <c r="P1829">
        <v>-0.99698819999999999</v>
      </c>
      <c r="Q1829">
        <v>6.8887130000000005E-2</v>
      </c>
      <c r="R1829">
        <v>3.562746E-2</v>
      </c>
      <c r="S1829">
        <v>-3.0092159999999999</v>
      </c>
      <c r="T1829">
        <v>-8.7167259999999996E-2</v>
      </c>
      <c r="U1829">
        <v>0.17431640000000001</v>
      </c>
      <c r="V1829">
        <v>4.7198650000000002E-2</v>
      </c>
      <c r="W1829">
        <v>8.2814460000000006E-2</v>
      </c>
      <c r="X1829">
        <v>0.99544670000000002</v>
      </c>
      <c r="Y1829">
        <v>6.9391910000000001E-2</v>
      </c>
      <c r="Z1829">
        <v>1.3401999999999999E-3</v>
      </c>
      <c r="AA1829">
        <v>0.99758860000000005</v>
      </c>
      <c r="AB1829">
        <v>26</v>
      </c>
      <c r="AC1829">
        <v>-38.061300000000003</v>
      </c>
      <c r="AD1829">
        <v>-1.1102526384083999</v>
      </c>
      <c r="AE1829">
        <v>2.2235</v>
      </c>
      <c r="AF1829">
        <v>2.6633087005637299</v>
      </c>
      <c r="AG1829">
        <v>-1.1102526384083999</v>
      </c>
      <c r="AH1829">
        <v>38.000672457436998</v>
      </c>
      <c r="AI1829">
        <v>91.669422333644306</v>
      </c>
      <c r="AJ1829">
        <v>85.990933324770097</v>
      </c>
      <c r="AK1829">
        <v>38.110064043150103</v>
      </c>
      <c r="AL1829">
        <v>85.249640714309294</v>
      </c>
      <c r="AM1829">
        <v>87.285379882218905</v>
      </c>
      <c r="AN1829">
        <v>1.0000000399439</v>
      </c>
    </row>
    <row r="1830" spans="1:40" x14ac:dyDescent="0.25">
      <c r="A1830" t="str">
        <f>"20190312154544987"</f>
        <v>20190312154544987</v>
      </c>
      <c r="B1830" t="str">
        <f>"1552376744978375"</f>
        <v>1552376744978375</v>
      </c>
      <c r="C1830" t="s">
        <v>40</v>
      </c>
      <c r="D1830">
        <v>4.5120719999999999</v>
      </c>
      <c r="E1830">
        <v>0.5130342</v>
      </c>
      <c r="F1830" t="s">
        <v>54</v>
      </c>
      <c r="G1830">
        <v>-391.82420000000002</v>
      </c>
      <c r="H1830" s="1">
        <v>-5.6600950000000001E-7</v>
      </c>
      <c r="I1830">
        <v>285.37630000000001</v>
      </c>
      <c r="J1830">
        <v>-355.78149999999999</v>
      </c>
      <c r="K1830">
        <v>1.110233</v>
      </c>
      <c r="L1830">
        <v>283.04989999999998</v>
      </c>
      <c r="M1830">
        <v>-0.99983420000000001</v>
      </c>
      <c r="N1830">
        <v>0</v>
      </c>
      <c r="O1830">
        <v>-1.168665E-2</v>
      </c>
      <c r="P1830">
        <v>-0.99711499999999997</v>
      </c>
      <c r="Q1830">
        <v>6.7379060000000005E-2</v>
      </c>
      <c r="R1830">
        <v>3.4961779999999998E-2</v>
      </c>
      <c r="S1830">
        <v>-3.0085449999999998</v>
      </c>
      <c r="T1830">
        <v>-9.1971869999999997E-2</v>
      </c>
      <c r="U1830">
        <v>0.1924438</v>
      </c>
      <c r="V1830">
        <v>4.6606750000000002E-2</v>
      </c>
      <c r="W1830">
        <v>8.1303710000000001E-2</v>
      </c>
      <c r="X1830">
        <v>0.99559909999999996</v>
      </c>
      <c r="Y1830">
        <v>7.5454339999999995E-2</v>
      </c>
      <c r="Z1830">
        <v>1.50876E-3</v>
      </c>
      <c r="AA1830">
        <v>0.99714809999999998</v>
      </c>
      <c r="AB1830">
        <v>26</v>
      </c>
      <c r="AC1830">
        <v>-36.042700000000004</v>
      </c>
      <c r="AD1830">
        <v>-1.1102335660095</v>
      </c>
      <c r="AE1830">
        <v>2.3264000000000302</v>
      </c>
      <c r="AF1830">
        <v>2.7449069115885698</v>
      </c>
      <c r="AG1830">
        <v>-1.1102335660095</v>
      </c>
      <c r="AH1830">
        <v>35.979050833543901</v>
      </c>
      <c r="AI1830">
        <v>91.762341481481599</v>
      </c>
      <c r="AJ1830">
        <v>85.637252545875498</v>
      </c>
      <c r="AK1830">
        <v>36.1006818690052</v>
      </c>
      <c r="AL1830">
        <v>85.336493162141494</v>
      </c>
      <c r="AM1830">
        <v>87.319782646530797</v>
      </c>
      <c r="AN1830">
        <v>1.0000000251630601</v>
      </c>
    </row>
    <row r="1831" spans="1:40" x14ac:dyDescent="0.25">
      <c r="A1831" t="str">
        <f>"20190312154545008"</f>
        <v>20190312154545008</v>
      </c>
      <c r="B1831" t="str">
        <f>"1552376744998871"</f>
        <v>1552376744998871</v>
      </c>
      <c r="C1831" t="s">
        <v>40</v>
      </c>
      <c r="D1831">
        <v>4.4661049999999998</v>
      </c>
      <c r="E1831">
        <v>0.51415059999999901</v>
      </c>
      <c r="F1831" t="s">
        <v>54</v>
      </c>
      <c r="G1831">
        <v>-390.6816</v>
      </c>
      <c r="H1831" s="1">
        <v>-1.174072E-6</v>
      </c>
      <c r="I1831">
        <v>285.38569999999999</v>
      </c>
      <c r="J1831">
        <v>-356.04500000000002</v>
      </c>
      <c r="K1831">
        <v>1.110209</v>
      </c>
      <c r="L1831">
        <v>283.04680000000002</v>
      </c>
      <c r="M1831">
        <v>-0.99983370000000005</v>
      </c>
      <c r="N1831">
        <v>0</v>
      </c>
      <c r="O1831">
        <v>-1.173335E-2</v>
      </c>
      <c r="P1831">
        <v>-0.99728669999999997</v>
      </c>
      <c r="Q1831">
        <v>6.4911930000000007E-2</v>
      </c>
      <c r="R1831">
        <v>3.473217E-2</v>
      </c>
      <c r="S1831">
        <v>-3.0080870000000002</v>
      </c>
      <c r="T1831">
        <v>-9.5692630000000001E-2</v>
      </c>
      <c r="U1831">
        <v>0.20132449999999999</v>
      </c>
      <c r="V1831">
        <v>4.6428690000000002E-2</v>
      </c>
      <c r="W1831">
        <v>7.8834489999999993E-2</v>
      </c>
      <c r="X1831">
        <v>0.99580599999999997</v>
      </c>
      <c r="Y1831">
        <v>7.8436640000000002E-2</v>
      </c>
      <c r="Z1831">
        <v>1.618712E-3</v>
      </c>
      <c r="AA1831">
        <v>0.99691779999999997</v>
      </c>
      <c r="AB1831">
        <v>26</v>
      </c>
      <c r="AC1831">
        <v>-34.636599999999902</v>
      </c>
      <c r="AD1831">
        <v>-1.1102101740719901</v>
      </c>
      <c r="AE1831">
        <v>2.3388999999999598</v>
      </c>
      <c r="AF1831">
        <v>2.7423771924226501</v>
      </c>
      <c r="AG1831">
        <v>-1.1102101740719901</v>
      </c>
      <c r="AH1831">
        <v>34.571411939176102</v>
      </c>
      <c r="AI1831">
        <v>91.833581913764803</v>
      </c>
      <c r="AJ1831">
        <v>85.464509602088697</v>
      </c>
      <c r="AK1831">
        <v>34.697776913864999</v>
      </c>
      <c r="AL1831">
        <v>85.478424866990395</v>
      </c>
      <c r="AM1831">
        <v>87.330561453774806</v>
      </c>
      <c r="AN1831">
        <v>1.0000000448523301</v>
      </c>
    </row>
    <row r="1832" spans="1:40" x14ac:dyDescent="0.25">
      <c r="A1832" t="str">
        <f>"20190312154545031"</f>
        <v>20190312154545031</v>
      </c>
      <c r="B1832" t="str">
        <f>"1552376745018392"</f>
        <v>1552376745018392</v>
      </c>
      <c r="C1832" t="s">
        <v>40</v>
      </c>
      <c r="D1832">
        <v>4.5094250000000002</v>
      </c>
      <c r="E1832">
        <v>0.51504209999999995</v>
      </c>
      <c r="F1832" t="s">
        <v>54</v>
      </c>
      <c r="G1832">
        <v>-388.39819999999997</v>
      </c>
      <c r="H1832" s="1">
        <v>2.9322940000000001E-6</v>
      </c>
      <c r="I1832">
        <v>285.30340000000001</v>
      </c>
      <c r="J1832">
        <v>-356.30520000000001</v>
      </c>
      <c r="K1832">
        <v>1.110188</v>
      </c>
      <c r="L1832">
        <v>283.0437</v>
      </c>
      <c r="M1832">
        <v>-0.99983339999999998</v>
      </c>
      <c r="N1832">
        <v>0</v>
      </c>
      <c r="O1832">
        <v>-1.1763630000000001E-2</v>
      </c>
      <c r="P1832">
        <v>-0.9974653</v>
      </c>
      <c r="Q1832">
        <v>6.2242730000000003E-2</v>
      </c>
      <c r="R1832">
        <v>3.4484290000000001E-2</v>
      </c>
      <c r="S1832">
        <v>-3.007568</v>
      </c>
      <c r="T1832">
        <v>-0.1032053</v>
      </c>
      <c r="U1832">
        <v>0.20977779999999999</v>
      </c>
      <c r="V1832">
        <v>4.6215440000000003E-2</v>
      </c>
      <c r="W1832">
        <v>7.6164159999999995E-2</v>
      </c>
      <c r="X1832">
        <v>0.99602369999999996</v>
      </c>
      <c r="Y1832">
        <v>8.1257869999999996E-2</v>
      </c>
      <c r="Z1832">
        <v>1.7952279999999901E-3</v>
      </c>
      <c r="AA1832">
        <v>0.99669149999999995</v>
      </c>
      <c r="AB1832">
        <v>26</v>
      </c>
      <c r="AC1832">
        <v>-32.092999999999897</v>
      </c>
      <c r="AD1832">
        <v>-1.1101850677059999</v>
      </c>
      <c r="AE1832">
        <v>2.2597</v>
      </c>
      <c r="AF1832">
        <v>2.6339741470854601</v>
      </c>
      <c r="AG1832">
        <v>-1.1101850677059999</v>
      </c>
      <c r="AH1832">
        <v>32.026058880047401</v>
      </c>
      <c r="AI1832">
        <v>91.978690801774803</v>
      </c>
      <c r="AJ1832">
        <v>85.298306831961398</v>
      </c>
      <c r="AK1832">
        <v>32.153363402299597</v>
      </c>
      <c r="AL1832">
        <v>85.6318850205422</v>
      </c>
      <c r="AM1832">
        <v>87.3433846942185</v>
      </c>
      <c r="AN1832">
        <v>1.0000000285622901</v>
      </c>
    </row>
    <row r="1833" spans="1:40" x14ac:dyDescent="0.25">
      <c r="A1833" t="str">
        <f>"20190312154545052"</f>
        <v>20190312154545052</v>
      </c>
      <c r="B1833" t="str">
        <f>"1552376745038888"</f>
        <v>1552376745038888</v>
      </c>
      <c r="C1833" t="s">
        <v>40</v>
      </c>
      <c r="D1833">
        <v>4.528715</v>
      </c>
      <c r="E1833">
        <v>0.51538409999999901</v>
      </c>
      <c r="F1833" t="s">
        <v>54</v>
      </c>
      <c r="G1833">
        <v>-386.30689999999998</v>
      </c>
      <c r="H1833" s="1">
        <v>1.819418E-6</v>
      </c>
      <c r="I1833">
        <v>285.19929999999999</v>
      </c>
      <c r="J1833">
        <v>-356.55829999999997</v>
      </c>
      <c r="K1833">
        <v>1.110171</v>
      </c>
      <c r="L1833">
        <v>283.04059999999998</v>
      </c>
      <c r="M1833">
        <v>-0.99983319999999998</v>
      </c>
      <c r="N1833">
        <v>0</v>
      </c>
      <c r="O1833">
        <v>-1.177869E-2</v>
      </c>
      <c r="P1833">
        <v>-0.99753159999999996</v>
      </c>
      <c r="Q1833">
        <v>6.0876279999999998E-2</v>
      </c>
      <c r="R1833">
        <v>3.4998250000000002E-2</v>
      </c>
      <c r="S1833">
        <v>-3.0071110000000001</v>
      </c>
      <c r="T1833">
        <v>-0.1112756</v>
      </c>
      <c r="U1833">
        <v>0.21606449999999999</v>
      </c>
      <c r="V1833">
        <v>4.6747129999999998E-2</v>
      </c>
      <c r="W1833">
        <v>7.4794780000000005E-2</v>
      </c>
      <c r="X1833">
        <v>0.99610259999999995</v>
      </c>
      <c r="Y1833">
        <v>8.3346229999999993E-2</v>
      </c>
      <c r="Z1833">
        <v>1.9748000000000001E-3</v>
      </c>
      <c r="AA1833">
        <v>0.99651869999999998</v>
      </c>
      <c r="AB1833">
        <v>26</v>
      </c>
      <c r="AC1833">
        <v>-29.7486</v>
      </c>
      <c r="AD1833">
        <v>-1.110169180582</v>
      </c>
      <c r="AE1833">
        <v>2.1587000000000098</v>
      </c>
      <c r="AF1833">
        <v>2.5055128450288402</v>
      </c>
      <c r="AG1833">
        <v>-1.110169180582</v>
      </c>
      <c r="AH1833">
        <v>29.6799891283226</v>
      </c>
      <c r="AI1833">
        <v>92.1345439419526</v>
      </c>
      <c r="AJ1833">
        <v>85.174669565609904</v>
      </c>
      <c r="AK1833">
        <v>29.806238019640499</v>
      </c>
      <c r="AL1833">
        <v>85.7105689317832</v>
      </c>
      <c r="AM1833">
        <v>87.313078482000094</v>
      </c>
      <c r="AN1833">
        <v>0.99999997150262199</v>
      </c>
    </row>
    <row r="1834" spans="1:40" x14ac:dyDescent="0.25">
      <c r="A1834" t="str">
        <f>"20190312154545074"</f>
        <v>20190312154545074</v>
      </c>
      <c r="B1834" t="str">
        <f>"1552376745068728"</f>
        <v>1552376745068728</v>
      </c>
      <c r="C1834" t="s">
        <v>40</v>
      </c>
      <c r="D1834">
        <v>4.5494070000000004</v>
      </c>
      <c r="E1834">
        <v>0.51647989999999999</v>
      </c>
      <c r="F1834" t="s">
        <v>54</v>
      </c>
      <c r="G1834">
        <v>-384.52269999999999</v>
      </c>
      <c r="H1834" s="1">
        <v>8.6994979999999899E-7</v>
      </c>
      <c r="I1834">
        <v>285.08769999999998</v>
      </c>
      <c r="J1834">
        <v>-356.81920000000002</v>
      </c>
      <c r="K1834">
        <v>1.110163</v>
      </c>
      <c r="L1834">
        <v>283.0376</v>
      </c>
      <c r="M1834">
        <v>-0.99983310000000003</v>
      </c>
      <c r="N1834">
        <v>0</v>
      </c>
      <c r="O1834">
        <v>-1.1782580000000001E-2</v>
      </c>
      <c r="P1834">
        <v>-0.99750439999999996</v>
      </c>
      <c r="Q1834">
        <v>6.100912E-2</v>
      </c>
      <c r="R1834">
        <v>3.5539309999999998E-2</v>
      </c>
      <c r="S1834">
        <v>-3.0069889999999999</v>
      </c>
      <c r="T1834">
        <v>-0.1193756</v>
      </c>
      <c r="U1834">
        <v>0.22012329999999999</v>
      </c>
      <c r="V1834">
        <v>4.7293389999999998E-2</v>
      </c>
      <c r="W1834">
        <v>7.4923169999999997E-2</v>
      </c>
      <c r="X1834">
        <v>0.99606719999999904</v>
      </c>
      <c r="Y1834">
        <v>8.4680169999999999E-2</v>
      </c>
      <c r="Z1834">
        <v>2.145012E-3</v>
      </c>
      <c r="AA1834">
        <v>0.99640589999999996</v>
      </c>
      <c r="AB1834">
        <v>26</v>
      </c>
      <c r="AC1834">
        <v>-27.703499999999899</v>
      </c>
      <c r="AD1834">
        <v>-1.1101621300502</v>
      </c>
      <c r="AE1834">
        <v>2.05009999999998</v>
      </c>
      <c r="AF1834">
        <v>2.3726188803169501</v>
      </c>
      <c r="AG1834">
        <v>-1.1101621300502</v>
      </c>
      <c r="AH1834">
        <v>27.6332856267477</v>
      </c>
      <c r="AI1834">
        <v>92.292185573371</v>
      </c>
      <c r="AJ1834">
        <v>85.092568318369999</v>
      </c>
      <c r="AK1834">
        <v>27.757165828586601</v>
      </c>
      <c r="AL1834">
        <v>85.703192178586505</v>
      </c>
      <c r="AM1834">
        <v>87.281631026284899</v>
      </c>
      <c r="AN1834">
        <v>1.00000000652819</v>
      </c>
    </row>
    <row r="1835" spans="1:40" x14ac:dyDescent="0.25">
      <c r="A1835" t="str">
        <f>"20190312154545098"</f>
        <v>20190312154545098</v>
      </c>
      <c r="B1835" t="str">
        <f>"1552376745088252"</f>
        <v>1552376745088252</v>
      </c>
      <c r="C1835" t="s">
        <v>40</v>
      </c>
      <c r="D1835">
        <v>4.5270330000000003</v>
      </c>
      <c r="E1835">
        <v>0.51694180000000001</v>
      </c>
      <c r="F1835" t="s">
        <v>54</v>
      </c>
      <c r="G1835">
        <v>-384.17689999999999</v>
      </c>
      <c r="H1835" s="1">
        <v>6.8594169999999898E-7</v>
      </c>
      <c r="I1835">
        <v>285.13290000000001</v>
      </c>
      <c r="J1835">
        <v>-357.08350000000002</v>
      </c>
      <c r="K1835">
        <v>1.1101620000000001</v>
      </c>
      <c r="L1835">
        <v>283.03449999999998</v>
      </c>
      <c r="M1835">
        <v>-0.99983330000000004</v>
      </c>
      <c r="N1835">
        <v>0</v>
      </c>
      <c r="O1835">
        <v>-1.177983E-2</v>
      </c>
      <c r="P1835">
        <v>-0.99747160000000001</v>
      </c>
      <c r="Q1835">
        <v>6.0667690000000003E-2</v>
      </c>
      <c r="R1835">
        <v>3.7009569999999999E-2</v>
      </c>
      <c r="S1835">
        <v>-3.0068049999999999</v>
      </c>
      <c r="T1835">
        <v>-0.1220145</v>
      </c>
      <c r="U1835">
        <v>0.23028560000000001</v>
      </c>
      <c r="V1835">
        <v>4.8761249999999999E-2</v>
      </c>
      <c r="W1835">
        <v>7.4577470000000007E-2</v>
      </c>
      <c r="X1835">
        <v>0.99602230000000003</v>
      </c>
      <c r="Y1835">
        <v>8.8024110000000003E-2</v>
      </c>
      <c r="Z1835">
        <v>2.2598599999999998E-3</v>
      </c>
      <c r="AA1835">
        <v>0.9961158</v>
      </c>
      <c r="AB1835">
        <v>26</v>
      </c>
      <c r="AC1835">
        <v>-27.0933999999999</v>
      </c>
      <c r="AD1835">
        <v>-1.1101613140583</v>
      </c>
      <c r="AE1835">
        <v>2.0984000000000198</v>
      </c>
      <c r="AF1835">
        <v>2.41341317346305</v>
      </c>
      <c r="AG1835">
        <v>-1.1101613140583</v>
      </c>
      <c r="AH1835">
        <v>27.021700238528801</v>
      </c>
      <c r="AI1835">
        <v>92.343303308460904</v>
      </c>
      <c r="AJ1835">
        <v>84.896233147232806</v>
      </c>
      <c r="AK1835">
        <v>27.151966872953899</v>
      </c>
      <c r="AL1835">
        <v>85.723054616126902</v>
      </c>
      <c r="AM1835">
        <v>87.197266500938994</v>
      </c>
      <c r="AN1835">
        <v>0.99999994031522499</v>
      </c>
    </row>
    <row r="1836" spans="1:40" x14ac:dyDescent="0.25">
      <c r="A1836" t="str">
        <f>"20190312154545119"</f>
        <v>20190312154545119</v>
      </c>
      <c r="B1836" t="str">
        <f>"1552376745108744"</f>
        <v>1552376745108744</v>
      </c>
      <c r="C1836" t="s">
        <v>40</v>
      </c>
      <c r="D1836">
        <v>4.5020610000000003</v>
      </c>
      <c r="E1836">
        <v>0.51735010000000003</v>
      </c>
      <c r="F1836" t="s">
        <v>54</v>
      </c>
      <c r="G1836">
        <v>-384.25650000000002</v>
      </c>
      <c r="H1836" s="1">
        <v>7.2830130000000003E-7</v>
      </c>
      <c r="I1836">
        <v>285.18990000000002</v>
      </c>
      <c r="J1836">
        <v>-357.34280000000001</v>
      </c>
      <c r="K1836">
        <v>1.110155</v>
      </c>
      <c r="L1836">
        <v>283.03140000000002</v>
      </c>
      <c r="M1836">
        <v>-0.99983330000000004</v>
      </c>
      <c r="N1836">
        <v>0</v>
      </c>
      <c r="O1836">
        <v>-1.177344E-2</v>
      </c>
      <c r="P1836">
        <v>-0.99750720000000004</v>
      </c>
      <c r="Q1836">
        <v>5.9275660000000001E-2</v>
      </c>
      <c r="R1836">
        <v>3.8288799999999998E-2</v>
      </c>
      <c r="S1836">
        <v>-3.0062259999999998</v>
      </c>
      <c r="T1836">
        <v>-0.1228204</v>
      </c>
      <c r="U1836">
        <v>0.23846439999999999</v>
      </c>
      <c r="V1836">
        <v>5.0035120000000002E-2</v>
      </c>
      <c r="W1836">
        <v>7.3182739999999996E-2</v>
      </c>
      <c r="X1836">
        <v>0.99606260000000002</v>
      </c>
      <c r="Y1836">
        <v>9.0722360000000002E-2</v>
      </c>
      <c r="Z1836">
        <v>2.3297209999999999E-3</v>
      </c>
      <c r="AA1836">
        <v>0.99587349999999997</v>
      </c>
      <c r="AB1836">
        <v>26</v>
      </c>
      <c r="AC1836">
        <v>-26.913699999999999</v>
      </c>
      <c r="AD1836">
        <v>-1.1101542716986901</v>
      </c>
      <c r="AE1836">
        <v>2.1585000000000001</v>
      </c>
      <c r="AF1836">
        <v>2.4710705207603998</v>
      </c>
      <c r="AG1836">
        <v>-1.1101542716986901</v>
      </c>
      <c r="AH1836">
        <v>26.841041931529301</v>
      </c>
      <c r="AI1836">
        <v>92.358459973472307</v>
      </c>
      <c r="AJ1836">
        <v>84.739997956578705</v>
      </c>
      <c r="AK1836">
        <v>26.977400986671402</v>
      </c>
      <c r="AL1836">
        <v>85.803185861369499</v>
      </c>
      <c r="AM1836">
        <v>87.124283616154401</v>
      </c>
      <c r="AN1836">
        <v>0.99999996489303999</v>
      </c>
    </row>
    <row r="1837" spans="1:40" x14ac:dyDescent="0.25">
      <c r="A1837" t="str">
        <f>"20190312154545140"</f>
        <v>20190312154545140</v>
      </c>
      <c r="B1837" t="str">
        <f>"1552376745128265"</f>
        <v>1552376745128265</v>
      </c>
      <c r="C1837" t="s">
        <v>40</v>
      </c>
      <c r="D1837">
        <v>4.5113640000000004</v>
      </c>
      <c r="E1837">
        <v>0.51790449999999999</v>
      </c>
      <c r="F1837" t="s">
        <v>54</v>
      </c>
      <c r="G1837">
        <v>-383.7602</v>
      </c>
      <c r="H1837" s="1">
        <v>4.641742E-7</v>
      </c>
      <c r="I1837">
        <v>285.18830000000003</v>
      </c>
      <c r="J1837">
        <v>-357.59559999999999</v>
      </c>
      <c r="K1837">
        <v>1.110155</v>
      </c>
      <c r="L1837">
        <v>283.02839999999998</v>
      </c>
      <c r="M1837">
        <v>-0.99983350000000004</v>
      </c>
      <c r="N1837">
        <v>0</v>
      </c>
      <c r="O1837">
        <v>-1.1766489999999999E-2</v>
      </c>
      <c r="P1837">
        <v>-0.99749330000000003</v>
      </c>
      <c r="Q1837">
        <v>5.8706899999999999E-2</v>
      </c>
      <c r="R1837">
        <v>3.9506630000000001E-2</v>
      </c>
      <c r="S1837">
        <v>-3.0056150000000001</v>
      </c>
      <c r="T1837">
        <v>-0.12630719999999901</v>
      </c>
      <c r="U1837">
        <v>0.24539179999999999</v>
      </c>
      <c r="V1837">
        <v>5.1245859999999997E-2</v>
      </c>
      <c r="W1837">
        <v>7.2610620000000001E-2</v>
      </c>
      <c r="X1837">
        <v>0.99604300000000001</v>
      </c>
      <c r="Y1837">
        <v>9.3004790000000004E-2</v>
      </c>
      <c r="Z1837">
        <v>2.4436359999999999E-3</v>
      </c>
      <c r="AA1837">
        <v>0.99566270000000001</v>
      </c>
      <c r="AB1837">
        <v>26</v>
      </c>
      <c r="AC1837">
        <v>-26.1646</v>
      </c>
      <c r="AD1837">
        <v>-1.1101545358258</v>
      </c>
      <c r="AE1837">
        <v>2.1599000000000501</v>
      </c>
      <c r="AF1837">
        <v>2.463241402925</v>
      </c>
      <c r="AG1837">
        <v>-1.1101545358258</v>
      </c>
      <c r="AH1837">
        <v>26.090718890095999</v>
      </c>
      <c r="AI1837">
        <v>92.425680009015394</v>
      </c>
      <c r="AJ1837">
        <v>84.606655309027701</v>
      </c>
      <c r="AK1837">
        <v>26.230242345516199</v>
      </c>
      <c r="AL1837">
        <v>85.836053719583802</v>
      </c>
      <c r="AM1837">
        <v>87.054760812572297</v>
      </c>
      <c r="AN1837">
        <v>1.00000004907646</v>
      </c>
    </row>
    <row r="1838" spans="1:40" x14ac:dyDescent="0.25">
      <c r="A1838" t="str">
        <f>"20190312154545163"</f>
        <v>20190312154545163</v>
      </c>
      <c r="B1838" t="str">
        <f>"1552376745158520"</f>
        <v>1552376745158520</v>
      </c>
      <c r="C1838" t="s">
        <v>40</v>
      </c>
      <c r="D1838">
        <v>4.4970699999999999</v>
      </c>
      <c r="E1838">
        <v>0.51845459999999999</v>
      </c>
      <c r="F1838" t="s">
        <v>54</v>
      </c>
      <c r="G1838">
        <v>-383.93579999999997</v>
      </c>
      <c r="H1838" s="1">
        <v>5.5765740000000002E-7</v>
      </c>
      <c r="I1838">
        <v>285.25330000000002</v>
      </c>
      <c r="J1838">
        <v>-357.85599999999999</v>
      </c>
      <c r="K1838">
        <v>1.110155</v>
      </c>
      <c r="L1838">
        <v>283.02539999999999</v>
      </c>
      <c r="M1838">
        <v>-0.99983350000000004</v>
      </c>
      <c r="N1838">
        <v>0</v>
      </c>
      <c r="O1838">
        <v>-1.1760029999999999E-2</v>
      </c>
      <c r="P1838">
        <v>-0.99745859999999997</v>
      </c>
      <c r="Q1838">
        <v>5.829351E-2</v>
      </c>
      <c r="R1838">
        <v>4.0964680000000003E-2</v>
      </c>
      <c r="S1838">
        <v>-3.0049440000000001</v>
      </c>
      <c r="T1838">
        <v>-0.1266485</v>
      </c>
      <c r="U1838">
        <v>0.2538147</v>
      </c>
      <c r="V1838">
        <v>5.2696800000000002E-2</v>
      </c>
      <c r="W1838">
        <v>7.2193999999999994E-2</v>
      </c>
      <c r="X1838">
        <v>0.99599749999999998</v>
      </c>
      <c r="Y1838">
        <v>9.5784809999999998E-2</v>
      </c>
      <c r="Z1838">
        <v>2.5086800000000001E-3</v>
      </c>
      <c r="AA1838">
        <v>0.99539889999999998</v>
      </c>
      <c r="AB1838">
        <v>26</v>
      </c>
      <c r="AC1838">
        <v>-26.079799999999899</v>
      </c>
      <c r="AD1838">
        <v>-1.1101544423426</v>
      </c>
      <c r="AE1838">
        <v>2.2279000000000302</v>
      </c>
      <c r="AF1838">
        <v>2.5299239836175298</v>
      </c>
      <c r="AG1838">
        <v>-1.1101544423426</v>
      </c>
      <c r="AH1838">
        <v>26.005013755484001</v>
      </c>
      <c r="AI1838">
        <v>92.433000839851303</v>
      </c>
      <c r="AJ1838">
        <v>84.443408538214698</v>
      </c>
      <c r="AK1838">
        <v>26.151361315840699</v>
      </c>
      <c r="AL1838">
        <v>85.859986784453497</v>
      </c>
      <c r="AM1838">
        <v>86.971386346790595</v>
      </c>
      <c r="AN1838">
        <v>0.99999997318624401</v>
      </c>
    </row>
    <row r="1839" spans="1:40" x14ac:dyDescent="0.25">
      <c r="A1839" t="str">
        <f>"20190312154545187"</f>
        <v>20190312154545187</v>
      </c>
      <c r="B1839" t="str">
        <f>"1552376745178040"</f>
        <v>1552376745178040</v>
      </c>
      <c r="C1839" t="s">
        <v>40</v>
      </c>
      <c r="D1839">
        <v>4.494148</v>
      </c>
      <c r="E1839">
        <v>0.51874739999999997</v>
      </c>
      <c r="F1839" t="s">
        <v>54</v>
      </c>
      <c r="G1839">
        <v>-384.23540000000003</v>
      </c>
      <c r="H1839" s="1">
        <v>7.1709959999999895E-7</v>
      </c>
      <c r="I1839">
        <v>285.3329</v>
      </c>
      <c r="J1839">
        <v>-358.1336</v>
      </c>
      <c r="K1839">
        <v>1.1101510000000001</v>
      </c>
      <c r="L1839">
        <v>283.02210000000002</v>
      </c>
      <c r="M1839">
        <v>-0.99983359999999999</v>
      </c>
      <c r="N1839">
        <v>0</v>
      </c>
      <c r="O1839">
        <v>-1.17549E-2</v>
      </c>
      <c r="P1839">
        <v>-0.99751160000000005</v>
      </c>
      <c r="Q1839">
        <v>5.698106E-2</v>
      </c>
      <c r="R1839">
        <v>4.1516900000000002E-2</v>
      </c>
      <c r="S1839">
        <v>-3.0042110000000002</v>
      </c>
      <c r="T1839">
        <v>-0.12642919999999999</v>
      </c>
      <c r="U1839">
        <v>0.26278689999999999</v>
      </c>
      <c r="V1839">
        <v>5.3244399999999997E-2</v>
      </c>
      <c r="W1839">
        <v>7.0879410000000004E-2</v>
      </c>
      <c r="X1839">
        <v>0.99606280000000003</v>
      </c>
      <c r="Y1839">
        <v>9.8748299999999997E-2</v>
      </c>
      <c r="Z1839">
        <v>2.5666249999999999E-3</v>
      </c>
      <c r="AA1839">
        <v>0.99510909999999997</v>
      </c>
      <c r="AB1839">
        <v>26</v>
      </c>
      <c r="AC1839">
        <v>-26.101800000000001</v>
      </c>
      <c r="AD1839">
        <v>-1.1101502829004</v>
      </c>
      <c r="AE1839">
        <v>2.3107999999999702</v>
      </c>
      <c r="AF1839">
        <v>2.6128045847199699</v>
      </c>
      <c r="AG1839">
        <v>-1.1101502829004</v>
      </c>
      <c r="AH1839">
        <v>26.026116980744298</v>
      </c>
      <c r="AI1839">
        <v>92.430283316621498</v>
      </c>
      <c r="AJ1839">
        <v>84.267190537817498</v>
      </c>
      <c r="AK1839">
        <v>26.1804878973625</v>
      </c>
      <c r="AL1839">
        <v>85.935500744494405</v>
      </c>
      <c r="AM1839">
        <v>86.940174172658004</v>
      </c>
      <c r="AN1839">
        <v>0.99999997921857398</v>
      </c>
    </row>
    <row r="1840" spans="1:40" x14ac:dyDescent="0.25">
      <c r="A1840" t="str">
        <f>"20190312154545209"</f>
        <v>20190312154545209</v>
      </c>
      <c r="B1840" t="str">
        <f>"1552376745198537"</f>
        <v>1552376745198537</v>
      </c>
      <c r="C1840" t="s">
        <v>40</v>
      </c>
      <c r="D1840">
        <v>4.5128709999999996</v>
      </c>
      <c r="E1840">
        <v>0.51900690000000005</v>
      </c>
      <c r="F1840" t="s">
        <v>54</v>
      </c>
      <c r="G1840">
        <v>-383.86610000000002</v>
      </c>
      <c r="H1840" s="1">
        <v>5.2058899999999995E-7</v>
      </c>
      <c r="I1840">
        <v>285.30810000000002</v>
      </c>
      <c r="J1840">
        <v>-358.38740000000001</v>
      </c>
      <c r="K1840">
        <v>1.110144</v>
      </c>
      <c r="L1840">
        <v>283.01909999999998</v>
      </c>
      <c r="M1840">
        <v>-0.99983379999999999</v>
      </c>
      <c r="N1840">
        <v>0</v>
      </c>
      <c r="O1840">
        <v>-1.1752520000000001E-2</v>
      </c>
      <c r="P1840">
        <v>-0.99756219999999995</v>
      </c>
      <c r="Q1840">
        <v>5.6138220000000003E-2</v>
      </c>
      <c r="R1840">
        <v>4.1454709999999999E-2</v>
      </c>
      <c r="S1840">
        <v>-3.0037539999999998</v>
      </c>
      <c r="T1840">
        <v>-0.12958749999999999</v>
      </c>
      <c r="U1840">
        <v>0.26684570000000002</v>
      </c>
      <c r="V1840">
        <v>5.3180440000000002E-2</v>
      </c>
      <c r="W1840">
        <v>7.0035109999999998E-2</v>
      </c>
      <c r="X1840">
        <v>0.99612590000000001</v>
      </c>
      <c r="Y1840">
        <v>0.1000871</v>
      </c>
      <c r="Z1840">
        <v>2.659635E-3</v>
      </c>
      <c r="AA1840">
        <v>0.9949751</v>
      </c>
      <c r="AB1840">
        <v>26</v>
      </c>
      <c r="AC1840">
        <v>-25.4787</v>
      </c>
      <c r="AD1840">
        <v>-1.1101434794109999</v>
      </c>
      <c r="AE1840">
        <v>2.2890000000000401</v>
      </c>
      <c r="AF1840">
        <v>2.58344457954257</v>
      </c>
      <c r="AG1840">
        <v>-1.1101434794109999</v>
      </c>
      <c r="AH1840">
        <v>25.402196700104</v>
      </c>
      <c r="AI1840">
        <v>92.489559838693296</v>
      </c>
      <c r="AJ1840">
        <v>84.1928928206367</v>
      </c>
      <c r="AK1840">
        <v>25.557351224867201</v>
      </c>
      <c r="AL1840">
        <v>85.983995945552394</v>
      </c>
      <c r="AM1840">
        <v>86.944036052416195</v>
      </c>
      <c r="AN1840">
        <v>0.99999994224105604</v>
      </c>
    </row>
    <row r="1841" spans="1:40" x14ac:dyDescent="0.25">
      <c r="A1841" t="str">
        <f>"20190312154545230"</f>
        <v>20190312154545230</v>
      </c>
      <c r="B1841" t="str">
        <f>"1552376745218056"</f>
        <v>1552376745218056</v>
      </c>
      <c r="C1841" t="s">
        <v>40</v>
      </c>
      <c r="D1841">
        <v>4.5174479999999999</v>
      </c>
      <c r="E1841">
        <v>0.51929079999999905</v>
      </c>
      <c r="F1841" t="s">
        <v>54</v>
      </c>
      <c r="G1841">
        <v>-383.7774</v>
      </c>
      <c r="H1841" s="1">
        <v>4.7335700000000002E-7</v>
      </c>
      <c r="I1841">
        <v>285.29000000000002</v>
      </c>
      <c r="J1841">
        <v>-358.64030000000002</v>
      </c>
      <c r="K1841">
        <v>1.110139</v>
      </c>
      <c r="L1841">
        <v>283.01620000000003</v>
      </c>
      <c r="M1841">
        <v>-0.99983379999999999</v>
      </c>
      <c r="N1841">
        <v>0</v>
      </c>
      <c r="O1841">
        <v>-1.1751320000000001E-2</v>
      </c>
      <c r="P1841">
        <v>-0.99764439999999999</v>
      </c>
      <c r="Q1841">
        <v>5.539782E-2</v>
      </c>
      <c r="R1841">
        <v>4.0462709999999999E-2</v>
      </c>
      <c r="S1841">
        <v>-3.003571</v>
      </c>
      <c r="T1841">
        <v>-0.131327</v>
      </c>
      <c r="U1841">
        <v>0.2686462</v>
      </c>
      <c r="V1841">
        <v>5.2188070000000003E-2</v>
      </c>
      <c r="W1841">
        <v>6.9293069999999998E-2</v>
      </c>
      <c r="X1841">
        <v>0.99623030000000001</v>
      </c>
      <c r="Y1841">
        <v>0.1006797</v>
      </c>
      <c r="Z1841">
        <v>2.7082650000000001E-3</v>
      </c>
      <c r="AA1841">
        <v>0.9949152</v>
      </c>
      <c r="AB1841">
        <v>26</v>
      </c>
      <c r="AC1841">
        <v>-25.137099999999901</v>
      </c>
      <c r="AD1841">
        <v>-1.1101385266429999</v>
      </c>
      <c r="AE1841">
        <v>2.2737999999999898</v>
      </c>
      <c r="AF1841">
        <v>2.5641053232064199</v>
      </c>
      <c r="AG1841">
        <v>-1.1101385266429999</v>
      </c>
      <c r="AH1841">
        <v>25.0601605298937</v>
      </c>
      <c r="AI1841">
        <v>92.523327153349499</v>
      </c>
      <c r="AJ1841">
        <v>84.157941026571095</v>
      </c>
      <c r="AK1841">
        <v>25.215445453945001</v>
      </c>
      <c r="AL1841">
        <v>86.026615352795801</v>
      </c>
      <c r="AM1841">
        <v>87.001270282729493</v>
      </c>
      <c r="AN1841">
        <v>0.99999996741921904</v>
      </c>
    </row>
    <row r="1842" spans="1:40" x14ac:dyDescent="0.25">
      <c r="A1842" t="str">
        <f>"20190312154545253"</f>
        <v>20190312154545253</v>
      </c>
      <c r="B1842" t="str">
        <f>"1552376745248313"</f>
        <v>1552376745248313</v>
      </c>
      <c r="C1842" t="s">
        <v>40</v>
      </c>
      <c r="D1842">
        <v>4.5009350000000001</v>
      </c>
      <c r="E1842">
        <v>0.51964069999999996</v>
      </c>
      <c r="F1842" t="s">
        <v>54</v>
      </c>
      <c r="G1842">
        <v>-383.7629</v>
      </c>
      <c r="H1842" s="1">
        <v>4.6565679999999999E-7</v>
      </c>
      <c r="I1842">
        <v>285.25580000000002</v>
      </c>
      <c r="J1842">
        <v>-358.90050000000002</v>
      </c>
      <c r="K1842">
        <v>1.110144</v>
      </c>
      <c r="L1842">
        <v>283.01310000000001</v>
      </c>
      <c r="M1842">
        <v>-0.99983390000000005</v>
      </c>
      <c r="N1842">
        <v>0</v>
      </c>
      <c r="O1842">
        <v>-1.1751320000000001E-2</v>
      </c>
      <c r="P1842">
        <v>-0.99770049999999999</v>
      </c>
      <c r="Q1842">
        <v>5.5098040000000001E-2</v>
      </c>
      <c r="R1842">
        <v>3.9472210000000001E-2</v>
      </c>
      <c r="S1842">
        <v>-3.0036320000000001</v>
      </c>
      <c r="T1842">
        <v>-0.13272679999999901</v>
      </c>
      <c r="U1842">
        <v>0.26776119999999998</v>
      </c>
      <c r="V1842">
        <v>5.1197949999999999E-2</v>
      </c>
      <c r="W1842">
        <v>6.8991469999999999E-2</v>
      </c>
      <c r="X1842">
        <v>0.99630269999999999</v>
      </c>
      <c r="Y1842">
        <v>0.100385</v>
      </c>
      <c r="Z1842">
        <v>2.7305889999999998E-3</v>
      </c>
      <c r="AA1842">
        <v>0.99494490000000002</v>
      </c>
      <c r="AB1842">
        <v>26</v>
      </c>
      <c r="AC1842">
        <v>-24.862399999999901</v>
      </c>
      <c r="AD1842">
        <v>-1.11014353434319</v>
      </c>
      <c r="AE1842">
        <v>2.2427000000000099</v>
      </c>
      <c r="AF1842">
        <v>2.52973651672814</v>
      </c>
      <c r="AG1842">
        <v>-1.11014353434319</v>
      </c>
      <c r="AH1842">
        <v>24.785308664046099</v>
      </c>
      <c r="AI1842">
        <v>92.551348766331003</v>
      </c>
      <c r="AJ1842">
        <v>84.172231749464899</v>
      </c>
      <c r="AK1842">
        <v>24.938795301356301</v>
      </c>
      <c r="AL1842">
        <v>86.043937587914101</v>
      </c>
      <c r="AM1842">
        <v>87.058275142809407</v>
      </c>
      <c r="AN1842">
        <v>1.0000000615221201</v>
      </c>
    </row>
    <row r="1843" spans="1:40" x14ac:dyDescent="0.25">
      <c r="A1843" t="str">
        <f>"20190312154545275"</f>
        <v>20190312154545275</v>
      </c>
      <c r="B1843" t="str">
        <f>"1552376745268808"</f>
        <v>1552376745268808</v>
      </c>
      <c r="C1843" t="s">
        <v>40</v>
      </c>
      <c r="D1843">
        <v>4.536378</v>
      </c>
      <c r="E1843">
        <v>0.5198237</v>
      </c>
      <c r="F1843" t="s">
        <v>54</v>
      </c>
      <c r="G1843">
        <v>-384.05680000000001</v>
      </c>
      <c r="H1843" s="1">
        <v>6.2205029999999996E-7</v>
      </c>
      <c r="I1843">
        <v>285.25229999999999</v>
      </c>
      <c r="J1843">
        <v>-359.15989999999999</v>
      </c>
      <c r="K1843">
        <v>1.11015</v>
      </c>
      <c r="L1843">
        <v>283.01010000000002</v>
      </c>
      <c r="M1843">
        <v>-0.99983379999999999</v>
      </c>
      <c r="N1843">
        <v>0</v>
      </c>
      <c r="O1843">
        <v>-1.1751670000000001E-2</v>
      </c>
      <c r="P1843">
        <v>-0.99769790000000003</v>
      </c>
      <c r="Q1843">
        <v>5.6056580000000002E-2</v>
      </c>
      <c r="R1843">
        <v>3.8162920000000003E-2</v>
      </c>
      <c r="S1843">
        <v>-3.0036930000000002</v>
      </c>
      <c r="T1843">
        <v>-0.13255239999999999</v>
      </c>
      <c r="U1843">
        <v>0.2673645</v>
      </c>
      <c r="V1843">
        <v>4.9888870000000002E-2</v>
      </c>
      <c r="W1843">
        <v>6.9947129999999996E-2</v>
      </c>
      <c r="X1843">
        <v>0.99630240000000003</v>
      </c>
      <c r="Y1843">
        <v>0.1002536</v>
      </c>
      <c r="Z1843">
        <v>2.7240889999999999E-3</v>
      </c>
      <c r="AA1843">
        <v>0.99495820000000001</v>
      </c>
      <c r="AB1843">
        <v>26</v>
      </c>
      <c r="AC1843">
        <v>-24.896899999999999</v>
      </c>
      <c r="AD1843">
        <v>-1.11014937794969</v>
      </c>
      <c r="AE1843">
        <v>2.24219999999996</v>
      </c>
      <c r="AF1843">
        <v>2.5296645604465602</v>
      </c>
      <c r="AG1843">
        <v>-1.11014937794969</v>
      </c>
      <c r="AH1843">
        <v>24.819877060041701</v>
      </c>
      <c r="AI1843">
        <v>92.547850658597099</v>
      </c>
      <c r="AJ1843">
        <v>84.180457143820405</v>
      </c>
      <c r="AK1843">
        <v>24.9731442094368</v>
      </c>
      <c r="AL1843">
        <v>85.989049398097293</v>
      </c>
      <c r="AM1843">
        <v>87.133364120018101</v>
      </c>
      <c r="AN1843">
        <v>0.99999998629543596</v>
      </c>
    </row>
    <row r="1844" spans="1:40" x14ac:dyDescent="0.25">
      <c r="A1844" t="str">
        <f>"20190312154545297"</f>
        <v>20190312154545297</v>
      </c>
      <c r="B1844" t="str">
        <f>"1552376745288329"</f>
        <v>1552376745288329</v>
      </c>
      <c r="C1844" t="s">
        <v>40</v>
      </c>
      <c r="D1844">
        <v>4.4760109999999997</v>
      </c>
      <c r="E1844">
        <v>0.52007079999999895</v>
      </c>
      <c r="F1844" t="s">
        <v>54</v>
      </c>
      <c r="G1844">
        <v>-384.98079999999999</v>
      </c>
      <c r="H1844" s="1">
        <v>1.1137259999999999E-6</v>
      </c>
      <c r="I1844">
        <v>285.28250000000003</v>
      </c>
      <c r="J1844">
        <v>-359.41120000000001</v>
      </c>
      <c r="K1844">
        <v>1.110161</v>
      </c>
      <c r="L1844">
        <v>283.00709999999998</v>
      </c>
      <c r="M1844">
        <v>-0.99983390000000005</v>
      </c>
      <c r="N1844">
        <v>0</v>
      </c>
      <c r="O1844">
        <v>-1.1752139999999999E-2</v>
      </c>
      <c r="P1844">
        <v>-0.99764719999999996</v>
      </c>
      <c r="Q1844">
        <v>5.7592200000000003E-2</v>
      </c>
      <c r="R1844">
        <v>3.7193959999999998E-2</v>
      </c>
      <c r="S1844">
        <v>-3.0040589999999998</v>
      </c>
      <c r="T1844">
        <v>-0.1291573</v>
      </c>
      <c r="U1844">
        <v>0.26437379999999999</v>
      </c>
      <c r="V1844">
        <v>4.8919900000000002E-2</v>
      </c>
      <c r="W1844">
        <v>7.1480130000000003E-2</v>
      </c>
      <c r="X1844">
        <v>0.99624159999999995</v>
      </c>
      <c r="Y1844">
        <v>9.9266889999999997E-2</v>
      </c>
      <c r="Z1844">
        <v>2.6330339999999998E-3</v>
      </c>
      <c r="AA1844">
        <v>0.99505730000000003</v>
      </c>
      <c r="AB1844">
        <v>26</v>
      </c>
      <c r="AC1844">
        <v>-25.569599999999902</v>
      </c>
      <c r="AD1844">
        <v>-1.1101598862740001</v>
      </c>
      <c r="AE1844">
        <v>2.2754000000000398</v>
      </c>
      <c r="AF1844">
        <v>2.5709611964138501</v>
      </c>
      <c r="AG1844">
        <v>-1.1101598862740001</v>
      </c>
      <c r="AH1844">
        <v>25.4934116128196</v>
      </c>
      <c r="AI1844">
        <v>92.480912015304099</v>
      </c>
      <c r="AJ1844">
        <v>84.241301540159398</v>
      </c>
      <c r="AK1844">
        <v>25.646760655240701</v>
      </c>
      <c r="AL1844">
        <v>85.900994359498497</v>
      </c>
      <c r="AM1844">
        <v>87.188780084713301</v>
      </c>
      <c r="AN1844">
        <v>0.99999994558569105</v>
      </c>
    </row>
    <row r="1845" spans="1:40" x14ac:dyDescent="0.25">
      <c r="A1845" t="str">
        <f>"20190312154545320"</f>
        <v>20190312154545320</v>
      </c>
      <c r="B1845" t="str">
        <f>"1552376745308825"</f>
        <v>1552376745308825</v>
      </c>
      <c r="C1845" t="s">
        <v>40</v>
      </c>
      <c r="D1845">
        <v>4.4638849999999897</v>
      </c>
      <c r="E1845">
        <v>0.5199473</v>
      </c>
      <c r="F1845" t="s">
        <v>54</v>
      </c>
      <c r="G1845">
        <v>-386.31979999999999</v>
      </c>
      <c r="H1845" s="1">
        <v>1.826301E-6</v>
      </c>
      <c r="I1845">
        <v>285.36160000000001</v>
      </c>
      <c r="J1845">
        <v>-359.67840000000001</v>
      </c>
      <c r="K1845">
        <v>1.110171</v>
      </c>
      <c r="L1845">
        <v>283.00400000000002</v>
      </c>
      <c r="M1845">
        <v>-0.99983390000000005</v>
      </c>
      <c r="N1845">
        <v>0</v>
      </c>
      <c r="O1845">
        <v>-1.1752729999999999E-2</v>
      </c>
      <c r="P1845">
        <v>-0.99750850000000002</v>
      </c>
      <c r="Q1845">
        <v>6.0349029999999998E-2</v>
      </c>
      <c r="R1845">
        <v>3.6539960000000003E-2</v>
      </c>
      <c r="S1845">
        <v>-3.0044249999999999</v>
      </c>
      <c r="T1845">
        <v>-0.12395249999999999</v>
      </c>
      <c r="U1845">
        <v>0.26287840000000001</v>
      </c>
      <c r="V1845">
        <v>4.8265040000000002E-2</v>
      </c>
      <c r="W1845">
        <v>7.4232270000000003E-2</v>
      </c>
      <c r="X1845">
        <v>0.99607230000000002</v>
      </c>
      <c r="Y1845">
        <v>9.8773840000000002E-2</v>
      </c>
      <c r="Z1845">
        <v>2.5166440000000002E-3</v>
      </c>
      <c r="AA1845">
        <v>0.99510670000000001</v>
      </c>
      <c r="AB1845">
        <v>26</v>
      </c>
      <c r="AC1845">
        <v>-26.641399999999901</v>
      </c>
      <c r="AD1845">
        <v>-1.110169173699</v>
      </c>
      <c r="AE1845">
        <v>2.3575999999999899</v>
      </c>
      <c r="AF1845">
        <v>2.6659833072874801</v>
      </c>
      <c r="AG1845">
        <v>-1.110169173699</v>
      </c>
      <c r="AH1845">
        <v>26.566076290455399</v>
      </c>
      <c r="AI1845">
        <v>92.380994514292595</v>
      </c>
      <c r="AJ1845">
        <v>84.269386988259001</v>
      </c>
      <c r="AK1845">
        <v>26.722581313549501</v>
      </c>
      <c r="AL1845">
        <v>85.742888288943305</v>
      </c>
      <c r="AM1845">
        <v>87.225882264896001</v>
      </c>
      <c r="AN1845">
        <v>0.99999998541142199</v>
      </c>
    </row>
    <row r="1846" spans="1:40" x14ac:dyDescent="0.25">
      <c r="A1846" t="str">
        <f>"20190312154545342"</f>
        <v>20190312154545342</v>
      </c>
      <c r="B1846" t="str">
        <f>"1552376745338106"</f>
        <v>1552376745338106</v>
      </c>
      <c r="C1846" t="s">
        <v>40</v>
      </c>
      <c r="D1846">
        <v>4.5012270000000001</v>
      </c>
      <c r="E1846">
        <v>0.50332829999999995</v>
      </c>
      <c r="F1846" t="s">
        <v>54</v>
      </c>
      <c r="G1846">
        <v>-388.67410000000001</v>
      </c>
      <c r="H1846" s="1">
        <v>3.0791420000000002E-6</v>
      </c>
      <c r="I1846">
        <v>285.51280000000003</v>
      </c>
      <c r="J1846">
        <v>-359.92689999999999</v>
      </c>
      <c r="K1846">
        <v>1.1101829999999999</v>
      </c>
      <c r="L1846">
        <v>283.00110000000001</v>
      </c>
      <c r="M1846">
        <v>-0.99983390000000005</v>
      </c>
      <c r="N1846">
        <v>0</v>
      </c>
      <c r="O1846">
        <v>-1.175296E-2</v>
      </c>
      <c r="P1846">
        <v>-0.99739659999999997</v>
      </c>
      <c r="Q1846">
        <v>6.2535170000000001E-2</v>
      </c>
      <c r="R1846">
        <v>3.590521E-2</v>
      </c>
      <c r="S1846">
        <v>-3.0049739999999998</v>
      </c>
      <c r="T1846">
        <v>-0.1150526</v>
      </c>
      <c r="U1846">
        <v>0.26000980000000001</v>
      </c>
      <c r="V1846">
        <v>4.7629020000000001E-2</v>
      </c>
      <c r="W1846">
        <v>7.641423E-2</v>
      </c>
      <c r="X1846">
        <v>0.99593790000000004</v>
      </c>
      <c r="Y1846">
        <v>9.7829040000000006E-2</v>
      </c>
      <c r="Z1846">
        <v>2.317716E-3</v>
      </c>
      <c r="AA1846">
        <v>0.99520050000000004</v>
      </c>
      <c r="AB1846">
        <v>26</v>
      </c>
      <c r="AC1846">
        <v>-28.747199999999999</v>
      </c>
      <c r="AD1846">
        <v>-1.1101799208580001</v>
      </c>
      <c r="AE1846">
        <v>2.51170000000001</v>
      </c>
      <c r="AF1846">
        <v>2.8452127462985199</v>
      </c>
      <c r="AG1846">
        <v>-1.1101799208580001</v>
      </c>
      <c r="AH1846">
        <v>28.673251858744202</v>
      </c>
      <c r="AI1846">
        <v>92.206462931062305</v>
      </c>
      <c r="AJ1846">
        <v>84.333158473176695</v>
      </c>
      <c r="AK1846">
        <v>28.8354487945541</v>
      </c>
      <c r="AL1846">
        <v>85.617514971815893</v>
      </c>
      <c r="AM1846">
        <v>87.262013771325996</v>
      </c>
      <c r="AN1846">
        <v>0.999999979374531</v>
      </c>
    </row>
    <row r="1847" spans="1:40" x14ac:dyDescent="0.25">
      <c r="A1847" t="str">
        <f>"20190312154545365"</f>
        <v>20190312154545365</v>
      </c>
      <c r="B1847" t="str">
        <f>"1552376745358601"</f>
        <v>1552376745358601</v>
      </c>
      <c r="C1847" t="s">
        <v>40</v>
      </c>
      <c r="D1847">
        <v>4.5193310000000002</v>
      </c>
      <c r="E1847">
        <v>0.50367269999999997</v>
      </c>
      <c r="F1847" t="s">
        <v>54</v>
      </c>
      <c r="G1847">
        <v>-391.04390000000001</v>
      </c>
      <c r="H1847" s="1">
        <v>-9.8129519999999998E-7</v>
      </c>
      <c r="I1847">
        <v>284.29860000000002</v>
      </c>
      <c r="J1847">
        <v>-360.19389999999999</v>
      </c>
      <c r="K1847">
        <v>1.1101939999999999</v>
      </c>
      <c r="L1847">
        <v>282.99790000000002</v>
      </c>
      <c r="M1847">
        <v>-0.99983390000000005</v>
      </c>
      <c r="N1847">
        <v>0</v>
      </c>
      <c r="O1847">
        <v>-1.17533E-2</v>
      </c>
      <c r="P1847">
        <v>-0.99729590000000001</v>
      </c>
      <c r="Q1847">
        <v>6.4121230000000001E-2</v>
      </c>
      <c r="R1847">
        <v>3.590981E-2</v>
      </c>
      <c r="S1847">
        <v>-3.01004</v>
      </c>
      <c r="T1847">
        <v>-0.1073915</v>
      </c>
      <c r="U1847">
        <v>0.12551880000000001</v>
      </c>
      <c r="V1847">
        <v>4.7633000000000002E-2</v>
      </c>
      <c r="W1847">
        <v>7.799594E-2</v>
      </c>
      <c r="X1847">
        <v>0.99581509999999995</v>
      </c>
      <c r="Y1847">
        <v>5.3363819999999999E-2</v>
      </c>
      <c r="Z1847">
        <v>1.37031E-3</v>
      </c>
      <c r="AA1847">
        <v>0.99857419999999997</v>
      </c>
      <c r="AB1847">
        <v>26</v>
      </c>
      <c r="AC1847">
        <v>-30.85</v>
      </c>
      <c r="AD1847">
        <v>-1.1101949812951999</v>
      </c>
      <c r="AE1847">
        <v>1.3007</v>
      </c>
      <c r="AF1847">
        <v>1.6610872452999601</v>
      </c>
      <c r="AG1847">
        <v>-1.1101949812951999</v>
      </c>
      <c r="AH1847">
        <v>30.7927721345532</v>
      </c>
      <c r="AI1847">
        <v>92.061838319184901</v>
      </c>
      <c r="AJ1847">
        <v>86.912225631739403</v>
      </c>
      <c r="AK1847">
        <v>30.857520306458699</v>
      </c>
      <c r="AL1847">
        <v>85.526618401358604</v>
      </c>
      <c r="AM1847">
        <v>87.261448174692802</v>
      </c>
      <c r="AN1847">
        <v>0.999999991366746</v>
      </c>
    </row>
    <row r="1848" spans="1:40" x14ac:dyDescent="0.25">
      <c r="A1848" t="str">
        <f>"20190312154545387"</f>
        <v>20190312154545387</v>
      </c>
      <c r="B1848" t="str">
        <f>"1552376745378124"</f>
        <v>1552376745378124</v>
      </c>
      <c r="C1848" t="s">
        <v>40</v>
      </c>
      <c r="D1848">
        <v>4.4873459999999996</v>
      </c>
      <c r="E1848">
        <v>0.50413299999999905</v>
      </c>
      <c r="F1848" t="s">
        <v>54</v>
      </c>
      <c r="G1848">
        <v>-394.62810000000002</v>
      </c>
      <c r="H1848" s="1">
        <v>9.2607059999999999E-7</v>
      </c>
      <c r="I1848">
        <v>284.47000000000003</v>
      </c>
      <c r="J1848">
        <v>-360.44799999999998</v>
      </c>
      <c r="K1848">
        <v>1.110195</v>
      </c>
      <c r="L1848">
        <v>282.99489999999997</v>
      </c>
      <c r="M1848">
        <v>-0.999834</v>
      </c>
      <c r="N1848">
        <v>0</v>
      </c>
      <c r="O1848">
        <v>-1.175352E-2</v>
      </c>
      <c r="P1848">
        <v>-0.99721530000000003</v>
      </c>
      <c r="Q1848">
        <v>6.5431740000000002E-2</v>
      </c>
      <c r="R1848">
        <v>3.5787510000000002E-2</v>
      </c>
      <c r="S1848">
        <v>-3.0097049999999999</v>
      </c>
      <c r="T1848">
        <v>-9.7035769999999993E-2</v>
      </c>
      <c r="U1848">
        <v>0.1286621</v>
      </c>
      <c r="V1848">
        <v>4.7510030000000002E-2</v>
      </c>
      <c r="W1848">
        <v>7.9302699999999907E-2</v>
      </c>
      <c r="X1848">
        <v>0.99571779999999999</v>
      </c>
      <c r="Y1848">
        <v>5.4416730000000003E-2</v>
      </c>
      <c r="Z1848">
        <v>1.2553239999999999E-3</v>
      </c>
      <c r="AA1848">
        <v>0.99851749999999995</v>
      </c>
      <c r="AB1848">
        <v>26</v>
      </c>
      <c r="AC1848">
        <v>-34.180099999999896</v>
      </c>
      <c r="AD1848">
        <v>-1.1101940739293901</v>
      </c>
      <c r="AE1848">
        <v>1.47510000000005</v>
      </c>
      <c r="AF1848">
        <v>1.87479928576966</v>
      </c>
      <c r="AG1848">
        <v>-1.1101940739293901</v>
      </c>
      <c r="AH1848">
        <v>34.124464979413702</v>
      </c>
      <c r="AI1848">
        <v>91.860580824119694</v>
      </c>
      <c r="AJ1848">
        <v>86.855329315706996</v>
      </c>
      <c r="AK1848">
        <v>34.193954339545797</v>
      </c>
      <c r="AL1848">
        <v>85.451514087064496</v>
      </c>
      <c r="AM1848">
        <v>87.2682408232846</v>
      </c>
      <c r="AN1848">
        <v>1.0000000292073601</v>
      </c>
    </row>
    <row r="1849" spans="1:40" x14ac:dyDescent="0.25">
      <c r="A1849" t="str">
        <f>"20190312154545410"</f>
        <v>20190312154545410</v>
      </c>
      <c r="B1849" t="str">
        <f>"1552376745398616"</f>
        <v>1552376745398616</v>
      </c>
      <c r="C1849" t="s">
        <v>40</v>
      </c>
      <c r="D1849">
        <v>4.5380129999999896</v>
      </c>
      <c r="E1849">
        <v>0.50446499999999905</v>
      </c>
      <c r="F1849" t="s">
        <v>54</v>
      </c>
      <c r="G1849">
        <v>-397.2731</v>
      </c>
      <c r="H1849" s="1">
        <v>2.333602E-6</v>
      </c>
      <c r="I1849">
        <v>284.60539999999997</v>
      </c>
      <c r="J1849">
        <v>-360.71069999999997</v>
      </c>
      <c r="K1849">
        <v>1.1102019999999999</v>
      </c>
      <c r="L1849">
        <v>282.99189999999999</v>
      </c>
      <c r="M1849">
        <v>-0.999834</v>
      </c>
      <c r="N1849">
        <v>0</v>
      </c>
      <c r="O1849">
        <v>-1.175351E-2</v>
      </c>
      <c r="P1849">
        <v>-0.9971991</v>
      </c>
      <c r="Q1849">
        <v>6.5408389999999997E-2</v>
      </c>
      <c r="R1849">
        <v>3.6272649999999997E-2</v>
      </c>
      <c r="S1849">
        <v>-3.0096129999999999</v>
      </c>
      <c r="T1849">
        <v>-9.0732930000000003E-2</v>
      </c>
      <c r="U1849">
        <v>0.1316223</v>
      </c>
      <c r="V1849">
        <v>4.7994799999999997E-2</v>
      </c>
      <c r="W1849">
        <v>7.9277039999999993E-2</v>
      </c>
      <c r="X1849">
        <v>0.99569649999999998</v>
      </c>
      <c r="Y1849">
        <v>5.5402149999999997E-2</v>
      </c>
      <c r="Z1849">
        <v>1.1886780000000001E-3</v>
      </c>
      <c r="AA1849">
        <v>0.9984634</v>
      </c>
      <c r="AB1849">
        <v>26</v>
      </c>
      <c r="AC1849">
        <v>-36.562399999999997</v>
      </c>
      <c r="AD1849">
        <v>-1.1101996663980001</v>
      </c>
      <c r="AE1849">
        <v>1.61349999999998</v>
      </c>
      <c r="AF1849">
        <v>2.0412882957326901</v>
      </c>
      <c r="AG1849">
        <v>-1.1101996663980001</v>
      </c>
      <c r="AH1849">
        <v>36.507313376064403</v>
      </c>
      <c r="AI1849">
        <v>91.739132246933394</v>
      </c>
      <c r="AJ1849">
        <v>86.799667376033796</v>
      </c>
      <c r="AK1849">
        <v>36.5811882139405</v>
      </c>
      <c r="AL1849">
        <v>85.452988510908298</v>
      </c>
      <c r="AM1849">
        <v>87.240351165158998</v>
      </c>
      <c r="AN1849">
        <v>0.999999935005223</v>
      </c>
    </row>
    <row r="1850" spans="1:40" x14ac:dyDescent="0.25">
      <c r="A1850" t="str">
        <f>"20190312154545431"</f>
        <v>20190312154545431</v>
      </c>
      <c r="B1850" t="str">
        <f>"1552376745428873"</f>
        <v>1552376745428873</v>
      </c>
      <c r="C1850" t="s">
        <v>40</v>
      </c>
      <c r="D1850">
        <v>4.5311870000000001</v>
      </c>
      <c r="E1850">
        <v>0.50476999999999905</v>
      </c>
      <c r="F1850" t="s">
        <v>54</v>
      </c>
      <c r="G1850">
        <v>-397.59559999999999</v>
      </c>
      <c r="H1850" s="1">
        <v>2.5051969999999999E-6</v>
      </c>
      <c r="I1850">
        <v>284.65300000000002</v>
      </c>
      <c r="J1850">
        <v>-360.95690000000002</v>
      </c>
      <c r="K1850">
        <v>1.110206</v>
      </c>
      <c r="L1850">
        <v>282.98899999999998</v>
      </c>
      <c r="M1850">
        <v>-0.99983409999999995</v>
      </c>
      <c r="N1850">
        <v>0</v>
      </c>
      <c r="O1850">
        <v>-1.175349E-2</v>
      </c>
      <c r="P1850">
        <v>-0.99709619999999999</v>
      </c>
      <c r="Q1850">
        <v>6.6724179999999994E-2</v>
      </c>
      <c r="R1850">
        <v>3.6708629999999999E-2</v>
      </c>
      <c r="S1850">
        <v>-3.00943</v>
      </c>
      <c r="T1850">
        <v>-9.0580939999999999E-2</v>
      </c>
      <c r="U1850">
        <v>0.1355286</v>
      </c>
      <c r="V1850">
        <v>4.8429720000000002E-2</v>
      </c>
      <c r="W1850">
        <v>8.0588889999999996E-2</v>
      </c>
      <c r="X1850">
        <v>0.99557019999999996</v>
      </c>
      <c r="Y1850">
        <v>5.669772E-2</v>
      </c>
      <c r="Z1850">
        <v>1.206209E-3</v>
      </c>
      <c r="AA1850">
        <v>0.99839069999999996</v>
      </c>
      <c r="AB1850">
        <v>26</v>
      </c>
      <c r="AC1850">
        <v>-36.638699999999901</v>
      </c>
      <c r="AD1850">
        <v>-1.110203494803</v>
      </c>
      <c r="AE1850">
        <v>1.6639999999999799</v>
      </c>
      <c r="AF1850">
        <v>2.09264187423627</v>
      </c>
      <c r="AG1850">
        <v>-1.110203494803</v>
      </c>
      <c r="AH1850">
        <v>36.583088497898302</v>
      </c>
      <c r="AI1850">
        <v>91.735412203546602</v>
      </c>
      <c r="AJ1850">
        <v>86.726109432052993</v>
      </c>
      <c r="AK1850">
        <v>36.6597062980426</v>
      </c>
      <c r="AL1850">
        <v>85.377584125889101</v>
      </c>
      <c r="AM1850">
        <v>87.2150302159679</v>
      </c>
      <c r="AN1850">
        <v>1.00000001504937</v>
      </c>
    </row>
    <row r="1851" spans="1:40" x14ac:dyDescent="0.25">
      <c r="A1851" t="str">
        <f>"20190312154545454"</f>
        <v>20190312154545454</v>
      </c>
      <c r="B1851" t="str">
        <f>"1552376745448393"</f>
        <v>1552376745448393</v>
      </c>
      <c r="C1851" t="s">
        <v>40</v>
      </c>
      <c r="D1851">
        <v>4.5563029999999998</v>
      </c>
      <c r="E1851">
        <v>0.5052027</v>
      </c>
      <c r="F1851" t="s">
        <v>54</v>
      </c>
      <c r="G1851">
        <v>-398.68360000000001</v>
      </c>
      <c r="H1851" s="1">
        <v>3.0841930000000001E-6</v>
      </c>
      <c r="I1851">
        <v>284.73379999999997</v>
      </c>
      <c r="J1851">
        <v>-361.2167</v>
      </c>
      <c r="K1851">
        <v>1.1102110000000001</v>
      </c>
      <c r="L1851">
        <v>282.98590000000002</v>
      </c>
      <c r="M1851">
        <v>-0.99983420000000001</v>
      </c>
      <c r="N1851">
        <v>0</v>
      </c>
      <c r="O1851">
        <v>-1.175359E-2</v>
      </c>
      <c r="P1851">
        <v>-0.99704190000000004</v>
      </c>
      <c r="Q1851">
        <v>6.7211899999999894E-2</v>
      </c>
      <c r="R1851">
        <v>3.7283249999999997E-2</v>
      </c>
      <c r="S1851">
        <v>-3.0095519999999998</v>
      </c>
      <c r="T1851">
        <v>-8.8563680000000006E-2</v>
      </c>
      <c r="U1851">
        <v>0.1391907</v>
      </c>
      <c r="V1851">
        <v>4.9003749999999999E-2</v>
      </c>
      <c r="W1851">
        <v>8.1072740000000004E-2</v>
      </c>
      <c r="X1851">
        <v>0.99550280000000002</v>
      </c>
      <c r="Y1851">
        <v>5.7909130000000003E-2</v>
      </c>
      <c r="Z1851">
        <v>1.197093E-3</v>
      </c>
      <c r="AA1851">
        <v>0.99832109999999996</v>
      </c>
      <c r="AB1851">
        <v>26</v>
      </c>
      <c r="AC1851">
        <v>-37.466900000000003</v>
      </c>
      <c r="AD1851">
        <v>-1.110207915807</v>
      </c>
      <c r="AE1851">
        <v>1.74789999999995</v>
      </c>
      <c r="AF1851">
        <v>2.1862769512640301</v>
      </c>
      <c r="AG1851">
        <v>-1.110207915807</v>
      </c>
      <c r="AH1851">
        <v>37.410988435952397</v>
      </c>
      <c r="AI1851">
        <v>91.696916339278104</v>
      </c>
      <c r="AJ1851">
        <v>86.655471047448003</v>
      </c>
      <c r="AK1851">
        <v>37.4912579714114</v>
      </c>
      <c r="AL1851">
        <v>85.349770439281997</v>
      </c>
      <c r="AM1851">
        <v>87.181882814617296</v>
      </c>
      <c r="AN1851">
        <v>0.99999999074650503</v>
      </c>
    </row>
    <row r="1852" spans="1:40" x14ac:dyDescent="0.25">
      <c r="A1852" t="str">
        <f>"20190312154545477"</f>
        <v>20190312154545477</v>
      </c>
      <c r="B1852" t="str">
        <f>"1552376745468420"</f>
        <v>1552376745468420</v>
      </c>
      <c r="C1852" t="s">
        <v>40</v>
      </c>
      <c r="D1852">
        <v>4.568327</v>
      </c>
      <c r="E1852">
        <v>0.50538099999999997</v>
      </c>
      <c r="F1852" t="s">
        <v>54</v>
      </c>
      <c r="G1852">
        <v>-399.33839999999998</v>
      </c>
      <c r="H1852" s="1">
        <v>3.4326430000000001E-6</v>
      </c>
      <c r="I1852">
        <v>284.8141</v>
      </c>
      <c r="J1852">
        <v>-361.4769</v>
      </c>
      <c r="K1852">
        <v>1.110212</v>
      </c>
      <c r="L1852">
        <v>282.9828</v>
      </c>
      <c r="M1852">
        <v>-0.99983420000000001</v>
      </c>
      <c r="N1852">
        <v>0</v>
      </c>
      <c r="O1852">
        <v>-1.175345E-2</v>
      </c>
      <c r="P1852">
        <v>-0.99699380000000004</v>
      </c>
      <c r="Q1852">
        <v>6.7836599999999997E-2</v>
      </c>
      <c r="R1852">
        <v>3.743722E-2</v>
      </c>
      <c r="S1852">
        <v>-3.0093990000000002</v>
      </c>
      <c r="T1852">
        <v>-8.7641949999999996E-2</v>
      </c>
      <c r="U1852">
        <v>0.14431759999999999</v>
      </c>
      <c r="V1852">
        <v>4.9156900000000003E-2</v>
      </c>
      <c r="W1852">
        <v>8.16939E-2</v>
      </c>
      <c r="X1852">
        <v>0.99544449999999995</v>
      </c>
      <c r="Y1852">
        <v>5.9608179999999997E-2</v>
      </c>
      <c r="Z1852">
        <v>1.20937E-3</v>
      </c>
      <c r="AA1852">
        <v>0.99822109999999997</v>
      </c>
      <c r="AB1852">
        <v>26</v>
      </c>
      <c r="AC1852">
        <v>-37.8614999999999</v>
      </c>
      <c r="AD1852">
        <v>-1.1102085673569999</v>
      </c>
      <c r="AE1852">
        <v>1.8312999999999899</v>
      </c>
      <c r="AF1852">
        <v>2.2742688471030599</v>
      </c>
      <c r="AG1852">
        <v>-1.1102085673569999</v>
      </c>
      <c r="AH1852">
        <v>37.804928056682499</v>
      </c>
      <c r="AI1852">
        <v>91.679074658786703</v>
      </c>
      <c r="AJ1852">
        <v>86.557349485149302</v>
      </c>
      <c r="AK1852">
        <v>37.8895427159379</v>
      </c>
      <c r="AL1852">
        <v>85.314062296220797</v>
      </c>
      <c r="AM1852">
        <v>87.172924404324803</v>
      </c>
      <c r="AN1852">
        <v>1.0000000233475299</v>
      </c>
    </row>
    <row r="1853" spans="1:40" x14ac:dyDescent="0.25">
      <c r="A1853" t="str">
        <f>"20190312154545498"</f>
        <v>20190312154545498</v>
      </c>
      <c r="B1853" t="str">
        <f>"1552376745488915"</f>
        <v>1552376745488915</v>
      </c>
      <c r="C1853" t="s">
        <v>40</v>
      </c>
      <c r="D1853">
        <v>4.5397850000000002</v>
      </c>
      <c r="E1853">
        <v>0.50564940000000003</v>
      </c>
      <c r="F1853" t="s">
        <v>57</v>
      </c>
      <c r="G1853">
        <v>-400.27260000000001</v>
      </c>
      <c r="H1853" s="1">
        <v>8.229402E-6</v>
      </c>
      <c r="I1853">
        <v>284.86770000000001</v>
      </c>
      <c r="J1853">
        <v>-361.7235</v>
      </c>
      <c r="K1853">
        <v>1.1102099999999999</v>
      </c>
      <c r="L1853">
        <v>282.97989999999999</v>
      </c>
      <c r="M1853">
        <v>-0.99983420000000001</v>
      </c>
      <c r="N1853">
        <v>0</v>
      </c>
      <c r="O1853">
        <v>-1.175319E-2</v>
      </c>
      <c r="P1853">
        <v>-0.99697659999999999</v>
      </c>
      <c r="Q1853">
        <v>6.7856390000000003E-2</v>
      </c>
      <c r="R1853">
        <v>3.7859110000000001E-2</v>
      </c>
      <c r="S1853">
        <v>-3.00943</v>
      </c>
      <c r="T1853">
        <v>-8.6119769999999998E-2</v>
      </c>
      <c r="U1853">
        <v>0.1462097</v>
      </c>
      <c r="V1853">
        <v>4.9578509999999999E-2</v>
      </c>
      <c r="W1853">
        <v>8.1710989999999997E-2</v>
      </c>
      <c r="X1853">
        <v>0.99542220000000003</v>
      </c>
      <c r="Y1853">
        <v>6.0234349999999999E-2</v>
      </c>
      <c r="Z1853">
        <v>1.197289E-3</v>
      </c>
      <c r="AA1853">
        <v>0.9981835</v>
      </c>
      <c r="AB1853">
        <v>26</v>
      </c>
      <c r="AC1853">
        <v>-38.549100000000003</v>
      </c>
      <c r="AD1853">
        <v>-1.1102017705980001</v>
      </c>
      <c r="AE1853">
        <v>1.8878000000000199</v>
      </c>
      <c r="AF1853">
        <v>2.3388530514209598</v>
      </c>
      <c r="AG1853">
        <v>-1.1102017705980001</v>
      </c>
      <c r="AH1853">
        <v>38.492396993527599</v>
      </c>
      <c r="AI1853">
        <v>91.649033323715699</v>
      </c>
      <c r="AJ1853">
        <v>86.5229014425625</v>
      </c>
      <c r="AK1853">
        <v>38.579365052770299</v>
      </c>
      <c r="AL1853">
        <v>85.3130798833471</v>
      </c>
      <c r="AM1853">
        <v>87.148653151031198</v>
      </c>
      <c r="AN1853">
        <v>1.00000003539671</v>
      </c>
    </row>
    <row r="1854" spans="1:40" x14ac:dyDescent="0.25">
      <c r="A1854" t="str">
        <f>"20190312154545610"</f>
        <v>20190312154545610</v>
      </c>
      <c r="B1854" t="str">
        <f>"1552376745608964"</f>
        <v>1552376745608964</v>
      </c>
      <c r="C1854" t="s">
        <v>40</v>
      </c>
      <c r="D1854">
        <v>2.77142</v>
      </c>
      <c r="E1854">
        <v>0.5043415</v>
      </c>
      <c r="F1854" t="s">
        <v>57</v>
      </c>
      <c r="G1854">
        <v>-403.13909999999998</v>
      </c>
      <c r="H1854" s="1">
        <v>6.9214569999999996E-6</v>
      </c>
      <c r="I1854">
        <v>285.04579999999999</v>
      </c>
      <c r="J1854">
        <v>-363.00060000000002</v>
      </c>
      <c r="K1854">
        <v>1.1102080000000001</v>
      </c>
      <c r="L1854">
        <v>282.9649</v>
      </c>
      <c r="M1854">
        <v>-0.99983440000000001</v>
      </c>
      <c r="N1854">
        <v>0</v>
      </c>
      <c r="O1854">
        <v>-1.1753100000000001E-2</v>
      </c>
      <c r="P1854">
        <v>-0.99707069999999998</v>
      </c>
      <c r="Q1854">
        <v>6.8369730000000004E-2</v>
      </c>
      <c r="R1854">
        <v>3.4289819999999999E-2</v>
      </c>
      <c r="S1854">
        <v>-3.0088810000000001</v>
      </c>
      <c r="T1854">
        <v>-8.0657240000000005E-2</v>
      </c>
      <c r="U1854">
        <v>0.15008540000000001</v>
      </c>
      <c r="V1854">
        <v>4.6010469999999998E-2</v>
      </c>
      <c r="W1854">
        <v>8.2212859999999999E-2</v>
      </c>
      <c r="X1854">
        <v>0.99555210000000005</v>
      </c>
      <c r="Y1854">
        <v>6.152883E-2</v>
      </c>
      <c r="Z1854">
        <v>1.1388769999999999E-3</v>
      </c>
      <c r="AA1854">
        <v>0.99810460000000001</v>
      </c>
      <c r="AB1854">
        <v>25</v>
      </c>
      <c r="AC1854">
        <v>-40.138499999999901</v>
      </c>
      <c r="AD1854">
        <v>-1.1102010785430001</v>
      </c>
      <c r="AE1854">
        <v>2.0808999999999802</v>
      </c>
      <c r="AF1854">
        <v>2.5506075158619099</v>
      </c>
      <c r="AG1854">
        <v>-1.1102010785430001</v>
      </c>
      <c r="AH1854">
        <v>40.080686793791699</v>
      </c>
      <c r="AI1854">
        <v>91.583437565503203</v>
      </c>
      <c r="AJ1854">
        <v>86.358788607464007</v>
      </c>
      <c r="AK1854">
        <v>40.177102919409201</v>
      </c>
      <c r="AL1854">
        <v>85.284227377124793</v>
      </c>
      <c r="AM1854">
        <v>87.353899171813097</v>
      </c>
      <c r="AN1854">
        <v>0.999999950756704</v>
      </c>
    </row>
    <row r="1855" spans="1:40" x14ac:dyDescent="0.25">
      <c r="A1855" t="str">
        <f>"20190312154545633"</f>
        <v>20190312154545633</v>
      </c>
      <c r="B1855" t="str">
        <f>"1552376745628484"</f>
        <v>1552376745628484</v>
      </c>
      <c r="C1855" t="s">
        <v>40</v>
      </c>
      <c r="D1855">
        <v>4.123265</v>
      </c>
      <c r="E1855">
        <v>0.4578506</v>
      </c>
      <c r="F1855" t="s">
        <v>57</v>
      </c>
      <c r="G1855">
        <v>-407.04169999999999</v>
      </c>
      <c r="H1855" s="1">
        <v>5.2297000000000001E-6</v>
      </c>
      <c r="I1855">
        <v>284.85750000000002</v>
      </c>
      <c r="J1855">
        <v>-363.24829999999997</v>
      </c>
      <c r="K1855">
        <v>1.110217</v>
      </c>
      <c r="L1855">
        <v>282.96199999999999</v>
      </c>
      <c r="M1855">
        <v>-0.99983449999999996</v>
      </c>
      <c r="N1855">
        <v>0</v>
      </c>
      <c r="O1855">
        <v>-1.1753080000000001E-2</v>
      </c>
      <c r="P1855">
        <v>-0.99705200000000005</v>
      </c>
      <c r="Q1855">
        <v>6.8870749999999994E-2</v>
      </c>
      <c r="R1855">
        <v>3.3831750000000001E-2</v>
      </c>
      <c r="S1855">
        <v>-3.0096129999999999</v>
      </c>
      <c r="T1855">
        <v>-7.5867299999999999E-2</v>
      </c>
      <c r="U1855">
        <v>0.12933349999999999</v>
      </c>
      <c r="V1855">
        <v>4.5552280000000001E-2</v>
      </c>
      <c r="W1855">
        <v>8.2710409999999998E-2</v>
      </c>
      <c r="X1855">
        <v>0.99553199999999997</v>
      </c>
      <c r="Y1855">
        <v>5.4653199999999902E-2</v>
      </c>
      <c r="Z1855">
        <v>9.8456479999999989E-4</v>
      </c>
      <c r="AA1855">
        <v>0.99850490000000003</v>
      </c>
      <c r="AB1855">
        <v>25</v>
      </c>
      <c r="AC1855">
        <v>-43.793399999999998</v>
      </c>
      <c r="AD1855">
        <v>-1.1102117703000001</v>
      </c>
      <c r="AE1855">
        <v>1.8955000000000199</v>
      </c>
      <c r="AF1855">
        <v>2.4085809705410099</v>
      </c>
      <c r="AG1855">
        <v>-1.1102117703000001</v>
      </c>
      <c r="AH1855">
        <v>43.740036249867899</v>
      </c>
      <c r="AI1855">
        <v>91.451773675261705</v>
      </c>
      <c r="AJ1855">
        <v>86.848144069363599</v>
      </c>
      <c r="AK1855">
        <v>43.820367451749298</v>
      </c>
      <c r="AL1855">
        <v>85.255622637630395</v>
      </c>
      <c r="AM1855">
        <v>87.380160347425701</v>
      </c>
      <c r="AN1855">
        <v>0.999999992579783</v>
      </c>
    </row>
    <row r="1856" spans="1:40" x14ac:dyDescent="0.25">
      <c r="A1856" t="str">
        <f>"20190312154545655"</f>
        <v>20190312154545655</v>
      </c>
      <c r="B1856" t="str">
        <f>"1552376745648004"</f>
        <v>1552376745648004</v>
      </c>
      <c r="C1856" t="s">
        <v>40</v>
      </c>
      <c r="D1856">
        <v>4.5323449999999896</v>
      </c>
      <c r="E1856">
        <v>0.46253329999999998</v>
      </c>
      <c r="F1856" t="s">
        <v>41</v>
      </c>
      <c r="G1856">
        <v>-364.03390000000002</v>
      </c>
      <c r="H1856">
        <v>0.90002800000000005</v>
      </c>
      <c r="I1856">
        <v>282.8947</v>
      </c>
      <c r="J1856">
        <v>-363.49959999999999</v>
      </c>
      <c r="K1856">
        <v>1.11022</v>
      </c>
      <c r="L1856">
        <v>282.95909999999998</v>
      </c>
      <c r="M1856">
        <v>-0.99983449999999996</v>
      </c>
      <c r="N1856">
        <v>0</v>
      </c>
      <c r="O1856">
        <v>-1.1753069999999999E-2</v>
      </c>
      <c r="P1856">
        <v>-0.99702040000000003</v>
      </c>
      <c r="Q1856">
        <v>6.9506209999999999E-2</v>
      </c>
      <c r="R1856">
        <v>3.3452900000000001E-2</v>
      </c>
      <c r="S1856">
        <v>-3.0746769999999999</v>
      </c>
      <c r="T1856">
        <v>-0.82268829999999904</v>
      </c>
      <c r="U1856">
        <v>-0.2644958</v>
      </c>
      <c r="V1856">
        <v>4.5172909999999997E-2</v>
      </c>
      <c r="W1856">
        <v>8.3343329999999993E-2</v>
      </c>
      <c r="X1856">
        <v>0.99549650000000001</v>
      </c>
      <c r="Y1856">
        <v>-7.1890880000000004E-2</v>
      </c>
      <c r="Z1856">
        <v>-6.3502510000000003E-3</v>
      </c>
      <c r="AA1856">
        <v>0.99739230000000001</v>
      </c>
      <c r="AB1856">
        <v>25</v>
      </c>
      <c r="AC1856">
        <v>-0.53430000000002997</v>
      </c>
      <c r="AD1856">
        <v>-0.21019199999999999</v>
      </c>
      <c r="AE1856">
        <v>-6.4399999999977794E-2</v>
      </c>
      <c r="AF1856">
        <v>-5.0423435982576599E-2</v>
      </c>
      <c r="AG1856">
        <v>-0.21019199999999999</v>
      </c>
      <c r="AH1856">
        <v>0.46420751376177699</v>
      </c>
      <c r="AI1856">
        <v>114.234875534621</v>
      </c>
      <c r="AJ1856">
        <v>96.199312247600304</v>
      </c>
      <c r="AK1856">
        <v>0.51206622188265705</v>
      </c>
      <c r="AL1856">
        <v>85.219233348140804</v>
      </c>
      <c r="AM1856">
        <v>87.401856440393004</v>
      </c>
      <c r="AN1856">
        <v>0.99999999198280298</v>
      </c>
    </row>
    <row r="1857" spans="1:40" x14ac:dyDescent="0.25">
      <c r="A1857" t="str">
        <f>"20190312154545677"</f>
        <v>20190312154545677</v>
      </c>
      <c r="B1857" t="str">
        <f>"1552376745668500"</f>
        <v>1552376745668500</v>
      </c>
      <c r="C1857" t="s">
        <v>40</v>
      </c>
      <c r="D1857">
        <v>4.6188979999999997</v>
      </c>
      <c r="E1857">
        <v>0.46233790000000002</v>
      </c>
      <c r="F1857" t="s">
        <v>41</v>
      </c>
      <c r="G1857">
        <v>-364.27690000000001</v>
      </c>
      <c r="H1857">
        <v>0.9400326</v>
      </c>
      <c r="I1857">
        <v>282.90219999999999</v>
      </c>
      <c r="J1857">
        <v>-363.74930000000001</v>
      </c>
      <c r="K1857">
        <v>1.1102190000000001</v>
      </c>
      <c r="L1857">
        <v>282.95609999999999</v>
      </c>
      <c r="M1857">
        <v>-0.99983449999999996</v>
      </c>
      <c r="N1857">
        <v>0</v>
      </c>
      <c r="O1857">
        <v>-1.1753049999999999E-2</v>
      </c>
      <c r="P1857">
        <v>-0.99702679999999999</v>
      </c>
      <c r="Q1857">
        <v>6.9309700000000002E-2</v>
      </c>
      <c r="R1857">
        <v>3.3673590000000003E-2</v>
      </c>
      <c r="S1857">
        <v>-3.063202</v>
      </c>
      <c r="T1857">
        <v>-0.67065680000000005</v>
      </c>
      <c r="U1857">
        <v>-0.223938</v>
      </c>
      <c r="V1857">
        <v>4.539369E-2</v>
      </c>
      <c r="W1857">
        <v>8.3143759999999997E-2</v>
      </c>
      <c r="X1857">
        <v>0.99550309999999997</v>
      </c>
      <c r="Y1857">
        <v>-6.0045729999999999E-2</v>
      </c>
      <c r="Z1857">
        <v>-3.9481530000000003E-3</v>
      </c>
      <c r="AA1857">
        <v>0.99818779999999996</v>
      </c>
      <c r="AB1857">
        <v>25</v>
      </c>
      <c r="AC1857">
        <v>-0.52760000000000595</v>
      </c>
      <c r="AD1857">
        <v>-0.17018639999999999</v>
      </c>
      <c r="AE1857">
        <v>-5.3899999999998699E-2</v>
      </c>
      <c r="AF1857">
        <v>-4.3241939132774403E-2</v>
      </c>
      <c r="AG1857">
        <v>-0.17018639999999999</v>
      </c>
      <c r="AH1857">
        <v>0.478884106056502</v>
      </c>
      <c r="AI1857">
        <v>109.490967391065</v>
      </c>
      <c r="AJ1857">
        <v>95.159660961779494</v>
      </c>
      <c r="AK1857">
        <v>0.51006201885501901</v>
      </c>
      <c r="AL1857">
        <v>85.230707476777994</v>
      </c>
      <c r="AM1857">
        <v>87.389192976306504</v>
      </c>
      <c r="AN1857">
        <v>0.99999994701418005</v>
      </c>
    </row>
    <row r="1858" spans="1:40" x14ac:dyDescent="0.25">
      <c r="A1858" t="str">
        <f>"20190312154545699"</f>
        <v>20190312154545699</v>
      </c>
      <c r="B1858" t="str">
        <f>"1552376745688020"</f>
        <v>1552376745688020</v>
      </c>
      <c r="C1858" t="s">
        <v>40</v>
      </c>
      <c r="D1858">
        <v>4.5259749999999999</v>
      </c>
      <c r="E1858">
        <v>0.46230290000000002</v>
      </c>
      <c r="F1858" t="s">
        <v>41</v>
      </c>
      <c r="G1858">
        <v>-364.51780000000002</v>
      </c>
      <c r="H1858">
        <v>0.97348820000000003</v>
      </c>
      <c r="I1858">
        <v>282.90069999999997</v>
      </c>
      <c r="J1858">
        <v>-364.0016</v>
      </c>
      <c r="K1858">
        <v>1.1102080000000001</v>
      </c>
      <c r="L1858">
        <v>282.95319999999998</v>
      </c>
      <c r="M1858">
        <v>-0.99983449999999996</v>
      </c>
      <c r="N1858">
        <v>0</v>
      </c>
      <c r="O1858">
        <v>-1.1753029999999999E-2</v>
      </c>
      <c r="P1858">
        <v>-0.99707679999999999</v>
      </c>
      <c r="Q1858">
        <v>6.8393720000000005E-2</v>
      </c>
      <c r="R1858">
        <v>3.4061389999999997E-2</v>
      </c>
      <c r="S1858">
        <v>-3.05423</v>
      </c>
      <c r="T1858">
        <v>-0.54355909999999996</v>
      </c>
      <c r="U1858">
        <v>-0.22155759999999999</v>
      </c>
      <c r="V1858">
        <v>4.5781929999999998E-2</v>
      </c>
      <c r="W1858">
        <v>8.2226149999999998E-2</v>
      </c>
      <c r="X1858">
        <v>0.99556160000000005</v>
      </c>
      <c r="Y1858">
        <v>-5.9870800000000002E-2</v>
      </c>
      <c r="Z1858">
        <v>-3.206619E-3</v>
      </c>
      <c r="AA1858">
        <v>0.998201</v>
      </c>
      <c r="AB1858">
        <v>25</v>
      </c>
      <c r="AC1858">
        <v>-0.51620000000002597</v>
      </c>
      <c r="AD1858">
        <v>-0.1367198</v>
      </c>
      <c r="AE1858">
        <v>-5.2500000000008998E-2</v>
      </c>
      <c r="AF1858">
        <v>-4.3414530589344899E-2</v>
      </c>
      <c r="AG1858">
        <v>-0.1367198</v>
      </c>
      <c r="AH1858">
        <v>0.48322996860005701</v>
      </c>
      <c r="AI1858">
        <v>105.737521681632</v>
      </c>
      <c r="AJ1858">
        <v>95.133806048615398</v>
      </c>
      <c r="AK1858">
        <v>0.50407174859492498</v>
      </c>
      <c r="AL1858">
        <v>85.283463619406703</v>
      </c>
      <c r="AM1858">
        <v>87.367049246462201</v>
      </c>
      <c r="AN1858">
        <v>1.0000000121264501</v>
      </c>
    </row>
    <row r="1859" spans="1:40" x14ac:dyDescent="0.25">
      <c r="A1859" t="str">
        <f>"20190312154545722"</f>
        <v>20190312154545722</v>
      </c>
      <c r="B1859" t="str">
        <f>"1552376745718276"</f>
        <v>1552376745718276</v>
      </c>
      <c r="C1859" t="s">
        <v>40</v>
      </c>
      <c r="D1859">
        <v>4.4815719999999999</v>
      </c>
      <c r="E1859">
        <v>0.4704315</v>
      </c>
      <c r="F1859" t="s">
        <v>41</v>
      </c>
      <c r="G1859">
        <v>-364.75080000000003</v>
      </c>
      <c r="H1859">
        <v>0.98935399999999996</v>
      </c>
      <c r="I1859">
        <v>282.89940000000001</v>
      </c>
      <c r="J1859">
        <v>-364.2491</v>
      </c>
      <c r="K1859">
        <v>1.110198</v>
      </c>
      <c r="L1859">
        <v>282.9502</v>
      </c>
      <c r="M1859">
        <v>-0.99983469999999997</v>
      </c>
      <c r="N1859">
        <v>0</v>
      </c>
      <c r="O1859">
        <v>-1.175325E-2</v>
      </c>
      <c r="P1859">
        <v>-0.9971411</v>
      </c>
      <c r="Q1859">
        <v>6.7448220000000003E-2</v>
      </c>
      <c r="R1859">
        <v>3.4072730000000002E-2</v>
      </c>
      <c r="S1859">
        <v>-3.0499879999999999</v>
      </c>
      <c r="T1859">
        <v>-0.49197819999999998</v>
      </c>
      <c r="U1859">
        <v>-0.21878049999999999</v>
      </c>
      <c r="V1859">
        <v>4.5794290000000001E-2</v>
      </c>
      <c r="W1859">
        <v>8.1278530000000002E-2</v>
      </c>
      <c r="X1859">
        <v>0.99563880000000005</v>
      </c>
      <c r="Y1859">
        <v>-5.9208419999999998E-2</v>
      </c>
      <c r="Z1859">
        <v>-2.8574070000000002E-3</v>
      </c>
      <c r="AA1859">
        <v>0.9982415</v>
      </c>
      <c r="AB1859">
        <v>25</v>
      </c>
      <c r="AC1859">
        <v>-0.50170000000002701</v>
      </c>
      <c r="AD1859">
        <v>-0.12084399999999899</v>
      </c>
      <c r="AE1859">
        <v>-5.0799999999980999E-2</v>
      </c>
      <c r="AF1859">
        <v>-4.2460830555124798E-2</v>
      </c>
      <c r="AG1859">
        <v>-0.12084399999999899</v>
      </c>
      <c r="AH1859">
        <v>0.47498453198188501</v>
      </c>
      <c r="AI1859">
        <v>104.219776409375</v>
      </c>
      <c r="AJ1859">
        <v>95.108328013972297</v>
      </c>
      <c r="AK1859">
        <v>0.49195172536487902</v>
      </c>
      <c r="AL1859">
        <v>85.337940394556497</v>
      </c>
      <c r="AM1859">
        <v>87.366543336647098</v>
      </c>
      <c r="AN1859">
        <v>0.99999996825050197</v>
      </c>
    </row>
    <row r="1860" spans="1:40" x14ac:dyDescent="0.25">
      <c r="A1860" t="str">
        <f>"20190312154545744"</f>
        <v>20190312154545744</v>
      </c>
      <c r="B1860" t="str">
        <f>"1552376745738772"</f>
        <v>1552376745738772</v>
      </c>
      <c r="C1860" t="s">
        <v>40</v>
      </c>
      <c r="D1860">
        <v>4.4395699999999998</v>
      </c>
      <c r="E1860">
        <v>0.47032770000000002</v>
      </c>
      <c r="F1860" t="s">
        <v>58</v>
      </c>
      <c r="G1860">
        <v>-511.95870000000002</v>
      </c>
      <c r="H1860">
        <v>0.2906821</v>
      </c>
      <c r="I1860">
        <v>276.0881</v>
      </c>
      <c r="J1860">
        <v>-364.50279999999998</v>
      </c>
      <c r="K1860">
        <v>1.1101909999999999</v>
      </c>
      <c r="L1860">
        <v>282.94729999999998</v>
      </c>
      <c r="M1860">
        <v>-0.99983460000000002</v>
      </c>
      <c r="N1860">
        <v>0</v>
      </c>
      <c r="O1860">
        <v>-1.175299E-2</v>
      </c>
      <c r="P1860">
        <v>-0.99718169999999995</v>
      </c>
      <c r="Q1860">
        <v>6.6979440000000001E-2</v>
      </c>
      <c r="R1860">
        <v>3.3800410000000003E-2</v>
      </c>
      <c r="S1860">
        <v>-3.014526</v>
      </c>
      <c r="T1860">
        <v>-1.6723390000000001E-2</v>
      </c>
      <c r="U1860">
        <v>-0.14004520000000001</v>
      </c>
      <c r="V1860">
        <v>4.5522159999999999E-2</v>
      </c>
      <c r="W1860">
        <v>8.0807519999999994E-2</v>
      </c>
      <c r="X1860">
        <v>0.99568959999999995</v>
      </c>
      <c r="Y1860">
        <v>-3.4661709999999998E-2</v>
      </c>
      <c r="Z1860" s="1">
        <v>-3.0926180000000001E-5</v>
      </c>
      <c r="AA1860">
        <v>0.99939909999999998</v>
      </c>
      <c r="AB1860">
        <v>25</v>
      </c>
      <c r="AC1860">
        <v>-147.45590000000001</v>
      </c>
      <c r="AD1860">
        <v>-0.81950889999999998</v>
      </c>
      <c r="AE1860">
        <v>-6.85919999999998</v>
      </c>
      <c r="AF1860">
        <v>-5.1253535152425798</v>
      </c>
      <c r="AG1860">
        <v>-0.81950889999999998</v>
      </c>
      <c r="AH1860">
        <v>147.52179057079701</v>
      </c>
      <c r="AI1860">
        <v>90.318092708610095</v>
      </c>
      <c r="AJ1860">
        <v>91.989828431556305</v>
      </c>
      <c r="AK1860">
        <v>147.61307373233399</v>
      </c>
      <c r="AL1860">
        <v>85.365016263913304</v>
      </c>
      <c r="AM1860">
        <v>87.382304046015406</v>
      </c>
      <c r="AN1860">
        <v>0.99999995094388605</v>
      </c>
    </row>
    <row r="1861" spans="1:40" x14ac:dyDescent="0.25">
      <c r="A1861" t="str">
        <f>"20190312154545767"</f>
        <v>20190312154545767</v>
      </c>
      <c r="B1861" t="str">
        <f>"1552376745758295"</f>
        <v>1552376745758295</v>
      </c>
      <c r="C1861" t="s">
        <v>40</v>
      </c>
      <c r="D1861">
        <v>4.4562089999999897</v>
      </c>
      <c r="E1861">
        <v>0.47015499999999999</v>
      </c>
      <c r="F1861" t="s">
        <v>58</v>
      </c>
      <c r="G1861">
        <v>-511.9588</v>
      </c>
      <c r="H1861">
        <v>0.49650539999999999</v>
      </c>
      <c r="I1861">
        <v>276.02730000000003</v>
      </c>
      <c r="J1861">
        <v>-364.75549999999998</v>
      </c>
      <c r="K1861">
        <v>1.1101909999999999</v>
      </c>
      <c r="L1861">
        <v>282.9443</v>
      </c>
      <c r="M1861">
        <v>-0.99983469999999997</v>
      </c>
      <c r="N1861">
        <v>0</v>
      </c>
      <c r="O1861">
        <v>-1.1753329999999999E-2</v>
      </c>
      <c r="P1861">
        <v>-0.99726429999999999</v>
      </c>
      <c r="Q1861">
        <v>6.6002149999999996E-2</v>
      </c>
      <c r="R1861">
        <v>3.3282140000000002E-2</v>
      </c>
      <c r="S1861">
        <v>-3.0141300000000002</v>
      </c>
      <c r="T1861">
        <v>-1.2542609999999999E-2</v>
      </c>
      <c r="U1861">
        <v>-0.14144899999999999</v>
      </c>
      <c r="V1861">
        <v>4.5005179999999999E-2</v>
      </c>
      <c r="W1861">
        <v>7.9828899999999994E-2</v>
      </c>
      <c r="X1861">
        <v>0.99579209999999996</v>
      </c>
      <c r="Y1861">
        <v>-3.5132070000000001E-2</v>
      </c>
      <c r="Z1861" s="1">
        <v>-2.4174339999999999E-5</v>
      </c>
      <c r="AA1861">
        <v>0.99938269999999996</v>
      </c>
      <c r="AB1861">
        <v>25</v>
      </c>
      <c r="AC1861">
        <v>-147.20330000000001</v>
      </c>
      <c r="AD1861">
        <v>-0.61368559999999905</v>
      </c>
      <c r="AE1861">
        <v>-6.9169999999999696</v>
      </c>
      <c r="AF1861">
        <v>-5.1861367417453499</v>
      </c>
      <c r="AG1861">
        <v>-0.61368559999999905</v>
      </c>
      <c r="AH1861">
        <v>147.27188192301901</v>
      </c>
      <c r="AI1861">
        <v>90.2386036625999</v>
      </c>
      <c r="AJ1861">
        <v>92.016820915029996</v>
      </c>
      <c r="AK1861">
        <v>147.364445608387</v>
      </c>
      <c r="AL1861">
        <v>85.421269085843704</v>
      </c>
      <c r="AM1861">
        <v>87.412257725397794</v>
      </c>
      <c r="AN1861">
        <v>1.00000001296222</v>
      </c>
    </row>
    <row r="1862" spans="1:40" x14ac:dyDescent="0.25">
      <c r="A1862" t="str">
        <f>"20190312154545789"</f>
        <v>20190312154545789</v>
      </c>
      <c r="B1862" t="str">
        <f>"1552376745778788"</f>
        <v>1552376745778788</v>
      </c>
      <c r="C1862" t="s">
        <v>40</v>
      </c>
      <c r="D1862">
        <v>4.4614890000000003</v>
      </c>
      <c r="E1862">
        <v>0.46981659999999997</v>
      </c>
      <c r="F1862" t="s">
        <v>58</v>
      </c>
      <c r="G1862">
        <v>-511.9588</v>
      </c>
      <c r="H1862">
        <v>0.548454</v>
      </c>
      <c r="I1862">
        <v>275.89670000000001</v>
      </c>
      <c r="J1862">
        <v>-365.00670000000002</v>
      </c>
      <c r="K1862">
        <v>1.1101890000000001</v>
      </c>
      <c r="L1862">
        <v>282.94130000000001</v>
      </c>
      <c r="M1862">
        <v>-0.99983469999999997</v>
      </c>
      <c r="N1862">
        <v>0</v>
      </c>
      <c r="O1862">
        <v>-1.1753309999999999E-2</v>
      </c>
      <c r="P1862">
        <v>-0.99736290000000005</v>
      </c>
      <c r="Q1862">
        <v>6.4889520000000006E-2</v>
      </c>
      <c r="R1862">
        <v>3.2510770000000001E-2</v>
      </c>
      <c r="S1862">
        <v>-3.013763</v>
      </c>
      <c r="T1862">
        <v>-1.149905E-2</v>
      </c>
      <c r="U1862">
        <v>-0.1442871</v>
      </c>
      <c r="V1862">
        <v>4.4235110000000001E-2</v>
      </c>
      <c r="W1862">
        <v>7.8715179999999996E-2</v>
      </c>
      <c r="X1862">
        <v>0.9959152</v>
      </c>
      <c r="Y1862">
        <v>-3.6076810000000001E-2</v>
      </c>
      <c r="Z1862" s="1">
        <v>-2.3966640000000001E-5</v>
      </c>
      <c r="AA1862">
        <v>0.99934900000000004</v>
      </c>
      <c r="AB1862">
        <v>25</v>
      </c>
      <c r="AC1862">
        <v>-146.95209999999901</v>
      </c>
      <c r="AD1862">
        <v>-0.56173499999999899</v>
      </c>
      <c r="AE1862">
        <v>-7.0446</v>
      </c>
      <c r="AF1862">
        <v>-5.3166960157266798</v>
      </c>
      <c r="AG1862">
        <v>-0.56173499999999899</v>
      </c>
      <c r="AH1862">
        <v>147.02260965044201</v>
      </c>
      <c r="AI1862">
        <v>90.218768151034098</v>
      </c>
      <c r="AJ1862">
        <v>92.071052605703599</v>
      </c>
      <c r="AK1862">
        <v>147.119783004054</v>
      </c>
      <c r="AL1862">
        <v>85.485281729302599</v>
      </c>
      <c r="AM1862">
        <v>87.456791123119004</v>
      </c>
      <c r="AN1862">
        <v>0.99999995505509098</v>
      </c>
    </row>
    <row r="1863" spans="1:40" x14ac:dyDescent="0.25">
      <c r="A1863" t="str">
        <f>"20190312154545811"</f>
        <v>20190312154545811</v>
      </c>
      <c r="B1863" t="str">
        <f>"1552376745808068"</f>
        <v>1552376745808068</v>
      </c>
      <c r="C1863" t="s">
        <v>40</v>
      </c>
      <c r="D1863">
        <v>4.5115429999999996</v>
      </c>
      <c r="E1863">
        <v>0.46912969999999998</v>
      </c>
      <c r="F1863" t="s">
        <v>58</v>
      </c>
      <c r="G1863">
        <v>-511.9588</v>
      </c>
      <c r="H1863">
        <v>0.53535529999999998</v>
      </c>
      <c r="I1863">
        <v>275.65230000000003</v>
      </c>
      <c r="J1863">
        <v>-365.2611</v>
      </c>
      <c r="K1863">
        <v>1.110177</v>
      </c>
      <c r="L1863">
        <v>282.93830000000003</v>
      </c>
      <c r="M1863">
        <v>-0.99983469999999997</v>
      </c>
      <c r="N1863">
        <v>0</v>
      </c>
      <c r="O1863">
        <v>-1.175329E-2</v>
      </c>
      <c r="P1863">
        <v>-0.99746539999999995</v>
      </c>
      <c r="Q1863">
        <v>6.3857810000000001E-2</v>
      </c>
      <c r="R1863">
        <v>3.138639E-2</v>
      </c>
      <c r="S1863">
        <v>-3.01355</v>
      </c>
      <c r="T1863">
        <v>-1.178646E-2</v>
      </c>
      <c r="U1863">
        <v>-0.1494751</v>
      </c>
      <c r="V1863">
        <v>4.3111990000000003E-2</v>
      </c>
      <c r="W1863">
        <v>7.7682669999999995E-2</v>
      </c>
      <c r="X1863">
        <v>0.99604559999999998</v>
      </c>
      <c r="Y1863">
        <v>-3.7796490000000002E-2</v>
      </c>
      <c r="Z1863" s="1">
        <v>-2.792745E-5</v>
      </c>
      <c r="AA1863">
        <v>0.99928550000000005</v>
      </c>
      <c r="AB1863">
        <v>25</v>
      </c>
      <c r="AC1863">
        <v>-146.6977</v>
      </c>
      <c r="AD1863">
        <v>-0.57482169999999899</v>
      </c>
      <c r="AE1863">
        <v>-7.2859999999999996</v>
      </c>
      <c r="AF1863">
        <v>-5.5610649393704001</v>
      </c>
      <c r="AG1863">
        <v>-0.57482169999999899</v>
      </c>
      <c r="AH1863">
        <v>146.77096004741</v>
      </c>
      <c r="AI1863">
        <v>90.224234235480594</v>
      </c>
      <c r="AJ1863">
        <v>92.169865264887505</v>
      </c>
      <c r="AK1863">
        <v>146.877399815237</v>
      </c>
      <c r="AL1863">
        <v>85.544622288105003</v>
      </c>
      <c r="AM1863">
        <v>87.521605173016198</v>
      </c>
      <c r="AN1863">
        <v>1.0000000390897199</v>
      </c>
    </row>
    <row r="1864" spans="1:40" x14ac:dyDescent="0.25">
      <c r="A1864" t="str">
        <f>"20190312154545836"</f>
        <v>20190312154545836</v>
      </c>
      <c r="B1864" t="str">
        <f>"1552376745828564"</f>
        <v>1552376745828564</v>
      </c>
      <c r="C1864" t="s">
        <v>40</v>
      </c>
      <c r="D1864">
        <v>4.502046</v>
      </c>
      <c r="E1864">
        <v>0.46877279999999999</v>
      </c>
      <c r="F1864" t="s">
        <v>58</v>
      </c>
      <c r="G1864">
        <v>-512.82539999999995</v>
      </c>
      <c r="H1864">
        <v>0.69710839999999996</v>
      </c>
      <c r="I1864">
        <v>275.18310000000002</v>
      </c>
      <c r="J1864">
        <v>-365.52749999999997</v>
      </c>
      <c r="K1864">
        <v>1.1101719999999999</v>
      </c>
      <c r="L1864">
        <v>282.93520000000001</v>
      </c>
      <c r="M1864">
        <v>-0.99983480000000002</v>
      </c>
      <c r="N1864">
        <v>0</v>
      </c>
      <c r="O1864">
        <v>-1.175328E-2</v>
      </c>
      <c r="P1864">
        <v>-0.99760499999999996</v>
      </c>
      <c r="Q1864">
        <v>6.2547610000000003E-2</v>
      </c>
      <c r="R1864">
        <v>2.953691E-2</v>
      </c>
      <c r="S1864">
        <v>-3.0131839999999999</v>
      </c>
      <c r="T1864">
        <v>-8.4329839999999993E-3</v>
      </c>
      <c r="U1864">
        <v>-0.15835569999999999</v>
      </c>
      <c r="V1864">
        <v>4.1264149999999999E-2</v>
      </c>
      <c r="W1864">
        <v>7.6372880000000004E-2</v>
      </c>
      <c r="X1864">
        <v>0.99622509999999997</v>
      </c>
      <c r="Y1864">
        <v>-4.0739909999999997E-2</v>
      </c>
      <c r="Z1864" s="1">
        <v>-2.409874E-5</v>
      </c>
      <c r="AA1864">
        <v>0.9991698</v>
      </c>
      <c r="AB1864">
        <v>25</v>
      </c>
      <c r="AC1864">
        <v>-147.297899999999</v>
      </c>
      <c r="AD1864">
        <v>-0.41306359999999998</v>
      </c>
      <c r="AE1864">
        <v>-7.75209999999998</v>
      </c>
      <c r="AF1864">
        <v>-6.0201173451443903</v>
      </c>
      <c r="AG1864">
        <v>-0.41306359999999998</v>
      </c>
      <c r="AH1864">
        <v>147.37768944758699</v>
      </c>
      <c r="AI1864">
        <v>90.1604518224609</v>
      </c>
      <c r="AJ1864">
        <v>92.339130591437495</v>
      </c>
      <c r="AK1864">
        <v>147.50117213532999</v>
      </c>
      <c r="AL1864">
        <v>85.619891179369603</v>
      </c>
      <c r="AM1864">
        <v>87.6281355069314</v>
      </c>
      <c r="AN1864">
        <v>0.99999999837236297</v>
      </c>
    </row>
    <row r="1865" spans="1:40" x14ac:dyDescent="0.25">
      <c r="A1865" t="str">
        <f>"20190312154545856"</f>
        <v>20190312154545856</v>
      </c>
      <c r="B1865" t="str">
        <f>"1552376745848085"</f>
        <v>1552376745848085</v>
      </c>
      <c r="C1865" t="s">
        <v>40</v>
      </c>
      <c r="D1865">
        <v>4.5376629999999896</v>
      </c>
      <c r="E1865">
        <v>0.46850350000000002</v>
      </c>
      <c r="F1865" t="s">
        <v>58</v>
      </c>
      <c r="G1865">
        <v>-512.82539999999995</v>
      </c>
      <c r="H1865">
        <v>0.71705269999999899</v>
      </c>
      <c r="I1865">
        <v>274.7525</v>
      </c>
      <c r="J1865">
        <v>-365.76280000000003</v>
      </c>
      <c r="K1865">
        <v>1.110169</v>
      </c>
      <c r="L1865">
        <v>282.93239999999997</v>
      </c>
      <c r="M1865">
        <v>-0.99983469999999997</v>
      </c>
      <c r="N1865">
        <v>0</v>
      </c>
      <c r="O1865">
        <v>-1.175326E-2</v>
      </c>
      <c r="P1865">
        <v>-0.99763400000000002</v>
      </c>
      <c r="Q1865">
        <v>6.3048419999999994E-2</v>
      </c>
      <c r="R1865">
        <v>2.7417799999999999E-2</v>
      </c>
      <c r="S1865">
        <v>-3.0126650000000001</v>
      </c>
      <c r="T1865">
        <v>-8.0387589999999995E-3</v>
      </c>
      <c r="U1865">
        <v>-0.16735839999999999</v>
      </c>
      <c r="V1865">
        <v>3.9145640000000002E-2</v>
      </c>
      <c r="W1865">
        <v>7.6872079999999995E-2</v>
      </c>
      <c r="X1865">
        <v>0.99627220000000005</v>
      </c>
      <c r="Y1865">
        <v>-4.3725859999999998E-2</v>
      </c>
      <c r="Z1865" s="1">
        <v>-2.6955109999999999E-5</v>
      </c>
      <c r="AA1865">
        <v>0.99904360000000003</v>
      </c>
      <c r="AB1865">
        <v>25</v>
      </c>
      <c r="AC1865">
        <v>-147.06259999999901</v>
      </c>
      <c r="AD1865">
        <v>-0.39311629999999997</v>
      </c>
      <c r="AE1865">
        <v>-8.1798999999999698</v>
      </c>
      <c r="AF1865">
        <v>-6.4506576326883298</v>
      </c>
      <c r="AG1865">
        <v>-0.39311629999999997</v>
      </c>
      <c r="AH1865">
        <v>147.14754167612699</v>
      </c>
      <c r="AI1865">
        <v>90.152922973729105</v>
      </c>
      <c r="AJ1865">
        <v>92.510126682364501</v>
      </c>
      <c r="AK1865">
        <v>147.289390472115</v>
      </c>
      <c r="AL1865">
        <v>85.591204787589405</v>
      </c>
      <c r="AM1865">
        <v>87.749885234295206</v>
      </c>
      <c r="AN1865">
        <v>0.99999999715368804</v>
      </c>
    </row>
    <row r="1866" spans="1:40" x14ac:dyDescent="0.25">
      <c r="A1866" t="str">
        <f>"20190312154545878"</f>
        <v>20190312154545878</v>
      </c>
      <c r="B1866" t="str">
        <f>"1552376745868584"</f>
        <v>1552376745868584</v>
      </c>
      <c r="C1866" t="s">
        <v>40</v>
      </c>
      <c r="D1866">
        <v>4.4973589999999897</v>
      </c>
      <c r="E1866">
        <v>0.46857490000000002</v>
      </c>
      <c r="F1866" t="s">
        <v>58</v>
      </c>
      <c r="G1866">
        <v>-512.82550000000003</v>
      </c>
      <c r="H1866">
        <v>0.97164439999999996</v>
      </c>
      <c r="I1866">
        <v>274.32190000000003</v>
      </c>
      <c r="J1866">
        <v>-366.00839999999999</v>
      </c>
      <c r="K1866">
        <v>1.1101829999999999</v>
      </c>
      <c r="L1866">
        <v>282.92959999999999</v>
      </c>
      <c r="M1866">
        <v>-0.99983480000000002</v>
      </c>
      <c r="N1866">
        <v>0</v>
      </c>
      <c r="O1866">
        <v>-1.175348E-2</v>
      </c>
      <c r="P1866">
        <v>-0.99751529999999999</v>
      </c>
      <c r="Q1866">
        <v>6.577964E-2</v>
      </c>
      <c r="R1866">
        <v>2.523222E-2</v>
      </c>
      <c r="S1866">
        <v>-3.012146</v>
      </c>
      <c r="T1866">
        <v>-2.8356309999999999E-3</v>
      </c>
      <c r="U1866">
        <v>-0.17636109999999999</v>
      </c>
      <c r="V1866">
        <v>3.695888E-2</v>
      </c>
      <c r="W1866">
        <v>7.9599310000000006E-2</v>
      </c>
      <c r="X1866">
        <v>0.99614159999999996</v>
      </c>
      <c r="Y1866">
        <v>-4.6711309999999999E-2</v>
      </c>
      <c r="Z1866" s="1">
        <v>-1.0913009999999999E-5</v>
      </c>
      <c r="AA1866">
        <v>0.99890849999999998</v>
      </c>
      <c r="AB1866">
        <v>25</v>
      </c>
      <c r="AC1866">
        <v>-146.81710000000001</v>
      </c>
      <c r="AD1866">
        <v>-0.13853859999999901</v>
      </c>
      <c r="AE1866">
        <v>-8.6076999999999604</v>
      </c>
      <c r="AF1866">
        <v>-6.8813214784091699</v>
      </c>
      <c r="AG1866">
        <v>-0.13853859999999901</v>
      </c>
      <c r="AH1866">
        <v>146.90800652304301</v>
      </c>
      <c r="AI1866">
        <v>90.053972423082797</v>
      </c>
      <c r="AJ1866">
        <v>92.681832750398101</v>
      </c>
      <c r="AK1866">
        <v>147.06914754226099</v>
      </c>
      <c r="AL1866">
        <v>85.434465778949999</v>
      </c>
      <c r="AM1866">
        <v>87.875184634036501</v>
      </c>
      <c r="AN1866">
        <v>1.00000004810694</v>
      </c>
    </row>
    <row r="1867" spans="1:40" x14ac:dyDescent="0.25">
      <c r="A1867" t="str">
        <f>"20190312154545900"</f>
        <v>20190312154545900</v>
      </c>
      <c r="B1867" t="str">
        <f>"1552376745888100"</f>
        <v>1552376745888100</v>
      </c>
      <c r="C1867" t="s">
        <v>40</v>
      </c>
      <c r="D1867">
        <v>4.5008410000000003</v>
      </c>
      <c r="E1867">
        <v>0.46870840000000003</v>
      </c>
      <c r="F1867" t="s">
        <v>58</v>
      </c>
      <c r="G1867">
        <v>-512.82569999999998</v>
      </c>
      <c r="H1867">
        <v>1.617877</v>
      </c>
      <c r="I1867">
        <v>274.00839999999999</v>
      </c>
      <c r="J1867">
        <v>-366.2561</v>
      </c>
      <c r="K1867">
        <v>1.1101970000000001</v>
      </c>
      <c r="L1867">
        <v>282.92660000000001</v>
      </c>
      <c r="M1867">
        <v>-0.99983480000000002</v>
      </c>
      <c r="N1867">
        <v>0</v>
      </c>
      <c r="O1867">
        <v>-1.175346E-2</v>
      </c>
      <c r="P1867">
        <v>-0.99729199999999996</v>
      </c>
      <c r="Q1867">
        <v>6.973261E-2</v>
      </c>
      <c r="R1867">
        <v>2.337003E-2</v>
      </c>
      <c r="S1867">
        <v>-3.0114139999999998</v>
      </c>
      <c r="T1867">
        <v>1.041508E-2</v>
      </c>
      <c r="U1867">
        <v>-0.18298339999999999</v>
      </c>
      <c r="V1867">
        <v>3.5094319999999998E-2</v>
      </c>
      <c r="W1867">
        <v>8.3546709999999996E-2</v>
      </c>
      <c r="X1867">
        <v>0.99588569999999998</v>
      </c>
      <c r="Y1867">
        <v>-4.8914060000000002E-2</v>
      </c>
      <c r="Z1867" s="1">
        <v>4.3895530000000002E-5</v>
      </c>
      <c r="AA1867">
        <v>0.998803</v>
      </c>
      <c r="AB1867">
        <v>25</v>
      </c>
      <c r="AC1867">
        <v>-146.56959999999901</v>
      </c>
      <c r="AD1867">
        <v>0.50768000000000002</v>
      </c>
      <c r="AE1867">
        <v>-8.9182000000000095</v>
      </c>
      <c r="AF1867">
        <v>-7.1946323326118797</v>
      </c>
      <c r="AG1867">
        <v>0.50768000000000002</v>
      </c>
      <c r="AH1867">
        <v>146.66255054469701</v>
      </c>
      <c r="AI1867">
        <v>89.801906696367496</v>
      </c>
      <c r="AJ1867">
        <v>92.8084325379522</v>
      </c>
      <c r="AK1867">
        <v>146.83979094802501</v>
      </c>
      <c r="AL1867">
        <v>85.207539767717293</v>
      </c>
      <c r="AM1867">
        <v>87.981771687656305</v>
      </c>
      <c r="AN1867">
        <v>0.99999999575628795</v>
      </c>
    </row>
    <row r="1868" spans="1:40" x14ac:dyDescent="0.25">
      <c r="A1868" t="str">
        <f>"20190312154545923"</f>
        <v>20190312154545923</v>
      </c>
      <c r="B1868" t="str">
        <f>"1552376745918356"</f>
        <v>1552376745918356</v>
      </c>
      <c r="C1868" t="s">
        <v>40</v>
      </c>
      <c r="D1868">
        <v>4.5512550000000003</v>
      </c>
      <c r="E1868">
        <v>0.4689181</v>
      </c>
      <c r="F1868" t="s">
        <v>58</v>
      </c>
      <c r="G1868">
        <v>-512.82590000000005</v>
      </c>
      <c r="H1868">
        <v>2.3598129999999999</v>
      </c>
      <c r="I1868">
        <v>273.78680000000003</v>
      </c>
      <c r="J1868">
        <v>-366.5034</v>
      </c>
      <c r="K1868">
        <v>1.1102129999999999</v>
      </c>
      <c r="L1868">
        <v>282.9237</v>
      </c>
      <c r="M1868">
        <v>-0.99983480000000002</v>
      </c>
      <c r="N1868">
        <v>0</v>
      </c>
      <c r="O1868">
        <v>-1.175345E-2</v>
      </c>
      <c r="P1868">
        <v>-0.99703189999999997</v>
      </c>
      <c r="Q1868">
        <v>7.3514079999999996E-2</v>
      </c>
      <c r="R1868">
        <v>2.287119E-2</v>
      </c>
      <c r="S1868">
        <v>-3.010742</v>
      </c>
      <c r="T1868">
        <v>2.5670410000000001E-2</v>
      </c>
      <c r="U1868">
        <v>-0.1877441</v>
      </c>
      <c r="V1868">
        <v>3.4592610000000003E-2</v>
      </c>
      <c r="W1868">
        <v>8.7321330000000003E-2</v>
      </c>
      <c r="X1868">
        <v>0.9955794</v>
      </c>
      <c r="Y1868">
        <v>-5.0499710000000003E-2</v>
      </c>
      <c r="Z1868">
        <v>1.149616E-4</v>
      </c>
      <c r="AA1868">
        <v>0.99872399999999995</v>
      </c>
      <c r="AB1868">
        <v>25</v>
      </c>
      <c r="AC1868">
        <v>-146.32249999999999</v>
      </c>
      <c r="AD1868">
        <v>1.2496</v>
      </c>
      <c r="AE1868">
        <v>-9.1368999999999598</v>
      </c>
      <c r="AF1868">
        <v>-7.4157704976780003</v>
      </c>
      <c r="AG1868">
        <v>1.2496</v>
      </c>
      <c r="AH1868">
        <v>146.40915489052199</v>
      </c>
      <c r="AI1868">
        <v>89.511619276546497</v>
      </c>
      <c r="AJ1868">
        <v>92.899610702518999</v>
      </c>
      <c r="AK1868">
        <v>146.60216842868101</v>
      </c>
      <c r="AL1868">
        <v>84.990476252152106</v>
      </c>
      <c r="AM1868">
        <v>88.009989453232805</v>
      </c>
      <c r="AN1868">
        <v>1.00000000252197</v>
      </c>
    </row>
    <row r="1869" spans="1:40" x14ac:dyDescent="0.25">
      <c r="A1869" t="str">
        <f>"20190312154545946"</f>
        <v>20190312154545946</v>
      </c>
      <c r="B1869" t="str">
        <f>"1552376745938852"</f>
        <v>1552376745938852</v>
      </c>
      <c r="C1869" t="s">
        <v>40</v>
      </c>
      <c r="D1869">
        <v>4.5427010000000001</v>
      </c>
      <c r="E1869">
        <v>0.46898889999999999</v>
      </c>
      <c r="F1869" t="s">
        <v>58</v>
      </c>
      <c r="G1869">
        <v>-512.82619999999997</v>
      </c>
      <c r="H1869">
        <v>3.0528179999999998</v>
      </c>
      <c r="I1869">
        <v>273.77730000000003</v>
      </c>
      <c r="J1869">
        <v>-366.7577</v>
      </c>
      <c r="K1869">
        <v>1.110228</v>
      </c>
      <c r="L1869">
        <v>282.92070000000001</v>
      </c>
      <c r="M1869">
        <v>-0.99983480000000002</v>
      </c>
      <c r="N1869">
        <v>0</v>
      </c>
      <c r="O1869">
        <v>-1.1753670000000001E-2</v>
      </c>
      <c r="P1869">
        <v>-0.99676920000000002</v>
      </c>
      <c r="Q1869">
        <v>7.6786049999999995E-2</v>
      </c>
      <c r="R1869">
        <v>2.355937E-2</v>
      </c>
      <c r="S1869">
        <v>-3.010345</v>
      </c>
      <c r="T1869">
        <v>3.9967419999999997E-2</v>
      </c>
      <c r="U1869">
        <v>-0.18817139999999999</v>
      </c>
      <c r="V1869">
        <v>3.5278120000000003E-2</v>
      </c>
      <c r="W1869">
        <v>9.0586600000000003E-2</v>
      </c>
      <c r="X1869">
        <v>0.99526349999999997</v>
      </c>
      <c r="Y1869">
        <v>-5.064685E-2</v>
      </c>
      <c r="Z1869">
        <v>1.7997989999999999E-4</v>
      </c>
      <c r="AA1869">
        <v>0.99871659999999995</v>
      </c>
      <c r="AB1869">
        <v>25</v>
      </c>
      <c r="AC1869">
        <v>-146.06849999999901</v>
      </c>
      <c r="AD1869">
        <v>1.94259</v>
      </c>
      <c r="AE1869">
        <v>-9.1433999999999802</v>
      </c>
      <c r="AF1869">
        <v>-7.42445428013058</v>
      </c>
      <c r="AG1869">
        <v>1.94259</v>
      </c>
      <c r="AH1869">
        <v>146.14014033340999</v>
      </c>
      <c r="AI1869">
        <v>89.239412800363894</v>
      </c>
      <c r="AJ1869">
        <v>92.908334981526195</v>
      </c>
      <c r="AK1869">
        <v>146.34150741991999</v>
      </c>
      <c r="AL1869">
        <v>84.802645124381698</v>
      </c>
      <c r="AM1869">
        <v>87.969943141328699</v>
      </c>
      <c r="AN1869">
        <v>0.99999995614127102</v>
      </c>
    </row>
    <row r="1870" spans="1:40" x14ac:dyDescent="0.25">
      <c r="A1870" t="str">
        <f>"20190312154545968"</f>
        <v>20190312154545968</v>
      </c>
      <c r="B1870" t="str">
        <f>"1552376745958373"</f>
        <v>1552376745958373</v>
      </c>
      <c r="C1870" t="s">
        <v>40</v>
      </c>
      <c r="D1870">
        <v>4.5602720000000003</v>
      </c>
      <c r="E1870">
        <v>0.46910740000000001</v>
      </c>
      <c r="F1870" t="s">
        <v>58</v>
      </c>
      <c r="G1870">
        <v>-512.82640000000004</v>
      </c>
      <c r="H1870">
        <v>3.5455320000000001</v>
      </c>
      <c r="I1870">
        <v>273.9128</v>
      </c>
      <c r="J1870">
        <v>-367.00020000000001</v>
      </c>
      <c r="K1870">
        <v>1.110239</v>
      </c>
      <c r="L1870">
        <v>282.91789999999997</v>
      </c>
      <c r="M1870">
        <v>-0.99983489999999997</v>
      </c>
      <c r="N1870">
        <v>0</v>
      </c>
      <c r="O1870">
        <v>-1.1753649999999999E-2</v>
      </c>
      <c r="P1870">
        <v>-0.996529</v>
      </c>
      <c r="Q1870">
        <v>7.9425659999999995E-2</v>
      </c>
      <c r="R1870">
        <v>2.492718E-2</v>
      </c>
      <c r="S1870">
        <v>-3.0102540000000002</v>
      </c>
      <c r="T1870">
        <v>5.0189499999999998E-2</v>
      </c>
      <c r="U1870">
        <v>-0.18563840000000001</v>
      </c>
      <c r="V1870">
        <v>3.6642960000000002E-2</v>
      </c>
      <c r="W1870">
        <v>9.3219940000000001E-2</v>
      </c>
      <c r="X1870">
        <v>0.99497100000000005</v>
      </c>
      <c r="Y1870">
        <v>-4.980975E-2</v>
      </c>
      <c r="Z1870">
        <v>2.1904739999999999E-4</v>
      </c>
      <c r="AA1870">
        <v>0.9987587</v>
      </c>
      <c r="AB1870">
        <v>25</v>
      </c>
      <c r="AC1870">
        <v>-145.8262</v>
      </c>
      <c r="AD1870">
        <v>2.4352930000000002</v>
      </c>
      <c r="AE1870">
        <v>-9.0050999999999704</v>
      </c>
      <c r="AF1870">
        <v>-7.2882982318650802</v>
      </c>
      <c r="AG1870">
        <v>2.4352930000000002</v>
      </c>
      <c r="AH1870">
        <v>145.88144768489701</v>
      </c>
      <c r="AI1870">
        <v>89.044804611093795</v>
      </c>
      <c r="AJ1870">
        <v>92.860143045455203</v>
      </c>
      <c r="AK1870">
        <v>146.08369765909501</v>
      </c>
      <c r="AL1870">
        <v>84.651124673804006</v>
      </c>
      <c r="AM1870">
        <v>87.890854566925796</v>
      </c>
      <c r="AN1870">
        <v>0.99999997728608203</v>
      </c>
    </row>
    <row r="1871" spans="1:40" x14ac:dyDescent="0.25">
      <c r="A1871" t="str">
        <f>"20190312154545992"</f>
        <v>20190312154545992</v>
      </c>
      <c r="B1871" t="str">
        <f>"1552376745978868"</f>
        <v>1552376745978868</v>
      </c>
      <c r="C1871" t="s">
        <v>40</v>
      </c>
      <c r="D1871">
        <v>4.5274859999999997</v>
      </c>
      <c r="E1871">
        <v>0.46918470000000001</v>
      </c>
      <c r="F1871" t="s">
        <v>58</v>
      </c>
      <c r="G1871">
        <v>-512.82640000000004</v>
      </c>
      <c r="H1871">
        <v>3.8552729999999999</v>
      </c>
      <c r="I1871">
        <v>274.16640000000001</v>
      </c>
      <c r="J1871">
        <v>-367.27</v>
      </c>
      <c r="K1871">
        <v>1.110239</v>
      </c>
      <c r="L1871">
        <v>282.91469999999998</v>
      </c>
      <c r="M1871">
        <v>-0.99983509999999998</v>
      </c>
      <c r="N1871">
        <v>0</v>
      </c>
      <c r="O1871">
        <v>-1.175387E-2</v>
      </c>
      <c r="P1871">
        <v>-0.9963571</v>
      </c>
      <c r="Q1871">
        <v>8.1081050000000002E-2</v>
      </c>
      <c r="R1871">
        <v>2.6437080000000002E-2</v>
      </c>
      <c r="S1871">
        <v>-3.010437</v>
      </c>
      <c r="T1871">
        <v>5.6670070000000003E-2</v>
      </c>
      <c r="U1871">
        <v>-0.18066409999999999</v>
      </c>
      <c r="V1871">
        <v>3.8151039999999997E-2</v>
      </c>
      <c r="W1871">
        <v>9.4869590000000004E-2</v>
      </c>
      <c r="X1871">
        <v>0.99475840000000004</v>
      </c>
      <c r="Y1871">
        <v>-4.8160340000000003E-2</v>
      </c>
      <c r="Z1871">
        <v>2.3180999999999999E-4</v>
      </c>
      <c r="AA1871">
        <v>0.99883960000000005</v>
      </c>
      <c r="AB1871">
        <v>25</v>
      </c>
      <c r="AC1871">
        <v>-145.5564</v>
      </c>
      <c r="AD1871">
        <v>2.745034</v>
      </c>
      <c r="AE1871">
        <v>-8.7482999999999702</v>
      </c>
      <c r="AF1871">
        <v>-7.0341878543650802</v>
      </c>
      <c r="AG1871">
        <v>2.745034</v>
      </c>
      <c r="AH1871">
        <v>145.59758280588099</v>
      </c>
      <c r="AI1871">
        <v>88.921156094427502</v>
      </c>
      <c r="AJ1871">
        <v>92.765953504849904</v>
      </c>
      <c r="AK1871">
        <v>145.79324788668001</v>
      </c>
      <c r="AL1871">
        <v>84.556186072239996</v>
      </c>
      <c r="AM1871">
        <v>87.803664898821793</v>
      </c>
      <c r="AN1871">
        <v>1.0000000076652</v>
      </c>
    </row>
    <row r="1872" spans="1:40" x14ac:dyDescent="0.25">
      <c r="A1872" t="str">
        <f>"20190312154546013"</f>
        <v>20190312154546013</v>
      </c>
      <c r="B1872" t="str">
        <f>"1552376746008149"</f>
        <v>1552376746008149</v>
      </c>
      <c r="C1872" t="s">
        <v>40</v>
      </c>
      <c r="D1872">
        <v>4.5469559999999998</v>
      </c>
      <c r="E1872">
        <v>0.46936480000000003</v>
      </c>
      <c r="F1872" t="s">
        <v>58</v>
      </c>
      <c r="G1872">
        <v>-512.82650000000001</v>
      </c>
      <c r="H1872">
        <v>3.9668079999999999</v>
      </c>
      <c r="I1872">
        <v>274.45359999999999</v>
      </c>
      <c r="J1872">
        <v>-367.4982</v>
      </c>
      <c r="K1872">
        <v>1.110249</v>
      </c>
      <c r="L1872">
        <v>282.91210000000001</v>
      </c>
      <c r="M1872">
        <v>-0.99983509999999998</v>
      </c>
      <c r="N1872">
        <v>0</v>
      </c>
      <c r="O1872">
        <v>-1.175386E-2</v>
      </c>
      <c r="P1872">
        <v>-0.9962202</v>
      </c>
      <c r="Q1872">
        <v>8.2021960000000005E-2</v>
      </c>
      <c r="R1872">
        <v>2.860244E-2</v>
      </c>
      <c r="S1872">
        <v>-3.010834</v>
      </c>
      <c r="T1872">
        <v>5.9089660000000002E-2</v>
      </c>
      <c r="U1872">
        <v>-0.17501829999999999</v>
      </c>
      <c r="V1872">
        <v>4.0314620000000002E-2</v>
      </c>
      <c r="W1872">
        <v>9.5806139999999998E-2</v>
      </c>
      <c r="X1872">
        <v>0.99458329999999995</v>
      </c>
      <c r="Y1872">
        <v>-4.6285739999999999E-2</v>
      </c>
      <c r="Z1872">
        <v>2.2330869999999999E-4</v>
      </c>
      <c r="AA1872">
        <v>0.99892820000000004</v>
      </c>
      <c r="AB1872">
        <v>25</v>
      </c>
      <c r="AC1872">
        <v>-145.32830000000001</v>
      </c>
      <c r="AD1872">
        <v>2.8565589999999998</v>
      </c>
      <c r="AE1872">
        <v>-8.4585000000000097</v>
      </c>
      <c r="AF1872">
        <v>-6.7469854804821097</v>
      </c>
      <c r="AG1872">
        <v>2.8565589999999998</v>
      </c>
      <c r="AH1872">
        <v>145.36171694271599</v>
      </c>
      <c r="AI1872">
        <v>88.875413928812407</v>
      </c>
      <c r="AJ1872">
        <v>92.6574847336109</v>
      </c>
      <c r="AK1872">
        <v>145.546248646018</v>
      </c>
      <c r="AL1872">
        <v>84.502280193936897</v>
      </c>
      <c r="AM1872">
        <v>87.678833158558703</v>
      </c>
      <c r="AN1872">
        <v>1.0000000128431601</v>
      </c>
    </row>
    <row r="1873" spans="1:40" x14ac:dyDescent="0.25">
      <c r="A1873" t="str">
        <f>"20190312154546035"</f>
        <v>20190312154546035</v>
      </c>
      <c r="B1873" t="str">
        <f>"1552376746028643"</f>
        <v>1552376746028643</v>
      </c>
      <c r="C1873" t="s">
        <v>40</v>
      </c>
      <c r="D1873">
        <v>4.5692279999999998</v>
      </c>
      <c r="E1873">
        <v>0.46947879999999997</v>
      </c>
      <c r="F1873" t="s">
        <v>58</v>
      </c>
      <c r="G1873">
        <v>-512.82640000000004</v>
      </c>
      <c r="H1873">
        <v>3.8893209999999998</v>
      </c>
      <c r="I1873">
        <v>274.84739999999999</v>
      </c>
      <c r="J1873">
        <v>-367.7448</v>
      </c>
      <c r="K1873">
        <v>1.1102529999999999</v>
      </c>
      <c r="L1873">
        <v>282.9092</v>
      </c>
      <c r="M1873">
        <v>-0.99983509999999998</v>
      </c>
      <c r="N1873">
        <v>0</v>
      </c>
      <c r="O1873">
        <v>-1.175384E-2</v>
      </c>
      <c r="P1873">
        <v>-0.99617250000000002</v>
      </c>
      <c r="Q1873">
        <v>8.1907339999999995E-2</v>
      </c>
      <c r="R1873">
        <v>3.0528369999999999E-2</v>
      </c>
      <c r="S1873">
        <v>-3.0114749999999999</v>
      </c>
      <c r="T1873">
        <v>5.7589170000000002E-2</v>
      </c>
      <c r="U1873">
        <v>-0.16711429999999999</v>
      </c>
      <c r="V1873">
        <v>4.2239869999999999E-2</v>
      </c>
      <c r="W1873">
        <v>9.5687930000000004E-2</v>
      </c>
      <c r="X1873">
        <v>0.99451480000000003</v>
      </c>
      <c r="Y1873">
        <v>-4.3660709999999998E-2</v>
      </c>
      <c r="Z1873">
        <v>1.925307E-4</v>
      </c>
      <c r="AA1873">
        <v>0.9990464</v>
      </c>
      <c r="AB1873">
        <v>25</v>
      </c>
      <c r="AC1873">
        <v>-145.08160000000001</v>
      </c>
      <c r="AD1873">
        <v>2.7790680000000001</v>
      </c>
      <c r="AE1873">
        <v>-8.0617999999999999</v>
      </c>
      <c r="AF1873">
        <v>-6.3534896170557502</v>
      </c>
      <c r="AG1873">
        <v>2.7790680000000001</v>
      </c>
      <c r="AH1873">
        <v>145.11326087144101</v>
      </c>
      <c r="AI1873">
        <v>88.903910900569301</v>
      </c>
      <c r="AJ1873">
        <v>92.506978325015098</v>
      </c>
      <c r="AK1873">
        <v>145.27886470510899</v>
      </c>
      <c r="AL1873">
        <v>84.509084521475899</v>
      </c>
      <c r="AM1873">
        <v>87.567947132427193</v>
      </c>
      <c r="AN1873">
        <v>1.00000003699217</v>
      </c>
    </row>
    <row r="1874" spans="1:40" x14ac:dyDescent="0.25">
      <c r="A1874" t="str">
        <f>"20190312154546057"</f>
        <v>20190312154546057</v>
      </c>
      <c r="B1874" t="str">
        <f>"1552376746048164"</f>
        <v>1552376746048164</v>
      </c>
      <c r="C1874" t="s">
        <v>40</v>
      </c>
      <c r="D1874">
        <v>4.5751089999999897</v>
      </c>
      <c r="E1874">
        <v>0.46958919999999998</v>
      </c>
      <c r="F1874" t="s">
        <v>58</v>
      </c>
      <c r="G1874">
        <v>-512.82640000000004</v>
      </c>
      <c r="H1874">
        <v>3.694156</v>
      </c>
      <c r="I1874">
        <v>275.18599999999998</v>
      </c>
      <c r="J1874">
        <v>-367.99180000000001</v>
      </c>
      <c r="K1874">
        <v>1.110252</v>
      </c>
      <c r="L1874">
        <v>282.90629999999999</v>
      </c>
      <c r="M1874">
        <v>-0.99983509999999998</v>
      </c>
      <c r="N1874">
        <v>0</v>
      </c>
      <c r="O1874">
        <v>-1.1753939999999999E-2</v>
      </c>
      <c r="P1874">
        <v>-0.99615920000000002</v>
      </c>
      <c r="Q1874">
        <v>8.1601220000000002E-2</v>
      </c>
      <c r="R1874">
        <v>3.175447E-2</v>
      </c>
      <c r="S1874">
        <v>-3.0120239999999998</v>
      </c>
      <c r="T1874">
        <v>5.3645730000000003E-2</v>
      </c>
      <c r="U1874">
        <v>-0.16033939999999999</v>
      </c>
      <c r="V1874">
        <v>4.3465770000000001E-2</v>
      </c>
      <c r="W1874">
        <v>9.5379400000000003E-2</v>
      </c>
      <c r="X1874">
        <v>0.99449160000000003</v>
      </c>
      <c r="Y1874">
        <v>-4.141102E-2</v>
      </c>
      <c r="Z1874">
        <v>1.593066E-4</v>
      </c>
      <c r="AA1874">
        <v>0.99914219999999998</v>
      </c>
      <c r="AB1874">
        <v>25</v>
      </c>
      <c r="AC1874">
        <v>-144.83459999999999</v>
      </c>
      <c r="AD1874">
        <v>2.5839039999999902</v>
      </c>
      <c r="AE1874">
        <v>-7.7202999999999999</v>
      </c>
      <c r="AF1874">
        <v>-6.0153171302124404</v>
      </c>
      <c r="AG1874">
        <v>2.5839039999999902</v>
      </c>
      <c r="AH1874">
        <v>144.86936730581499</v>
      </c>
      <c r="AI1874">
        <v>88.9790548441146</v>
      </c>
      <c r="AJ1874">
        <v>92.377689795328294</v>
      </c>
      <c r="AK1874">
        <v>145.017220300368</v>
      </c>
      <c r="AL1874">
        <v>84.526843134472401</v>
      </c>
      <c r="AM1874">
        <v>87.497393426519807</v>
      </c>
      <c r="AN1874">
        <v>1.0000000227882999</v>
      </c>
    </row>
    <row r="1875" spans="1:40" x14ac:dyDescent="0.25">
      <c r="A1875" t="str">
        <f>"20190312154546079"</f>
        <v>20190312154546079</v>
      </c>
      <c r="B1875" t="str">
        <f>"1552376746068660"</f>
        <v>1552376746068660</v>
      </c>
      <c r="C1875" t="s">
        <v>40</v>
      </c>
      <c r="D1875">
        <v>4.5402420000000001</v>
      </c>
      <c r="E1875">
        <v>0.46964810000000001</v>
      </c>
      <c r="F1875" t="s">
        <v>58</v>
      </c>
      <c r="G1875">
        <v>-512.82629999999995</v>
      </c>
      <c r="H1875">
        <v>3.4984540000000002</v>
      </c>
      <c r="I1875">
        <v>275.41739999999999</v>
      </c>
      <c r="J1875">
        <v>-368.23489999999998</v>
      </c>
      <c r="K1875">
        <v>1.110244</v>
      </c>
      <c r="L1875">
        <v>282.90339999999998</v>
      </c>
      <c r="M1875">
        <v>-0.99983509999999998</v>
      </c>
      <c r="N1875">
        <v>0</v>
      </c>
      <c r="O1875">
        <v>-1.1753919999999999E-2</v>
      </c>
      <c r="P1875">
        <v>-0.99617549999999999</v>
      </c>
      <c r="Q1875">
        <v>8.112192E-2</v>
      </c>
      <c r="R1875">
        <v>3.2461820000000002E-2</v>
      </c>
      <c r="S1875">
        <v>-3.0124209999999998</v>
      </c>
      <c r="T1875">
        <v>4.9673910000000002E-2</v>
      </c>
      <c r="U1875">
        <v>-0.1557617</v>
      </c>
      <c r="V1875">
        <v>4.4173219999999999E-2</v>
      </c>
      <c r="W1875">
        <v>9.4897140000000005E-2</v>
      </c>
      <c r="X1875">
        <v>0.99450649999999996</v>
      </c>
      <c r="Y1875">
        <v>-3.9890769999999999E-2</v>
      </c>
      <c r="Z1875">
        <v>1.349748E-4</v>
      </c>
      <c r="AA1875">
        <v>0.99920399999999998</v>
      </c>
      <c r="AB1875">
        <v>25</v>
      </c>
      <c r="AC1875">
        <v>-144.591399999999</v>
      </c>
      <c r="AD1875">
        <v>2.3882099999999999</v>
      </c>
      <c r="AE1875">
        <v>-7.48599999999999</v>
      </c>
      <c r="AF1875">
        <v>-5.7842303927613896</v>
      </c>
      <c r="AG1875">
        <v>2.3882099999999999</v>
      </c>
      <c r="AH1875">
        <v>144.63005700233899</v>
      </c>
      <c r="AI1875">
        <v>89.054742478727107</v>
      </c>
      <c r="AJ1875">
        <v>92.290225640498093</v>
      </c>
      <c r="AK1875">
        <v>144.76537658135101</v>
      </c>
      <c r="AL1875">
        <v>84.554600156858498</v>
      </c>
      <c r="AM1875">
        <v>87.456752047848099</v>
      </c>
      <c r="AN1875">
        <v>0.99999995954379794</v>
      </c>
    </row>
    <row r="1876" spans="1:40" x14ac:dyDescent="0.25">
      <c r="A1876" t="str">
        <f>"20190312154546101"</f>
        <v>20190312154546101</v>
      </c>
      <c r="B1876" t="str">
        <f>"1552376746098915"</f>
        <v>1552376746098915</v>
      </c>
      <c r="C1876" t="s">
        <v>40</v>
      </c>
      <c r="D1876">
        <v>4.4571719999999999</v>
      </c>
      <c r="E1876">
        <v>0.44729530000000001</v>
      </c>
      <c r="F1876" t="s">
        <v>58</v>
      </c>
      <c r="G1876">
        <v>-511.9597</v>
      </c>
      <c r="H1876">
        <v>3.2694369999999999</v>
      </c>
      <c r="I1876">
        <v>275.61849999999998</v>
      </c>
      <c r="J1876">
        <v>-368.47390000000001</v>
      </c>
      <c r="K1876">
        <v>1.1102379999999901</v>
      </c>
      <c r="L1876">
        <v>282.9006</v>
      </c>
      <c r="M1876">
        <v>-0.99983509999999998</v>
      </c>
      <c r="N1876">
        <v>0</v>
      </c>
      <c r="O1876">
        <v>-1.1753909999999999E-2</v>
      </c>
      <c r="P1876">
        <v>-0.99630940000000001</v>
      </c>
      <c r="Q1876">
        <v>7.9746159999999996E-2</v>
      </c>
      <c r="R1876">
        <v>3.1752809999999999E-2</v>
      </c>
      <c r="S1876">
        <v>-3.012848</v>
      </c>
      <c r="T1876">
        <v>4.5263890000000001E-2</v>
      </c>
      <c r="U1876">
        <v>-0.15270999999999901</v>
      </c>
      <c r="V1876">
        <v>4.3465950000000003E-2</v>
      </c>
      <c r="W1876">
        <v>9.3521419999999994E-2</v>
      </c>
      <c r="X1876">
        <v>0.994668</v>
      </c>
      <c r="Y1876">
        <v>-3.887475E-2</v>
      </c>
      <c r="Z1876">
        <v>1.153523E-4</v>
      </c>
      <c r="AA1876">
        <v>0.99924409999999997</v>
      </c>
      <c r="AB1876">
        <v>25</v>
      </c>
      <c r="AC1876">
        <v>-143.48579999999899</v>
      </c>
      <c r="AD1876">
        <v>2.1591990000000001</v>
      </c>
      <c r="AE1876">
        <v>-7.2821000000000096</v>
      </c>
      <c r="AF1876">
        <v>-5.5936526579916999</v>
      </c>
      <c r="AG1876">
        <v>2.1591990000000001</v>
      </c>
      <c r="AH1876">
        <v>143.52906921404599</v>
      </c>
      <c r="AI1876">
        <v>89.138781869148204</v>
      </c>
      <c r="AJ1876">
        <v>92.231816732845502</v>
      </c>
      <c r="AK1876">
        <v>143.65425437427899</v>
      </c>
      <c r="AL1876">
        <v>84.633775404807494</v>
      </c>
      <c r="AM1876">
        <v>87.497826339905899</v>
      </c>
      <c r="AN1876">
        <v>0.99999998751610897</v>
      </c>
    </row>
    <row r="1877" spans="1:40" x14ac:dyDescent="0.25">
      <c r="A1877" t="str">
        <f>"20190312154546125"</f>
        <v>20190312154546125</v>
      </c>
      <c r="B1877" t="str">
        <f>"1552376746118437"</f>
        <v>1552376746118437</v>
      </c>
      <c r="C1877" t="s">
        <v>40</v>
      </c>
      <c r="D1877">
        <v>4.463527</v>
      </c>
      <c r="E1877">
        <v>0.44259270000000001</v>
      </c>
      <c r="F1877" t="s">
        <v>58</v>
      </c>
      <c r="G1877">
        <v>-512.82569999999998</v>
      </c>
      <c r="H1877">
        <v>1.718737</v>
      </c>
      <c r="I1877">
        <v>266.91890000000001</v>
      </c>
      <c r="J1877">
        <v>-368.72089999999997</v>
      </c>
      <c r="K1877">
        <v>1.1102320000000001</v>
      </c>
      <c r="L1877">
        <v>282.89769999999999</v>
      </c>
      <c r="M1877">
        <v>-0.99983520000000004</v>
      </c>
      <c r="N1877">
        <v>0</v>
      </c>
      <c r="O1877">
        <v>-1.175413E-2</v>
      </c>
      <c r="P1877">
        <v>-0.99648800000000004</v>
      </c>
      <c r="Q1877">
        <v>7.7894309999999994E-2</v>
      </c>
      <c r="R1877">
        <v>3.0726989999999999E-2</v>
      </c>
      <c r="S1877">
        <v>-3.0207820000000001</v>
      </c>
      <c r="T1877">
        <v>1.2735369999999999E-2</v>
      </c>
      <c r="U1877">
        <v>-0.33444210000000002</v>
      </c>
      <c r="V1877">
        <v>4.244212E-2</v>
      </c>
      <c r="W1877">
        <v>9.1669730000000005E-2</v>
      </c>
      <c r="X1877">
        <v>0.99488460000000001</v>
      </c>
      <c r="Y1877">
        <v>-9.8349160000000005E-2</v>
      </c>
      <c r="Z1877">
        <v>1.5728439999999999E-4</v>
      </c>
      <c r="AA1877">
        <v>0.99515189999999998</v>
      </c>
      <c r="AB1877">
        <v>25</v>
      </c>
      <c r="AC1877">
        <v>-144.10480000000001</v>
      </c>
      <c r="AD1877">
        <v>0.60850499999999996</v>
      </c>
      <c r="AE1877">
        <v>-15.9787999999999</v>
      </c>
      <c r="AF1877">
        <v>-14.283455659476999</v>
      </c>
      <c r="AG1877">
        <v>0.60850499999999996</v>
      </c>
      <c r="AH1877">
        <v>144.280136504647</v>
      </c>
      <c r="AI1877">
        <v>89.759530570651506</v>
      </c>
      <c r="AJ1877">
        <v>95.653749775031201</v>
      </c>
      <c r="AK1877">
        <v>144.98670688622099</v>
      </c>
      <c r="AL1877">
        <v>84.740327383588095</v>
      </c>
      <c r="AM1877">
        <v>87.557223449827802</v>
      </c>
      <c r="AN1877">
        <v>1.0000000201327599</v>
      </c>
    </row>
    <row r="1878" spans="1:40" x14ac:dyDescent="0.25">
      <c r="A1878" t="str">
        <f>"20190312154546146"</f>
        <v>20190312154546146</v>
      </c>
      <c r="B1878" t="str">
        <f>"1552376746138934"</f>
        <v>1552376746138934</v>
      </c>
      <c r="C1878" t="s">
        <v>40</v>
      </c>
      <c r="D1878">
        <v>4.404979</v>
      </c>
      <c r="E1878">
        <v>0.44098720000000002</v>
      </c>
      <c r="F1878" t="s">
        <v>58</v>
      </c>
      <c r="G1878">
        <v>-512.82529999999997</v>
      </c>
      <c r="H1878">
        <v>0.57801759999999902</v>
      </c>
      <c r="I1878">
        <v>264.97680000000003</v>
      </c>
      <c r="J1878">
        <v>-368.96769999999998</v>
      </c>
      <c r="K1878">
        <v>1.1102270000000001</v>
      </c>
      <c r="L1878">
        <v>282.89479999999998</v>
      </c>
      <c r="M1878">
        <v>-0.99983529999999998</v>
      </c>
      <c r="N1878">
        <v>0</v>
      </c>
      <c r="O1878">
        <v>-1.1754229999999999E-2</v>
      </c>
      <c r="P1878">
        <v>-0.99662759999999995</v>
      </c>
      <c r="Q1878">
        <v>7.6686009999999999E-2</v>
      </c>
      <c r="R1878">
        <v>2.9210199999999999E-2</v>
      </c>
      <c r="S1878">
        <v>-3.0230410000000001</v>
      </c>
      <c r="T1878">
        <v>-1.116323E-2</v>
      </c>
      <c r="U1878">
        <v>-0.375946</v>
      </c>
      <c r="V1878">
        <v>4.0927419999999999E-2</v>
      </c>
      <c r="W1878">
        <v>9.0460750000000006E-2</v>
      </c>
      <c r="X1878">
        <v>0.99505869999999996</v>
      </c>
      <c r="Y1878">
        <v>-0.1117349</v>
      </c>
      <c r="Z1878">
        <v>-1.622766E-4</v>
      </c>
      <c r="AA1878">
        <v>0.99373809999999996</v>
      </c>
      <c r="AB1878">
        <v>25</v>
      </c>
      <c r="AC1878">
        <v>-143.85759999999999</v>
      </c>
      <c r="AD1878">
        <v>-0.53220940000000005</v>
      </c>
      <c r="AE1878">
        <v>-17.9179999999999</v>
      </c>
      <c r="AF1878">
        <v>-16.225446243675499</v>
      </c>
      <c r="AG1878">
        <v>-0.53220940000000005</v>
      </c>
      <c r="AH1878">
        <v>144.056350827427</v>
      </c>
      <c r="AI1878">
        <v>90.210345577903794</v>
      </c>
      <c r="AJ1878">
        <v>96.426291012774598</v>
      </c>
      <c r="AK1878">
        <v>144.96820536368199</v>
      </c>
      <c r="AL1878">
        <v>84.809885799093806</v>
      </c>
      <c r="AM1878">
        <v>87.6447144063293</v>
      </c>
      <c r="AN1878">
        <v>1.00000000872205</v>
      </c>
    </row>
    <row r="1879" spans="1:40" x14ac:dyDescent="0.25">
      <c r="A1879" t="str">
        <f>"20190312154546169"</f>
        <v>20190312154546169</v>
      </c>
      <c r="B1879" t="str">
        <f>"1552376746158452"</f>
        <v>1552376746158452</v>
      </c>
      <c r="C1879" t="s">
        <v>40</v>
      </c>
      <c r="D1879">
        <v>4.4380810000000004</v>
      </c>
      <c r="E1879">
        <v>0.44038080000000002</v>
      </c>
      <c r="F1879" t="s">
        <v>58</v>
      </c>
      <c r="G1879">
        <v>-512.82529999999997</v>
      </c>
      <c r="H1879">
        <v>0.2387561</v>
      </c>
      <c r="I1879">
        <v>264.15960000000001</v>
      </c>
      <c r="J1879">
        <v>-369.21260000000001</v>
      </c>
      <c r="K1879">
        <v>1.1102289999999999</v>
      </c>
      <c r="L1879">
        <v>282.89190000000002</v>
      </c>
      <c r="M1879">
        <v>-0.99983529999999998</v>
      </c>
      <c r="N1879">
        <v>0</v>
      </c>
      <c r="O1879">
        <v>-1.1754209999999999E-2</v>
      </c>
      <c r="P1879">
        <v>-0.99662850000000003</v>
      </c>
      <c r="Q1879">
        <v>7.6943949999999997E-2</v>
      </c>
      <c r="R1879">
        <v>2.8488599999999999E-2</v>
      </c>
      <c r="S1879">
        <v>-3.0230709999999998</v>
      </c>
      <c r="T1879">
        <v>-1.831174E-2</v>
      </c>
      <c r="U1879">
        <v>-0.39370729999999998</v>
      </c>
      <c r="V1879">
        <v>4.02058E-2</v>
      </c>
      <c r="W1879">
        <v>9.0716699999999997E-2</v>
      </c>
      <c r="X1879">
        <v>0.99506479999999997</v>
      </c>
      <c r="Y1879">
        <v>-0.11747589999999999</v>
      </c>
      <c r="Z1879">
        <v>-2.8340469999999998E-4</v>
      </c>
      <c r="AA1879">
        <v>0.99307570000000001</v>
      </c>
      <c r="AB1879">
        <v>25</v>
      </c>
      <c r="AC1879">
        <v>-143.61269999999899</v>
      </c>
      <c r="AD1879">
        <v>-0.87147289999999999</v>
      </c>
      <c r="AE1879">
        <v>-18.732299999999999</v>
      </c>
      <c r="AF1879">
        <v>-17.042173371800299</v>
      </c>
      <c r="AG1879">
        <v>-0.87147289999999999</v>
      </c>
      <c r="AH1879">
        <v>143.81777408861799</v>
      </c>
      <c r="AI1879">
        <v>90.344771034012695</v>
      </c>
      <c r="AJ1879">
        <v>96.757943305341001</v>
      </c>
      <c r="AK1879">
        <v>144.82661109773599</v>
      </c>
      <c r="AL1879">
        <v>84.7951603073531</v>
      </c>
      <c r="AM1879">
        <v>87.686210725392797</v>
      </c>
      <c r="AN1879">
        <v>0.99999999110578397</v>
      </c>
    </row>
    <row r="1880" spans="1:40" x14ac:dyDescent="0.25">
      <c r="A1880" t="str">
        <f>"20190312154546190"</f>
        <v>20190312154546190</v>
      </c>
      <c r="B1880" t="str">
        <f>"1552376746178949"</f>
        <v>1552376746178949</v>
      </c>
      <c r="C1880" t="s">
        <v>40</v>
      </c>
      <c r="D1880">
        <v>4.3441970000000003</v>
      </c>
      <c r="E1880">
        <v>0.44014300000000001</v>
      </c>
      <c r="F1880" t="s">
        <v>42</v>
      </c>
      <c r="G1880">
        <v>-499.95780000000002</v>
      </c>
      <c r="H1880">
        <v>1.3775519999999999E-2</v>
      </c>
      <c r="I1880">
        <v>265.54950000000002</v>
      </c>
      <c r="J1880">
        <v>-369.45100000000002</v>
      </c>
      <c r="K1880">
        <v>1.1102339999999999</v>
      </c>
      <c r="L1880">
        <v>282.88909999999998</v>
      </c>
      <c r="M1880">
        <v>-0.99983529999999998</v>
      </c>
      <c r="N1880">
        <v>0</v>
      </c>
      <c r="O1880">
        <v>-1.1754199999999999E-2</v>
      </c>
      <c r="P1880">
        <v>-0.99661770000000005</v>
      </c>
      <c r="Q1880">
        <v>7.7159599999999995E-2</v>
      </c>
      <c r="R1880">
        <v>2.827849E-2</v>
      </c>
      <c r="S1880">
        <v>-3.0236209999999999</v>
      </c>
      <c r="T1880">
        <v>-2.5356650000000001E-2</v>
      </c>
      <c r="U1880">
        <v>-0.40106199999999997</v>
      </c>
      <c r="V1880">
        <v>3.9995660000000002E-2</v>
      </c>
      <c r="W1880">
        <v>9.0929930000000006E-2</v>
      </c>
      <c r="X1880">
        <v>0.99505379999999999</v>
      </c>
      <c r="Y1880">
        <v>-0.11982520000000001</v>
      </c>
      <c r="Z1880">
        <v>-4.0210879999999998E-4</v>
      </c>
      <c r="AA1880">
        <v>0.99279490000000004</v>
      </c>
      <c r="AB1880">
        <v>25</v>
      </c>
      <c r="AC1880">
        <v>-130.5068</v>
      </c>
      <c r="AD1880">
        <v>-1.0964584799999999</v>
      </c>
      <c r="AE1880">
        <v>-17.339599999999901</v>
      </c>
      <c r="AF1880">
        <v>-15.8031560595123</v>
      </c>
      <c r="AG1880">
        <v>-1.0964584799999999</v>
      </c>
      <c r="AH1880">
        <v>130.692550058151</v>
      </c>
      <c r="AI1880">
        <v>90.477201677128804</v>
      </c>
      <c r="AJ1880">
        <v>96.894650741484199</v>
      </c>
      <c r="AK1880">
        <v>131.6490964775</v>
      </c>
      <c r="AL1880">
        <v>84.782892393018201</v>
      </c>
      <c r="AM1880">
        <v>87.698265539339999</v>
      </c>
      <c r="AN1880">
        <v>0.99999998494153997</v>
      </c>
    </row>
    <row r="1881" spans="1:40" x14ac:dyDescent="0.25">
      <c r="A1881" t="str">
        <f>"20190312154546214"</f>
        <v>20190312154546214</v>
      </c>
      <c r="B1881" t="str">
        <f>"1552376746208228"</f>
        <v>1552376746208228</v>
      </c>
      <c r="C1881" t="s">
        <v>40</v>
      </c>
      <c r="D1881">
        <v>4.28179</v>
      </c>
      <c r="E1881">
        <v>0.43973210000000001</v>
      </c>
      <c r="F1881" t="s">
        <v>42</v>
      </c>
      <c r="G1881">
        <v>-504.69869999999997</v>
      </c>
      <c r="H1881">
        <v>7.9986959999999996E-2</v>
      </c>
      <c r="I1881">
        <v>264.83100000000002</v>
      </c>
      <c r="J1881">
        <v>-369.70100000000002</v>
      </c>
      <c r="K1881">
        <v>1.110233</v>
      </c>
      <c r="L1881">
        <v>282.88619999999997</v>
      </c>
      <c r="M1881">
        <v>-0.99983540000000004</v>
      </c>
      <c r="N1881">
        <v>0</v>
      </c>
      <c r="O1881">
        <v>-1.1754540000000001E-2</v>
      </c>
      <c r="P1881">
        <v>-0.99660130000000002</v>
      </c>
      <c r="Q1881">
        <v>7.7518569999999995E-2</v>
      </c>
      <c r="R1881">
        <v>2.787191E-2</v>
      </c>
      <c r="S1881">
        <v>-3.0234380000000001</v>
      </c>
      <c r="T1881">
        <v>-2.3030999999999999E-2</v>
      </c>
      <c r="U1881">
        <v>-0.4036865</v>
      </c>
      <c r="V1881">
        <v>3.9589029999999997E-2</v>
      </c>
      <c r="W1881">
        <v>9.1286539999999999E-2</v>
      </c>
      <c r="X1881">
        <v>0.99503739999999996</v>
      </c>
      <c r="Y1881">
        <v>-0.1206801</v>
      </c>
      <c r="Z1881">
        <v>-3.6846969999999998E-4</v>
      </c>
      <c r="AA1881">
        <v>0.9926914</v>
      </c>
      <c r="AB1881">
        <v>24</v>
      </c>
      <c r="AC1881">
        <v>-134.99770000000001</v>
      </c>
      <c r="AD1881">
        <v>-1.03024604</v>
      </c>
      <c r="AE1881">
        <v>-18.055199999999999</v>
      </c>
      <c r="AF1881">
        <v>-16.466022804528201</v>
      </c>
      <c r="AG1881">
        <v>-1.03024604</v>
      </c>
      <c r="AH1881">
        <v>135.19288706771599</v>
      </c>
      <c r="AI1881">
        <v>90.433414934053701</v>
      </c>
      <c r="AJ1881">
        <v>96.944223411668602</v>
      </c>
      <c r="AK1881">
        <v>136.195844384498</v>
      </c>
      <c r="AL1881">
        <v>84.762374762585694</v>
      </c>
      <c r="AM1881">
        <v>87.721604636140597</v>
      </c>
      <c r="AN1881">
        <v>0.99999997554013498</v>
      </c>
    </row>
    <row r="1882" spans="1:40" x14ac:dyDescent="0.25">
      <c r="A1882" t="str">
        <f>"20190312154546237"</f>
        <v>20190312154546237</v>
      </c>
      <c r="B1882" t="str">
        <f>"1552376746228724"</f>
        <v>1552376746228724</v>
      </c>
      <c r="C1882" t="s">
        <v>40</v>
      </c>
      <c r="D1882">
        <v>4.3251900000000001</v>
      </c>
      <c r="E1882">
        <v>0.43970480000000001</v>
      </c>
      <c r="F1882" t="s">
        <v>58</v>
      </c>
      <c r="G1882">
        <v>-512.82529999999997</v>
      </c>
      <c r="H1882">
        <v>0.3801175</v>
      </c>
      <c r="I1882">
        <v>263.57040000000001</v>
      </c>
      <c r="J1882">
        <v>-369.96089999999998</v>
      </c>
      <c r="K1882">
        <v>1.1102350000000001</v>
      </c>
      <c r="L1882">
        <v>282.88310000000001</v>
      </c>
      <c r="M1882">
        <v>-0.99983540000000004</v>
      </c>
      <c r="N1882">
        <v>0</v>
      </c>
      <c r="O1882">
        <v>-1.175464E-2</v>
      </c>
      <c r="P1882">
        <v>-0.99662969999999895</v>
      </c>
      <c r="Q1882">
        <v>7.7184260000000005E-2</v>
      </c>
      <c r="R1882">
        <v>2.7787369999999999E-2</v>
      </c>
      <c r="S1882">
        <v>-3.0228579999999998</v>
      </c>
      <c r="T1882">
        <v>-1.541877E-2</v>
      </c>
      <c r="U1882">
        <v>-0.40795900000000002</v>
      </c>
      <c r="V1882">
        <v>3.9505140000000001E-2</v>
      </c>
      <c r="W1882">
        <v>9.0949870000000002E-2</v>
      </c>
      <c r="X1882">
        <v>0.99507159999999995</v>
      </c>
      <c r="Y1882">
        <v>-0.12208479999999999</v>
      </c>
      <c r="Z1882">
        <v>-2.5027429999999998E-4</v>
      </c>
      <c r="AA1882">
        <v>0.99251959999999995</v>
      </c>
      <c r="AB1882">
        <v>24</v>
      </c>
      <c r="AC1882">
        <v>-142.86439999999999</v>
      </c>
      <c r="AD1882">
        <v>-0.73011749999999997</v>
      </c>
      <c r="AE1882">
        <v>-19.3127</v>
      </c>
      <c r="AF1882">
        <v>-17.631433245070198</v>
      </c>
      <c r="AG1882">
        <v>-0.73011749999999997</v>
      </c>
      <c r="AH1882">
        <v>143.07789356942601</v>
      </c>
      <c r="AI1882">
        <v>90.290179299867901</v>
      </c>
      <c r="AJ1882">
        <v>97.025119447099897</v>
      </c>
      <c r="AK1882">
        <v>144.16200656935601</v>
      </c>
      <c r="AL1882">
        <v>84.781745303231006</v>
      </c>
      <c r="AM1882">
        <v>87.726505591985799</v>
      </c>
      <c r="AN1882">
        <v>1.0000000120329899</v>
      </c>
    </row>
    <row r="1883" spans="1:40" x14ac:dyDescent="0.25">
      <c r="A1883" t="str">
        <f>"20190312154546258"</f>
        <v>20190312154546258</v>
      </c>
      <c r="B1883" t="str">
        <f>"1552376746248244"</f>
        <v>1552376746248244</v>
      </c>
      <c r="C1883" t="s">
        <v>40</v>
      </c>
      <c r="D1883">
        <v>4.3032649999999997</v>
      </c>
      <c r="E1883">
        <v>0.43968449999999998</v>
      </c>
      <c r="F1883" t="s">
        <v>58</v>
      </c>
      <c r="G1883">
        <v>-512.82529999999997</v>
      </c>
      <c r="H1883">
        <v>0.44555210000000001</v>
      </c>
      <c r="I1883">
        <v>263.59359999999998</v>
      </c>
      <c r="J1883">
        <v>-370.19099999999997</v>
      </c>
      <c r="K1883">
        <v>1.1102320000000001</v>
      </c>
      <c r="L1883">
        <v>282.88040000000001</v>
      </c>
      <c r="M1883">
        <v>-0.99983540000000004</v>
      </c>
      <c r="N1883">
        <v>0</v>
      </c>
      <c r="O1883">
        <v>-1.175462E-2</v>
      </c>
      <c r="P1883">
        <v>-0.99664359999999996</v>
      </c>
      <c r="Q1883">
        <v>7.7068209999999998E-2</v>
      </c>
      <c r="R1883">
        <v>2.7604549999999999E-2</v>
      </c>
      <c r="S1883">
        <v>-3.0226139999999999</v>
      </c>
      <c r="T1883">
        <v>-1.4061209999999999E-2</v>
      </c>
      <c r="U1883">
        <v>-0.40811160000000002</v>
      </c>
      <c r="V1883">
        <v>3.93224E-2</v>
      </c>
      <c r="W1883">
        <v>9.0831629999999997E-2</v>
      </c>
      <c r="X1883">
        <v>0.99508969999999997</v>
      </c>
      <c r="Y1883">
        <v>-0.1221449</v>
      </c>
      <c r="Z1883">
        <v>-2.2839569999999999E-4</v>
      </c>
      <c r="AA1883">
        <v>0.99251230000000001</v>
      </c>
      <c r="AB1883">
        <v>24</v>
      </c>
      <c r="AC1883">
        <v>-142.6343</v>
      </c>
      <c r="AD1883">
        <v>-0.66467989999999899</v>
      </c>
      <c r="AE1883">
        <v>-19.286799999999999</v>
      </c>
      <c r="AF1883">
        <v>-17.608319609947198</v>
      </c>
      <c r="AG1883">
        <v>-0.66467989999999899</v>
      </c>
      <c r="AH1883">
        <v>142.84812809683399</v>
      </c>
      <c r="AI1883">
        <v>90.264595775993499</v>
      </c>
      <c r="AJ1883">
        <v>97.027174045909504</v>
      </c>
      <c r="AK1883">
        <v>143.93082511965599</v>
      </c>
      <c r="AL1883">
        <v>84.788548435574299</v>
      </c>
      <c r="AM1883">
        <v>87.737052317242103</v>
      </c>
      <c r="AN1883">
        <v>1.00000007359815</v>
      </c>
    </row>
    <row r="1884" spans="1:40" x14ac:dyDescent="0.25">
      <c r="A1884" t="str">
        <f>"20190312154546280"</f>
        <v>20190312154546280</v>
      </c>
      <c r="B1884" t="str">
        <f>"1552376746268741"</f>
        <v>1552376746268741</v>
      </c>
      <c r="C1884" t="s">
        <v>40</v>
      </c>
      <c r="D1884">
        <v>4.3094580000000002</v>
      </c>
      <c r="E1884">
        <v>0.4396909</v>
      </c>
      <c r="F1884" t="s">
        <v>58</v>
      </c>
      <c r="G1884">
        <v>-512.82529999999997</v>
      </c>
      <c r="H1884">
        <v>0.55969480000000005</v>
      </c>
      <c r="I1884">
        <v>263.56799999999998</v>
      </c>
      <c r="J1884">
        <v>-370.42559999999997</v>
      </c>
      <c r="K1884">
        <v>1.1102299999999901</v>
      </c>
      <c r="L1884">
        <v>282.8777</v>
      </c>
      <c r="M1884">
        <v>-0.99983529999999998</v>
      </c>
      <c r="N1884">
        <v>0</v>
      </c>
      <c r="O1884">
        <v>-1.1754489999999999E-2</v>
      </c>
      <c r="P1884">
        <v>-0.99665349999999997</v>
      </c>
      <c r="Q1884">
        <v>7.6921240000000002E-2</v>
      </c>
      <c r="R1884">
        <v>2.7655059999999999E-2</v>
      </c>
      <c r="S1884">
        <v>-3.022278</v>
      </c>
      <c r="T1884">
        <v>-1.1663679999999999E-2</v>
      </c>
      <c r="U1884">
        <v>-0.40921020000000002</v>
      </c>
      <c r="V1884">
        <v>3.937293E-2</v>
      </c>
      <c r="W1884">
        <v>9.0682509999999994E-2</v>
      </c>
      <c r="X1884">
        <v>0.99510120000000002</v>
      </c>
      <c r="Y1884">
        <v>-0.12251430000000001</v>
      </c>
      <c r="Z1884">
        <v>-1.9017940000000001E-4</v>
      </c>
      <c r="AA1884">
        <v>0.99246670000000003</v>
      </c>
      <c r="AB1884">
        <v>24</v>
      </c>
      <c r="AC1884">
        <v>-142.3997</v>
      </c>
      <c r="AD1884">
        <v>-0.550535199999999</v>
      </c>
      <c r="AE1884">
        <v>-19.309699999999999</v>
      </c>
      <c r="AF1884">
        <v>-17.634110995031399</v>
      </c>
      <c r="AG1884">
        <v>-0.550535199999999</v>
      </c>
      <c r="AH1884">
        <v>142.61476444929201</v>
      </c>
      <c r="AI1884">
        <v>90.219505940041699</v>
      </c>
      <c r="AJ1884">
        <v>97.048763452254306</v>
      </c>
      <c r="AK1884">
        <v>143.70189977351899</v>
      </c>
      <c r="AL1884">
        <v>84.797127256629807</v>
      </c>
      <c r="AM1884">
        <v>87.734173575535195</v>
      </c>
      <c r="AN1884">
        <v>0.99999997173906197</v>
      </c>
    </row>
    <row r="1885" spans="1:40" x14ac:dyDescent="0.25">
      <c r="A1885" t="str">
        <f>"20190312154546302"</f>
        <v>20190312154546302</v>
      </c>
      <c r="B1885" t="str">
        <f>"1552376746298996"</f>
        <v>1552376746298996</v>
      </c>
      <c r="C1885" t="s">
        <v>40</v>
      </c>
      <c r="D1885">
        <v>4.3220499999999999</v>
      </c>
      <c r="E1885">
        <v>0.4396467</v>
      </c>
      <c r="F1885" t="s">
        <v>58</v>
      </c>
      <c r="G1885">
        <v>-512.82539999999995</v>
      </c>
      <c r="H1885">
        <v>0.65827230000000003</v>
      </c>
      <c r="I1885">
        <v>263.61509999999998</v>
      </c>
      <c r="J1885">
        <v>-370.67599999999999</v>
      </c>
      <c r="K1885">
        <v>1.110228</v>
      </c>
      <c r="L1885">
        <v>282.87470000000002</v>
      </c>
      <c r="M1885">
        <v>-0.99983549999999999</v>
      </c>
      <c r="N1885">
        <v>0</v>
      </c>
      <c r="O1885">
        <v>-1.1754830000000001E-2</v>
      </c>
      <c r="P1885">
        <v>-0.99666840000000001</v>
      </c>
      <c r="Q1885">
        <v>7.6545489999999994E-2</v>
      </c>
      <c r="R1885">
        <v>2.8163799999999999E-2</v>
      </c>
      <c r="S1885">
        <v>-3.022186</v>
      </c>
      <c r="T1885">
        <v>-9.5903870000000006E-3</v>
      </c>
      <c r="U1885">
        <v>-0.4088135</v>
      </c>
      <c r="V1885">
        <v>3.9881970000000003E-2</v>
      </c>
      <c r="W1885">
        <v>9.0304529999999994E-2</v>
      </c>
      <c r="X1885">
        <v>0.99511530000000004</v>
      </c>
      <c r="Y1885">
        <v>-0.1223902</v>
      </c>
      <c r="Z1885">
        <v>-1.5618310000000001E-4</v>
      </c>
      <c r="AA1885">
        <v>0.99248210000000003</v>
      </c>
      <c r="AB1885">
        <v>24</v>
      </c>
      <c r="AC1885">
        <v>-142.14939999999899</v>
      </c>
      <c r="AD1885">
        <v>-0.45195570000000002</v>
      </c>
      <c r="AE1885">
        <v>-19.259599999999999</v>
      </c>
      <c r="AF1885">
        <v>-17.586993053400199</v>
      </c>
      <c r="AG1885">
        <v>-0.45195570000000002</v>
      </c>
      <c r="AH1885">
        <v>142.36457869158599</v>
      </c>
      <c r="AI1885">
        <v>90.180520402085804</v>
      </c>
      <c r="AJ1885">
        <v>97.042348527815193</v>
      </c>
      <c r="AK1885">
        <v>143.447481172198</v>
      </c>
      <c r="AL1885">
        <v>84.818873129381302</v>
      </c>
      <c r="AM1885">
        <v>87.704943042683396</v>
      </c>
      <c r="AN1885">
        <v>0.99999996998184504</v>
      </c>
    </row>
    <row r="1886" spans="1:40" x14ac:dyDescent="0.25">
      <c r="A1886" t="str">
        <f>"20190312154546326"</f>
        <v>20190312154546326</v>
      </c>
      <c r="B1886" t="str">
        <f>"1552376746318516"</f>
        <v>1552376746318516</v>
      </c>
      <c r="C1886" t="s">
        <v>40</v>
      </c>
      <c r="D1886">
        <v>4.2789929999999998</v>
      </c>
      <c r="E1886">
        <v>0.43969239999999998</v>
      </c>
      <c r="F1886" t="s">
        <v>58</v>
      </c>
      <c r="G1886">
        <v>-512.82539999999995</v>
      </c>
      <c r="H1886">
        <v>0.74526519999999996</v>
      </c>
      <c r="I1886">
        <v>263.71019999999999</v>
      </c>
      <c r="J1886">
        <v>-370.923</v>
      </c>
      <c r="K1886">
        <v>1.110228</v>
      </c>
      <c r="L1886">
        <v>282.87180000000001</v>
      </c>
      <c r="M1886">
        <v>-0.99983560000000005</v>
      </c>
      <c r="N1886">
        <v>0</v>
      </c>
      <c r="O1886">
        <v>-1.175493E-2</v>
      </c>
      <c r="P1886">
        <v>-0.99669850000000004</v>
      </c>
      <c r="Q1886">
        <v>7.5998280000000001E-2</v>
      </c>
      <c r="R1886">
        <v>2.8578280000000001E-2</v>
      </c>
      <c r="S1886">
        <v>-3.022125</v>
      </c>
      <c r="T1886">
        <v>-7.7575450000000002E-3</v>
      </c>
      <c r="U1886">
        <v>-0.40744019999999997</v>
      </c>
      <c r="V1886">
        <v>4.0296890000000002E-2</v>
      </c>
      <c r="W1886">
        <v>8.975553E-2</v>
      </c>
      <c r="X1886">
        <v>0.99514829999999999</v>
      </c>
      <c r="Y1886">
        <v>-0.12195010000000001</v>
      </c>
      <c r="Z1886">
        <v>-1.2577829999999999E-4</v>
      </c>
      <c r="AA1886">
        <v>0.99253619999999998</v>
      </c>
      <c r="AB1886">
        <v>24</v>
      </c>
      <c r="AC1886">
        <v>-141.90239999999901</v>
      </c>
      <c r="AD1886">
        <v>-0.36496279999999998</v>
      </c>
      <c r="AE1886">
        <v>-19.1616</v>
      </c>
      <c r="AF1886">
        <v>-17.491950445975402</v>
      </c>
      <c r="AG1886">
        <v>-0.36496279999999998</v>
      </c>
      <c r="AH1886">
        <v>142.11693536247</v>
      </c>
      <c r="AI1886">
        <v>90.146035874691094</v>
      </c>
      <c r="AJ1886">
        <v>97.016754059562103</v>
      </c>
      <c r="AK1886">
        <v>143.18982102464699</v>
      </c>
      <c r="AL1886">
        <v>84.850457014745501</v>
      </c>
      <c r="AM1886">
        <v>87.681168706420706</v>
      </c>
      <c r="AN1886">
        <v>1.0000000167510701</v>
      </c>
    </row>
    <row r="1887" spans="1:40" x14ac:dyDescent="0.25">
      <c r="A1887" t="str">
        <f>"20190312154546348"</f>
        <v>20190312154546348</v>
      </c>
      <c r="B1887" t="str">
        <f>"1552376746339012"</f>
        <v>1552376746339012</v>
      </c>
      <c r="C1887" t="s">
        <v>40</v>
      </c>
      <c r="D1887">
        <v>4.2640650000000004</v>
      </c>
      <c r="E1887">
        <v>0.43976539999999997</v>
      </c>
      <c r="F1887" t="s">
        <v>58</v>
      </c>
      <c r="G1887">
        <v>-512.82539999999995</v>
      </c>
      <c r="H1887">
        <v>0.7725706</v>
      </c>
      <c r="I1887">
        <v>263.79360000000003</v>
      </c>
      <c r="J1887">
        <v>-371.15929999999997</v>
      </c>
      <c r="K1887">
        <v>1.1102299999999901</v>
      </c>
      <c r="L1887">
        <v>282.86900000000003</v>
      </c>
      <c r="M1887">
        <v>-0.99983560000000005</v>
      </c>
      <c r="N1887">
        <v>0</v>
      </c>
      <c r="O1887">
        <v>-1.175492E-2</v>
      </c>
      <c r="P1887">
        <v>-0.99673929999999999</v>
      </c>
      <c r="Q1887">
        <v>7.5275090000000003E-2</v>
      </c>
      <c r="R1887">
        <v>2.906475E-2</v>
      </c>
      <c r="S1887">
        <v>-3.022125</v>
      </c>
      <c r="T1887">
        <v>-7.1895120000000003E-3</v>
      </c>
      <c r="U1887">
        <v>-0.40631099999999998</v>
      </c>
      <c r="V1887">
        <v>4.078391E-2</v>
      </c>
      <c r="W1887">
        <v>8.9030319999999996E-2</v>
      </c>
      <c r="X1887">
        <v>0.99519360000000001</v>
      </c>
      <c r="Y1887">
        <v>-0.1215859</v>
      </c>
      <c r="Z1887">
        <v>-1.161401E-4</v>
      </c>
      <c r="AA1887">
        <v>0.99258089999999999</v>
      </c>
      <c r="AB1887">
        <v>24</v>
      </c>
      <c r="AC1887">
        <v>-141.66609999999901</v>
      </c>
      <c r="AD1887">
        <v>-0.337659399999999</v>
      </c>
      <c r="AE1887">
        <v>-19.075399999999998</v>
      </c>
      <c r="AF1887">
        <v>-17.408552273306199</v>
      </c>
      <c r="AG1887">
        <v>-0.337659399999999</v>
      </c>
      <c r="AH1887">
        <v>141.87976972170901</v>
      </c>
      <c r="AI1887">
        <v>90.135342869497094</v>
      </c>
      <c r="AJ1887">
        <v>96.995188943934906</v>
      </c>
      <c r="AK1887">
        <v>142.94418757825699</v>
      </c>
      <c r="AL1887">
        <v>84.8921754923348</v>
      </c>
      <c r="AM1887">
        <v>87.653281636972295</v>
      </c>
      <c r="AN1887">
        <v>1.0000000133375699</v>
      </c>
    </row>
    <row r="1888" spans="1:40" x14ac:dyDescent="0.25">
      <c r="A1888" t="str">
        <f>"20190312154546370"</f>
        <v>20190312154546370</v>
      </c>
      <c r="B1888" t="str">
        <f>"1552376746358940"</f>
        <v>1552376746358940</v>
      </c>
      <c r="C1888" t="s">
        <v>40</v>
      </c>
      <c r="D1888">
        <v>4.2745220000000002</v>
      </c>
      <c r="E1888">
        <v>0.43977739999999998</v>
      </c>
      <c r="F1888" t="s">
        <v>58</v>
      </c>
      <c r="G1888">
        <v>-512.82539999999995</v>
      </c>
      <c r="H1888">
        <v>0.7953131</v>
      </c>
      <c r="I1888">
        <v>263.92809999999997</v>
      </c>
      <c r="J1888">
        <v>-371.40289999999999</v>
      </c>
      <c r="K1888">
        <v>1.1102270000000001</v>
      </c>
      <c r="L1888">
        <v>282.86619999999999</v>
      </c>
      <c r="M1888">
        <v>-0.99983560000000005</v>
      </c>
      <c r="N1888">
        <v>0</v>
      </c>
      <c r="O1888">
        <v>-1.1755140000000001E-2</v>
      </c>
      <c r="P1888">
        <v>-0.9968148</v>
      </c>
      <c r="Q1888">
        <v>7.414113E-2</v>
      </c>
      <c r="R1888">
        <v>2.9387469999999999E-2</v>
      </c>
      <c r="S1888">
        <v>-3.0220639999999999</v>
      </c>
      <c r="T1888">
        <v>-6.7162510000000003E-3</v>
      </c>
      <c r="U1888">
        <v>-0.40405269999999999</v>
      </c>
      <c r="V1888">
        <v>4.1107489999999997E-2</v>
      </c>
      <c r="W1888">
        <v>8.7894659999999999E-2</v>
      </c>
      <c r="X1888">
        <v>0.99528119999999998</v>
      </c>
      <c r="Y1888">
        <v>-0.1208597</v>
      </c>
      <c r="Z1888">
        <v>-1.0769870000000001E-4</v>
      </c>
      <c r="AA1888">
        <v>0.99266960000000004</v>
      </c>
      <c r="AB1888">
        <v>24</v>
      </c>
      <c r="AC1888">
        <v>-141.42249999999899</v>
      </c>
      <c r="AD1888">
        <v>-0.31491390000000002</v>
      </c>
      <c r="AE1888">
        <v>-18.938099999999999</v>
      </c>
      <c r="AF1888">
        <v>-17.274107365221798</v>
      </c>
      <c r="AG1888">
        <v>-0.31491390000000002</v>
      </c>
      <c r="AH1888">
        <v>141.63467800123999</v>
      </c>
      <c r="AI1888">
        <v>90.126455556493994</v>
      </c>
      <c r="AJ1888">
        <v>96.953589516944106</v>
      </c>
      <c r="AK1888">
        <v>142.68453303895501</v>
      </c>
      <c r="AL1888">
        <v>84.957499966408406</v>
      </c>
      <c r="AM1888">
        <v>87.634891758645793</v>
      </c>
      <c r="AN1888">
        <v>0.999999982032027</v>
      </c>
    </row>
    <row r="1889" spans="1:40" x14ac:dyDescent="0.25">
      <c r="A1889" t="str">
        <f>"20190312154546393"</f>
        <v>20190312154546393</v>
      </c>
      <c r="B1889" t="str">
        <f>"1552376746378439"</f>
        <v>1552376746378439</v>
      </c>
      <c r="C1889" t="s">
        <v>40</v>
      </c>
      <c r="D1889">
        <v>4.4010949999999998</v>
      </c>
      <c r="E1889">
        <v>0.46056710000000001</v>
      </c>
      <c r="F1889" t="s">
        <v>58</v>
      </c>
      <c r="G1889">
        <v>-512.82539999999995</v>
      </c>
      <c r="H1889">
        <v>0.72527680000000005</v>
      </c>
      <c r="I1889">
        <v>264.01209999999998</v>
      </c>
      <c r="J1889">
        <v>-371.6386</v>
      </c>
      <c r="K1889">
        <v>1.1102240000000001</v>
      </c>
      <c r="L1889">
        <v>282.86340000000001</v>
      </c>
      <c r="M1889">
        <v>-0.99983560000000005</v>
      </c>
      <c r="N1889">
        <v>0</v>
      </c>
      <c r="O1889">
        <v>-1.1755120000000001E-2</v>
      </c>
      <c r="P1889">
        <v>-0.99691600000000002</v>
      </c>
      <c r="Q1889">
        <v>7.2963E-2</v>
      </c>
      <c r="R1889">
        <v>2.8894510000000002E-2</v>
      </c>
      <c r="S1889">
        <v>-3.0220639999999999</v>
      </c>
      <c r="T1889">
        <v>-8.2243679999999993E-3</v>
      </c>
      <c r="U1889">
        <v>-0.4028931</v>
      </c>
      <c r="V1889">
        <v>4.0615709999999999E-2</v>
      </c>
      <c r="W1889">
        <v>8.6716150000000006E-2</v>
      </c>
      <c r="X1889">
        <v>0.99540479999999998</v>
      </c>
      <c r="Y1889">
        <v>-0.1204853</v>
      </c>
      <c r="Z1889">
        <v>-1.313783E-4</v>
      </c>
      <c r="AA1889">
        <v>0.99271509999999996</v>
      </c>
      <c r="AB1889">
        <v>24</v>
      </c>
      <c r="AC1889">
        <v>-141.18679999999901</v>
      </c>
      <c r="AD1889">
        <v>-0.38494719999999899</v>
      </c>
      <c r="AE1889">
        <v>-18.851299999999998</v>
      </c>
      <c r="AF1889">
        <v>-17.190045736324802</v>
      </c>
      <c r="AG1889">
        <v>-0.38494719999999899</v>
      </c>
      <c r="AH1889">
        <v>141.397630701742</v>
      </c>
      <c r="AI1889">
        <v>90.154844110599896</v>
      </c>
      <c r="AJ1889">
        <v>96.931568370913993</v>
      </c>
      <c r="AK1889">
        <v>142.43923555267301</v>
      </c>
      <c r="AL1889">
        <v>85.025282637273307</v>
      </c>
      <c r="AM1889">
        <v>87.663444475793099</v>
      </c>
      <c r="AN1889">
        <v>1.00000002121633</v>
      </c>
    </row>
    <row r="1890" spans="1:40" x14ac:dyDescent="0.25">
      <c r="A1890" t="str">
        <f>"20190312154546415"</f>
        <v>20190312154546415</v>
      </c>
      <c r="B1890" t="str">
        <f>"1552376746408695"</f>
        <v>1552376746408695</v>
      </c>
      <c r="C1890" t="s">
        <v>40</v>
      </c>
      <c r="D1890">
        <v>4.2942359999999997</v>
      </c>
      <c r="E1890">
        <v>0.51689399999999996</v>
      </c>
      <c r="F1890" t="s">
        <v>57</v>
      </c>
      <c r="G1890">
        <v>-430.54309999999998</v>
      </c>
      <c r="H1890">
        <v>5.5375580000000001E-2</v>
      </c>
      <c r="I1890">
        <v>278.17630000000003</v>
      </c>
      <c r="J1890">
        <v>-371.8861</v>
      </c>
      <c r="K1890">
        <v>1.1102160000000001</v>
      </c>
      <c r="L1890">
        <v>282.8605</v>
      </c>
      <c r="M1890">
        <v>-0.99983560000000005</v>
      </c>
      <c r="N1890">
        <v>0</v>
      </c>
      <c r="O1890">
        <v>-1.1754860000000001E-2</v>
      </c>
      <c r="P1890">
        <v>-0.99703589999999997</v>
      </c>
      <c r="Q1890">
        <v>7.1263049999999994E-2</v>
      </c>
      <c r="R1890">
        <v>2.9003290000000001E-2</v>
      </c>
      <c r="S1890">
        <v>-3.0202330000000002</v>
      </c>
      <c r="T1890">
        <v>-5.4085729999999999E-2</v>
      </c>
      <c r="U1890">
        <v>-0.24032590000000001</v>
      </c>
      <c r="V1890">
        <v>4.0725650000000002E-2</v>
      </c>
      <c r="W1890">
        <v>8.5014909999999999E-2</v>
      </c>
      <c r="X1890">
        <v>0.99554710000000002</v>
      </c>
      <c r="Y1890">
        <v>-6.7587960000000002E-2</v>
      </c>
      <c r="Z1890">
        <v>-3.9402589999999998E-4</v>
      </c>
      <c r="AA1890">
        <v>0.99771330000000003</v>
      </c>
      <c r="AB1890">
        <v>24</v>
      </c>
      <c r="AC1890">
        <v>-58.656999999999897</v>
      </c>
      <c r="AD1890">
        <v>-1.0548404199999999</v>
      </c>
      <c r="AE1890">
        <v>-4.6841999999999704</v>
      </c>
      <c r="AF1890">
        <v>-3.9930226202160202</v>
      </c>
      <c r="AG1890">
        <v>-1.0548404199999999</v>
      </c>
      <c r="AH1890">
        <v>58.689154403397602</v>
      </c>
      <c r="AI1890">
        <v>91.027311484944505</v>
      </c>
      <c r="AJ1890">
        <v>93.892223528500097</v>
      </c>
      <c r="AK1890">
        <v>58.834290703152597</v>
      </c>
      <c r="AL1890">
        <v>85.1231180934858</v>
      </c>
      <c r="AM1890">
        <v>87.657461354240098</v>
      </c>
      <c r="AN1890">
        <v>1.00000007090431</v>
      </c>
    </row>
    <row r="1891" spans="1:40" x14ac:dyDescent="0.25">
      <c r="A1891" t="str">
        <f>"20190312154546437"</f>
        <v>20190312154546437</v>
      </c>
      <c r="B1891" t="str">
        <f>"1552376746428215"</f>
        <v>1552376746428215</v>
      </c>
      <c r="C1891" t="s">
        <v>40</v>
      </c>
      <c r="D1891">
        <v>4.2810119999999996</v>
      </c>
      <c r="E1891">
        <v>0.52826490000000004</v>
      </c>
      <c r="F1891" t="s">
        <v>41</v>
      </c>
      <c r="G1891">
        <v>-372.68529999999998</v>
      </c>
      <c r="H1891">
        <v>0.99696470000000004</v>
      </c>
      <c r="I1891">
        <v>282.91129999999998</v>
      </c>
      <c r="J1891">
        <v>-372.1327</v>
      </c>
      <c r="K1891">
        <v>1.1102080000000001</v>
      </c>
      <c r="L1891">
        <v>282.85759999999999</v>
      </c>
      <c r="M1891">
        <v>-0.99983580000000005</v>
      </c>
      <c r="N1891">
        <v>0</v>
      </c>
      <c r="O1891">
        <v>-1.1755079999999999E-2</v>
      </c>
      <c r="P1891">
        <v>-0.99712849999999997</v>
      </c>
      <c r="Q1891">
        <v>6.9912230000000006E-2</v>
      </c>
      <c r="R1891">
        <v>2.9106960000000001E-2</v>
      </c>
      <c r="S1891">
        <v>-3.034027</v>
      </c>
      <c r="T1891">
        <v>-0.42986400000000002</v>
      </c>
      <c r="U1891">
        <v>0.19326779999999999</v>
      </c>
      <c r="V1891">
        <v>4.0830520000000002E-2</v>
      </c>
      <c r="W1891">
        <v>8.3662669999999995E-2</v>
      </c>
      <c r="X1891">
        <v>0.99565729999999997</v>
      </c>
      <c r="Y1891">
        <v>7.4441740000000006E-2</v>
      </c>
      <c r="Z1891">
        <v>6.8978809999999998E-3</v>
      </c>
      <c r="AA1891">
        <v>0.99720149999999996</v>
      </c>
      <c r="AB1891">
        <v>24</v>
      </c>
      <c r="AC1891">
        <v>-0.55259999999998399</v>
      </c>
      <c r="AD1891">
        <v>-0.11324330000000001</v>
      </c>
      <c r="AE1891">
        <v>5.3699999999991997E-2</v>
      </c>
      <c r="AF1891">
        <v>5.7788603207584603E-2</v>
      </c>
      <c r="AG1891">
        <v>-0.11324330000000001</v>
      </c>
      <c r="AH1891">
        <v>0.529885832899605</v>
      </c>
      <c r="AI1891">
        <v>101.994319450803</v>
      </c>
      <c r="AJ1891">
        <v>83.776000760577702</v>
      </c>
      <c r="AK1891">
        <v>0.54492436499323604</v>
      </c>
      <c r="AL1891">
        <v>85.200872505861497</v>
      </c>
      <c r="AM1891">
        <v>87.651695629157402</v>
      </c>
      <c r="AN1891">
        <v>1.00000001637914</v>
      </c>
    </row>
    <row r="1892" spans="1:40" x14ac:dyDescent="0.25">
      <c r="A1892" t="str">
        <f>"20190312154546461"</f>
        <v>20190312154546461</v>
      </c>
      <c r="B1892" t="str">
        <f>"1552376746448712"</f>
        <v>1552376746448712</v>
      </c>
      <c r="C1892" t="s">
        <v>40</v>
      </c>
      <c r="D1892">
        <v>4.2920749999999996</v>
      </c>
      <c r="E1892">
        <v>0.53332469999999998</v>
      </c>
      <c r="F1892" t="s">
        <v>41</v>
      </c>
      <c r="G1892">
        <v>-372.8886</v>
      </c>
      <c r="H1892">
        <v>0.97238000000000002</v>
      </c>
      <c r="I1892">
        <v>282.92750000000001</v>
      </c>
      <c r="J1892">
        <v>-372.3768</v>
      </c>
      <c r="K1892">
        <v>1.1102000000000001</v>
      </c>
      <c r="L1892">
        <v>282.85469999999998</v>
      </c>
      <c r="M1892">
        <v>-0.99983580000000005</v>
      </c>
      <c r="N1892">
        <v>0</v>
      </c>
      <c r="O1892">
        <v>-1.1755059999999999E-2</v>
      </c>
      <c r="P1892">
        <v>-0.99727080000000001</v>
      </c>
      <c r="Q1892">
        <v>6.8007540000000005E-2</v>
      </c>
      <c r="R1892">
        <v>2.8744949999999998E-2</v>
      </c>
      <c r="S1892">
        <v>-3.0393979999999998</v>
      </c>
      <c r="T1892">
        <v>-0.55430599999999997</v>
      </c>
      <c r="U1892">
        <v>0.27911380000000002</v>
      </c>
      <c r="V1892">
        <v>4.0470190000000003E-2</v>
      </c>
      <c r="W1892">
        <v>8.1757560000000007E-2</v>
      </c>
      <c r="X1892">
        <v>0.9958302</v>
      </c>
      <c r="Y1892">
        <v>0.101298</v>
      </c>
      <c r="Z1892">
        <v>1.126509E-2</v>
      </c>
      <c r="AA1892">
        <v>0.99479229999999996</v>
      </c>
      <c r="AB1892">
        <v>24</v>
      </c>
      <c r="AC1892">
        <v>-0.51179999999999304</v>
      </c>
      <c r="AD1892">
        <v>-0.13782</v>
      </c>
      <c r="AE1892">
        <v>7.2800000000029202E-2</v>
      </c>
      <c r="AF1892">
        <v>7.35818582197999E-2</v>
      </c>
      <c r="AG1892">
        <v>-0.13782</v>
      </c>
      <c r="AH1892">
        <v>0.47700505014581601</v>
      </c>
      <c r="AI1892">
        <v>105.936710035301</v>
      </c>
      <c r="AJ1892">
        <v>81.230786167397497</v>
      </c>
      <c r="AK1892">
        <v>0.50193870155995202</v>
      </c>
      <c r="AL1892">
        <v>85.310402312053796</v>
      </c>
      <c r="AM1892">
        <v>87.672800242011206</v>
      </c>
      <c r="AN1892">
        <v>0.99999996106391398</v>
      </c>
    </row>
    <row r="1893" spans="1:40" x14ac:dyDescent="0.25">
      <c r="A1893" t="str">
        <f>"20190312154546482"</f>
        <v>20190312154546482</v>
      </c>
      <c r="B1893" t="str">
        <f>"1552376746478967"</f>
        <v>1552376746478967</v>
      </c>
      <c r="C1893" t="s">
        <v>40</v>
      </c>
      <c r="D1893">
        <v>4.258705</v>
      </c>
      <c r="E1893">
        <v>0.53610519999999995</v>
      </c>
      <c r="F1893" t="s">
        <v>41</v>
      </c>
      <c r="G1893">
        <v>-373.0985</v>
      </c>
      <c r="H1893">
        <v>0.9617445</v>
      </c>
      <c r="I1893">
        <v>282.92970000000003</v>
      </c>
      <c r="J1893">
        <v>-372.61169999999998</v>
      </c>
      <c r="K1893">
        <v>1.1101909999999999</v>
      </c>
      <c r="L1893">
        <v>282.8519</v>
      </c>
      <c r="M1893">
        <v>-0.99983580000000005</v>
      </c>
      <c r="N1893">
        <v>0</v>
      </c>
      <c r="O1893">
        <v>-1.175528E-2</v>
      </c>
      <c r="P1893">
        <v>-0.99734780000000001</v>
      </c>
      <c r="Q1893">
        <v>6.6797430000000005E-2</v>
      </c>
      <c r="R1893">
        <v>2.891401E-2</v>
      </c>
      <c r="S1893">
        <v>-3.041779</v>
      </c>
      <c r="T1893">
        <v>-0.62578940000000005</v>
      </c>
      <c r="U1893">
        <v>0.31570429999999999</v>
      </c>
      <c r="V1893">
        <v>4.0640370000000002E-2</v>
      </c>
      <c r="W1893">
        <v>8.0545649999999996E-2</v>
      </c>
      <c r="X1893">
        <v>0.99592210000000003</v>
      </c>
      <c r="Y1893">
        <v>0.1123487</v>
      </c>
      <c r="Z1893">
        <v>1.379506E-2</v>
      </c>
      <c r="AA1893">
        <v>0.99357309999999999</v>
      </c>
      <c r="AB1893">
        <v>24</v>
      </c>
      <c r="AC1893">
        <v>-0.486800000000016</v>
      </c>
      <c r="AD1893">
        <v>-0.14844649999999901</v>
      </c>
      <c r="AE1893">
        <v>7.7800000000024697E-2</v>
      </c>
      <c r="AF1893">
        <v>7.6574300120728606E-2</v>
      </c>
      <c r="AG1893">
        <v>-0.14844649999999901</v>
      </c>
      <c r="AH1893">
        <v>0.44545985259123699</v>
      </c>
      <c r="AI1893">
        <v>108.181535158258</v>
      </c>
      <c r="AJ1893">
        <v>80.246214819981702</v>
      </c>
      <c r="AK1893">
        <v>0.475746221290128</v>
      </c>
      <c r="AL1893">
        <v>85.380069769383994</v>
      </c>
      <c r="AM1893">
        <v>87.663240438837903</v>
      </c>
      <c r="AN1893">
        <v>1.0000000353380301</v>
      </c>
    </row>
    <row r="1894" spans="1:40" x14ac:dyDescent="0.25">
      <c r="A1894" t="str">
        <f>"20190312154546505"</f>
        <v>20190312154546505</v>
      </c>
      <c r="B1894" t="str">
        <f>"1552376746498487"</f>
        <v>1552376746498487</v>
      </c>
      <c r="C1894" t="s">
        <v>40</v>
      </c>
      <c r="D1894">
        <v>4.2657590000000001</v>
      </c>
      <c r="E1894">
        <v>0.5369408</v>
      </c>
      <c r="F1894" t="s">
        <v>41</v>
      </c>
      <c r="G1894">
        <v>-373.31099999999998</v>
      </c>
      <c r="H1894">
        <v>0.95710059999999997</v>
      </c>
      <c r="I1894">
        <v>282.9298</v>
      </c>
      <c r="J1894">
        <v>-372.84570000000002</v>
      </c>
      <c r="K1894">
        <v>1.1101829999999999</v>
      </c>
      <c r="L1894">
        <v>282.8492</v>
      </c>
      <c r="M1894">
        <v>-0.99983580000000005</v>
      </c>
      <c r="N1894">
        <v>0</v>
      </c>
      <c r="O1894">
        <v>-1.175527E-2</v>
      </c>
      <c r="P1894">
        <v>-0.99740269999999998</v>
      </c>
      <c r="Q1894">
        <v>6.5923109999999993E-2</v>
      </c>
      <c r="R1894">
        <v>2.9025619999999999E-2</v>
      </c>
      <c r="S1894">
        <v>-3.0428470000000001</v>
      </c>
      <c r="T1894">
        <v>-0.66613109999999998</v>
      </c>
      <c r="U1894">
        <v>0.33731080000000002</v>
      </c>
      <c r="V1894">
        <v>4.0752669999999998E-2</v>
      </c>
      <c r="W1894">
        <v>7.9669660000000003E-2</v>
      </c>
      <c r="X1894">
        <v>0.99598799999999998</v>
      </c>
      <c r="Y1894">
        <v>0.1188003</v>
      </c>
      <c r="Z1894">
        <v>1.535006E-2</v>
      </c>
      <c r="AA1894">
        <v>0.99279949999999995</v>
      </c>
      <c r="AB1894">
        <v>24</v>
      </c>
      <c r="AC1894">
        <v>-0.46529999999995603</v>
      </c>
      <c r="AD1894">
        <v>-0.15308239999999901</v>
      </c>
      <c r="AE1894">
        <v>8.0600000000004002E-2</v>
      </c>
      <c r="AF1894">
        <v>7.7880525686388993E-2</v>
      </c>
      <c r="AG1894">
        <v>-0.15308239999999901</v>
      </c>
      <c r="AH1894">
        <v>0.42016665360282801</v>
      </c>
      <c r="AI1894">
        <v>109.709320141549</v>
      </c>
      <c r="AJ1894">
        <v>79.499045591579304</v>
      </c>
      <c r="AK1894">
        <v>0.45391586695195701</v>
      </c>
      <c r="AL1894">
        <v>85.430422258717002</v>
      </c>
      <c r="AM1894">
        <v>87.656945413608497</v>
      </c>
      <c r="AN1894">
        <v>1.0000000654903201</v>
      </c>
    </row>
    <row r="1895" spans="1:40" x14ac:dyDescent="0.25">
      <c r="A1895" t="str">
        <f>"20190312154546527"</f>
        <v>20190312154546527</v>
      </c>
      <c r="B1895" t="str">
        <f>"1552376746518982"</f>
        <v>1552376746518982</v>
      </c>
      <c r="C1895" t="s">
        <v>40</v>
      </c>
      <c r="D1895">
        <v>4.1970769999999904</v>
      </c>
      <c r="E1895">
        <v>0.53693299999999999</v>
      </c>
      <c r="F1895" t="s">
        <v>41</v>
      </c>
      <c r="G1895">
        <v>-373.72039999999998</v>
      </c>
      <c r="H1895">
        <v>0.91485459999999996</v>
      </c>
      <c r="I1895">
        <v>282.94830000000002</v>
      </c>
      <c r="J1895">
        <v>-373.089</v>
      </c>
      <c r="K1895">
        <v>1.1101780000000001</v>
      </c>
      <c r="L1895">
        <v>282.84629999999999</v>
      </c>
      <c r="M1895">
        <v>-0.9998359</v>
      </c>
      <c r="N1895">
        <v>0</v>
      </c>
      <c r="O1895">
        <v>-1.175525E-2</v>
      </c>
      <c r="P1895">
        <v>-0.99748919999999996</v>
      </c>
      <c r="Q1895">
        <v>6.4679760000000003E-2</v>
      </c>
      <c r="R1895">
        <v>2.884637E-2</v>
      </c>
      <c r="S1895">
        <v>-3.0427249999999999</v>
      </c>
      <c r="T1895">
        <v>-0.67957389999999995</v>
      </c>
      <c r="U1895">
        <v>0.34375</v>
      </c>
      <c r="V1895">
        <v>4.0574260000000001E-2</v>
      </c>
      <c r="W1895">
        <v>7.84252E-2</v>
      </c>
      <c r="X1895">
        <v>0.99609400000000003</v>
      </c>
      <c r="Y1895">
        <v>0.1207105</v>
      </c>
      <c r="Z1895">
        <v>1.5861429999999999E-2</v>
      </c>
      <c r="AA1895">
        <v>0.99256100000000003</v>
      </c>
      <c r="AB1895">
        <v>24</v>
      </c>
      <c r="AC1895">
        <v>-0.63139999999998497</v>
      </c>
      <c r="AD1895">
        <v>-0.19532340000000001</v>
      </c>
      <c r="AE1895">
        <v>0.102000000000032</v>
      </c>
      <c r="AF1895">
        <v>0.100081944572706</v>
      </c>
      <c r="AG1895">
        <v>-0.19532340000000001</v>
      </c>
      <c r="AH1895">
        <v>0.57640020723974295</v>
      </c>
      <c r="AI1895">
        <v>108.462731936938</v>
      </c>
      <c r="AJ1895">
        <v>80.149782773232204</v>
      </c>
      <c r="AK1895">
        <v>0.61676966942533196</v>
      </c>
      <c r="AL1895">
        <v>85.501948173653105</v>
      </c>
      <c r="AM1895">
        <v>87.6674396240535</v>
      </c>
      <c r="AN1895">
        <v>1.0000000197027901</v>
      </c>
    </row>
    <row r="1896" spans="1:40" x14ac:dyDescent="0.25">
      <c r="A1896" t="str">
        <f>"20190312154546548"</f>
        <v>20190312154546548</v>
      </c>
      <c r="B1896" t="str">
        <f>"1552376746538503"</f>
        <v>1552376746538503</v>
      </c>
      <c r="C1896" t="s">
        <v>40</v>
      </c>
      <c r="D1896">
        <v>4.2394569999999998</v>
      </c>
      <c r="E1896">
        <v>0.53758379999999995</v>
      </c>
      <c r="F1896" t="s">
        <v>41</v>
      </c>
      <c r="G1896">
        <v>-373.9359</v>
      </c>
      <c r="H1896">
        <v>0.9185548</v>
      </c>
      <c r="I1896">
        <v>282.94200000000001</v>
      </c>
      <c r="J1896">
        <v>-373.31939999999997</v>
      </c>
      <c r="K1896">
        <v>1.1101829999999999</v>
      </c>
      <c r="L1896">
        <v>282.84359999999998</v>
      </c>
      <c r="M1896">
        <v>-0.99983580000000005</v>
      </c>
      <c r="N1896">
        <v>0</v>
      </c>
      <c r="O1896">
        <v>-1.175523E-2</v>
      </c>
      <c r="P1896">
        <v>-0.99753800000000004</v>
      </c>
      <c r="Q1896">
        <v>6.3765669999999997E-2</v>
      </c>
      <c r="R1896">
        <v>2.9190460000000001E-2</v>
      </c>
      <c r="S1896">
        <v>-3.0422669999999998</v>
      </c>
      <c r="T1896">
        <v>-0.68839189999999995</v>
      </c>
      <c r="U1896">
        <v>0.34347529999999998</v>
      </c>
      <c r="V1896">
        <v>4.0918830000000003E-2</v>
      </c>
      <c r="W1896">
        <v>7.7509140000000004E-2</v>
      </c>
      <c r="X1896">
        <v>0.99615160000000003</v>
      </c>
      <c r="Y1896">
        <v>0.1205582</v>
      </c>
      <c r="Z1896">
        <v>1.6047700000000002E-2</v>
      </c>
      <c r="AA1896">
        <v>0.99257649999999997</v>
      </c>
      <c r="AB1896">
        <v>24</v>
      </c>
      <c r="AC1896">
        <v>-0.61650000000003002</v>
      </c>
      <c r="AD1896">
        <v>-0.191628199999999</v>
      </c>
      <c r="AE1896">
        <v>9.8400000000026397E-2</v>
      </c>
      <c r="AF1896">
        <v>9.6544861210704894E-2</v>
      </c>
      <c r="AG1896">
        <v>-0.191628199999999</v>
      </c>
      <c r="AH1896">
        <v>0.56232063996576698</v>
      </c>
      <c r="AI1896">
        <v>108.565486445201</v>
      </c>
      <c r="AJ1896">
        <v>80.257867931442505</v>
      </c>
      <c r="AK1896">
        <v>0.60186940393489297</v>
      </c>
      <c r="AL1896">
        <v>85.554594780206202</v>
      </c>
      <c r="AM1896">
        <v>87.647788776785504</v>
      </c>
      <c r="AN1896">
        <v>1.0000000138073299</v>
      </c>
    </row>
    <row r="1897" spans="1:40" x14ac:dyDescent="0.25">
      <c r="A1897" t="str">
        <f>"20190312154546570"</f>
        <v>20190312154546570</v>
      </c>
      <c r="B1897" t="str">
        <f>"1552376746558998"</f>
        <v>1552376746558998</v>
      </c>
      <c r="C1897" t="s">
        <v>40</v>
      </c>
      <c r="D1897">
        <v>4.2179570000000002</v>
      </c>
      <c r="E1897">
        <v>0.53796269999999902</v>
      </c>
      <c r="F1897" t="s">
        <v>41</v>
      </c>
      <c r="G1897">
        <v>-374.15010000000001</v>
      </c>
      <c r="H1897">
        <v>0.9196337</v>
      </c>
      <c r="I1897">
        <v>282.9393</v>
      </c>
      <c r="J1897">
        <v>-373.55189999999999</v>
      </c>
      <c r="K1897">
        <v>1.1101780000000001</v>
      </c>
      <c r="L1897">
        <v>282.84089999999998</v>
      </c>
      <c r="M1897">
        <v>-0.9998359</v>
      </c>
      <c r="N1897">
        <v>0</v>
      </c>
      <c r="O1897">
        <v>-1.175521E-2</v>
      </c>
      <c r="P1897">
        <v>-0.99758760000000002</v>
      </c>
      <c r="Q1897">
        <v>6.305065E-2</v>
      </c>
      <c r="R1897">
        <v>2.9047150000000001E-2</v>
      </c>
      <c r="S1897">
        <v>-3.041779</v>
      </c>
      <c r="T1897">
        <v>-0.69791510000000001</v>
      </c>
      <c r="U1897">
        <v>0.34887699999999999</v>
      </c>
      <c r="V1897">
        <v>4.0776050000000001E-2</v>
      </c>
      <c r="W1897">
        <v>7.6792689999999997E-2</v>
      </c>
      <c r="X1897">
        <v>0.99621289999999996</v>
      </c>
      <c r="Y1897">
        <v>0.122183</v>
      </c>
      <c r="Z1897">
        <v>1.6448569999999999E-2</v>
      </c>
      <c r="AA1897">
        <v>0.99237129999999996</v>
      </c>
      <c r="AB1897">
        <v>24</v>
      </c>
      <c r="AC1897">
        <v>-0.59820000000001905</v>
      </c>
      <c r="AD1897">
        <v>-0.1905443</v>
      </c>
      <c r="AE1897">
        <v>9.8400000000026397E-2</v>
      </c>
      <c r="AF1897">
        <v>9.5947386298243398E-2</v>
      </c>
      <c r="AG1897">
        <v>-0.1905443</v>
      </c>
      <c r="AH1897">
        <v>0.54332760237043798</v>
      </c>
      <c r="AI1897">
        <v>109.052616904407</v>
      </c>
      <c r="AJ1897">
        <v>79.985266037692099</v>
      </c>
      <c r="AK1897">
        <v>0.58371047163603595</v>
      </c>
      <c r="AL1897">
        <v>85.595766877856207</v>
      </c>
      <c r="AM1897">
        <v>87.6561313604888</v>
      </c>
      <c r="AN1897">
        <v>0.99999997280872399</v>
      </c>
    </row>
    <row r="1898" spans="1:40" x14ac:dyDescent="0.25">
      <c r="A1898" t="str">
        <f>"20190312154546593"</f>
        <v>20190312154546593</v>
      </c>
      <c r="B1898" t="str">
        <f>"1552376746588279"</f>
        <v>1552376746588279</v>
      </c>
      <c r="C1898" t="s">
        <v>40</v>
      </c>
      <c r="D1898">
        <v>4.2206739999999998</v>
      </c>
      <c r="E1898">
        <v>0.53962369999999904</v>
      </c>
      <c r="F1898" t="s">
        <v>41</v>
      </c>
      <c r="G1898">
        <v>-374.36489999999998</v>
      </c>
      <c r="H1898">
        <v>0.92287459999999999</v>
      </c>
      <c r="I1898">
        <v>282.93509999999998</v>
      </c>
      <c r="J1898">
        <v>-373.79109999999997</v>
      </c>
      <c r="K1898">
        <v>1.1101799999999999</v>
      </c>
      <c r="L1898">
        <v>282.8381</v>
      </c>
      <c r="M1898">
        <v>-0.99983599999999995</v>
      </c>
      <c r="N1898">
        <v>0</v>
      </c>
      <c r="O1898">
        <v>-1.1755430000000001E-2</v>
      </c>
      <c r="P1898">
        <v>-0.99760850000000001</v>
      </c>
      <c r="Q1898">
        <v>6.2704789999999996E-2</v>
      </c>
      <c r="R1898">
        <v>2.9082770000000001E-2</v>
      </c>
      <c r="S1898">
        <v>-3.0412599999999999</v>
      </c>
      <c r="T1898">
        <v>-0.70063350000000002</v>
      </c>
      <c r="U1898">
        <v>0.35192869999999998</v>
      </c>
      <c r="V1898">
        <v>4.0812019999999997E-2</v>
      </c>
      <c r="W1898">
        <v>7.6444200000000004E-2</v>
      </c>
      <c r="X1898">
        <v>0.99623819999999996</v>
      </c>
      <c r="Y1898">
        <v>0.1231334</v>
      </c>
      <c r="Z1898">
        <v>1.6620599999999999E-2</v>
      </c>
      <c r="AA1898">
        <v>0.99225090000000005</v>
      </c>
      <c r="AB1898">
        <v>24</v>
      </c>
      <c r="AC1898">
        <v>-0.57380000000000497</v>
      </c>
      <c r="AD1898">
        <v>-0.18730540000000001</v>
      </c>
      <c r="AE1898">
        <v>9.6999999999980005E-2</v>
      </c>
      <c r="AF1898">
        <v>9.4001076649795803E-2</v>
      </c>
      <c r="AG1898">
        <v>-0.18730540000000001</v>
      </c>
      <c r="AH1898">
        <v>0.51886742496899996</v>
      </c>
      <c r="AI1898">
        <v>109.55538739583</v>
      </c>
      <c r="AJ1898">
        <v>79.731335528018107</v>
      </c>
      <c r="AK1898">
        <v>0.55959174401919298</v>
      </c>
      <c r="AL1898">
        <v>85.615792624106007</v>
      </c>
      <c r="AM1898">
        <v>87.654125569526101</v>
      </c>
      <c r="AN1898">
        <v>0.99999994391467795</v>
      </c>
    </row>
    <row r="1899" spans="1:40" x14ac:dyDescent="0.25">
      <c r="A1899" t="str">
        <f>"20190312154546616"</f>
        <v>20190312154546616</v>
      </c>
      <c r="B1899" t="str">
        <f>"1552376746608775"</f>
        <v>1552376746608775</v>
      </c>
      <c r="C1899" t="s">
        <v>40</v>
      </c>
      <c r="D1899">
        <v>4.1673939999999998</v>
      </c>
      <c r="E1899">
        <v>0.54040589999999999</v>
      </c>
      <c r="F1899" t="s">
        <v>41</v>
      </c>
      <c r="G1899">
        <v>-374.5797</v>
      </c>
      <c r="H1899">
        <v>0.92638050000000005</v>
      </c>
      <c r="I1899">
        <v>282.93310000000002</v>
      </c>
      <c r="J1899">
        <v>-374.03949999999998</v>
      </c>
      <c r="K1899">
        <v>1.1101810000000001</v>
      </c>
      <c r="L1899">
        <v>282.83510000000001</v>
      </c>
      <c r="M1899">
        <v>-0.99983610000000001</v>
      </c>
      <c r="N1899">
        <v>0</v>
      </c>
      <c r="O1899">
        <v>-1.175554E-2</v>
      </c>
      <c r="P1899">
        <v>-0.99766089999999996</v>
      </c>
      <c r="Q1899">
        <v>6.1996280000000001E-2</v>
      </c>
      <c r="R1899">
        <v>2.87987E-2</v>
      </c>
      <c r="S1899">
        <v>-3.0411380000000001</v>
      </c>
      <c r="T1899">
        <v>-0.70876790000000001</v>
      </c>
      <c r="U1899">
        <v>0.36505130000000002</v>
      </c>
      <c r="V1899">
        <v>4.0528630000000003E-2</v>
      </c>
      <c r="W1899">
        <v>7.5734350000000006E-2</v>
      </c>
      <c r="X1899">
        <v>0.99630399999999997</v>
      </c>
      <c r="Y1899">
        <v>0.12717439999999999</v>
      </c>
      <c r="Z1899">
        <v>1.7268309999999999E-2</v>
      </c>
      <c r="AA1899">
        <v>0.99173</v>
      </c>
      <c r="AB1899">
        <v>24</v>
      </c>
      <c r="AC1899">
        <v>-0.54020000000002699</v>
      </c>
      <c r="AD1899">
        <v>-0.18380049999999901</v>
      </c>
      <c r="AE1899">
        <v>9.8000000000013202E-2</v>
      </c>
      <c r="AF1899">
        <v>9.3828086196881599E-2</v>
      </c>
      <c r="AG1899">
        <v>-0.18380049999999901</v>
      </c>
      <c r="AH1899">
        <v>0.48468758792075101</v>
      </c>
      <c r="AI1899">
        <v>110.42042514326199</v>
      </c>
      <c r="AJ1899">
        <v>79.043933641241196</v>
      </c>
      <c r="AK1899">
        <v>0.52679065238864597</v>
      </c>
      <c r="AL1899">
        <v>85.656582359649093</v>
      </c>
      <c r="AM1899">
        <v>87.670550501098703</v>
      </c>
      <c r="AN1899">
        <v>0.99999996101779898</v>
      </c>
    </row>
    <row r="1900" spans="1:40" x14ac:dyDescent="0.25">
      <c r="A1900" t="str">
        <f>"20190312154546638"</f>
        <v>20190312154546638</v>
      </c>
      <c r="B1900" t="str">
        <f>"1552376746628295"</f>
        <v>1552376746628295</v>
      </c>
      <c r="C1900" t="s">
        <v>40</v>
      </c>
      <c r="D1900">
        <v>4.1927859999999999</v>
      </c>
      <c r="E1900">
        <v>0.54093119999999995</v>
      </c>
      <c r="F1900" t="s">
        <v>41</v>
      </c>
      <c r="G1900">
        <v>-374.79579999999999</v>
      </c>
      <c r="H1900">
        <v>0.93359899999999996</v>
      </c>
      <c r="I1900">
        <v>282.92720000000003</v>
      </c>
      <c r="J1900">
        <v>-374.27460000000002</v>
      </c>
      <c r="K1900">
        <v>1.1101780000000001</v>
      </c>
      <c r="L1900">
        <v>282.83240000000001</v>
      </c>
      <c r="M1900">
        <v>-0.99983599999999995</v>
      </c>
      <c r="N1900">
        <v>0</v>
      </c>
      <c r="O1900">
        <v>-1.1755399999999999E-2</v>
      </c>
      <c r="P1900">
        <v>-0.99769929999999996</v>
      </c>
      <c r="Q1900">
        <v>6.1234530000000002E-2</v>
      </c>
      <c r="R1900">
        <v>2.9101060000000002E-2</v>
      </c>
      <c r="S1900">
        <v>-3.0404969999999998</v>
      </c>
      <c r="T1900">
        <v>-0.70985259999999994</v>
      </c>
      <c r="U1900">
        <v>0.36993409999999999</v>
      </c>
      <c r="V1900">
        <v>4.0831449999999998E-2</v>
      </c>
      <c r="W1900">
        <v>7.4970729999999999E-2</v>
      </c>
      <c r="X1900">
        <v>0.9963495</v>
      </c>
      <c r="Y1900">
        <v>0.12871589999999999</v>
      </c>
      <c r="Z1900">
        <v>1.7472890000000001E-2</v>
      </c>
      <c r="AA1900">
        <v>0.99152759999999995</v>
      </c>
      <c r="AB1900">
        <v>24</v>
      </c>
      <c r="AC1900">
        <v>-0.52119999999996403</v>
      </c>
      <c r="AD1900">
        <v>-0.17657900000000001</v>
      </c>
      <c r="AE1900">
        <v>9.4800000000020604E-2</v>
      </c>
      <c r="AF1900">
        <v>9.08293415359685E-2</v>
      </c>
      <c r="AG1900">
        <v>-0.17657900000000001</v>
      </c>
      <c r="AH1900">
        <v>0.468047049398577</v>
      </c>
      <c r="AI1900">
        <v>110.32253075634701</v>
      </c>
      <c r="AJ1900">
        <v>79.017669778465802</v>
      </c>
      <c r="AK1900">
        <v>0.50842713634853398</v>
      </c>
      <c r="AL1900">
        <v>85.700459787381206</v>
      </c>
      <c r="AM1900">
        <v>87.653271865898503</v>
      </c>
      <c r="AN1900">
        <v>1.00000007190804</v>
      </c>
    </row>
    <row r="1901" spans="1:40" x14ac:dyDescent="0.25">
      <c r="A1901" t="str">
        <f>"20190312154546660"</f>
        <v>20190312154546660</v>
      </c>
      <c r="B1901" t="str">
        <f>"1552376746648793"</f>
        <v>1552376746648793</v>
      </c>
      <c r="C1901" t="s">
        <v>40</v>
      </c>
      <c r="D1901">
        <v>4.1594660000000001</v>
      </c>
      <c r="E1901">
        <v>0.54152109999999998</v>
      </c>
      <c r="F1901" t="s">
        <v>41</v>
      </c>
      <c r="G1901">
        <v>-375.01069999999999</v>
      </c>
      <c r="H1901">
        <v>0.93830440000000004</v>
      </c>
      <c r="I1901">
        <v>282.9237</v>
      </c>
      <c r="J1901">
        <v>-374.51130000000001</v>
      </c>
      <c r="K1901">
        <v>1.110179</v>
      </c>
      <c r="L1901">
        <v>282.8297</v>
      </c>
      <c r="M1901">
        <v>-0.99983599999999995</v>
      </c>
      <c r="N1901">
        <v>0</v>
      </c>
      <c r="O1901">
        <v>-1.17555E-2</v>
      </c>
      <c r="P1901">
        <v>-0.99770380000000003</v>
      </c>
      <c r="Q1901">
        <v>6.1171929999999999E-2</v>
      </c>
      <c r="R1901">
        <v>2.9075449999999999E-2</v>
      </c>
      <c r="S1901">
        <v>-3.0395509999999999</v>
      </c>
      <c r="T1901">
        <v>-0.70980859999999901</v>
      </c>
      <c r="U1901">
        <v>0.3757935</v>
      </c>
      <c r="V1901">
        <v>4.0805979999999999E-2</v>
      </c>
      <c r="W1901">
        <v>7.4905100000000002E-2</v>
      </c>
      <c r="X1901">
        <v>0.9963554</v>
      </c>
      <c r="Y1901">
        <v>0.13058549999999999</v>
      </c>
      <c r="Z1901">
        <v>1.768977E-2</v>
      </c>
      <c r="AA1901">
        <v>0.99127920000000003</v>
      </c>
      <c r="AB1901">
        <v>24</v>
      </c>
      <c r="AC1901">
        <v>-0.49939999999998003</v>
      </c>
      <c r="AD1901">
        <v>-0.17187459999999999</v>
      </c>
      <c r="AE1901">
        <v>9.3999999999994005E-2</v>
      </c>
      <c r="AF1901">
        <v>8.9613451038614095E-2</v>
      </c>
      <c r="AG1901">
        <v>-0.17187459999999999</v>
      </c>
      <c r="AH1901">
        <v>0.44711299456431203</v>
      </c>
      <c r="AI1901">
        <v>110.652119170877</v>
      </c>
      <c r="AJ1901">
        <v>78.666553156952105</v>
      </c>
      <c r="AK1901">
        <v>0.48732071435603502</v>
      </c>
      <c r="AL1901">
        <v>85.704230370697502</v>
      </c>
      <c r="AM1901">
        <v>87.654747954176202</v>
      </c>
      <c r="AN1901">
        <v>0.99999999255946503</v>
      </c>
    </row>
    <row r="1902" spans="1:40" x14ac:dyDescent="0.25">
      <c r="A1902" t="str">
        <f>"20190312154546693"</f>
        <v>20190312154546693</v>
      </c>
      <c r="B1902" t="str">
        <f>"1552376746688807"</f>
        <v>1552376746688807</v>
      </c>
      <c r="C1902" t="s">
        <v>40</v>
      </c>
      <c r="D1902">
        <v>4.1715970000000002</v>
      </c>
      <c r="E1902">
        <v>0.54233520000000002</v>
      </c>
      <c r="F1902" t="s">
        <v>41</v>
      </c>
      <c r="G1902">
        <v>-375.22550000000001</v>
      </c>
      <c r="H1902">
        <v>0.94372880000000003</v>
      </c>
      <c r="I1902">
        <v>282.91910000000001</v>
      </c>
      <c r="J1902">
        <v>-374.85329999999999</v>
      </c>
      <c r="K1902">
        <v>1.1101780000000001</v>
      </c>
      <c r="L1902">
        <v>282.82560000000001</v>
      </c>
      <c r="M1902">
        <v>-0.99983599999999995</v>
      </c>
      <c r="N1902">
        <v>0</v>
      </c>
      <c r="O1902">
        <v>-1.175548E-2</v>
      </c>
      <c r="P1902">
        <v>-0.99771540000000003</v>
      </c>
      <c r="Q1902">
        <v>6.1046209999999997E-2</v>
      </c>
      <c r="R1902">
        <v>2.8935079999999998E-2</v>
      </c>
      <c r="S1902">
        <v>-3.0392760000000001</v>
      </c>
      <c r="T1902">
        <v>-0.70838009999999996</v>
      </c>
      <c r="U1902">
        <v>0.38076779999999999</v>
      </c>
      <c r="V1902">
        <v>4.0665560000000003E-2</v>
      </c>
      <c r="W1902">
        <v>7.4776229999999999E-2</v>
      </c>
      <c r="X1902">
        <v>0.99637089999999995</v>
      </c>
      <c r="Y1902">
        <v>0.13216729999999999</v>
      </c>
      <c r="Z1902">
        <v>1.783614E-2</v>
      </c>
      <c r="AA1902">
        <v>0.99106689999999997</v>
      </c>
      <c r="AB1902">
        <v>24</v>
      </c>
      <c r="AC1902">
        <v>-0.37220000000002001</v>
      </c>
      <c r="AD1902">
        <v>-0.16644919999999999</v>
      </c>
      <c r="AE1902">
        <v>9.3500000000005898E-2</v>
      </c>
      <c r="AF1902">
        <v>8.2373306627056303E-2</v>
      </c>
      <c r="AG1902">
        <v>-0.16644919999999999</v>
      </c>
      <c r="AH1902">
        <v>0.31232127152129802</v>
      </c>
      <c r="AI1902">
        <v>117.26296958339501</v>
      </c>
      <c r="AJ1902">
        <v>75.224958937576801</v>
      </c>
      <c r="AK1902">
        <v>0.36336658414058298</v>
      </c>
      <c r="AL1902">
        <v>85.711635182208695</v>
      </c>
      <c r="AM1902">
        <v>87.662845700196996</v>
      </c>
      <c r="AN1902">
        <v>1.0000000713549599</v>
      </c>
    </row>
    <row r="1903" spans="1:40" x14ac:dyDescent="0.25">
      <c r="A1903" t="str">
        <f>"20190312154546710"</f>
        <v>20190312154546710</v>
      </c>
      <c r="B1903" t="str">
        <f>"1552376746698568"</f>
        <v>1552376746698568</v>
      </c>
      <c r="C1903" t="s">
        <v>40</v>
      </c>
      <c r="D1903">
        <v>4.1089000000000002</v>
      </c>
      <c r="E1903">
        <v>0.54251559999999999</v>
      </c>
      <c r="F1903" t="s">
        <v>41</v>
      </c>
      <c r="G1903">
        <v>-375.64179999999999</v>
      </c>
      <c r="H1903">
        <v>0.9268343</v>
      </c>
      <c r="I1903">
        <v>282.92619999999999</v>
      </c>
      <c r="J1903">
        <v>-375.03460000000001</v>
      </c>
      <c r="K1903">
        <v>1.1101829999999999</v>
      </c>
      <c r="L1903">
        <v>282.82339999999999</v>
      </c>
      <c r="M1903">
        <v>-0.99983610000000001</v>
      </c>
      <c r="N1903">
        <v>0</v>
      </c>
      <c r="O1903">
        <v>-1.1755699999999999E-2</v>
      </c>
      <c r="P1903">
        <v>-0.99773990000000001</v>
      </c>
      <c r="Q1903">
        <v>6.0836429999999997E-2</v>
      </c>
      <c r="R1903">
        <v>2.8533039999999999E-2</v>
      </c>
      <c r="S1903">
        <v>-3.038818</v>
      </c>
      <c r="T1903">
        <v>-0.70657320000000001</v>
      </c>
      <c r="U1903">
        <v>0.3871155</v>
      </c>
      <c r="V1903">
        <v>4.0264040000000001E-2</v>
      </c>
      <c r="W1903">
        <v>7.4564630000000007E-2</v>
      </c>
      <c r="X1903">
        <v>0.99640300000000004</v>
      </c>
      <c r="Y1903">
        <v>0.13418939999999999</v>
      </c>
      <c r="Z1903">
        <v>1.8023330000000001E-2</v>
      </c>
      <c r="AA1903">
        <v>0.9907918</v>
      </c>
      <c r="AB1903">
        <v>24</v>
      </c>
      <c r="AC1903">
        <v>-0.60719999999997698</v>
      </c>
      <c r="AD1903">
        <v>-0.183348699999999</v>
      </c>
      <c r="AE1903">
        <v>0.102800000000001</v>
      </c>
      <c r="AF1903">
        <v>0.10098090685712401</v>
      </c>
      <c r="AG1903">
        <v>-0.183348699999999</v>
      </c>
      <c r="AH1903">
        <v>0.55661252116430004</v>
      </c>
      <c r="AI1903">
        <v>107.95804644495099</v>
      </c>
      <c r="AJ1903">
        <v>79.717212926829802</v>
      </c>
      <c r="AK1903">
        <v>0.59466914167312801</v>
      </c>
      <c r="AL1903">
        <v>85.723792636674801</v>
      </c>
      <c r="AM1903">
        <v>87.685971344652401</v>
      </c>
      <c r="AN1903">
        <v>1.00000000768657</v>
      </c>
    </row>
    <row r="1904" spans="1:40" x14ac:dyDescent="0.25">
      <c r="A1904" t="str">
        <f>"20190312154546726"</f>
        <v>20190312154546726</v>
      </c>
      <c r="B1904" t="str">
        <f>"1552376746718089"</f>
        <v>1552376746718089</v>
      </c>
      <c r="C1904" t="s">
        <v>40</v>
      </c>
      <c r="D1904">
        <v>4.1734580000000001</v>
      </c>
      <c r="E1904">
        <v>0.54315630000000004</v>
      </c>
      <c r="F1904" t="s">
        <v>41</v>
      </c>
      <c r="G1904">
        <v>-375.85050000000001</v>
      </c>
      <c r="H1904">
        <v>0.92036660000000003</v>
      </c>
      <c r="I1904">
        <v>282.92759999999998</v>
      </c>
      <c r="J1904">
        <v>-375.21449999999999</v>
      </c>
      <c r="K1904">
        <v>1.110174</v>
      </c>
      <c r="L1904">
        <v>282.82130000000001</v>
      </c>
      <c r="M1904">
        <v>-0.99983610000000001</v>
      </c>
      <c r="N1904">
        <v>0</v>
      </c>
      <c r="O1904">
        <v>-1.1755689999999999E-2</v>
      </c>
      <c r="P1904">
        <v>-0.99775389999999997</v>
      </c>
      <c r="Q1904">
        <v>6.0439470000000002E-2</v>
      </c>
      <c r="R1904">
        <v>2.8883039999999999E-2</v>
      </c>
      <c r="S1904">
        <v>-3.038818</v>
      </c>
      <c r="T1904">
        <v>-0.70703800000000006</v>
      </c>
      <c r="U1904">
        <v>0.38735960000000003</v>
      </c>
      <c r="V1904">
        <v>4.0614209999999998E-2</v>
      </c>
      <c r="W1904">
        <v>7.4166640000000006E-2</v>
      </c>
      <c r="X1904">
        <v>0.99641849999999998</v>
      </c>
      <c r="Y1904">
        <v>0.13426089999999999</v>
      </c>
      <c r="Z1904">
        <v>1.8042969999999998E-2</v>
      </c>
      <c r="AA1904">
        <v>0.99078169999999999</v>
      </c>
      <c r="AB1904">
        <v>24</v>
      </c>
      <c r="AC1904">
        <v>-0.63600000000002399</v>
      </c>
      <c r="AD1904">
        <v>-0.18980739999999999</v>
      </c>
      <c r="AE1904">
        <v>0.106299999999976</v>
      </c>
      <c r="AF1904">
        <v>0.10469833529780399</v>
      </c>
      <c r="AG1904">
        <v>-0.18980739999999999</v>
      </c>
      <c r="AH1904">
        <v>0.58409689473054605</v>
      </c>
      <c r="AI1904">
        <v>107.737438052991</v>
      </c>
      <c r="AJ1904">
        <v>79.837753139504798</v>
      </c>
      <c r="AK1904">
        <v>0.62302309182144899</v>
      </c>
      <c r="AL1904">
        <v>85.746659134957994</v>
      </c>
      <c r="AM1904">
        <v>87.665905034567103</v>
      </c>
      <c r="AN1904">
        <v>1.00000001584253</v>
      </c>
    </row>
    <row r="1905" spans="1:40" x14ac:dyDescent="0.25">
      <c r="A1905" t="str">
        <f>"20190312154546749"</f>
        <v>20190312154546749</v>
      </c>
      <c r="B1905" t="str">
        <f>"1552376746738584"</f>
        <v>1552376746738584</v>
      </c>
      <c r="C1905" t="s">
        <v>40</v>
      </c>
      <c r="D1905">
        <v>4.1066649999999996</v>
      </c>
      <c r="E1905">
        <v>0.54373159999999998</v>
      </c>
      <c r="F1905" t="s">
        <v>41</v>
      </c>
      <c r="G1905">
        <v>-376.05869999999999</v>
      </c>
      <c r="H1905">
        <v>0.91279719999999998</v>
      </c>
      <c r="I1905">
        <v>282.9307</v>
      </c>
      <c r="J1905">
        <v>-375.45310000000001</v>
      </c>
      <c r="K1905">
        <v>1.110174</v>
      </c>
      <c r="L1905">
        <v>282.81849999999997</v>
      </c>
      <c r="M1905">
        <v>-0.99983610000000001</v>
      </c>
      <c r="N1905">
        <v>0</v>
      </c>
      <c r="O1905">
        <v>-1.175579E-2</v>
      </c>
      <c r="P1905">
        <v>-0.99778060000000002</v>
      </c>
      <c r="Q1905">
        <v>5.9978620000000003E-2</v>
      </c>
      <c r="R1905">
        <v>2.892486E-2</v>
      </c>
      <c r="S1905">
        <v>-3.0384220000000002</v>
      </c>
      <c r="T1905">
        <v>-0.71047159999999998</v>
      </c>
      <c r="U1905">
        <v>0.39312740000000002</v>
      </c>
      <c r="V1905">
        <v>4.0656520000000002E-2</v>
      </c>
      <c r="W1905">
        <v>7.3703480000000002E-2</v>
      </c>
      <c r="X1905">
        <v>0.99645110000000003</v>
      </c>
      <c r="Y1905">
        <v>0.1360432</v>
      </c>
      <c r="Z1905">
        <v>1.833332E-2</v>
      </c>
      <c r="AA1905">
        <v>0.9905332</v>
      </c>
      <c r="AB1905">
        <v>24</v>
      </c>
      <c r="AC1905">
        <v>-0.60559999999998104</v>
      </c>
      <c r="AD1905">
        <v>-0.19737679999999999</v>
      </c>
      <c r="AE1905">
        <v>0.112200000000029</v>
      </c>
      <c r="AF1905">
        <v>0.10820024345392699</v>
      </c>
      <c r="AG1905">
        <v>-0.19737679999999999</v>
      </c>
      <c r="AH1905">
        <v>0.54796403381176795</v>
      </c>
      <c r="AI1905">
        <v>109.462240888843</v>
      </c>
      <c r="AJ1905">
        <v>78.8301434906097</v>
      </c>
      <c r="AK1905">
        <v>0.59239300824114505</v>
      </c>
      <c r="AL1905">
        <v>85.773268905522301</v>
      </c>
      <c r="AM1905">
        <v>87.663552533451096</v>
      </c>
      <c r="AN1905">
        <v>0.99999997513691496</v>
      </c>
    </row>
    <row r="1906" spans="1:40" x14ac:dyDescent="0.25">
      <c r="A1906" t="str">
        <f>"20190312154546771"</f>
        <v>20190312154546771</v>
      </c>
      <c r="B1906" t="str">
        <f>"1552376746768839"</f>
        <v>1552376746768839</v>
      </c>
      <c r="C1906" t="s">
        <v>40</v>
      </c>
      <c r="D1906">
        <v>4.1224860000000003</v>
      </c>
      <c r="E1906">
        <v>0.54451280000000002</v>
      </c>
      <c r="F1906" t="s">
        <v>41</v>
      </c>
      <c r="G1906">
        <v>-376.27159999999998</v>
      </c>
      <c r="H1906">
        <v>0.91758779999999995</v>
      </c>
      <c r="I1906">
        <v>282.92579999999998</v>
      </c>
      <c r="J1906">
        <v>-375.6832</v>
      </c>
      <c r="K1906">
        <v>1.1101730000000001</v>
      </c>
      <c r="L1906">
        <v>282.8159</v>
      </c>
      <c r="M1906">
        <v>-0.99983630000000001</v>
      </c>
      <c r="N1906">
        <v>0</v>
      </c>
      <c r="O1906">
        <v>-1.1756010000000001E-2</v>
      </c>
      <c r="P1906">
        <v>-0.99782700000000002</v>
      </c>
      <c r="Q1906">
        <v>5.8951620000000003E-2</v>
      </c>
      <c r="R1906">
        <v>2.9431450000000001E-2</v>
      </c>
      <c r="S1906">
        <v>-3.038116</v>
      </c>
      <c r="T1906">
        <v>-0.71486499999999997</v>
      </c>
      <c r="U1906">
        <v>0.39743040000000002</v>
      </c>
      <c r="V1906">
        <v>4.1163610000000003E-2</v>
      </c>
      <c r="W1906">
        <v>7.2674829999999996E-2</v>
      </c>
      <c r="X1906">
        <v>0.99650589999999994</v>
      </c>
      <c r="Y1906">
        <v>0.13735240000000001</v>
      </c>
      <c r="Z1906">
        <v>1.859529E-2</v>
      </c>
      <c r="AA1906">
        <v>0.99034770000000005</v>
      </c>
      <c r="AB1906">
        <v>24</v>
      </c>
      <c r="AC1906">
        <v>-0.58839999999997805</v>
      </c>
      <c r="AD1906">
        <v>-0.19258519999999901</v>
      </c>
      <c r="AE1906">
        <v>0.109899999999981</v>
      </c>
      <c r="AF1906">
        <v>0.105852820600845</v>
      </c>
      <c r="AG1906">
        <v>-0.19258519999999901</v>
      </c>
      <c r="AH1906">
        <v>0.53199695876778197</v>
      </c>
      <c r="AI1906">
        <v>109.54712256150501</v>
      </c>
      <c r="AJ1906">
        <v>78.746680050697705</v>
      </c>
      <c r="AK1906">
        <v>0.57559937719421095</v>
      </c>
      <c r="AL1906">
        <v>85.832364979494301</v>
      </c>
      <c r="AM1906">
        <v>87.634573943733201</v>
      </c>
      <c r="AN1906">
        <v>1.00000004121928</v>
      </c>
    </row>
    <row r="1907" spans="1:40" x14ac:dyDescent="0.25">
      <c r="A1907" t="str">
        <f>"20190312154546794"</f>
        <v>20190312154546794</v>
      </c>
      <c r="B1907" t="str">
        <f>"1552376746788362"</f>
        <v>1552376746788362</v>
      </c>
      <c r="C1907" t="s">
        <v>40</v>
      </c>
      <c r="D1907">
        <v>4.0821809999999896</v>
      </c>
      <c r="E1907">
        <v>0.54484379999999999</v>
      </c>
      <c r="F1907" t="s">
        <v>41</v>
      </c>
      <c r="G1907">
        <v>-376.48349999999999</v>
      </c>
      <c r="H1907">
        <v>0.9199946</v>
      </c>
      <c r="I1907">
        <v>282.9228</v>
      </c>
      <c r="J1907">
        <v>-375.92489999999998</v>
      </c>
      <c r="K1907">
        <v>1.1101749999999999</v>
      </c>
      <c r="L1907">
        <v>282.81299999999999</v>
      </c>
      <c r="M1907">
        <v>-0.99983610000000001</v>
      </c>
      <c r="N1907">
        <v>0</v>
      </c>
      <c r="O1907">
        <v>-1.1756000000000001E-2</v>
      </c>
      <c r="P1907">
        <v>-0.99782510000000002</v>
      </c>
      <c r="Q1907">
        <v>5.8771240000000002E-2</v>
      </c>
      <c r="R1907">
        <v>2.9847220000000001E-2</v>
      </c>
      <c r="S1907">
        <v>-3.037201</v>
      </c>
      <c r="T1907">
        <v>-0.72176980000000002</v>
      </c>
      <c r="U1907">
        <v>0.40527340000000001</v>
      </c>
      <c r="V1907">
        <v>4.1579409999999997E-2</v>
      </c>
      <c r="W1907">
        <v>7.2491730000000004E-2</v>
      </c>
      <c r="X1907">
        <v>0.99650190000000005</v>
      </c>
      <c r="Y1907">
        <v>0.13976040000000001</v>
      </c>
      <c r="Z1907">
        <v>1.9053549999999999E-2</v>
      </c>
      <c r="AA1907">
        <v>0.99000200000000005</v>
      </c>
      <c r="AB1907">
        <v>24</v>
      </c>
      <c r="AC1907">
        <v>-0.55860000000001198</v>
      </c>
      <c r="AD1907">
        <v>-0.190180399999999</v>
      </c>
      <c r="AE1907">
        <v>0.109800000000006</v>
      </c>
      <c r="AF1907">
        <v>0.104677842444772</v>
      </c>
      <c r="AG1907">
        <v>-0.190180399999999</v>
      </c>
      <c r="AH1907">
        <v>0.50132263631736995</v>
      </c>
      <c r="AI1907">
        <v>110.372402452583</v>
      </c>
      <c r="AJ1907">
        <v>78.205904113204397</v>
      </c>
      <c r="AK1907">
        <v>0.54630616043318703</v>
      </c>
      <c r="AL1907">
        <v>85.842883273551394</v>
      </c>
      <c r="AM1907">
        <v>87.610698381512805</v>
      </c>
      <c r="AN1907">
        <v>0.99999996747897402</v>
      </c>
    </row>
    <row r="1908" spans="1:40" x14ac:dyDescent="0.25">
      <c r="A1908" t="str">
        <f>"20190312154546817"</f>
        <v>20190312154546817</v>
      </c>
      <c r="B1908" t="str">
        <f>"1552376746808856"</f>
        <v>1552376746808856</v>
      </c>
      <c r="C1908" t="s">
        <v>40</v>
      </c>
      <c r="D1908">
        <v>4.0886570000000004</v>
      </c>
      <c r="E1908">
        <v>0.54529079999999996</v>
      </c>
      <c r="F1908" t="s">
        <v>41</v>
      </c>
      <c r="G1908">
        <v>-376.69670000000002</v>
      </c>
      <c r="H1908">
        <v>0.92616379999999998</v>
      </c>
      <c r="I1908">
        <v>282.91719999999998</v>
      </c>
      <c r="J1908">
        <v>-376.1653</v>
      </c>
      <c r="K1908">
        <v>1.110171</v>
      </c>
      <c r="L1908">
        <v>282.81020000000001</v>
      </c>
      <c r="M1908">
        <v>-0.99983630000000001</v>
      </c>
      <c r="N1908">
        <v>0</v>
      </c>
      <c r="O1908">
        <v>-1.17561E-2</v>
      </c>
      <c r="P1908">
        <v>-0.99785699999999999</v>
      </c>
      <c r="Q1908">
        <v>5.804227E-2</v>
      </c>
      <c r="R1908">
        <v>3.0212159999999998E-2</v>
      </c>
      <c r="S1908">
        <v>-3.0369869999999999</v>
      </c>
      <c r="T1908">
        <v>-0.72412189999999999</v>
      </c>
      <c r="U1908">
        <v>0.40884399999999999</v>
      </c>
      <c r="V1908">
        <v>4.1944830000000002E-2</v>
      </c>
      <c r="W1908">
        <v>7.1760740000000003E-2</v>
      </c>
      <c r="X1908">
        <v>0.99653950000000002</v>
      </c>
      <c r="Y1908">
        <v>0.14085629999999999</v>
      </c>
      <c r="Z1908">
        <v>1.924215E-2</v>
      </c>
      <c r="AA1908">
        <v>0.98984309999999998</v>
      </c>
      <c r="AB1908">
        <v>24</v>
      </c>
      <c r="AC1908">
        <v>-0.53140000000001897</v>
      </c>
      <c r="AD1908">
        <v>-0.18400719999999901</v>
      </c>
      <c r="AE1908">
        <v>0.10699999999996999</v>
      </c>
      <c r="AF1908">
        <v>0.101539924967852</v>
      </c>
      <c r="AG1908">
        <v>-0.18400719999999901</v>
      </c>
      <c r="AH1908">
        <v>0.475332597232965</v>
      </c>
      <c r="AI1908">
        <v>110.735223275867</v>
      </c>
      <c r="AJ1908">
        <v>77.941787943130095</v>
      </c>
      <c r="AK1908">
        <v>0.51972115986031697</v>
      </c>
      <c r="AL1908">
        <v>85.884875311570994</v>
      </c>
      <c r="AM1908">
        <v>87.589815531839605</v>
      </c>
      <c r="AN1908">
        <v>0.99999997381466199</v>
      </c>
    </row>
    <row r="1909" spans="1:40" x14ac:dyDescent="0.25">
      <c r="A1909" t="str">
        <f>"20190312154546840"</f>
        <v>20190312154546840</v>
      </c>
      <c r="B1909" t="str">
        <f>"1552376746828375"</f>
        <v>1552376746828375</v>
      </c>
      <c r="C1909" t="s">
        <v>40</v>
      </c>
      <c r="D1909">
        <v>4.1074820000000001</v>
      </c>
      <c r="E1909">
        <v>0.54569519999999905</v>
      </c>
      <c r="F1909" t="s">
        <v>41</v>
      </c>
      <c r="G1909">
        <v>-376.9092</v>
      </c>
      <c r="H1909">
        <v>0.93160410000000005</v>
      </c>
      <c r="I1909">
        <v>282.91129999999998</v>
      </c>
      <c r="J1909">
        <v>-376.4015</v>
      </c>
      <c r="K1909">
        <v>1.110169</v>
      </c>
      <c r="L1909">
        <v>282.80739999999997</v>
      </c>
      <c r="M1909">
        <v>-0.99983639999999996</v>
      </c>
      <c r="N1909">
        <v>0</v>
      </c>
      <c r="O1909">
        <v>-1.17562E-2</v>
      </c>
      <c r="P1909">
        <v>-0.99785239999999997</v>
      </c>
      <c r="Q1909">
        <v>5.8058419999999999E-2</v>
      </c>
      <c r="R1909">
        <v>3.0336910000000002E-2</v>
      </c>
      <c r="S1909">
        <v>-3.036346</v>
      </c>
      <c r="T1909">
        <v>-0.72869110000000004</v>
      </c>
      <c r="U1909">
        <v>0.4131165</v>
      </c>
      <c r="V1909">
        <v>4.2069639999999998E-2</v>
      </c>
      <c r="W1909">
        <v>7.1774539999999998E-2</v>
      </c>
      <c r="X1909">
        <v>0.99653329999999996</v>
      </c>
      <c r="Y1909">
        <v>0.14216189999999901</v>
      </c>
      <c r="Z1909">
        <v>1.9516289999999999E-2</v>
      </c>
      <c r="AA1909">
        <v>0.98965099999999995</v>
      </c>
      <c r="AB1909">
        <v>24</v>
      </c>
      <c r="AC1909">
        <v>-0.50769999999999904</v>
      </c>
      <c r="AD1909">
        <v>-0.1785649</v>
      </c>
      <c r="AE1909">
        <v>0.10390000000001</v>
      </c>
      <c r="AF1909">
        <v>9.8202447723608796E-2</v>
      </c>
      <c r="AG1909">
        <v>-0.1785649</v>
      </c>
      <c r="AH1909">
        <v>0.45269494114423697</v>
      </c>
      <c r="AI1909">
        <v>111.080796759582</v>
      </c>
      <c r="AJ1909">
        <v>77.760547241847604</v>
      </c>
      <c r="AK1909">
        <v>0.49644924613549601</v>
      </c>
      <c r="AL1909">
        <v>85.884082811555501</v>
      </c>
      <c r="AM1909">
        <v>87.582637319650402</v>
      </c>
      <c r="AN1909">
        <v>1.00000002860541</v>
      </c>
    </row>
    <row r="1910" spans="1:40" x14ac:dyDescent="0.25">
      <c r="A1910" t="str">
        <f>"20190312154546863"</f>
        <v>20190312154546863</v>
      </c>
      <c r="B1910" t="str">
        <f>"1552376746858631"</f>
        <v>1552376746858631</v>
      </c>
      <c r="C1910" t="s">
        <v>40</v>
      </c>
      <c r="D1910">
        <v>4.1404759999999996</v>
      </c>
      <c r="E1910">
        <v>0.54627859999999995</v>
      </c>
      <c r="F1910" t="s">
        <v>41</v>
      </c>
      <c r="G1910">
        <v>-377.1216</v>
      </c>
      <c r="H1910">
        <v>0.93693419999999905</v>
      </c>
      <c r="I1910">
        <v>282.90660000000003</v>
      </c>
      <c r="J1910">
        <v>-376.64229999999998</v>
      </c>
      <c r="K1910">
        <v>1.1101650000000001</v>
      </c>
      <c r="L1910">
        <v>282.80459999999999</v>
      </c>
      <c r="M1910">
        <v>-0.99983630000000001</v>
      </c>
      <c r="N1910">
        <v>0</v>
      </c>
      <c r="O1910">
        <v>-1.175618E-2</v>
      </c>
      <c r="P1910">
        <v>-0.99786509999999995</v>
      </c>
      <c r="Q1910">
        <v>5.779186E-2</v>
      </c>
      <c r="R1910">
        <v>3.0425560000000001E-2</v>
      </c>
      <c r="S1910">
        <v>-3.0362550000000001</v>
      </c>
      <c r="T1910">
        <v>-0.73045969999999905</v>
      </c>
      <c r="U1910">
        <v>0.41687010000000002</v>
      </c>
      <c r="V1910">
        <v>4.215853E-2</v>
      </c>
      <c r="W1910">
        <v>7.1504849999999995E-2</v>
      </c>
      <c r="X1910">
        <v>0.99654889999999996</v>
      </c>
      <c r="Y1910">
        <v>0.14331450000000001</v>
      </c>
      <c r="Z1910">
        <v>1.969746E-2</v>
      </c>
      <c r="AA1910">
        <v>0.98948119999999995</v>
      </c>
      <c r="AB1910">
        <v>24</v>
      </c>
      <c r="AC1910">
        <v>-0.47930000000002299</v>
      </c>
      <c r="AD1910">
        <v>-0.17323079999999999</v>
      </c>
      <c r="AE1910">
        <v>0.102000000000032</v>
      </c>
      <c r="AF1910">
        <v>9.5672238458389097E-2</v>
      </c>
      <c r="AG1910">
        <v>-0.17323079999999999</v>
      </c>
      <c r="AH1910">
        <v>0.424961037825625</v>
      </c>
      <c r="AI1910">
        <v>111.68700361925799</v>
      </c>
      <c r="AJ1910">
        <v>77.312429635955397</v>
      </c>
      <c r="AK1910">
        <v>0.468779234768469</v>
      </c>
      <c r="AL1910">
        <v>85.899574588090104</v>
      </c>
      <c r="AM1910">
        <v>87.577573567842194</v>
      </c>
      <c r="AN1910">
        <v>0.99999999765824599</v>
      </c>
    </row>
    <row r="1911" spans="1:40" x14ac:dyDescent="0.25">
      <c r="A1911" t="str">
        <f>"20190312154546884"</f>
        <v>20190312154546884</v>
      </c>
      <c r="B1911" t="str">
        <f>"1552376746878151"</f>
        <v>1552376746878151</v>
      </c>
      <c r="C1911" t="s">
        <v>40</v>
      </c>
      <c r="D1911">
        <v>4.0868500000000001</v>
      </c>
      <c r="E1911">
        <v>0.54663050000000002</v>
      </c>
      <c r="F1911" t="s">
        <v>41</v>
      </c>
      <c r="G1911">
        <v>-377.334</v>
      </c>
      <c r="H1911">
        <v>0.94296550000000001</v>
      </c>
      <c r="I1911">
        <v>282.90069999999997</v>
      </c>
      <c r="J1911">
        <v>-376.86059999999998</v>
      </c>
      <c r="K1911">
        <v>1.110163</v>
      </c>
      <c r="L1911">
        <v>282.80200000000002</v>
      </c>
      <c r="M1911">
        <v>-0.99983639999999996</v>
      </c>
      <c r="N1911">
        <v>0</v>
      </c>
      <c r="O1911">
        <v>-1.175617E-2</v>
      </c>
      <c r="P1911">
        <v>-0.99790820000000002</v>
      </c>
      <c r="Q1911">
        <v>5.6951359999999999E-2</v>
      </c>
      <c r="R1911">
        <v>3.0591469999999999E-2</v>
      </c>
      <c r="S1911">
        <v>-3.0360109999999998</v>
      </c>
      <c r="T1911">
        <v>-0.73382519999999996</v>
      </c>
      <c r="U1911">
        <v>0.4220276</v>
      </c>
      <c r="V1911">
        <v>4.2324790000000001E-2</v>
      </c>
      <c r="W1911">
        <v>7.0662989999999995E-2</v>
      </c>
      <c r="X1911">
        <v>0.99660190000000004</v>
      </c>
      <c r="Y1911">
        <v>0.14489079999999999</v>
      </c>
      <c r="Z1911">
        <v>1.997198E-2</v>
      </c>
      <c r="AA1911">
        <v>0.98924610000000002</v>
      </c>
      <c r="AB1911">
        <v>23</v>
      </c>
      <c r="AC1911">
        <v>-0.47340000000002602</v>
      </c>
      <c r="AD1911">
        <v>-0.1671975</v>
      </c>
      <c r="AE1911">
        <v>9.8699999999951105E-2</v>
      </c>
      <c r="AF1911">
        <v>9.3126471611538295E-2</v>
      </c>
      <c r="AG1911">
        <v>-0.1671975</v>
      </c>
      <c r="AH1911">
        <v>0.42178540874966503</v>
      </c>
      <c r="AI1911">
        <v>111.16050275598499</v>
      </c>
      <c r="AJ1911">
        <v>77.549353559827196</v>
      </c>
      <c r="AK1911">
        <v>0.46317434595968998</v>
      </c>
      <c r="AL1911">
        <v>85.947931937809301</v>
      </c>
      <c r="AM1911">
        <v>87.568160905268698</v>
      </c>
      <c r="AN1911">
        <v>0.999999996543947</v>
      </c>
    </row>
    <row r="1912" spans="1:40" x14ac:dyDescent="0.25">
      <c r="A1912" t="str">
        <f>"20190312154546906"</f>
        <v>20190312154546906</v>
      </c>
      <c r="B1912" t="str">
        <f>"1552376746898647"</f>
        <v>1552376746898647</v>
      </c>
      <c r="C1912" t="s">
        <v>40</v>
      </c>
      <c r="D1912">
        <v>4.1132010000000001</v>
      </c>
      <c r="E1912">
        <v>0.54687109999999906</v>
      </c>
      <c r="F1912" t="s">
        <v>41</v>
      </c>
      <c r="G1912">
        <v>-377.54390000000001</v>
      </c>
      <c r="H1912">
        <v>0.94411160000000005</v>
      </c>
      <c r="I1912">
        <v>282.8981</v>
      </c>
      <c r="J1912">
        <v>-377.09370000000001</v>
      </c>
      <c r="K1912">
        <v>1.110163</v>
      </c>
      <c r="L1912">
        <v>282.79919999999998</v>
      </c>
      <c r="M1912">
        <v>-0.99983639999999996</v>
      </c>
      <c r="N1912">
        <v>0</v>
      </c>
      <c r="O1912">
        <v>-1.175639E-2</v>
      </c>
      <c r="P1912">
        <v>-0.9979479</v>
      </c>
      <c r="Q1912">
        <v>5.6655129999999998E-2</v>
      </c>
      <c r="R1912">
        <v>2.984092E-2</v>
      </c>
      <c r="S1912">
        <v>-3.0353699999999999</v>
      </c>
      <c r="T1912">
        <v>-0.73766909999999997</v>
      </c>
      <c r="U1912">
        <v>0.42517090000000002</v>
      </c>
      <c r="V1912">
        <v>4.1574880000000002E-2</v>
      </c>
      <c r="W1912">
        <v>7.0364750000000004E-2</v>
      </c>
      <c r="X1912">
        <v>0.99665459999999995</v>
      </c>
      <c r="Y1912">
        <v>0.1458499</v>
      </c>
      <c r="Z1912">
        <v>2.0190799999999998E-2</v>
      </c>
      <c r="AA1912">
        <v>0.98910070000000005</v>
      </c>
      <c r="AB1912">
        <v>23</v>
      </c>
      <c r="AC1912">
        <v>-0.45019999999999499</v>
      </c>
      <c r="AD1912">
        <v>-0.16605139999999899</v>
      </c>
      <c r="AE1912">
        <v>9.8900000000014601E-2</v>
      </c>
      <c r="AF1912">
        <v>9.2218358816081106E-2</v>
      </c>
      <c r="AG1912">
        <v>-0.16605139999999899</v>
      </c>
      <c r="AH1912">
        <v>0.39742812920752002</v>
      </c>
      <c r="AI1912">
        <v>112.146409322975</v>
      </c>
      <c r="AJ1912">
        <v>76.9363923946634</v>
      </c>
      <c r="AK1912">
        <v>0.44048429146801599</v>
      </c>
      <c r="AL1912">
        <v>85.965062608565603</v>
      </c>
      <c r="AM1912">
        <v>87.611323997048103</v>
      </c>
      <c r="AN1912">
        <v>1.00000003019536</v>
      </c>
    </row>
    <row r="1913" spans="1:40" x14ac:dyDescent="0.25">
      <c r="A1913" t="str">
        <f>"20190312154546928"</f>
        <v>20190312154546928</v>
      </c>
      <c r="B1913" t="str">
        <f>"1552376746918168"</f>
        <v>1552376746918168</v>
      </c>
      <c r="C1913" t="s">
        <v>40</v>
      </c>
      <c r="D1913">
        <v>4.0978349999999999</v>
      </c>
      <c r="E1913">
        <v>0.54700569999999904</v>
      </c>
      <c r="F1913" t="s">
        <v>41</v>
      </c>
      <c r="G1913">
        <v>-377.94439999999997</v>
      </c>
      <c r="H1913">
        <v>0.90277739999999995</v>
      </c>
      <c r="I1913">
        <v>282.91860000000003</v>
      </c>
      <c r="J1913">
        <v>-377.33280000000002</v>
      </c>
      <c r="K1913">
        <v>1.1101669999999999</v>
      </c>
      <c r="L1913">
        <v>282.79640000000001</v>
      </c>
      <c r="M1913">
        <v>-0.99983639999999996</v>
      </c>
      <c r="N1913">
        <v>0</v>
      </c>
      <c r="O1913">
        <v>-1.175637E-2</v>
      </c>
      <c r="P1913">
        <v>-0.99795540000000005</v>
      </c>
      <c r="Q1913">
        <v>5.6815009999999999E-2</v>
      </c>
      <c r="R1913">
        <v>2.9279139999999999E-2</v>
      </c>
      <c r="S1913">
        <v>-3.0354610000000002</v>
      </c>
      <c r="T1913">
        <v>-0.74001589999999995</v>
      </c>
      <c r="U1913">
        <v>0.4245911</v>
      </c>
      <c r="V1913">
        <v>4.1013330000000001E-2</v>
      </c>
      <c r="W1913">
        <v>7.0522680000000004E-2</v>
      </c>
      <c r="X1913">
        <v>0.99666670000000002</v>
      </c>
      <c r="Y1913">
        <v>0.1456384</v>
      </c>
      <c r="Z1913">
        <v>2.0227599999999998E-2</v>
      </c>
      <c r="AA1913">
        <v>0.98913110000000004</v>
      </c>
      <c r="AB1913">
        <v>23</v>
      </c>
      <c r="AC1913">
        <v>-0.61159999999995296</v>
      </c>
      <c r="AD1913">
        <v>-0.20738959999999901</v>
      </c>
      <c r="AE1913">
        <v>0.12220000000002</v>
      </c>
      <c r="AF1913">
        <v>0.11650089225346601</v>
      </c>
      <c r="AG1913">
        <v>-0.20738959999999901</v>
      </c>
      <c r="AH1913">
        <v>0.54937627219944096</v>
      </c>
      <c r="AI1913">
        <v>110.26858562308399</v>
      </c>
      <c r="AJ1913">
        <v>78.027207815079706</v>
      </c>
      <c r="AK1913">
        <v>0.59866283711265</v>
      </c>
      <c r="AL1913">
        <v>85.955991335213994</v>
      </c>
      <c r="AM1913">
        <v>87.643579691692693</v>
      </c>
      <c r="AN1913">
        <v>1.00000002626048</v>
      </c>
    </row>
    <row r="1914" spans="1:40" x14ac:dyDescent="0.25">
      <c r="A1914" t="str">
        <f>"20190312154546950"</f>
        <v>20190312154546950</v>
      </c>
      <c r="B1914" t="str">
        <f>"1552376746938664"</f>
        <v>1552376746938664</v>
      </c>
      <c r="C1914" t="s">
        <v>40</v>
      </c>
      <c r="D1914">
        <v>4.1323749999999997</v>
      </c>
      <c r="E1914">
        <v>0.5471762</v>
      </c>
      <c r="F1914" t="s">
        <v>41</v>
      </c>
      <c r="G1914">
        <v>-378.15559999999999</v>
      </c>
      <c r="H1914">
        <v>0.90947199999999995</v>
      </c>
      <c r="I1914">
        <v>282.91129999999998</v>
      </c>
      <c r="J1914">
        <v>-377.55720000000002</v>
      </c>
      <c r="K1914">
        <v>1.1101639999999999</v>
      </c>
      <c r="L1914">
        <v>282.79379999999998</v>
      </c>
      <c r="M1914">
        <v>-0.99983639999999996</v>
      </c>
      <c r="N1914">
        <v>0</v>
      </c>
      <c r="O1914">
        <v>-1.175635E-2</v>
      </c>
      <c r="P1914">
        <v>-0.99797000000000002</v>
      </c>
      <c r="Q1914">
        <v>5.6753890000000001E-2</v>
      </c>
      <c r="R1914">
        <v>2.8894429999999999E-2</v>
      </c>
      <c r="S1914">
        <v>-3.035828</v>
      </c>
      <c r="T1914">
        <v>-0.7404172</v>
      </c>
      <c r="U1914">
        <v>0.42413329999999999</v>
      </c>
      <c r="V1914">
        <v>4.062868E-2</v>
      </c>
      <c r="W1914">
        <v>7.0459419999999995E-2</v>
      </c>
      <c r="X1914">
        <v>0.99668690000000004</v>
      </c>
      <c r="Y1914">
        <v>0.14547650000000001</v>
      </c>
      <c r="Z1914">
        <v>2.021674E-2</v>
      </c>
      <c r="AA1914">
        <v>0.98915509999999995</v>
      </c>
      <c r="AB1914">
        <v>23</v>
      </c>
      <c r="AC1914">
        <v>-0.59839999999996896</v>
      </c>
      <c r="AD1914">
        <v>-0.20069200000000001</v>
      </c>
      <c r="AE1914">
        <v>0.117500000000006</v>
      </c>
      <c r="AF1914">
        <v>0.112358587894042</v>
      </c>
      <c r="AG1914">
        <v>-0.20069200000000001</v>
      </c>
      <c r="AH1914">
        <v>0.53863993849553804</v>
      </c>
      <c r="AI1914">
        <v>110.038903956932</v>
      </c>
      <c r="AJ1914">
        <v>78.217242158459001</v>
      </c>
      <c r="AK1914">
        <v>0.585691654780927</v>
      </c>
      <c r="AL1914">
        <v>85.959624790860303</v>
      </c>
      <c r="AM1914">
        <v>87.665702446809405</v>
      </c>
      <c r="AN1914">
        <v>0.99999999806844397</v>
      </c>
    </row>
    <row r="1915" spans="1:40" x14ac:dyDescent="0.25">
      <c r="A1915" t="str">
        <f>"20190312154546972"</f>
        <v>20190312154546972</v>
      </c>
      <c r="B1915" t="str">
        <f>"1552376746968826"</f>
        <v>1552376746968826</v>
      </c>
      <c r="C1915" t="s">
        <v>40</v>
      </c>
      <c r="D1915">
        <v>4.1965870000000001</v>
      </c>
      <c r="E1915">
        <v>0.54758709999999999</v>
      </c>
      <c r="F1915" t="s">
        <v>41</v>
      </c>
      <c r="G1915">
        <v>-378.36529999999999</v>
      </c>
      <c r="H1915">
        <v>0.91284940000000003</v>
      </c>
      <c r="I1915">
        <v>282.90710000000001</v>
      </c>
      <c r="J1915">
        <v>-377.79050000000001</v>
      </c>
      <c r="K1915">
        <v>1.110161</v>
      </c>
      <c r="L1915">
        <v>282.791</v>
      </c>
      <c r="M1915">
        <v>-0.99983639999999996</v>
      </c>
      <c r="N1915">
        <v>0</v>
      </c>
      <c r="O1915">
        <v>-1.175646E-2</v>
      </c>
      <c r="P1915">
        <v>-0.99802829999999998</v>
      </c>
      <c r="Q1915">
        <v>5.5682219999999998E-2</v>
      </c>
      <c r="R1915">
        <v>2.8963429999999998E-2</v>
      </c>
      <c r="S1915">
        <v>-3.0359500000000001</v>
      </c>
      <c r="T1915">
        <v>-0.74139180000000005</v>
      </c>
      <c r="U1915">
        <v>0.42398069999999999</v>
      </c>
      <c r="V1915">
        <v>4.0698459999999999E-2</v>
      </c>
      <c r="W1915">
        <v>6.9386290000000003E-2</v>
      </c>
      <c r="X1915">
        <v>0.99675939999999996</v>
      </c>
      <c r="Y1915">
        <v>0.14541279999999901</v>
      </c>
      <c r="Z1915">
        <v>2.023428E-2</v>
      </c>
      <c r="AA1915">
        <v>0.98916409999999999</v>
      </c>
      <c r="AB1915">
        <v>23</v>
      </c>
      <c r="AC1915">
        <v>-0.57479999999998199</v>
      </c>
      <c r="AD1915">
        <v>-0.197311599999999</v>
      </c>
      <c r="AE1915">
        <v>0.116100000000017</v>
      </c>
      <c r="AF1915">
        <v>0.110356202813076</v>
      </c>
      <c r="AG1915">
        <v>-0.197311599999999</v>
      </c>
      <c r="AH1915">
        <v>0.51508019404935701</v>
      </c>
      <c r="AI1915">
        <v>110.534399647596</v>
      </c>
      <c r="AJ1915">
        <v>77.907170531143706</v>
      </c>
      <c r="AK1915">
        <v>0.56251041349987796</v>
      </c>
      <c r="AL1915">
        <v>86.021261729226097</v>
      </c>
      <c r="AM1915">
        <v>87.661867612498298</v>
      </c>
      <c r="AN1915">
        <v>1.0000000616873399</v>
      </c>
    </row>
    <row r="1916" spans="1:40" x14ac:dyDescent="0.25">
      <c r="A1916" t="str">
        <f>"20190312154546996"</f>
        <v>20190312154546996</v>
      </c>
      <c r="B1916" t="str">
        <f>"1552376746988346"</f>
        <v>1552376746988346</v>
      </c>
      <c r="C1916" t="s">
        <v>40</v>
      </c>
      <c r="D1916">
        <v>4.1761039999999996</v>
      </c>
      <c r="E1916">
        <v>0.54777279999999995</v>
      </c>
      <c r="F1916" t="s">
        <v>41</v>
      </c>
      <c r="G1916">
        <v>-378.57499999999999</v>
      </c>
      <c r="H1916">
        <v>0.91722309999999996</v>
      </c>
      <c r="I1916">
        <v>282.9015</v>
      </c>
      <c r="J1916">
        <v>-378.03300000000002</v>
      </c>
      <c r="K1916">
        <v>1.11015</v>
      </c>
      <c r="L1916">
        <v>282.78820000000002</v>
      </c>
      <c r="M1916">
        <v>-0.99983639999999996</v>
      </c>
      <c r="N1916">
        <v>0</v>
      </c>
      <c r="O1916">
        <v>-1.175644E-2</v>
      </c>
      <c r="P1916">
        <v>-0.9981179</v>
      </c>
      <c r="Q1916">
        <v>5.4103779999999997E-2</v>
      </c>
      <c r="R1916">
        <v>2.8866670000000001E-2</v>
      </c>
      <c r="S1916">
        <v>-3.0351560000000002</v>
      </c>
      <c r="T1916">
        <v>-0.74647640000000004</v>
      </c>
      <c r="U1916">
        <v>0.42706300000000003</v>
      </c>
      <c r="V1916">
        <v>4.0602649999999997E-2</v>
      </c>
      <c r="W1916">
        <v>6.7806450000000004E-2</v>
      </c>
      <c r="X1916">
        <v>0.99687190000000003</v>
      </c>
      <c r="Y1916">
        <v>0.146343</v>
      </c>
      <c r="Z1916">
        <v>2.0485039999999999E-2</v>
      </c>
      <c r="AA1916">
        <v>0.98902179999999995</v>
      </c>
      <c r="AB1916">
        <v>23</v>
      </c>
      <c r="AC1916">
        <v>-0.54199999999997295</v>
      </c>
      <c r="AD1916">
        <v>-0.19292690000000001</v>
      </c>
      <c r="AE1916">
        <v>0.113299999999981</v>
      </c>
      <c r="AF1916">
        <v>0.10671032252844299</v>
      </c>
      <c r="AG1916">
        <v>-0.19292690000000001</v>
      </c>
      <c r="AH1916">
        <v>0.48210387426663898</v>
      </c>
      <c r="AI1916">
        <v>111.341594317051</v>
      </c>
      <c r="AJ1916">
        <v>77.519205788634906</v>
      </c>
      <c r="AK1916">
        <v>0.53012453938733795</v>
      </c>
      <c r="AL1916">
        <v>86.111993133086798</v>
      </c>
      <c r="AM1916">
        <v>87.667628777542305</v>
      </c>
      <c r="AN1916">
        <v>0.99999993742911497</v>
      </c>
    </row>
    <row r="1917" spans="1:40" x14ac:dyDescent="0.25">
      <c r="A1917" t="str">
        <f>"20190312154547017"</f>
        <v>20190312154547017</v>
      </c>
      <c r="B1917" t="str">
        <f>"1552376747008841"</f>
        <v>1552376747008841</v>
      </c>
      <c r="C1917" t="s">
        <v>40</v>
      </c>
      <c r="D1917">
        <v>4.2279</v>
      </c>
      <c r="E1917">
        <v>0.54798729999999995</v>
      </c>
      <c r="F1917" t="s">
        <v>41</v>
      </c>
      <c r="G1917">
        <v>-378.78559999999999</v>
      </c>
      <c r="H1917">
        <v>0.92352380000000001</v>
      </c>
      <c r="I1917">
        <v>282.8947</v>
      </c>
      <c r="J1917">
        <v>-378.25850000000003</v>
      </c>
      <c r="K1917">
        <v>1.110144</v>
      </c>
      <c r="L1917">
        <v>282.78559999999999</v>
      </c>
      <c r="M1917">
        <v>-0.99983659999999996</v>
      </c>
      <c r="N1917">
        <v>0</v>
      </c>
      <c r="O1917">
        <v>-1.175678E-2</v>
      </c>
      <c r="P1917">
        <v>-0.9982029</v>
      </c>
      <c r="Q1917">
        <v>5.2305699999999997E-2</v>
      </c>
      <c r="R1917">
        <v>2.9243419999999999E-2</v>
      </c>
      <c r="S1917">
        <v>-3.0340880000000001</v>
      </c>
      <c r="T1917">
        <v>-0.75250050000000002</v>
      </c>
      <c r="U1917">
        <v>0.42767329999999998</v>
      </c>
      <c r="V1917">
        <v>4.0980540000000003E-2</v>
      </c>
      <c r="W1917">
        <v>6.6007090000000004E-2</v>
      </c>
      <c r="X1917">
        <v>0.99697729999999996</v>
      </c>
      <c r="Y1917">
        <v>0.14650479999999999</v>
      </c>
      <c r="Z1917">
        <v>2.0672050000000001E-2</v>
      </c>
      <c r="AA1917">
        <v>0.98899389999999998</v>
      </c>
      <c r="AB1917">
        <v>23</v>
      </c>
      <c r="AC1917">
        <v>-0.52709999999996104</v>
      </c>
      <c r="AD1917">
        <v>-0.18662019999999899</v>
      </c>
      <c r="AE1917">
        <v>0.10910000000001201</v>
      </c>
      <c r="AF1917">
        <v>0.102918941230643</v>
      </c>
      <c r="AG1917">
        <v>-0.18662019999999899</v>
      </c>
      <c r="AH1917">
        <v>0.46936231731281702</v>
      </c>
      <c r="AI1917">
        <v>111.225002141847</v>
      </c>
      <c r="AJ1917">
        <v>77.632265253576506</v>
      </c>
      <c r="AK1917">
        <v>0.51548073914098302</v>
      </c>
      <c r="AL1917">
        <v>86.215320803730506</v>
      </c>
      <c r="AM1917">
        <v>87.646194231277804</v>
      </c>
      <c r="AN1917">
        <v>1.0000000386521199</v>
      </c>
    </row>
    <row r="1918" spans="1:40" x14ac:dyDescent="0.25">
      <c r="A1918" t="str">
        <f>"20190312154547041"</f>
        <v>20190312154547041</v>
      </c>
      <c r="B1918" t="str">
        <f>"1552376747028362"</f>
        <v>1552376747028362</v>
      </c>
      <c r="C1918" t="s">
        <v>40</v>
      </c>
      <c r="D1918">
        <v>4.2897290000000003</v>
      </c>
      <c r="E1918">
        <v>0.54822439999999995</v>
      </c>
      <c r="F1918" t="s">
        <v>41</v>
      </c>
      <c r="G1918">
        <v>-378.99419999999998</v>
      </c>
      <c r="H1918">
        <v>0.9260427</v>
      </c>
      <c r="I1918">
        <v>282.89019999999999</v>
      </c>
      <c r="J1918">
        <v>-378.49610000000001</v>
      </c>
      <c r="K1918">
        <v>1.110142</v>
      </c>
      <c r="L1918">
        <v>282.78280000000001</v>
      </c>
      <c r="M1918">
        <v>-0.99983670000000002</v>
      </c>
      <c r="N1918">
        <v>0</v>
      </c>
      <c r="O1918">
        <v>-1.1756880000000001E-2</v>
      </c>
      <c r="P1918">
        <v>-0.99824210000000002</v>
      </c>
      <c r="Q1918">
        <v>5.1411110000000003E-2</v>
      </c>
      <c r="R1918">
        <v>2.9495360000000002E-2</v>
      </c>
      <c r="S1918">
        <v>-3.0325009999999999</v>
      </c>
      <c r="T1918">
        <v>-0.75891830000000005</v>
      </c>
      <c r="U1918">
        <v>0.43093870000000001</v>
      </c>
      <c r="V1918">
        <v>4.1233150000000003E-2</v>
      </c>
      <c r="W1918">
        <v>6.5110199999999993E-2</v>
      </c>
      <c r="X1918">
        <v>0.99702579999999996</v>
      </c>
      <c r="Y1918">
        <v>0.14750659999999999</v>
      </c>
      <c r="Z1918">
        <v>2.097506E-2</v>
      </c>
      <c r="AA1918">
        <v>0.98883860000000001</v>
      </c>
      <c r="AB1918">
        <v>23</v>
      </c>
      <c r="AC1918">
        <v>-0.49809999999996502</v>
      </c>
      <c r="AD1918">
        <v>-0.18409929999999999</v>
      </c>
      <c r="AE1918">
        <v>0.10739999999998399</v>
      </c>
      <c r="AF1918">
        <v>0.100172905288128</v>
      </c>
      <c r="AG1918">
        <v>-0.18409929999999999</v>
      </c>
      <c r="AH1918">
        <v>0.43943942177123702</v>
      </c>
      <c r="AI1918">
        <v>112.218196306965</v>
      </c>
      <c r="AJ1918">
        <v>77.158507111924195</v>
      </c>
      <c r="AK1918">
        <v>0.486861549745915</v>
      </c>
      <c r="AL1918">
        <v>86.266819378118797</v>
      </c>
      <c r="AM1918">
        <v>87.631816574936806</v>
      </c>
      <c r="AN1918">
        <v>0.99999997833429999</v>
      </c>
    </row>
    <row r="1919" spans="1:40" x14ac:dyDescent="0.25">
      <c r="A1919" t="str">
        <f>"20190312154547063"</f>
        <v>20190312154547063</v>
      </c>
      <c r="B1919" t="str">
        <f>"1552376747058618"</f>
        <v>1552376747058618</v>
      </c>
      <c r="C1919" t="s">
        <v>40</v>
      </c>
      <c r="D1919">
        <v>4.2624620000000002</v>
      </c>
      <c r="E1919">
        <v>0.54848580000000002</v>
      </c>
      <c r="F1919" t="s">
        <v>41</v>
      </c>
      <c r="G1919">
        <v>-379.20409999999998</v>
      </c>
      <c r="H1919">
        <v>0.93203849999999999</v>
      </c>
      <c r="I1919">
        <v>282.8845</v>
      </c>
      <c r="J1919">
        <v>-378.72629999999998</v>
      </c>
      <c r="K1919">
        <v>1.1101430000000001</v>
      </c>
      <c r="L1919">
        <v>282.7801</v>
      </c>
      <c r="M1919">
        <v>-0.99983659999999996</v>
      </c>
      <c r="N1919">
        <v>0</v>
      </c>
      <c r="O1919">
        <v>-1.175675E-2</v>
      </c>
      <c r="P1919">
        <v>-0.99822580000000005</v>
      </c>
      <c r="Q1919">
        <v>5.1524920000000002E-2</v>
      </c>
      <c r="R1919">
        <v>2.9843350000000001E-2</v>
      </c>
      <c r="S1919">
        <v>-3.0317379999999998</v>
      </c>
      <c r="T1919">
        <v>-0.76276040000000001</v>
      </c>
      <c r="U1919">
        <v>0.43362430000000002</v>
      </c>
      <c r="V1919">
        <v>4.1580850000000003E-2</v>
      </c>
      <c r="W1919">
        <v>6.5221550000000003E-2</v>
      </c>
      <c r="X1919">
        <v>0.99700409999999995</v>
      </c>
      <c r="Y1919">
        <v>0.1483247</v>
      </c>
      <c r="Z1919">
        <v>2.118275E-2</v>
      </c>
      <c r="AA1919">
        <v>0.98871180000000003</v>
      </c>
      <c r="AB1919">
        <v>23</v>
      </c>
      <c r="AC1919">
        <v>-0.477800000000002</v>
      </c>
      <c r="AD1919">
        <v>-0.1781045</v>
      </c>
      <c r="AE1919">
        <v>0.10439999999999799</v>
      </c>
      <c r="AF1919">
        <v>9.7129552263345006E-2</v>
      </c>
      <c r="AG1919">
        <v>-0.1781045</v>
      </c>
      <c r="AH1919">
        <v>0.42074151472089999</v>
      </c>
      <c r="AI1919">
        <v>112.41433037572</v>
      </c>
      <c r="AJ1919">
        <v>77.000811947726604</v>
      </c>
      <c r="AK1919">
        <v>0.46709611971495202</v>
      </c>
      <c r="AL1919">
        <v>86.260425971440995</v>
      </c>
      <c r="AM1919">
        <v>87.611817890504199</v>
      </c>
      <c r="AN1919">
        <v>0.99999999654396698</v>
      </c>
    </row>
    <row r="1920" spans="1:40" x14ac:dyDescent="0.25">
      <c r="A1920" t="str">
        <f>"20190312154547085"</f>
        <v>20190312154547085</v>
      </c>
      <c r="B1920" t="str">
        <f>"1552376747078137"</f>
        <v>1552376747078137</v>
      </c>
      <c r="C1920" t="s">
        <v>40</v>
      </c>
      <c r="D1920">
        <v>4.2722129999999998</v>
      </c>
      <c r="E1920">
        <v>0.54859009999999997</v>
      </c>
      <c r="F1920" t="s">
        <v>41</v>
      </c>
      <c r="G1920">
        <v>-379.41340000000002</v>
      </c>
      <c r="H1920">
        <v>0.93706440000000002</v>
      </c>
      <c r="I1920">
        <v>282.87920000000003</v>
      </c>
      <c r="J1920">
        <v>-378.9554</v>
      </c>
      <c r="K1920">
        <v>1.110139</v>
      </c>
      <c r="L1920">
        <v>282.7774</v>
      </c>
      <c r="M1920">
        <v>-0.99983690000000003</v>
      </c>
      <c r="N1920">
        <v>0</v>
      </c>
      <c r="O1920">
        <v>-1.175678E-2</v>
      </c>
      <c r="P1920">
        <v>-0.99826619999999999</v>
      </c>
      <c r="Q1920">
        <v>5.083294E-2</v>
      </c>
      <c r="R1920">
        <v>2.9677350000000002E-2</v>
      </c>
      <c r="S1920">
        <v>-3.0316770000000002</v>
      </c>
      <c r="T1920">
        <v>-0.76369909999999996</v>
      </c>
      <c r="U1920">
        <v>0.43682860000000001</v>
      </c>
      <c r="V1920">
        <v>4.141529E-2</v>
      </c>
      <c r="W1920">
        <v>6.4517329999999998E-2</v>
      </c>
      <c r="X1920">
        <v>0.99705679999999997</v>
      </c>
      <c r="Y1920">
        <v>0.14931</v>
      </c>
      <c r="Z1920">
        <v>2.132854E-2</v>
      </c>
      <c r="AA1920">
        <v>0.98856040000000001</v>
      </c>
      <c r="AB1920">
        <v>23</v>
      </c>
      <c r="AC1920">
        <v>-0.458000000000026</v>
      </c>
      <c r="AD1920">
        <v>-0.173074599999999</v>
      </c>
      <c r="AE1920">
        <v>0.101800000000025</v>
      </c>
      <c r="AF1920">
        <v>9.43402895273278E-2</v>
      </c>
      <c r="AG1920">
        <v>-0.173074599999999</v>
      </c>
      <c r="AH1920">
        <v>0.402059331927131</v>
      </c>
      <c r="AI1920">
        <v>112.737971113908</v>
      </c>
      <c r="AJ1920">
        <v>76.794850432208307</v>
      </c>
      <c r="AK1920">
        <v>0.44777964869224501</v>
      </c>
      <c r="AL1920">
        <v>86.3008599356437</v>
      </c>
      <c r="AM1920">
        <v>87.621441411450803</v>
      </c>
      <c r="AN1920">
        <v>0.99999998727117601</v>
      </c>
    </row>
    <row r="1921" spans="1:40" x14ac:dyDescent="0.25">
      <c r="A1921" t="str">
        <f>"20190312154547107"</f>
        <v>20190312154547107</v>
      </c>
      <c r="B1921" t="str">
        <f>"1552376747098633"</f>
        <v>1552376747098633</v>
      </c>
      <c r="C1921" t="s">
        <v>40</v>
      </c>
      <c r="D1921">
        <v>4.3142519999999998</v>
      </c>
      <c r="E1921">
        <v>0.54872980000000005</v>
      </c>
      <c r="F1921" t="s">
        <v>41</v>
      </c>
      <c r="G1921">
        <v>-379.8091</v>
      </c>
      <c r="H1921">
        <v>0.89414509999999903</v>
      </c>
      <c r="I1921">
        <v>282.90050000000002</v>
      </c>
      <c r="J1921">
        <v>-379.18520000000001</v>
      </c>
      <c r="K1921">
        <v>1.1101190000000001</v>
      </c>
      <c r="L1921">
        <v>282.77460000000002</v>
      </c>
      <c r="M1921">
        <v>-0.99983770000000005</v>
      </c>
      <c r="N1921">
        <v>0</v>
      </c>
      <c r="O1921">
        <v>-1.1756930000000001E-2</v>
      </c>
      <c r="P1921">
        <v>-0.99826219999999999</v>
      </c>
      <c r="Q1921">
        <v>5.0890520000000002E-2</v>
      </c>
      <c r="R1921">
        <v>2.9709590000000001E-2</v>
      </c>
      <c r="S1921">
        <v>-3.0312809999999999</v>
      </c>
      <c r="T1921">
        <v>-0.76695909999999901</v>
      </c>
      <c r="U1921">
        <v>0.43682860000000001</v>
      </c>
      <c r="V1921">
        <v>4.1447499999999998E-2</v>
      </c>
      <c r="W1921">
        <v>6.4508739999999995E-2</v>
      </c>
      <c r="X1921">
        <v>0.99705600000000005</v>
      </c>
      <c r="Y1921">
        <v>0.14928629999999901</v>
      </c>
      <c r="Z1921">
        <v>2.1416640000000001E-2</v>
      </c>
      <c r="AA1921">
        <v>0.98856200000000005</v>
      </c>
      <c r="AB1921">
        <v>23</v>
      </c>
      <c r="AC1921">
        <v>-0.62389999999999102</v>
      </c>
      <c r="AD1921">
        <v>-0.2159739</v>
      </c>
      <c r="AE1921">
        <v>0.12590000000000101</v>
      </c>
      <c r="AF1921">
        <v>0.119470875217375</v>
      </c>
      <c r="AG1921">
        <v>-0.2159739</v>
      </c>
      <c r="AH1921">
        <v>0.55811357648642701</v>
      </c>
      <c r="AI1921">
        <v>110.72657975359</v>
      </c>
      <c r="AJ1921">
        <v>77.917501890759794</v>
      </c>
      <c r="AK1921">
        <v>0.61025304568259797</v>
      </c>
      <c r="AL1921">
        <v>86.301353069693604</v>
      </c>
      <c r="AM1921">
        <v>87.619591749476399</v>
      </c>
      <c r="AN1921">
        <v>0.99999996996431795</v>
      </c>
    </row>
    <row r="1922" spans="1:40" x14ac:dyDescent="0.25">
      <c r="A1922" t="str">
        <f>"20190312154547128"</f>
        <v>20190312154547128</v>
      </c>
      <c r="B1922" t="str">
        <f>"1552376747118154"</f>
        <v>1552376747118154</v>
      </c>
      <c r="C1922" t="s">
        <v>40</v>
      </c>
      <c r="D1922">
        <v>4.3151489999999999</v>
      </c>
      <c r="E1922">
        <v>0.54883309999999996</v>
      </c>
      <c r="F1922" t="s">
        <v>41</v>
      </c>
      <c r="G1922">
        <v>-380.01780000000002</v>
      </c>
      <c r="H1922">
        <v>0.89930959999999904</v>
      </c>
      <c r="I1922">
        <v>282.8954</v>
      </c>
      <c r="J1922">
        <v>-379.4153</v>
      </c>
      <c r="K1922">
        <v>1.1100840000000001</v>
      </c>
      <c r="L1922">
        <v>282.77190000000002</v>
      </c>
      <c r="M1922">
        <v>-0.99983929999999999</v>
      </c>
      <c r="N1922">
        <v>0</v>
      </c>
      <c r="O1922">
        <v>-1.1757109999999999E-2</v>
      </c>
      <c r="P1922">
        <v>-0.99825730000000001</v>
      </c>
      <c r="Q1922">
        <v>5.1023359999999997E-2</v>
      </c>
      <c r="R1922">
        <v>2.9653780000000001E-2</v>
      </c>
      <c r="S1922">
        <v>-3.0313110000000001</v>
      </c>
      <c r="T1922">
        <v>-0.7675052</v>
      </c>
      <c r="U1922">
        <v>0.43789670000000003</v>
      </c>
      <c r="V1922">
        <v>4.1391909999999997E-2</v>
      </c>
      <c r="W1922">
        <v>6.4527290000000001E-2</v>
      </c>
      <c r="X1922">
        <v>0.99705710000000003</v>
      </c>
      <c r="Y1922">
        <v>0.14960970000000001</v>
      </c>
      <c r="Z1922">
        <v>2.147085E-2</v>
      </c>
      <c r="AA1922">
        <v>0.98851199999999995</v>
      </c>
      <c r="AB1922">
        <v>23</v>
      </c>
      <c r="AC1922">
        <v>-0.60250000000002002</v>
      </c>
      <c r="AD1922">
        <v>-0.2107744</v>
      </c>
      <c r="AE1922">
        <v>0.123499999999978</v>
      </c>
      <c r="AF1922">
        <v>0.116851724372765</v>
      </c>
      <c r="AG1922">
        <v>-0.2107744</v>
      </c>
      <c r="AH1922">
        <v>0.53783801063564596</v>
      </c>
      <c r="AI1922">
        <v>110.954734063823</v>
      </c>
      <c r="AJ1922">
        <v>77.742304546738296</v>
      </c>
      <c r="AK1922">
        <v>0.58936397825856102</v>
      </c>
      <c r="AL1922">
        <v>86.300287980794593</v>
      </c>
      <c r="AM1922">
        <v>87.622783342716005</v>
      </c>
      <c r="AN1922">
        <v>0.9999999610143</v>
      </c>
    </row>
    <row r="1923" spans="1:40" x14ac:dyDescent="0.25">
      <c r="A1923" t="str">
        <f>"20190312154547151"</f>
        <v>20190312154547151</v>
      </c>
      <c r="B1923" t="str">
        <f>"1552376747148409"</f>
        <v>1552376747148409</v>
      </c>
      <c r="C1923" t="s">
        <v>40</v>
      </c>
      <c r="D1923">
        <v>4.3333079999999997</v>
      </c>
      <c r="E1923">
        <v>0.5489598</v>
      </c>
      <c r="F1923" t="s">
        <v>41</v>
      </c>
      <c r="G1923">
        <v>-380.22660000000002</v>
      </c>
      <c r="H1923">
        <v>0.90465870000000004</v>
      </c>
      <c r="I1923">
        <v>282.8895</v>
      </c>
      <c r="J1923">
        <v>-379.64060000000001</v>
      </c>
      <c r="K1923">
        <v>1.1100490000000001</v>
      </c>
      <c r="L1923">
        <v>282.76929999999999</v>
      </c>
      <c r="M1923">
        <v>-0.99984170000000006</v>
      </c>
      <c r="N1923">
        <v>0</v>
      </c>
      <c r="O1923">
        <v>-1.175732E-2</v>
      </c>
      <c r="P1923">
        <v>-0.99818390000000001</v>
      </c>
      <c r="Q1923">
        <v>5.2468189999999998E-2</v>
      </c>
      <c r="R1923">
        <v>2.960227E-2</v>
      </c>
      <c r="S1923">
        <v>-3.0314030000000001</v>
      </c>
      <c r="T1923">
        <v>-0.76759580000000005</v>
      </c>
      <c r="U1923">
        <v>0.43966670000000002</v>
      </c>
      <c r="V1923">
        <v>4.1339769999999998E-2</v>
      </c>
      <c r="W1923">
        <v>6.5786819999999996E-2</v>
      </c>
      <c r="X1923">
        <v>0.996977</v>
      </c>
      <c r="Y1923">
        <v>0.1501537</v>
      </c>
      <c r="Z1923">
        <v>2.153936E-2</v>
      </c>
      <c r="AA1923">
        <v>0.98842799999999997</v>
      </c>
      <c r="AB1923">
        <v>23</v>
      </c>
      <c r="AC1923">
        <v>-0.58600000000001196</v>
      </c>
      <c r="AD1923">
        <v>-0.2053903</v>
      </c>
      <c r="AE1923">
        <v>0.12020000000001101</v>
      </c>
      <c r="AF1923">
        <v>0.11368062204565001</v>
      </c>
      <c r="AG1923">
        <v>-0.2053903</v>
      </c>
      <c r="AH1923">
        <v>0.52290268232933801</v>
      </c>
      <c r="AI1923">
        <v>110.997949089049</v>
      </c>
      <c r="AJ1923">
        <v>77.734585334725196</v>
      </c>
      <c r="AK1923">
        <v>0.57318031573841799</v>
      </c>
      <c r="AL1923">
        <v>86.227968729234306</v>
      </c>
      <c r="AM1923">
        <v>87.625583880056197</v>
      </c>
      <c r="AN1923">
        <v>1.00000001039918</v>
      </c>
    </row>
    <row r="1924" spans="1:40" x14ac:dyDescent="0.25">
      <c r="A1924" t="str">
        <f>"20190312154547173"</f>
        <v>20190312154547173</v>
      </c>
      <c r="B1924" t="str">
        <f>"1552376747168906"</f>
        <v>1552376747168906</v>
      </c>
      <c r="C1924" t="s">
        <v>40</v>
      </c>
      <c r="D1924">
        <v>4.4460629999999997</v>
      </c>
      <c r="E1924">
        <v>0.54909529999999995</v>
      </c>
      <c r="F1924" t="s">
        <v>41</v>
      </c>
      <c r="G1924">
        <v>-380.4357</v>
      </c>
      <c r="H1924">
        <v>0.90973729999999997</v>
      </c>
      <c r="I1924">
        <v>282.88510000000002</v>
      </c>
      <c r="J1924">
        <v>-379.87490000000003</v>
      </c>
      <c r="K1924">
        <v>1.109988</v>
      </c>
      <c r="L1924">
        <v>282.76650000000001</v>
      </c>
      <c r="M1924">
        <v>-0.99984569999999995</v>
      </c>
      <c r="N1924">
        <v>0</v>
      </c>
      <c r="O1924">
        <v>-1.1757739999999999E-2</v>
      </c>
      <c r="P1924">
        <v>-0.99812809999999996</v>
      </c>
      <c r="Q1924">
        <v>5.3421940000000001E-2</v>
      </c>
      <c r="R1924">
        <v>2.9772030000000001E-2</v>
      </c>
      <c r="S1924">
        <v>-3.0325929999999999</v>
      </c>
      <c r="T1924">
        <v>-0.7640306</v>
      </c>
      <c r="U1924">
        <v>0.44046020000000002</v>
      </c>
      <c r="V1924">
        <v>4.1509039999999997E-2</v>
      </c>
      <c r="W1924">
        <v>6.6438639999999993E-2</v>
      </c>
      <c r="X1924">
        <v>0.99692670000000005</v>
      </c>
      <c r="Y1924">
        <v>0.15039459999999999</v>
      </c>
      <c r="Z1924">
        <v>2.1463670000000001E-2</v>
      </c>
      <c r="AA1924">
        <v>0.98839299999999997</v>
      </c>
      <c r="AB1924">
        <v>23</v>
      </c>
      <c r="AC1924">
        <v>-0.56079999999997199</v>
      </c>
      <c r="AD1924">
        <v>-0.2002507</v>
      </c>
      <c r="AE1924">
        <v>0.118600000000014</v>
      </c>
      <c r="AF1924">
        <v>0.111569313292946</v>
      </c>
      <c r="AG1924">
        <v>-0.2002507</v>
      </c>
      <c r="AH1924">
        <v>0.498523005016689</v>
      </c>
      <c r="AI1924">
        <v>111.404743332048</v>
      </c>
      <c r="AJ1924">
        <v>77.385090040063304</v>
      </c>
      <c r="AK1924">
        <v>0.54870141338438305</v>
      </c>
      <c r="AL1924">
        <v>86.190540149490005</v>
      </c>
      <c r="AM1924">
        <v>87.615752628947604</v>
      </c>
      <c r="AN1924">
        <v>0.99999996922983003</v>
      </c>
    </row>
    <row r="1925" spans="1:40" x14ac:dyDescent="0.25">
      <c r="A1925" t="str">
        <f>"20190312154547197"</f>
        <v>20190312154547197</v>
      </c>
      <c r="B1925" t="str">
        <f>"1552376747188425"</f>
        <v>1552376747188425</v>
      </c>
      <c r="C1925" t="s">
        <v>40</v>
      </c>
      <c r="D1925">
        <v>4.3932589999999996</v>
      </c>
      <c r="E1925">
        <v>0.54916100000000001</v>
      </c>
      <c r="F1925" t="s">
        <v>41</v>
      </c>
      <c r="G1925">
        <v>-380.64580000000001</v>
      </c>
      <c r="H1925">
        <v>0.91635889999999998</v>
      </c>
      <c r="I1925">
        <v>282.87909999999999</v>
      </c>
      <c r="J1925">
        <v>-380.10950000000003</v>
      </c>
      <c r="K1925">
        <v>1.109909</v>
      </c>
      <c r="L1925">
        <v>282.7638</v>
      </c>
      <c r="M1925">
        <v>-0.99985100000000005</v>
      </c>
      <c r="N1925">
        <v>0</v>
      </c>
      <c r="O1925">
        <v>-1.1757760000000001E-2</v>
      </c>
      <c r="P1925">
        <v>-0.99810220000000005</v>
      </c>
      <c r="Q1925">
        <v>5.3952399999999998E-2</v>
      </c>
      <c r="R1925">
        <v>2.9687600000000001E-2</v>
      </c>
      <c r="S1925">
        <v>-3.0332029999999999</v>
      </c>
      <c r="T1925">
        <v>-0.76181460000000001</v>
      </c>
      <c r="U1925">
        <v>0.44268800000000003</v>
      </c>
      <c r="V1925">
        <v>4.1424460000000003E-2</v>
      </c>
      <c r="W1925">
        <v>6.6559489999999999E-2</v>
      </c>
      <c r="X1925">
        <v>0.99692219999999998</v>
      </c>
      <c r="Y1925">
        <v>0.151087</v>
      </c>
      <c r="Z1925">
        <v>2.1483240000000001E-2</v>
      </c>
      <c r="AA1925">
        <v>0.98828700000000003</v>
      </c>
      <c r="AB1925">
        <v>23</v>
      </c>
      <c r="AC1925">
        <v>-0.53629999999998201</v>
      </c>
      <c r="AD1925">
        <v>-0.1935501</v>
      </c>
      <c r="AE1925">
        <v>0.11529999999998999</v>
      </c>
      <c r="AF1925">
        <v>0.108135965263035</v>
      </c>
      <c r="AG1925">
        <v>-0.1935501</v>
      </c>
      <c r="AH1925">
        <v>0.475687068986335</v>
      </c>
      <c r="AI1925">
        <v>111.641332473784</v>
      </c>
      <c r="AJ1925">
        <v>77.192839986675395</v>
      </c>
      <c r="AK1925">
        <v>0.52481731659139097</v>
      </c>
      <c r="AL1925">
        <v>86.183600757849106</v>
      </c>
      <c r="AM1925">
        <v>87.620594521784497</v>
      </c>
      <c r="AN1925">
        <v>1.00000001222409</v>
      </c>
    </row>
    <row r="1926" spans="1:40" x14ac:dyDescent="0.25">
      <c r="A1926" t="str">
        <f>"20190312154547218"</f>
        <v>20190312154547218</v>
      </c>
      <c r="B1926" t="str">
        <f>"1552376747208922"</f>
        <v>1552376747208922</v>
      </c>
      <c r="C1926" t="s">
        <v>40</v>
      </c>
      <c r="D1926">
        <v>4.3430049999999998</v>
      </c>
      <c r="E1926">
        <v>0.54919580000000001</v>
      </c>
      <c r="F1926" t="s">
        <v>41</v>
      </c>
      <c r="G1926">
        <v>-380.85660000000001</v>
      </c>
      <c r="H1926">
        <v>0.92266329999999996</v>
      </c>
      <c r="I1926">
        <v>282.87310000000002</v>
      </c>
      <c r="J1926">
        <v>-380.33800000000002</v>
      </c>
      <c r="K1926">
        <v>1.109815</v>
      </c>
      <c r="L1926">
        <v>282.76100000000002</v>
      </c>
      <c r="M1926">
        <v>-0.99985679999999999</v>
      </c>
      <c r="N1926">
        <v>0</v>
      </c>
      <c r="O1926">
        <v>-1.175813E-2</v>
      </c>
      <c r="P1926">
        <v>-0.99809859999999995</v>
      </c>
      <c r="Q1926">
        <v>5.4405639999999998E-2</v>
      </c>
      <c r="R1926">
        <v>2.8972250000000001E-2</v>
      </c>
      <c r="S1926">
        <v>-3.0336910000000001</v>
      </c>
      <c r="T1926">
        <v>-0.76034579999999996</v>
      </c>
      <c r="U1926">
        <v>0.44265749999999998</v>
      </c>
      <c r="V1926">
        <v>4.0709500000000003E-2</v>
      </c>
      <c r="W1926">
        <v>6.6548549999999998E-2</v>
      </c>
      <c r="X1926">
        <v>0.99695239999999996</v>
      </c>
      <c r="Y1926">
        <v>0.1510755</v>
      </c>
      <c r="Z1926">
        <v>2.14384E-2</v>
      </c>
      <c r="AA1926">
        <v>0.98828970000000005</v>
      </c>
      <c r="AB1926">
        <v>23</v>
      </c>
      <c r="AC1926">
        <v>-0.51859999999999196</v>
      </c>
      <c r="AD1926">
        <v>-0.1871517</v>
      </c>
      <c r="AE1926">
        <v>0.112100000000054</v>
      </c>
      <c r="AF1926">
        <v>0.105112387886339</v>
      </c>
      <c r="AG1926">
        <v>-0.1871517</v>
      </c>
      <c r="AH1926">
        <v>0.46001136323618103</v>
      </c>
      <c r="AI1926">
        <v>111.63422064346599</v>
      </c>
      <c r="AJ1926">
        <v>77.128912551422303</v>
      </c>
      <c r="AK1926">
        <v>0.507626661244726</v>
      </c>
      <c r="AL1926">
        <v>86.184229035906199</v>
      </c>
      <c r="AM1926">
        <v>87.661686326150701</v>
      </c>
      <c r="AN1926">
        <v>1.0000000303815499</v>
      </c>
    </row>
    <row r="1927" spans="1:40" x14ac:dyDescent="0.25">
      <c r="A1927" t="str">
        <f>"20190312154547242"</f>
        <v>20190312154547242</v>
      </c>
      <c r="B1927" t="str">
        <f>"1552376747228441"</f>
        <v>1552376747228441</v>
      </c>
      <c r="C1927" t="s">
        <v>40</v>
      </c>
      <c r="D1927">
        <v>4.3611019999999998</v>
      </c>
      <c r="E1927">
        <v>0.54924649999999997</v>
      </c>
      <c r="F1927" t="s">
        <v>41</v>
      </c>
      <c r="G1927">
        <v>-381.06740000000002</v>
      </c>
      <c r="H1927">
        <v>0.92717430000000001</v>
      </c>
      <c r="I1927">
        <v>282.86739999999998</v>
      </c>
      <c r="J1927">
        <v>-380.5806</v>
      </c>
      <c r="K1927">
        <v>1.109734</v>
      </c>
      <c r="L1927">
        <v>282.75819999999999</v>
      </c>
      <c r="M1927">
        <v>-0.9998631</v>
      </c>
      <c r="N1927">
        <v>0</v>
      </c>
      <c r="O1927">
        <v>-1.175855E-2</v>
      </c>
      <c r="P1927">
        <v>-0.99808600000000003</v>
      </c>
      <c r="Q1927">
        <v>5.4910199999999999E-2</v>
      </c>
      <c r="R1927">
        <v>2.8451629999999999E-2</v>
      </c>
      <c r="S1927">
        <v>-3.0342410000000002</v>
      </c>
      <c r="T1927">
        <v>-0.75964359999999997</v>
      </c>
      <c r="U1927">
        <v>0.44171139999999998</v>
      </c>
      <c r="V1927">
        <v>4.018886E-2</v>
      </c>
      <c r="W1927">
        <v>6.6535230000000001E-2</v>
      </c>
      <c r="X1927">
        <v>0.99697440000000004</v>
      </c>
      <c r="Y1927">
        <v>0.15076819999999999</v>
      </c>
      <c r="Z1927">
        <v>2.1378319999999999E-2</v>
      </c>
      <c r="AA1927">
        <v>0.98833789999999999</v>
      </c>
      <c r="AB1927">
        <v>23</v>
      </c>
      <c r="AC1927">
        <v>-0.486800000000016</v>
      </c>
      <c r="AD1927">
        <v>-0.18255969999999999</v>
      </c>
      <c r="AE1927">
        <v>0.109199999999987</v>
      </c>
      <c r="AF1927">
        <v>0.10134641721183101</v>
      </c>
      <c r="AG1927">
        <v>-0.18255969999999999</v>
      </c>
      <c r="AH1927">
        <v>0.42815185434512298</v>
      </c>
      <c r="AI1927">
        <v>112.534753271421</v>
      </c>
      <c r="AJ1927">
        <v>76.6828144471136</v>
      </c>
      <c r="AK1927">
        <v>0.47635401827310297</v>
      </c>
      <c r="AL1927">
        <v>86.184993862753799</v>
      </c>
      <c r="AM1927">
        <v>87.691609699376102</v>
      </c>
      <c r="AN1927">
        <v>1.0000000177773001</v>
      </c>
    </row>
    <row r="1928" spans="1:40" x14ac:dyDescent="0.25">
      <c r="A1928" t="str">
        <f>"20190312154547264"</f>
        <v>20190312154547264</v>
      </c>
      <c r="B1928" t="str">
        <f>"1552376747258698"</f>
        <v>1552376747258698</v>
      </c>
      <c r="C1928" t="s">
        <v>40</v>
      </c>
      <c r="D1928">
        <v>4.4473859999999998</v>
      </c>
      <c r="E1928">
        <v>0.5287309</v>
      </c>
      <c r="F1928" t="s">
        <v>41</v>
      </c>
      <c r="G1928">
        <v>-381.28030000000001</v>
      </c>
      <c r="H1928">
        <v>0.93474270000000004</v>
      </c>
      <c r="I1928">
        <v>282.86</v>
      </c>
      <c r="J1928">
        <v>-380.81400000000002</v>
      </c>
      <c r="K1928">
        <v>1.109669</v>
      </c>
      <c r="L1928">
        <v>282.75540000000001</v>
      </c>
      <c r="M1928">
        <v>-0.99986870000000005</v>
      </c>
      <c r="N1928">
        <v>0</v>
      </c>
      <c r="O1928">
        <v>-1.1759439999999999E-2</v>
      </c>
      <c r="P1928">
        <v>-0.99807489999999999</v>
      </c>
      <c r="Q1928">
        <v>5.5261379999999999E-2</v>
      </c>
      <c r="R1928">
        <v>2.8158679999999998E-2</v>
      </c>
      <c r="S1928">
        <v>-3.0349729999999999</v>
      </c>
      <c r="T1928">
        <v>-0.75907539999999996</v>
      </c>
      <c r="U1928">
        <v>0.44033810000000001</v>
      </c>
      <c r="V1928">
        <v>3.9896870000000001E-2</v>
      </c>
      <c r="W1928">
        <v>6.6390569999999996E-2</v>
      </c>
      <c r="X1928">
        <v>0.99699570000000004</v>
      </c>
      <c r="Y1928">
        <v>0.150319799999999</v>
      </c>
      <c r="Z1928">
        <v>2.130375E-2</v>
      </c>
      <c r="AA1928">
        <v>0.98840790000000001</v>
      </c>
      <c r="AB1928">
        <v>23</v>
      </c>
      <c r="AC1928">
        <v>-0.466299999999989</v>
      </c>
      <c r="AD1928">
        <v>-0.17492630000000001</v>
      </c>
      <c r="AE1928">
        <v>0.104600000000004</v>
      </c>
      <c r="AF1928">
        <v>9.7070486412718093E-2</v>
      </c>
      <c r="AG1928">
        <v>-0.17492630000000001</v>
      </c>
      <c r="AH1928">
        <v>0.41009130795440502</v>
      </c>
      <c r="AI1928">
        <v>112.54258458474</v>
      </c>
      <c r="AJ1928">
        <v>76.682930643315899</v>
      </c>
      <c r="AK1928">
        <v>0.456285843111361</v>
      </c>
      <c r="AL1928">
        <v>86.193300367080099</v>
      </c>
      <c r="AM1928">
        <v>87.708412145512199</v>
      </c>
      <c r="AN1928">
        <v>0.99999994691960403</v>
      </c>
    </row>
    <row r="1929" spans="1:40" x14ac:dyDescent="0.25">
      <c r="A1929" t="str">
        <f>"20190312154547286"</f>
        <v>20190312154547286</v>
      </c>
      <c r="B1929" t="str">
        <f>"1552376747279194"</f>
        <v>1552376747279194</v>
      </c>
      <c r="C1929" t="s">
        <v>40</v>
      </c>
      <c r="D1929">
        <v>4.4877000000000002</v>
      </c>
      <c r="E1929">
        <v>0.52323869999999995</v>
      </c>
      <c r="F1929" t="s">
        <v>41</v>
      </c>
      <c r="G1929">
        <v>-381.68360000000001</v>
      </c>
      <c r="H1929">
        <v>0.89758660000000001</v>
      </c>
      <c r="I1929">
        <v>282.83460000000002</v>
      </c>
      <c r="J1929">
        <v>-381.05090000000001</v>
      </c>
      <c r="K1929">
        <v>1.1095919999999999</v>
      </c>
      <c r="L1929">
        <v>282.7527</v>
      </c>
      <c r="M1929">
        <v>-0.99987409999999999</v>
      </c>
      <c r="N1929">
        <v>0</v>
      </c>
      <c r="O1929">
        <v>-1.175959E-2</v>
      </c>
      <c r="P1929">
        <v>-0.99806050000000002</v>
      </c>
      <c r="Q1929">
        <v>5.538883E-2</v>
      </c>
      <c r="R1929">
        <v>2.8417629999999999E-2</v>
      </c>
      <c r="S1929">
        <v>-3.0390929999999998</v>
      </c>
      <c r="T1929">
        <v>-0.74130490000000004</v>
      </c>
      <c r="U1929">
        <v>0.27557369999999998</v>
      </c>
      <c r="V1929">
        <v>4.0155690000000001E-2</v>
      </c>
      <c r="W1929">
        <v>6.6014240000000002E-2</v>
      </c>
      <c r="X1929">
        <v>0.99701039999999996</v>
      </c>
      <c r="Y1929">
        <v>9.8795549999999996E-2</v>
      </c>
      <c r="Z1929">
        <v>1.4673820000000001E-2</v>
      </c>
      <c r="AA1929">
        <v>0.99499950000000004</v>
      </c>
      <c r="AB1929">
        <v>24</v>
      </c>
      <c r="AC1929">
        <v>-0.63269999999999904</v>
      </c>
      <c r="AD1929">
        <v>-0.21200539999999901</v>
      </c>
      <c r="AE1929">
        <v>8.1900000000018694E-2</v>
      </c>
      <c r="AF1929">
        <v>8.0450966810860197E-2</v>
      </c>
      <c r="AG1929">
        <v>-0.21200539999999901</v>
      </c>
      <c r="AH1929">
        <v>0.56887323016217095</v>
      </c>
      <c r="AI1929">
        <v>110.254273275271</v>
      </c>
      <c r="AJ1929">
        <v>81.950518896872694</v>
      </c>
      <c r="AK1929">
        <v>0.61240133873555902</v>
      </c>
      <c r="AL1929">
        <v>86.214910280843995</v>
      </c>
      <c r="AM1929">
        <v>87.693596070524094</v>
      </c>
      <c r="AN1929">
        <v>1.0000000485151499</v>
      </c>
    </row>
    <row r="1930" spans="1:40" x14ac:dyDescent="0.25">
      <c r="A1930" t="str">
        <f>"20190312154547307"</f>
        <v>20190312154547307</v>
      </c>
      <c r="B1930" t="str">
        <f>"1552376747298714"</f>
        <v>1552376747298714</v>
      </c>
      <c r="C1930" t="s">
        <v>40</v>
      </c>
      <c r="D1930">
        <v>4.483962</v>
      </c>
      <c r="E1930">
        <v>0.52188519999999905</v>
      </c>
      <c r="F1930" t="s">
        <v>41</v>
      </c>
      <c r="G1930">
        <v>-381.89980000000003</v>
      </c>
      <c r="H1930">
        <v>0.90836519999999998</v>
      </c>
      <c r="I1930">
        <v>282.81760000000003</v>
      </c>
      <c r="J1930">
        <v>-381.27789999999999</v>
      </c>
      <c r="K1930">
        <v>1.1095280000000001</v>
      </c>
      <c r="L1930">
        <v>282.75</v>
      </c>
      <c r="M1930">
        <v>-0.99987910000000002</v>
      </c>
      <c r="N1930">
        <v>0</v>
      </c>
      <c r="O1930">
        <v>-1.1760380000000001E-2</v>
      </c>
      <c r="P1930">
        <v>-0.99803600000000003</v>
      </c>
      <c r="Q1930">
        <v>5.5529019999999998E-2</v>
      </c>
      <c r="R1930">
        <v>2.9001900000000001E-2</v>
      </c>
      <c r="S1930">
        <v>-3.0391849999999998</v>
      </c>
      <c r="T1930">
        <v>-0.72039430000000004</v>
      </c>
      <c r="U1930">
        <v>0.23291020000000001</v>
      </c>
      <c r="V1930">
        <v>4.0740489999999997E-2</v>
      </c>
      <c r="W1930">
        <v>6.5681649999999994E-2</v>
      </c>
      <c r="X1930">
        <v>0.99700860000000002</v>
      </c>
      <c r="Y1930">
        <v>8.5454199999999994E-2</v>
      </c>
      <c r="Z1930">
        <v>1.272147E-2</v>
      </c>
      <c r="AA1930">
        <v>0.9962609</v>
      </c>
      <c r="AB1930">
        <v>24</v>
      </c>
      <c r="AC1930">
        <v>-0.62190000000003898</v>
      </c>
      <c r="AD1930">
        <v>-0.2011628</v>
      </c>
      <c r="AE1930">
        <v>6.7600000000027194E-2</v>
      </c>
      <c r="AF1930">
        <v>6.7889215388904495E-2</v>
      </c>
      <c r="AG1930">
        <v>-0.2011628</v>
      </c>
      <c r="AH1930">
        <v>0.56285808222045697</v>
      </c>
      <c r="AI1930">
        <v>109.535884553118</v>
      </c>
      <c r="AJ1930">
        <v>83.122483613063494</v>
      </c>
      <c r="AK1930">
        <v>0.60156848187953804</v>
      </c>
      <c r="AL1930">
        <v>86.234007576693202</v>
      </c>
      <c r="AM1930">
        <v>87.660040030220003</v>
      </c>
      <c r="AN1930">
        <v>1.00000000757306</v>
      </c>
    </row>
    <row r="1931" spans="1:40" x14ac:dyDescent="0.25">
      <c r="A1931" t="str">
        <f>"20190312154547330"</f>
        <v>20190312154547330</v>
      </c>
      <c r="B1931" t="str">
        <f>"1552376747318234"</f>
        <v>1552376747318234</v>
      </c>
      <c r="C1931" t="s">
        <v>40</v>
      </c>
      <c r="D1931">
        <v>4.4678550000000001</v>
      </c>
      <c r="E1931">
        <v>0.52132579999999995</v>
      </c>
      <c r="F1931" t="s">
        <v>41</v>
      </c>
      <c r="G1931">
        <v>-382.1148</v>
      </c>
      <c r="H1931">
        <v>0.91337559999999995</v>
      </c>
      <c r="I1931">
        <v>282.81200000000001</v>
      </c>
      <c r="J1931">
        <v>-381.52229999999997</v>
      </c>
      <c r="K1931">
        <v>1.1094710000000001</v>
      </c>
      <c r="L1931">
        <v>282.74709999999999</v>
      </c>
      <c r="M1931">
        <v>-0.99988410000000005</v>
      </c>
      <c r="N1931">
        <v>0</v>
      </c>
      <c r="O1931">
        <v>-1.1760909999999999E-2</v>
      </c>
      <c r="P1931">
        <v>-0.99798719999999996</v>
      </c>
      <c r="Q1931">
        <v>5.6235599999999997E-2</v>
      </c>
      <c r="R1931">
        <v>2.931957E-2</v>
      </c>
      <c r="S1931">
        <v>-3.0390320000000002</v>
      </c>
      <c r="T1931">
        <v>-0.71235680000000001</v>
      </c>
      <c r="U1931">
        <v>0.22406010000000001</v>
      </c>
      <c r="V1931">
        <v>4.105781E-2</v>
      </c>
      <c r="W1931">
        <v>6.5886260000000002E-2</v>
      </c>
      <c r="X1931">
        <v>0.99698209999999998</v>
      </c>
      <c r="Y1931">
        <v>8.2705009999999995E-2</v>
      </c>
      <c r="Z1931">
        <v>1.226782E-2</v>
      </c>
      <c r="AA1931">
        <v>0.99649860000000001</v>
      </c>
      <c r="AB1931">
        <v>24</v>
      </c>
      <c r="AC1931">
        <v>-0.592500000000029</v>
      </c>
      <c r="AD1931">
        <v>-0.196095399999999</v>
      </c>
      <c r="AE1931">
        <v>6.4900000000022801E-2</v>
      </c>
      <c r="AF1931">
        <v>6.4845455340597297E-2</v>
      </c>
      <c r="AG1931">
        <v>-0.196095399999999</v>
      </c>
      <c r="AH1931">
        <v>0.533906867830923</v>
      </c>
      <c r="AI1931">
        <v>110.03208663751499</v>
      </c>
      <c r="AJ1931">
        <v>83.075080346230394</v>
      </c>
      <c r="AK1931">
        <v>0.57246387003593102</v>
      </c>
      <c r="AL1931">
        <v>86.222258905579395</v>
      </c>
      <c r="AM1931">
        <v>87.641772409002201</v>
      </c>
      <c r="AN1931">
        <v>1.00000002536959</v>
      </c>
    </row>
    <row r="1932" spans="1:40" x14ac:dyDescent="0.25">
      <c r="A1932" t="str">
        <f>"20190312154547352"</f>
        <v>20190312154547352</v>
      </c>
      <c r="B1932" t="str">
        <f>"1552376747348490"</f>
        <v>1552376747348490</v>
      </c>
      <c r="C1932" t="s">
        <v>40</v>
      </c>
      <c r="D1932">
        <v>4.4755580000000004</v>
      </c>
      <c r="E1932">
        <v>0.52128580000000002</v>
      </c>
      <c r="F1932" t="s">
        <v>41</v>
      </c>
      <c r="G1932">
        <v>-382.33210000000003</v>
      </c>
      <c r="H1932">
        <v>0.92072560000000003</v>
      </c>
      <c r="I1932">
        <v>282.80619999999999</v>
      </c>
      <c r="J1932">
        <v>-381.75889999999998</v>
      </c>
      <c r="K1932">
        <v>1.109421</v>
      </c>
      <c r="L1932">
        <v>282.74439999999998</v>
      </c>
      <c r="M1932">
        <v>-0.99988869999999996</v>
      </c>
      <c r="N1932">
        <v>0</v>
      </c>
      <c r="O1932">
        <v>-1.1761499999999999E-2</v>
      </c>
      <c r="P1932">
        <v>-0.99793739999999997</v>
      </c>
      <c r="Q1932">
        <v>5.69565E-2</v>
      </c>
      <c r="R1932">
        <v>2.9608800000000001E-2</v>
      </c>
      <c r="S1932">
        <v>-3.0394899999999998</v>
      </c>
      <c r="T1932">
        <v>-0.7084184</v>
      </c>
      <c r="U1932">
        <v>0.22094730000000001</v>
      </c>
      <c r="V1932">
        <v>4.134678E-2</v>
      </c>
      <c r="W1932">
        <v>6.6120830000000005E-2</v>
      </c>
      <c r="X1932">
        <v>0.99695460000000002</v>
      </c>
      <c r="Y1932">
        <v>8.1733559999999997E-2</v>
      </c>
      <c r="Z1932">
        <v>1.2088969999999999E-2</v>
      </c>
      <c r="AA1932">
        <v>0.99658089999999999</v>
      </c>
      <c r="AB1932">
        <v>24</v>
      </c>
      <c r="AC1932">
        <v>-0.57320000000004201</v>
      </c>
      <c r="AD1932">
        <v>-0.18869540000000001</v>
      </c>
      <c r="AE1932">
        <v>6.1800000000005101E-2</v>
      </c>
      <c r="AF1932">
        <v>6.1906015826847002E-2</v>
      </c>
      <c r="AG1932">
        <v>-0.18869540000000001</v>
      </c>
      <c r="AH1932">
        <v>0.517044987867887</v>
      </c>
      <c r="AI1932">
        <v>109.918572710452</v>
      </c>
      <c r="AJ1932">
        <v>83.1724533587049</v>
      </c>
      <c r="AK1932">
        <v>0.55387167128859105</v>
      </c>
      <c r="AL1932">
        <v>86.2087895575836</v>
      </c>
      <c r="AM1932">
        <v>87.625128413048103</v>
      </c>
      <c r="AN1932">
        <v>0.99999999741870804</v>
      </c>
    </row>
    <row r="1933" spans="1:40" x14ac:dyDescent="0.25">
      <c r="A1933" t="str">
        <f>"20190312154547374"</f>
        <v>20190312154547374</v>
      </c>
      <c r="B1933" t="str">
        <f>"1552376747368986"</f>
        <v>1552376747368986</v>
      </c>
      <c r="C1933" t="s">
        <v>40</v>
      </c>
      <c r="D1933">
        <v>4.4898210000000001</v>
      </c>
      <c r="E1933">
        <v>0.52121289999999998</v>
      </c>
      <c r="F1933" t="s">
        <v>41</v>
      </c>
      <c r="G1933">
        <v>-382.5498</v>
      </c>
      <c r="H1933">
        <v>0.92630509999999999</v>
      </c>
      <c r="I1933">
        <v>282.80220000000003</v>
      </c>
      <c r="J1933">
        <v>-382.00209999999998</v>
      </c>
      <c r="K1933">
        <v>1.109364</v>
      </c>
      <c r="L1933">
        <v>282.74149999999997</v>
      </c>
      <c r="M1933">
        <v>-0.99989320000000004</v>
      </c>
      <c r="N1933">
        <v>0</v>
      </c>
      <c r="O1933">
        <v>-1.176192E-2</v>
      </c>
      <c r="P1933">
        <v>-0.99788299999999996</v>
      </c>
      <c r="Q1933">
        <v>5.7904049999999999E-2</v>
      </c>
      <c r="R1933">
        <v>2.9613569999999999E-2</v>
      </c>
      <c r="S1933">
        <v>-3.0397949999999998</v>
      </c>
      <c r="T1933">
        <v>-0.70385529999999996</v>
      </c>
      <c r="U1933">
        <v>0.22149659999999999</v>
      </c>
      <c r="V1933">
        <v>4.1351619999999999E-2</v>
      </c>
      <c r="W1933">
        <v>6.6568059999999998E-2</v>
      </c>
      <c r="X1933">
        <v>0.99692460000000005</v>
      </c>
      <c r="Y1933">
        <v>8.1932710000000006E-2</v>
      </c>
      <c r="Z1933">
        <v>1.2034670000000001E-2</v>
      </c>
      <c r="AA1933">
        <v>0.99656520000000004</v>
      </c>
      <c r="AB1933">
        <v>24</v>
      </c>
      <c r="AC1933">
        <v>-0.54770000000001995</v>
      </c>
      <c r="AD1933">
        <v>-0.1830589</v>
      </c>
      <c r="AE1933">
        <v>6.0700000000053898E-2</v>
      </c>
      <c r="AF1933">
        <v>6.0465355489335702E-2</v>
      </c>
      <c r="AG1933">
        <v>-0.1830589</v>
      </c>
      <c r="AH1933">
        <v>0.492588256720218</v>
      </c>
      <c r="AI1933">
        <v>110.246903670172</v>
      </c>
      <c r="AJ1933">
        <v>83.001933949950896</v>
      </c>
      <c r="AK1933">
        <v>0.52897051972895903</v>
      </c>
      <c r="AL1933">
        <v>86.183108444210404</v>
      </c>
      <c r="AM1933">
        <v>87.624779339611393</v>
      </c>
      <c r="AN1933">
        <v>0.99999996058697305</v>
      </c>
    </row>
    <row r="1934" spans="1:40" x14ac:dyDescent="0.25">
      <c r="A1934" t="str">
        <f>"20190312154547397"</f>
        <v>20190312154547397</v>
      </c>
      <c r="B1934" t="str">
        <f>"1552376747388509"</f>
        <v>1552376747388509</v>
      </c>
      <c r="C1934" t="s">
        <v>40</v>
      </c>
      <c r="D1934">
        <v>4.468953</v>
      </c>
      <c r="E1934">
        <v>0.52109349999999999</v>
      </c>
      <c r="F1934" t="s">
        <v>41</v>
      </c>
      <c r="G1934">
        <v>-382.76920000000001</v>
      </c>
      <c r="H1934">
        <v>0.93288340000000003</v>
      </c>
      <c r="I1934">
        <v>282.79730000000001</v>
      </c>
      <c r="J1934">
        <v>-382.24169999999998</v>
      </c>
      <c r="K1934">
        <v>1.1093090000000001</v>
      </c>
      <c r="L1934">
        <v>282.73869999999999</v>
      </c>
      <c r="M1934">
        <v>-0.99989729999999999</v>
      </c>
      <c r="N1934">
        <v>0</v>
      </c>
      <c r="O1934">
        <v>-1.17625E-2</v>
      </c>
      <c r="P1934">
        <v>-0.99786059999999999</v>
      </c>
      <c r="Q1934">
        <v>5.8526439999999999E-2</v>
      </c>
      <c r="R1934">
        <v>2.9139580000000002E-2</v>
      </c>
      <c r="S1934">
        <v>-3.0404049999999998</v>
      </c>
      <c r="T1934">
        <v>-0.69956030000000002</v>
      </c>
      <c r="U1934">
        <v>0.22051999999999999</v>
      </c>
      <c r="V1934">
        <v>4.0877709999999998E-2</v>
      </c>
      <c r="W1934">
        <v>6.6700319999999994E-2</v>
      </c>
      <c r="X1934">
        <v>0.99693540000000003</v>
      </c>
      <c r="Y1934">
        <v>8.1638489999999994E-2</v>
      </c>
      <c r="Z1934">
        <v>1.192765E-2</v>
      </c>
      <c r="AA1934">
        <v>0.99659059999999999</v>
      </c>
      <c r="AB1934">
        <v>24</v>
      </c>
      <c r="AC1934">
        <v>-0.52750000000003106</v>
      </c>
      <c r="AD1934">
        <v>-0.17642559999999999</v>
      </c>
      <c r="AE1934">
        <v>5.86000000000126E-2</v>
      </c>
      <c r="AF1934">
        <v>5.8353024034422503E-2</v>
      </c>
      <c r="AG1934">
        <v>-0.17642559999999999</v>
      </c>
      <c r="AH1934">
        <v>0.474358852525469</v>
      </c>
      <c r="AI1934">
        <v>110.261210778478</v>
      </c>
      <c r="AJ1934">
        <v>82.987020662083694</v>
      </c>
      <c r="AK1934">
        <v>0.50945793616215396</v>
      </c>
      <c r="AL1934">
        <v>86.175513989162695</v>
      </c>
      <c r="AM1934">
        <v>87.651995306888594</v>
      </c>
      <c r="AN1934">
        <v>1.00000005581805</v>
      </c>
    </row>
    <row r="1935" spans="1:40" x14ac:dyDescent="0.25">
      <c r="A1935" t="str">
        <f>"20190312154547419"</f>
        <v>20190312154547419</v>
      </c>
      <c r="B1935" t="str">
        <f>"1552376747409002"</f>
        <v>1552376747409002</v>
      </c>
      <c r="C1935" t="s">
        <v>40</v>
      </c>
      <c r="D1935">
        <v>4.4969099999999997</v>
      </c>
      <c r="E1935">
        <v>0.52091350000000003</v>
      </c>
      <c r="F1935" t="s">
        <v>41</v>
      </c>
      <c r="G1935">
        <v>-382.98899999999998</v>
      </c>
      <c r="H1935">
        <v>0.93816080000000002</v>
      </c>
      <c r="I1935">
        <v>282.79239999999999</v>
      </c>
      <c r="J1935">
        <v>-382.4889</v>
      </c>
      <c r="K1935">
        <v>1.109246</v>
      </c>
      <c r="L1935">
        <v>282.73579999999998</v>
      </c>
      <c r="M1935">
        <v>-0.99990120000000005</v>
      </c>
      <c r="N1935">
        <v>0</v>
      </c>
      <c r="O1935">
        <v>-1.1763030000000001E-2</v>
      </c>
      <c r="P1935">
        <v>-0.99782720000000003</v>
      </c>
      <c r="Q1935">
        <v>5.9136090000000002E-2</v>
      </c>
      <c r="R1935">
        <v>2.905104E-2</v>
      </c>
      <c r="S1935">
        <v>-3.040924</v>
      </c>
      <c r="T1935">
        <v>-0.69639119999999999</v>
      </c>
      <c r="U1935">
        <v>0.217804</v>
      </c>
      <c r="V1935">
        <v>4.0789510000000001E-2</v>
      </c>
      <c r="W1935">
        <v>6.6806900000000002E-2</v>
      </c>
      <c r="X1935">
        <v>0.99693180000000003</v>
      </c>
      <c r="Y1935">
        <v>8.0785410000000002E-2</v>
      </c>
      <c r="Z1935">
        <v>1.177717E-2</v>
      </c>
      <c r="AA1935">
        <v>0.99666200000000005</v>
      </c>
      <c r="AB1935">
        <v>24</v>
      </c>
      <c r="AC1935">
        <v>-0.50010000000003096</v>
      </c>
      <c r="AD1935">
        <v>-0.17108519999999899</v>
      </c>
      <c r="AE1935">
        <v>5.6600000000003002E-2</v>
      </c>
      <c r="AF1935">
        <v>5.6007123200693003E-2</v>
      </c>
      <c r="AG1935">
        <v>-0.17108519999999899</v>
      </c>
      <c r="AH1935">
        <v>0.44766973039471603</v>
      </c>
      <c r="AI1935">
        <v>110.767335783538</v>
      </c>
      <c r="AJ1935">
        <v>82.868883606341498</v>
      </c>
      <c r="AK1935">
        <v>0.48250920304169898</v>
      </c>
      <c r="AL1935">
        <v>86.169393462955398</v>
      </c>
      <c r="AM1935">
        <v>87.6570473882296</v>
      </c>
      <c r="AN1935">
        <v>0.99999997993244405</v>
      </c>
    </row>
    <row r="1936" spans="1:40" x14ac:dyDescent="0.25">
      <c r="A1936" t="str">
        <f>"20190312154547443"</f>
        <v>20190312154547443</v>
      </c>
      <c r="B1936" t="str">
        <f>"1552376747438282"</f>
        <v>1552376747438282</v>
      </c>
      <c r="C1936" t="s">
        <v>40</v>
      </c>
      <c r="D1936">
        <v>4.5600360000000002</v>
      </c>
      <c r="E1936">
        <v>0.54202969999999995</v>
      </c>
      <c r="F1936" t="s">
        <v>41</v>
      </c>
      <c r="G1936">
        <v>-383.21080000000001</v>
      </c>
      <c r="H1936">
        <v>0.94466939999999999</v>
      </c>
      <c r="I1936">
        <v>282.78710000000001</v>
      </c>
      <c r="J1936">
        <v>-382.74160000000001</v>
      </c>
      <c r="K1936">
        <v>1.1091850000000001</v>
      </c>
      <c r="L1936">
        <v>282.7328</v>
      </c>
      <c r="M1936">
        <v>-0.99990509999999999</v>
      </c>
      <c r="N1936">
        <v>0</v>
      </c>
      <c r="O1936">
        <v>-1.1763890000000001E-2</v>
      </c>
      <c r="P1936">
        <v>-0.99780159999999996</v>
      </c>
      <c r="Q1936">
        <v>5.9266999999999903E-2</v>
      </c>
      <c r="R1936">
        <v>2.9660740000000001E-2</v>
      </c>
      <c r="S1936">
        <v>-3.041382</v>
      </c>
      <c r="T1936">
        <v>-0.69335269999999904</v>
      </c>
      <c r="U1936">
        <v>0.21585080000000001</v>
      </c>
      <c r="V1936">
        <v>4.139963E-2</v>
      </c>
      <c r="W1936">
        <v>6.6424849999999994E-2</v>
      </c>
      <c r="X1936">
        <v>0.99693220000000005</v>
      </c>
      <c r="Y1936">
        <v>8.0175330000000003E-2</v>
      </c>
      <c r="Z1936">
        <v>1.1657209999999999E-2</v>
      </c>
      <c r="AA1936">
        <v>0.99671259999999995</v>
      </c>
      <c r="AB1936">
        <v>24</v>
      </c>
      <c r="AC1936">
        <v>-0.46920000000000001</v>
      </c>
      <c r="AD1936">
        <v>-0.16451560000000001</v>
      </c>
      <c r="AE1936">
        <v>5.4300000000011998E-2</v>
      </c>
      <c r="AF1936">
        <v>5.3344436438541698E-2</v>
      </c>
      <c r="AG1936">
        <v>-0.16451560000000001</v>
      </c>
      <c r="AH1936">
        <v>0.41783804896742199</v>
      </c>
      <c r="AI1936">
        <v>111.33365391360201</v>
      </c>
      <c r="AJ1936">
        <v>82.724535093609006</v>
      </c>
      <c r="AK1936">
        <v>0.452216371560349</v>
      </c>
      <c r="AL1936">
        <v>86.191332127698601</v>
      </c>
      <c r="AM1936">
        <v>87.622042935539397</v>
      </c>
      <c r="AN1936">
        <v>1.00000000072924</v>
      </c>
    </row>
    <row r="1937" spans="1:40" x14ac:dyDescent="0.25">
      <c r="A1937" t="str">
        <f>"20190312154547465"</f>
        <v>20190312154547465</v>
      </c>
      <c r="B1937" t="str">
        <f>"1552376747458777"</f>
        <v>1552376747458777</v>
      </c>
      <c r="C1937" t="s">
        <v>40</v>
      </c>
      <c r="D1937">
        <v>4.548165</v>
      </c>
      <c r="E1937">
        <v>0.54734159999999998</v>
      </c>
      <c r="F1937" t="s">
        <v>41</v>
      </c>
      <c r="G1937">
        <v>-383.42899999999997</v>
      </c>
      <c r="H1937">
        <v>0.93913029999999997</v>
      </c>
      <c r="I1937">
        <v>282.81990000000002</v>
      </c>
      <c r="J1937">
        <v>-382.9871</v>
      </c>
      <c r="K1937">
        <v>1.1091230000000001</v>
      </c>
      <c r="L1937">
        <v>282.72989999999999</v>
      </c>
      <c r="M1937">
        <v>-0.99990849999999998</v>
      </c>
      <c r="N1937">
        <v>0</v>
      </c>
      <c r="O1937">
        <v>-1.176458E-2</v>
      </c>
      <c r="P1937">
        <v>-0.99776419999999999</v>
      </c>
      <c r="Q1937">
        <v>5.9856649999999997E-2</v>
      </c>
      <c r="R1937">
        <v>2.9731400000000002E-2</v>
      </c>
      <c r="S1937">
        <v>-3.0398559999999999</v>
      </c>
      <c r="T1937">
        <v>-0.75209809999999999</v>
      </c>
      <c r="U1937">
        <v>0.38351439999999998</v>
      </c>
      <c r="V1937">
        <v>4.1470420000000001E-2</v>
      </c>
      <c r="W1937">
        <v>6.6518099999999997E-2</v>
      </c>
      <c r="X1937">
        <v>0.996923</v>
      </c>
      <c r="Y1937">
        <v>0.13254769999999999</v>
      </c>
      <c r="Z1937">
        <v>1.894962E-2</v>
      </c>
      <c r="AA1937">
        <v>0.99099550000000003</v>
      </c>
      <c r="AB1937">
        <v>24</v>
      </c>
      <c r="AC1937">
        <v>-0.44190000000003199</v>
      </c>
      <c r="AD1937">
        <v>-0.169992699999999</v>
      </c>
      <c r="AE1937">
        <v>9.0000000000031805E-2</v>
      </c>
      <c r="AF1937">
        <v>8.3349565463985004E-2</v>
      </c>
      <c r="AG1937">
        <v>-0.169992699999999</v>
      </c>
      <c r="AH1937">
        <v>0.38596854306661599</v>
      </c>
      <c r="AI1937">
        <v>113.292250770083</v>
      </c>
      <c r="AJ1937">
        <v>77.814152336949306</v>
      </c>
      <c r="AK1937">
        <v>0.42990276150926399</v>
      </c>
      <c r="AL1937">
        <v>86.185977300360406</v>
      </c>
      <c r="AM1937">
        <v>87.617959545130603</v>
      </c>
      <c r="AN1937">
        <v>0.999999960645792</v>
      </c>
    </row>
    <row r="1938" spans="1:40" x14ac:dyDescent="0.25">
      <c r="A1938" t="str">
        <f>"20190312154547488"</f>
        <v>20190312154547488</v>
      </c>
      <c r="B1938" t="str">
        <f>"1552376747478298"</f>
        <v>1552376747478298</v>
      </c>
      <c r="C1938" t="s">
        <v>40</v>
      </c>
      <c r="D1938">
        <v>4.4645279999999996</v>
      </c>
      <c r="E1938">
        <v>0.54947080000000004</v>
      </c>
      <c r="F1938" t="s">
        <v>41</v>
      </c>
      <c r="G1938">
        <v>-383.8537</v>
      </c>
      <c r="H1938">
        <v>0.88968469999999999</v>
      </c>
      <c r="I1938">
        <v>282.85140000000001</v>
      </c>
      <c r="J1938">
        <v>-383.2414</v>
      </c>
      <c r="K1938">
        <v>1.109067</v>
      </c>
      <c r="L1938">
        <v>282.72699999999998</v>
      </c>
      <c r="M1938">
        <v>-0.99991180000000002</v>
      </c>
      <c r="N1938">
        <v>0</v>
      </c>
      <c r="O1938">
        <v>-1.1765400000000001E-2</v>
      </c>
      <c r="P1938">
        <v>-0.99770899999999996</v>
      </c>
      <c r="Q1938">
        <v>6.052718E-2</v>
      </c>
      <c r="R1938">
        <v>3.0226179999999998E-2</v>
      </c>
      <c r="S1938">
        <v>-3.0402830000000001</v>
      </c>
      <c r="T1938">
        <v>-0.7698834</v>
      </c>
      <c r="U1938">
        <v>0.4253845</v>
      </c>
      <c r="V1938">
        <v>4.1965269999999999E-2</v>
      </c>
      <c r="W1938">
        <v>6.6692699999999994E-2</v>
      </c>
      <c r="X1938">
        <v>0.99689070000000002</v>
      </c>
      <c r="Y1938">
        <v>0.14534169999999999</v>
      </c>
      <c r="Z1938">
        <v>2.0952559999999999E-2</v>
      </c>
      <c r="AA1938">
        <v>0.98915960000000003</v>
      </c>
      <c r="AB1938">
        <v>25</v>
      </c>
      <c r="AC1938">
        <v>-0.61230000000000395</v>
      </c>
      <c r="AD1938">
        <v>-0.2193823</v>
      </c>
      <c r="AE1938">
        <v>0.12439999999998</v>
      </c>
      <c r="AF1938">
        <v>0.11715241273891901</v>
      </c>
      <c r="AG1938">
        <v>-0.2193823</v>
      </c>
      <c r="AH1938">
        <v>0.54375718317500299</v>
      </c>
      <c r="AI1938">
        <v>111.524588548176</v>
      </c>
      <c r="AJ1938">
        <v>77.841485462726595</v>
      </c>
      <c r="AK1938">
        <v>0.59793407296979895</v>
      </c>
      <c r="AL1938">
        <v>86.1759514734932</v>
      </c>
      <c r="AM1938">
        <v>87.589490926586805</v>
      </c>
      <c r="AN1938">
        <v>1.00000003393297</v>
      </c>
    </row>
    <row r="1939" spans="1:40" x14ac:dyDescent="0.25">
      <c r="A1939" t="str">
        <f>"20190312154547509"</f>
        <v>20190312154547509</v>
      </c>
      <c r="B1939" t="str">
        <f>"1552376747498795"</f>
        <v>1552376747498795</v>
      </c>
      <c r="C1939" t="s">
        <v>40</v>
      </c>
      <c r="D1939">
        <v>4.4088779999999996</v>
      </c>
      <c r="E1939">
        <v>0.54994739999999998</v>
      </c>
      <c r="F1939" t="s">
        <v>41</v>
      </c>
      <c r="G1939">
        <v>-384.08</v>
      </c>
      <c r="H1939">
        <v>0.89408140000000003</v>
      </c>
      <c r="I1939">
        <v>282.8492</v>
      </c>
      <c r="J1939">
        <v>-383.48770000000002</v>
      </c>
      <c r="K1939">
        <v>1.1090169999999999</v>
      </c>
      <c r="L1939">
        <v>282.72410000000002</v>
      </c>
      <c r="M1939">
        <v>-0.99991439999999998</v>
      </c>
      <c r="N1939">
        <v>0</v>
      </c>
      <c r="O1939">
        <v>-1.176574E-2</v>
      </c>
      <c r="P1939">
        <v>-0.99766529999999998</v>
      </c>
      <c r="Q1939">
        <v>6.1393740000000002E-2</v>
      </c>
      <c r="R1939">
        <v>2.9916669999999999E-2</v>
      </c>
      <c r="S1939">
        <v>-3.0407410000000001</v>
      </c>
      <c r="T1939">
        <v>-0.7795839</v>
      </c>
      <c r="U1939">
        <v>0.443573</v>
      </c>
      <c r="V1939">
        <v>4.1655659999999997E-2</v>
      </c>
      <c r="W1939">
        <v>6.7108070000000006E-2</v>
      </c>
      <c r="X1939">
        <v>0.99687579999999998</v>
      </c>
      <c r="Y1939">
        <v>0.1508285</v>
      </c>
      <c r="Z1939">
        <v>2.1885660000000001E-2</v>
      </c>
      <c r="AA1939">
        <v>0.98831769999999997</v>
      </c>
      <c r="AB1939">
        <v>25</v>
      </c>
      <c r="AC1939">
        <v>-0.59229999999996596</v>
      </c>
      <c r="AD1939">
        <v>-0.21493559999999901</v>
      </c>
      <c r="AE1939">
        <v>0.12509999999997401</v>
      </c>
      <c r="AF1939">
        <v>0.117276380393493</v>
      </c>
      <c r="AG1939">
        <v>-0.21493559999999901</v>
      </c>
      <c r="AH1939">
        <v>0.52464949210816902</v>
      </c>
      <c r="AI1939">
        <v>111.79191672410801</v>
      </c>
      <c r="AJ1939">
        <v>77.399654198614101</v>
      </c>
      <c r="AK1939">
        <v>0.57897163239222604</v>
      </c>
      <c r="AL1939">
        <v>86.1520990498678</v>
      </c>
      <c r="AM1939">
        <v>87.607218633125498</v>
      </c>
      <c r="AN1939">
        <v>1.0000000238474001</v>
      </c>
    </row>
    <row r="1940" spans="1:40" x14ac:dyDescent="0.25">
      <c r="A1940" t="str">
        <f>"20190312154547531"</f>
        <v>20190312154547531</v>
      </c>
      <c r="B1940" t="str">
        <f>"1552376747529050"</f>
        <v>1552376747529050</v>
      </c>
      <c r="C1940" t="s">
        <v>40</v>
      </c>
      <c r="D1940">
        <v>4.3855399999999998</v>
      </c>
      <c r="E1940">
        <v>0.54969159999999995</v>
      </c>
      <c r="F1940" t="s">
        <v>41</v>
      </c>
      <c r="G1940">
        <v>-384.30779999999999</v>
      </c>
      <c r="H1940">
        <v>0.8990648</v>
      </c>
      <c r="I1940">
        <v>282.84469999999999</v>
      </c>
      <c r="J1940">
        <v>-383.73770000000002</v>
      </c>
      <c r="K1940">
        <v>1.1089719999999901</v>
      </c>
      <c r="L1940">
        <v>282.72109999999998</v>
      </c>
      <c r="M1940">
        <v>-0.99991669999999999</v>
      </c>
      <c r="N1940">
        <v>0</v>
      </c>
      <c r="O1940">
        <v>-1.1766499999999999E-2</v>
      </c>
      <c r="P1940">
        <v>-0.99768029999999996</v>
      </c>
      <c r="Q1940">
        <v>6.1479579999999999E-2</v>
      </c>
      <c r="R1940">
        <v>2.9227199999999998E-2</v>
      </c>
      <c r="S1940">
        <v>-3.041534</v>
      </c>
      <c r="T1940">
        <v>-0.77871389999999996</v>
      </c>
      <c r="U1940">
        <v>0.4462585</v>
      </c>
      <c r="V1940">
        <v>4.096694E-2</v>
      </c>
      <c r="W1940">
        <v>6.6770280000000001E-2</v>
      </c>
      <c r="X1940">
        <v>0.99692700000000001</v>
      </c>
      <c r="Y1940">
        <v>0.15163589999999999</v>
      </c>
      <c r="Z1940">
        <v>2.195658E-2</v>
      </c>
      <c r="AA1940">
        <v>0.98819250000000003</v>
      </c>
      <c r="AB1940">
        <v>25</v>
      </c>
      <c r="AC1940">
        <v>-0.57009999999996797</v>
      </c>
      <c r="AD1940">
        <v>-0.20990719999999899</v>
      </c>
      <c r="AE1940">
        <v>0.12360000000000999</v>
      </c>
      <c r="AF1940">
        <v>0.115362437371614</v>
      </c>
      <c r="AG1940">
        <v>-0.20990719999999899</v>
      </c>
      <c r="AH1940">
        <v>0.50342275991188501</v>
      </c>
      <c r="AI1940">
        <v>112.11807408160701</v>
      </c>
      <c r="AJ1940">
        <v>77.093162106732706</v>
      </c>
      <c r="AK1940">
        <v>0.55749798184877697</v>
      </c>
      <c r="AL1940">
        <v>86.1714964140467</v>
      </c>
      <c r="AM1940">
        <v>87.646855909910997</v>
      </c>
      <c r="AN1940">
        <v>1.00000000189662</v>
      </c>
    </row>
    <row r="1941" spans="1:40" x14ac:dyDescent="0.25">
      <c r="A1941" t="str">
        <f>"20190312154547554"</f>
        <v>20190312154547554</v>
      </c>
      <c r="B1941" t="str">
        <f>"1552376747548570"</f>
        <v>1552376747548570</v>
      </c>
      <c r="C1941" t="s">
        <v>40</v>
      </c>
      <c r="D1941">
        <v>4.3762889999999999</v>
      </c>
      <c r="E1941">
        <v>0.549490699999999</v>
      </c>
      <c r="F1941" t="s">
        <v>41</v>
      </c>
      <c r="G1941">
        <v>-384.5376</v>
      </c>
      <c r="H1941">
        <v>0.9054352</v>
      </c>
      <c r="I1941">
        <v>282.8374</v>
      </c>
      <c r="J1941">
        <v>-383.99279999999999</v>
      </c>
      <c r="K1941">
        <v>1.1089230000000001</v>
      </c>
      <c r="L1941">
        <v>282.71809999999999</v>
      </c>
      <c r="M1941">
        <v>-0.9999188</v>
      </c>
      <c r="N1941">
        <v>0</v>
      </c>
      <c r="O1941">
        <v>-1.176751E-2</v>
      </c>
      <c r="P1941">
        <v>-0.99768429999999997</v>
      </c>
      <c r="Q1941">
        <v>6.1804619999999998E-2</v>
      </c>
      <c r="R1941">
        <v>2.8397059999999998E-2</v>
      </c>
      <c r="S1941">
        <v>-3.041687</v>
      </c>
      <c r="T1941">
        <v>-0.77390639999999999</v>
      </c>
      <c r="U1941">
        <v>0.44235229999999998</v>
      </c>
      <c r="V1941">
        <v>4.0138100000000003E-2</v>
      </c>
      <c r="W1941">
        <v>6.6693660000000002E-2</v>
      </c>
      <c r="X1941">
        <v>0.99696580000000001</v>
      </c>
      <c r="Y1941">
        <v>0.1504849</v>
      </c>
      <c r="Z1941">
        <v>2.168287E-2</v>
      </c>
      <c r="AA1941">
        <v>0.98837450000000004</v>
      </c>
      <c r="AB1941">
        <v>25</v>
      </c>
      <c r="AC1941">
        <v>-0.54480000000000905</v>
      </c>
      <c r="AD1941">
        <v>-0.2034878</v>
      </c>
      <c r="AE1941">
        <v>0.119300000000009</v>
      </c>
      <c r="AF1941">
        <v>0.1109345421771</v>
      </c>
      <c r="AG1941">
        <v>-0.2034878</v>
      </c>
      <c r="AH1941">
        <v>0.47952182640575503</v>
      </c>
      <c r="AI1941">
        <v>112.461976631133</v>
      </c>
      <c r="AJ1941">
        <v>76.974115313175503</v>
      </c>
      <c r="AK1941">
        <v>0.53259265803838696</v>
      </c>
      <c r="AL1941">
        <v>86.175896059305401</v>
      </c>
      <c r="AM1941">
        <v>87.694502266690904</v>
      </c>
      <c r="AN1941">
        <v>0.99999995886272197</v>
      </c>
    </row>
    <row r="1942" spans="1:40" x14ac:dyDescent="0.25">
      <c r="A1942" t="str">
        <f>"20190312154547575"</f>
        <v>20190312154547575</v>
      </c>
      <c r="B1942" t="str">
        <f>"1552376747569066"</f>
        <v>1552376747569066</v>
      </c>
      <c r="C1942" t="s">
        <v>40</v>
      </c>
      <c r="D1942">
        <v>4.318047</v>
      </c>
      <c r="E1942">
        <v>0.54916480000000001</v>
      </c>
      <c r="F1942" t="s">
        <v>41</v>
      </c>
      <c r="G1942">
        <v>-384.76949999999999</v>
      </c>
      <c r="H1942">
        <v>0.91324689999999997</v>
      </c>
      <c r="I1942">
        <v>282.83019999999999</v>
      </c>
      <c r="J1942">
        <v>-384.24599999999998</v>
      </c>
      <c r="K1942">
        <v>1.1088830000000001</v>
      </c>
      <c r="L1942">
        <v>282.71510000000001</v>
      </c>
      <c r="M1942">
        <v>-0.99992049999999999</v>
      </c>
      <c r="N1942">
        <v>0</v>
      </c>
      <c r="O1942">
        <v>-1.176808E-2</v>
      </c>
      <c r="P1942">
        <v>-0.99769660000000004</v>
      </c>
      <c r="Q1942">
        <v>6.1761240000000002E-2</v>
      </c>
      <c r="R1942">
        <v>2.805444E-2</v>
      </c>
      <c r="S1942">
        <v>-3.0419309999999999</v>
      </c>
      <c r="T1942">
        <v>-0.76640949999999997</v>
      </c>
      <c r="U1942">
        <v>0.43823240000000002</v>
      </c>
      <c r="V1942">
        <v>3.9796230000000002E-2</v>
      </c>
      <c r="W1942">
        <v>6.6277829999999996E-2</v>
      </c>
      <c r="X1942">
        <v>0.99700730000000004</v>
      </c>
      <c r="Y1942">
        <v>0.14929519999999999</v>
      </c>
      <c r="Z1942">
        <v>2.1332739999999999E-2</v>
      </c>
      <c r="AA1942">
        <v>0.98856250000000001</v>
      </c>
      <c r="AB1942">
        <v>25</v>
      </c>
      <c r="AC1942">
        <v>-0.52350000000001196</v>
      </c>
      <c r="AD1942">
        <v>-0.19563610000000001</v>
      </c>
      <c r="AE1942">
        <v>0.11509999999998401</v>
      </c>
      <c r="AF1942">
        <v>0.10699857691241001</v>
      </c>
      <c r="AG1942">
        <v>-0.19563610000000001</v>
      </c>
      <c r="AH1942">
        <v>0.46073161660986001</v>
      </c>
      <c r="AI1942">
        <v>112.47063076184899</v>
      </c>
      <c r="AJ1942">
        <v>76.925605520213907</v>
      </c>
      <c r="AK1942">
        <v>0.51185525456756398</v>
      </c>
      <c r="AL1942">
        <v>86.199774443680099</v>
      </c>
      <c r="AM1942">
        <v>87.714213111687101</v>
      </c>
      <c r="AN1942">
        <v>1.0000000234624999</v>
      </c>
    </row>
    <row r="1943" spans="1:40" x14ac:dyDescent="0.25">
      <c r="A1943" t="str">
        <f>"20190312154547598"</f>
        <v>20190312154547598</v>
      </c>
      <c r="B1943" t="str">
        <f>"1552376747588586"</f>
        <v>1552376747588586</v>
      </c>
      <c r="C1943" t="s">
        <v>40</v>
      </c>
      <c r="D1943">
        <v>4.2947119999999996</v>
      </c>
      <c r="E1943">
        <v>0.54905170000000003</v>
      </c>
      <c r="F1943" t="s">
        <v>41</v>
      </c>
      <c r="G1943">
        <v>-385.00229999999999</v>
      </c>
      <c r="H1943">
        <v>0.9194599</v>
      </c>
      <c r="I1943">
        <v>282.82319999999999</v>
      </c>
      <c r="J1943">
        <v>-384.49779999999998</v>
      </c>
      <c r="K1943">
        <v>1.1088450000000001</v>
      </c>
      <c r="L1943">
        <v>282.71210000000002</v>
      </c>
      <c r="M1943">
        <v>-0.99992199999999998</v>
      </c>
      <c r="N1943">
        <v>0</v>
      </c>
      <c r="O1943">
        <v>-1.1768890000000001E-2</v>
      </c>
      <c r="P1943">
        <v>-0.99773100000000003</v>
      </c>
      <c r="Q1943">
        <v>6.1718759999999998E-2</v>
      </c>
      <c r="R1943">
        <v>2.690352E-2</v>
      </c>
      <c r="S1943">
        <v>-3.0418699999999999</v>
      </c>
      <c r="T1943">
        <v>-0.76192329999999997</v>
      </c>
      <c r="U1943">
        <v>0.43438719999999997</v>
      </c>
      <c r="V1943">
        <v>3.8646489999999999E-2</v>
      </c>
      <c r="W1943">
        <v>6.5890999999999894E-2</v>
      </c>
      <c r="X1943">
        <v>0.99707809999999997</v>
      </c>
      <c r="Y1943">
        <v>0.14816399999999999</v>
      </c>
      <c r="Z1943">
        <v>2.1075130000000001E-2</v>
      </c>
      <c r="AA1943">
        <v>0.98873820000000001</v>
      </c>
      <c r="AB1943">
        <v>26</v>
      </c>
      <c r="AC1943">
        <v>-0.50450000000000705</v>
      </c>
      <c r="AD1943">
        <v>-0.1893851</v>
      </c>
      <c r="AE1943">
        <v>0.11109999999996401</v>
      </c>
      <c r="AF1943">
        <v>0.103164368142007</v>
      </c>
      <c r="AG1943">
        <v>-0.1893851</v>
      </c>
      <c r="AH1943">
        <v>0.44354467633379302</v>
      </c>
      <c r="AI1943">
        <v>112.581440541753</v>
      </c>
      <c r="AJ1943">
        <v>76.906336920234295</v>
      </c>
      <c r="AK1943">
        <v>0.493195177247506</v>
      </c>
      <c r="AL1943">
        <v>86.221986470772407</v>
      </c>
      <c r="AM1943">
        <v>87.780341462283303</v>
      </c>
      <c r="AN1943">
        <v>0.99999995628496396</v>
      </c>
    </row>
    <row r="1944" spans="1:40" x14ac:dyDescent="0.25">
      <c r="A1944" t="str">
        <f>"20190312154547620"</f>
        <v>20190312154547620</v>
      </c>
      <c r="B1944" t="str">
        <f>"1552376747608106"</f>
        <v>1552376747608106</v>
      </c>
      <c r="C1944" t="s">
        <v>40</v>
      </c>
      <c r="D1944">
        <v>4.279039</v>
      </c>
      <c r="E1944">
        <v>0.54890779999999995</v>
      </c>
      <c r="F1944" t="s">
        <v>41</v>
      </c>
      <c r="G1944">
        <v>-385.23649999999998</v>
      </c>
      <c r="H1944">
        <v>0.92478729999999998</v>
      </c>
      <c r="I1944">
        <v>282.81700000000001</v>
      </c>
      <c r="J1944">
        <v>-384.7602</v>
      </c>
      <c r="K1944">
        <v>1.108808</v>
      </c>
      <c r="L1944">
        <v>282.709</v>
      </c>
      <c r="M1944">
        <v>-0.99992329999999996</v>
      </c>
      <c r="N1944">
        <v>0</v>
      </c>
      <c r="O1944">
        <v>-1.176979E-2</v>
      </c>
      <c r="P1944">
        <v>-0.99770139999999996</v>
      </c>
      <c r="Q1944">
        <v>6.2389569999999998E-2</v>
      </c>
      <c r="R1944">
        <v>2.6452980000000001E-2</v>
      </c>
      <c r="S1944">
        <v>-3.042084</v>
      </c>
      <c r="T1944">
        <v>-0.75806439999999997</v>
      </c>
      <c r="U1944">
        <v>0.43054199999999998</v>
      </c>
      <c r="V1944">
        <v>3.8196720000000003E-2</v>
      </c>
      <c r="W1944">
        <v>6.6229289999999996E-2</v>
      </c>
      <c r="X1944">
        <v>0.99707310000000005</v>
      </c>
      <c r="Y1944">
        <v>0.14701249999999999</v>
      </c>
      <c r="Z1944">
        <v>2.083144E-2</v>
      </c>
      <c r="AA1944">
        <v>0.98891530000000005</v>
      </c>
      <c r="AB1944">
        <v>26</v>
      </c>
      <c r="AC1944">
        <v>-0.47629999999998002</v>
      </c>
      <c r="AD1944">
        <v>-0.18402070000000001</v>
      </c>
      <c r="AE1944">
        <v>0.108000000000004</v>
      </c>
      <c r="AF1944">
        <v>9.9475870027031801E-2</v>
      </c>
      <c r="AG1944">
        <v>-0.18402070000000001</v>
      </c>
      <c r="AH1944">
        <v>0.41594406311932602</v>
      </c>
      <c r="AI1944">
        <v>113.281378544609</v>
      </c>
      <c r="AJ1944">
        <v>76.549953586589098</v>
      </c>
      <c r="AK1944">
        <v>0.46558407445953198</v>
      </c>
      <c r="AL1944">
        <v>86.2025617582851</v>
      </c>
      <c r="AM1944">
        <v>87.806137591095606</v>
      </c>
      <c r="AN1944">
        <v>1.0000000375081299</v>
      </c>
    </row>
    <row r="1945" spans="1:40" x14ac:dyDescent="0.25">
      <c r="A1945" t="str">
        <f>"20190312154547643"</f>
        <v>20190312154547643</v>
      </c>
      <c r="B1945" t="str">
        <f>"1552376747638362"</f>
        <v>1552376747638362</v>
      </c>
      <c r="C1945" t="s">
        <v>40</v>
      </c>
      <c r="D1945">
        <v>4.2408669999999997</v>
      </c>
      <c r="E1945">
        <v>0.54909430000000004</v>
      </c>
      <c r="F1945" t="s">
        <v>41</v>
      </c>
      <c r="G1945">
        <v>-385.47359999999998</v>
      </c>
      <c r="H1945">
        <v>0.93275889999999995</v>
      </c>
      <c r="I1945">
        <v>282.80970000000002</v>
      </c>
      <c r="J1945">
        <v>-385.02690000000001</v>
      </c>
      <c r="K1945">
        <v>1.108776</v>
      </c>
      <c r="L1945">
        <v>282.70589999999999</v>
      </c>
      <c r="M1945">
        <v>-0.99992460000000005</v>
      </c>
      <c r="N1945">
        <v>0</v>
      </c>
      <c r="O1945">
        <v>-1.177077E-2</v>
      </c>
      <c r="P1945">
        <v>-0.99765309999999996</v>
      </c>
      <c r="Q1945">
        <v>6.3193890000000003E-2</v>
      </c>
      <c r="R1945">
        <v>2.6368229999999999E-2</v>
      </c>
      <c r="S1945">
        <v>-3.0425110000000002</v>
      </c>
      <c r="T1945">
        <v>-0.75083420000000001</v>
      </c>
      <c r="U1945">
        <v>0.42843629999999999</v>
      </c>
      <c r="V1945">
        <v>3.8112170000000001E-2</v>
      </c>
      <c r="W1945">
        <v>6.6722680000000006E-2</v>
      </c>
      <c r="X1945">
        <v>0.99704340000000002</v>
      </c>
      <c r="Y1945">
        <v>0.14643010000000001</v>
      </c>
      <c r="Z1945">
        <v>2.056643E-2</v>
      </c>
      <c r="AA1945">
        <v>0.98900719999999998</v>
      </c>
      <c r="AB1945">
        <v>26</v>
      </c>
      <c r="AC1945">
        <v>-0.44669999999996401</v>
      </c>
      <c r="AD1945">
        <v>-0.17601710000000001</v>
      </c>
      <c r="AE1945">
        <v>0.103800000000035</v>
      </c>
      <c r="AF1945">
        <v>9.5048968806796599E-2</v>
      </c>
      <c r="AG1945">
        <v>-0.17601710000000001</v>
      </c>
      <c r="AH1945">
        <v>0.388252848310493</v>
      </c>
      <c r="AI1945">
        <v>113.766440028592</v>
      </c>
      <c r="AJ1945">
        <v>76.243859668070698</v>
      </c>
      <c r="AK1945">
        <v>0.43675691200581601</v>
      </c>
      <c r="AL1945">
        <v>86.174229771839194</v>
      </c>
      <c r="AM1945">
        <v>87.810923922731504</v>
      </c>
      <c r="AN1945">
        <v>0.99999999750602497</v>
      </c>
    </row>
    <row r="1946" spans="1:40" x14ac:dyDescent="0.25">
      <c r="A1946" t="str">
        <f>"20190312154547666"</f>
        <v>20190312154547666</v>
      </c>
      <c r="B1946" t="str">
        <f>"1552376747658858"</f>
        <v>1552376747658858</v>
      </c>
      <c r="C1946" t="s">
        <v>40</v>
      </c>
      <c r="D1946">
        <v>4.1923709999999996</v>
      </c>
      <c r="E1946">
        <v>0.54927130000000002</v>
      </c>
      <c r="F1946" t="s">
        <v>41</v>
      </c>
      <c r="G1946">
        <v>-385.7124</v>
      </c>
      <c r="H1946">
        <v>0.94082140000000003</v>
      </c>
      <c r="I1946">
        <v>282.80329999999998</v>
      </c>
      <c r="J1946">
        <v>-385.29770000000002</v>
      </c>
      <c r="K1946">
        <v>1.1087389999999999</v>
      </c>
      <c r="L1946">
        <v>282.70269999999999</v>
      </c>
      <c r="M1946">
        <v>-0.99992559999999997</v>
      </c>
      <c r="N1946">
        <v>0</v>
      </c>
      <c r="O1946">
        <v>-1.1771480000000001E-2</v>
      </c>
      <c r="P1946">
        <v>-0.99764129999999995</v>
      </c>
      <c r="Q1946">
        <v>6.3336089999999998E-2</v>
      </c>
      <c r="R1946">
        <v>2.6464830000000002E-2</v>
      </c>
      <c r="S1946">
        <v>-3.0429689999999998</v>
      </c>
      <c r="T1946">
        <v>-0.74573659999999997</v>
      </c>
      <c r="U1946">
        <v>0.43011470000000002</v>
      </c>
      <c r="V1946">
        <v>3.8209300000000002E-2</v>
      </c>
      <c r="W1946">
        <v>6.6575190000000006E-2</v>
      </c>
      <c r="X1946">
        <v>0.99704959999999998</v>
      </c>
      <c r="Y1946">
        <v>0.1469926</v>
      </c>
      <c r="Z1946">
        <v>2.0494829999999999E-2</v>
      </c>
      <c r="AA1946">
        <v>0.98892519999999995</v>
      </c>
      <c r="AB1946">
        <v>26</v>
      </c>
      <c r="AC1946">
        <v>-0.41469999999998203</v>
      </c>
      <c r="AD1946">
        <v>-0.167917599999999</v>
      </c>
      <c r="AE1946">
        <v>0.10059999999998499</v>
      </c>
      <c r="AF1946">
        <v>9.1332508071801696E-2</v>
      </c>
      <c r="AG1946">
        <v>-0.167917599999999</v>
      </c>
      <c r="AH1946">
        <v>0.35804618361441198</v>
      </c>
      <c r="AI1946">
        <v>114.43853916118</v>
      </c>
      <c r="AJ1946">
        <v>75.689830779063797</v>
      </c>
      <c r="AK1946">
        <v>0.40587561767281699</v>
      </c>
      <c r="AL1946">
        <v>86.182699380627398</v>
      </c>
      <c r="AM1946">
        <v>87.805364079274</v>
      </c>
      <c r="AN1946">
        <v>1.0000000556950901</v>
      </c>
    </row>
    <row r="1947" spans="1:40" x14ac:dyDescent="0.25">
      <c r="A1947" t="str">
        <f>"20190312154547688"</f>
        <v>20190312154547688</v>
      </c>
      <c r="B1947" t="str">
        <f>"1552376747678378"</f>
        <v>1552376747678378</v>
      </c>
      <c r="C1947" t="s">
        <v>40</v>
      </c>
      <c r="D1947">
        <v>4.1744870000000001</v>
      </c>
      <c r="E1947">
        <v>0.54937950000000002</v>
      </c>
      <c r="F1947" t="s">
        <v>41</v>
      </c>
      <c r="G1947">
        <v>-386.16969999999998</v>
      </c>
      <c r="H1947">
        <v>0.89541340000000003</v>
      </c>
      <c r="I1947">
        <v>282.82690000000002</v>
      </c>
      <c r="J1947">
        <v>-385.5634</v>
      </c>
      <c r="K1947">
        <v>1.108698</v>
      </c>
      <c r="L1947">
        <v>282.69959999999998</v>
      </c>
      <c r="M1947">
        <v>-0.99992639999999999</v>
      </c>
      <c r="N1947">
        <v>0</v>
      </c>
      <c r="O1947">
        <v>-1.1772380000000001E-2</v>
      </c>
      <c r="P1947">
        <v>-0.9976448</v>
      </c>
      <c r="Q1947">
        <v>6.3197500000000004E-2</v>
      </c>
      <c r="R1947">
        <v>2.666843E-2</v>
      </c>
      <c r="S1947">
        <v>-3.0429080000000002</v>
      </c>
      <c r="T1947">
        <v>-0.74447379999999996</v>
      </c>
      <c r="U1947">
        <v>0.43197629999999998</v>
      </c>
      <c r="V1947">
        <v>3.8413940000000001E-2</v>
      </c>
      <c r="W1947">
        <v>6.6166959999999997E-2</v>
      </c>
      <c r="X1947">
        <v>0.99706890000000004</v>
      </c>
      <c r="Y1947">
        <v>0.14758769999999999</v>
      </c>
      <c r="Z1947">
        <v>2.053228E-2</v>
      </c>
      <c r="AA1947">
        <v>0.98883580000000004</v>
      </c>
      <c r="AB1947">
        <v>27</v>
      </c>
      <c r="AC1947">
        <v>-0.60629999999997597</v>
      </c>
      <c r="AD1947">
        <v>-0.21328459999999999</v>
      </c>
      <c r="AE1947">
        <v>0.12730000000004699</v>
      </c>
      <c r="AF1947">
        <v>0.120184041214611</v>
      </c>
      <c r="AG1947">
        <v>-0.21328459999999999</v>
      </c>
      <c r="AH1947">
        <v>0.54067596744188695</v>
      </c>
      <c r="AI1947">
        <v>111.06064265260299</v>
      </c>
      <c r="AJ1947">
        <v>77.467776435502103</v>
      </c>
      <c r="AK1947">
        <v>0.59351918766713496</v>
      </c>
      <c r="AL1947">
        <v>86.206140880892704</v>
      </c>
      <c r="AM1947">
        <v>87.793664378606707</v>
      </c>
      <c r="AN1947">
        <v>1.00000004436458</v>
      </c>
    </row>
    <row r="1948" spans="1:40" x14ac:dyDescent="0.25">
      <c r="A1948" t="str">
        <f>"20190312154547710"</f>
        <v>20190312154547710</v>
      </c>
      <c r="B1948" t="str">
        <f>"1552376747698874"</f>
        <v>1552376747698874</v>
      </c>
      <c r="C1948" t="s">
        <v>40</v>
      </c>
      <c r="D1948">
        <v>4.1203190000000003</v>
      </c>
      <c r="E1948">
        <v>0.54935690000000004</v>
      </c>
      <c r="F1948" t="s">
        <v>41</v>
      </c>
      <c r="G1948">
        <v>-386.41219999999998</v>
      </c>
      <c r="H1948">
        <v>0.90131039999999996</v>
      </c>
      <c r="I1948">
        <v>282.82049999999998</v>
      </c>
      <c r="J1948">
        <v>-385.834</v>
      </c>
      <c r="K1948">
        <v>1.10866</v>
      </c>
      <c r="L1948">
        <v>282.69639999999998</v>
      </c>
      <c r="M1948">
        <v>-0.99992700000000001</v>
      </c>
      <c r="N1948">
        <v>0</v>
      </c>
      <c r="O1948">
        <v>-1.1773219999999999E-2</v>
      </c>
      <c r="P1948">
        <v>-0.99769470000000005</v>
      </c>
      <c r="Q1948">
        <v>6.2339430000000001E-2</v>
      </c>
      <c r="R1948">
        <v>2.6816389999999999E-2</v>
      </c>
      <c r="S1948">
        <v>-3.0425719999999998</v>
      </c>
      <c r="T1948">
        <v>-0.74341919999999995</v>
      </c>
      <c r="U1948">
        <v>0.43365480000000001</v>
      </c>
      <c r="V1948">
        <v>3.8563109999999998E-2</v>
      </c>
      <c r="W1948">
        <v>6.5049770000000007E-2</v>
      </c>
      <c r="X1948">
        <v>0.99713660000000004</v>
      </c>
      <c r="Y1948">
        <v>0.14813490000000001</v>
      </c>
      <c r="Z1948">
        <v>2.057119E-2</v>
      </c>
      <c r="AA1948">
        <v>0.9887532</v>
      </c>
      <c r="AB1948">
        <v>27</v>
      </c>
      <c r="AC1948">
        <v>-0.57819999999998095</v>
      </c>
      <c r="AD1948">
        <v>-0.2073496</v>
      </c>
      <c r="AE1948">
        <v>0.124099999999998</v>
      </c>
      <c r="AF1948">
        <v>0.11656791823026</v>
      </c>
      <c r="AG1948">
        <v>-0.2073496</v>
      </c>
      <c r="AH1948">
        <v>0.51356190803054702</v>
      </c>
      <c r="AI1948">
        <v>111.491192082899</v>
      </c>
      <c r="AJ1948">
        <v>77.211721790093506</v>
      </c>
      <c r="AK1948">
        <v>0.565975060899924</v>
      </c>
      <c r="AL1948">
        <v>86.270289170898806</v>
      </c>
      <c r="AM1948">
        <v>87.785255425150496</v>
      </c>
      <c r="AN1948">
        <v>0.99999999254474203</v>
      </c>
    </row>
    <row r="1949" spans="1:40" x14ac:dyDescent="0.25">
      <c r="A1949" t="str">
        <f>"20190312154547732"</f>
        <v>20190312154547732</v>
      </c>
      <c r="B1949" t="str">
        <f>"1552376747728154"</f>
        <v>1552376747728154</v>
      </c>
      <c r="C1949" t="s">
        <v>40</v>
      </c>
      <c r="D1949">
        <v>4.1651530000000001</v>
      </c>
      <c r="E1949">
        <v>0.54944300000000001</v>
      </c>
      <c r="F1949" t="s">
        <v>41</v>
      </c>
      <c r="G1949">
        <v>-386.65649999999999</v>
      </c>
      <c r="H1949">
        <v>0.90743910000000005</v>
      </c>
      <c r="I1949">
        <v>282.81400000000002</v>
      </c>
      <c r="J1949">
        <v>-386.0951</v>
      </c>
      <c r="K1949">
        <v>1.1086180000000001</v>
      </c>
      <c r="L1949">
        <v>282.69330000000002</v>
      </c>
      <c r="M1949">
        <v>-0.99992769999999997</v>
      </c>
      <c r="N1949">
        <v>0</v>
      </c>
      <c r="O1949">
        <v>-1.177398E-2</v>
      </c>
      <c r="P1949">
        <v>-0.99770959999999997</v>
      </c>
      <c r="Q1949">
        <v>6.2013260000000001E-2</v>
      </c>
      <c r="R1949">
        <v>2.7017619999999999E-2</v>
      </c>
      <c r="S1949">
        <v>-3.0417179999999999</v>
      </c>
      <c r="T1949">
        <v>-0.7441778</v>
      </c>
      <c r="U1949">
        <v>0.43438719999999997</v>
      </c>
      <c r="V1949">
        <v>3.8765250000000001E-2</v>
      </c>
      <c r="W1949">
        <v>6.4484E-2</v>
      </c>
      <c r="X1949">
        <v>0.99716550000000004</v>
      </c>
      <c r="Y1949">
        <v>0.14838879999999999</v>
      </c>
      <c r="Z1949">
        <v>2.0627469999999998E-2</v>
      </c>
      <c r="AA1949">
        <v>0.98871390000000003</v>
      </c>
      <c r="AB1949">
        <v>27</v>
      </c>
      <c r="AC1949">
        <v>-0.56139999999999102</v>
      </c>
      <c r="AD1949">
        <v>-0.20117889999999999</v>
      </c>
      <c r="AE1949">
        <v>0.120699999999999</v>
      </c>
      <c r="AF1949">
        <v>0.113384463469139</v>
      </c>
      <c r="AG1949">
        <v>-0.20117889999999999</v>
      </c>
      <c r="AH1949">
        <v>0.49872514828126802</v>
      </c>
      <c r="AI1949">
        <v>111.47213572404</v>
      </c>
      <c r="AJ1949">
        <v>77.191600416430802</v>
      </c>
      <c r="AK1949">
        <v>0.54959599697374795</v>
      </c>
      <c r="AL1949">
        <v>86.302773571673399</v>
      </c>
      <c r="AM1949">
        <v>87.773722294278102</v>
      </c>
      <c r="AN1949">
        <v>0.99999998262690604</v>
      </c>
    </row>
    <row r="1950" spans="1:40" x14ac:dyDescent="0.25">
      <c r="A1950" t="str">
        <f>"20190312154547754"</f>
        <v>20190312154547754</v>
      </c>
      <c r="B1950" t="str">
        <f>"1552376747748650"</f>
        <v>1552376747748650</v>
      </c>
      <c r="C1950" t="s">
        <v>40</v>
      </c>
      <c r="D1950">
        <v>4.1465540000000001</v>
      </c>
      <c r="E1950">
        <v>0.54942800000000003</v>
      </c>
      <c r="F1950" t="s">
        <v>41</v>
      </c>
      <c r="G1950">
        <v>-386.90170000000001</v>
      </c>
      <c r="H1950">
        <v>0.91148899999999999</v>
      </c>
      <c r="I1950">
        <v>282.8091</v>
      </c>
      <c r="J1950">
        <v>-386.37049999999999</v>
      </c>
      <c r="K1950">
        <v>1.1085830000000001</v>
      </c>
      <c r="L1950">
        <v>282.69009999999997</v>
      </c>
      <c r="M1950">
        <v>-0.99992820000000004</v>
      </c>
      <c r="N1950">
        <v>0</v>
      </c>
      <c r="O1950">
        <v>-1.1774659999999999E-2</v>
      </c>
      <c r="P1950">
        <v>-0.99769070000000004</v>
      </c>
      <c r="Q1950">
        <v>6.2200020000000002E-2</v>
      </c>
      <c r="R1950">
        <v>2.7286930000000001E-2</v>
      </c>
      <c r="S1950">
        <v>-3.0413209999999999</v>
      </c>
      <c r="T1950">
        <v>-0.74326780000000003</v>
      </c>
      <c r="U1950">
        <v>0.43612669999999998</v>
      </c>
      <c r="V1950">
        <v>3.9035019999999997E-2</v>
      </c>
      <c r="W1950">
        <v>6.4426899999999995E-2</v>
      </c>
      <c r="X1950">
        <v>0.99715869999999995</v>
      </c>
      <c r="Y1950">
        <v>0.1489557</v>
      </c>
      <c r="Z1950">
        <v>2.0672840000000001E-2</v>
      </c>
      <c r="AA1950">
        <v>0.9886277</v>
      </c>
      <c r="AB1950">
        <v>27</v>
      </c>
      <c r="AC1950">
        <v>-0.531200000000012</v>
      </c>
      <c r="AD1950">
        <v>-0.19709399999999999</v>
      </c>
      <c r="AE1950">
        <v>0.119000000000028</v>
      </c>
      <c r="AF1950">
        <v>0.11073091316700399</v>
      </c>
      <c r="AG1950">
        <v>-0.19709399999999999</v>
      </c>
      <c r="AH1950">
        <v>0.46836474338074402</v>
      </c>
      <c r="AI1950">
        <v>112.270257725555</v>
      </c>
      <c r="AJ1950">
        <v>76.698357217704498</v>
      </c>
      <c r="AK1950">
        <v>0.52007010374458995</v>
      </c>
      <c r="AL1950">
        <v>86.3060520999056</v>
      </c>
      <c r="AM1950">
        <v>87.758229957205302</v>
      </c>
      <c r="AN1950">
        <v>1.0000000156078499</v>
      </c>
    </row>
    <row r="1951" spans="1:40" x14ac:dyDescent="0.25">
      <c r="A1951" t="str">
        <f>"20190312154547776"</f>
        <v>20190312154547776</v>
      </c>
      <c r="B1951" t="str">
        <f>"1552376747768173"</f>
        <v>1552376747768173</v>
      </c>
      <c r="C1951" t="s">
        <v>40</v>
      </c>
      <c r="D1951">
        <v>4.1538529999999998</v>
      </c>
      <c r="E1951">
        <v>0.54947509999999999</v>
      </c>
      <c r="F1951" t="s">
        <v>41</v>
      </c>
      <c r="G1951">
        <v>-387.15</v>
      </c>
      <c r="H1951">
        <v>0.91868700000000003</v>
      </c>
      <c r="I1951">
        <v>282.80259999999998</v>
      </c>
      <c r="J1951">
        <v>-386.64010000000002</v>
      </c>
      <c r="K1951">
        <v>1.10854599999999</v>
      </c>
      <c r="L1951">
        <v>282.68689999999998</v>
      </c>
      <c r="M1951">
        <v>-0.9999287</v>
      </c>
      <c r="N1951">
        <v>0</v>
      </c>
      <c r="O1951">
        <v>-1.177549E-2</v>
      </c>
      <c r="P1951">
        <v>-0.99765009999999998</v>
      </c>
      <c r="Q1951">
        <v>6.2680620000000006E-2</v>
      </c>
      <c r="R1951">
        <v>2.766907E-2</v>
      </c>
      <c r="S1951">
        <v>-3.0411990000000002</v>
      </c>
      <c r="T1951">
        <v>-0.74102959999999995</v>
      </c>
      <c r="U1951">
        <v>0.43725589999999998</v>
      </c>
      <c r="V1951">
        <v>3.9417479999999998E-2</v>
      </c>
      <c r="W1951">
        <v>6.4675759999999999E-2</v>
      </c>
      <c r="X1951">
        <v>0.99712750000000006</v>
      </c>
      <c r="Y1951">
        <v>0.1493381</v>
      </c>
      <c r="Z1951">
        <v>2.0658510000000001E-2</v>
      </c>
      <c r="AA1951">
        <v>0.98857030000000001</v>
      </c>
      <c r="AB1951">
        <v>27</v>
      </c>
      <c r="AC1951">
        <v>-0.50989999999995905</v>
      </c>
      <c r="AD1951">
        <v>-0.189858999999999</v>
      </c>
      <c r="AE1951">
        <v>0.11570000000000299</v>
      </c>
      <c r="AF1951">
        <v>0.107519582517816</v>
      </c>
      <c r="AG1951">
        <v>-0.189858999999999</v>
      </c>
      <c r="AH1951">
        <v>0.44926543277963599</v>
      </c>
      <c r="AI1951">
        <v>112.34230386276199</v>
      </c>
      <c r="AJ1951">
        <v>76.540945235067596</v>
      </c>
      <c r="AK1951">
        <v>0.49944602270563698</v>
      </c>
      <c r="AL1951">
        <v>86.291763508341603</v>
      </c>
      <c r="AM1951">
        <v>87.736217370803203</v>
      </c>
      <c r="AN1951">
        <v>0.99999997145868802</v>
      </c>
    </row>
    <row r="1952" spans="1:40" x14ac:dyDescent="0.25">
      <c r="A1952" t="str">
        <f>"20190312154547799"</f>
        <v>20190312154547799</v>
      </c>
      <c r="B1952" t="str">
        <f>"1552376747788667"</f>
        <v>1552376747788667</v>
      </c>
      <c r="C1952" t="s">
        <v>40</v>
      </c>
      <c r="D1952">
        <v>4.1513119999999999</v>
      </c>
      <c r="E1952">
        <v>0.54945739999999998</v>
      </c>
      <c r="F1952" t="s">
        <v>41</v>
      </c>
      <c r="G1952">
        <v>-387.39920000000001</v>
      </c>
      <c r="H1952">
        <v>0.92409229999999998</v>
      </c>
      <c r="I1952">
        <v>282.79640000000001</v>
      </c>
      <c r="J1952">
        <v>-386.92739999999998</v>
      </c>
      <c r="K1952">
        <v>1.108511</v>
      </c>
      <c r="L1952">
        <v>282.68349999999998</v>
      </c>
      <c r="M1952">
        <v>-0.99992910000000002</v>
      </c>
      <c r="N1952">
        <v>0</v>
      </c>
      <c r="O1952">
        <v>-1.177623E-2</v>
      </c>
      <c r="P1952">
        <v>-0.9976237</v>
      </c>
      <c r="Q1952">
        <v>6.3052479999999994E-2</v>
      </c>
      <c r="R1952">
        <v>2.7776889999999999E-2</v>
      </c>
      <c r="S1952">
        <v>-3.0413209999999999</v>
      </c>
      <c r="T1952">
        <v>-0.73891319999999905</v>
      </c>
      <c r="U1952">
        <v>0.4387817</v>
      </c>
      <c r="V1952">
        <v>3.95258E-2</v>
      </c>
      <c r="W1952">
        <v>6.4811850000000004E-2</v>
      </c>
      <c r="X1952">
        <v>0.99711439999999996</v>
      </c>
      <c r="Y1952">
        <v>0.14983179999999999</v>
      </c>
      <c r="Z1952">
        <v>2.0658650000000001E-2</v>
      </c>
      <c r="AA1952">
        <v>0.98849560000000003</v>
      </c>
      <c r="AB1952">
        <v>27</v>
      </c>
      <c r="AC1952">
        <v>-0.47180000000002997</v>
      </c>
      <c r="AD1952">
        <v>-0.18441869999999999</v>
      </c>
      <c r="AE1952">
        <v>0.112900000000024</v>
      </c>
      <c r="AF1952">
        <v>0.103492105823298</v>
      </c>
      <c r="AG1952">
        <v>-0.18441869999999999</v>
      </c>
      <c r="AH1952">
        <v>0.41103698351868401</v>
      </c>
      <c r="AI1952">
        <v>113.513266066594</v>
      </c>
      <c r="AJ1952">
        <v>75.867650374271904</v>
      </c>
      <c r="AK1952">
        <v>0.46224698451971502</v>
      </c>
      <c r="AL1952">
        <v>86.283949821848296</v>
      </c>
      <c r="AM1952">
        <v>87.7299731592542</v>
      </c>
      <c r="AN1952">
        <v>0.99999999572671106</v>
      </c>
    </row>
    <row r="1953" spans="1:40" x14ac:dyDescent="0.25">
      <c r="A1953" t="str">
        <f>"20190312154547820"</f>
        <v>20190312154547820</v>
      </c>
      <c r="B1953" t="str">
        <f>"1552376747818922"</f>
        <v>1552376747818922</v>
      </c>
      <c r="C1953" t="s">
        <v>40</v>
      </c>
      <c r="D1953">
        <v>4.1611330000000004</v>
      </c>
      <c r="E1953">
        <v>0.54950259999999995</v>
      </c>
      <c r="F1953" t="s">
        <v>41</v>
      </c>
      <c r="G1953">
        <v>-387.65199999999999</v>
      </c>
      <c r="H1953">
        <v>0.9329267</v>
      </c>
      <c r="I1953">
        <v>282.78820000000002</v>
      </c>
      <c r="J1953">
        <v>-387.19720000000001</v>
      </c>
      <c r="K1953">
        <v>1.108482</v>
      </c>
      <c r="L1953">
        <v>282.68040000000002</v>
      </c>
      <c r="M1953">
        <v>-0.99992950000000003</v>
      </c>
      <c r="N1953">
        <v>0</v>
      </c>
      <c r="O1953">
        <v>-1.177714E-2</v>
      </c>
      <c r="P1953">
        <v>-0.99759889999999996</v>
      </c>
      <c r="Q1953">
        <v>6.3317700000000005E-2</v>
      </c>
      <c r="R1953">
        <v>2.8058349999999999E-2</v>
      </c>
      <c r="S1953">
        <v>-3.0414729999999999</v>
      </c>
      <c r="T1953">
        <v>-0.73695040000000001</v>
      </c>
      <c r="U1953">
        <v>0.43875120000000001</v>
      </c>
      <c r="V1953">
        <v>3.9807799999999997E-2</v>
      </c>
      <c r="W1953">
        <v>6.4869899999999994E-2</v>
      </c>
      <c r="X1953">
        <v>0.99709939999999997</v>
      </c>
      <c r="Y1953">
        <v>0.14984029999999901</v>
      </c>
      <c r="Z1953">
        <v>2.060553E-2</v>
      </c>
      <c r="AA1953">
        <v>0.98849549999999997</v>
      </c>
      <c r="AB1953">
        <v>28</v>
      </c>
      <c r="AC1953">
        <v>-0.454799999999977</v>
      </c>
      <c r="AD1953">
        <v>-0.175555299999999</v>
      </c>
      <c r="AE1953">
        <v>0.107799999999997</v>
      </c>
      <c r="AF1953">
        <v>9.9159854948511497E-2</v>
      </c>
      <c r="AG1953">
        <v>-0.175555299999999</v>
      </c>
      <c r="AH1953">
        <v>0.39743147020489999</v>
      </c>
      <c r="AI1953">
        <v>113.19930109958401</v>
      </c>
      <c r="AJ1953">
        <v>75.990626995489293</v>
      </c>
      <c r="AK1953">
        <v>0.44565021451888398</v>
      </c>
      <c r="AL1953">
        <v>86.280616763442495</v>
      </c>
      <c r="AM1953">
        <v>87.713760238239203</v>
      </c>
      <c r="AN1953">
        <v>0.999999989173604</v>
      </c>
    </row>
    <row r="1954" spans="1:40" x14ac:dyDescent="0.25">
      <c r="A1954" t="str">
        <f>"20190312154547844"</f>
        <v>20190312154547844</v>
      </c>
      <c r="B1954" t="str">
        <f>"1552376747838458"</f>
        <v>1552376747838458</v>
      </c>
      <c r="C1954" t="s">
        <v>40</v>
      </c>
      <c r="D1954">
        <v>4.18309</v>
      </c>
      <c r="E1954">
        <v>0.54958619999999903</v>
      </c>
      <c r="F1954" t="s">
        <v>41</v>
      </c>
      <c r="G1954">
        <v>-387.90480000000002</v>
      </c>
      <c r="H1954">
        <v>0.93736269999999999</v>
      </c>
      <c r="I1954">
        <v>282.78269999999998</v>
      </c>
      <c r="J1954">
        <v>-387.47890000000001</v>
      </c>
      <c r="K1954">
        <v>1.1084499999999999</v>
      </c>
      <c r="L1954">
        <v>282.6771</v>
      </c>
      <c r="M1954">
        <v>-0.99992970000000003</v>
      </c>
      <c r="N1954">
        <v>0</v>
      </c>
      <c r="O1954">
        <v>-1.1777950000000001E-2</v>
      </c>
      <c r="P1954">
        <v>-0.9975773</v>
      </c>
      <c r="Q1954">
        <v>6.3629110000000003E-2</v>
      </c>
      <c r="R1954">
        <v>2.8127760000000002E-2</v>
      </c>
      <c r="S1954">
        <v>-3.041534</v>
      </c>
      <c r="T1954">
        <v>-0.73553610000000003</v>
      </c>
      <c r="U1954">
        <v>0.43975829999999999</v>
      </c>
      <c r="V1954">
        <v>3.9877849999999999E-2</v>
      </c>
      <c r="W1954">
        <v>6.4986009999999997E-2</v>
      </c>
      <c r="X1954">
        <v>0.997089</v>
      </c>
      <c r="Y1954">
        <v>0.15016740000000001</v>
      </c>
      <c r="Z1954">
        <v>2.0605209999999999E-2</v>
      </c>
      <c r="AA1954">
        <v>0.98844580000000004</v>
      </c>
      <c r="AB1954">
        <v>28</v>
      </c>
      <c r="AC1954">
        <v>-0.42590000000001199</v>
      </c>
      <c r="AD1954">
        <v>-0.171087299999999</v>
      </c>
      <c r="AE1954">
        <v>0.105599999999981</v>
      </c>
      <c r="AF1954">
        <v>9.6012749743093095E-2</v>
      </c>
      <c r="AG1954">
        <v>-0.171087299999999</v>
      </c>
      <c r="AH1954">
        <v>0.36859216889259999</v>
      </c>
      <c r="AI1954">
        <v>114.188447187799</v>
      </c>
      <c r="AJ1954">
        <v>75.399755266544204</v>
      </c>
      <c r="AK1954">
        <v>0.41755179236050599</v>
      </c>
      <c r="AL1954">
        <v>86.273949934135899</v>
      </c>
      <c r="AM1954">
        <v>87.709717547333497</v>
      </c>
      <c r="AN1954">
        <v>0.99999994916866997</v>
      </c>
    </row>
    <row r="1955" spans="1:40" x14ac:dyDescent="0.25">
      <c r="A1955" t="str">
        <f>"20190312154547867"</f>
        <v>20190312154547867</v>
      </c>
      <c r="B1955" t="str">
        <f>"1552376747858938"</f>
        <v>1552376747858938</v>
      </c>
      <c r="C1955" t="s">
        <v>40</v>
      </c>
      <c r="D1955">
        <v>4.1815550000000004</v>
      </c>
      <c r="E1955">
        <v>0.54975779999999996</v>
      </c>
      <c r="F1955" t="s">
        <v>41</v>
      </c>
      <c r="G1955">
        <v>-388.16019999999997</v>
      </c>
      <c r="H1955">
        <v>0.94386800000000004</v>
      </c>
      <c r="I1955">
        <v>282.77609999999999</v>
      </c>
      <c r="J1955">
        <v>-387.78100000000001</v>
      </c>
      <c r="K1955">
        <v>1.10842</v>
      </c>
      <c r="L1955">
        <v>282.67349999999999</v>
      </c>
      <c r="M1955">
        <v>-0.99992999999999999</v>
      </c>
      <c r="N1955">
        <v>0</v>
      </c>
      <c r="O1955">
        <v>-1.177891E-2</v>
      </c>
      <c r="P1955">
        <v>-0.99757810000000002</v>
      </c>
      <c r="Q1955">
        <v>6.3741220000000001E-2</v>
      </c>
      <c r="R1955">
        <v>2.7845999999999999E-2</v>
      </c>
      <c r="S1955">
        <v>-3.0417480000000001</v>
      </c>
      <c r="T1955">
        <v>-0.73485699999999998</v>
      </c>
      <c r="U1955">
        <v>0.44042969999999998</v>
      </c>
      <c r="V1955">
        <v>3.9597140000000003E-2</v>
      </c>
      <c r="W1955">
        <v>6.4914169999999993E-2</v>
      </c>
      <c r="X1955">
        <v>0.99710489999999996</v>
      </c>
      <c r="Y1955">
        <v>0.15037539999999999</v>
      </c>
      <c r="Z1955">
        <v>2.0609889999999999E-2</v>
      </c>
      <c r="AA1955">
        <v>0.98841409999999996</v>
      </c>
      <c r="AB1955">
        <v>28</v>
      </c>
      <c r="AC1955">
        <v>-0.37919999999996801</v>
      </c>
      <c r="AD1955">
        <v>-0.164552</v>
      </c>
      <c r="AE1955">
        <v>0.102599999999995</v>
      </c>
      <c r="AF1955">
        <v>9.1078526821840103E-2</v>
      </c>
      <c r="AG1955">
        <v>-0.164552</v>
      </c>
      <c r="AH1955">
        <v>0.32154575987929501</v>
      </c>
      <c r="AI1955">
        <v>116.214791021002</v>
      </c>
      <c r="AJ1955">
        <v>74.185112109182995</v>
      </c>
      <c r="AK1955">
        <v>0.37251085145051799</v>
      </c>
      <c r="AL1955">
        <v>86.278074896111704</v>
      </c>
      <c r="AM1955">
        <v>87.725858648176995</v>
      </c>
      <c r="AN1955">
        <v>0.99999998228348896</v>
      </c>
    </row>
    <row r="1956" spans="1:40" x14ac:dyDescent="0.25">
      <c r="A1956" t="str">
        <f>"20190312154547889"</f>
        <v>20190312154547889</v>
      </c>
      <c r="B1956" t="str">
        <f>"1552376747878819"</f>
        <v>1552376747878819</v>
      </c>
      <c r="C1956" t="s">
        <v>40</v>
      </c>
      <c r="D1956">
        <v>4.1762189999999997</v>
      </c>
      <c r="E1956">
        <v>0.54984160000000004</v>
      </c>
      <c r="F1956" t="s">
        <v>41</v>
      </c>
      <c r="G1956">
        <v>-388.65269999999998</v>
      </c>
      <c r="H1956">
        <v>0.89770559999999999</v>
      </c>
      <c r="I1956">
        <v>282.8</v>
      </c>
      <c r="J1956">
        <v>-388.06290000000001</v>
      </c>
      <c r="K1956">
        <v>1.108392</v>
      </c>
      <c r="L1956">
        <v>282.67020000000002</v>
      </c>
      <c r="M1956">
        <v>-0.99993019999999999</v>
      </c>
      <c r="N1956">
        <v>0</v>
      </c>
      <c r="O1956">
        <v>-1.177979E-2</v>
      </c>
      <c r="P1956">
        <v>-0.99760349999999998</v>
      </c>
      <c r="Q1956">
        <v>6.3339900000000005E-2</v>
      </c>
      <c r="R1956">
        <v>2.7852390000000001E-2</v>
      </c>
      <c r="S1956">
        <v>-3.041992</v>
      </c>
      <c r="T1956">
        <v>-0.73536729999999995</v>
      </c>
      <c r="U1956">
        <v>0.4406738</v>
      </c>
      <c r="V1956">
        <v>3.9604540000000001E-2</v>
      </c>
      <c r="W1956">
        <v>6.4363589999999998E-2</v>
      </c>
      <c r="X1956">
        <v>0.99714029999999998</v>
      </c>
      <c r="Y1956">
        <v>0.1504355</v>
      </c>
      <c r="Z1956">
        <v>2.0629439999999999E-2</v>
      </c>
      <c r="AA1956">
        <v>0.98840459999999997</v>
      </c>
      <c r="AB1956">
        <v>28</v>
      </c>
      <c r="AC1956">
        <v>-0.58979999999996802</v>
      </c>
      <c r="AD1956">
        <v>-0.210686399999999</v>
      </c>
      <c r="AE1956">
        <v>0.12979999999998801</v>
      </c>
      <c r="AF1956">
        <v>0.12190212560888899</v>
      </c>
      <c r="AG1956">
        <v>-0.210686399999999</v>
      </c>
      <c r="AH1956">
        <v>0.52440520309407002</v>
      </c>
      <c r="AI1956">
        <v>111.37183003034001</v>
      </c>
      <c r="AJ1956">
        <v>76.913556368456597</v>
      </c>
      <c r="AK1956">
        <v>0.578143325140971</v>
      </c>
      <c r="AL1956">
        <v>86.309686925464405</v>
      </c>
      <c r="AM1956">
        <v>87.725514763762803</v>
      </c>
      <c r="AN1956">
        <v>0.99999998459519401</v>
      </c>
    </row>
    <row r="1957" spans="1:40" x14ac:dyDescent="0.25">
      <c r="A1957" t="str">
        <f>"20190312154548023"</f>
        <v>20190312154548023</v>
      </c>
      <c r="B1957" t="str">
        <f>"1552376748018387"</f>
        <v>1552376748018387</v>
      </c>
      <c r="C1957" t="s">
        <v>40</v>
      </c>
      <c r="D1957">
        <v>4.528683</v>
      </c>
      <c r="E1957">
        <v>0.54982159999999902</v>
      </c>
      <c r="F1957" t="s">
        <v>41</v>
      </c>
      <c r="G1957">
        <v>-390.24029999999999</v>
      </c>
      <c r="H1957">
        <v>0.93027760000000004</v>
      </c>
      <c r="I1957">
        <v>282.75740000000002</v>
      </c>
      <c r="J1957">
        <v>-389.82319999999999</v>
      </c>
      <c r="K1957">
        <v>1.1082799999999999</v>
      </c>
      <c r="L1957">
        <v>282.64940000000001</v>
      </c>
      <c r="M1957">
        <v>-0.9999304</v>
      </c>
      <c r="N1957">
        <v>0</v>
      </c>
      <c r="O1957">
        <v>-1.178591E-2</v>
      </c>
      <c r="P1957">
        <v>-0.99762039999999996</v>
      </c>
      <c r="Q1957">
        <v>6.3064060000000005E-2</v>
      </c>
      <c r="R1957">
        <v>2.786858E-2</v>
      </c>
      <c r="S1957">
        <v>-3.0418090000000002</v>
      </c>
      <c r="T1957">
        <v>-0.7472124</v>
      </c>
      <c r="U1957">
        <v>0.43872070000000002</v>
      </c>
      <c r="V1957">
        <v>3.9627120000000002E-2</v>
      </c>
      <c r="W1957">
        <v>6.3538940000000002E-2</v>
      </c>
      <c r="X1957">
        <v>0.99719230000000003</v>
      </c>
      <c r="Y1957">
        <v>0.1497019</v>
      </c>
      <c r="Z1957">
        <v>2.0867589999999998E-2</v>
      </c>
      <c r="AA1957">
        <v>0.98851100000000003</v>
      </c>
      <c r="AB1957">
        <v>30</v>
      </c>
      <c r="AC1957">
        <v>-0.41710000000000402</v>
      </c>
      <c r="AD1957">
        <v>-0.17800239999999901</v>
      </c>
      <c r="AE1957">
        <v>0.108000000000004</v>
      </c>
      <c r="AF1957">
        <v>9.6446661832610706E-2</v>
      </c>
      <c r="AG1957">
        <v>-0.17800239999999901</v>
      </c>
      <c r="AH1957">
        <v>0.35517590194434501</v>
      </c>
      <c r="AI1957">
        <v>115.81084347911199</v>
      </c>
      <c r="AJ1957">
        <v>74.807886465887094</v>
      </c>
      <c r="AK1957">
        <v>0.40882359803024199</v>
      </c>
      <c r="AL1957">
        <v>86.357032843686</v>
      </c>
      <c r="AM1957">
        <v>87.724337908474197</v>
      </c>
      <c r="AN1957">
        <v>0.99999999435755405</v>
      </c>
    </row>
    <row r="1958" spans="1:40" x14ac:dyDescent="0.25">
      <c r="A1958" t="str">
        <f>"20190312154548046"</f>
        <v>20190312154548046</v>
      </c>
      <c r="B1958" t="str">
        <f>"1552376748038883"</f>
        <v>1552376748038883</v>
      </c>
      <c r="C1958" t="s">
        <v>40</v>
      </c>
      <c r="D1958">
        <v>4.3638979999999998</v>
      </c>
      <c r="E1958">
        <v>0.54950169999999998</v>
      </c>
      <c r="F1958" t="s">
        <v>41</v>
      </c>
      <c r="G1958">
        <v>-390.51459999999997</v>
      </c>
      <c r="H1958">
        <v>0.94296250000000004</v>
      </c>
      <c r="I1958">
        <v>282.74939999999998</v>
      </c>
      <c r="J1958">
        <v>-390.12540000000001</v>
      </c>
      <c r="K1958">
        <v>1.108276</v>
      </c>
      <c r="L1958">
        <v>282.64589999999998</v>
      </c>
      <c r="M1958">
        <v>-0.99993050000000006</v>
      </c>
      <c r="N1958">
        <v>0</v>
      </c>
      <c r="O1958">
        <v>-1.178674E-2</v>
      </c>
      <c r="P1958">
        <v>-0.99756230000000001</v>
      </c>
      <c r="Q1958">
        <v>6.4014559999999998E-2</v>
      </c>
      <c r="R1958">
        <v>2.7781380000000001E-2</v>
      </c>
      <c r="S1958">
        <v>-3.0408019999999998</v>
      </c>
      <c r="T1958">
        <v>-0.72704080000000004</v>
      </c>
      <c r="U1958">
        <v>0.4408569</v>
      </c>
      <c r="V1958">
        <v>3.9539999999999999E-2</v>
      </c>
      <c r="W1958">
        <v>6.4445929999999998E-2</v>
      </c>
      <c r="X1958">
        <v>0.99713750000000001</v>
      </c>
      <c r="Y1958">
        <v>0.1506479</v>
      </c>
      <c r="Z1958">
        <v>2.0436329999999999E-2</v>
      </c>
      <c r="AA1958">
        <v>0.98837629999999999</v>
      </c>
      <c r="AB1958">
        <v>30</v>
      </c>
      <c r="AC1958">
        <v>-0.38919999999995902</v>
      </c>
      <c r="AD1958">
        <v>-0.1653135</v>
      </c>
      <c r="AE1958">
        <v>0.103499999999996</v>
      </c>
      <c r="AF1958">
        <v>9.2494964722467904E-2</v>
      </c>
      <c r="AG1958">
        <v>-0.1653135</v>
      </c>
      <c r="AH1958">
        <v>0.33200992595467999</v>
      </c>
      <c r="AI1958">
        <v>115.624777681504</v>
      </c>
      <c r="AJ1958">
        <v>74.432643584648204</v>
      </c>
      <c r="AK1958">
        <v>0.382249215452031</v>
      </c>
      <c r="AL1958">
        <v>86.304959217121905</v>
      </c>
      <c r="AM1958">
        <v>87.729211037214696</v>
      </c>
      <c r="AN1958">
        <v>0.99999994169990503</v>
      </c>
    </row>
    <row r="1959" spans="1:40" x14ac:dyDescent="0.25">
      <c r="A1959" t="str">
        <f>"20190312154548068"</f>
        <v>20190312154548068</v>
      </c>
      <c r="B1959" t="str">
        <f>"1552376748058404"</f>
        <v>1552376748058404</v>
      </c>
      <c r="C1959" t="s">
        <v>40</v>
      </c>
      <c r="D1959">
        <v>4.5985659999999999</v>
      </c>
      <c r="E1959">
        <v>0.54930140000000005</v>
      </c>
      <c r="F1959" t="s">
        <v>41</v>
      </c>
      <c r="G1959">
        <v>-391.04</v>
      </c>
      <c r="H1959">
        <v>0.89771460000000003</v>
      </c>
      <c r="I1959">
        <v>282.77800000000002</v>
      </c>
      <c r="J1959">
        <v>-390.43079999999998</v>
      </c>
      <c r="K1959">
        <v>1.108268</v>
      </c>
      <c r="L1959">
        <v>282.64229999999998</v>
      </c>
      <c r="M1959">
        <v>-0.9999304</v>
      </c>
      <c r="N1959">
        <v>0</v>
      </c>
      <c r="O1959">
        <v>-1.1787799999999999E-2</v>
      </c>
      <c r="P1959">
        <v>-0.99754140000000002</v>
      </c>
      <c r="Q1959">
        <v>6.4411040000000003E-2</v>
      </c>
      <c r="R1959">
        <v>2.7614110000000001E-2</v>
      </c>
      <c r="S1959">
        <v>-3.0399780000000001</v>
      </c>
      <c r="T1959">
        <v>-0.69981649999999995</v>
      </c>
      <c r="U1959">
        <v>0.43890380000000001</v>
      </c>
      <c r="V1959">
        <v>3.9373409999999998E-2</v>
      </c>
      <c r="W1959">
        <v>6.4808530000000003E-2</v>
      </c>
      <c r="X1959">
        <v>0.99712069999999997</v>
      </c>
      <c r="Y1959">
        <v>0.15039439999999901</v>
      </c>
      <c r="Z1959">
        <v>1.9668250000000002E-2</v>
      </c>
      <c r="AA1959">
        <v>0.98843040000000004</v>
      </c>
      <c r="AB1959">
        <v>30</v>
      </c>
      <c r="AC1959">
        <v>-0.60920000000004304</v>
      </c>
      <c r="AD1959">
        <v>-0.2105534</v>
      </c>
      <c r="AE1959">
        <v>0.13570000000004201</v>
      </c>
      <c r="AF1959">
        <v>0.128273166477398</v>
      </c>
      <c r="AG1959">
        <v>-0.2105534</v>
      </c>
      <c r="AH1959">
        <v>0.54547819558961996</v>
      </c>
      <c r="AI1959">
        <v>110.593628305219</v>
      </c>
      <c r="AJ1959">
        <v>76.766909469469198</v>
      </c>
      <c r="AK1959">
        <v>0.59860938963017096</v>
      </c>
      <c r="AL1959">
        <v>86.284140649056795</v>
      </c>
      <c r="AM1959">
        <v>87.738730318265894</v>
      </c>
      <c r="AN1959">
        <v>1.00000005067213</v>
      </c>
    </row>
    <row r="1960" spans="1:40" x14ac:dyDescent="0.25">
      <c r="A1960" t="str">
        <f>"20190312154548090"</f>
        <v>20190312154548090</v>
      </c>
      <c r="B1960" t="str">
        <f>"1552376748078899"</f>
        <v>1552376748078899</v>
      </c>
      <c r="C1960" t="s">
        <v>40</v>
      </c>
      <c r="D1960">
        <v>4.3229769999999998</v>
      </c>
      <c r="E1960">
        <v>0.54909280000000005</v>
      </c>
      <c r="F1960" t="s">
        <v>41</v>
      </c>
      <c r="G1960">
        <v>-391.31959999999998</v>
      </c>
      <c r="H1960">
        <v>0.91180669999999997</v>
      </c>
      <c r="I1960">
        <v>282.7706</v>
      </c>
      <c r="J1960">
        <v>-390.74209999999999</v>
      </c>
      <c r="K1960">
        <v>1.108263</v>
      </c>
      <c r="L1960">
        <v>282.6386</v>
      </c>
      <c r="M1960">
        <v>-0.99993050000000006</v>
      </c>
      <c r="N1960">
        <v>0</v>
      </c>
      <c r="O1960">
        <v>-1.1788750000000001E-2</v>
      </c>
      <c r="P1960">
        <v>-0.99748800000000004</v>
      </c>
      <c r="Q1960">
        <v>6.5240580000000006E-2</v>
      </c>
      <c r="R1960">
        <v>2.7597790000000001E-2</v>
      </c>
      <c r="S1960">
        <v>-3.0386350000000002</v>
      </c>
      <c r="T1960">
        <v>-0.67168969999999995</v>
      </c>
      <c r="U1960">
        <v>0.43743900000000002</v>
      </c>
      <c r="V1960">
        <v>3.935744E-2</v>
      </c>
      <c r="W1960">
        <v>6.561314E-2</v>
      </c>
      <c r="X1960">
        <v>0.99706859999999997</v>
      </c>
      <c r="Y1960">
        <v>0.15031240000000001</v>
      </c>
      <c r="Z1960">
        <v>1.8896449999999999E-2</v>
      </c>
      <c r="AA1960">
        <v>0.9884579</v>
      </c>
      <c r="AB1960">
        <v>30</v>
      </c>
      <c r="AC1960">
        <v>-0.57749999999998602</v>
      </c>
      <c r="AD1960">
        <v>-0.1964563</v>
      </c>
      <c r="AE1960">
        <v>0.132000000000005</v>
      </c>
      <c r="AF1960">
        <v>0.12504631875609001</v>
      </c>
      <c r="AG1960">
        <v>-0.1964563</v>
      </c>
      <c r="AH1960">
        <v>0.518841867708843</v>
      </c>
      <c r="AI1960">
        <v>110.208859479702</v>
      </c>
      <c r="AJ1960">
        <v>76.449537166767897</v>
      </c>
      <c r="AK1960">
        <v>0.56870778377980802</v>
      </c>
      <c r="AL1960">
        <v>86.237941151687295</v>
      </c>
      <c r="AM1960">
        <v>87.739528557913999</v>
      </c>
      <c r="AN1960">
        <v>0.99999994266498404</v>
      </c>
    </row>
    <row r="1961" spans="1:40" x14ac:dyDescent="0.25">
      <c r="A1961" t="str">
        <f>"20190312154548113"</f>
        <v>20190312154548113</v>
      </c>
      <c r="B1961" t="str">
        <f>"1552376748108179"</f>
        <v>1552376748108179</v>
      </c>
      <c r="C1961" t="s">
        <v>40</v>
      </c>
      <c r="D1961">
        <v>4.4160250000000003</v>
      </c>
      <c r="E1961">
        <v>0.54874129999999999</v>
      </c>
      <c r="F1961" t="s">
        <v>41</v>
      </c>
      <c r="G1961">
        <v>-391.601</v>
      </c>
      <c r="H1961">
        <v>0.92582379999999997</v>
      </c>
      <c r="I1961">
        <v>282.762</v>
      </c>
      <c r="J1961">
        <v>-391.0478</v>
      </c>
      <c r="K1961">
        <v>1.10825</v>
      </c>
      <c r="L1961">
        <v>282.63499999999999</v>
      </c>
      <c r="M1961">
        <v>-0.99993050000000006</v>
      </c>
      <c r="N1961">
        <v>0</v>
      </c>
      <c r="O1961">
        <v>-1.1789590000000001E-2</v>
      </c>
      <c r="P1961">
        <v>-0.99746190000000001</v>
      </c>
      <c r="Q1961">
        <v>6.5587480000000004E-2</v>
      </c>
      <c r="R1961">
        <v>2.771817E-2</v>
      </c>
      <c r="S1961">
        <v>-3.0376889999999999</v>
      </c>
      <c r="T1961">
        <v>-0.64525909999999997</v>
      </c>
      <c r="U1961">
        <v>0.43658449999999999</v>
      </c>
      <c r="V1961">
        <v>3.9478480000000003E-2</v>
      </c>
      <c r="W1961">
        <v>6.5942890000000004E-2</v>
      </c>
      <c r="X1961">
        <v>0.99704210000000004</v>
      </c>
      <c r="Y1961">
        <v>0.15037339999999999</v>
      </c>
      <c r="Z1961">
        <v>1.8181559999999999E-2</v>
      </c>
      <c r="AA1961">
        <v>0.98846210000000001</v>
      </c>
      <c r="AB1961">
        <v>31</v>
      </c>
      <c r="AC1961">
        <v>-0.55320000000000302</v>
      </c>
      <c r="AD1961">
        <v>-0.18242619999999901</v>
      </c>
      <c r="AE1961">
        <v>0.12700000000000899</v>
      </c>
      <c r="AF1961">
        <v>0.121012484102273</v>
      </c>
      <c r="AG1961">
        <v>-0.18242619999999901</v>
      </c>
      <c r="AH1961">
        <v>0.50001255999114003</v>
      </c>
      <c r="AI1961">
        <v>109.524802822366</v>
      </c>
      <c r="AJ1961">
        <v>76.394943071162103</v>
      </c>
      <c r="AK1961">
        <v>0.545835048255365</v>
      </c>
      <c r="AL1961">
        <v>86.219007010372394</v>
      </c>
      <c r="AM1961">
        <v>87.732523739540895</v>
      </c>
      <c r="AN1961">
        <v>0.99999998214853603</v>
      </c>
    </row>
    <row r="1962" spans="1:40" x14ac:dyDescent="0.25">
      <c r="A1962" t="str">
        <f>"20190312154548134"</f>
        <v>20190312154548134</v>
      </c>
      <c r="B1962" t="str">
        <f>"1552376748128675"</f>
        <v>1552376748128675</v>
      </c>
      <c r="C1962" t="s">
        <v>40</v>
      </c>
      <c r="D1962">
        <v>4.4968709999999996</v>
      </c>
      <c r="E1962">
        <v>0.54838999999999904</v>
      </c>
      <c r="F1962" t="s">
        <v>41</v>
      </c>
      <c r="G1962">
        <v>-391.88440000000003</v>
      </c>
      <c r="H1962">
        <v>0.93953010000000003</v>
      </c>
      <c r="I1962">
        <v>282.75529999999998</v>
      </c>
      <c r="J1962">
        <v>-391.35719999999998</v>
      </c>
      <c r="K1962">
        <v>1.1082419999999999</v>
      </c>
      <c r="L1962">
        <v>282.63139999999999</v>
      </c>
      <c r="M1962">
        <v>-0.99993050000000006</v>
      </c>
      <c r="N1962">
        <v>0</v>
      </c>
      <c r="O1962">
        <v>-1.1790419999999999E-2</v>
      </c>
      <c r="P1962">
        <v>-0.99746250000000003</v>
      </c>
      <c r="Q1962">
        <v>6.5465690000000007E-2</v>
      </c>
      <c r="R1962">
        <v>2.7979400000000001E-2</v>
      </c>
      <c r="S1962">
        <v>-3.0357669999999999</v>
      </c>
      <c r="T1962">
        <v>-0.61229919999999904</v>
      </c>
      <c r="U1962">
        <v>0.4355774</v>
      </c>
      <c r="V1962">
        <v>3.974047E-2</v>
      </c>
      <c r="W1962">
        <v>6.5810110000000005E-2</v>
      </c>
      <c r="X1962">
        <v>0.9970405</v>
      </c>
      <c r="Y1962">
        <v>0.15048439999999999</v>
      </c>
      <c r="Z1962">
        <v>1.7293559999999999E-2</v>
      </c>
      <c r="AA1962">
        <v>0.98846109999999998</v>
      </c>
      <c r="AB1962">
        <v>31</v>
      </c>
      <c r="AC1962">
        <v>-0.52720000000004996</v>
      </c>
      <c r="AD1962">
        <v>-0.1687119</v>
      </c>
      <c r="AE1962">
        <v>0.123899999999991</v>
      </c>
      <c r="AF1962">
        <v>0.118597488231417</v>
      </c>
      <c r="AG1962">
        <v>-0.1687119</v>
      </c>
      <c r="AH1962">
        <v>0.47919678593243098</v>
      </c>
      <c r="AI1962">
        <v>108.86842624086</v>
      </c>
      <c r="AJ1962">
        <v>76.099067926180695</v>
      </c>
      <c r="AK1962">
        <v>0.521688248923035</v>
      </c>
      <c r="AL1962">
        <v>86.226631437760901</v>
      </c>
      <c r="AM1962">
        <v>87.7174883504223</v>
      </c>
      <c r="AN1962">
        <v>1.0000000170871399</v>
      </c>
    </row>
    <row r="1963" spans="1:40" x14ac:dyDescent="0.25">
      <c r="A1963" t="str">
        <f>"20190312154548156"</f>
        <v>20190312154548156</v>
      </c>
      <c r="B1963" t="str">
        <f>"1552376748148195"</f>
        <v>1552376748148195</v>
      </c>
      <c r="C1963" t="s">
        <v>40</v>
      </c>
      <c r="D1963">
        <v>4.4631189999999998</v>
      </c>
      <c r="E1963">
        <v>0.54784270000000002</v>
      </c>
      <c r="F1963" t="s">
        <v>41</v>
      </c>
      <c r="G1963">
        <v>-392.16809999999998</v>
      </c>
      <c r="H1963">
        <v>0.9495962</v>
      </c>
      <c r="I1963">
        <v>282.74770000000001</v>
      </c>
      <c r="J1963">
        <v>-391.65620000000001</v>
      </c>
      <c r="K1963">
        <v>1.108239</v>
      </c>
      <c r="L1963">
        <v>282.62779999999998</v>
      </c>
      <c r="M1963">
        <v>-0.9999306</v>
      </c>
      <c r="N1963">
        <v>0</v>
      </c>
      <c r="O1963">
        <v>-1.179149E-2</v>
      </c>
      <c r="P1963">
        <v>-0.99746659999999998</v>
      </c>
      <c r="Q1963">
        <v>6.5429490000000007E-2</v>
      </c>
      <c r="R1963">
        <v>2.791596E-2</v>
      </c>
      <c r="S1963">
        <v>-3.034424</v>
      </c>
      <c r="T1963">
        <v>-0.59364340000000004</v>
      </c>
      <c r="U1963">
        <v>0.43441770000000002</v>
      </c>
      <c r="V1963">
        <v>3.9678030000000003E-2</v>
      </c>
      <c r="W1963">
        <v>6.5769659999999994E-2</v>
      </c>
      <c r="X1963">
        <v>0.99704559999999998</v>
      </c>
      <c r="Y1963">
        <v>0.15036669999999999</v>
      </c>
      <c r="Z1963">
        <v>1.677296E-2</v>
      </c>
      <c r="AA1963">
        <v>0.98848800000000003</v>
      </c>
      <c r="AB1963">
        <v>31</v>
      </c>
      <c r="AC1963">
        <v>-0.51189999999996805</v>
      </c>
      <c r="AD1963">
        <v>-0.158642799999999</v>
      </c>
      <c r="AE1963">
        <v>0.119900000000029</v>
      </c>
      <c r="AF1963">
        <v>0.115418951334691</v>
      </c>
      <c r="AG1963">
        <v>-0.158642799999999</v>
      </c>
      <c r="AH1963">
        <v>0.46785307437386903</v>
      </c>
      <c r="AI1963">
        <v>108.22240380942</v>
      </c>
      <c r="AJ1963">
        <v>76.141894612201099</v>
      </c>
      <c r="AK1963">
        <v>0.50732196041579103</v>
      </c>
      <c r="AL1963">
        <v>86.228953873566297</v>
      </c>
      <c r="AM1963">
        <v>87.721082480228105</v>
      </c>
      <c r="AN1963">
        <v>0.99999996136027702</v>
      </c>
    </row>
    <row r="1964" spans="1:40" x14ac:dyDescent="0.25">
      <c r="A1964" t="str">
        <f>"20190312154548179"</f>
        <v>20190312154548179</v>
      </c>
      <c r="B1964" t="str">
        <f>"1552376748168691"</f>
        <v>1552376748168691</v>
      </c>
      <c r="C1964" t="s">
        <v>40</v>
      </c>
      <c r="D1964">
        <v>4.590001</v>
      </c>
      <c r="E1964">
        <v>0.54723949999999999</v>
      </c>
      <c r="F1964" t="s">
        <v>41</v>
      </c>
      <c r="G1964">
        <v>-392.45249999999999</v>
      </c>
      <c r="H1964">
        <v>0.95712379999999997</v>
      </c>
      <c r="I1964">
        <v>282.74149999999997</v>
      </c>
      <c r="J1964">
        <v>-391.98759999999999</v>
      </c>
      <c r="K1964">
        <v>1.1082339999999999</v>
      </c>
      <c r="L1964">
        <v>282.62389999999999</v>
      </c>
      <c r="M1964">
        <v>-0.9999306</v>
      </c>
      <c r="N1964">
        <v>0</v>
      </c>
      <c r="O1964">
        <v>-1.1792560000000001E-2</v>
      </c>
      <c r="P1964">
        <v>-0.99746599999999996</v>
      </c>
      <c r="Q1964">
        <v>6.5265770000000001E-2</v>
      </c>
      <c r="R1964">
        <v>2.8324579999999999E-2</v>
      </c>
      <c r="S1964">
        <v>-3.0332949999999999</v>
      </c>
      <c r="T1964">
        <v>-0.57566709999999999</v>
      </c>
      <c r="U1964">
        <v>0.43099979999999899</v>
      </c>
      <c r="V1964">
        <v>4.0087739999999997E-2</v>
      </c>
      <c r="W1964">
        <v>6.5606949999999997E-2</v>
      </c>
      <c r="X1964">
        <v>0.99704000000000004</v>
      </c>
      <c r="Y1964">
        <v>0.14951819999999999</v>
      </c>
      <c r="Z1964">
        <v>1.620189E-2</v>
      </c>
      <c r="AA1964">
        <v>0.98862620000000001</v>
      </c>
      <c r="AB1964">
        <v>31</v>
      </c>
      <c r="AC1964">
        <v>-0.46489999999999998</v>
      </c>
      <c r="AD1964">
        <v>-0.151110199999999</v>
      </c>
      <c r="AE1964">
        <v>0.117599999999981</v>
      </c>
      <c r="AF1964">
        <v>0.111957269862904</v>
      </c>
      <c r="AG1964">
        <v>-0.151110199999999</v>
      </c>
      <c r="AH1964">
        <v>0.421616063968698</v>
      </c>
      <c r="AI1964">
        <v>109.10619724699799</v>
      </c>
      <c r="AJ1964">
        <v>75.128697125952598</v>
      </c>
      <c r="AK1964">
        <v>0.46165877898687502</v>
      </c>
      <c r="AL1964">
        <v>86.238296908136206</v>
      </c>
      <c r="AM1964">
        <v>87.697562962335098</v>
      </c>
      <c r="AN1964">
        <v>1.0000000301933001</v>
      </c>
    </row>
    <row r="1965" spans="1:40" x14ac:dyDescent="0.25">
      <c r="A1965" t="str">
        <f>"20190312154548200"</f>
        <v>20190312154548200</v>
      </c>
      <c r="B1965" t="str">
        <f>"1552376748188211"</f>
        <v>1552376748188211</v>
      </c>
      <c r="C1965" t="s">
        <v>40</v>
      </c>
      <c r="D1965">
        <v>4.5722639999999997</v>
      </c>
      <c r="E1965">
        <v>0.54668609999999995</v>
      </c>
      <c r="F1965" t="s">
        <v>41</v>
      </c>
      <c r="G1965">
        <v>-392.7405</v>
      </c>
      <c r="H1965">
        <v>0.96903530000000004</v>
      </c>
      <c r="I1965">
        <v>282.73009999999999</v>
      </c>
      <c r="J1965">
        <v>-392.2953</v>
      </c>
      <c r="K1965">
        <v>1.1082240000000001</v>
      </c>
      <c r="L1965">
        <v>282.62029999999999</v>
      </c>
      <c r="M1965">
        <v>-0.99993050000000006</v>
      </c>
      <c r="N1965">
        <v>0</v>
      </c>
      <c r="O1965">
        <v>-1.1793400000000001E-2</v>
      </c>
      <c r="P1965">
        <v>-0.99748460000000005</v>
      </c>
      <c r="Q1965">
        <v>6.5142980000000003E-2</v>
      </c>
      <c r="R1965">
        <v>2.79504E-2</v>
      </c>
      <c r="S1965">
        <v>-3.0321959999999999</v>
      </c>
      <c r="T1965">
        <v>-0.56060219999999905</v>
      </c>
      <c r="U1965">
        <v>0.42755130000000002</v>
      </c>
      <c r="V1965">
        <v>3.9714600000000003E-2</v>
      </c>
      <c r="W1965">
        <v>6.5488950000000004E-2</v>
      </c>
      <c r="X1965">
        <v>0.99706269999999997</v>
      </c>
      <c r="Y1965">
        <v>0.1486237</v>
      </c>
      <c r="Z1965">
        <v>1.571028E-2</v>
      </c>
      <c r="AA1965">
        <v>0.98876909999999896</v>
      </c>
      <c r="AB1965">
        <v>31</v>
      </c>
      <c r="AC1965">
        <v>-0.44519999999999899</v>
      </c>
      <c r="AD1965">
        <v>-0.139188699999999</v>
      </c>
      <c r="AE1965">
        <v>0.109800000000006</v>
      </c>
      <c r="AF1965">
        <v>0.10533692928221</v>
      </c>
      <c r="AG1965">
        <v>-0.139188699999999</v>
      </c>
      <c r="AH1965">
        <v>0.40642563523674302</v>
      </c>
      <c r="AI1965">
        <v>108.34121789388399</v>
      </c>
      <c r="AJ1965">
        <v>75.469861879718806</v>
      </c>
      <c r="AK1965">
        <v>0.44232472218482799</v>
      </c>
      <c r="AL1965">
        <v>86.245072417528704</v>
      </c>
      <c r="AM1965">
        <v>87.719023369754694</v>
      </c>
      <c r="AN1965">
        <v>1.00000003987827</v>
      </c>
    </row>
    <row r="1966" spans="1:40" x14ac:dyDescent="0.25">
      <c r="A1966" t="str">
        <f>"20190312154548223"</f>
        <v>20190312154548223</v>
      </c>
      <c r="B1966" t="str">
        <f>"1552376748218468"</f>
        <v>1552376748218468</v>
      </c>
      <c r="C1966" t="s">
        <v>40</v>
      </c>
      <c r="D1966">
        <v>4.5825570000000004</v>
      </c>
      <c r="E1966">
        <v>0.54590109999999903</v>
      </c>
      <c r="F1966" t="s">
        <v>41</v>
      </c>
      <c r="G1966">
        <v>-393.02820000000003</v>
      </c>
      <c r="H1966">
        <v>0.9760588</v>
      </c>
      <c r="I1966">
        <v>282.7226</v>
      </c>
      <c r="J1966">
        <v>-392.61709999999999</v>
      </c>
      <c r="K1966">
        <v>1.1082099999999999</v>
      </c>
      <c r="L1966">
        <v>282.61649999999997</v>
      </c>
      <c r="M1966">
        <v>-0.9999304</v>
      </c>
      <c r="N1966">
        <v>0</v>
      </c>
      <c r="O1966">
        <v>-1.179435E-2</v>
      </c>
      <c r="P1966">
        <v>-0.99750899999999998</v>
      </c>
      <c r="Q1966">
        <v>6.4821199999999995E-2</v>
      </c>
      <c r="R1966">
        <v>2.7825289999999999E-2</v>
      </c>
      <c r="S1966">
        <v>-3.0314329999999998</v>
      </c>
      <c r="T1966">
        <v>-0.54669559999999995</v>
      </c>
      <c r="U1966">
        <v>0.42263790000000001</v>
      </c>
      <c r="V1966">
        <v>3.9590899999999998E-2</v>
      </c>
      <c r="W1966">
        <v>6.5176810000000002E-2</v>
      </c>
      <c r="X1966">
        <v>0.99708799999999997</v>
      </c>
      <c r="Y1966">
        <v>0.1472368</v>
      </c>
      <c r="Z1966">
        <v>1.5208869999999999E-2</v>
      </c>
      <c r="AA1966">
        <v>0.98898430000000004</v>
      </c>
      <c r="AB1966">
        <v>32</v>
      </c>
      <c r="AC1966">
        <v>-0.41110000000003299</v>
      </c>
      <c r="AD1966">
        <v>-0.1321512</v>
      </c>
      <c r="AE1966">
        <v>0.10610000000002601</v>
      </c>
      <c r="AF1966">
        <v>0.101142425422724</v>
      </c>
      <c r="AG1966">
        <v>-0.1321512</v>
      </c>
      <c r="AH1966">
        <v>0.37362280481375898</v>
      </c>
      <c r="AI1966">
        <v>108.85059871940599</v>
      </c>
      <c r="AJ1966">
        <v>74.852659187032998</v>
      </c>
      <c r="AK1966">
        <v>0.40900822749515803</v>
      </c>
      <c r="AL1966">
        <v>86.2629947430664</v>
      </c>
      <c r="AM1966">
        <v>87.726178148711796</v>
      </c>
      <c r="AN1966">
        <v>0.99999996783429201</v>
      </c>
    </row>
    <row r="1967" spans="1:40" x14ac:dyDescent="0.25">
      <c r="A1967" t="str">
        <f>"20190312154548246"</f>
        <v>20190312154548246</v>
      </c>
      <c r="B1967" t="str">
        <f>"1552376748238963"</f>
        <v>1552376748238963</v>
      </c>
      <c r="C1967" t="s">
        <v>40</v>
      </c>
      <c r="D1967">
        <v>4.6064800000000004</v>
      </c>
      <c r="E1967">
        <v>0.54546319999999904</v>
      </c>
      <c r="F1967" t="s">
        <v>41</v>
      </c>
      <c r="G1967">
        <v>-393.31900000000002</v>
      </c>
      <c r="H1967">
        <v>0.98606190000000005</v>
      </c>
      <c r="I1967">
        <v>282.7131</v>
      </c>
      <c r="J1967">
        <v>-392.93729999999999</v>
      </c>
      <c r="K1967">
        <v>1.108204</v>
      </c>
      <c r="L1967">
        <v>282.61270000000002</v>
      </c>
      <c r="M1967">
        <v>-0.99993050000000006</v>
      </c>
      <c r="N1967">
        <v>0</v>
      </c>
      <c r="O1967">
        <v>-1.1795430000000001E-2</v>
      </c>
      <c r="P1967">
        <v>-0.99751999999999996</v>
      </c>
      <c r="Q1967">
        <v>6.4777899999999999E-2</v>
      </c>
      <c r="R1967">
        <v>2.7532790000000001E-2</v>
      </c>
      <c r="S1967">
        <v>-3.0301209999999998</v>
      </c>
      <c r="T1967">
        <v>-0.5273504</v>
      </c>
      <c r="U1967">
        <v>0.41714479999999998</v>
      </c>
      <c r="V1967">
        <v>3.9299529999999999E-2</v>
      </c>
      <c r="W1967">
        <v>6.514636E-2</v>
      </c>
      <c r="X1967">
        <v>0.99710149999999997</v>
      </c>
      <c r="Y1967">
        <v>0.14573050000000001</v>
      </c>
      <c r="Z1967">
        <v>1.455734E-2</v>
      </c>
      <c r="AA1967">
        <v>0.98921720000000002</v>
      </c>
      <c r="AB1967">
        <v>32</v>
      </c>
      <c r="AC1967">
        <v>-0.38170000000002302</v>
      </c>
      <c r="AD1967">
        <v>-0.1221421</v>
      </c>
      <c r="AE1967">
        <v>0.10039999999997901</v>
      </c>
      <c r="AF1967">
        <v>9.5727442189356193E-2</v>
      </c>
      <c r="AG1967">
        <v>-0.1221421</v>
      </c>
      <c r="AH1967">
        <v>0.34723429727204802</v>
      </c>
      <c r="AI1967">
        <v>108.732132522591</v>
      </c>
      <c r="AJ1967">
        <v>74.587243194441797</v>
      </c>
      <c r="AK1967">
        <v>0.38033418592408902</v>
      </c>
      <c r="AL1967">
        <v>86.264743053498407</v>
      </c>
      <c r="AM1967">
        <v>87.742925541117998</v>
      </c>
      <c r="AN1967">
        <v>0.99999995129085895</v>
      </c>
    </row>
    <row r="1968" spans="1:40" x14ac:dyDescent="0.25">
      <c r="A1968" t="str">
        <f>"20190312154548268"</f>
        <v>20190312154548268</v>
      </c>
      <c r="B1968" t="str">
        <f>"1552376748258483"</f>
        <v>1552376748258483</v>
      </c>
      <c r="C1968" t="s">
        <v>40</v>
      </c>
      <c r="D1968">
        <v>4.576117</v>
      </c>
      <c r="E1968">
        <v>0.54510829999999999</v>
      </c>
      <c r="F1968" t="s">
        <v>41</v>
      </c>
      <c r="G1968">
        <v>-393.88029999999998</v>
      </c>
      <c r="H1968">
        <v>0.94780719999999996</v>
      </c>
      <c r="I1968">
        <v>282.7414</v>
      </c>
      <c r="J1968">
        <v>-393.26369999999997</v>
      </c>
      <c r="K1968">
        <v>1.108195</v>
      </c>
      <c r="L1968">
        <v>282.60890000000001</v>
      </c>
      <c r="M1968">
        <v>-0.9999304</v>
      </c>
      <c r="N1968">
        <v>0</v>
      </c>
      <c r="O1968">
        <v>-1.1796269999999999E-2</v>
      </c>
      <c r="P1968">
        <v>-0.99754529999999997</v>
      </c>
      <c r="Q1968">
        <v>6.4381910000000001E-2</v>
      </c>
      <c r="R1968">
        <v>2.754092E-2</v>
      </c>
      <c r="S1968">
        <v>-3.02948</v>
      </c>
      <c r="T1968">
        <v>-0.51524099999999995</v>
      </c>
      <c r="U1968">
        <v>0.41314699999999999</v>
      </c>
      <c r="V1968">
        <v>3.9308669999999997E-2</v>
      </c>
      <c r="W1968">
        <v>6.4767119999999997E-2</v>
      </c>
      <c r="X1968">
        <v>0.99712590000000001</v>
      </c>
      <c r="Y1968">
        <v>0.14459749999999999</v>
      </c>
      <c r="Z1968">
        <v>1.4136869999999999E-2</v>
      </c>
      <c r="AA1968">
        <v>0.98938950000000003</v>
      </c>
      <c r="AB1968">
        <v>32</v>
      </c>
      <c r="AC1968">
        <v>-0.61660000000000503</v>
      </c>
      <c r="AD1968">
        <v>-0.1603878</v>
      </c>
      <c r="AE1968">
        <v>0.13249999999999301</v>
      </c>
      <c r="AF1968">
        <v>0.13127431117261801</v>
      </c>
      <c r="AG1968">
        <v>-0.1603878</v>
      </c>
      <c r="AH1968">
        <v>0.57763599522905895</v>
      </c>
      <c r="AI1968">
        <v>105.150068158251</v>
      </c>
      <c r="AJ1968">
        <v>77.196356138414203</v>
      </c>
      <c r="AK1968">
        <v>0.61369416988183201</v>
      </c>
      <c r="AL1968">
        <v>86.286518095929793</v>
      </c>
      <c r="AM1968">
        <v>87.742456337215799</v>
      </c>
      <c r="AN1968">
        <v>1.0000000059105301</v>
      </c>
    </row>
    <row r="1969" spans="1:40" x14ac:dyDescent="0.25">
      <c r="A1969" t="str">
        <f>"20190312154548290"</f>
        <v>20190312154548290</v>
      </c>
      <c r="B1969" t="str">
        <f>"1552376748278980"</f>
        <v>1552376748278980</v>
      </c>
      <c r="C1969" t="s">
        <v>40</v>
      </c>
      <c r="D1969">
        <v>4.54514</v>
      </c>
      <c r="E1969">
        <v>0.54481040000000003</v>
      </c>
      <c r="F1969" t="s">
        <v>41</v>
      </c>
      <c r="G1969">
        <v>-394.1755</v>
      </c>
      <c r="H1969">
        <v>0.95635769999999998</v>
      </c>
      <c r="I1969">
        <v>282.733</v>
      </c>
      <c r="J1969">
        <v>-393.59469999999999</v>
      </c>
      <c r="K1969">
        <v>1.108187</v>
      </c>
      <c r="L1969">
        <v>282.60500000000002</v>
      </c>
      <c r="M1969">
        <v>-0.9999304</v>
      </c>
      <c r="N1969">
        <v>0</v>
      </c>
      <c r="O1969">
        <v>-1.1797459999999999E-2</v>
      </c>
      <c r="P1969">
        <v>-0.99755579999999999</v>
      </c>
      <c r="Q1969">
        <v>6.4294699999999996E-2</v>
      </c>
      <c r="R1969">
        <v>2.736326E-2</v>
      </c>
      <c r="S1969">
        <v>-3.0285639999999998</v>
      </c>
      <c r="T1969">
        <v>-0.50444480000000003</v>
      </c>
      <c r="U1969">
        <v>0.41128540000000002</v>
      </c>
      <c r="V1969">
        <v>3.9132300000000002E-2</v>
      </c>
      <c r="W1969">
        <v>6.4699549999999995E-2</v>
      </c>
      <c r="X1969">
        <v>0.99713719999999995</v>
      </c>
      <c r="Y1969">
        <v>0.144137299999999</v>
      </c>
      <c r="Z1969">
        <v>1.381162E-2</v>
      </c>
      <c r="AA1969">
        <v>0.98946129999999999</v>
      </c>
      <c r="AB1969">
        <v>32</v>
      </c>
      <c r="AC1969">
        <v>-0.58080000000000997</v>
      </c>
      <c r="AD1969">
        <v>-0.1518293</v>
      </c>
      <c r="AE1969">
        <v>0.12799999999998499</v>
      </c>
      <c r="AF1969">
        <v>0.12659276202932099</v>
      </c>
      <c r="AG1969">
        <v>-0.1518293</v>
      </c>
      <c r="AH1969">
        <v>0.54380845765471097</v>
      </c>
      <c r="AI1969">
        <v>105.212354767105</v>
      </c>
      <c r="AJ1969">
        <v>76.895545426835099</v>
      </c>
      <c r="AK1969">
        <v>0.57862380036902905</v>
      </c>
      <c r="AL1969">
        <v>86.290397620566196</v>
      </c>
      <c r="AM1969">
        <v>87.752600508795894</v>
      </c>
      <c r="AN1969">
        <v>0.99999998214866603</v>
      </c>
    </row>
    <row r="1970" spans="1:40" x14ac:dyDescent="0.25">
      <c r="A1970" t="str">
        <f>"20190312154548312"</f>
        <v>20190312154548312</v>
      </c>
      <c r="B1970" t="str">
        <f>"1552376748308260"</f>
        <v>1552376748308260</v>
      </c>
      <c r="C1970" t="s">
        <v>40</v>
      </c>
      <c r="D1970">
        <v>4.599691</v>
      </c>
      <c r="E1970">
        <v>0.54439300000000002</v>
      </c>
      <c r="F1970" t="s">
        <v>41</v>
      </c>
      <c r="G1970">
        <v>-394.47239999999999</v>
      </c>
      <c r="H1970">
        <v>0.96520139999999999</v>
      </c>
      <c r="I1970">
        <v>282.72370000000001</v>
      </c>
      <c r="J1970">
        <v>-393.91289999999998</v>
      </c>
      <c r="K1970">
        <v>1.108179</v>
      </c>
      <c r="L1970">
        <v>282.60120000000001</v>
      </c>
      <c r="M1970">
        <v>-0.9999304</v>
      </c>
      <c r="N1970">
        <v>0</v>
      </c>
      <c r="O1970">
        <v>-1.179842E-2</v>
      </c>
      <c r="P1970">
        <v>-0.99756259999999997</v>
      </c>
      <c r="Q1970">
        <v>6.4286739999999995E-2</v>
      </c>
      <c r="R1970">
        <v>2.7127809999999999E-2</v>
      </c>
      <c r="S1970">
        <v>-3.0278930000000002</v>
      </c>
      <c r="T1970">
        <v>-0.49329070000000003</v>
      </c>
      <c r="U1970">
        <v>0.40856930000000002</v>
      </c>
      <c r="V1970">
        <v>3.8897960000000002E-2</v>
      </c>
      <c r="W1970">
        <v>6.471288E-2</v>
      </c>
      <c r="X1970">
        <v>0.99714550000000002</v>
      </c>
      <c r="Y1970">
        <v>0.143396</v>
      </c>
      <c r="Z1970">
        <v>1.345433E-2</v>
      </c>
      <c r="AA1970">
        <v>0.98957399999999995</v>
      </c>
      <c r="AB1970">
        <v>33</v>
      </c>
      <c r="AC1970">
        <v>-0.55950000000001399</v>
      </c>
      <c r="AD1970">
        <v>-0.14297759999999901</v>
      </c>
      <c r="AE1970">
        <v>0.122500000000002</v>
      </c>
      <c r="AF1970">
        <v>0.121520029417021</v>
      </c>
      <c r="AG1970">
        <v>-0.14297759999999901</v>
      </c>
      <c r="AH1970">
        <v>0.52528218790689396</v>
      </c>
      <c r="AI1970">
        <v>104.85229837422899</v>
      </c>
      <c r="AJ1970">
        <v>76.974208712482906</v>
      </c>
      <c r="AK1970">
        <v>0.55779125897017001</v>
      </c>
      <c r="AL1970">
        <v>86.289632249040494</v>
      </c>
      <c r="AM1970">
        <v>87.766063743187402</v>
      </c>
      <c r="AN1970">
        <v>0.99999997815015196</v>
      </c>
    </row>
    <row r="1971" spans="1:40" x14ac:dyDescent="0.25">
      <c r="A1971" t="str">
        <f>"20190312154548336"</f>
        <v>20190312154548336</v>
      </c>
      <c r="B1971" t="str">
        <f>"1552376748328755"</f>
        <v>1552376748328755</v>
      </c>
      <c r="C1971" t="s">
        <v>40</v>
      </c>
      <c r="D1971">
        <v>4.5928129999999996</v>
      </c>
      <c r="E1971">
        <v>0.54417380000000004</v>
      </c>
      <c r="F1971" t="s">
        <v>41</v>
      </c>
      <c r="G1971">
        <v>-394.7706</v>
      </c>
      <c r="H1971">
        <v>0.97272049999999999</v>
      </c>
      <c r="I1971">
        <v>282.71629999999999</v>
      </c>
      <c r="J1971">
        <v>-394.26</v>
      </c>
      <c r="K1971">
        <v>1.108174</v>
      </c>
      <c r="L1971">
        <v>282.59710000000001</v>
      </c>
      <c r="M1971">
        <v>-0.99993030000000005</v>
      </c>
      <c r="N1971">
        <v>0</v>
      </c>
      <c r="O1971">
        <v>-1.179914E-2</v>
      </c>
      <c r="P1971">
        <v>-0.99756339999999999</v>
      </c>
      <c r="Q1971">
        <v>6.4482150000000002E-2</v>
      </c>
      <c r="R1971">
        <v>2.663159E-2</v>
      </c>
      <c r="S1971">
        <v>-3.0271300000000001</v>
      </c>
      <c r="T1971">
        <v>-0.47817660000000001</v>
      </c>
      <c r="U1971">
        <v>0.40533449999999999</v>
      </c>
      <c r="V1971">
        <v>3.8402440000000003E-2</v>
      </c>
      <c r="W1971">
        <v>6.4933190000000002E-2</v>
      </c>
      <c r="X1971">
        <v>0.99715039999999999</v>
      </c>
      <c r="Y1971">
        <v>0.14252089999999901</v>
      </c>
      <c r="Z1971">
        <v>1.298301E-2</v>
      </c>
      <c r="AA1971">
        <v>0.98970659999999999</v>
      </c>
      <c r="AB1971">
        <v>33</v>
      </c>
      <c r="AC1971">
        <v>-0.51060000000001005</v>
      </c>
      <c r="AD1971">
        <v>-0.1354535</v>
      </c>
      <c r="AE1971">
        <v>0.119199999999978</v>
      </c>
      <c r="AF1971">
        <v>0.117382483019429</v>
      </c>
      <c r="AG1971">
        <v>-0.1354535</v>
      </c>
      <c r="AH1971">
        <v>0.47730374777378798</v>
      </c>
      <c r="AI1971">
        <v>105.407016887178</v>
      </c>
      <c r="AJ1971">
        <v>76.183536064624903</v>
      </c>
      <c r="AK1971">
        <v>0.50984817899151202</v>
      </c>
      <c r="AL1971">
        <v>86.276982867763607</v>
      </c>
      <c r="AM1971">
        <v>87.794504336161594</v>
      </c>
      <c r="AN1971">
        <v>0.999999993390844</v>
      </c>
    </row>
    <row r="1972" spans="1:40" x14ac:dyDescent="0.25">
      <c r="A1972" t="str">
        <f>"20190312154548358"</f>
        <v>20190312154548358</v>
      </c>
      <c r="B1972" t="str">
        <f>"1552376748348275"</f>
        <v>1552376748348275</v>
      </c>
      <c r="C1972" t="s">
        <v>40</v>
      </c>
      <c r="D1972">
        <v>4.6017330000000003</v>
      </c>
      <c r="E1972">
        <v>0.54397740000000006</v>
      </c>
      <c r="F1972" t="s">
        <v>41</v>
      </c>
      <c r="G1972">
        <v>-395.07150000000001</v>
      </c>
      <c r="H1972">
        <v>0.98264720000000005</v>
      </c>
      <c r="I1972">
        <v>282.70510000000002</v>
      </c>
      <c r="J1972">
        <v>-394.58609999999999</v>
      </c>
      <c r="K1972">
        <v>1.108169</v>
      </c>
      <c r="L1972">
        <v>282.5933</v>
      </c>
      <c r="M1972">
        <v>-0.99993030000000005</v>
      </c>
      <c r="N1972">
        <v>0</v>
      </c>
      <c r="O1972">
        <v>-1.179998E-2</v>
      </c>
      <c r="P1972">
        <v>-0.9975792</v>
      </c>
      <c r="Q1972">
        <v>6.4128790000000005E-2</v>
      </c>
      <c r="R1972">
        <v>2.6892510000000001E-2</v>
      </c>
      <c r="S1972">
        <v>-3.0268549999999999</v>
      </c>
      <c r="T1972">
        <v>-0.46819070000000002</v>
      </c>
      <c r="U1972">
        <v>0.40261839999999999</v>
      </c>
      <c r="V1972">
        <v>3.8664370000000003E-2</v>
      </c>
      <c r="W1972">
        <v>6.4605330000000002E-2</v>
      </c>
      <c r="X1972">
        <v>0.99716159999999998</v>
      </c>
      <c r="Y1972">
        <v>0.1417467</v>
      </c>
      <c r="Z1972">
        <v>1.265779E-2</v>
      </c>
      <c r="AA1972">
        <v>0.98982199999999998</v>
      </c>
      <c r="AB1972">
        <v>33</v>
      </c>
      <c r="AC1972">
        <v>-0.48540000000002598</v>
      </c>
      <c r="AD1972">
        <v>-0.12552179999999999</v>
      </c>
      <c r="AE1972">
        <v>0.111800000000016</v>
      </c>
      <c r="AF1972">
        <v>0.110502742348683</v>
      </c>
      <c r="AG1972">
        <v>-0.12552179999999999</v>
      </c>
      <c r="AH1972">
        <v>0.45514423564359802</v>
      </c>
      <c r="AI1972">
        <v>105.002669391643</v>
      </c>
      <c r="AJ1972">
        <v>76.353418922415301</v>
      </c>
      <c r="AK1972">
        <v>0.48489468297911298</v>
      </c>
      <c r="AL1972">
        <v>86.295807484978894</v>
      </c>
      <c r="AM1972">
        <v>87.779501322408606</v>
      </c>
      <c r="AN1972">
        <v>1.0000000193432299</v>
      </c>
    </row>
    <row r="1973" spans="1:40" x14ac:dyDescent="0.25">
      <c r="A1973" t="str">
        <f>"20190312154548380"</f>
        <v>20190312154548380</v>
      </c>
      <c r="B1973" t="str">
        <f>"1552376748368770"</f>
        <v>1552376748368770</v>
      </c>
      <c r="C1973" t="s">
        <v>40</v>
      </c>
      <c r="D1973">
        <v>4.6769579999999999</v>
      </c>
      <c r="E1973">
        <v>0.54376250000000004</v>
      </c>
      <c r="F1973" t="s">
        <v>41</v>
      </c>
      <c r="G1973">
        <v>-395.37240000000003</v>
      </c>
      <c r="H1973">
        <v>0.98848720000000001</v>
      </c>
      <c r="I1973">
        <v>282.6979</v>
      </c>
      <c r="J1973">
        <v>-394.91660000000002</v>
      </c>
      <c r="K1973">
        <v>1.1081559999999999</v>
      </c>
      <c r="L1973">
        <v>282.58940000000001</v>
      </c>
      <c r="M1973">
        <v>-0.9999304</v>
      </c>
      <c r="N1973">
        <v>0</v>
      </c>
      <c r="O1973">
        <v>-1.180106E-2</v>
      </c>
      <c r="P1973">
        <v>-0.99759509999999996</v>
      </c>
      <c r="Q1973">
        <v>6.3927369999999997E-2</v>
      </c>
      <c r="R1973">
        <v>2.678693E-2</v>
      </c>
      <c r="S1973">
        <v>-3.0260310000000001</v>
      </c>
      <c r="T1973">
        <v>-0.4605727</v>
      </c>
      <c r="U1973">
        <v>0.40216059999999998</v>
      </c>
      <c r="V1973">
        <v>3.856014E-2</v>
      </c>
      <c r="W1973">
        <v>6.4431180000000005E-2</v>
      </c>
      <c r="X1973">
        <v>0.99717690000000003</v>
      </c>
      <c r="Y1973">
        <v>0.14169309999999999</v>
      </c>
      <c r="Z1973">
        <v>1.245373E-2</v>
      </c>
      <c r="AA1973">
        <v>0.9898323</v>
      </c>
      <c r="AB1973">
        <v>33</v>
      </c>
      <c r="AC1973">
        <v>-0.45580000000000997</v>
      </c>
      <c r="AD1973">
        <v>-0.11966880000000001</v>
      </c>
      <c r="AE1973">
        <v>0.10849999999999201</v>
      </c>
      <c r="AF1973">
        <v>0.10689795255179201</v>
      </c>
      <c r="AG1973">
        <v>-0.11966880000000001</v>
      </c>
      <c r="AH1973">
        <v>0.426655279314055</v>
      </c>
      <c r="AI1973">
        <v>105.220146469635</v>
      </c>
      <c r="AJ1973">
        <v>75.934168057553194</v>
      </c>
      <c r="AK1973">
        <v>0.455831680908381</v>
      </c>
      <c r="AL1973">
        <v>86.3058063634614</v>
      </c>
      <c r="AM1973">
        <v>87.785515238329694</v>
      </c>
      <c r="AN1973">
        <v>1.00000001562331</v>
      </c>
    </row>
    <row r="1974" spans="1:40" x14ac:dyDescent="0.25">
      <c r="A1974" t="str">
        <f>"20190312154548402"</f>
        <v>20190312154548402</v>
      </c>
      <c r="B1974" t="str">
        <f>"1552376748399027"</f>
        <v>1552376748399027</v>
      </c>
      <c r="C1974" t="s">
        <v>40</v>
      </c>
      <c r="D1974">
        <v>4.6903329999999999</v>
      </c>
      <c r="E1974">
        <v>0.48937059999999999</v>
      </c>
      <c r="F1974" t="s">
        <v>41</v>
      </c>
      <c r="G1974">
        <v>-395.67469999999997</v>
      </c>
      <c r="H1974">
        <v>0.99368659999999998</v>
      </c>
      <c r="I1974">
        <v>282.68970000000002</v>
      </c>
      <c r="J1974">
        <v>-395.25920000000002</v>
      </c>
      <c r="K1974">
        <v>1.108152</v>
      </c>
      <c r="L1974">
        <v>282.58530000000002</v>
      </c>
      <c r="M1974">
        <v>-0.99993030000000005</v>
      </c>
      <c r="N1974">
        <v>0</v>
      </c>
      <c r="O1974">
        <v>-1.180202E-2</v>
      </c>
      <c r="P1974">
        <v>-0.99761350000000004</v>
      </c>
      <c r="Q1974">
        <v>6.3582440000000004E-2</v>
      </c>
      <c r="R1974">
        <v>2.692932E-2</v>
      </c>
      <c r="S1974">
        <v>-3.0257869999999998</v>
      </c>
      <c r="T1974">
        <v>-0.4568603</v>
      </c>
      <c r="U1974">
        <v>0.4003601</v>
      </c>
      <c r="V1974">
        <v>3.8703849999999998E-2</v>
      </c>
      <c r="W1974">
        <v>6.4115699999999998E-2</v>
      </c>
      <c r="X1974">
        <v>0.99719170000000001</v>
      </c>
      <c r="Y1974">
        <v>0.1411589</v>
      </c>
      <c r="Z1974">
        <v>1.231613E-2</v>
      </c>
      <c r="AA1974">
        <v>0.98991039999999997</v>
      </c>
      <c r="AB1974">
        <v>33</v>
      </c>
      <c r="AC1974">
        <v>-0.41549999999995102</v>
      </c>
      <c r="AD1974">
        <v>-0.11446539999999999</v>
      </c>
      <c r="AE1974">
        <v>0.10439999999999799</v>
      </c>
      <c r="AF1974">
        <v>0.102014002852617</v>
      </c>
      <c r="AG1974">
        <v>-0.11446539999999999</v>
      </c>
      <c r="AH1974">
        <v>0.38663803203918801</v>
      </c>
      <c r="AI1974">
        <v>105.97412461029199</v>
      </c>
      <c r="AJ1974">
        <v>75.219418307556495</v>
      </c>
      <c r="AK1974">
        <v>0.41593046581647503</v>
      </c>
      <c r="AL1974">
        <v>86.323919609850293</v>
      </c>
      <c r="AM1974">
        <v>87.777303281411506</v>
      </c>
      <c r="AN1974">
        <v>1.0000000487701</v>
      </c>
    </row>
    <row r="1975" spans="1:40" x14ac:dyDescent="0.25">
      <c r="A1975" t="str">
        <f>"20190312154548425"</f>
        <v>20190312154548425</v>
      </c>
      <c r="B1975" t="str">
        <f>"1552376748418551"</f>
        <v>1552376748418551</v>
      </c>
      <c r="C1975" t="s">
        <v>40</v>
      </c>
      <c r="D1975">
        <v>4.6793380000000004</v>
      </c>
      <c r="E1975">
        <v>0.4841509</v>
      </c>
      <c r="F1975" t="s">
        <v>57</v>
      </c>
      <c r="G1975">
        <v>-426.54259999999999</v>
      </c>
      <c r="H1975" s="1">
        <v>2.9974439999999998E-6</v>
      </c>
      <c r="I1975">
        <v>282.4042</v>
      </c>
      <c r="J1975">
        <v>-395.59269999999998</v>
      </c>
      <c r="K1975">
        <v>1.1081529999999999</v>
      </c>
      <c r="L1975">
        <v>282.58139999999997</v>
      </c>
      <c r="M1975">
        <v>-0.99993030000000005</v>
      </c>
      <c r="N1975">
        <v>0</v>
      </c>
      <c r="O1975">
        <v>-1.180322E-2</v>
      </c>
      <c r="P1975">
        <v>-0.99759569999999997</v>
      </c>
      <c r="Q1975">
        <v>6.3600279999999995E-2</v>
      </c>
      <c r="R1975">
        <v>2.753622E-2</v>
      </c>
      <c r="S1975">
        <v>-3.0144350000000002</v>
      </c>
      <c r="T1975">
        <v>-0.1067799</v>
      </c>
      <c r="U1975">
        <v>-1.7456050000000001E-2</v>
      </c>
      <c r="V1975">
        <v>3.9311579999999999E-2</v>
      </c>
      <c r="W1975">
        <v>6.416376E-2</v>
      </c>
      <c r="X1975">
        <v>0.99716479999999996</v>
      </c>
      <c r="Y1975">
        <v>6.001536E-3</v>
      </c>
      <c r="Z1975">
        <v>5.2422020000000001E-4</v>
      </c>
      <c r="AA1975">
        <v>0.99998189999999998</v>
      </c>
      <c r="AB1975">
        <v>34</v>
      </c>
      <c r="AC1975">
        <v>-30.9499</v>
      </c>
      <c r="AD1975">
        <v>-1.108150002556</v>
      </c>
      <c r="AE1975">
        <v>-0.17719999999996999</v>
      </c>
      <c r="AF1975">
        <v>0.18787998793779001</v>
      </c>
      <c r="AG1975">
        <v>-1.108150002556</v>
      </c>
      <c r="AH1975">
        <v>30.910210815548101</v>
      </c>
      <c r="AI1975">
        <v>92.053171578378397</v>
      </c>
      <c r="AJ1975">
        <v>89.6517462186562</v>
      </c>
      <c r="AK1975">
        <v>30.9306389843413</v>
      </c>
      <c r="AL1975">
        <v>86.321160162849097</v>
      </c>
      <c r="AM1975">
        <v>87.742377368909104</v>
      </c>
      <c r="AN1975">
        <v>1.0000000133892299</v>
      </c>
    </row>
    <row r="1976" spans="1:40" x14ac:dyDescent="0.25">
      <c r="A1976" t="str">
        <f>"20190312154548446"</f>
        <v>20190312154548446</v>
      </c>
      <c r="B1976" t="str">
        <f>"1552376748439043"</f>
        <v>1552376748439043</v>
      </c>
      <c r="C1976" t="s">
        <v>40</v>
      </c>
      <c r="D1976">
        <v>4.6005589999999996</v>
      </c>
      <c r="E1976">
        <v>0.4818326</v>
      </c>
      <c r="F1976" t="s">
        <v>57</v>
      </c>
      <c r="G1976">
        <v>-427.30099999999999</v>
      </c>
      <c r="H1976" s="1">
        <v>2.8998519999999999E-6</v>
      </c>
      <c r="I1976">
        <v>281.98169999999999</v>
      </c>
      <c r="J1976">
        <v>-395.93119999999999</v>
      </c>
      <c r="K1976">
        <v>1.1081510000000001</v>
      </c>
      <c r="L1976">
        <v>282.57740000000001</v>
      </c>
      <c r="M1976">
        <v>-0.99993010000000004</v>
      </c>
      <c r="N1976">
        <v>0</v>
      </c>
      <c r="O1976">
        <v>-1.180466E-2</v>
      </c>
      <c r="P1976">
        <v>-0.99760800000000005</v>
      </c>
      <c r="Q1976">
        <v>6.3110940000000004E-2</v>
      </c>
      <c r="R1976">
        <v>2.8202809999999998E-2</v>
      </c>
      <c r="S1976">
        <v>-3.0155639999999999</v>
      </c>
      <c r="T1976">
        <v>-0.1053888</v>
      </c>
      <c r="U1976">
        <v>-5.7037350000000001E-2</v>
      </c>
      <c r="V1976">
        <v>3.9979580000000001E-2</v>
      </c>
      <c r="W1976">
        <v>6.3711680000000007E-2</v>
      </c>
      <c r="X1976">
        <v>0.99716720000000003</v>
      </c>
      <c r="Y1976">
        <v>-7.1099379999999997E-3</v>
      </c>
      <c r="Z1976">
        <v>2.8818019999999998E-4</v>
      </c>
      <c r="AA1976">
        <v>0.99997469999999999</v>
      </c>
      <c r="AB1976">
        <v>34</v>
      </c>
      <c r="AC1976">
        <v>-31.369800000000001</v>
      </c>
      <c r="AD1976">
        <v>-1.108148100148</v>
      </c>
      <c r="AE1976">
        <v>-0.59570000000002199</v>
      </c>
      <c r="AF1976">
        <v>-0.22506783151170401</v>
      </c>
      <c r="AG1976">
        <v>-1.108148100148</v>
      </c>
      <c r="AH1976">
        <v>31.335557413935799</v>
      </c>
      <c r="AI1976">
        <v>92.025307055131094</v>
      </c>
      <c r="AJ1976">
        <v>90.411520208007701</v>
      </c>
      <c r="AK1976">
        <v>31.355953281358001</v>
      </c>
      <c r="AL1976">
        <v>86.347115441962202</v>
      </c>
      <c r="AM1976">
        <v>87.704061064013899</v>
      </c>
      <c r="AN1976">
        <v>0.99999998487061903</v>
      </c>
    </row>
    <row r="1977" spans="1:40" x14ac:dyDescent="0.25">
      <c r="A1977" t="str">
        <f>"20190312154548472"</f>
        <v>20190312154548472</v>
      </c>
      <c r="B1977" t="str">
        <f>"1552376748458563"</f>
        <v>1552376748458563</v>
      </c>
      <c r="C1977" t="s">
        <v>40</v>
      </c>
      <c r="D1977">
        <v>4.5116620000000003</v>
      </c>
      <c r="E1977">
        <v>0.4813597</v>
      </c>
      <c r="F1977" t="s">
        <v>57</v>
      </c>
      <c r="G1977">
        <v>-427.1712</v>
      </c>
      <c r="H1977" s="1">
        <v>2.9370960000000001E-6</v>
      </c>
      <c r="I1977">
        <v>281.81909999999999</v>
      </c>
      <c r="J1977">
        <v>-396.3168</v>
      </c>
      <c r="K1977">
        <v>1.108147</v>
      </c>
      <c r="L1977">
        <v>282.57279999999997</v>
      </c>
      <c r="M1977">
        <v>-0.99993019999999999</v>
      </c>
      <c r="N1977">
        <v>0</v>
      </c>
      <c r="O1977">
        <v>-1.1805990000000001E-2</v>
      </c>
      <c r="P1977">
        <v>-0.99762200000000001</v>
      </c>
      <c r="Q1977">
        <v>6.2668409999999994E-2</v>
      </c>
      <c r="R1977">
        <v>2.8688149999999999E-2</v>
      </c>
      <c r="S1977">
        <v>-3.0160520000000002</v>
      </c>
      <c r="T1977">
        <v>-0.1069857</v>
      </c>
      <c r="U1977">
        <v>-7.3211670000000006E-2</v>
      </c>
      <c r="V1977">
        <v>4.0466299999999997E-2</v>
      </c>
      <c r="W1977">
        <v>6.3320500000000002E-2</v>
      </c>
      <c r="X1977">
        <v>0.99717250000000002</v>
      </c>
      <c r="Y1977">
        <v>-1.2462239999999999E-2</v>
      </c>
      <c r="Z1977">
        <v>1.976387E-4</v>
      </c>
      <c r="AA1977">
        <v>0.99992230000000004</v>
      </c>
      <c r="AB1977">
        <v>34</v>
      </c>
      <c r="AC1977">
        <v>-30.854399999999998</v>
      </c>
      <c r="AD1977">
        <v>-1.108144062904</v>
      </c>
      <c r="AE1977">
        <v>-0.75369999999998005</v>
      </c>
      <c r="AF1977">
        <v>-0.38887937659414601</v>
      </c>
      <c r="AG1977">
        <v>-1.108144062904</v>
      </c>
      <c r="AH1977">
        <v>30.821414800740001</v>
      </c>
      <c r="AI1977">
        <v>92.058944887826897</v>
      </c>
      <c r="AJ1977">
        <v>90.722872877164093</v>
      </c>
      <c r="AK1977">
        <v>30.843780908847201</v>
      </c>
      <c r="AL1977">
        <v>86.369573811446898</v>
      </c>
      <c r="AM1977">
        <v>87.676152607531506</v>
      </c>
      <c r="AN1977">
        <v>1.0000000009560901</v>
      </c>
    </row>
    <row r="1978" spans="1:40" x14ac:dyDescent="0.25">
      <c r="A1978" t="str">
        <f>"20190312154548492"</f>
        <v>20190312154548492</v>
      </c>
      <c r="B1978" t="str">
        <f>"1552376748479059"</f>
        <v>1552376748479059</v>
      </c>
      <c r="C1978" t="s">
        <v>40</v>
      </c>
      <c r="D1978">
        <v>4.4605540000000001</v>
      </c>
      <c r="E1978">
        <v>0.48119079999999897</v>
      </c>
      <c r="F1978" t="s">
        <v>57</v>
      </c>
      <c r="G1978">
        <v>-428.4264</v>
      </c>
      <c r="H1978" s="1">
        <v>2.718504E-6</v>
      </c>
      <c r="I1978">
        <v>281.77260000000001</v>
      </c>
      <c r="J1978">
        <v>-396.63209999999998</v>
      </c>
      <c r="K1978">
        <v>1.1081479999999999</v>
      </c>
      <c r="L1978">
        <v>282.56909999999999</v>
      </c>
      <c r="M1978">
        <v>-0.99993019999999999</v>
      </c>
      <c r="N1978">
        <v>0</v>
      </c>
      <c r="O1978">
        <v>-1.180719E-2</v>
      </c>
      <c r="P1978">
        <v>-0.99761330000000004</v>
      </c>
      <c r="Q1978">
        <v>6.2488910000000002E-2</v>
      </c>
      <c r="R1978">
        <v>2.938141E-2</v>
      </c>
      <c r="S1978">
        <v>-3.0158390000000002</v>
      </c>
      <c r="T1978">
        <v>-0.1040804</v>
      </c>
      <c r="U1978">
        <v>-7.5164789999999995E-2</v>
      </c>
      <c r="V1978">
        <v>4.116073E-2</v>
      </c>
      <c r="W1978">
        <v>6.31887E-2</v>
      </c>
      <c r="X1978">
        <v>0.99715240000000005</v>
      </c>
      <c r="Y1978">
        <v>-1.3109569999999999E-2</v>
      </c>
      <c r="Z1978">
        <v>1.8116329999999999E-4</v>
      </c>
      <c r="AA1978">
        <v>0.99991410000000003</v>
      </c>
      <c r="AB1978">
        <v>34</v>
      </c>
      <c r="AC1978">
        <v>-31.7943</v>
      </c>
      <c r="AD1978">
        <v>-1.108145281496</v>
      </c>
      <c r="AE1978">
        <v>-0.79649999999998</v>
      </c>
      <c r="AF1978">
        <v>-0.42053257140989603</v>
      </c>
      <c r="AG1978">
        <v>-1.108145281496</v>
      </c>
      <c r="AH1978">
        <v>31.762927609105901</v>
      </c>
      <c r="AI1978">
        <v>91.997950243876403</v>
      </c>
      <c r="AJ1978">
        <v>90.758536306062894</v>
      </c>
      <c r="AK1978">
        <v>31.785034275737701</v>
      </c>
      <c r="AL1978">
        <v>86.377140411061802</v>
      </c>
      <c r="AM1978">
        <v>87.636271020051296</v>
      </c>
      <c r="AN1978">
        <v>0.99999996316379003</v>
      </c>
    </row>
    <row r="1979" spans="1:40" x14ac:dyDescent="0.25">
      <c r="A1979" t="str">
        <f>"20190312154548515"</f>
        <v>20190312154548515</v>
      </c>
      <c r="B1979" t="str">
        <f>"1552376748508339"</f>
        <v>1552376748508339</v>
      </c>
      <c r="C1979" t="s">
        <v>40</v>
      </c>
      <c r="D1979">
        <v>4.4174069999999999</v>
      </c>
      <c r="E1979">
        <v>0.48111880000000001</v>
      </c>
      <c r="F1979" t="s">
        <v>57</v>
      </c>
      <c r="G1979">
        <v>-430.05110000000002</v>
      </c>
      <c r="H1979" s="1">
        <v>2.490473E-6</v>
      </c>
      <c r="I1979">
        <v>281.7473</v>
      </c>
      <c r="J1979">
        <v>-396.976</v>
      </c>
      <c r="K1979">
        <v>1.1081399999999999</v>
      </c>
      <c r="L1979">
        <v>282.56509999999997</v>
      </c>
      <c r="M1979">
        <v>-0.99993019999999999</v>
      </c>
      <c r="N1979">
        <v>0</v>
      </c>
      <c r="O1979">
        <v>-1.180841E-2</v>
      </c>
      <c r="P1979">
        <v>-0.99763849999999998</v>
      </c>
      <c r="Q1979">
        <v>6.1767919999999997E-2</v>
      </c>
      <c r="R1979">
        <v>3.0039039999999999E-2</v>
      </c>
      <c r="S1979">
        <v>-3.015625</v>
      </c>
      <c r="T1979">
        <v>-9.9995490000000006E-2</v>
      </c>
      <c r="U1979">
        <v>-7.4157710000000002E-2</v>
      </c>
      <c r="V1979">
        <v>4.1819769999999999E-2</v>
      </c>
      <c r="W1979">
        <v>6.2524830000000003E-2</v>
      </c>
      <c r="X1979">
        <v>0.99716689999999997</v>
      </c>
      <c r="Y1979">
        <v>-1.2776640000000001E-2</v>
      </c>
      <c r="Z1979">
        <v>1.7962769999999999E-4</v>
      </c>
      <c r="AA1979">
        <v>0.99991830000000004</v>
      </c>
      <c r="AB1979">
        <v>34</v>
      </c>
      <c r="AC1979">
        <v>-33.075099999999999</v>
      </c>
      <c r="AD1979">
        <v>-1.1081375095270001</v>
      </c>
      <c r="AE1979">
        <v>-0.81779999999997699</v>
      </c>
      <c r="AF1979">
        <v>-0.42669993288980701</v>
      </c>
      <c r="AG1979">
        <v>-1.1081375095270001</v>
      </c>
      <c r="AH1979">
        <v>33.045380206765202</v>
      </c>
      <c r="AI1979">
        <v>91.920466112204593</v>
      </c>
      <c r="AJ1979">
        <v>90.739793171720294</v>
      </c>
      <c r="AK1979">
        <v>33.0667082513881</v>
      </c>
      <c r="AL1979">
        <v>86.415252992205595</v>
      </c>
      <c r="AM1979">
        <v>87.598503305239404</v>
      </c>
      <c r="AN1979">
        <v>1.00000003699249</v>
      </c>
    </row>
    <row r="1980" spans="1:40" x14ac:dyDescent="0.25">
      <c r="A1980" t="str">
        <f>"20190312154548537"</f>
        <v>20190312154548537</v>
      </c>
      <c r="B1980" t="str">
        <f>"1552376748528835"</f>
        <v>1552376748528835</v>
      </c>
      <c r="C1980" t="s">
        <v>40</v>
      </c>
      <c r="D1980">
        <v>4.3738720000000004</v>
      </c>
      <c r="E1980">
        <v>0.48095710000000003</v>
      </c>
      <c r="F1980" t="s">
        <v>57</v>
      </c>
      <c r="G1980">
        <v>-431.66989999999998</v>
      </c>
      <c r="H1980" s="1">
        <v>3.2096090000000002E-6</v>
      </c>
      <c r="I1980">
        <v>281.73250000000002</v>
      </c>
      <c r="J1980">
        <v>-397.3252</v>
      </c>
      <c r="K1980">
        <v>1.1081479999999999</v>
      </c>
      <c r="L1980">
        <v>282.5609</v>
      </c>
      <c r="M1980">
        <v>-0.99992999999999999</v>
      </c>
      <c r="N1980">
        <v>0</v>
      </c>
      <c r="O1980">
        <v>-1.1809740000000001E-2</v>
      </c>
      <c r="P1980">
        <v>-0.99764419999999998</v>
      </c>
      <c r="Q1980">
        <v>6.1443129999999999E-2</v>
      </c>
      <c r="R1980">
        <v>3.0513970000000001E-2</v>
      </c>
      <c r="S1980">
        <v>-3.015228</v>
      </c>
      <c r="T1980">
        <v>-9.6307870000000004E-2</v>
      </c>
      <c r="U1980">
        <v>-7.2357179999999993E-2</v>
      </c>
      <c r="V1980">
        <v>4.2296279999999999E-2</v>
      </c>
      <c r="W1980">
        <v>6.2259259999999997E-2</v>
      </c>
      <c r="X1980">
        <v>0.99716340000000003</v>
      </c>
      <c r="Y1980">
        <v>-1.2182129999999999E-2</v>
      </c>
      <c r="Z1980">
        <v>1.8256460000000001E-4</v>
      </c>
      <c r="AA1980">
        <v>0.99992579999999998</v>
      </c>
      <c r="AB1980">
        <v>35</v>
      </c>
      <c r="AC1980">
        <v>-34.344699999999897</v>
      </c>
      <c r="AD1980">
        <v>-1.108144790391</v>
      </c>
      <c r="AE1980">
        <v>-0.82839999999998704</v>
      </c>
      <c r="AF1980">
        <v>-0.42230076303726899</v>
      </c>
      <c r="AG1980">
        <v>-1.108144790391</v>
      </c>
      <c r="AH1980">
        <v>34.316383618041797</v>
      </c>
      <c r="AI1980">
        <v>91.849412885510205</v>
      </c>
      <c r="AJ1980">
        <v>90.705051860082193</v>
      </c>
      <c r="AK1980">
        <v>34.336868049249098</v>
      </c>
      <c r="AL1980">
        <v>86.430498668857794</v>
      </c>
      <c r="AM1980">
        <v>87.571163830120895</v>
      </c>
      <c r="AN1980">
        <v>1.00000001852857</v>
      </c>
    </row>
    <row r="1981" spans="1:40" x14ac:dyDescent="0.25">
      <c r="A1981" t="str">
        <f>"20190312154548559"</f>
        <v>20190312154548559</v>
      </c>
      <c r="B1981" t="str">
        <f>"1552376748548356"</f>
        <v>1552376748548356</v>
      </c>
      <c r="C1981" t="s">
        <v>40</v>
      </c>
      <c r="D1981">
        <v>4.3315970000000004</v>
      </c>
      <c r="E1981">
        <v>0.4808113</v>
      </c>
      <c r="F1981" t="s">
        <v>57</v>
      </c>
      <c r="G1981">
        <v>-433.28710000000001</v>
      </c>
      <c r="H1981" s="1">
        <v>3.9294510000000004E-6</v>
      </c>
      <c r="I1981">
        <v>281.70229999999998</v>
      </c>
      <c r="J1981">
        <v>-397.66919999999999</v>
      </c>
      <c r="K1981">
        <v>1.1081620000000001</v>
      </c>
      <c r="L1981">
        <v>282.55689999999998</v>
      </c>
      <c r="M1981">
        <v>-0.99992990000000004</v>
      </c>
      <c r="N1981">
        <v>0</v>
      </c>
      <c r="O1981">
        <v>-1.1811189999999999E-2</v>
      </c>
      <c r="P1981">
        <v>-0.997525</v>
      </c>
      <c r="Q1981">
        <v>6.3340160000000006E-2</v>
      </c>
      <c r="R1981">
        <v>3.0527390000000001E-2</v>
      </c>
      <c r="S1981">
        <v>-3.015015</v>
      </c>
      <c r="T1981">
        <v>-9.2905760000000004E-2</v>
      </c>
      <c r="U1981">
        <v>-7.1990970000000001E-2</v>
      </c>
      <c r="V1981">
        <v>4.2309649999999997E-2</v>
      </c>
      <c r="W1981">
        <v>6.4216079999999995E-2</v>
      </c>
      <c r="X1981">
        <v>0.99703869999999895</v>
      </c>
      <c r="Y1981">
        <v>-1.206107E-2</v>
      </c>
      <c r="Z1981">
        <v>1.780408E-4</v>
      </c>
      <c r="AA1981">
        <v>0.99992720000000002</v>
      </c>
      <c r="AB1981">
        <v>35</v>
      </c>
      <c r="AC1981">
        <v>-35.617899999999999</v>
      </c>
      <c r="AD1981">
        <v>-1.108158070549</v>
      </c>
      <c r="AE1981">
        <v>-0.85460000000000402</v>
      </c>
      <c r="AF1981">
        <v>-0.43343114641199099</v>
      </c>
      <c r="AG1981">
        <v>-1.108158070549</v>
      </c>
      <c r="AH1981">
        <v>35.591077671693903</v>
      </c>
      <c r="AI1981">
        <v>91.783243890717202</v>
      </c>
      <c r="AJ1981">
        <v>90.697718345969093</v>
      </c>
      <c r="AK1981">
        <v>35.610963012821699</v>
      </c>
      <c r="AL1981">
        <v>86.318156167819893</v>
      </c>
      <c r="AM1981">
        <v>87.570093479379594</v>
      </c>
      <c r="AN1981">
        <v>0.99999999035568898</v>
      </c>
    </row>
    <row r="1982" spans="1:40" x14ac:dyDescent="0.25">
      <c r="A1982" t="str">
        <f>"20190312154548580"</f>
        <v>20190312154548580</v>
      </c>
      <c r="B1982" t="str">
        <f>"1552376748568852"</f>
        <v>1552376748568852</v>
      </c>
      <c r="C1982" t="s">
        <v>40</v>
      </c>
      <c r="D1982">
        <v>4.3186400000000003</v>
      </c>
      <c r="E1982">
        <v>0.48066179999999997</v>
      </c>
      <c r="F1982" t="s">
        <v>57</v>
      </c>
      <c r="G1982">
        <v>-437.79640000000001</v>
      </c>
      <c r="H1982" s="1">
        <v>5.9395090000000001E-6</v>
      </c>
      <c r="I1982">
        <v>281.58370000000002</v>
      </c>
      <c r="J1982">
        <v>-398.01409999999998</v>
      </c>
      <c r="K1982">
        <v>1.108179</v>
      </c>
      <c r="L1982">
        <v>282.55279999999999</v>
      </c>
      <c r="M1982">
        <v>-0.99992979999999998</v>
      </c>
      <c r="N1982">
        <v>0</v>
      </c>
      <c r="O1982">
        <v>-1.1812410000000001E-2</v>
      </c>
      <c r="P1982">
        <v>-0.99736170000000002</v>
      </c>
      <c r="Q1982">
        <v>6.5785469999999999E-2</v>
      </c>
      <c r="R1982">
        <v>3.0696729999999998E-2</v>
      </c>
      <c r="S1982">
        <v>-3.0149840000000001</v>
      </c>
      <c r="T1982">
        <v>-8.3261970000000005E-2</v>
      </c>
      <c r="U1982">
        <v>-7.3120119999999997E-2</v>
      </c>
      <c r="V1982">
        <v>4.2478429999999998E-2</v>
      </c>
      <c r="W1982">
        <v>6.6726489999999999E-2</v>
      </c>
      <c r="X1982">
        <v>0.99686660000000005</v>
      </c>
      <c r="Y1982">
        <v>-1.2434239999999999E-2</v>
      </c>
      <c r="Z1982">
        <v>1.544506E-4</v>
      </c>
      <c r="AA1982">
        <v>0.99992270000000005</v>
      </c>
      <c r="AB1982">
        <v>35</v>
      </c>
      <c r="AC1982">
        <v>-39.782299999999999</v>
      </c>
      <c r="AD1982">
        <v>-1.1081730604910001</v>
      </c>
      <c r="AE1982">
        <v>-0.96909999999996899</v>
      </c>
      <c r="AF1982">
        <v>-0.49872059174293898</v>
      </c>
      <c r="AG1982">
        <v>-1.1081730604910001</v>
      </c>
      <c r="AH1982">
        <v>39.760138139625397</v>
      </c>
      <c r="AI1982">
        <v>91.596378146908407</v>
      </c>
      <c r="AJ1982">
        <v>90.718636503037402</v>
      </c>
      <c r="AK1982">
        <v>39.778704788400503</v>
      </c>
      <c r="AL1982">
        <v>86.1740107280648</v>
      </c>
      <c r="AM1982">
        <v>87.559991215769799</v>
      </c>
      <c r="AN1982">
        <v>0.99999992983927</v>
      </c>
    </row>
    <row r="1983" spans="1:40" x14ac:dyDescent="0.25">
      <c r="A1983" t="str">
        <f>"20190312154548603"</f>
        <v>20190312154548603</v>
      </c>
      <c r="B1983" t="str">
        <f>"1552376748588701"</f>
        <v>1552376748588701</v>
      </c>
      <c r="C1983" t="s">
        <v>40</v>
      </c>
      <c r="D1983">
        <v>4.3079900000000002</v>
      </c>
      <c r="E1983">
        <v>0.4805162</v>
      </c>
      <c r="F1983" t="s">
        <v>54</v>
      </c>
      <c r="G1983">
        <v>-444.23880000000003</v>
      </c>
      <c r="H1983" s="1">
        <v>8.5834079999999999E-7</v>
      </c>
      <c r="I1983">
        <v>281.42570000000001</v>
      </c>
      <c r="J1983">
        <v>-398.37</v>
      </c>
      <c r="K1983">
        <v>1.108204</v>
      </c>
      <c r="L1983">
        <v>282.54860000000002</v>
      </c>
      <c r="M1983">
        <v>-0.99992979999999998</v>
      </c>
      <c r="N1983">
        <v>0</v>
      </c>
      <c r="O1983">
        <v>-1.181364E-2</v>
      </c>
      <c r="P1983">
        <v>-0.99715330000000002</v>
      </c>
      <c r="Q1983">
        <v>6.9029960000000001E-2</v>
      </c>
      <c r="R1983">
        <v>3.0334320000000001E-2</v>
      </c>
      <c r="S1983">
        <v>-3.0149539999999999</v>
      </c>
      <c r="T1983">
        <v>-7.2279689999999994E-2</v>
      </c>
      <c r="U1983">
        <v>-7.3516849999999995E-2</v>
      </c>
      <c r="V1983">
        <v>4.211467E-2</v>
      </c>
      <c r="W1983">
        <v>7.0041779999999998E-2</v>
      </c>
      <c r="X1983">
        <v>0.99665459999999995</v>
      </c>
      <c r="Y1983">
        <v>-1.2564779999999999E-2</v>
      </c>
      <c r="Z1983">
        <v>1.3255100000000001E-4</v>
      </c>
      <c r="AA1983">
        <v>0.99992099999999995</v>
      </c>
      <c r="AB1983">
        <v>35</v>
      </c>
      <c r="AC1983">
        <v>-45.8688</v>
      </c>
      <c r="AD1983">
        <v>-1.1082031416592</v>
      </c>
      <c r="AE1983">
        <v>-1.12290000000001</v>
      </c>
      <c r="AF1983">
        <v>-0.58060521650782904</v>
      </c>
      <c r="AG1983">
        <v>-1.1082031416592</v>
      </c>
      <c r="AH1983">
        <v>45.852115923794798</v>
      </c>
      <c r="AI1983">
        <v>91.384405399358499</v>
      </c>
      <c r="AJ1983">
        <v>90.725472532640694</v>
      </c>
      <c r="AK1983">
        <v>45.869180844110701</v>
      </c>
      <c r="AL1983">
        <v>85.983612849119396</v>
      </c>
      <c r="AM1983">
        <v>87.580347101016301</v>
      </c>
      <c r="AN1983">
        <v>0.99999994403796699</v>
      </c>
    </row>
    <row r="1984" spans="1:40" x14ac:dyDescent="0.25">
      <c r="A1984" t="str">
        <f>"20190312154548625"</f>
        <v>20190312154548625</v>
      </c>
      <c r="B1984" t="str">
        <f>"1552376748618957"</f>
        <v>1552376748618957</v>
      </c>
      <c r="C1984" t="s">
        <v>40</v>
      </c>
      <c r="D1984">
        <v>4.2726889999999997</v>
      </c>
      <c r="E1984">
        <v>0.48018159999999999</v>
      </c>
      <c r="F1984" t="s">
        <v>54</v>
      </c>
      <c r="G1984">
        <v>-455.45</v>
      </c>
      <c r="H1984" s="1">
        <v>1.5165400000000001E-6</v>
      </c>
      <c r="I1984">
        <v>281.11340000000001</v>
      </c>
      <c r="J1984">
        <v>-398.72809999999998</v>
      </c>
      <c r="K1984">
        <v>1.108223</v>
      </c>
      <c r="L1984">
        <v>282.54430000000002</v>
      </c>
      <c r="M1984">
        <v>-0.99992970000000003</v>
      </c>
      <c r="N1984">
        <v>0</v>
      </c>
      <c r="O1984">
        <v>-1.1814750000000001E-2</v>
      </c>
      <c r="P1984">
        <v>-0.99688869999999896</v>
      </c>
      <c r="Q1984">
        <v>7.2952699999999995E-2</v>
      </c>
      <c r="R1984">
        <v>2.98461E-2</v>
      </c>
      <c r="S1984">
        <v>-3.0148929999999998</v>
      </c>
      <c r="T1984">
        <v>-5.8533790000000002E-2</v>
      </c>
      <c r="U1984">
        <v>-7.5805659999999997E-2</v>
      </c>
      <c r="V1984">
        <v>4.1624599999999998E-2</v>
      </c>
      <c r="W1984">
        <v>7.4040129999999996E-2</v>
      </c>
      <c r="X1984">
        <v>0.9963862</v>
      </c>
      <c r="Y1984">
        <v>-1.332273E-2</v>
      </c>
      <c r="Z1984">
        <v>1.000147E-4</v>
      </c>
      <c r="AA1984">
        <v>0.9999112</v>
      </c>
      <c r="AB1984">
        <v>35</v>
      </c>
      <c r="AC1984">
        <v>-56.721899999999998</v>
      </c>
      <c r="AD1984">
        <v>-1.1082214834599999</v>
      </c>
      <c r="AE1984">
        <v>-1.4309000000000001</v>
      </c>
      <c r="AF1984">
        <v>-0.76035466013929698</v>
      </c>
      <c r="AG1984">
        <v>-1.1082214834599999</v>
      </c>
      <c r="AH1984">
        <v>56.713211603156203</v>
      </c>
      <c r="AI1984">
        <v>91.119362282842204</v>
      </c>
      <c r="AJ1984">
        <v>90.768119134194507</v>
      </c>
      <c r="AK1984">
        <v>56.729134176452597</v>
      </c>
      <c r="AL1984">
        <v>85.753927557152807</v>
      </c>
      <c r="AM1984">
        <v>87.607827193472204</v>
      </c>
      <c r="AN1984">
        <v>1.0000000038629999</v>
      </c>
    </row>
    <row r="1985" spans="1:40" x14ac:dyDescent="0.25">
      <c r="A1985" t="str">
        <f>"20190312154548648"</f>
        <v>20190312154548648</v>
      </c>
      <c r="B1985" t="str">
        <f>"1552376748638477"</f>
        <v>1552376748638477</v>
      </c>
      <c r="C1985" t="s">
        <v>40</v>
      </c>
      <c r="D1985">
        <v>4.2727890000000004</v>
      </c>
      <c r="E1985">
        <v>0.47998619999999997</v>
      </c>
      <c r="F1985" t="s">
        <v>53</v>
      </c>
      <c r="G1985">
        <v>-478.17079999999999</v>
      </c>
      <c r="H1985" s="1">
        <v>2.6260010000000002E-6</v>
      </c>
      <c r="I1985">
        <v>280.44470000000001</v>
      </c>
      <c r="J1985">
        <v>-399.09620000000001</v>
      </c>
      <c r="K1985">
        <v>1.1082369999999999</v>
      </c>
      <c r="L1985">
        <v>282.54000000000002</v>
      </c>
      <c r="M1985">
        <v>-0.99992970000000003</v>
      </c>
      <c r="N1985">
        <v>0</v>
      </c>
      <c r="O1985">
        <v>-1.1815869999999999E-2</v>
      </c>
      <c r="P1985">
        <v>-0.99677729999999998</v>
      </c>
      <c r="Q1985">
        <v>7.465231E-2</v>
      </c>
      <c r="R1985">
        <v>2.936571E-2</v>
      </c>
      <c r="S1985">
        <v>-3.0148320000000002</v>
      </c>
      <c r="T1985">
        <v>-4.2056679999999999E-2</v>
      </c>
      <c r="U1985">
        <v>-7.9681399999999999E-2</v>
      </c>
      <c r="V1985">
        <v>4.1144210000000001E-2</v>
      </c>
      <c r="W1985">
        <v>7.5822290000000001E-2</v>
      </c>
      <c r="X1985">
        <v>0.99627209999999999</v>
      </c>
      <c r="Y1985">
        <v>-1.460671E-2</v>
      </c>
      <c r="Z1985" s="1">
        <v>6.292599E-5</v>
      </c>
      <c r="AA1985">
        <v>0.99989329999999998</v>
      </c>
      <c r="AB1985">
        <v>36</v>
      </c>
      <c r="AC1985">
        <v>-79.074599999999904</v>
      </c>
      <c r="AD1985">
        <v>-1.1082343739989999</v>
      </c>
      <c r="AE1985">
        <v>-2.0952999999999999</v>
      </c>
      <c r="AF1985">
        <v>-1.16059027042914</v>
      </c>
      <c r="AG1985">
        <v>-1.1082343739989999</v>
      </c>
      <c r="AH1985">
        <v>79.078315824548</v>
      </c>
      <c r="AI1985">
        <v>90.802826400662497</v>
      </c>
      <c r="AJ1985">
        <v>90.840839232770406</v>
      </c>
      <c r="AK1985">
        <v>79.094596445335497</v>
      </c>
      <c r="AL1985">
        <v>85.651529328363196</v>
      </c>
      <c r="AM1985">
        <v>87.635133265311097</v>
      </c>
      <c r="AN1985">
        <v>0.99999998145788804</v>
      </c>
    </row>
    <row r="1986" spans="1:40" x14ac:dyDescent="0.25">
      <c r="A1986" t="str">
        <f>"20190312154548670"</f>
        <v>20190312154548670</v>
      </c>
      <c r="B1986" t="str">
        <f>"1552376748658973"</f>
        <v>1552376748658973</v>
      </c>
      <c r="C1986" t="s">
        <v>40</v>
      </c>
      <c r="D1986">
        <v>4.2831440000000001</v>
      </c>
      <c r="E1986">
        <v>0.47986839999999997</v>
      </c>
      <c r="F1986" t="s">
        <v>53</v>
      </c>
      <c r="G1986">
        <v>-499.95780000000002</v>
      </c>
      <c r="H1986">
        <v>1.9744589999999999E-2</v>
      </c>
      <c r="I1986">
        <v>279.77600000000001</v>
      </c>
      <c r="J1986">
        <v>-399.4495</v>
      </c>
      <c r="K1986">
        <v>1.1082459999999901</v>
      </c>
      <c r="L1986">
        <v>282.53579999999999</v>
      </c>
      <c r="M1986">
        <v>-0.99992939999999997</v>
      </c>
      <c r="N1986">
        <v>0</v>
      </c>
      <c r="O1986">
        <v>-1.1816750000000001E-2</v>
      </c>
      <c r="P1986">
        <v>-0.99682139999999997</v>
      </c>
      <c r="Q1986">
        <v>7.4144059999999998E-2</v>
      </c>
      <c r="R1986">
        <v>2.9153499999999999E-2</v>
      </c>
      <c r="S1986">
        <v>-3.0145569999999999</v>
      </c>
      <c r="T1986">
        <v>-3.2532930000000002E-2</v>
      </c>
      <c r="U1986">
        <v>-8.2611080000000003E-2</v>
      </c>
      <c r="V1986">
        <v>4.0933530000000003E-2</v>
      </c>
      <c r="W1986">
        <v>7.5397229999999996E-2</v>
      </c>
      <c r="X1986">
        <v>0.996313</v>
      </c>
      <c r="Y1986">
        <v>-1.5579320000000001E-2</v>
      </c>
      <c r="Z1986" s="1">
        <v>4.3443460000000002E-5</v>
      </c>
      <c r="AA1986">
        <v>0.99987859999999995</v>
      </c>
      <c r="AB1986">
        <v>36</v>
      </c>
      <c r="AC1986">
        <v>-100.50830000000001</v>
      </c>
      <c r="AD1986">
        <v>-1.0885014099999999</v>
      </c>
      <c r="AE1986">
        <v>-2.7597999999999798</v>
      </c>
      <c r="AF1986">
        <v>-1.57174072207711</v>
      </c>
      <c r="AG1986">
        <v>-1.0885014099999999</v>
      </c>
      <c r="AH1986">
        <v>100.52211319861701</v>
      </c>
      <c r="AI1986">
        <v>90.620325976524995</v>
      </c>
      <c r="AJ1986">
        <v>90.895790680731594</v>
      </c>
      <c r="AK1986">
        <v>100.54029264992499</v>
      </c>
      <c r="AL1986">
        <v>85.675953229632697</v>
      </c>
      <c r="AM1986">
        <v>87.647325459932105</v>
      </c>
      <c r="AN1986">
        <v>0.99999994506946499</v>
      </c>
    </row>
    <row r="1987" spans="1:40" x14ac:dyDescent="0.25">
      <c r="A1987" t="str">
        <f>"20190312154548693"</f>
        <v>20190312154548693</v>
      </c>
      <c r="B1987" t="str">
        <f>"1552376748678494"</f>
        <v>1552376748678494</v>
      </c>
      <c r="C1987" t="s">
        <v>40</v>
      </c>
      <c r="D1987">
        <v>4.2145619999999999</v>
      </c>
      <c r="E1987">
        <v>0.45830219999999999</v>
      </c>
      <c r="F1987" t="s">
        <v>53</v>
      </c>
      <c r="G1987">
        <v>-499.96679999999998</v>
      </c>
      <c r="H1987">
        <v>5.9008529999999997E-2</v>
      </c>
      <c r="I1987">
        <v>279.72710000000001</v>
      </c>
      <c r="J1987">
        <v>-399.81889999999999</v>
      </c>
      <c r="K1987">
        <v>1.108249</v>
      </c>
      <c r="L1987">
        <v>282.53140000000002</v>
      </c>
      <c r="M1987">
        <v>-0.99992930000000002</v>
      </c>
      <c r="N1987">
        <v>0</v>
      </c>
      <c r="O1987">
        <v>-1.1817879999999999E-2</v>
      </c>
      <c r="P1987">
        <v>-0.99678639999999996</v>
      </c>
      <c r="Q1987">
        <v>7.420388E-2</v>
      </c>
      <c r="R1987">
        <v>3.0185449999999999E-2</v>
      </c>
      <c r="S1987">
        <v>-3.0143430000000002</v>
      </c>
      <c r="T1987">
        <v>-3.1464819999999998E-2</v>
      </c>
      <c r="U1987">
        <v>-8.4228520000000001E-2</v>
      </c>
      <c r="V1987">
        <v>4.1965969999999998E-2</v>
      </c>
      <c r="W1987">
        <v>7.554843E-2</v>
      </c>
      <c r="X1987">
        <v>0.99625870000000005</v>
      </c>
      <c r="Y1987">
        <v>-1.6116209999999999E-2</v>
      </c>
      <c r="Z1987" s="1">
        <v>3.923006E-5</v>
      </c>
      <c r="AA1987">
        <v>0.99987009999999998</v>
      </c>
      <c r="AB1987">
        <v>36</v>
      </c>
      <c r="AC1987">
        <v>-100.14790000000001</v>
      </c>
      <c r="AD1987">
        <v>-1.04924047</v>
      </c>
      <c r="AE1987">
        <v>-2.8043000000000098</v>
      </c>
      <c r="AF1987">
        <v>-1.6203895518001801</v>
      </c>
      <c r="AG1987">
        <v>-1.04924047</v>
      </c>
      <c r="AH1987">
        <v>100.16306136326099</v>
      </c>
      <c r="AI1987">
        <v>90.6000913585451</v>
      </c>
      <c r="AJ1987">
        <v>90.926822555630494</v>
      </c>
      <c r="AK1987">
        <v>100.18166214195</v>
      </c>
      <c r="AL1987">
        <v>85.6672657950363</v>
      </c>
      <c r="AM1987">
        <v>87.587923382922895</v>
      </c>
      <c r="AN1987">
        <v>1.00000005261959</v>
      </c>
    </row>
    <row r="1988" spans="1:40" x14ac:dyDescent="0.25">
      <c r="A1988" t="str">
        <f>"20190312154548715"</f>
        <v>20190312154548715</v>
      </c>
      <c r="B1988" t="str">
        <f>"1552376748708751"</f>
        <v>1552376748708751</v>
      </c>
      <c r="C1988" t="s">
        <v>40</v>
      </c>
      <c r="D1988">
        <v>4.1585570000000001</v>
      </c>
      <c r="E1988">
        <v>0.45680690000000002</v>
      </c>
      <c r="F1988" t="s">
        <v>58</v>
      </c>
      <c r="G1988">
        <v>-512.82579999999996</v>
      </c>
      <c r="H1988">
        <v>1.94058</v>
      </c>
      <c r="I1988">
        <v>273.1354</v>
      </c>
      <c r="J1988">
        <v>-400.18450000000001</v>
      </c>
      <c r="K1988">
        <v>1.108255</v>
      </c>
      <c r="L1988">
        <v>282.52719999999999</v>
      </c>
      <c r="M1988">
        <v>-0.99992919999999996</v>
      </c>
      <c r="N1988">
        <v>0</v>
      </c>
      <c r="O1988">
        <v>-1.1818779999999999E-2</v>
      </c>
      <c r="P1988">
        <v>-0.99683699999999997</v>
      </c>
      <c r="Q1988">
        <v>7.3048909999999995E-2</v>
      </c>
      <c r="R1988">
        <v>3.1306430000000003E-2</v>
      </c>
      <c r="S1988">
        <v>-3.0155940000000001</v>
      </c>
      <c r="T1988">
        <v>2.2212860000000001E-2</v>
      </c>
      <c r="U1988">
        <v>-0.25073240000000002</v>
      </c>
      <c r="V1988">
        <v>4.3088399999999999E-2</v>
      </c>
      <c r="W1988">
        <v>7.4493299999999998E-2</v>
      </c>
      <c r="X1988">
        <v>0.99629020000000001</v>
      </c>
      <c r="Y1988">
        <v>-7.1073819999999996E-2</v>
      </c>
      <c r="Z1988">
        <v>1.744165E-4</v>
      </c>
      <c r="AA1988">
        <v>0.997471</v>
      </c>
      <c r="AB1988">
        <v>36</v>
      </c>
      <c r="AC1988">
        <v>-112.64129999999901</v>
      </c>
      <c r="AD1988">
        <v>0.83232499999999998</v>
      </c>
      <c r="AE1988">
        <v>-9.3917999999999893</v>
      </c>
      <c r="AF1988">
        <v>-8.0594230154708395</v>
      </c>
      <c r="AG1988">
        <v>0.83232499999999998</v>
      </c>
      <c r="AH1988">
        <v>112.738319379256</v>
      </c>
      <c r="AI1988">
        <v>89.578080831326702</v>
      </c>
      <c r="AJ1988">
        <v>94.088997428867501</v>
      </c>
      <c r="AK1988">
        <v>113.02909236434201</v>
      </c>
      <c r="AL1988">
        <v>85.727890962296399</v>
      </c>
      <c r="AM1988">
        <v>87.523566993370395</v>
      </c>
      <c r="AN1988">
        <v>1.0000000122877399</v>
      </c>
    </row>
    <row r="1989" spans="1:40" x14ac:dyDescent="0.25">
      <c r="A1989" t="str">
        <f>"20190312154548738"</f>
        <v>20190312154548738</v>
      </c>
      <c r="B1989" t="str">
        <f>"1552376748728269"</f>
        <v>1552376748728269</v>
      </c>
      <c r="C1989" t="s">
        <v>40</v>
      </c>
      <c r="D1989">
        <v>4.166938</v>
      </c>
      <c r="E1989">
        <v>0.45651009999999997</v>
      </c>
      <c r="F1989" t="s">
        <v>58</v>
      </c>
      <c r="G1989">
        <v>-512.82550000000003</v>
      </c>
      <c r="H1989">
        <v>1.1244620000000001</v>
      </c>
      <c r="I1989">
        <v>272.82499999999999</v>
      </c>
      <c r="J1989">
        <v>-400.55070000000001</v>
      </c>
      <c r="K1989">
        <v>1.1082689999999999</v>
      </c>
      <c r="L1989">
        <v>282.52280000000002</v>
      </c>
      <c r="M1989">
        <v>-0.99992899999999996</v>
      </c>
      <c r="N1989">
        <v>0</v>
      </c>
      <c r="O1989">
        <v>-1.1819700000000001E-2</v>
      </c>
      <c r="P1989">
        <v>-0.99677930000000003</v>
      </c>
      <c r="Q1989">
        <v>7.3109140000000003E-2</v>
      </c>
      <c r="R1989">
        <v>3.2956640000000002E-2</v>
      </c>
      <c r="S1989">
        <v>-3.017639</v>
      </c>
      <c r="T1989">
        <v>4.3630600000000002E-4</v>
      </c>
      <c r="U1989">
        <v>-0.25991819999999999</v>
      </c>
      <c r="V1989">
        <v>4.4738710000000001E-2</v>
      </c>
      <c r="W1989">
        <v>7.4667339999999999E-2</v>
      </c>
      <c r="X1989">
        <v>0.99620439999999999</v>
      </c>
      <c r="Y1989">
        <v>-7.4033119999999994E-2</v>
      </c>
      <c r="Z1989" s="1">
        <v>3.636605E-6</v>
      </c>
      <c r="AA1989">
        <v>0.99725580000000003</v>
      </c>
      <c r="AB1989">
        <v>36</v>
      </c>
      <c r="AC1989">
        <v>-112.2748</v>
      </c>
      <c r="AD1989">
        <v>1.61930000000001E-2</v>
      </c>
      <c r="AE1989">
        <v>-9.6978000000000293</v>
      </c>
      <c r="AF1989">
        <v>-8.3700664120920596</v>
      </c>
      <c r="AG1989">
        <v>1.61930000000001E-2</v>
      </c>
      <c r="AH1989">
        <v>112.38157991286</v>
      </c>
      <c r="AI1989">
        <v>89.991767085621802</v>
      </c>
      <c r="AJ1989">
        <v>94.259467402012007</v>
      </c>
      <c r="AK1989">
        <v>112.692847056353</v>
      </c>
      <c r="AL1989">
        <v>85.717891239957595</v>
      </c>
      <c r="AM1989">
        <v>87.428622007492095</v>
      </c>
      <c r="AN1989">
        <v>0.99999998520724898</v>
      </c>
    </row>
    <row r="1990" spans="1:40" x14ac:dyDescent="0.25">
      <c r="A1990" t="str">
        <f>"20190312154548760"</f>
        <v>20190312154548760</v>
      </c>
      <c r="B1990" t="str">
        <f>"1552376748748765"</f>
        <v>1552376748748765</v>
      </c>
      <c r="C1990" t="s">
        <v>40</v>
      </c>
      <c r="D1990">
        <v>4.1864299999999997</v>
      </c>
      <c r="E1990">
        <v>0.45610279999999997</v>
      </c>
      <c r="F1990" t="s">
        <v>58</v>
      </c>
      <c r="G1990">
        <v>-512.82539999999995</v>
      </c>
      <c r="H1990">
        <v>0.80609569999999997</v>
      </c>
      <c r="I1990">
        <v>272.9479</v>
      </c>
      <c r="J1990">
        <v>-400.91609999999997</v>
      </c>
      <c r="K1990">
        <v>1.1082780000000001</v>
      </c>
      <c r="L1990">
        <v>282.51850000000002</v>
      </c>
      <c r="M1990">
        <v>-0.99992879999999995</v>
      </c>
      <c r="N1990">
        <v>0</v>
      </c>
      <c r="O1990">
        <v>-1.182076E-2</v>
      </c>
      <c r="P1990">
        <v>-0.99663420000000003</v>
      </c>
      <c r="Q1990">
        <v>7.4472999999999998E-2</v>
      </c>
      <c r="R1990">
        <v>3.4269470000000003E-2</v>
      </c>
      <c r="S1990">
        <v>-3.018799</v>
      </c>
      <c r="T1990">
        <v>-8.1225629999999993E-3</v>
      </c>
      <c r="U1990">
        <v>-0.25744630000000002</v>
      </c>
      <c r="V1990">
        <v>4.6051000000000002E-2</v>
      </c>
      <c r="W1990">
        <v>7.6165590000000005E-2</v>
      </c>
      <c r="X1990">
        <v>0.99603120000000001</v>
      </c>
      <c r="Y1990">
        <v>-7.3188429999999999E-2</v>
      </c>
      <c r="Z1990" s="1">
        <v>-6.6540579999999996E-5</v>
      </c>
      <c r="AA1990">
        <v>0.99731809999999999</v>
      </c>
      <c r="AB1990">
        <v>37</v>
      </c>
      <c r="AC1990">
        <v>-111.90929999999901</v>
      </c>
      <c r="AD1990">
        <v>-0.30218230000000001</v>
      </c>
      <c r="AE1990">
        <v>-9.5706000000000095</v>
      </c>
      <c r="AF1990">
        <v>-8.24701688867553</v>
      </c>
      <c r="AG1990">
        <v>-0.30218230000000001</v>
      </c>
      <c r="AH1990">
        <v>112.01380226108699</v>
      </c>
      <c r="AI1990">
        <v>90.154150582068993</v>
      </c>
      <c r="AJ1990">
        <v>94.210804669257797</v>
      </c>
      <c r="AK1990">
        <v>112.31739179081001</v>
      </c>
      <c r="AL1990">
        <v>85.631802818144294</v>
      </c>
      <c r="AM1990">
        <v>87.352843680227707</v>
      </c>
      <c r="AN1990">
        <v>1.00000002153724</v>
      </c>
    </row>
    <row r="1991" spans="1:40" x14ac:dyDescent="0.25">
      <c r="A1991" t="str">
        <f>"20190312154548782"</f>
        <v>20190312154548782</v>
      </c>
      <c r="B1991" t="str">
        <f>"1552376748768286"</f>
        <v>1552376748768286</v>
      </c>
      <c r="C1991" t="s">
        <v>40</v>
      </c>
      <c r="D1991">
        <v>4.1838100000000003</v>
      </c>
      <c r="E1991">
        <v>0.455729</v>
      </c>
      <c r="F1991" t="s">
        <v>58</v>
      </c>
      <c r="G1991">
        <v>-512.82539999999995</v>
      </c>
      <c r="H1991">
        <v>0.8405994</v>
      </c>
      <c r="I1991">
        <v>273.00069999999999</v>
      </c>
      <c r="J1991">
        <v>-401.27839999999998</v>
      </c>
      <c r="K1991">
        <v>1.1083149999999999</v>
      </c>
      <c r="L1991">
        <v>282.51420000000002</v>
      </c>
      <c r="M1991">
        <v>-0.99992829999999999</v>
      </c>
      <c r="N1991">
        <v>0</v>
      </c>
      <c r="O1991">
        <v>-1.182162E-2</v>
      </c>
      <c r="P1991">
        <v>-0.99643919999999997</v>
      </c>
      <c r="Q1991">
        <v>7.6295340000000003E-2</v>
      </c>
      <c r="R1991">
        <v>3.5891609999999997E-2</v>
      </c>
      <c r="S1991">
        <v>-3.019501</v>
      </c>
      <c r="T1991">
        <v>-7.2202680000000002E-3</v>
      </c>
      <c r="U1991">
        <v>-0.25680540000000002</v>
      </c>
      <c r="V1991">
        <v>4.767163E-2</v>
      </c>
      <c r="W1991">
        <v>7.8148540000000002E-2</v>
      </c>
      <c r="X1991">
        <v>0.9958013</v>
      </c>
      <c r="Y1991">
        <v>-7.2957839999999996E-2</v>
      </c>
      <c r="Z1991" s="1">
        <v>-5.885852E-5</v>
      </c>
      <c r="AA1991">
        <v>0.99733499999999997</v>
      </c>
      <c r="AB1991">
        <v>37</v>
      </c>
      <c r="AC1991">
        <v>-111.546999999999</v>
      </c>
      <c r="AD1991">
        <v>-0.267715599999999</v>
      </c>
      <c r="AE1991">
        <v>-9.5135000000000201</v>
      </c>
      <c r="AF1991">
        <v>-8.1941197080730195</v>
      </c>
      <c r="AG1991">
        <v>-0.267715599999999</v>
      </c>
      <c r="AH1991">
        <v>111.651032021223</v>
      </c>
      <c r="AI1991">
        <v>90.137014424385896</v>
      </c>
      <c r="AJ1991">
        <v>94.19743792877</v>
      </c>
      <c r="AK1991">
        <v>111.95163339959301</v>
      </c>
      <c r="AL1991">
        <v>85.517848352417403</v>
      </c>
      <c r="AM1991">
        <v>87.259192690958301</v>
      </c>
      <c r="AN1991">
        <v>1.0000000038463299</v>
      </c>
    </row>
    <row r="1992" spans="1:40" x14ac:dyDescent="0.25">
      <c r="A1992" t="str">
        <f>"20190312154548805"</f>
        <v>20190312154548805</v>
      </c>
      <c r="B1992" t="str">
        <f>"1552376748799050"</f>
        <v>1552376748799050</v>
      </c>
      <c r="C1992" t="s">
        <v>40</v>
      </c>
      <c r="D1992">
        <v>4.1550449999999897</v>
      </c>
      <c r="E1992">
        <v>0.4552697</v>
      </c>
      <c r="F1992" t="s">
        <v>58</v>
      </c>
      <c r="G1992">
        <v>-512.82539999999995</v>
      </c>
      <c r="H1992">
        <v>0.93632349999999998</v>
      </c>
      <c r="I1992">
        <v>273.10730000000001</v>
      </c>
      <c r="J1992">
        <v>-401.66109999999998</v>
      </c>
      <c r="K1992">
        <v>1.1083670000000001</v>
      </c>
      <c r="L1992">
        <v>282.50970000000001</v>
      </c>
      <c r="M1992">
        <v>-0.99992809999999999</v>
      </c>
      <c r="N1992">
        <v>0</v>
      </c>
      <c r="O1992">
        <v>-1.1822650000000001E-2</v>
      </c>
      <c r="P1992">
        <v>-0.99590719999999999</v>
      </c>
      <c r="Q1992">
        <v>8.2272120000000004E-2</v>
      </c>
      <c r="R1992">
        <v>3.7421679999999999E-2</v>
      </c>
      <c r="S1992">
        <v>-3.0202330000000002</v>
      </c>
      <c r="T1992">
        <v>-4.6546460000000001E-3</v>
      </c>
      <c r="U1992">
        <v>-0.25469969999999997</v>
      </c>
      <c r="V1992">
        <v>4.9196440000000001E-2</v>
      </c>
      <c r="W1992">
        <v>8.4327390000000002E-2</v>
      </c>
      <c r="X1992">
        <v>0.99522290000000002</v>
      </c>
      <c r="Y1992">
        <v>-7.2246069999999996E-2</v>
      </c>
      <c r="Z1992" s="1">
        <v>-3.7386820000000001E-5</v>
      </c>
      <c r="AA1992">
        <v>0.99738680000000002</v>
      </c>
      <c r="AB1992">
        <v>37</v>
      </c>
      <c r="AC1992">
        <v>-111.164299999999</v>
      </c>
      <c r="AD1992">
        <v>-0.17204349999999999</v>
      </c>
      <c r="AE1992">
        <v>-9.4024000000000001</v>
      </c>
      <c r="AF1992">
        <v>-8.08746437732351</v>
      </c>
      <c r="AG1992">
        <v>-0.17204349999999999</v>
      </c>
      <c r="AH1992">
        <v>111.267427589905</v>
      </c>
      <c r="AI1992">
        <v>90.088358496885306</v>
      </c>
      <c r="AJ1992">
        <v>94.157228577239906</v>
      </c>
      <c r="AK1992">
        <v>111.561091431983</v>
      </c>
      <c r="AL1992">
        <v>85.162651756711298</v>
      </c>
      <c r="AM1992">
        <v>87.170025133762394</v>
      </c>
      <c r="AN1992">
        <v>1.0000000095486401</v>
      </c>
    </row>
    <row r="1993" spans="1:40" x14ac:dyDescent="0.25">
      <c r="A1993" t="str">
        <f>"20190312154548826"</f>
        <v>20190312154548826</v>
      </c>
      <c r="B1993" t="str">
        <f>"1552376748818568"</f>
        <v>1552376748818568</v>
      </c>
      <c r="C1993" t="s">
        <v>40</v>
      </c>
      <c r="D1993">
        <v>4.1408209999999999</v>
      </c>
      <c r="E1993">
        <v>0.45497379999999998</v>
      </c>
      <c r="F1993" t="s">
        <v>58</v>
      </c>
      <c r="G1993">
        <v>-512.82560000000001</v>
      </c>
      <c r="H1993">
        <v>1.4496150000000001</v>
      </c>
      <c r="I1993">
        <v>273.18819999999999</v>
      </c>
      <c r="J1993">
        <v>-402.02080000000001</v>
      </c>
      <c r="K1993">
        <v>1.1084459999999901</v>
      </c>
      <c r="L1993">
        <v>282.50549999999998</v>
      </c>
      <c r="M1993">
        <v>-0.99992760000000003</v>
      </c>
      <c r="N1993">
        <v>0</v>
      </c>
      <c r="O1993">
        <v>-1.182359E-2</v>
      </c>
      <c r="P1993">
        <v>-0.99488620000000005</v>
      </c>
      <c r="Q1993">
        <v>9.2995110000000006E-2</v>
      </c>
      <c r="R1993">
        <v>3.9417559999999997E-2</v>
      </c>
      <c r="S1993">
        <v>-3.0210880000000002</v>
      </c>
      <c r="T1993">
        <v>9.2761519999999993E-3</v>
      </c>
      <c r="U1993">
        <v>-0.25332640000000001</v>
      </c>
      <c r="V1993">
        <v>5.1181440000000002E-2</v>
      </c>
      <c r="W1993">
        <v>9.5261700000000005E-2</v>
      </c>
      <c r="X1993">
        <v>0.99413560000000001</v>
      </c>
      <c r="Y1993">
        <v>-7.1771109999999999E-2</v>
      </c>
      <c r="Z1993" s="1">
        <v>7.3756940000000001E-5</v>
      </c>
      <c r="AA1993">
        <v>0.99742109999999995</v>
      </c>
      <c r="AB1993">
        <v>37</v>
      </c>
      <c r="AC1993">
        <v>-110.8048</v>
      </c>
      <c r="AD1993">
        <v>0.341169</v>
      </c>
      <c r="AE1993">
        <v>-9.3172999999999799</v>
      </c>
      <c r="AF1993">
        <v>-8.0064595378171397</v>
      </c>
      <c r="AG1993">
        <v>0.341169</v>
      </c>
      <c r="AH1993">
        <v>110.906174754669</v>
      </c>
      <c r="AI1993">
        <v>89.824205062652695</v>
      </c>
      <c r="AJ1993">
        <v>94.129092992596497</v>
      </c>
      <c r="AK1993">
        <v>111.19532089674701</v>
      </c>
      <c r="AL1993">
        <v>84.5336173571649</v>
      </c>
      <c r="AM1993">
        <v>87.052822842284996</v>
      </c>
      <c r="AN1993">
        <v>0.99999996123736101</v>
      </c>
    </row>
    <row r="1994" spans="1:40" x14ac:dyDescent="0.25">
      <c r="A1994" t="str">
        <f>"20190312154548848"</f>
        <v>20190312154548848</v>
      </c>
      <c r="B1994" t="str">
        <f>"1552376748839064"</f>
        <v>1552376748839064</v>
      </c>
      <c r="C1994" t="s">
        <v>40</v>
      </c>
      <c r="D1994">
        <v>4.1684950000000001</v>
      </c>
      <c r="E1994">
        <v>0.45475199999999999</v>
      </c>
      <c r="F1994" t="s">
        <v>58</v>
      </c>
      <c r="G1994">
        <v>-512.82600000000002</v>
      </c>
      <c r="H1994">
        <v>2.50339</v>
      </c>
      <c r="I1994">
        <v>273.38069999999999</v>
      </c>
      <c r="J1994">
        <v>-402.40100000000001</v>
      </c>
      <c r="K1994">
        <v>1.108533</v>
      </c>
      <c r="L1994">
        <v>282.50099999999998</v>
      </c>
      <c r="M1994">
        <v>-0.99992700000000001</v>
      </c>
      <c r="N1994">
        <v>0</v>
      </c>
      <c r="O1994">
        <v>-1.1824579999999999E-2</v>
      </c>
      <c r="P1994">
        <v>-0.99317509999999998</v>
      </c>
      <c r="Q1994">
        <v>0.1086583</v>
      </c>
      <c r="R1994">
        <v>4.2386220000000002E-2</v>
      </c>
      <c r="S1994">
        <v>-3.0217589999999999</v>
      </c>
      <c r="T1994">
        <v>3.8043500000000001E-2</v>
      </c>
      <c r="U1994">
        <v>-0.24884029999999999</v>
      </c>
      <c r="V1994">
        <v>5.4131119999999998E-2</v>
      </c>
      <c r="W1994">
        <v>0.1111545</v>
      </c>
      <c r="X1994">
        <v>0.99232779999999998</v>
      </c>
      <c r="Y1994">
        <v>-7.0276619999999998E-2</v>
      </c>
      <c r="Z1994">
        <v>2.9302910000000002E-4</v>
      </c>
      <c r="AA1994">
        <v>0.99752750000000001</v>
      </c>
      <c r="AB1994">
        <v>37</v>
      </c>
      <c r="AC1994">
        <v>-110.425</v>
      </c>
      <c r="AD1994">
        <v>1.394857</v>
      </c>
      <c r="AE1994">
        <v>-9.1202999999999808</v>
      </c>
      <c r="AF1994">
        <v>-7.8126909447662296</v>
      </c>
      <c r="AG1994">
        <v>1.394857</v>
      </c>
      <c r="AH1994">
        <v>110.507610733462</v>
      </c>
      <c r="AI1994">
        <v>89.278635889404597</v>
      </c>
      <c r="AJ1994">
        <v>94.043980766259395</v>
      </c>
      <c r="AK1994">
        <v>110.792219022219</v>
      </c>
      <c r="AL1994">
        <v>83.618128179601598</v>
      </c>
      <c r="AM1994">
        <v>86.877630685198795</v>
      </c>
      <c r="AN1994">
        <v>0.99999998183777195</v>
      </c>
    </row>
    <row r="1995" spans="1:40" x14ac:dyDescent="0.25">
      <c r="A1995" t="str">
        <f>"20190312154548871"</f>
        <v>20190312154548871</v>
      </c>
      <c r="B1995" t="str">
        <f>"1552376748858585"</f>
        <v>1552376748858585</v>
      </c>
      <c r="C1995" t="s">
        <v>40</v>
      </c>
      <c r="D1995">
        <v>4.1695209999999996</v>
      </c>
      <c r="E1995">
        <v>0.45436369999999998</v>
      </c>
      <c r="F1995" t="s">
        <v>58</v>
      </c>
      <c r="G1995">
        <v>-512.82650000000001</v>
      </c>
      <c r="H1995">
        <v>4.1609889999999998</v>
      </c>
      <c r="I1995">
        <v>273.70850000000002</v>
      </c>
      <c r="J1995">
        <v>-402.76479999999998</v>
      </c>
      <c r="K1995">
        <v>1.1086240000000001</v>
      </c>
      <c r="L1995">
        <v>282.4966</v>
      </c>
      <c r="M1995">
        <v>-0.99992639999999999</v>
      </c>
      <c r="N1995">
        <v>0</v>
      </c>
      <c r="O1995">
        <v>-1.18257E-2</v>
      </c>
      <c r="P1995">
        <v>-0.99128490000000002</v>
      </c>
      <c r="Q1995">
        <v>0.123277</v>
      </c>
      <c r="R1995">
        <v>4.6446979999999999E-2</v>
      </c>
      <c r="S1995">
        <v>-3.0217290000000001</v>
      </c>
      <c r="T1995">
        <v>8.3530660000000007E-2</v>
      </c>
      <c r="U1995">
        <v>-0.2406006</v>
      </c>
      <c r="V1995">
        <v>5.8171029999999999E-2</v>
      </c>
      <c r="W1995">
        <v>0.1259931</v>
      </c>
      <c r="X1995">
        <v>0.99032410000000004</v>
      </c>
      <c r="Y1995">
        <v>-6.7557160000000005E-2</v>
      </c>
      <c r="Z1995">
        <v>6.0581950000000002E-4</v>
      </c>
      <c r="AA1995">
        <v>0.99771520000000002</v>
      </c>
      <c r="AB1995">
        <v>37</v>
      </c>
      <c r="AC1995">
        <v>-110.0617</v>
      </c>
      <c r="AD1995">
        <v>3.052365</v>
      </c>
      <c r="AE1995">
        <v>-8.7880999999999805</v>
      </c>
      <c r="AF1995">
        <v>-7.4802072374033299</v>
      </c>
      <c r="AG1995">
        <v>3.052365</v>
      </c>
      <c r="AH1995">
        <v>110.073804712532</v>
      </c>
      <c r="AI1995">
        <v>88.415238692917299</v>
      </c>
      <c r="AJ1995">
        <v>93.887631443833698</v>
      </c>
      <c r="AK1995">
        <v>110.369891348594</v>
      </c>
      <c r="AL1995">
        <v>82.761890169937502</v>
      </c>
      <c r="AM1995">
        <v>86.638343773768199</v>
      </c>
      <c r="AN1995">
        <v>0.99999997650983996</v>
      </c>
    </row>
    <row r="1996" spans="1:40" x14ac:dyDescent="0.25">
      <c r="A1996" t="str">
        <f>"20190312154548894"</f>
        <v>20190312154548894</v>
      </c>
      <c r="B1996" t="str">
        <f>"1552376748888373"</f>
        <v>1552376748888373</v>
      </c>
      <c r="C1996" t="s">
        <v>40</v>
      </c>
      <c r="D1996">
        <v>4.1625870000000003</v>
      </c>
      <c r="E1996">
        <v>0.44805099999999998</v>
      </c>
      <c r="F1996" t="s">
        <v>58</v>
      </c>
      <c r="G1996">
        <v>-511.07560000000001</v>
      </c>
      <c r="H1996">
        <v>5.5728739999999997</v>
      </c>
      <c r="I1996">
        <v>274.22910000000002</v>
      </c>
      <c r="J1996">
        <v>-403.15679999999998</v>
      </c>
      <c r="K1996">
        <v>1.108687</v>
      </c>
      <c r="L1996">
        <v>282.49200000000002</v>
      </c>
      <c r="M1996">
        <v>-0.99992570000000003</v>
      </c>
      <c r="N1996">
        <v>0</v>
      </c>
      <c r="O1996">
        <v>-1.1826639999999999E-2</v>
      </c>
      <c r="P1996">
        <v>-0.99009259999999999</v>
      </c>
      <c r="Q1996">
        <v>0.13131789999999999</v>
      </c>
      <c r="R1996">
        <v>4.9721090000000003E-2</v>
      </c>
      <c r="S1996">
        <v>-3.0216980000000002</v>
      </c>
      <c r="T1996">
        <v>0.12454750000000001</v>
      </c>
      <c r="U1996">
        <v>-0.23065189999999999</v>
      </c>
      <c r="V1996">
        <v>6.1432029999999999E-2</v>
      </c>
      <c r="W1996">
        <v>0.13427140000000001</v>
      </c>
      <c r="X1996">
        <v>0.98903859999999999</v>
      </c>
      <c r="Y1996">
        <v>-6.4268480000000003E-2</v>
      </c>
      <c r="Z1996">
        <v>8.3552500000000005E-4</v>
      </c>
      <c r="AA1996">
        <v>0.99793229999999999</v>
      </c>
      <c r="AB1996">
        <v>38</v>
      </c>
      <c r="AC1996">
        <v>-107.9188</v>
      </c>
      <c r="AD1996">
        <v>4.4641869999999999</v>
      </c>
      <c r="AE1996">
        <v>-8.2629000000000001</v>
      </c>
      <c r="AF1996">
        <v>-6.9741354395247201</v>
      </c>
      <c r="AG1996">
        <v>4.4641869999999999</v>
      </c>
      <c r="AH1996">
        <v>107.825543782748</v>
      </c>
      <c r="AI1996">
        <v>87.634135377988997</v>
      </c>
      <c r="AJ1996">
        <v>93.700725113402001</v>
      </c>
      <c r="AK1996">
        <v>108.14303224315999</v>
      </c>
      <c r="AL1996">
        <v>82.283509612825299</v>
      </c>
      <c r="AM1996">
        <v>86.445760532897694</v>
      </c>
      <c r="AN1996">
        <v>1.00000002772892</v>
      </c>
    </row>
    <row r="1997" spans="1:40" x14ac:dyDescent="0.25">
      <c r="A1997" t="str">
        <f>"20190312154548918"</f>
        <v>20190312154548918</v>
      </c>
      <c r="B1997" t="str">
        <f>"1552376748908869"</f>
        <v>1552376748908869</v>
      </c>
      <c r="C1997" t="s">
        <v>40</v>
      </c>
      <c r="D1997">
        <v>4.1395739999999996</v>
      </c>
      <c r="E1997">
        <v>0.44633529999999999</v>
      </c>
      <c r="F1997" t="s">
        <v>58</v>
      </c>
      <c r="G1997">
        <v>-512.82640000000004</v>
      </c>
      <c r="H1997">
        <v>3.8066499999999999</v>
      </c>
      <c r="I1997">
        <v>272.66030000000001</v>
      </c>
      <c r="J1997">
        <v>-403.55029999999999</v>
      </c>
      <c r="K1997">
        <v>1.1087279999999999</v>
      </c>
      <c r="L1997">
        <v>282.48739999999998</v>
      </c>
      <c r="M1997">
        <v>-0.99992499999999995</v>
      </c>
      <c r="N1997">
        <v>0</v>
      </c>
      <c r="O1997">
        <v>-1.182773E-2</v>
      </c>
      <c r="P1997">
        <v>-0.98968750000000005</v>
      </c>
      <c r="Q1997">
        <v>0.1339813</v>
      </c>
      <c r="R1997">
        <v>5.0674240000000002E-2</v>
      </c>
      <c r="S1997">
        <v>-3.0337830000000001</v>
      </c>
      <c r="T1997">
        <v>7.463562E-2</v>
      </c>
      <c r="U1997">
        <v>-0.27197270000000001</v>
      </c>
      <c r="V1997">
        <v>6.2381470000000001E-2</v>
      </c>
      <c r="W1997">
        <v>0.13717589999999999</v>
      </c>
      <c r="X1997">
        <v>0.98858049999999997</v>
      </c>
      <c r="Y1997">
        <v>-7.7483460000000004E-2</v>
      </c>
      <c r="Z1997">
        <v>6.6074259999999996E-4</v>
      </c>
      <c r="AA1997">
        <v>0.99699340000000003</v>
      </c>
      <c r="AB1997">
        <v>38</v>
      </c>
      <c r="AC1997">
        <v>-109.2761</v>
      </c>
      <c r="AD1997">
        <v>2.6979220000000002</v>
      </c>
      <c r="AE1997">
        <v>-9.8270999999999695</v>
      </c>
      <c r="AF1997">
        <v>-8.5287608648981497</v>
      </c>
      <c r="AG1997">
        <v>2.6979220000000002</v>
      </c>
      <c r="AH1997">
        <v>109.318588494338</v>
      </c>
      <c r="AI1997">
        <v>88.590540242821305</v>
      </c>
      <c r="AJ1997">
        <v>94.4610359785745</v>
      </c>
      <c r="AK1997">
        <v>109.683965716977</v>
      </c>
      <c r="AL1997">
        <v>82.115539791258996</v>
      </c>
      <c r="AM1997">
        <v>86.389305414304303</v>
      </c>
      <c r="AN1997">
        <v>1.0000000401602001</v>
      </c>
    </row>
    <row r="1998" spans="1:40" x14ac:dyDescent="0.25">
      <c r="A1998" t="str">
        <f>"20190312154548939"</f>
        <v>20190312154548939</v>
      </c>
      <c r="B1998" t="str">
        <f>"1552376748928388"</f>
        <v>1552376748928388</v>
      </c>
      <c r="C1998" t="s">
        <v>40</v>
      </c>
      <c r="D1998">
        <v>4.1803400000000002</v>
      </c>
      <c r="E1998">
        <v>0.4451792</v>
      </c>
      <c r="F1998" t="s">
        <v>58</v>
      </c>
      <c r="G1998">
        <v>-512.82640000000004</v>
      </c>
      <c r="H1998">
        <v>3.689333</v>
      </c>
      <c r="I1998">
        <v>272.31259999999997</v>
      </c>
      <c r="J1998">
        <v>-403.91329999999999</v>
      </c>
      <c r="K1998">
        <v>1.1087549999999999</v>
      </c>
      <c r="L1998">
        <v>282.48309999999998</v>
      </c>
      <c r="M1998">
        <v>-0.99992420000000004</v>
      </c>
      <c r="N1998">
        <v>0</v>
      </c>
      <c r="O1998">
        <v>-1.1828460000000001E-2</v>
      </c>
      <c r="P1998">
        <v>-0.98964209999999997</v>
      </c>
      <c r="Q1998">
        <v>0.13420070000000001</v>
      </c>
      <c r="R1998">
        <v>5.0979200000000002E-2</v>
      </c>
      <c r="S1998">
        <v>-3.0360109999999998</v>
      </c>
      <c r="T1998">
        <v>7.1698899999999996E-2</v>
      </c>
      <c r="U1998">
        <v>-0.2826843</v>
      </c>
      <c r="V1998">
        <v>6.2686610000000004E-2</v>
      </c>
      <c r="W1998">
        <v>0.1376203</v>
      </c>
      <c r="X1998">
        <v>0.98849940000000003</v>
      </c>
      <c r="Y1998">
        <v>-8.0906290000000006E-2</v>
      </c>
      <c r="Z1998">
        <v>6.7449440000000001E-4</v>
      </c>
      <c r="AA1998">
        <v>0.99672150000000004</v>
      </c>
      <c r="AB1998">
        <v>38</v>
      </c>
      <c r="AC1998">
        <v>-108.9131</v>
      </c>
      <c r="AD1998">
        <v>2.580578</v>
      </c>
      <c r="AE1998">
        <v>-10.170500000000001</v>
      </c>
      <c r="AF1998">
        <v>-8.8765664653261105</v>
      </c>
      <c r="AG1998">
        <v>2.580578</v>
      </c>
      <c r="AH1998">
        <v>108.965138161627</v>
      </c>
      <c r="AI1998">
        <v>88.647817991151598</v>
      </c>
      <c r="AJ1998">
        <v>94.657170534697002</v>
      </c>
      <c r="AK1998">
        <v>109.35654598427099</v>
      </c>
      <c r="AL1998">
        <v>82.089833516414302</v>
      </c>
      <c r="AM1998">
        <v>86.371393823157405</v>
      </c>
      <c r="AN1998">
        <v>1.0000000109228699</v>
      </c>
    </row>
    <row r="1999" spans="1:40" x14ac:dyDescent="0.25">
      <c r="A1999" t="str">
        <f>"20190312154548961"</f>
        <v>20190312154548961</v>
      </c>
      <c r="B1999" t="str">
        <f>"1552376748948885"</f>
        <v>1552376748948885</v>
      </c>
      <c r="C1999" t="s">
        <v>40</v>
      </c>
      <c r="D1999">
        <v>4.1333089999999997</v>
      </c>
      <c r="E1999">
        <v>0.44293660000000001</v>
      </c>
      <c r="F1999" t="s">
        <v>58</v>
      </c>
      <c r="G1999">
        <v>-512.82629999999995</v>
      </c>
      <c r="H1999">
        <v>3.427467</v>
      </c>
      <c r="I1999">
        <v>272.05309999999997</v>
      </c>
      <c r="J1999">
        <v>-404.2921</v>
      </c>
      <c r="K1999">
        <v>1.1087720000000001</v>
      </c>
      <c r="L1999">
        <v>282.47859999999997</v>
      </c>
      <c r="M1999">
        <v>-0.99992329999999996</v>
      </c>
      <c r="N1999">
        <v>0</v>
      </c>
      <c r="O1999">
        <v>-1.1822539999999999E-2</v>
      </c>
      <c r="P1999">
        <v>-0.99003830000000004</v>
      </c>
      <c r="Q1999">
        <v>0.1321051</v>
      </c>
      <c r="R1999">
        <v>4.8710980000000001E-2</v>
      </c>
      <c r="S1999">
        <v>-3.037598</v>
      </c>
      <c r="T1999">
        <v>6.4671279999999998E-2</v>
      </c>
      <c r="U1999">
        <v>-0.29089359999999997</v>
      </c>
      <c r="V1999">
        <v>6.0418470000000002E-2</v>
      </c>
      <c r="W1999">
        <v>0.1357621</v>
      </c>
      <c r="X1999">
        <v>0.98889749999999998</v>
      </c>
      <c r="Y1999">
        <v>-8.3536680000000002E-2</v>
      </c>
      <c r="Z1999">
        <v>6.3606549999999996E-4</v>
      </c>
      <c r="AA1999">
        <v>0.99650450000000002</v>
      </c>
      <c r="AB1999">
        <v>38</v>
      </c>
      <c r="AC1999">
        <v>-108.534199999999</v>
      </c>
      <c r="AD1999">
        <v>2.318695</v>
      </c>
      <c r="AE1999">
        <v>-10.4255</v>
      </c>
      <c r="AF1999">
        <v>-9.1374804075186997</v>
      </c>
      <c r="AG1999">
        <v>2.318695</v>
      </c>
      <c r="AH1999">
        <v>108.60075813926601</v>
      </c>
      <c r="AI1999">
        <v>88.781189848339906</v>
      </c>
      <c r="AJ1999">
        <v>94.809440298893904</v>
      </c>
      <c r="AK1999">
        <v>109.009148988166</v>
      </c>
      <c r="AL1999">
        <v>82.197309282073107</v>
      </c>
      <c r="AM1999">
        <v>86.503757337210203</v>
      </c>
      <c r="AN1999">
        <v>1.0000000024099001</v>
      </c>
    </row>
    <row r="2000" spans="1:40" x14ac:dyDescent="0.25">
      <c r="A2000" t="str">
        <f>"20190312154548983"</f>
        <v>20190312154548983</v>
      </c>
      <c r="B2000" t="str">
        <f>"1552376748968404"</f>
        <v>1552376748968404</v>
      </c>
      <c r="C2000" t="s">
        <v>40</v>
      </c>
      <c r="D2000">
        <v>4.1307739999999997</v>
      </c>
      <c r="E2000">
        <v>0.4423783</v>
      </c>
      <c r="F2000" t="s">
        <v>47</v>
      </c>
      <c r="G2000">
        <v>-455.1465</v>
      </c>
      <c r="H2000">
        <v>0.66955799999999999</v>
      </c>
      <c r="I2000">
        <v>277.17939999999999</v>
      </c>
      <c r="J2000">
        <v>-404.66199999999998</v>
      </c>
      <c r="K2000">
        <v>1.1087610000000001</v>
      </c>
      <c r="L2000">
        <v>282.4742</v>
      </c>
      <c r="M2000">
        <v>-0.99992270000000005</v>
      </c>
      <c r="N2000">
        <v>0</v>
      </c>
      <c r="O2000">
        <v>-1.179767E-2</v>
      </c>
      <c r="P2000">
        <v>-0.99081410000000003</v>
      </c>
      <c r="Q2000">
        <v>0.12710769999999999</v>
      </c>
      <c r="R2000">
        <v>4.6162450000000001E-2</v>
      </c>
      <c r="S2000">
        <v>-3.049347</v>
      </c>
      <c r="T2000">
        <v>-2.633226E-2</v>
      </c>
      <c r="U2000">
        <v>-0.317749</v>
      </c>
      <c r="V2000">
        <v>5.7857699999999998E-2</v>
      </c>
      <c r="W2000">
        <v>0.1310009</v>
      </c>
      <c r="X2000">
        <v>0.98969249999999998</v>
      </c>
      <c r="Y2000">
        <v>-9.1896790000000006E-2</v>
      </c>
      <c r="Z2000">
        <v>-2.9411939999999999E-4</v>
      </c>
      <c r="AA2000">
        <v>0.99576849999999995</v>
      </c>
      <c r="AB2000">
        <v>38</v>
      </c>
      <c r="AC2000">
        <v>-50.484499999999997</v>
      </c>
      <c r="AD2000">
        <v>-0.43920300000000001</v>
      </c>
      <c r="AE2000">
        <v>-5.2948000000000004</v>
      </c>
      <c r="AF2000">
        <v>-4.6984757042084597</v>
      </c>
      <c r="AG2000">
        <v>-0.43920300000000001</v>
      </c>
      <c r="AH2000">
        <v>50.539669746792903</v>
      </c>
      <c r="AI2000">
        <v>90.495765176983397</v>
      </c>
      <c r="AJ2000">
        <v>95.311298637535302</v>
      </c>
      <c r="AK2000">
        <v>50.759499518150697</v>
      </c>
      <c r="AL2000">
        <v>82.472565661552494</v>
      </c>
      <c r="AM2000">
        <v>86.6542807060504</v>
      </c>
      <c r="AN2000">
        <v>0.99999999690317398</v>
      </c>
    </row>
    <row r="2001" spans="1:40" x14ac:dyDescent="0.25">
      <c r="A2001" t="str">
        <f>"20190312154549005"</f>
        <v>20190312154549005</v>
      </c>
      <c r="B2001" t="str">
        <f>"1552376748998192"</f>
        <v>1552376748998192</v>
      </c>
      <c r="C2001" t="s">
        <v>40</v>
      </c>
      <c r="D2001">
        <v>4.1445869999999996</v>
      </c>
      <c r="E2001">
        <v>0.44239689999999998</v>
      </c>
      <c r="F2001" t="s">
        <v>47</v>
      </c>
      <c r="G2001">
        <v>-455.11709999999999</v>
      </c>
      <c r="H2001">
        <v>0.5384736</v>
      </c>
      <c r="I2001">
        <v>277.00549999999998</v>
      </c>
      <c r="J2001">
        <v>-405.05</v>
      </c>
      <c r="K2001">
        <v>1.108733</v>
      </c>
      <c r="L2001">
        <v>282.46960000000001</v>
      </c>
      <c r="M2001">
        <v>-0.99992250000000005</v>
      </c>
      <c r="N2001">
        <v>0</v>
      </c>
      <c r="O2001">
        <v>-1.173654E-2</v>
      </c>
      <c r="P2001">
        <v>-0.99181399999999997</v>
      </c>
      <c r="Q2001">
        <v>0.120061</v>
      </c>
      <c r="R2001">
        <v>4.3479039999999997E-2</v>
      </c>
      <c r="S2001">
        <v>-3.0476070000000002</v>
      </c>
      <c r="T2001">
        <v>-3.444266E-2</v>
      </c>
      <c r="U2001">
        <v>-0.33032230000000001</v>
      </c>
      <c r="V2001">
        <v>5.5131939999999997E-2</v>
      </c>
      <c r="W2001">
        <v>0.1242081</v>
      </c>
      <c r="X2001">
        <v>0.99072340000000003</v>
      </c>
      <c r="Y2001">
        <v>-9.6075270000000004E-2</v>
      </c>
      <c r="Z2001">
        <v>-4.0906960000000001E-4</v>
      </c>
      <c r="AA2001">
        <v>0.99537399999999998</v>
      </c>
      <c r="AB2001">
        <v>38</v>
      </c>
      <c r="AC2001">
        <v>-50.067099999999897</v>
      </c>
      <c r="AD2001">
        <v>-0.57025939999999997</v>
      </c>
      <c r="AE2001">
        <v>-5.4641000000000197</v>
      </c>
      <c r="AF2001">
        <v>-4.8754790105756296</v>
      </c>
      <c r="AG2001">
        <v>-0.57025939999999997</v>
      </c>
      <c r="AH2001">
        <v>50.121356018394202</v>
      </c>
      <c r="AI2001">
        <v>90.648796792696302</v>
      </c>
      <c r="AJ2001">
        <v>95.555880699850604</v>
      </c>
      <c r="AK2001">
        <v>50.361153883608303</v>
      </c>
      <c r="AL2001">
        <v>82.864973270842697</v>
      </c>
      <c r="AM2001">
        <v>86.814880059282103</v>
      </c>
      <c r="AN2001">
        <v>1.0000000191106599</v>
      </c>
    </row>
    <row r="2002" spans="1:40" x14ac:dyDescent="0.25">
      <c r="A2002" t="str">
        <f>"20190312154549027"</f>
        <v>20190312154549027</v>
      </c>
      <c r="B2002" t="str">
        <f>"1552376749018687"</f>
        <v>1552376749018687</v>
      </c>
      <c r="C2002" t="s">
        <v>40</v>
      </c>
      <c r="D2002">
        <v>4.1301230000000002</v>
      </c>
      <c r="E2002">
        <v>0.44243979999999999</v>
      </c>
      <c r="F2002" t="s">
        <v>47</v>
      </c>
      <c r="G2002">
        <v>-454.8227</v>
      </c>
      <c r="H2002">
        <v>0.17899960000000001</v>
      </c>
      <c r="I2002">
        <v>276.93729999999999</v>
      </c>
      <c r="J2002">
        <v>-405.42579999999998</v>
      </c>
      <c r="K2002">
        <v>1.1087020000000001</v>
      </c>
      <c r="L2002">
        <v>282.46530000000001</v>
      </c>
      <c r="M2002">
        <v>-0.99992239999999999</v>
      </c>
      <c r="N2002">
        <v>0</v>
      </c>
      <c r="O2002">
        <v>-1.1634510000000001E-2</v>
      </c>
      <c r="P2002">
        <v>-0.99290590000000001</v>
      </c>
      <c r="Q2002">
        <v>0.1114005</v>
      </c>
      <c r="R2002">
        <v>4.1566949999999998E-2</v>
      </c>
      <c r="S2002">
        <v>-3.0465089999999999</v>
      </c>
      <c r="T2002">
        <v>-5.690336E-2</v>
      </c>
      <c r="U2002">
        <v>-0.33862300000000001</v>
      </c>
      <c r="V2002">
        <v>5.3139529999999997E-2</v>
      </c>
      <c r="W2002">
        <v>0.11580070000000001</v>
      </c>
      <c r="X2002">
        <v>0.99185000000000001</v>
      </c>
      <c r="Y2002">
        <v>-9.8884979999999997E-2</v>
      </c>
      <c r="Z2002">
        <v>-7.039937E-4</v>
      </c>
      <c r="AA2002">
        <v>0.9950987</v>
      </c>
      <c r="AB2002">
        <v>38</v>
      </c>
      <c r="AC2002">
        <v>-49.396900000000002</v>
      </c>
      <c r="AD2002">
        <v>-0.92970239999999904</v>
      </c>
      <c r="AE2002">
        <v>-5.5280000000000102</v>
      </c>
      <c r="AF2002">
        <v>-4.9511792382816902</v>
      </c>
      <c r="AG2002">
        <v>-0.92970239999999904</v>
      </c>
      <c r="AH2002">
        <v>49.440575961553201</v>
      </c>
      <c r="AI2002">
        <v>91.071927725282606</v>
      </c>
      <c r="AJ2002">
        <v>95.718764447489093</v>
      </c>
      <c r="AK2002">
        <v>49.6965700407208</v>
      </c>
      <c r="AL2002">
        <v>83.350189772701</v>
      </c>
      <c r="AM2002">
        <v>86.933243279261106</v>
      </c>
      <c r="AN2002">
        <v>1.00000001713455</v>
      </c>
    </row>
    <row r="2003" spans="1:40" x14ac:dyDescent="0.25">
      <c r="A2003" t="str">
        <f>"20190312154549049"</f>
        <v>20190312154549049</v>
      </c>
      <c r="B2003" t="str">
        <f>"1552376749038207"</f>
        <v>1552376749038207</v>
      </c>
      <c r="C2003" t="s">
        <v>40</v>
      </c>
      <c r="D2003">
        <v>4.2194430000000001</v>
      </c>
      <c r="E2003">
        <v>0.44468869999999999</v>
      </c>
      <c r="F2003" t="s">
        <v>54</v>
      </c>
      <c r="G2003">
        <v>-443.01780000000002</v>
      </c>
      <c r="H2003">
        <v>8.0000859999999993E-2</v>
      </c>
      <c r="I2003">
        <v>278.2124</v>
      </c>
      <c r="J2003">
        <v>-405.81369999999998</v>
      </c>
      <c r="K2003">
        <v>1.1086640000000001</v>
      </c>
      <c r="L2003">
        <v>282.46089999999998</v>
      </c>
      <c r="M2003">
        <v>-0.99992289999999995</v>
      </c>
      <c r="N2003">
        <v>0</v>
      </c>
      <c r="O2003">
        <v>-1.1488129999999999E-2</v>
      </c>
      <c r="P2003">
        <v>-0.9936509</v>
      </c>
      <c r="Q2003">
        <v>0.105155</v>
      </c>
      <c r="R2003">
        <v>4.000625E-2</v>
      </c>
      <c r="S2003">
        <v>-3.0452270000000001</v>
      </c>
      <c r="T2003">
        <v>-8.3332299999999998E-2</v>
      </c>
      <c r="U2003">
        <v>-0.34451290000000001</v>
      </c>
      <c r="V2003">
        <v>5.1451040000000003E-2</v>
      </c>
      <c r="W2003">
        <v>0.1098162</v>
      </c>
      <c r="X2003">
        <v>0.99261929999999998</v>
      </c>
      <c r="Y2003">
        <v>-0.1009591</v>
      </c>
      <c r="Z2003">
        <v>-1.0634590000000001E-3</v>
      </c>
      <c r="AA2003">
        <v>0.99489000000000005</v>
      </c>
      <c r="AB2003">
        <v>38</v>
      </c>
      <c r="AC2003">
        <v>-37.204099999999997</v>
      </c>
      <c r="AD2003">
        <v>-1.0286631399999999</v>
      </c>
      <c r="AE2003">
        <v>-4.2484999999999697</v>
      </c>
      <c r="AF2003">
        <v>-3.81792819761047</v>
      </c>
      <c r="AG2003">
        <v>-1.0286631399999999</v>
      </c>
      <c r="AH2003">
        <v>37.222363315225799</v>
      </c>
      <c r="AI2003">
        <v>91.574743665297703</v>
      </c>
      <c r="AJ2003">
        <v>95.856394261351497</v>
      </c>
      <c r="AK2003">
        <v>37.431792026943697</v>
      </c>
      <c r="AL2003">
        <v>83.695279209590197</v>
      </c>
      <c r="AM2003">
        <v>87.032808446084999</v>
      </c>
      <c r="AN2003">
        <v>0.99999994101600398</v>
      </c>
    </row>
    <row r="2004" spans="1:40" x14ac:dyDescent="0.25">
      <c r="A2004" t="str">
        <f>"20190312154549072"</f>
        <v>20190312154549072</v>
      </c>
      <c r="B2004" t="str">
        <f>"1552376749058703"</f>
        <v>1552376749058703</v>
      </c>
      <c r="C2004" t="s">
        <v>40</v>
      </c>
      <c r="D2004">
        <v>4.5759420000000004</v>
      </c>
      <c r="E2004">
        <v>0.47061700000000001</v>
      </c>
      <c r="F2004" t="s">
        <v>57</v>
      </c>
      <c r="G2004">
        <v>-436.02330000000001</v>
      </c>
      <c r="H2004">
        <v>8.000119E-2</v>
      </c>
      <c r="I2004">
        <v>279.16910000000001</v>
      </c>
      <c r="J2004">
        <v>-406.19639999999998</v>
      </c>
      <c r="K2004">
        <v>1.108638</v>
      </c>
      <c r="L2004">
        <v>282.45670000000001</v>
      </c>
      <c r="M2004">
        <v>-0.99992389999999998</v>
      </c>
      <c r="N2004">
        <v>0</v>
      </c>
      <c r="O2004">
        <v>-1.129872E-2</v>
      </c>
      <c r="P2004">
        <v>-0.99405880000000002</v>
      </c>
      <c r="Q2004">
        <v>0.1015966</v>
      </c>
      <c r="R2004">
        <v>3.9054720000000001E-2</v>
      </c>
      <c r="S2004">
        <v>-3.043488</v>
      </c>
      <c r="T2004">
        <v>-0.103633</v>
      </c>
      <c r="U2004">
        <v>-0.3316345</v>
      </c>
      <c r="V2004">
        <v>5.032491E-2</v>
      </c>
      <c r="W2004">
        <v>0.1065155</v>
      </c>
      <c r="X2004">
        <v>0.99303669999999999</v>
      </c>
      <c r="Y2004">
        <v>-9.7035739999999995E-2</v>
      </c>
      <c r="Z2004">
        <v>-1.2632979999999999E-3</v>
      </c>
      <c r="AA2004">
        <v>0.9952801</v>
      </c>
      <c r="AB2004">
        <v>38</v>
      </c>
      <c r="AC2004">
        <v>-29.826899999999998</v>
      </c>
      <c r="AD2004">
        <v>-1.0286368100000001</v>
      </c>
      <c r="AE2004">
        <v>-3.2875999999999901</v>
      </c>
      <c r="AF2004">
        <v>-2.9469173816467902</v>
      </c>
      <c r="AG2004">
        <v>-1.0286368100000001</v>
      </c>
      <c r="AH2004">
        <v>29.827093256069499</v>
      </c>
      <c r="AI2004">
        <v>91.965594590749802</v>
      </c>
      <c r="AJ2004">
        <v>95.642511967518203</v>
      </c>
      <c r="AK2004">
        <v>29.989963451918399</v>
      </c>
      <c r="AL2004">
        <v>83.885512081921703</v>
      </c>
      <c r="AM2004">
        <v>87.098858159131197</v>
      </c>
      <c r="AN2004">
        <v>1.00000001792682</v>
      </c>
    </row>
    <row r="2005" spans="1:40" x14ac:dyDescent="0.25">
      <c r="A2005" t="str">
        <f>"20190312154549095"</f>
        <v>20190312154549095</v>
      </c>
      <c r="B2005" t="str">
        <f>"1552376749088959"</f>
        <v>1552376749088959</v>
      </c>
      <c r="C2005" t="s">
        <v>40</v>
      </c>
      <c r="D2005">
        <v>4.1853160000000003</v>
      </c>
      <c r="E2005">
        <v>0.4721225</v>
      </c>
      <c r="F2005" t="s">
        <v>57</v>
      </c>
      <c r="G2005">
        <v>-439.4187</v>
      </c>
      <c r="H2005" s="1">
        <v>6.7050559999999899E-6</v>
      </c>
      <c r="I2005">
        <v>281.05579999999998</v>
      </c>
      <c r="J2005">
        <v>-406.60610000000003</v>
      </c>
      <c r="K2005">
        <v>1.108616</v>
      </c>
      <c r="L2005">
        <v>282.45229999999998</v>
      </c>
      <c r="M2005">
        <v>-0.99992530000000002</v>
      </c>
      <c r="N2005">
        <v>0</v>
      </c>
      <c r="O2005">
        <v>-1.104021E-2</v>
      </c>
      <c r="P2005">
        <v>-0.9943128</v>
      </c>
      <c r="Q2005">
        <v>9.9340680000000001E-2</v>
      </c>
      <c r="R2005">
        <v>3.8387560000000001E-2</v>
      </c>
      <c r="S2005">
        <v>-3.033264</v>
      </c>
      <c r="T2005">
        <v>-0.1012204</v>
      </c>
      <c r="U2005">
        <v>-0.12789919999999999</v>
      </c>
      <c r="V2005">
        <v>4.9414270000000003E-2</v>
      </c>
      <c r="W2005">
        <v>0.10454239999999999</v>
      </c>
      <c r="X2005">
        <v>0.99329199999999995</v>
      </c>
      <c r="Y2005">
        <v>-3.108383E-2</v>
      </c>
      <c r="Z2005">
        <v>-1.501358E-4</v>
      </c>
      <c r="AA2005">
        <v>0.99951679999999998</v>
      </c>
      <c r="AB2005">
        <v>39</v>
      </c>
      <c r="AC2005">
        <v>-32.812599999999897</v>
      </c>
      <c r="AD2005">
        <v>-1.1086092949439901</v>
      </c>
      <c r="AE2005">
        <v>-1.3965000000000001</v>
      </c>
      <c r="AF2005">
        <v>-1.03297490230703</v>
      </c>
      <c r="AG2005">
        <v>-1.1086092949439901</v>
      </c>
      <c r="AH2005">
        <v>32.7886574824132</v>
      </c>
      <c r="AI2005">
        <v>91.935516400903694</v>
      </c>
      <c r="AJ2005">
        <v>91.804451232719302</v>
      </c>
      <c r="AK2005">
        <v>32.823651704474401</v>
      </c>
      <c r="AL2005">
        <v>83.999196725878093</v>
      </c>
      <c r="AM2005">
        <v>87.151998659461498</v>
      </c>
      <c r="AN2005">
        <v>0.99999994037069395</v>
      </c>
    </row>
    <row r="2006" spans="1:40" x14ac:dyDescent="0.25">
      <c r="A2006" t="str">
        <f>"20190312154549118"</f>
        <v>20190312154549118</v>
      </c>
      <c r="B2006" t="str">
        <f>"1552376749108479"</f>
        <v>1552376749108479</v>
      </c>
      <c r="C2006" t="s">
        <v>40</v>
      </c>
      <c r="D2006">
        <v>4.4392800000000001</v>
      </c>
      <c r="E2006">
        <v>0.47264270000000003</v>
      </c>
      <c r="F2006" t="s">
        <v>54</v>
      </c>
      <c r="G2006">
        <v>-441.63049999999998</v>
      </c>
      <c r="H2006" s="1">
        <v>-5.1500000000000005E-7</v>
      </c>
      <c r="I2006">
        <v>281.09010000000001</v>
      </c>
      <c r="J2006">
        <v>-406.9871</v>
      </c>
      <c r="K2006">
        <v>1.1086069999999999</v>
      </c>
      <c r="L2006">
        <v>282.44830000000002</v>
      </c>
      <c r="M2006">
        <v>-0.99992689999999995</v>
      </c>
      <c r="N2006">
        <v>0</v>
      </c>
      <c r="O2006">
        <v>-1.0748580000000001E-2</v>
      </c>
      <c r="P2006">
        <v>-0.99447560000000002</v>
      </c>
      <c r="Q2006">
        <v>9.7826079999999996E-2</v>
      </c>
      <c r="R2006">
        <v>3.8057069999999998E-2</v>
      </c>
      <c r="S2006">
        <v>-3.0313110000000001</v>
      </c>
      <c r="T2006">
        <v>-9.5949290000000007E-2</v>
      </c>
      <c r="U2006">
        <v>-0.11788940000000001</v>
      </c>
      <c r="V2006">
        <v>4.8805899999999999E-2</v>
      </c>
      <c r="W2006">
        <v>0.1033046</v>
      </c>
      <c r="X2006">
        <v>0.99345170000000005</v>
      </c>
      <c r="Y2006">
        <v>-2.8109640000000002E-2</v>
      </c>
      <c r="Z2006">
        <v>-1.046034E-4</v>
      </c>
      <c r="AA2006">
        <v>0.99960479999999996</v>
      </c>
      <c r="AB2006">
        <v>39</v>
      </c>
      <c r="AC2006">
        <v>-34.6433999999999</v>
      </c>
      <c r="AD2006">
        <v>-1.1086075150000001</v>
      </c>
      <c r="AE2006">
        <v>-1.3582000000000101</v>
      </c>
      <c r="AF2006">
        <v>-0.98474161030679797</v>
      </c>
      <c r="AG2006">
        <v>-1.1086075150000001</v>
      </c>
      <c r="AH2006">
        <v>34.620599333881401</v>
      </c>
      <c r="AI2006">
        <v>91.833335732459304</v>
      </c>
      <c r="AJ2006">
        <v>91.629270743385604</v>
      </c>
      <c r="AK2006">
        <v>34.652339385653796</v>
      </c>
      <c r="AL2006">
        <v>84.070504317261296</v>
      </c>
      <c r="AM2006">
        <v>87.187456988245401</v>
      </c>
      <c r="AN2006">
        <v>1.0000000682444199</v>
      </c>
    </row>
    <row r="2007" spans="1:40" x14ac:dyDescent="0.25">
      <c r="A2007" t="str">
        <f>"20190312154549140"</f>
        <v>20190312154549140</v>
      </c>
      <c r="B2007" t="str">
        <f>"1552376749128975"</f>
        <v>1552376749128975</v>
      </c>
      <c r="C2007" t="s">
        <v>40</v>
      </c>
      <c r="D2007">
        <v>4.2357430000000003</v>
      </c>
      <c r="E2007">
        <v>0.47279090000000001</v>
      </c>
      <c r="F2007" t="s">
        <v>54</v>
      </c>
      <c r="G2007">
        <v>-446.81569999999999</v>
      </c>
      <c r="H2007" s="1">
        <v>2.2507910000000001E-6</v>
      </c>
      <c r="I2007">
        <v>280.9425</v>
      </c>
      <c r="J2007">
        <v>-407.37670000000003</v>
      </c>
      <c r="K2007">
        <v>1.108616</v>
      </c>
      <c r="L2007">
        <v>282.44439999999997</v>
      </c>
      <c r="M2007">
        <v>-0.99992879999999995</v>
      </c>
      <c r="N2007">
        <v>0</v>
      </c>
      <c r="O2007">
        <v>-1.04035E-2</v>
      </c>
      <c r="P2007">
        <v>-0.99426870000000001</v>
      </c>
      <c r="Q2007">
        <v>9.9545430000000004E-2</v>
      </c>
      <c r="R2007">
        <v>3.8994849999999998E-2</v>
      </c>
      <c r="S2007">
        <v>-3.0293580000000002</v>
      </c>
      <c r="T2007">
        <v>-8.4320190000000003E-2</v>
      </c>
      <c r="U2007">
        <v>-0.1145325</v>
      </c>
      <c r="V2007">
        <v>4.9411169999999997E-2</v>
      </c>
      <c r="W2007">
        <v>0.1053267</v>
      </c>
      <c r="X2007">
        <v>0.99320940000000002</v>
      </c>
      <c r="Y2007">
        <v>-2.737566E-2</v>
      </c>
      <c r="Z2007" s="1">
        <v>-9.1380029999999998E-5</v>
      </c>
      <c r="AA2007">
        <v>0.99962519999999999</v>
      </c>
      <c r="AB2007">
        <v>39</v>
      </c>
      <c r="AC2007">
        <v>-39.438999999999901</v>
      </c>
      <c r="AD2007">
        <v>-1.108613749209</v>
      </c>
      <c r="AE2007">
        <v>-1.50189999999997</v>
      </c>
      <c r="AF2007">
        <v>-1.09064754688759</v>
      </c>
      <c r="AG2007">
        <v>-1.108613749209</v>
      </c>
      <c r="AH2007">
        <v>39.421387211866602</v>
      </c>
      <c r="AI2007">
        <v>91.610239521325695</v>
      </c>
      <c r="AJ2007">
        <v>91.584763229960799</v>
      </c>
      <c r="AK2007">
        <v>39.452050722673299</v>
      </c>
      <c r="AL2007">
        <v>83.954010807055795</v>
      </c>
      <c r="AM2007">
        <v>87.151940585925701</v>
      </c>
      <c r="AN2007">
        <v>1.000000044851</v>
      </c>
    </row>
    <row r="2008" spans="1:40" x14ac:dyDescent="0.25">
      <c r="A2008" t="str">
        <f>"20190312154549161"</f>
        <v>20190312154549161</v>
      </c>
      <c r="B2008" t="str">
        <f>"1552376749148496"</f>
        <v>1552376749148496</v>
      </c>
      <c r="C2008" t="s">
        <v>40</v>
      </c>
      <c r="D2008">
        <v>4.1873740000000002</v>
      </c>
      <c r="E2008">
        <v>0.47302109999999897</v>
      </c>
      <c r="F2008" t="s">
        <v>54</v>
      </c>
      <c r="G2008">
        <v>-456.16180000000003</v>
      </c>
      <c r="H2008" s="1">
        <v>1.9151309999999999E-6</v>
      </c>
      <c r="I2008">
        <v>280.66090000000003</v>
      </c>
      <c r="J2008">
        <v>-407.74419999999998</v>
      </c>
      <c r="K2008">
        <v>1.108633</v>
      </c>
      <c r="L2008">
        <v>282.4409</v>
      </c>
      <c r="M2008">
        <v>-0.9999306</v>
      </c>
      <c r="N2008">
        <v>0</v>
      </c>
      <c r="O2008">
        <v>-1.003942E-2</v>
      </c>
      <c r="P2008">
        <v>-0.99398929999999996</v>
      </c>
      <c r="Q2008">
        <v>0.1017883</v>
      </c>
      <c r="R2008">
        <v>4.0305760000000003E-2</v>
      </c>
      <c r="S2008">
        <v>-3.0285340000000001</v>
      </c>
      <c r="T2008">
        <v>-6.8821670000000001E-2</v>
      </c>
      <c r="U2008">
        <v>-0.11071780000000001</v>
      </c>
      <c r="V2008">
        <v>5.0369629999999999E-2</v>
      </c>
      <c r="W2008">
        <v>0.1078803</v>
      </c>
      <c r="X2008">
        <v>0.99288710000000002</v>
      </c>
      <c r="Y2008">
        <v>-2.6494810000000001E-2</v>
      </c>
      <c r="Z2008" s="1">
        <v>-7.2874869999999906E-5</v>
      </c>
      <c r="AA2008">
        <v>0.99964889999999995</v>
      </c>
      <c r="AB2008">
        <v>39</v>
      </c>
      <c r="AC2008">
        <v>-48.4176</v>
      </c>
      <c r="AD2008">
        <v>-1.108631084869</v>
      </c>
      <c r="AE2008">
        <v>-1.7799999999999701</v>
      </c>
      <c r="AF2008">
        <v>-1.2931393736012899</v>
      </c>
      <c r="AG2008">
        <v>-1.108631084869</v>
      </c>
      <c r="AH2008">
        <v>48.407685172275201</v>
      </c>
      <c r="AI2008">
        <v>91.311488863788298</v>
      </c>
      <c r="AJ2008">
        <v>91.530207683654893</v>
      </c>
      <c r="AK2008">
        <v>48.437642965569701</v>
      </c>
      <c r="AL2008">
        <v>83.806861640124893</v>
      </c>
      <c r="AM2008">
        <v>87.095847781601904</v>
      </c>
      <c r="AN2008">
        <v>1.0000000260504101</v>
      </c>
    </row>
    <row r="2009" spans="1:40" x14ac:dyDescent="0.25">
      <c r="A2009" t="str">
        <f>"20190312154549184"</f>
        <v>20190312154549184</v>
      </c>
      <c r="B2009" t="str">
        <f>"1552376749178753"</f>
        <v>1552376749178753</v>
      </c>
      <c r="C2009" t="s">
        <v>40</v>
      </c>
      <c r="D2009">
        <v>4.2698970000000003</v>
      </c>
      <c r="E2009">
        <v>0.4736242</v>
      </c>
      <c r="F2009" t="s">
        <v>54</v>
      </c>
      <c r="G2009">
        <v>-461.65730000000002</v>
      </c>
      <c r="H2009" s="1">
        <v>-4.7757459999999997E-7</v>
      </c>
      <c r="I2009">
        <v>280.56020000000001</v>
      </c>
      <c r="J2009">
        <v>-408.13799999999998</v>
      </c>
      <c r="K2009">
        <v>1.1086609999999999</v>
      </c>
      <c r="L2009">
        <v>282.43729999999999</v>
      </c>
      <c r="M2009">
        <v>-0.9999323</v>
      </c>
      <c r="N2009">
        <v>0</v>
      </c>
      <c r="O2009">
        <v>-9.6155549999999996E-3</v>
      </c>
      <c r="P2009">
        <v>-0.99365199999999998</v>
      </c>
      <c r="Q2009">
        <v>0.1043005</v>
      </c>
      <c r="R2009">
        <v>4.2154169999999998E-2</v>
      </c>
      <c r="S2009">
        <v>-3.0288089999999999</v>
      </c>
      <c r="T2009">
        <v>-6.2282440000000001E-2</v>
      </c>
      <c r="U2009">
        <v>-0.10565190000000001</v>
      </c>
      <c r="V2009">
        <v>5.1806480000000002E-2</v>
      </c>
      <c r="W2009">
        <v>0.11075690000000001</v>
      </c>
      <c r="X2009">
        <v>0.99249639999999995</v>
      </c>
      <c r="Y2009">
        <v>-2.5246290000000001E-2</v>
      </c>
      <c r="Z2009" s="1">
        <v>-6.1827059999999993E-5</v>
      </c>
      <c r="AA2009">
        <v>0.99968120000000005</v>
      </c>
      <c r="AB2009">
        <v>39</v>
      </c>
      <c r="AC2009">
        <v>-53.519299999999902</v>
      </c>
      <c r="AD2009">
        <v>-1.1086614775746</v>
      </c>
      <c r="AE2009">
        <v>-1.87709999999998</v>
      </c>
      <c r="AF2009">
        <v>-1.3618007402719601</v>
      </c>
      <c r="AG2009">
        <v>-1.1086614775746</v>
      </c>
      <c r="AH2009">
        <v>53.5119406729034</v>
      </c>
      <c r="AI2009">
        <v>91.186501295330302</v>
      </c>
      <c r="AJ2009">
        <v>91.457779267456701</v>
      </c>
      <c r="AK2009">
        <v>53.540745475837397</v>
      </c>
      <c r="AL2009">
        <v>83.641050974745099</v>
      </c>
      <c r="AM2009">
        <v>87.011977873333905</v>
      </c>
      <c r="AN2009">
        <v>1.00000005314027</v>
      </c>
    </row>
    <row r="2010" spans="1:40" x14ac:dyDescent="0.25">
      <c r="A2010" t="str">
        <f>"20190312154549206"</f>
        <v>20190312154549206</v>
      </c>
      <c r="B2010" t="str">
        <f>"1552376749198271"</f>
        <v>1552376749198271</v>
      </c>
      <c r="C2010" t="s">
        <v>40</v>
      </c>
      <c r="D2010">
        <v>4.1234199999999896</v>
      </c>
      <c r="E2010">
        <v>0.51112369999999996</v>
      </c>
      <c r="F2010" t="s">
        <v>53</v>
      </c>
      <c r="G2010">
        <v>-477.17110000000002</v>
      </c>
      <c r="H2010" s="1">
        <v>3.054004E-6</v>
      </c>
      <c r="I2010">
        <v>280.26949999999999</v>
      </c>
      <c r="J2010">
        <v>-408.52780000000001</v>
      </c>
      <c r="K2010">
        <v>1.1087020000000001</v>
      </c>
      <c r="L2010">
        <v>282.43389999999999</v>
      </c>
      <c r="M2010">
        <v>-0.99993379999999998</v>
      </c>
      <c r="N2010">
        <v>0</v>
      </c>
      <c r="O2010">
        <v>-9.1662370000000007E-3</v>
      </c>
      <c r="P2010">
        <v>-0.99341570000000001</v>
      </c>
      <c r="Q2010">
        <v>0.1055984</v>
      </c>
      <c r="R2010">
        <v>4.4434149999999999E-2</v>
      </c>
      <c r="S2010">
        <v>-3.0282900000000001</v>
      </c>
      <c r="T2010">
        <v>-4.863369E-2</v>
      </c>
      <c r="U2010">
        <v>-9.5092769999999993E-2</v>
      </c>
      <c r="V2010">
        <v>5.3649009999999997E-2</v>
      </c>
      <c r="W2010">
        <v>0.11245330000000001</v>
      </c>
      <c r="X2010">
        <v>0.99220759999999997</v>
      </c>
      <c r="Y2010">
        <v>-2.2221069999999999E-2</v>
      </c>
      <c r="Z2010" s="1">
        <v>-3.1218569999999997E-5</v>
      </c>
      <c r="AA2010">
        <v>0.99975309999999995</v>
      </c>
      <c r="AB2010">
        <v>39</v>
      </c>
      <c r="AC2010">
        <v>-68.643299999999996</v>
      </c>
      <c r="AD2010">
        <v>-1.1086989459959999</v>
      </c>
      <c r="AE2010">
        <v>-2.1644000000000001</v>
      </c>
      <c r="AF2010">
        <v>-1.5346931274837601</v>
      </c>
      <c r="AG2010">
        <v>-1.1086989459959999</v>
      </c>
      <c r="AH2010">
        <v>68.6423667516585</v>
      </c>
      <c r="AI2010">
        <v>90.925119330703595</v>
      </c>
      <c r="AJ2010">
        <v>91.280794881133005</v>
      </c>
      <c r="AK2010">
        <v>68.668471729153694</v>
      </c>
      <c r="AL2010">
        <v>83.5432426419667</v>
      </c>
      <c r="AM2010">
        <v>86.905011100055901</v>
      </c>
      <c r="AN2010">
        <v>0.99999994122631297</v>
      </c>
    </row>
    <row r="2011" spans="1:40" x14ac:dyDescent="0.25">
      <c r="A2011" t="str">
        <f>"20190312154549228"</f>
        <v>20190312154549228</v>
      </c>
      <c r="B2011" t="str">
        <f>"1552376749218767"</f>
        <v>1552376749218767</v>
      </c>
      <c r="C2011" t="s">
        <v>40</v>
      </c>
      <c r="D2011">
        <v>4.1494179999999998</v>
      </c>
      <c r="E2011">
        <v>0.51593329999999904</v>
      </c>
      <c r="F2011" t="s">
        <v>53</v>
      </c>
      <c r="G2011">
        <v>-500.47590000000002</v>
      </c>
      <c r="H2011">
        <v>7.9981579999999997E-2</v>
      </c>
      <c r="I2011">
        <v>288.87270000000001</v>
      </c>
      <c r="J2011">
        <v>-408.91640000000001</v>
      </c>
      <c r="K2011">
        <v>1.1087320000000001</v>
      </c>
      <c r="L2011">
        <v>282.43079999999998</v>
      </c>
      <c r="M2011">
        <v>-0.99993500000000002</v>
      </c>
      <c r="N2011">
        <v>0</v>
      </c>
      <c r="O2011">
        <v>-8.6997659999999994E-3</v>
      </c>
      <c r="P2011">
        <v>-0.99332670000000001</v>
      </c>
      <c r="Q2011">
        <v>0.1054776</v>
      </c>
      <c r="R2011">
        <v>4.6657360000000002E-2</v>
      </c>
      <c r="S2011">
        <v>-3.0140380000000002</v>
      </c>
      <c r="T2011">
        <v>-3.3721210000000001E-2</v>
      </c>
      <c r="U2011">
        <v>0.21105960000000001</v>
      </c>
      <c r="V2011">
        <v>5.5416849999999997E-2</v>
      </c>
      <c r="W2011">
        <v>0.1127461</v>
      </c>
      <c r="X2011">
        <v>0.99207719999999999</v>
      </c>
      <c r="Y2011">
        <v>7.8525150000000002E-2</v>
      </c>
      <c r="Z2011">
        <v>5.3594129999999995E-4</v>
      </c>
      <c r="AA2011">
        <v>0.99691200000000002</v>
      </c>
      <c r="AB2011">
        <v>39</v>
      </c>
      <c r="AC2011">
        <v>-91.5595</v>
      </c>
      <c r="AD2011">
        <v>-1.0287504199999999</v>
      </c>
      <c r="AE2011">
        <v>6.4419000000000297</v>
      </c>
      <c r="AF2011">
        <v>7.2373148854350102</v>
      </c>
      <c r="AG2011">
        <v>-1.0287504199999999</v>
      </c>
      <c r="AH2011">
        <v>91.488497271729898</v>
      </c>
      <c r="AI2011">
        <v>90.642234074134905</v>
      </c>
      <c r="AJ2011">
        <v>85.476962962340707</v>
      </c>
      <c r="AK2011">
        <v>91.780075110107205</v>
      </c>
      <c r="AL2011">
        <v>83.526359059966495</v>
      </c>
      <c r="AM2011">
        <v>86.802813994525394</v>
      </c>
      <c r="AN2011">
        <v>0.99999994054448405</v>
      </c>
    </row>
    <row r="2012" spans="1:40" x14ac:dyDescent="0.25">
      <c r="A2012" t="str">
        <f>"20190312154549250"</f>
        <v>20190312154549250</v>
      </c>
      <c r="B2012" t="str">
        <f>"1552376749238287"</f>
        <v>1552376749238287</v>
      </c>
      <c r="C2012" t="s">
        <v>40</v>
      </c>
      <c r="D2012">
        <v>4.16052</v>
      </c>
      <c r="E2012">
        <v>0.51619199999999998</v>
      </c>
      <c r="F2012" t="s">
        <v>43</v>
      </c>
      <c r="G2012">
        <v>-524.99620000000004</v>
      </c>
      <c r="H2012">
        <v>-0.05</v>
      </c>
      <c r="I2012">
        <v>292.30779999999999</v>
      </c>
      <c r="J2012">
        <v>-409.3064</v>
      </c>
      <c r="K2012">
        <v>1.10877</v>
      </c>
      <c r="L2012">
        <v>282.42779999999999</v>
      </c>
      <c r="M2012">
        <v>-0.99993560000000004</v>
      </c>
      <c r="N2012">
        <v>0</v>
      </c>
      <c r="O2012">
        <v>-8.2175240000000004E-3</v>
      </c>
      <c r="P2012">
        <v>-0.99332180000000003</v>
      </c>
      <c r="Q2012">
        <v>0.104783</v>
      </c>
      <c r="R2012">
        <v>4.8297069999999998E-2</v>
      </c>
      <c r="S2012">
        <v>-3.0112920000000001</v>
      </c>
      <c r="T2012">
        <v>-3.005934E-2</v>
      </c>
      <c r="U2012">
        <v>0.2562256</v>
      </c>
      <c r="V2012">
        <v>5.6584719999999998E-2</v>
      </c>
      <c r="W2012">
        <v>0.11250019999999999</v>
      </c>
      <c r="X2012">
        <v>0.99203929999999996</v>
      </c>
      <c r="Y2012">
        <v>9.2962240000000002E-2</v>
      </c>
      <c r="Z2012">
        <v>5.450241E-4</v>
      </c>
      <c r="AA2012">
        <v>0.99566949999999999</v>
      </c>
      <c r="AB2012">
        <v>39</v>
      </c>
      <c r="AC2012">
        <v>-115.68980000000001</v>
      </c>
      <c r="AD2012">
        <v>-1.1587700000000001</v>
      </c>
      <c r="AE2012">
        <v>9.8799999999999901</v>
      </c>
      <c r="AF2012">
        <v>10.829300648612</v>
      </c>
      <c r="AG2012">
        <v>-1.1587700000000001</v>
      </c>
      <c r="AH2012">
        <v>115.593189145493</v>
      </c>
      <c r="AI2012">
        <v>90.571841494324204</v>
      </c>
      <c r="AJ2012">
        <v>84.647889987369197</v>
      </c>
      <c r="AK2012">
        <v>116.105132863611</v>
      </c>
      <c r="AL2012">
        <v>83.540539009054299</v>
      </c>
      <c r="AM2012">
        <v>86.735455388816206</v>
      </c>
      <c r="AN2012">
        <v>1.0000000491409999</v>
      </c>
    </row>
    <row r="2013" spans="1:40" x14ac:dyDescent="0.25">
      <c r="A2013" t="str">
        <f>"20190312154549273"</f>
        <v>20190312154549273</v>
      </c>
      <c r="B2013" t="str">
        <f>"1552376749268544"</f>
        <v>1552376749268544</v>
      </c>
      <c r="C2013" t="s">
        <v>40</v>
      </c>
      <c r="D2013">
        <v>4.1034810000000004</v>
      </c>
      <c r="E2013">
        <v>0.51656190000000002</v>
      </c>
      <c r="F2013" t="s">
        <v>53</v>
      </c>
      <c r="G2013">
        <v>-494.71800000000002</v>
      </c>
      <c r="H2013" s="1">
        <v>3.6574010000000002E-6</v>
      </c>
      <c r="I2013">
        <v>289.87819999999999</v>
      </c>
      <c r="J2013">
        <v>-409.69920000000002</v>
      </c>
      <c r="K2013">
        <v>1.108811</v>
      </c>
      <c r="L2013">
        <v>282.42500000000001</v>
      </c>
      <c r="M2013">
        <v>-0.99993549999999998</v>
      </c>
      <c r="N2013">
        <v>0</v>
      </c>
      <c r="O2013">
        <v>-7.72477699999999E-3</v>
      </c>
      <c r="P2013">
        <v>-0.99339270000000002</v>
      </c>
      <c r="Q2013">
        <v>0.1031847</v>
      </c>
      <c r="R2013">
        <v>5.0241899999999999E-2</v>
      </c>
      <c r="S2013">
        <v>-3.011536</v>
      </c>
      <c r="T2013">
        <v>-3.9094089999999998E-2</v>
      </c>
      <c r="U2013">
        <v>0.26269530000000002</v>
      </c>
      <c r="V2013">
        <v>5.8046689999999998E-2</v>
      </c>
      <c r="W2013">
        <v>0.11139</v>
      </c>
      <c r="X2013">
        <v>0.99207999999999996</v>
      </c>
      <c r="Y2013">
        <v>9.4584360000000006E-2</v>
      </c>
      <c r="Z2013">
        <v>7.1282750000000003E-4</v>
      </c>
      <c r="AA2013">
        <v>0.99551659999999997</v>
      </c>
      <c r="AB2013">
        <v>39</v>
      </c>
      <c r="AC2013">
        <v>-85.018799999999999</v>
      </c>
      <c r="AD2013">
        <v>-1.1088073425989999</v>
      </c>
      <c r="AE2013">
        <v>7.4531999999999803</v>
      </c>
      <c r="AF2013">
        <v>8.1083829955899507</v>
      </c>
      <c r="AG2013">
        <v>-1.1088073425989999</v>
      </c>
      <c r="AH2013">
        <v>84.944348745896406</v>
      </c>
      <c r="AI2013">
        <v>90.744475090772497</v>
      </c>
      <c r="AJ2013">
        <v>84.547338711063801</v>
      </c>
      <c r="AK2013">
        <v>85.337668777572304</v>
      </c>
      <c r="AL2013">
        <v>83.604550427386499</v>
      </c>
      <c r="AM2013">
        <v>86.651436498534295</v>
      </c>
      <c r="AN2013">
        <v>0.99999993835997603</v>
      </c>
    </row>
    <row r="2014" spans="1:40" x14ac:dyDescent="0.25">
      <c r="A2014" t="str">
        <f>"20190312154549295"</f>
        <v>20190312154549295</v>
      </c>
      <c r="B2014" t="str">
        <f>"1552376749289039"</f>
        <v>1552376749289039</v>
      </c>
      <c r="C2014" t="s">
        <v>40</v>
      </c>
      <c r="D2014">
        <v>4.1141100000000002</v>
      </c>
      <c r="E2014">
        <v>0.51746840000000005</v>
      </c>
      <c r="F2014" t="s">
        <v>53</v>
      </c>
      <c r="G2014">
        <v>-474.2174</v>
      </c>
      <c r="H2014" s="1">
        <v>5.0595840000000002E-6</v>
      </c>
      <c r="I2014">
        <v>288.2278</v>
      </c>
      <c r="J2014">
        <v>-410.09359999999998</v>
      </c>
      <c r="K2014">
        <v>1.1088549999999999</v>
      </c>
      <c r="L2014">
        <v>282.42250000000001</v>
      </c>
      <c r="M2014">
        <v>-0.99993460000000001</v>
      </c>
      <c r="N2014">
        <v>0</v>
      </c>
      <c r="O2014">
        <v>-7.2338250000000002E-3</v>
      </c>
      <c r="P2014">
        <v>-0.99353769999999997</v>
      </c>
      <c r="Q2014">
        <v>0.1012812</v>
      </c>
      <c r="R2014">
        <v>5.1234130000000003E-2</v>
      </c>
      <c r="S2014">
        <v>-3.0116580000000002</v>
      </c>
      <c r="T2014">
        <v>-5.1758169999999999E-2</v>
      </c>
      <c r="U2014">
        <v>0.270874</v>
      </c>
      <c r="V2014">
        <v>5.8556089999999998E-2</v>
      </c>
      <c r="W2014">
        <v>0.1100029</v>
      </c>
      <c r="X2014">
        <v>0.99220489999999995</v>
      </c>
      <c r="Y2014">
        <v>9.6767660000000005E-2</v>
      </c>
      <c r="Z2014">
        <v>9.5386060000000005E-4</v>
      </c>
      <c r="AA2014">
        <v>0.99530660000000004</v>
      </c>
      <c r="AB2014">
        <v>39</v>
      </c>
      <c r="AC2014">
        <v>-64.123800000000003</v>
      </c>
      <c r="AD2014">
        <v>-1.1088499404159999</v>
      </c>
      <c r="AE2014">
        <v>5.8052999999999804</v>
      </c>
      <c r="AF2014">
        <v>6.2671678402808002</v>
      </c>
      <c r="AG2014">
        <v>-1.1088499404159999</v>
      </c>
      <c r="AH2014">
        <v>64.061125801905106</v>
      </c>
      <c r="AI2014">
        <v>90.986937092344306</v>
      </c>
      <c r="AJ2014">
        <v>84.412473804004506</v>
      </c>
      <c r="AK2014">
        <v>64.376507981841598</v>
      </c>
      <c r="AL2014">
        <v>83.684517313136297</v>
      </c>
      <c r="AM2014">
        <v>86.622542506087498</v>
      </c>
      <c r="AN2014">
        <v>1.00000000863425</v>
      </c>
    </row>
    <row r="2015" spans="1:40" x14ac:dyDescent="0.25">
      <c r="A2015" t="str">
        <f>"20190312154549318"</f>
        <v>20190312154549318</v>
      </c>
      <c r="B2015" t="str">
        <f>"1552376749308560"</f>
        <v>1552376749308560</v>
      </c>
      <c r="C2015" t="s">
        <v>40</v>
      </c>
      <c r="D2015">
        <v>4.1066070000000003</v>
      </c>
      <c r="E2015">
        <v>0.51805449999999997</v>
      </c>
      <c r="F2015" t="s">
        <v>54</v>
      </c>
      <c r="G2015">
        <v>-469.80029999999999</v>
      </c>
      <c r="H2015" s="1">
        <v>3.5307209999999999E-6</v>
      </c>
      <c r="I2015">
        <v>287.99520000000001</v>
      </c>
      <c r="J2015">
        <v>-410.48410000000001</v>
      </c>
      <c r="K2015">
        <v>1.108911</v>
      </c>
      <c r="L2015">
        <v>282.42009999999999</v>
      </c>
      <c r="M2015">
        <v>-0.99993319999999997</v>
      </c>
      <c r="N2015">
        <v>0</v>
      </c>
      <c r="O2015">
        <v>-6.7488840000000001E-3</v>
      </c>
      <c r="P2015">
        <v>-0.99374379999999995</v>
      </c>
      <c r="Q2015">
        <v>9.8733799999999997E-2</v>
      </c>
      <c r="R2015">
        <v>5.2204449999999999E-2</v>
      </c>
      <c r="S2015">
        <v>-3.0107119999999998</v>
      </c>
      <c r="T2015">
        <v>-5.5913930000000001E-2</v>
      </c>
      <c r="U2015">
        <v>0.28100589999999998</v>
      </c>
      <c r="V2015">
        <v>5.9046510000000003E-2</v>
      </c>
      <c r="W2015">
        <v>0.1079932</v>
      </c>
      <c r="X2015">
        <v>0.99239659999999996</v>
      </c>
      <c r="Y2015">
        <v>9.9631120000000004E-2</v>
      </c>
      <c r="Z2015">
        <v>1.0481430000000001E-3</v>
      </c>
      <c r="AA2015">
        <v>0.99502389999999996</v>
      </c>
      <c r="AB2015">
        <v>39</v>
      </c>
      <c r="AC2015">
        <v>-59.316199999999903</v>
      </c>
      <c r="AD2015">
        <v>-1.108907469279</v>
      </c>
      <c r="AE2015">
        <v>5.5751000000000097</v>
      </c>
      <c r="AF2015">
        <v>5.9732394484494602</v>
      </c>
      <c r="AG2015">
        <v>-1.108907469279</v>
      </c>
      <c r="AH2015">
        <v>59.256692945321099</v>
      </c>
      <c r="AI2015">
        <v>91.066682106600396</v>
      </c>
      <c r="AJ2015">
        <v>84.243869927504306</v>
      </c>
      <c r="AK2015">
        <v>59.5673142260083</v>
      </c>
      <c r="AL2015">
        <v>83.800354874493905</v>
      </c>
      <c r="AM2015">
        <v>86.594978192359093</v>
      </c>
      <c r="AN2015">
        <v>1.0000000166404801</v>
      </c>
    </row>
    <row r="2016" spans="1:40" x14ac:dyDescent="0.25">
      <c r="A2016" t="str">
        <f>"20190312154549340"</f>
        <v>20190312154549340</v>
      </c>
      <c r="B2016" t="str">
        <f>"1552376749329055"</f>
        <v>1552376749329055</v>
      </c>
      <c r="C2016" t="s">
        <v>40</v>
      </c>
      <c r="D2016">
        <v>4.092562</v>
      </c>
      <c r="E2016">
        <v>0.5185611</v>
      </c>
      <c r="F2016" t="s">
        <v>54</v>
      </c>
      <c r="G2016">
        <v>-464.09780000000001</v>
      </c>
      <c r="H2016" s="1">
        <v>5.1524909999999998E-7</v>
      </c>
      <c r="I2016">
        <v>287.5582</v>
      </c>
      <c r="J2016">
        <v>-410.87349999999998</v>
      </c>
      <c r="K2016">
        <v>1.1089770000000001</v>
      </c>
      <c r="L2016">
        <v>282.41789999999997</v>
      </c>
      <c r="M2016">
        <v>-0.99993089999999996</v>
      </c>
      <c r="N2016">
        <v>0</v>
      </c>
      <c r="O2016">
        <v>-6.258525E-3</v>
      </c>
      <c r="P2016">
        <v>-0.99395549999999999</v>
      </c>
      <c r="Q2016">
        <v>9.6244700000000002E-2</v>
      </c>
      <c r="R2016">
        <v>5.2818820000000002E-2</v>
      </c>
      <c r="S2016">
        <v>-3.0098569999999998</v>
      </c>
      <c r="T2016">
        <v>-6.2253950000000002E-2</v>
      </c>
      <c r="U2016">
        <v>0.28845209999999999</v>
      </c>
      <c r="V2016">
        <v>5.9173070000000001E-2</v>
      </c>
      <c r="W2016">
        <v>0.10606169999999999</v>
      </c>
      <c r="X2016">
        <v>0.99259730000000002</v>
      </c>
      <c r="Y2016">
        <v>0.10160429999999999</v>
      </c>
      <c r="Z2016">
        <v>1.177399E-3</v>
      </c>
      <c r="AA2016">
        <v>0.99482420000000005</v>
      </c>
      <c r="AB2016">
        <v>39</v>
      </c>
      <c r="AC2016">
        <v>-53.224299999999999</v>
      </c>
      <c r="AD2016">
        <v>-1.1089764847509</v>
      </c>
      <c r="AE2016">
        <v>5.1403000000000203</v>
      </c>
      <c r="AF2016">
        <v>5.4709682353428404</v>
      </c>
      <c r="AG2016">
        <v>-1.1089764847509</v>
      </c>
      <c r="AH2016">
        <v>53.168216346648599</v>
      </c>
      <c r="AI2016">
        <v>91.188621133274296</v>
      </c>
      <c r="AJ2016">
        <v>84.124985864467206</v>
      </c>
      <c r="AK2016">
        <v>53.460457833429501</v>
      </c>
      <c r="AL2016">
        <v>83.911660727858603</v>
      </c>
      <c r="AM2016">
        <v>86.588385439223401</v>
      </c>
      <c r="AN2016">
        <v>0.99999996819370096</v>
      </c>
    </row>
    <row r="2017" spans="1:40" x14ac:dyDescent="0.25">
      <c r="A2017" t="str">
        <f>"20190312154549362"</f>
        <v>20190312154549362</v>
      </c>
      <c r="B2017" t="str">
        <f>"1552376749348576"</f>
        <v>1552376749348576</v>
      </c>
      <c r="C2017" t="s">
        <v>40</v>
      </c>
      <c r="D2017">
        <v>4.109121</v>
      </c>
      <c r="E2017">
        <v>0.51889969999999996</v>
      </c>
      <c r="F2017" t="s">
        <v>54</v>
      </c>
      <c r="G2017">
        <v>-459.47539999999998</v>
      </c>
      <c r="H2017" s="1">
        <v>3.3940130000000002E-6</v>
      </c>
      <c r="I2017">
        <v>287.16829999999999</v>
      </c>
      <c r="J2017">
        <v>-411.24439999999998</v>
      </c>
      <c r="K2017">
        <v>1.1090420000000001</v>
      </c>
      <c r="L2017">
        <v>282.41609999999997</v>
      </c>
      <c r="M2017">
        <v>-0.99992840000000005</v>
      </c>
      <c r="N2017">
        <v>0</v>
      </c>
      <c r="O2017">
        <v>-5.7828949999999997E-3</v>
      </c>
      <c r="P2017">
        <v>-0.99407389999999995</v>
      </c>
      <c r="Q2017">
        <v>9.4497590000000006E-2</v>
      </c>
      <c r="R2017">
        <v>5.3735060000000001E-2</v>
      </c>
      <c r="S2017">
        <v>-3.009277</v>
      </c>
      <c r="T2017">
        <v>-6.866419E-2</v>
      </c>
      <c r="U2017">
        <v>0.29412840000000001</v>
      </c>
      <c r="V2017">
        <v>5.961528E-2</v>
      </c>
      <c r="W2017">
        <v>0.10484400000000001</v>
      </c>
      <c r="X2017">
        <v>0.99270020000000003</v>
      </c>
      <c r="Y2017">
        <v>0.1030031</v>
      </c>
      <c r="Z2017">
        <v>1.3038289999999901E-3</v>
      </c>
      <c r="AA2017">
        <v>0.99468020000000001</v>
      </c>
      <c r="AB2017">
        <v>39</v>
      </c>
      <c r="AC2017">
        <v>-48.231000000000002</v>
      </c>
      <c r="AD2017">
        <v>-1.1090386059870001</v>
      </c>
      <c r="AE2017">
        <v>4.75220000000001</v>
      </c>
      <c r="AF2017">
        <v>5.0284174912553601</v>
      </c>
      <c r="AG2017">
        <v>-1.1090386059870001</v>
      </c>
      <c r="AH2017">
        <v>48.177482094847598</v>
      </c>
      <c r="AI2017">
        <v>91.311585447161605</v>
      </c>
      <c r="AJ2017">
        <v>84.041454827393395</v>
      </c>
      <c r="AK2017">
        <v>48.451880563042003</v>
      </c>
      <c r="AL2017">
        <v>83.981820987502402</v>
      </c>
      <c r="AM2017">
        <v>86.563306201153395</v>
      </c>
      <c r="AN2017">
        <v>0.99999996651275802</v>
      </c>
    </row>
    <row r="2018" spans="1:40" x14ac:dyDescent="0.25">
      <c r="A2018" t="str">
        <f>"20190312154549385"</f>
        <v>20190312154549385</v>
      </c>
      <c r="B2018" t="str">
        <f>"1552376749378831"</f>
        <v>1552376749378831</v>
      </c>
      <c r="C2018" t="s">
        <v>40</v>
      </c>
      <c r="D2018">
        <v>4.1348900000000004</v>
      </c>
      <c r="E2018">
        <v>0.51916189999999995</v>
      </c>
      <c r="F2018" t="s">
        <v>54</v>
      </c>
      <c r="G2018">
        <v>-457.00220000000002</v>
      </c>
      <c r="H2018" s="1">
        <v>2.0865639999999999E-6</v>
      </c>
      <c r="I2018">
        <v>286.96929999999998</v>
      </c>
      <c r="J2018">
        <v>-411.64449999999999</v>
      </c>
      <c r="K2018">
        <v>1.109094</v>
      </c>
      <c r="L2018">
        <v>282.41419999999999</v>
      </c>
      <c r="M2018">
        <v>-0.99992530000000002</v>
      </c>
      <c r="N2018">
        <v>0</v>
      </c>
      <c r="O2018">
        <v>-5.2626119999999998E-3</v>
      </c>
      <c r="P2018">
        <v>-0.99414150000000001</v>
      </c>
      <c r="Q2018">
        <v>9.3267820000000001E-2</v>
      </c>
      <c r="R2018">
        <v>5.4626809999999998E-2</v>
      </c>
      <c r="S2018">
        <v>-3.0086059999999999</v>
      </c>
      <c r="T2018">
        <v>-7.2920079999999998E-2</v>
      </c>
      <c r="U2018">
        <v>0.29937740000000002</v>
      </c>
      <c r="V2018">
        <v>5.9989849999999997E-2</v>
      </c>
      <c r="W2018">
        <v>0.104155399999999</v>
      </c>
      <c r="X2018">
        <v>0.99275020000000003</v>
      </c>
      <c r="Y2018">
        <v>0.10422190000000001</v>
      </c>
      <c r="Z2018">
        <v>1.38696E-3</v>
      </c>
      <c r="AA2018">
        <v>0.99455309999999997</v>
      </c>
      <c r="AB2018">
        <v>39</v>
      </c>
      <c r="AC2018">
        <v>-45.357700000000001</v>
      </c>
      <c r="AD2018">
        <v>-1.109091913436</v>
      </c>
      <c r="AE2018">
        <v>4.5550999999999799</v>
      </c>
      <c r="AF2018">
        <v>4.7909155008938997</v>
      </c>
      <c r="AG2018">
        <v>-1.109091913436</v>
      </c>
      <c r="AH2018">
        <v>45.306280214679703</v>
      </c>
      <c r="AI2018">
        <v>91.394541119491805</v>
      </c>
      <c r="AJ2018">
        <v>83.963686817002994</v>
      </c>
      <c r="AK2018">
        <v>45.572381801922901</v>
      </c>
      <c r="AL2018">
        <v>84.021492533932005</v>
      </c>
      <c r="AM2018">
        <v>86.541939032948903</v>
      </c>
      <c r="AN2018">
        <v>1.0000000445261099</v>
      </c>
    </row>
    <row r="2019" spans="1:40" x14ac:dyDescent="0.25">
      <c r="A2019" t="str">
        <f>"20190312154549407"</f>
        <v>20190312154549407</v>
      </c>
      <c r="B2019" t="str">
        <f>"1552376749399327"</f>
        <v>1552376749399327</v>
      </c>
      <c r="C2019" t="s">
        <v>40</v>
      </c>
      <c r="D2019">
        <v>4.1117980000000003</v>
      </c>
      <c r="E2019">
        <v>0.51930659999999995</v>
      </c>
      <c r="F2019" t="s">
        <v>54</v>
      </c>
      <c r="G2019">
        <v>-456.14120000000003</v>
      </c>
      <c r="H2019" s="1">
        <v>1.6306469999999999E-6</v>
      </c>
      <c r="I2019">
        <v>286.91820000000001</v>
      </c>
      <c r="J2019">
        <v>-412.02390000000003</v>
      </c>
      <c r="K2019">
        <v>1.109135</v>
      </c>
      <c r="L2019">
        <v>282.41269999999997</v>
      </c>
      <c r="M2019">
        <v>-0.99992259999999999</v>
      </c>
      <c r="N2019">
        <v>0</v>
      </c>
      <c r="O2019">
        <v>-4.7639529999999996E-3</v>
      </c>
      <c r="P2019">
        <v>-0.99414800000000003</v>
      </c>
      <c r="Q2019">
        <v>9.279184E-2</v>
      </c>
      <c r="R2019">
        <v>5.5316360000000002E-2</v>
      </c>
      <c r="S2019">
        <v>-3.0079959999999999</v>
      </c>
      <c r="T2019">
        <v>-7.4975130000000001E-2</v>
      </c>
      <c r="U2019">
        <v>0.30447390000000002</v>
      </c>
      <c r="V2019">
        <v>6.0185849999999999E-2</v>
      </c>
      <c r="W2019">
        <v>0.104146</v>
      </c>
      <c r="X2019">
        <v>0.99273929999999999</v>
      </c>
      <c r="Y2019">
        <v>0.10541200000000001</v>
      </c>
      <c r="Z2019">
        <v>1.4285980000000001E-3</v>
      </c>
      <c r="AA2019">
        <v>0.99442759999999997</v>
      </c>
      <c r="AB2019">
        <v>39</v>
      </c>
      <c r="AC2019">
        <v>-44.1173</v>
      </c>
      <c r="AD2019">
        <v>-1.1091333693530001</v>
      </c>
      <c r="AE2019">
        <v>4.5055000000000396</v>
      </c>
      <c r="AF2019">
        <v>4.7126875962580597</v>
      </c>
      <c r="AG2019">
        <v>-1.1091333693530001</v>
      </c>
      <c r="AH2019">
        <v>44.067768471840203</v>
      </c>
      <c r="AI2019">
        <v>91.433591376422697</v>
      </c>
      <c r="AJ2019">
        <v>83.895884229070901</v>
      </c>
      <c r="AK2019">
        <v>44.332920265854902</v>
      </c>
      <c r="AL2019">
        <v>84.022033923017204</v>
      </c>
      <c r="AM2019">
        <v>86.530630341253598</v>
      </c>
      <c r="AN2019">
        <v>1.00000002181035</v>
      </c>
    </row>
    <row r="2020" spans="1:40" x14ac:dyDescent="0.25">
      <c r="A2020" t="str">
        <f>"20190312154549430"</f>
        <v>20190312154549430</v>
      </c>
      <c r="B2020" t="str">
        <f>"1552376749418848"</f>
        <v>1552376749418848</v>
      </c>
      <c r="C2020" t="s">
        <v>40</v>
      </c>
      <c r="D2020">
        <v>4.1140249999999998</v>
      </c>
      <c r="E2020">
        <v>0.51949400000000001</v>
      </c>
      <c r="F2020" t="s">
        <v>54</v>
      </c>
      <c r="G2020">
        <v>-456.41739999999999</v>
      </c>
      <c r="H2020" s="1">
        <v>1.7760729999999999E-6</v>
      </c>
      <c r="I2020">
        <v>286.95330000000001</v>
      </c>
      <c r="J2020">
        <v>-412.42380000000003</v>
      </c>
      <c r="K2020">
        <v>1.1091599999999999</v>
      </c>
      <c r="L2020">
        <v>282.41129999999998</v>
      </c>
      <c r="M2020">
        <v>-0.99991949999999996</v>
      </c>
      <c r="N2020">
        <v>0</v>
      </c>
      <c r="O2020">
        <v>-4.2313489999999997E-3</v>
      </c>
      <c r="P2020">
        <v>-0.99409550000000002</v>
      </c>
      <c r="Q2020">
        <v>9.3070829999999993E-2</v>
      </c>
      <c r="R2020">
        <v>5.5786200000000001E-2</v>
      </c>
      <c r="S2020">
        <v>-3.0075379999999998</v>
      </c>
      <c r="T2020">
        <v>-7.5140709999999999E-2</v>
      </c>
      <c r="U2020">
        <v>0.30761719999999998</v>
      </c>
      <c r="V2020">
        <v>6.0130549999999998E-2</v>
      </c>
      <c r="W2020">
        <v>0.1048658</v>
      </c>
      <c r="X2020">
        <v>0.99266679999999996</v>
      </c>
      <c r="Y2020">
        <v>0.10592600000000001</v>
      </c>
      <c r="Z2020">
        <v>1.4250249999999999E-3</v>
      </c>
      <c r="AA2020">
        <v>0.99437299999999995</v>
      </c>
      <c r="AB2020">
        <v>39</v>
      </c>
      <c r="AC2020">
        <v>-43.993599999999901</v>
      </c>
      <c r="AD2020">
        <v>-1.1091582239269999</v>
      </c>
      <c r="AE2020">
        <v>4.54200000000003</v>
      </c>
      <c r="AF2020">
        <v>4.7251531304922896</v>
      </c>
      <c r="AG2020">
        <v>-1.1091582239269999</v>
      </c>
      <c r="AH2020">
        <v>43.946346698810302</v>
      </c>
      <c r="AI2020">
        <v>91.437494645041198</v>
      </c>
      <c r="AJ2020">
        <v>83.863079791232593</v>
      </c>
      <c r="AK2020">
        <v>44.213557787677999</v>
      </c>
      <c r="AL2020">
        <v>83.9805649007169</v>
      </c>
      <c r="AM2020">
        <v>86.533557756188102</v>
      </c>
      <c r="AN2020">
        <v>0.99999994743758902</v>
      </c>
    </row>
    <row r="2021" spans="1:40" x14ac:dyDescent="0.25">
      <c r="A2021" t="str">
        <f>"20190312154549452"</f>
        <v>20190312154549452</v>
      </c>
      <c r="B2021" t="str">
        <f>"1552376749439344"</f>
        <v>1552376749439344</v>
      </c>
      <c r="C2021" t="s">
        <v>40</v>
      </c>
      <c r="D2021">
        <v>4.1115370000000002</v>
      </c>
      <c r="E2021">
        <v>0.5195419</v>
      </c>
      <c r="F2021" t="s">
        <v>54</v>
      </c>
      <c r="G2021">
        <v>-458.68799999999999</v>
      </c>
      <c r="H2021" s="1">
        <v>2.9738229999999998E-6</v>
      </c>
      <c r="I2021">
        <v>287.19420000000002</v>
      </c>
      <c r="J2021">
        <v>-412.79480000000001</v>
      </c>
      <c r="K2021">
        <v>1.1091709999999999</v>
      </c>
      <c r="L2021">
        <v>282.41019999999997</v>
      </c>
      <c r="M2021">
        <v>-0.99991730000000001</v>
      </c>
      <c r="N2021">
        <v>0</v>
      </c>
      <c r="O2021">
        <v>-3.7216150000000002E-3</v>
      </c>
      <c r="P2021">
        <v>-0.99408050000000003</v>
      </c>
      <c r="Q2021">
        <v>9.3534320000000004E-2</v>
      </c>
      <c r="R2021">
        <v>5.5276489999999998E-2</v>
      </c>
      <c r="S2021">
        <v>-3.0071409999999998</v>
      </c>
      <c r="T2021">
        <v>-7.2094560000000002E-2</v>
      </c>
      <c r="U2021">
        <v>0.31088259999999901</v>
      </c>
      <c r="V2021">
        <v>5.9119430000000001E-2</v>
      </c>
      <c r="W2021">
        <v>0.1056966</v>
      </c>
      <c r="X2021">
        <v>0.99263950000000001</v>
      </c>
      <c r="Y2021">
        <v>0.1065035</v>
      </c>
      <c r="Z2021">
        <v>1.3620920000000001E-3</v>
      </c>
      <c r="AA2021">
        <v>0.99431139999999996</v>
      </c>
      <c r="AB2021">
        <v>39</v>
      </c>
      <c r="AC2021">
        <v>-45.8932</v>
      </c>
      <c r="AD2021">
        <v>-1.1091680261769901</v>
      </c>
      <c r="AE2021">
        <v>4.7840000000000398</v>
      </c>
      <c r="AF2021">
        <v>4.9519152366068102</v>
      </c>
      <c r="AG2021">
        <v>-1.1091680261769901</v>
      </c>
      <c r="AH2021">
        <v>45.8485836348286</v>
      </c>
      <c r="AI2021">
        <v>91.377818161714501</v>
      </c>
      <c r="AJ2021">
        <v>83.835616254097204</v>
      </c>
      <c r="AK2021">
        <v>46.128563163626701</v>
      </c>
      <c r="AL2021">
        <v>83.9326980281147</v>
      </c>
      <c r="AM2021">
        <v>86.591615315588797</v>
      </c>
      <c r="AN2021">
        <v>1.0000000276076599</v>
      </c>
    </row>
    <row r="2022" spans="1:40" x14ac:dyDescent="0.25">
      <c r="A2022" t="str">
        <f>"20190312154549474"</f>
        <v>20190312154549474</v>
      </c>
      <c r="B2022" t="str">
        <f>"1552376749468624"</f>
        <v>1552376749468624</v>
      </c>
      <c r="C2022" t="s">
        <v>40</v>
      </c>
      <c r="D2022">
        <v>4.2030900000000004</v>
      </c>
      <c r="E2022">
        <v>0.5196326</v>
      </c>
      <c r="F2022" t="s">
        <v>54</v>
      </c>
      <c r="G2022">
        <v>-461.61799999999999</v>
      </c>
      <c r="H2022" s="1">
        <v>-7.9923819999999903E-7</v>
      </c>
      <c r="I2022">
        <v>287.4409</v>
      </c>
      <c r="J2022">
        <v>-413.19319999999999</v>
      </c>
      <c r="K2022">
        <v>1.1091709999999999</v>
      </c>
      <c r="L2022">
        <v>282.4092</v>
      </c>
      <c r="M2022">
        <v>-0.99991479999999999</v>
      </c>
      <c r="N2022">
        <v>0</v>
      </c>
      <c r="O2022">
        <v>-3.1385269999999999E-3</v>
      </c>
      <c r="P2022">
        <v>-0.99414270000000005</v>
      </c>
      <c r="Q2022">
        <v>9.3104039999999999E-2</v>
      </c>
      <c r="R2022">
        <v>5.4884040000000002E-2</v>
      </c>
      <c r="S2022">
        <v>-3.00705</v>
      </c>
      <c r="T2022">
        <v>-6.8314550000000002E-2</v>
      </c>
      <c r="U2022">
        <v>0.30984499999999998</v>
      </c>
      <c r="V2022">
        <v>5.8154030000000002E-2</v>
      </c>
      <c r="W2022">
        <v>0.105616</v>
      </c>
      <c r="X2022">
        <v>0.99270510000000001</v>
      </c>
      <c r="Y2022">
        <v>0.1055908</v>
      </c>
      <c r="Z2022">
        <v>1.2672060000000001E-3</v>
      </c>
      <c r="AA2022">
        <v>0.99440879999999998</v>
      </c>
      <c r="AB2022">
        <v>39</v>
      </c>
      <c r="AC2022">
        <v>-48.424799999999998</v>
      </c>
      <c r="AD2022">
        <v>-1.1091717992382</v>
      </c>
      <c r="AE2022">
        <v>5.0316999999999998</v>
      </c>
      <c r="AF2022">
        <v>5.1809808379754498</v>
      </c>
      <c r="AG2022">
        <v>-1.1091717992382</v>
      </c>
      <c r="AH2022">
        <v>48.383655170470199</v>
      </c>
      <c r="AI2022">
        <v>91.305785525669904</v>
      </c>
      <c r="AJ2022">
        <v>83.887987907333397</v>
      </c>
      <c r="AK2022">
        <v>48.672897100734197</v>
      </c>
      <c r="AL2022">
        <v>83.937342034479201</v>
      </c>
      <c r="AM2022">
        <v>86.647366099840198</v>
      </c>
      <c r="AN2022">
        <v>1.0000000231136199</v>
      </c>
    </row>
    <row r="2023" spans="1:40" x14ac:dyDescent="0.25">
      <c r="A2023" t="str">
        <f>"20190312154549496"</f>
        <v>20190312154549496</v>
      </c>
      <c r="B2023" t="str">
        <f>"1552376749489120"</f>
        <v>1552376749489120</v>
      </c>
      <c r="C2023" t="s">
        <v>40</v>
      </c>
      <c r="D2023">
        <v>4.209282</v>
      </c>
      <c r="E2023">
        <v>0.51950620000000003</v>
      </c>
      <c r="F2023" t="s">
        <v>54</v>
      </c>
      <c r="G2023">
        <v>-462.149</v>
      </c>
      <c r="H2023" s="1">
        <v>-5.1706040000000002E-7</v>
      </c>
      <c r="I2023">
        <v>287.44990000000001</v>
      </c>
      <c r="J2023">
        <v>-413.57499999999999</v>
      </c>
      <c r="K2023">
        <v>1.109159</v>
      </c>
      <c r="L2023">
        <v>282.40859999999998</v>
      </c>
      <c r="M2023">
        <v>-0.99991280000000005</v>
      </c>
      <c r="N2023">
        <v>0</v>
      </c>
      <c r="O2023">
        <v>-2.5266569999999999E-3</v>
      </c>
      <c r="P2023">
        <v>-0.99418399999999996</v>
      </c>
      <c r="Q2023">
        <v>9.3083750000000007E-2</v>
      </c>
      <c r="R2023">
        <v>5.4167010000000002E-2</v>
      </c>
      <c r="S2023">
        <v>-3.0069270000000001</v>
      </c>
      <c r="T2023">
        <v>-6.8126800000000001E-2</v>
      </c>
      <c r="U2023">
        <v>0.30960079999999901</v>
      </c>
      <c r="V2023">
        <v>5.6838550000000002E-2</v>
      </c>
      <c r="W2023">
        <v>0.1058905</v>
      </c>
      <c r="X2023">
        <v>0.99275199999999997</v>
      </c>
      <c r="Y2023">
        <v>0.1049071</v>
      </c>
      <c r="Z2023">
        <v>1.2422290000000001E-3</v>
      </c>
      <c r="AA2023">
        <v>0.99448130000000001</v>
      </c>
      <c r="AB2023">
        <v>39</v>
      </c>
      <c r="AC2023">
        <v>-48.573999999999998</v>
      </c>
      <c r="AD2023">
        <v>-1.1091595170604001</v>
      </c>
      <c r="AE2023">
        <v>5.0413000000000299</v>
      </c>
      <c r="AF2023">
        <v>5.1613615417500203</v>
      </c>
      <c r="AG2023">
        <v>-1.1091595170604001</v>
      </c>
      <c r="AH2023">
        <v>48.536068666661798</v>
      </c>
      <c r="AI2023">
        <v>91.301773753036301</v>
      </c>
      <c r="AJ2023">
        <v>83.929936524474599</v>
      </c>
      <c r="AK2023">
        <v>48.822329414048298</v>
      </c>
      <c r="AL2023">
        <v>83.921525364744497</v>
      </c>
      <c r="AM2023">
        <v>86.723192036265402</v>
      </c>
      <c r="AN2023">
        <v>0.99999997613017499</v>
      </c>
    </row>
    <row r="2024" spans="1:40" x14ac:dyDescent="0.25">
      <c r="A2024" t="str">
        <f>"20190312154549520"</f>
        <v>20190312154549520</v>
      </c>
      <c r="B2024" t="str">
        <f>"1552376749508639"</f>
        <v>1552376749508639</v>
      </c>
      <c r="C2024" t="s">
        <v>40</v>
      </c>
      <c r="D2024">
        <v>4.1199389999999996</v>
      </c>
      <c r="E2024">
        <v>0.51935849999999995</v>
      </c>
      <c r="F2024" t="s">
        <v>54</v>
      </c>
      <c r="G2024">
        <v>-461.7165</v>
      </c>
      <c r="H2024" s="1">
        <v>-7.4113519999999998E-7</v>
      </c>
      <c r="I2024">
        <v>287.31049999999999</v>
      </c>
      <c r="J2024">
        <v>-413.96839999999997</v>
      </c>
      <c r="K2024">
        <v>1.1091299999999999</v>
      </c>
      <c r="L2024">
        <v>282.4083</v>
      </c>
      <c r="M2024">
        <v>-0.99991050000000004</v>
      </c>
      <c r="N2024">
        <v>0</v>
      </c>
      <c r="O2024">
        <v>-1.824787E-3</v>
      </c>
      <c r="P2024">
        <v>-0.99418269999999997</v>
      </c>
      <c r="Q2024">
        <v>9.3420340000000004E-2</v>
      </c>
      <c r="R2024">
        <v>5.360562E-2</v>
      </c>
      <c r="S2024">
        <v>-3.007355</v>
      </c>
      <c r="T2024">
        <v>-6.9288249999999996E-2</v>
      </c>
      <c r="U2024">
        <v>0.30621340000000002</v>
      </c>
      <c r="V2024">
        <v>5.5593549999999999E-2</v>
      </c>
      <c r="W2024">
        <v>0.1064903</v>
      </c>
      <c r="X2024">
        <v>0.99275840000000004</v>
      </c>
      <c r="Y2024">
        <v>0.1030856</v>
      </c>
      <c r="Z2024">
        <v>1.22624E-3</v>
      </c>
      <c r="AA2024">
        <v>0.99467179999999999</v>
      </c>
      <c r="AB2024">
        <v>39</v>
      </c>
      <c r="AC2024">
        <v>-47.748100000000001</v>
      </c>
      <c r="AD2024">
        <v>-1.1091307411352</v>
      </c>
      <c r="AE2024">
        <v>4.9021999999999899</v>
      </c>
      <c r="AF2024">
        <v>4.9866669786306597</v>
      </c>
      <c r="AG2024">
        <v>-1.1091307411352</v>
      </c>
      <c r="AH2024">
        <v>47.7135976220071</v>
      </c>
      <c r="AI2024">
        <v>91.324423385986407</v>
      </c>
      <c r="AJ2024">
        <v>84.033536017891606</v>
      </c>
      <c r="AK2024">
        <v>47.986294049358499</v>
      </c>
      <c r="AL2024">
        <v>83.886964291886997</v>
      </c>
      <c r="AM2024">
        <v>86.7948370226337</v>
      </c>
      <c r="AN2024">
        <v>1.0000000337831201</v>
      </c>
    </row>
    <row r="2025" spans="1:40" x14ac:dyDescent="0.25">
      <c r="A2025" t="str">
        <f>"20190312154549541"</f>
        <v>20190312154549541</v>
      </c>
      <c r="B2025" t="str">
        <f>"1552376749529136"</f>
        <v>1552376749529136</v>
      </c>
      <c r="C2025" t="s">
        <v>40</v>
      </c>
      <c r="D2025">
        <v>4.1925970000000001</v>
      </c>
      <c r="E2025">
        <v>0.51923370000000002</v>
      </c>
      <c r="F2025" t="s">
        <v>54</v>
      </c>
      <c r="G2025">
        <v>-461.29450000000003</v>
      </c>
      <c r="H2025" s="1">
        <v>-9.5999959999999995E-7</v>
      </c>
      <c r="I2025">
        <v>287.18029999999999</v>
      </c>
      <c r="J2025">
        <v>-414.34539999999998</v>
      </c>
      <c r="K2025">
        <v>1.109081</v>
      </c>
      <c r="L2025">
        <v>282.4083</v>
      </c>
      <c r="M2025">
        <v>-0.99990860000000004</v>
      </c>
      <c r="N2025">
        <v>0</v>
      </c>
      <c r="O2025">
        <v>-1.0678930000000001E-3</v>
      </c>
      <c r="P2025">
        <v>-0.9942223</v>
      </c>
      <c r="Q2025">
        <v>9.3106350000000004E-2</v>
      </c>
      <c r="R2025">
        <v>5.3415709999999998E-2</v>
      </c>
      <c r="S2025">
        <v>-3.0078429999999998</v>
      </c>
      <c r="T2025">
        <v>-7.049155E-2</v>
      </c>
      <c r="U2025">
        <v>0.30328369999999999</v>
      </c>
      <c r="V2025">
        <v>5.4667510000000002E-2</v>
      </c>
      <c r="W2025">
        <v>0.106395</v>
      </c>
      <c r="X2025">
        <v>0.99282000000000004</v>
      </c>
      <c r="Y2025">
        <v>0.101357</v>
      </c>
      <c r="Z2025">
        <v>1.2094950000000001E-3</v>
      </c>
      <c r="AA2025">
        <v>0.99484939999999999</v>
      </c>
      <c r="AB2025">
        <v>38</v>
      </c>
      <c r="AC2025">
        <v>-46.949100000000001</v>
      </c>
      <c r="AD2025">
        <v>-1.1090819599996</v>
      </c>
      <c r="AE2025">
        <v>4.7719999999999896</v>
      </c>
      <c r="AF2025">
        <v>4.8194764429826797</v>
      </c>
      <c r="AG2025">
        <v>-1.1090819599996</v>
      </c>
      <c r="AH2025">
        <v>46.918061903578199</v>
      </c>
      <c r="AI2025">
        <v>91.347059958863895</v>
      </c>
      <c r="AJ2025">
        <v>84.135083075961006</v>
      </c>
      <c r="AK2025">
        <v>47.177981609713399</v>
      </c>
      <c r="AL2025">
        <v>83.892455524610796</v>
      </c>
      <c r="AM2025">
        <v>86.848313085340706</v>
      </c>
      <c r="AN2025">
        <v>0.99999999253729999</v>
      </c>
    </row>
    <row r="2026" spans="1:40" x14ac:dyDescent="0.25">
      <c r="A2026" t="str">
        <f>"20190312154549563"</f>
        <v>20190312154549563</v>
      </c>
      <c r="B2026" t="str">
        <f>"1552376749558416"</f>
        <v>1552376749558416</v>
      </c>
      <c r="C2026" t="s">
        <v>40</v>
      </c>
      <c r="D2026">
        <v>4.171303</v>
      </c>
      <c r="E2026">
        <v>0.51919749999999998</v>
      </c>
      <c r="F2026" t="s">
        <v>54</v>
      </c>
      <c r="G2026">
        <v>-460.6549</v>
      </c>
      <c r="H2026" s="1">
        <v>-1.2946939999999999E-6</v>
      </c>
      <c r="I2026">
        <v>287.05029999999999</v>
      </c>
      <c r="J2026">
        <v>-414.71780000000001</v>
      </c>
      <c r="K2026">
        <v>1.1090199999999999</v>
      </c>
      <c r="L2026">
        <v>282.40870000000001</v>
      </c>
      <c r="M2026">
        <v>-0.99990659999999998</v>
      </c>
      <c r="N2026">
        <v>0</v>
      </c>
      <c r="O2026">
        <v>-2.26243E-4</v>
      </c>
      <c r="P2026">
        <v>-0.99422010000000005</v>
      </c>
      <c r="Q2026">
        <v>9.2783190000000001E-2</v>
      </c>
      <c r="R2026">
        <v>5.401748E-2</v>
      </c>
      <c r="S2026">
        <v>-3.007965</v>
      </c>
      <c r="T2026">
        <v>-7.2038889999999994E-2</v>
      </c>
      <c r="U2026">
        <v>0.3015137</v>
      </c>
      <c r="V2026">
        <v>5.4452029999999998E-2</v>
      </c>
      <c r="W2026">
        <v>0.10625709999999999</v>
      </c>
      <c r="X2026">
        <v>0.99284660000000002</v>
      </c>
      <c r="Y2026">
        <v>9.9935300000000005E-2</v>
      </c>
      <c r="Z2026">
        <v>1.1989380000000001E-3</v>
      </c>
      <c r="AA2026">
        <v>0.99499320000000002</v>
      </c>
      <c r="AB2026">
        <v>38</v>
      </c>
      <c r="AC2026">
        <v>-45.937100000000001</v>
      </c>
      <c r="AD2026">
        <v>-1.1090212946939999</v>
      </c>
      <c r="AE2026">
        <v>4.64159999999998</v>
      </c>
      <c r="AF2026">
        <v>4.64931136057612</v>
      </c>
      <c r="AG2026">
        <v>-1.1090212946939999</v>
      </c>
      <c r="AH2026">
        <v>45.9095608950635</v>
      </c>
      <c r="AI2026">
        <v>91.376765888250603</v>
      </c>
      <c r="AJ2026">
        <v>84.217308844097303</v>
      </c>
      <c r="AK2026">
        <v>46.157705813192301</v>
      </c>
      <c r="AL2026">
        <v>83.900401598378593</v>
      </c>
      <c r="AM2026">
        <v>86.860794962885805</v>
      </c>
      <c r="AN2026">
        <v>0.99999998300154502</v>
      </c>
    </row>
    <row r="2027" spans="1:40" x14ac:dyDescent="0.25">
      <c r="A2027" t="str">
        <f>"20190312154549586"</f>
        <v>20190312154549586</v>
      </c>
      <c r="B2027" t="str">
        <f>"1552376749578915"</f>
        <v>1552376749578915</v>
      </c>
      <c r="C2027" t="s">
        <v>40</v>
      </c>
      <c r="D2027">
        <v>4.1421890000000001</v>
      </c>
      <c r="E2027">
        <v>0.519208</v>
      </c>
      <c r="F2027" t="s">
        <v>54</v>
      </c>
      <c r="G2027">
        <v>-460.11200000000002</v>
      </c>
      <c r="H2027" s="1">
        <v>-1.580671E-6</v>
      </c>
      <c r="I2027">
        <v>286.98360000000002</v>
      </c>
      <c r="J2027">
        <v>-415.1078</v>
      </c>
      <c r="K2027">
        <v>1.1089389999999999</v>
      </c>
      <c r="L2027">
        <v>282.40960000000001</v>
      </c>
      <c r="M2027">
        <v>-0.99990400000000002</v>
      </c>
      <c r="N2027">
        <v>0</v>
      </c>
      <c r="O2027">
        <v>7.7295539999999903E-4</v>
      </c>
      <c r="P2027">
        <v>-0.99421990000000005</v>
      </c>
      <c r="Q2027">
        <v>9.2239379999999996E-2</v>
      </c>
      <c r="R2027">
        <v>5.494487E-2</v>
      </c>
      <c r="S2027">
        <v>-3.0078130000000001</v>
      </c>
      <c r="T2027">
        <v>-7.3483590000000001E-2</v>
      </c>
      <c r="U2027">
        <v>0.30313109999999999</v>
      </c>
      <c r="V2027">
        <v>5.440884E-2</v>
      </c>
      <c r="W2027">
        <v>0.1058772</v>
      </c>
      <c r="X2027">
        <v>0.99288960000000004</v>
      </c>
      <c r="Y2027">
        <v>9.9474999999999994E-2</v>
      </c>
      <c r="Z2027">
        <v>1.1930479999999999E-3</v>
      </c>
      <c r="AA2027">
        <v>0.99503929999999996</v>
      </c>
      <c r="AB2027">
        <v>38</v>
      </c>
      <c r="AC2027">
        <v>-45.004199999999898</v>
      </c>
      <c r="AD2027">
        <v>-1.108940580671</v>
      </c>
      <c r="AE2027">
        <v>4.5740000000000096</v>
      </c>
      <c r="AF2027">
        <v>4.5364828085860296</v>
      </c>
      <c r="AG2027">
        <v>-1.108940580671</v>
      </c>
      <c r="AH2027">
        <v>44.980690682432602</v>
      </c>
      <c r="AI2027">
        <v>91.405141778155695</v>
      </c>
      <c r="AJ2027">
        <v>84.2409645450211</v>
      </c>
      <c r="AK2027">
        <v>45.222471844789098</v>
      </c>
      <c r="AL2027">
        <v>83.922292038728102</v>
      </c>
      <c r="AM2027">
        <v>86.863415501997096</v>
      </c>
      <c r="AN2027">
        <v>1.0000000305690699</v>
      </c>
    </row>
    <row r="2028" spans="1:40" x14ac:dyDescent="0.25">
      <c r="A2028" t="str">
        <f>"20190312154549608"</f>
        <v>20190312154549608</v>
      </c>
      <c r="B2028" t="str">
        <f>"1552376749598432"</f>
        <v>1552376749598432</v>
      </c>
      <c r="C2028" t="s">
        <v>40</v>
      </c>
      <c r="D2028">
        <v>4.1064030000000002</v>
      </c>
      <c r="E2028">
        <v>0.51925239999999995</v>
      </c>
      <c r="F2028" t="s">
        <v>54</v>
      </c>
      <c r="G2028">
        <v>-459.31450000000001</v>
      </c>
      <c r="H2028" s="1">
        <v>3.3196910000000001E-6</v>
      </c>
      <c r="I2028">
        <v>286.90960000000001</v>
      </c>
      <c r="J2028">
        <v>-415.48950000000002</v>
      </c>
      <c r="K2028">
        <v>1.10886</v>
      </c>
      <c r="L2028">
        <v>282.41090000000003</v>
      </c>
      <c r="M2028">
        <v>-0.99990049999999997</v>
      </c>
      <c r="N2028">
        <v>0</v>
      </c>
      <c r="O2028">
        <v>1.8576129999999999E-3</v>
      </c>
      <c r="P2028">
        <v>-0.99414559999999996</v>
      </c>
      <c r="Q2028">
        <v>9.2247529999999994E-2</v>
      </c>
      <c r="R2028">
        <v>5.6258269999999999E-2</v>
      </c>
      <c r="S2028">
        <v>-3.007568</v>
      </c>
      <c r="T2028">
        <v>-7.5445650000000003E-2</v>
      </c>
      <c r="U2028">
        <v>0.30615229999999999</v>
      </c>
      <c r="V2028">
        <v>5.4668040000000001E-2</v>
      </c>
      <c r="W2028">
        <v>0.1060204</v>
      </c>
      <c r="X2028">
        <v>0.99285999999999996</v>
      </c>
      <c r="Y2028">
        <v>9.9391859999999999E-2</v>
      </c>
      <c r="Z2028">
        <v>1.196754E-3</v>
      </c>
      <c r="AA2028">
        <v>0.99504760000000003</v>
      </c>
      <c r="AB2028">
        <v>38</v>
      </c>
      <c r="AC2028">
        <v>-43.824999999999903</v>
      </c>
      <c r="AD2028">
        <v>-1.1088566803090001</v>
      </c>
      <c r="AE2028">
        <v>4.4986999999999799</v>
      </c>
      <c r="AF2028">
        <v>4.41447776304173</v>
      </c>
      <c r="AG2028">
        <v>-1.1088566803090001</v>
      </c>
      <c r="AH2028">
        <v>43.805530716454001</v>
      </c>
      <c r="AI2028">
        <v>91.442723774081301</v>
      </c>
      <c r="AJ2028">
        <v>84.245477506787694</v>
      </c>
      <c r="AK2028">
        <v>44.0413634939706</v>
      </c>
      <c r="AL2028">
        <v>83.914040348217398</v>
      </c>
      <c r="AM2028">
        <v>86.848409310753794</v>
      </c>
      <c r="AN2028">
        <v>0.99999994970679895</v>
      </c>
    </row>
    <row r="2029" spans="1:40" x14ac:dyDescent="0.25">
      <c r="A2029" t="str">
        <f>"20190312154549630"</f>
        <v>20190312154549630</v>
      </c>
      <c r="B2029" t="str">
        <f>"1552376749618927"</f>
        <v>1552376749618927</v>
      </c>
      <c r="C2029" t="s">
        <v>40</v>
      </c>
      <c r="D2029">
        <v>4.0940279999999998</v>
      </c>
      <c r="E2029">
        <v>0.51926850000000002</v>
      </c>
      <c r="F2029" t="s">
        <v>54</v>
      </c>
      <c r="G2029">
        <v>-459.7355</v>
      </c>
      <c r="H2029" s="1">
        <v>3.5408449999999998E-6</v>
      </c>
      <c r="I2029">
        <v>286.97579999999999</v>
      </c>
      <c r="J2029">
        <v>-415.86959999999999</v>
      </c>
      <c r="K2029">
        <v>1.1087899999999999</v>
      </c>
      <c r="L2029">
        <v>282.4128</v>
      </c>
      <c r="M2029">
        <v>-0.9998958</v>
      </c>
      <c r="N2029">
        <v>0</v>
      </c>
      <c r="O2029">
        <v>3.0284169999999998E-3</v>
      </c>
      <c r="P2029">
        <v>-0.99410810000000005</v>
      </c>
      <c r="Q2029">
        <v>9.1702270000000002E-2</v>
      </c>
      <c r="R2029">
        <v>5.7794159999999997E-2</v>
      </c>
      <c r="S2029">
        <v>-3.0070800000000002</v>
      </c>
      <c r="T2029">
        <v>-7.536089E-2</v>
      </c>
      <c r="U2029">
        <v>0.31024170000000001</v>
      </c>
      <c r="V2029">
        <v>5.5060970000000001E-2</v>
      </c>
      <c r="W2029">
        <v>0.1055918</v>
      </c>
      <c r="X2029">
        <v>0.99288399999999999</v>
      </c>
      <c r="Y2029">
        <v>9.9582489999999996E-2</v>
      </c>
      <c r="Z2029">
        <v>1.1686419999999999E-3</v>
      </c>
      <c r="AA2029">
        <v>0.99502860000000004</v>
      </c>
      <c r="AB2029">
        <v>38</v>
      </c>
      <c r="AC2029">
        <v>-43.865900000000003</v>
      </c>
      <c r="AD2029">
        <v>-1.1087864591549901</v>
      </c>
      <c r="AE2029">
        <v>4.5629999999999802</v>
      </c>
      <c r="AF2029">
        <v>4.4273232052643703</v>
      </c>
      <c r="AG2029">
        <v>-1.1087864591549901</v>
      </c>
      <c r="AH2029">
        <v>43.851801279846697</v>
      </c>
      <c r="AI2029">
        <v>91.441084047083194</v>
      </c>
      <c r="AJ2029">
        <v>84.234894047058503</v>
      </c>
      <c r="AK2029">
        <v>44.088672849872097</v>
      </c>
      <c r="AL2029">
        <v>83.938736175835203</v>
      </c>
      <c r="AM2029">
        <v>86.825879778943701</v>
      </c>
      <c r="AN2029">
        <v>0.99999998805029</v>
      </c>
    </row>
    <row r="2030" spans="1:40" x14ac:dyDescent="0.25">
      <c r="A2030" t="str">
        <f>"20190312154549653"</f>
        <v>20190312154549653</v>
      </c>
      <c r="B2030" t="str">
        <f>"1552376749638448"</f>
        <v>1552376749638448</v>
      </c>
      <c r="C2030" t="s">
        <v>40</v>
      </c>
      <c r="D2030">
        <v>4.0452830000000004</v>
      </c>
      <c r="E2030">
        <v>0.51923079999999999</v>
      </c>
      <c r="F2030" t="s">
        <v>54</v>
      </c>
      <c r="G2030">
        <v>-459.49540000000002</v>
      </c>
      <c r="H2030" s="1">
        <v>3.4126339999999998E-6</v>
      </c>
      <c r="I2030">
        <v>286.98579999999998</v>
      </c>
      <c r="J2030">
        <v>-416.25110000000001</v>
      </c>
      <c r="K2030">
        <v>1.1087229999999999</v>
      </c>
      <c r="L2030">
        <v>282.4151</v>
      </c>
      <c r="M2030">
        <v>-0.99988960000000005</v>
      </c>
      <c r="N2030">
        <v>0</v>
      </c>
      <c r="O2030">
        <v>4.2895169999999996E-3</v>
      </c>
      <c r="P2030">
        <v>-0.99404199999999998</v>
      </c>
      <c r="Q2030">
        <v>9.1253009999999996E-2</v>
      </c>
      <c r="R2030">
        <v>5.9613039999999999E-2</v>
      </c>
      <c r="S2030">
        <v>-3.0064700000000002</v>
      </c>
      <c r="T2030">
        <v>-7.6411960000000001E-2</v>
      </c>
      <c r="U2030">
        <v>0.31515500000000002</v>
      </c>
      <c r="V2030">
        <v>5.5645479999999997E-2</v>
      </c>
      <c r="W2030">
        <v>0.1052419</v>
      </c>
      <c r="X2030">
        <v>0.99288860000000001</v>
      </c>
      <c r="Y2030">
        <v>9.9956299999999998E-2</v>
      </c>
      <c r="Z2030">
        <v>1.1578529999999999E-3</v>
      </c>
      <c r="AA2030">
        <v>0.99499119999999996</v>
      </c>
      <c r="AB2030">
        <v>38</v>
      </c>
      <c r="AC2030">
        <v>-43.244300000000003</v>
      </c>
      <c r="AD2030">
        <v>-1.1087195873659901</v>
      </c>
      <c r="AE2030">
        <v>4.57069999999998</v>
      </c>
      <c r="AF2030">
        <v>4.3822932043612202</v>
      </c>
      <c r="AG2030">
        <v>-1.1087195873659901</v>
      </c>
      <c r="AH2030">
        <v>43.235404060165699</v>
      </c>
      <c r="AI2030">
        <v>91.461474085957903</v>
      </c>
      <c r="AJ2030">
        <v>84.212328655617796</v>
      </c>
      <c r="AK2030">
        <v>43.471069886744097</v>
      </c>
      <c r="AL2030">
        <v>83.958896520130196</v>
      </c>
      <c r="AM2030">
        <v>86.792269141408795</v>
      </c>
      <c r="AN2030">
        <v>1.000000024485</v>
      </c>
    </row>
    <row r="2031" spans="1:40" x14ac:dyDescent="0.25">
      <c r="A2031" t="str">
        <f>"20190312154549675"</f>
        <v>20190312154549675</v>
      </c>
      <c r="B2031" t="str">
        <f>"1552376749668704"</f>
        <v>1552376749668704</v>
      </c>
      <c r="C2031" t="s">
        <v>40</v>
      </c>
      <c r="D2031">
        <v>4.0002529999999998</v>
      </c>
      <c r="E2031">
        <v>0.51932259999999997</v>
      </c>
      <c r="F2031" t="s">
        <v>54</v>
      </c>
      <c r="G2031">
        <v>-459.68630000000002</v>
      </c>
      <c r="H2031" s="1">
        <v>3.5117510000000001E-6</v>
      </c>
      <c r="I2031">
        <v>287.04199999999997</v>
      </c>
      <c r="J2031">
        <v>-416.63350000000003</v>
      </c>
      <c r="K2031">
        <v>1.108665</v>
      </c>
      <c r="L2031">
        <v>282.41800000000001</v>
      </c>
      <c r="M2031">
        <v>-0.99988149999999998</v>
      </c>
      <c r="N2031">
        <v>0</v>
      </c>
      <c r="O2031">
        <v>5.6323819999999896E-3</v>
      </c>
      <c r="P2031">
        <v>-0.99395140000000004</v>
      </c>
      <c r="Q2031">
        <v>9.0889120000000004E-2</v>
      </c>
      <c r="R2031">
        <v>6.1643389999999999E-2</v>
      </c>
      <c r="S2031">
        <v>-3.0058289999999999</v>
      </c>
      <c r="T2031">
        <v>-7.6726199999999994E-2</v>
      </c>
      <c r="U2031">
        <v>0.32019039999999999</v>
      </c>
      <c r="V2031">
        <v>5.6358770000000002E-2</v>
      </c>
      <c r="W2031">
        <v>0.1049626</v>
      </c>
      <c r="X2031">
        <v>0.99287789999999998</v>
      </c>
      <c r="Y2031">
        <v>0.1002905</v>
      </c>
      <c r="Z2031">
        <v>1.132835E-3</v>
      </c>
      <c r="AA2031">
        <v>0.9949576</v>
      </c>
      <c r="AB2031">
        <v>38</v>
      </c>
      <c r="AC2031">
        <v>-43.052799999999898</v>
      </c>
      <c r="AD2031">
        <v>-1.108661488249</v>
      </c>
      <c r="AE2031">
        <v>4.6240000000000201</v>
      </c>
      <c r="AF2031">
        <v>4.3785415253422597</v>
      </c>
      <c r="AG2031">
        <v>-1.108661488249</v>
      </c>
      <c r="AH2031">
        <v>43.049941841579603</v>
      </c>
      <c r="AI2031">
        <v>91.467639062224904</v>
      </c>
      <c r="AJ2031">
        <v>84.192507304122202</v>
      </c>
      <c r="AK2031">
        <v>43.286236250661197</v>
      </c>
      <c r="AL2031">
        <v>83.974988156432801</v>
      </c>
      <c r="AM2031">
        <v>86.751203518500404</v>
      </c>
      <c r="AN2031">
        <v>0.99999999133154105</v>
      </c>
    </row>
    <row r="2032" spans="1:40" x14ac:dyDescent="0.25">
      <c r="A2032" t="str">
        <f>"20190312154549697"</f>
        <v>20190312154549697</v>
      </c>
      <c r="B2032" t="str">
        <f>"1552376749689200"</f>
        <v>1552376749689200</v>
      </c>
      <c r="C2032" t="s">
        <v>40</v>
      </c>
      <c r="D2032">
        <v>3.9613879999999999</v>
      </c>
      <c r="E2032">
        <v>0.51940429999999904</v>
      </c>
      <c r="F2032" t="s">
        <v>54</v>
      </c>
      <c r="G2032">
        <v>-461.36840000000001</v>
      </c>
      <c r="H2032" s="1">
        <v>-9.2525390000000002E-7</v>
      </c>
      <c r="I2032">
        <v>287.28539999999998</v>
      </c>
      <c r="J2032">
        <v>-417.0104</v>
      </c>
      <c r="K2032">
        <v>1.108617</v>
      </c>
      <c r="L2032">
        <v>282.42140000000001</v>
      </c>
      <c r="M2032">
        <v>-0.99987159999999997</v>
      </c>
      <c r="N2032">
        <v>0</v>
      </c>
      <c r="O2032">
        <v>7.0159690000000004E-3</v>
      </c>
      <c r="P2032">
        <v>-0.99375959999999997</v>
      </c>
      <c r="Q2032">
        <v>9.1230240000000004E-2</v>
      </c>
      <c r="R2032">
        <v>6.4179529999999999E-2</v>
      </c>
      <c r="S2032">
        <v>-3.004791</v>
      </c>
      <c r="T2032">
        <v>-7.4467779999999997E-2</v>
      </c>
      <c r="U2032">
        <v>0.32693480000000003</v>
      </c>
      <c r="V2032">
        <v>5.7537739999999997E-2</v>
      </c>
      <c r="W2032">
        <v>0.1053713</v>
      </c>
      <c r="X2032">
        <v>0.99276699999999996</v>
      </c>
      <c r="Y2032">
        <v>0.1011594</v>
      </c>
      <c r="Z2032">
        <v>1.076299E-3</v>
      </c>
      <c r="AA2032">
        <v>0.99486960000000002</v>
      </c>
      <c r="AB2032">
        <v>38</v>
      </c>
      <c r="AC2032">
        <v>-44.357999999999997</v>
      </c>
      <c r="AD2032">
        <v>-1.1086179252538999</v>
      </c>
      <c r="AE2032">
        <v>4.8639999999999697</v>
      </c>
      <c r="AF2032">
        <v>4.54982543256307</v>
      </c>
      <c r="AG2032">
        <v>-1.1086179252538999</v>
      </c>
      <c r="AH2032">
        <v>44.363655788823003</v>
      </c>
      <c r="AI2032">
        <v>91.424018824612901</v>
      </c>
      <c r="AJ2032">
        <v>84.144361026326195</v>
      </c>
      <c r="AK2032">
        <v>44.610132258492101</v>
      </c>
      <c r="AL2032">
        <v>83.951440900272402</v>
      </c>
      <c r="AM2032">
        <v>86.683022393875305</v>
      </c>
      <c r="AN2032">
        <v>1.00000000933849</v>
      </c>
    </row>
    <row r="2033" spans="1:40" x14ac:dyDescent="0.25">
      <c r="A2033" t="str">
        <f>"20190312154549720"</f>
        <v>20190312154549720</v>
      </c>
      <c r="B2033" t="str">
        <f>"1552376749708720"</f>
        <v>1552376749708720</v>
      </c>
      <c r="C2033" t="s">
        <v>40</v>
      </c>
      <c r="D2033">
        <v>3.966018</v>
      </c>
      <c r="E2033">
        <v>0.51959789999999995</v>
      </c>
      <c r="F2033" t="s">
        <v>54</v>
      </c>
      <c r="G2033">
        <v>-463.79899999999998</v>
      </c>
      <c r="H2033" s="1">
        <v>3.5291769999999998E-7</v>
      </c>
      <c r="I2033">
        <v>287.63479999999998</v>
      </c>
      <c r="J2033">
        <v>-417.39839999999998</v>
      </c>
      <c r="K2033">
        <v>1.108571</v>
      </c>
      <c r="L2033">
        <v>282.42559999999997</v>
      </c>
      <c r="M2033">
        <v>-0.99985900000000005</v>
      </c>
      <c r="N2033">
        <v>0</v>
      </c>
      <c r="O2033">
        <v>8.4843039999999998E-3</v>
      </c>
      <c r="P2033">
        <v>-0.99360420000000005</v>
      </c>
      <c r="Q2033">
        <v>9.0929209999999996E-2</v>
      </c>
      <c r="R2033">
        <v>6.69511E-2</v>
      </c>
      <c r="S2033">
        <v>-3.0037539999999998</v>
      </c>
      <c r="T2033">
        <v>-7.1171399999999996E-2</v>
      </c>
      <c r="U2033">
        <v>0.33468629999999999</v>
      </c>
      <c r="V2033">
        <v>5.8864060000000003E-2</v>
      </c>
      <c r="W2033">
        <v>0.105129</v>
      </c>
      <c r="X2033">
        <v>0.99271489999999996</v>
      </c>
      <c r="Y2033">
        <v>0.1022744</v>
      </c>
      <c r="Z2033">
        <v>1.0073720000000001E-3</v>
      </c>
      <c r="AA2033">
        <v>0.99475570000000002</v>
      </c>
      <c r="AB2033">
        <v>38</v>
      </c>
      <c r="AC2033">
        <v>-46.400599999999997</v>
      </c>
      <c r="AD2033">
        <v>-1.1085706470823</v>
      </c>
      <c r="AE2033">
        <v>5.2092000000000098</v>
      </c>
      <c r="AF2033">
        <v>4.8125815285724602</v>
      </c>
      <c r="AG2033">
        <v>-1.1085706470823</v>
      </c>
      <c r="AH2033">
        <v>46.416965895181498</v>
      </c>
      <c r="AI2033">
        <v>91.360835843611795</v>
      </c>
      <c r="AJ2033">
        <v>84.0806368577054</v>
      </c>
      <c r="AK2033">
        <v>46.678952352887897</v>
      </c>
      <c r="AL2033">
        <v>83.965401019042901</v>
      </c>
      <c r="AM2033">
        <v>86.606560717189197</v>
      </c>
      <c r="AN2033">
        <v>0.99999997844134603</v>
      </c>
    </row>
    <row r="2034" spans="1:40" x14ac:dyDescent="0.25">
      <c r="A2034" t="str">
        <f>"20190312154549767"</f>
        <v>20190312154549767</v>
      </c>
      <c r="B2034" t="str">
        <f>"1552376749758499"</f>
        <v>1552376749758499</v>
      </c>
      <c r="C2034" t="s">
        <v>40</v>
      </c>
      <c r="D2034">
        <v>3.938469</v>
      </c>
      <c r="E2034">
        <v>0.51980890000000002</v>
      </c>
      <c r="F2034" t="s">
        <v>54</v>
      </c>
      <c r="G2034">
        <v>-464.6497</v>
      </c>
      <c r="H2034" s="1">
        <v>7.965908E-7</v>
      </c>
      <c r="I2034">
        <v>287.84190000000001</v>
      </c>
      <c r="J2034">
        <v>-418.17559999999997</v>
      </c>
      <c r="K2034">
        <v>1.108528</v>
      </c>
      <c r="L2034">
        <v>282.43560000000002</v>
      </c>
      <c r="M2034">
        <v>-0.99982740000000003</v>
      </c>
      <c r="N2034">
        <v>0</v>
      </c>
      <c r="O2034">
        <v>1.150169E-2</v>
      </c>
      <c r="P2034">
        <v>-0.99312920000000005</v>
      </c>
      <c r="Q2034">
        <v>9.1504429999999998E-2</v>
      </c>
      <c r="R2034">
        <v>7.2949810000000004E-2</v>
      </c>
      <c r="S2034">
        <v>-3.0025629999999999</v>
      </c>
      <c r="T2034">
        <v>-7.0443510000000001E-2</v>
      </c>
      <c r="U2034">
        <v>0.34417720000000002</v>
      </c>
      <c r="V2034">
        <v>6.1889560000000003E-2</v>
      </c>
      <c r="W2034">
        <v>0.10579280000000001</v>
      </c>
      <c r="X2034">
        <v>0.99246040000000002</v>
      </c>
      <c r="Y2034">
        <v>0.10242179999999999</v>
      </c>
      <c r="Z2034">
        <v>9.2847549999999996E-4</v>
      </c>
      <c r="AA2034">
        <v>0.99474059999999997</v>
      </c>
      <c r="AB2034">
        <v>38</v>
      </c>
      <c r="AC2034">
        <v>-46.4741</v>
      </c>
      <c r="AD2034">
        <v>-1.1085272034092</v>
      </c>
      <c r="AE2034">
        <v>5.4062999999999803</v>
      </c>
      <c r="AF2034">
        <v>4.8686217226892303</v>
      </c>
      <c r="AG2034">
        <v>-1.1085272034092</v>
      </c>
      <c r="AH2034">
        <v>46.507106723214001</v>
      </c>
      <c r="AI2034">
        <v>91.358005551599703</v>
      </c>
      <c r="AJ2034">
        <v>84.023728216836105</v>
      </c>
      <c r="AK2034">
        <v>46.774387070316102</v>
      </c>
      <c r="AL2034">
        <v>83.927155171527403</v>
      </c>
      <c r="AM2034">
        <v>86.431671450303199</v>
      </c>
      <c r="AN2034">
        <v>1.0000000398684901</v>
      </c>
    </row>
    <row r="2035" spans="1:40" x14ac:dyDescent="0.25">
      <c r="A2035" t="str">
        <f>"20190312154549786"</f>
        <v>20190312154549786</v>
      </c>
      <c r="B2035" t="str">
        <f>"1552376749778992"</f>
        <v>1552376749778992</v>
      </c>
      <c r="C2035" t="s">
        <v>40</v>
      </c>
      <c r="D2035">
        <v>3.9416289999999998</v>
      </c>
      <c r="E2035">
        <v>0.51985909999999902</v>
      </c>
      <c r="F2035" t="s">
        <v>53</v>
      </c>
      <c r="G2035">
        <v>-470.34949999999998</v>
      </c>
      <c r="H2035" s="1">
        <v>6.8232129999999999E-6</v>
      </c>
      <c r="I2035">
        <v>288.78100000000001</v>
      </c>
      <c r="J2035">
        <v>-418.52409999999998</v>
      </c>
      <c r="K2035">
        <v>1.1085179999999999</v>
      </c>
      <c r="L2035">
        <v>282.44080000000002</v>
      </c>
      <c r="M2035">
        <v>-0.99980999999999998</v>
      </c>
      <c r="N2035">
        <v>0</v>
      </c>
      <c r="O2035">
        <v>1.2872140000000001E-2</v>
      </c>
      <c r="P2035">
        <v>-0.99294939999999998</v>
      </c>
      <c r="Q2035">
        <v>9.1666120000000004E-2</v>
      </c>
      <c r="R2035">
        <v>7.5158630000000004E-2</v>
      </c>
      <c r="S2035">
        <v>-2.9997859999999998</v>
      </c>
      <c r="T2035">
        <v>-6.373537E-2</v>
      </c>
      <c r="U2035">
        <v>0.36483759999999998</v>
      </c>
      <c r="V2035">
        <v>6.2744620000000001E-2</v>
      </c>
      <c r="W2035">
        <v>0.10598730000000001</v>
      </c>
      <c r="X2035">
        <v>0.99238590000000004</v>
      </c>
      <c r="Y2035">
        <v>0.10792110000000001</v>
      </c>
      <c r="Z2035">
        <v>8.6971839999999895E-4</v>
      </c>
      <c r="AA2035">
        <v>0.99415909999999996</v>
      </c>
      <c r="AB2035">
        <v>38</v>
      </c>
      <c r="AC2035">
        <v>-51.825400000000002</v>
      </c>
      <c r="AD2035">
        <v>-1.108511176787</v>
      </c>
      <c r="AE2035">
        <v>6.3401999999999799</v>
      </c>
      <c r="AF2035">
        <v>5.6699435483630598</v>
      </c>
      <c r="AG2035">
        <v>-1.108511176787</v>
      </c>
      <c r="AH2035">
        <v>51.879341051820901</v>
      </c>
      <c r="AI2035">
        <v>91.216815146208802</v>
      </c>
      <c r="AJ2035">
        <v>83.762843299227995</v>
      </c>
      <c r="AK2035">
        <v>52.200029548285002</v>
      </c>
      <c r="AL2035">
        <v>83.915947798893598</v>
      </c>
      <c r="AM2035">
        <v>86.382230951369905</v>
      </c>
      <c r="AN2035">
        <v>0.99999998480952201</v>
      </c>
    </row>
    <row r="2036" spans="1:40" x14ac:dyDescent="0.25">
      <c r="A2036" t="str">
        <f>"20190312154549809"</f>
        <v>20190312154549809</v>
      </c>
      <c r="B2036" t="str">
        <f>"1552376749798512"</f>
        <v>1552376749798512</v>
      </c>
      <c r="C2036" t="s">
        <v>40</v>
      </c>
      <c r="D2036">
        <v>3.9722369999999998</v>
      </c>
      <c r="E2036">
        <v>0.51983599999999996</v>
      </c>
      <c r="F2036" t="s">
        <v>53</v>
      </c>
      <c r="G2036">
        <v>-472.58679999999998</v>
      </c>
      <c r="H2036" s="1">
        <v>5.863975E-6</v>
      </c>
      <c r="I2036">
        <v>289.15750000000003</v>
      </c>
      <c r="J2036">
        <v>-418.91090000000003</v>
      </c>
      <c r="K2036">
        <v>1.108511</v>
      </c>
      <c r="L2036">
        <v>282.44729999999998</v>
      </c>
      <c r="M2036">
        <v>-0.99978880000000003</v>
      </c>
      <c r="N2036">
        <v>0</v>
      </c>
      <c r="O2036">
        <v>1.439708E-2</v>
      </c>
      <c r="P2036">
        <v>-0.99274510000000005</v>
      </c>
      <c r="Q2036">
        <v>9.3259599999999998E-2</v>
      </c>
      <c r="R2036">
        <v>7.5896350000000001E-2</v>
      </c>
      <c r="S2036">
        <v>-2.9987490000000001</v>
      </c>
      <c r="T2036">
        <v>-6.148696E-2</v>
      </c>
      <c r="U2036">
        <v>0.37255860000000002</v>
      </c>
      <c r="V2036">
        <v>6.1980059999999997E-2</v>
      </c>
      <c r="W2036">
        <v>0.1076163</v>
      </c>
      <c r="X2036">
        <v>0.99225859999999999</v>
      </c>
      <c r="Y2036">
        <v>0.108969</v>
      </c>
      <c r="Z2036">
        <v>8.1877000000000002E-4</v>
      </c>
      <c r="AA2036">
        <v>0.99404479999999995</v>
      </c>
      <c r="AB2036">
        <v>38</v>
      </c>
      <c r="AC2036">
        <v>-53.675899999999899</v>
      </c>
      <c r="AD2036">
        <v>-1.108505136025</v>
      </c>
      <c r="AE2036">
        <v>6.7102000000000404</v>
      </c>
      <c r="AF2036">
        <v>5.9341530811365102</v>
      </c>
      <c r="AG2036">
        <v>-1.108505136025</v>
      </c>
      <c r="AH2036">
        <v>53.744384189861698</v>
      </c>
      <c r="AI2036">
        <v>91.174451566216007</v>
      </c>
      <c r="AJ2036">
        <v>83.699243955257202</v>
      </c>
      <c r="AK2036">
        <v>54.082361157538301</v>
      </c>
      <c r="AL2036">
        <v>83.822075908490405</v>
      </c>
      <c r="AM2036">
        <v>86.425742177251095</v>
      </c>
      <c r="AN2036">
        <v>0.999999962568626</v>
      </c>
    </row>
    <row r="2037" spans="1:40" x14ac:dyDescent="0.25">
      <c r="A2037" t="str">
        <f>"20190312154549831"</f>
        <v>20190312154549831</v>
      </c>
      <c r="B2037" t="str">
        <f>"1552376749819008"</f>
        <v>1552376749819008</v>
      </c>
      <c r="C2037" t="s">
        <v>40</v>
      </c>
      <c r="D2037">
        <v>3.9635919999999998</v>
      </c>
      <c r="E2037">
        <v>0.51975539999999998</v>
      </c>
      <c r="F2037" t="s">
        <v>53</v>
      </c>
      <c r="G2037">
        <v>-476.34410000000003</v>
      </c>
      <c r="H2037">
        <v>4.2450349999999998E-2</v>
      </c>
      <c r="I2037">
        <v>289.62950000000001</v>
      </c>
      <c r="J2037">
        <v>-419.28129999999999</v>
      </c>
      <c r="K2037">
        <v>1.108503</v>
      </c>
      <c r="L2037">
        <v>282.45400000000001</v>
      </c>
      <c r="M2037">
        <v>-0.99976620000000005</v>
      </c>
      <c r="N2037">
        <v>0</v>
      </c>
      <c r="O2037">
        <v>1.5853010000000001E-2</v>
      </c>
      <c r="P2037">
        <v>-0.99266399999999999</v>
      </c>
      <c r="Q2037">
        <v>9.3861459999999994E-2</v>
      </c>
      <c r="R2037">
        <v>7.6213000000000003E-2</v>
      </c>
      <c r="S2037">
        <v>-2.9984739999999999</v>
      </c>
      <c r="T2037">
        <v>-5.5656909999999997E-2</v>
      </c>
      <c r="U2037">
        <v>0.37496950000000001</v>
      </c>
      <c r="V2037">
        <v>6.085604E-2</v>
      </c>
      <c r="W2037">
        <v>0.1082515</v>
      </c>
      <c r="X2037">
        <v>0.99225909999999995</v>
      </c>
      <c r="Y2037">
        <v>0.1083235</v>
      </c>
      <c r="Z2037">
        <v>7.0830830000000004E-4</v>
      </c>
      <c r="AA2037">
        <v>0.99411550000000004</v>
      </c>
      <c r="AB2037">
        <v>38</v>
      </c>
      <c r="AC2037">
        <v>-57.062800000000003</v>
      </c>
      <c r="AD2037">
        <v>-1.06605265</v>
      </c>
      <c r="AE2037">
        <v>7.1755000000000004</v>
      </c>
      <c r="AF2037">
        <v>6.2677296110800498</v>
      </c>
      <c r="AG2037">
        <v>-1.06605265</v>
      </c>
      <c r="AH2037">
        <v>57.1497571648422</v>
      </c>
      <c r="AI2037">
        <v>91.062284578596206</v>
      </c>
      <c r="AJ2037">
        <v>83.741269080705393</v>
      </c>
      <c r="AK2037">
        <v>57.502309925172703</v>
      </c>
      <c r="AL2037">
        <v>83.785467893894406</v>
      </c>
      <c r="AM2037">
        <v>86.4904002692262</v>
      </c>
      <c r="AN2037">
        <v>0.99999998319477001</v>
      </c>
    </row>
    <row r="2038" spans="1:40" x14ac:dyDescent="0.25">
      <c r="A2038" t="str">
        <f>"20190312154549853"</f>
        <v>20190312154549853</v>
      </c>
      <c r="B2038" t="str">
        <f>"1552376749848288"</f>
        <v>1552376749848288</v>
      </c>
      <c r="C2038" t="s">
        <v>40</v>
      </c>
      <c r="D2038">
        <v>3.916795</v>
      </c>
      <c r="E2038">
        <v>0.51964969999999999</v>
      </c>
      <c r="F2038" t="s">
        <v>53</v>
      </c>
      <c r="G2038">
        <v>-481.35660000000001</v>
      </c>
      <c r="H2038" s="1">
        <v>3.0467369999999999E-6</v>
      </c>
      <c r="I2038">
        <v>290.2328</v>
      </c>
      <c r="J2038">
        <v>-419.65859999999998</v>
      </c>
      <c r="K2038">
        <v>1.108508</v>
      </c>
      <c r="L2038">
        <v>282.46140000000003</v>
      </c>
      <c r="M2038">
        <v>-0.9997412</v>
      </c>
      <c r="N2038">
        <v>0</v>
      </c>
      <c r="O2038">
        <v>1.7328070000000001E-2</v>
      </c>
      <c r="P2038">
        <v>-0.99271209999999999</v>
      </c>
      <c r="Q2038">
        <v>9.3034370000000005E-2</v>
      </c>
      <c r="R2038">
        <v>7.6598910000000006E-2</v>
      </c>
      <c r="S2038">
        <v>-2.998383</v>
      </c>
      <c r="T2038">
        <v>-5.3543090000000002E-2</v>
      </c>
      <c r="U2038">
        <v>0.37573240000000002</v>
      </c>
      <c r="V2038">
        <v>5.9773449999999999E-2</v>
      </c>
      <c r="W2038">
        <v>0.1074566</v>
      </c>
      <c r="X2038">
        <v>0.9924113</v>
      </c>
      <c r="Y2038">
        <v>0.107110999999999</v>
      </c>
      <c r="Z2038">
        <v>6.4441580000000002E-4</v>
      </c>
      <c r="AA2038">
        <v>0.99424679999999999</v>
      </c>
      <c r="AB2038">
        <v>38</v>
      </c>
      <c r="AC2038">
        <v>-61.698</v>
      </c>
      <c r="AD2038">
        <v>-1.108504953263</v>
      </c>
      <c r="AE2038">
        <v>7.7713999999999697</v>
      </c>
      <c r="AF2038">
        <v>6.6988808811779297</v>
      </c>
      <c r="AG2038">
        <v>-1.108504953263</v>
      </c>
      <c r="AH2038">
        <v>61.8037738435847</v>
      </c>
      <c r="AI2038">
        <v>91.021557964219994</v>
      </c>
      <c r="AJ2038">
        <v>83.813888395718706</v>
      </c>
      <c r="AK2038">
        <v>62.175640323205201</v>
      </c>
      <c r="AL2038">
        <v>83.831279567734697</v>
      </c>
      <c r="AM2038">
        <v>86.553209296166997</v>
      </c>
      <c r="AN2038">
        <v>0.99999998728807604</v>
      </c>
    </row>
    <row r="2039" spans="1:40" x14ac:dyDescent="0.25">
      <c r="A2039" t="str">
        <f>"20190312154549875"</f>
        <v>20190312154549875</v>
      </c>
      <c r="B2039" t="str">
        <f>"1552376749868784"</f>
        <v>1552376749868784</v>
      </c>
      <c r="C2039" t="s">
        <v>40</v>
      </c>
      <c r="D2039">
        <v>3.9500519999999999</v>
      </c>
      <c r="E2039">
        <v>0.51957019999999998</v>
      </c>
      <c r="F2039" t="s">
        <v>53</v>
      </c>
      <c r="G2039">
        <v>-479.86919999999998</v>
      </c>
      <c r="H2039" s="1">
        <v>2.7693880000000002E-6</v>
      </c>
      <c r="I2039">
        <v>290.00380000000001</v>
      </c>
      <c r="J2039">
        <v>-420.0333</v>
      </c>
      <c r="K2039">
        <v>1.1085229999999999</v>
      </c>
      <c r="L2039">
        <v>282.4692</v>
      </c>
      <c r="M2039">
        <v>-0.99971489999999996</v>
      </c>
      <c r="N2039">
        <v>0</v>
      </c>
      <c r="O2039">
        <v>1.8781260000000001E-2</v>
      </c>
      <c r="P2039">
        <v>-0.99261560000000004</v>
      </c>
      <c r="Q2039">
        <v>9.3916150000000004E-2</v>
      </c>
      <c r="R2039">
        <v>7.6773499999999995E-2</v>
      </c>
      <c r="S2039">
        <v>-2.99823</v>
      </c>
      <c r="T2039">
        <v>-5.5198789999999998E-2</v>
      </c>
      <c r="U2039">
        <v>0.37557980000000002</v>
      </c>
      <c r="V2039">
        <v>5.8507910000000003E-2</v>
      </c>
      <c r="W2039">
        <v>0.1083643</v>
      </c>
      <c r="X2039">
        <v>0.99238800000000005</v>
      </c>
      <c r="Y2039">
        <v>0.1056217</v>
      </c>
      <c r="Z2039">
        <v>6.2408829999999996E-4</v>
      </c>
      <c r="AA2039">
        <v>0.99440620000000002</v>
      </c>
      <c r="AB2039">
        <v>38</v>
      </c>
      <c r="AC2039">
        <v>-59.835899999999903</v>
      </c>
      <c r="AD2039">
        <v>-1.1085202306119999</v>
      </c>
      <c r="AE2039">
        <v>7.53460000000001</v>
      </c>
      <c r="AF2039">
        <v>6.40719026408369</v>
      </c>
      <c r="AG2039">
        <v>-1.1085202306119999</v>
      </c>
      <c r="AH2039">
        <v>59.946614997134297</v>
      </c>
      <c r="AI2039">
        <v>91.053382496100298</v>
      </c>
      <c r="AJ2039">
        <v>83.899295756628206</v>
      </c>
      <c r="AK2039">
        <v>60.298238397124699</v>
      </c>
      <c r="AL2039">
        <v>83.778966602138794</v>
      </c>
      <c r="AM2039">
        <v>86.625936261432102</v>
      </c>
      <c r="AN2039">
        <v>0.99999996979552797</v>
      </c>
    </row>
    <row r="2040" spans="1:40" x14ac:dyDescent="0.25">
      <c r="A2040" t="str">
        <f>"20190312154549899"</f>
        <v>20190312154549899</v>
      </c>
      <c r="B2040" t="str">
        <f>"1552376749888304"</f>
        <v>1552376749888304</v>
      </c>
      <c r="C2040" t="s">
        <v>40</v>
      </c>
      <c r="D2040">
        <v>3.9111120000000001</v>
      </c>
      <c r="E2040">
        <v>0.51960109999999904</v>
      </c>
      <c r="F2040" t="s">
        <v>53</v>
      </c>
      <c r="G2040">
        <v>-483.17009999999999</v>
      </c>
      <c r="H2040" s="1">
        <v>3.402615E-6</v>
      </c>
      <c r="I2040">
        <v>290.36189999999999</v>
      </c>
      <c r="J2040">
        <v>-420.41430000000003</v>
      </c>
      <c r="K2040">
        <v>1.1085430000000001</v>
      </c>
      <c r="L2040">
        <v>282.4778</v>
      </c>
      <c r="M2040">
        <v>-0.99968590000000002</v>
      </c>
      <c r="N2040">
        <v>0</v>
      </c>
      <c r="O2040">
        <v>2.0244829999999998E-2</v>
      </c>
      <c r="P2040">
        <v>-0.99253519999999895</v>
      </c>
      <c r="Q2040">
        <v>9.4361379999999995E-2</v>
      </c>
      <c r="R2040">
        <v>7.7264609999999997E-2</v>
      </c>
      <c r="S2040">
        <v>-2.9983219999999999</v>
      </c>
      <c r="T2040">
        <v>-5.264282E-2</v>
      </c>
      <c r="U2040">
        <v>0.37481690000000001</v>
      </c>
      <c r="V2040">
        <v>5.7545800000000001E-2</v>
      </c>
      <c r="W2040">
        <v>0.1088331</v>
      </c>
      <c r="X2040">
        <v>0.99239299999999997</v>
      </c>
      <c r="Y2040">
        <v>0.1039146</v>
      </c>
      <c r="Z2040">
        <v>5.5468010000000003E-4</v>
      </c>
      <c r="AA2040">
        <v>0.99458610000000003</v>
      </c>
      <c r="AB2040">
        <v>38</v>
      </c>
      <c r="AC2040">
        <v>-62.755799999999901</v>
      </c>
      <c r="AD2040">
        <v>-1.1085395973850001</v>
      </c>
      <c r="AE2040">
        <v>7.8840999999999797</v>
      </c>
      <c r="AF2040">
        <v>6.60983424268482</v>
      </c>
      <c r="AG2040">
        <v>-1.1085395973850001</v>
      </c>
      <c r="AH2040">
        <v>62.883248720451299</v>
      </c>
      <c r="AI2040">
        <v>91.004403794750601</v>
      </c>
      <c r="AJ2040">
        <v>83.999514732240897</v>
      </c>
      <c r="AK2040">
        <v>63.239400205827998</v>
      </c>
      <c r="AL2040">
        <v>83.751946815129401</v>
      </c>
      <c r="AM2040">
        <v>86.681311343202395</v>
      </c>
      <c r="AN2040">
        <v>1.0000000146011201</v>
      </c>
    </row>
    <row r="2041" spans="1:40" x14ac:dyDescent="0.25">
      <c r="A2041" t="str">
        <f>"20190312154549921"</f>
        <v>20190312154549921</v>
      </c>
      <c r="B2041" t="str">
        <f>"1552376749908800"</f>
        <v>1552376749908800</v>
      </c>
      <c r="C2041" t="s">
        <v>40</v>
      </c>
      <c r="D2041">
        <v>3.9239160000000002</v>
      </c>
      <c r="E2041">
        <v>0.51955289999999998</v>
      </c>
      <c r="F2041" t="s">
        <v>53</v>
      </c>
      <c r="G2041">
        <v>-486.10390000000001</v>
      </c>
      <c r="H2041" s="1">
        <v>4.0172040000000004E-6</v>
      </c>
      <c r="I2041">
        <v>290.7176</v>
      </c>
      <c r="J2041">
        <v>-420.80090000000001</v>
      </c>
      <c r="K2041">
        <v>1.108563</v>
      </c>
      <c r="L2041">
        <v>282.48700000000002</v>
      </c>
      <c r="M2041">
        <v>-0.99965479999999995</v>
      </c>
      <c r="N2041">
        <v>0</v>
      </c>
      <c r="O2041">
        <v>2.171325E-2</v>
      </c>
      <c r="P2041">
        <v>-0.99255020000000005</v>
      </c>
      <c r="Q2041">
        <v>9.3411380000000002E-2</v>
      </c>
      <c r="R2041">
        <v>7.8220860000000003E-2</v>
      </c>
      <c r="S2041">
        <v>-2.9981080000000002</v>
      </c>
      <c r="T2041">
        <v>-5.059433E-2</v>
      </c>
      <c r="U2041">
        <v>0.37606810000000002</v>
      </c>
      <c r="V2041">
        <v>5.703565E-2</v>
      </c>
      <c r="W2041">
        <v>0.1079036</v>
      </c>
      <c r="X2041">
        <v>0.99252390000000001</v>
      </c>
      <c r="Y2041">
        <v>0.1028723</v>
      </c>
      <c r="Z2041">
        <v>4.9969960000000003E-4</v>
      </c>
      <c r="AA2041">
        <v>0.99469439999999998</v>
      </c>
      <c r="AB2041">
        <v>38</v>
      </c>
      <c r="AC2041">
        <v>-65.302999999999997</v>
      </c>
      <c r="AD2041">
        <v>-1.1085589827959901</v>
      </c>
      <c r="AE2041">
        <v>8.2305999999999795</v>
      </c>
      <c r="AF2041">
        <v>6.8086322270761297</v>
      </c>
      <c r="AG2041">
        <v>-1.1085589827959901</v>
      </c>
      <c r="AH2041">
        <v>65.447768120210299</v>
      </c>
      <c r="AI2041">
        <v>90.965179414024803</v>
      </c>
      <c r="AJ2041">
        <v>84.0607960300798</v>
      </c>
      <c r="AK2041">
        <v>65.810308673783993</v>
      </c>
      <c r="AL2041">
        <v>83.805518474812303</v>
      </c>
      <c r="AM2041">
        <v>86.711099867038797</v>
      </c>
      <c r="AN2041">
        <v>0.99999997216754499</v>
      </c>
    </row>
    <row r="2042" spans="1:40" x14ac:dyDescent="0.25">
      <c r="A2042" t="str">
        <f>"20190312154549946"</f>
        <v>20190312154549946</v>
      </c>
      <c r="B2042" t="str">
        <f>"1552376749939056"</f>
        <v>1552376749939056</v>
      </c>
      <c r="C2042" t="s">
        <v>40</v>
      </c>
      <c r="D2042">
        <v>3.9341650000000001</v>
      </c>
      <c r="E2042">
        <v>0.51949699999999999</v>
      </c>
      <c r="F2042" t="s">
        <v>53</v>
      </c>
      <c r="G2042">
        <v>-483.56799999999998</v>
      </c>
      <c r="H2042" s="1">
        <v>3.4839919999999998E-6</v>
      </c>
      <c r="I2042">
        <v>290.40269999999998</v>
      </c>
      <c r="J2042">
        <v>-421.21660000000003</v>
      </c>
      <c r="K2042">
        <v>1.1085910000000001</v>
      </c>
      <c r="L2042">
        <v>282.49759999999998</v>
      </c>
      <c r="M2042">
        <v>-0.99961960000000005</v>
      </c>
      <c r="N2042">
        <v>0</v>
      </c>
      <c r="O2042">
        <v>2.3271320000000002E-2</v>
      </c>
      <c r="P2042">
        <v>-0.99234520000000004</v>
      </c>
      <c r="Q2042">
        <v>9.3594979999999994E-2</v>
      </c>
      <c r="R2042">
        <v>8.0568509999999996E-2</v>
      </c>
      <c r="S2042">
        <v>-2.9977420000000001</v>
      </c>
      <c r="T2042">
        <v>-5.2944539999999998E-2</v>
      </c>
      <c r="U2042">
        <v>0.37805179999999999</v>
      </c>
      <c r="V2042">
        <v>5.7835039999999997E-2</v>
      </c>
      <c r="W2042">
        <v>0.1080994</v>
      </c>
      <c r="X2042">
        <v>0.99245640000000002</v>
      </c>
      <c r="Y2042">
        <v>0.1019842</v>
      </c>
      <c r="Z2042">
        <v>4.8775339999999998E-4</v>
      </c>
      <c r="AA2042">
        <v>0.9947859</v>
      </c>
      <c r="AB2042">
        <v>38</v>
      </c>
      <c r="AC2042">
        <v>-62.351399999999998</v>
      </c>
      <c r="AD2042">
        <v>-1.1085875160080001</v>
      </c>
      <c r="AE2042">
        <v>7.9051</v>
      </c>
      <c r="AF2042">
        <v>6.4497937211473797</v>
      </c>
      <c r="AG2042">
        <v>-1.1085875160080001</v>
      </c>
      <c r="AH2042">
        <v>62.499048496282199</v>
      </c>
      <c r="AI2042">
        <v>91.010819903592804</v>
      </c>
      <c r="AJ2042">
        <v>84.108031824507705</v>
      </c>
      <c r="AK2042">
        <v>62.840750061298898</v>
      </c>
      <c r="AL2042">
        <v>83.794234371134493</v>
      </c>
      <c r="AM2042">
        <v>86.664880910582198</v>
      </c>
      <c r="AN2042">
        <v>1.00000003901656</v>
      </c>
    </row>
    <row r="2043" spans="1:40" x14ac:dyDescent="0.25">
      <c r="A2043" t="str">
        <f>"20190312154549967"</f>
        <v>20190312154549967</v>
      </c>
      <c r="B2043" t="str">
        <f>"1552376749958576"</f>
        <v>1552376749958576</v>
      </c>
      <c r="C2043" t="s">
        <v>40</v>
      </c>
      <c r="D2043">
        <v>3.9582950000000001</v>
      </c>
      <c r="E2043">
        <v>0.51944109999999999</v>
      </c>
      <c r="F2043" t="s">
        <v>53</v>
      </c>
      <c r="G2043">
        <v>-484.86599999999999</v>
      </c>
      <c r="H2043" s="1">
        <v>3.7861200000000002E-6</v>
      </c>
      <c r="I2043">
        <v>290.67410000000001</v>
      </c>
      <c r="J2043">
        <v>-421.5675</v>
      </c>
      <c r="K2043">
        <v>1.108616</v>
      </c>
      <c r="L2043">
        <v>282.50700000000001</v>
      </c>
      <c r="M2043">
        <v>-0.99958840000000004</v>
      </c>
      <c r="N2043">
        <v>0</v>
      </c>
      <c r="O2043">
        <v>2.4568840000000002E-2</v>
      </c>
      <c r="P2043">
        <v>-0.99188100000000001</v>
      </c>
      <c r="Q2043">
        <v>9.5939930000000007E-2</v>
      </c>
      <c r="R2043">
        <v>8.3474519999999997E-2</v>
      </c>
      <c r="S2043">
        <v>-2.996826</v>
      </c>
      <c r="T2043">
        <v>-5.2196029999999997E-2</v>
      </c>
      <c r="U2043">
        <v>0.38497920000000002</v>
      </c>
      <c r="V2043">
        <v>5.9466039999999998E-2</v>
      </c>
      <c r="W2043">
        <v>0.1104446</v>
      </c>
      <c r="X2043">
        <v>0.99210169999999998</v>
      </c>
      <c r="Y2043">
        <v>0.1029939</v>
      </c>
      <c r="Z2043">
        <v>4.6720779999999998E-4</v>
      </c>
      <c r="AA2043">
        <v>0.99468190000000001</v>
      </c>
      <c r="AB2043">
        <v>38</v>
      </c>
      <c r="AC2043">
        <v>-63.298499999999898</v>
      </c>
      <c r="AD2043">
        <v>-1.1086122138799901</v>
      </c>
      <c r="AE2043">
        <v>8.1670999999999996</v>
      </c>
      <c r="AF2043">
        <v>6.6072992458839304</v>
      </c>
      <c r="AG2043">
        <v>-1.1086122138799901</v>
      </c>
      <c r="AH2043">
        <v>63.460919401329001</v>
      </c>
      <c r="AI2043">
        <v>90.995430609948698</v>
      </c>
      <c r="AJ2043">
        <v>84.056006855305</v>
      </c>
      <c r="AK2043">
        <v>63.813585666591401</v>
      </c>
      <c r="AL2043">
        <v>83.659054571711195</v>
      </c>
      <c r="AM2043">
        <v>86.569825903452596</v>
      </c>
      <c r="AN2043">
        <v>1.00000000136266</v>
      </c>
    </row>
    <row r="2044" spans="1:40" x14ac:dyDescent="0.25">
      <c r="A2044" t="str">
        <f>"20190312154549988"</f>
        <v>20190312154549988</v>
      </c>
      <c r="B2044" t="str">
        <f>"1552376749979072"</f>
        <v>1552376749979072</v>
      </c>
      <c r="C2044" t="s">
        <v>40</v>
      </c>
      <c r="D2044">
        <v>3.945948</v>
      </c>
      <c r="E2044">
        <v>0.51937999999999995</v>
      </c>
      <c r="F2044" t="s">
        <v>53</v>
      </c>
      <c r="G2044">
        <v>-495.28</v>
      </c>
      <c r="H2044" s="1">
        <v>4.3512050000000003E-6</v>
      </c>
      <c r="I2044">
        <v>292.17910000000001</v>
      </c>
      <c r="J2044">
        <v>-421.92700000000002</v>
      </c>
      <c r="K2044">
        <v>1.108641</v>
      </c>
      <c r="L2044">
        <v>282.51710000000003</v>
      </c>
      <c r="M2044">
        <v>-0.99955510000000003</v>
      </c>
      <c r="N2044">
        <v>0</v>
      </c>
      <c r="O2044">
        <v>2.5883759999999999E-2</v>
      </c>
      <c r="P2044">
        <v>-0.99140680000000003</v>
      </c>
      <c r="Q2044">
        <v>9.8221030000000001E-2</v>
      </c>
      <c r="R2044">
        <v>8.6403930000000004E-2</v>
      </c>
      <c r="S2044">
        <v>-2.9958499999999999</v>
      </c>
      <c r="T2044">
        <v>-4.5056579999999999E-2</v>
      </c>
      <c r="U2044">
        <v>0.39309690000000003</v>
      </c>
      <c r="V2044">
        <v>6.1103789999999998E-2</v>
      </c>
      <c r="W2044">
        <v>0.1127248</v>
      </c>
      <c r="X2044">
        <v>0.99174569999999995</v>
      </c>
      <c r="Y2044">
        <v>0.10437979999999999</v>
      </c>
      <c r="Z2044">
        <v>3.9407860000000001E-4</v>
      </c>
      <c r="AA2044">
        <v>0.99453740000000002</v>
      </c>
      <c r="AB2044">
        <v>37</v>
      </c>
      <c r="AC2044">
        <v>-73.352999999999994</v>
      </c>
      <c r="AD2044">
        <v>-1.1086366487949999</v>
      </c>
      <c r="AE2044">
        <v>9.6619999999999706</v>
      </c>
      <c r="AF2044">
        <v>7.7581602096216198</v>
      </c>
      <c r="AG2044">
        <v>-1.1086366487949999</v>
      </c>
      <c r="AH2044">
        <v>73.562017919336895</v>
      </c>
      <c r="AI2044">
        <v>90.858665045351103</v>
      </c>
      <c r="AJ2044">
        <v>83.979601004517605</v>
      </c>
      <c r="AK2044">
        <v>73.978298205771495</v>
      </c>
      <c r="AL2044">
        <v>83.527587959788804</v>
      </c>
      <c r="AM2044">
        <v>86.474328724328203</v>
      </c>
      <c r="AN2044">
        <v>1.0000000435779399</v>
      </c>
    </row>
    <row r="2045" spans="1:40" x14ac:dyDescent="0.25">
      <c r="A2045" t="str">
        <f>"20190312154550010"</f>
        <v>20190312154550010</v>
      </c>
      <c r="B2045" t="str">
        <f>"1552376749998592"</f>
        <v>1552376749998592</v>
      </c>
      <c r="C2045" t="s">
        <v>40</v>
      </c>
      <c r="D2045">
        <v>3.901735</v>
      </c>
      <c r="E2045">
        <v>0.51931359999999904</v>
      </c>
      <c r="F2045" t="s">
        <v>53</v>
      </c>
      <c r="G2045">
        <v>-502.83670000000001</v>
      </c>
      <c r="H2045">
        <v>8.0004140000000001E-2</v>
      </c>
      <c r="I2045">
        <v>293.36070000000001</v>
      </c>
      <c r="J2045">
        <v>-422.2919</v>
      </c>
      <c r="K2045">
        <v>1.1086560000000001</v>
      </c>
      <c r="L2045">
        <v>282.52780000000001</v>
      </c>
      <c r="M2045">
        <v>-0.99951990000000002</v>
      </c>
      <c r="N2045">
        <v>0</v>
      </c>
      <c r="O2045">
        <v>2.72026E-2</v>
      </c>
      <c r="P2045">
        <v>-0.9911605</v>
      </c>
      <c r="Q2045">
        <v>9.7990259999999996E-2</v>
      </c>
      <c r="R2045">
        <v>8.9436050000000003E-2</v>
      </c>
      <c r="S2045">
        <v>-2.994812</v>
      </c>
      <c r="T2045">
        <v>-3.8074249999999997E-2</v>
      </c>
      <c r="U2045">
        <v>0.40136719999999998</v>
      </c>
      <c r="V2045">
        <v>6.2825510000000001E-2</v>
      </c>
      <c r="W2045">
        <v>0.112496</v>
      </c>
      <c r="X2045">
        <v>0.99166410000000005</v>
      </c>
      <c r="Y2045">
        <v>0.1058133</v>
      </c>
      <c r="Z2045">
        <v>3.254687E-4</v>
      </c>
      <c r="AA2045">
        <v>0.99438599999999999</v>
      </c>
      <c r="AB2045">
        <v>37</v>
      </c>
      <c r="AC2045">
        <v>-80.544799999999995</v>
      </c>
      <c r="AD2045">
        <v>-1.0286518600000001</v>
      </c>
      <c r="AE2045">
        <v>10.832899999999899</v>
      </c>
      <c r="AF2045">
        <v>8.6362377187647699</v>
      </c>
      <c r="AG2045">
        <v>-1.0286518600000001</v>
      </c>
      <c r="AH2045">
        <v>80.796758515789506</v>
      </c>
      <c r="AI2045">
        <v>90.725282237884002</v>
      </c>
      <c r="AJ2045">
        <v>83.898909642371095</v>
      </c>
      <c r="AK2045">
        <v>81.263515265110797</v>
      </c>
      <c r="AL2045">
        <v>83.540781135721701</v>
      </c>
      <c r="AM2045">
        <v>86.374949741253005</v>
      </c>
      <c r="AN2045">
        <v>1.0000000409757801</v>
      </c>
    </row>
    <row r="2046" spans="1:40" x14ac:dyDescent="0.25">
      <c r="A2046" t="str">
        <f>"20190312154550032"</f>
        <v>20190312154550032</v>
      </c>
      <c r="B2046" t="str">
        <f>"1552376750019088"</f>
        <v>1552376750019088</v>
      </c>
      <c r="C2046" t="s">
        <v>40</v>
      </c>
      <c r="D2046">
        <v>3.9191090000000002</v>
      </c>
      <c r="E2046">
        <v>0.51928269999999999</v>
      </c>
      <c r="F2046" t="s">
        <v>53</v>
      </c>
      <c r="G2046">
        <v>-502.024</v>
      </c>
      <c r="H2046">
        <v>8.0004039999999998E-2</v>
      </c>
      <c r="I2046">
        <v>293.44490000000002</v>
      </c>
      <c r="J2046">
        <v>-422.6601</v>
      </c>
      <c r="K2046">
        <v>1.10867</v>
      </c>
      <c r="L2046">
        <v>282.53919999999999</v>
      </c>
      <c r="M2046">
        <v>-0.99948329999999996</v>
      </c>
      <c r="N2046">
        <v>0</v>
      </c>
      <c r="O2046">
        <v>2.8514870000000001E-2</v>
      </c>
      <c r="P2046">
        <v>-0.99104219999999998</v>
      </c>
      <c r="Q2046">
        <v>9.6710130000000005E-2</v>
      </c>
      <c r="R2046">
        <v>9.2102619999999996E-2</v>
      </c>
      <c r="S2046">
        <v>-2.9935299999999998</v>
      </c>
      <c r="T2046">
        <v>-3.8620590000000003E-2</v>
      </c>
      <c r="U2046">
        <v>0.40988160000000001</v>
      </c>
      <c r="V2046">
        <v>6.4181130000000003E-2</v>
      </c>
      <c r="W2046">
        <v>0.1112194</v>
      </c>
      <c r="X2046">
        <v>0.99172119999999997</v>
      </c>
      <c r="Y2046">
        <v>0.1073408</v>
      </c>
      <c r="Z2046">
        <v>3.231946E-4</v>
      </c>
      <c r="AA2046">
        <v>0.99422219999999994</v>
      </c>
      <c r="AB2046">
        <v>37</v>
      </c>
      <c r="AC2046">
        <v>-79.363900000000001</v>
      </c>
      <c r="AD2046">
        <v>-1.0286659600000001</v>
      </c>
      <c r="AE2046">
        <v>10.9057</v>
      </c>
      <c r="AF2046">
        <v>8.63654008646016</v>
      </c>
      <c r="AG2046">
        <v>-1.0286659600000001</v>
      </c>
      <c r="AH2046">
        <v>79.629500230902593</v>
      </c>
      <c r="AI2046">
        <v>90.735799791266402</v>
      </c>
      <c r="AJ2046">
        <v>83.809950351345705</v>
      </c>
      <c r="AK2046">
        <v>80.103091609160799</v>
      </c>
      <c r="AL2046">
        <v>83.614386313924101</v>
      </c>
      <c r="AM2046">
        <v>86.297158038663895</v>
      </c>
      <c r="AN2046">
        <v>0.99999995545693698</v>
      </c>
    </row>
    <row r="2047" spans="1:40" x14ac:dyDescent="0.25">
      <c r="A2047" t="str">
        <f>"20190312154550055"</f>
        <v>20190312154550055</v>
      </c>
      <c r="B2047" t="str">
        <f>"1552376750048370"</f>
        <v>1552376750048370</v>
      </c>
      <c r="C2047" t="s">
        <v>40</v>
      </c>
      <c r="D2047">
        <v>3.934739</v>
      </c>
      <c r="E2047">
        <v>0.51920519999999903</v>
      </c>
      <c r="F2047" t="s">
        <v>53</v>
      </c>
      <c r="G2047">
        <v>-499.95780000000002</v>
      </c>
      <c r="H2047">
        <v>1.43196E-2</v>
      </c>
      <c r="I2047">
        <v>293.32119999999998</v>
      </c>
      <c r="J2047">
        <v>-423.0378</v>
      </c>
      <c r="K2047">
        <v>1.1086879999999999</v>
      </c>
      <c r="L2047">
        <v>282.55130000000003</v>
      </c>
      <c r="M2047">
        <v>-0.99944449999999996</v>
      </c>
      <c r="N2047">
        <v>0</v>
      </c>
      <c r="O2047">
        <v>2.9842190000000001E-2</v>
      </c>
      <c r="P2047">
        <v>-0.99094899999999997</v>
      </c>
      <c r="Q2047">
        <v>9.5672629999999995E-2</v>
      </c>
      <c r="R2047">
        <v>9.4163339999999998E-2</v>
      </c>
      <c r="S2047">
        <v>-2.9925229999999998</v>
      </c>
      <c r="T2047">
        <v>-4.2366979999999999E-2</v>
      </c>
      <c r="U2047">
        <v>0.4174194</v>
      </c>
      <c r="V2047">
        <v>6.4915589999999995E-2</v>
      </c>
      <c r="W2047">
        <v>0.1101873</v>
      </c>
      <c r="X2047">
        <v>0.99178860000000002</v>
      </c>
      <c r="Y2047">
        <v>0.1085214</v>
      </c>
      <c r="Z2047">
        <v>3.4424340000000002E-4</v>
      </c>
      <c r="AA2047">
        <v>0.99409409999999998</v>
      </c>
      <c r="AB2047">
        <v>37</v>
      </c>
      <c r="AC2047">
        <v>-76.92</v>
      </c>
      <c r="AD2047">
        <v>-1.09436839999999</v>
      </c>
      <c r="AE2047">
        <v>10.7698999999999</v>
      </c>
      <c r="AF2047">
        <v>8.4677072633948196</v>
      </c>
      <c r="AG2047">
        <v>-1.09436839999999</v>
      </c>
      <c r="AH2047">
        <v>77.191842240106894</v>
      </c>
      <c r="AI2047">
        <v>90.807399723786801</v>
      </c>
      <c r="AJ2047">
        <v>83.739859731289201</v>
      </c>
      <c r="AK2047">
        <v>77.662605009843901</v>
      </c>
      <c r="AL2047">
        <v>83.673886986452402</v>
      </c>
      <c r="AM2047">
        <v>86.255158076596501</v>
      </c>
      <c r="AN2047">
        <v>0.99999995099814698</v>
      </c>
    </row>
    <row r="2048" spans="1:40" x14ac:dyDescent="0.25">
      <c r="A2048" t="str">
        <f>"20190312154550077"</f>
        <v>20190312154550077</v>
      </c>
      <c r="B2048" t="str">
        <f>"1552376750068864"</f>
        <v>1552376750068864</v>
      </c>
      <c r="C2048" t="s">
        <v>40</v>
      </c>
      <c r="D2048">
        <v>3.9383699999999999</v>
      </c>
      <c r="E2048">
        <v>0.51910540000000005</v>
      </c>
      <c r="F2048" t="s">
        <v>53</v>
      </c>
      <c r="G2048">
        <v>-496.27100000000002</v>
      </c>
      <c r="H2048" s="1">
        <v>4.3236740000000003E-6</v>
      </c>
      <c r="I2048">
        <v>292.9049</v>
      </c>
      <c r="J2048">
        <v>-423.40730000000002</v>
      </c>
      <c r="K2048">
        <v>1.1086910000000001</v>
      </c>
      <c r="L2048">
        <v>282.56349999999998</v>
      </c>
      <c r="M2048">
        <v>-0.99940560000000001</v>
      </c>
      <c r="N2048">
        <v>0</v>
      </c>
      <c r="O2048">
        <v>3.111912E-2</v>
      </c>
      <c r="P2048">
        <v>-0.99108260000000004</v>
      </c>
      <c r="Q2048">
        <v>9.2578519999999997E-2</v>
      </c>
      <c r="R2048">
        <v>9.583796E-2</v>
      </c>
      <c r="S2048">
        <v>-2.9915470000000002</v>
      </c>
      <c r="T2048">
        <v>-4.5289280000000001E-2</v>
      </c>
      <c r="U2048">
        <v>0.42294310000000002</v>
      </c>
      <c r="V2048">
        <v>6.5300250000000004E-2</v>
      </c>
      <c r="W2048">
        <v>0.1071019</v>
      </c>
      <c r="X2048">
        <v>0.99210129999999996</v>
      </c>
      <c r="Y2048">
        <v>0.1090946</v>
      </c>
      <c r="Z2048">
        <v>3.5316809999999998E-4</v>
      </c>
      <c r="AA2048">
        <v>0.99403129999999995</v>
      </c>
      <c r="AB2048">
        <v>37</v>
      </c>
      <c r="AC2048">
        <v>-72.863699999999895</v>
      </c>
      <c r="AD2048">
        <v>-1.1086866763259999</v>
      </c>
      <c r="AE2048">
        <v>10.3414</v>
      </c>
      <c r="AF2048">
        <v>8.0668558534369801</v>
      </c>
      <c r="AG2048">
        <v>-1.1086866763259999</v>
      </c>
      <c r="AH2048">
        <v>73.133655950203504</v>
      </c>
      <c r="AI2048">
        <v>90.863287157469102</v>
      </c>
      <c r="AJ2048">
        <v>83.705553495144301</v>
      </c>
      <c r="AK2048">
        <v>73.585562321349002</v>
      </c>
      <c r="AL2048">
        <v>83.851720205939301</v>
      </c>
      <c r="AM2048">
        <v>86.234215456779495</v>
      </c>
      <c r="AN2048">
        <v>0.99999996454768003</v>
      </c>
    </row>
    <row r="2049" spans="1:40" x14ac:dyDescent="0.25">
      <c r="A2049" t="str">
        <f>"20190312154550099"</f>
        <v>20190312154550099</v>
      </c>
      <c r="B2049" t="str">
        <f>"1552376750088384"</f>
        <v>1552376750088384</v>
      </c>
      <c r="C2049" t="s">
        <v>40</v>
      </c>
      <c r="D2049">
        <v>3.9599799999999998</v>
      </c>
      <c r="E2049">
        <v>0.51900420000000003</v>
      </c>
      <c r="F2049" t="s">
        <v>53</v>
      </c>
      <c r="G2049">
        <v>-484.37619999999998</v>
      </c>
      <c r="H2049" s="1">
        <v>3.8564040000000002E-6</v>
      </c>
      <c r="I2049">
        <v>291.26760000000002</v>
      </c>
      <c r="J2049">
        <v>-423.77719999999999</v>
      </c>
      <c r="K2049">
        <v>1.1087129999999901</v>
      </c>
      <c r="L2049">
        <v>282.5763</v>
      </c>
      <c r="M2049">
        <v>-0.99936559999999997</v>
      </c>
      <c r="N2049">
        <v>0</v>
      </c>
      <c r="O2049">
        <v>3.2373310000000002E-2</v>
      </c>
      <c r="P2049">
        <v>-0.99117189999999999</v>
      </c>
      <c r="Q2049">
        <v>9.0473029999999996E-2</v>
      </c>
      <c r="R2049">
        <v>9.6916479999999999E-2</v>
      </c>
      <c r="S2049">
        <v>-2.9907840000000001</v>
      </c>
      <c r="T2049">
        <v>-5.4385780000000002E-2</v>
      </c>
      <c r="U2049">
        <v>0.4269714</v>
      </c>
      <c r="V2049">
        <v>6.5114809999999995E-2</v>
      </c>
      <c r="W2049">
        <v>0.10500619999999999</v>
      </c>
      <c r="X2049">
        <v>0.99233749999999998</v>
      </c>
      <c r="Y2049">
        <v>0.109191</v>
      </c>
      <c r="Z2049">
        <v>4.023761E-4</v>
      </c>
      <c r="AA2049">
        <v>0.99402069999999998</v>
      </c>
      <c r="AB2049">
        <v>37</v>
      </c>
      <c r="AC2049">
        <v>-60.598999999999897</v>
      </c>
      <c r="AD2049">
        <v>-1.1087091435959999</v>
      </c>
      <c r="AE2049">
        <v>8.6913000000000107</v>
      </c>
      <c r="AF2049">
        <v>6.7225320925955998</v>
      </c>
      <c r="AG2049">
        <v>-1.1087091435959999</v>
      </c>
      <c r="AH2049">
        <v>60.828675770797403</v>
      </c>
      <c r="AI2049">
        <v>91.037882710356698</v>
      </c>
      <c r="AJ2049">
        <v>83.693501139565697</v>
      </c>
      <c r="AK2049">
        <v>61.209063624024402</v>
      </c>
      <c r="AL2049">
        <v>83.972476093491494</v>
      </c>
      <c r="AM2049">
        <v>86.245770163311207</v>
      </c>
      <c r="AN2049">
        <v>0.99999997721301204</v>
      </c>
    </row>
    <row r="2050" spans="1:40" x14ac:dyDescent="0.25">
      <c r="A2050" t="str">
        <f>"20190312154550123"</f>
        <v>20190312154550123</v>
      </c>
      <c r="B2050" t="str">
        <f>"1552376750108882"</f>
        <v>1552376750108882</v>
      </c>
      <c r="C2050" t="s">
        <v>40</v>
      </c>
      <c r="D2050">
        <v>3.9208289999999999</v>
      </c>
      <c r="E2050">
        <v>0.51892609999999995</v>
      </c>
      <c r="F2050" t="s">
        <v>53</v>
      </c>
      <c r="G2050">
        <v>-474.39210000000003</v>
      </c>
      <c r="H2050">
        <v>8.0001470000000005E-2</v>
      </c>
      <c r="I2050">
        <v>289.84210000000002</v>
      </c>
      <c r="J2050">
        <v>-424.17779999999999</v>
      </c>
      <c r="K2050">
        <v>1.1087450000000001</v>
      </c>
      <c r="L2050">
        <v>282.59050000000002</v>
      </c>
      <c r="M2050">
        <v>-0.99932180000000004</v>
      </c>
      <c r="N2050">
        <v>0</v>
      </c>
      <c r="O2050">
        <v>3.3699840000000002E-2</v>
      </c>
      <c r="P2050">
        <v>-0.99114310000000005</v>
      </c>
      <c r="Q2050">
        <v>9.001323E-2</v>
      </c>
      <c r="R2050">
        <v>9.7636860000000006E-2</v>
      </c>
      <c r="S2050">
        <v>-2.9902950000000001</v>
      </c>
      <c r="T2050">
        <v>-6.0775639999999999E-2</v>
      </c>
      <c r="U2050">
        <v>0.42926029999999998</v>
      </c>
      <c r="V2050">
        <v>6.4507350000000005E-2</v>
      </c>
      <c r="W2050">
        <v>0.1045552</v>
      </c>
      <c r="X2050">
        <v>0.9924248</v>
      </c>
      <c r="Y2050">
        <v>0.1086371</v>
      </c>
      <c r="Z2050">
        <v>4.1731249999999999E-4</v>
      </c>
      <c r="AA2050">
        <v>0.9940814</v>
      </c>
      <c r="AB2050">
        <v>37</v>
      </c>
      <c r="AC2050">
        <v>-50.214300000000001</v>
      </c>
      <c r="AD2050">
        <v>-1.0287435300000001</v>
      </c>
      <c r="AE2050">
        <v>7.2515999999999901</v>
      </c>
      <c r="AF2050">
        <v>5.5527968999570598</v>
      </c>
      <c r="AG2050">
        <v>-1.0287435300000001</v>
      </c>
      <c r="AH2050">
        <v>50.409451016481199</v>
      </c>
      <c r="AI2050">
        <v>91.162088605289995</v>
      </c>
      <c r="AJ2050">
        <v>83.713990071471301</v>
      </c>
      <c r="AK2050">
        <v>50.724792936449802</v>
      </c>
      <c r="AL2050">
        <v>83.9984595725427</v>
      </c>
      <c r="AM2050">
        <v>86.281021089280699</v>
      </c>
      <c r="AN2050">
        <v>0.99999998585305105</v>
      </c>
    </row>
    <row r="2051" spans="1:40" x14ac:dyDescent="0.25">
      <c r="A2051" t="str">
        <f>"20190312154550144"</f>
        <v>20190312154550144</v>
      </c>
      <c r="B2051" t="str">
        <f>"1552376750139136"</f>
        <v>1552376750139136</v>
      </c>
      <c r="C2051" t="s">
        <v>40</v>
      </c>
      <c r="D2051">
        <v>4.0896379999999999</v>
      </c>
      <c r="E2051">
        <v>0.49666739999999998</v>
      </c>
      <c r="F2051" t="s">
        <v>53</v>
      </c>
      <c r="G2051">
        <v>-474.28050000000002</v>
      </c>
      <c r="H2051">
        <v>8.0001459999999996E-2</v>
      </c>
      <c r="I2051">
        <v>289.81330000000003</v>
      </c>
      <c r="J2051">
        <v>-424.52949999999998</v>
      </c>
      <c r="K2051">
        <v>1.1087670000000001</v>
      </c>
      <c r="L2051">
        <v>282.6035</v>
      </c>
      <c r="M2051">
        <v>-0.99928309999999998</v>
      </c>
      <c r="N2051">
        <v>0</v>
      </c>
      <c r="O2051">
        <v>3.4828890000000001E-2</v>
      </c>
      <c r="P2051">
        <v>-0.99133990000000005</v>
      </c>
      <c r="Q2051">
        <v>8.7559849999999995E-2</v>
      </c>
      <c r="R2051">
        <v>9.7870979999999996E-2</v>
      </c>
      <c r="S2051">
        <v>-2.98996</v>
      </c>
      <c r="T2051">
        <v>-6.1391830000000001E-2</v>
      </c>
      <c r="U2051">
        <v>0.43103029999999998</v>
      </c>
      <c r="V2051">
        <v>6.3596029999999998E-2</v>
      </c>
      <c r="W2051">
        <v>0.1021136</v>
      </c>
      <c r="X2051">
        <v>0.9927378</v>
      </c>
      <c r="Y2051">
        <v>0.1081062</v>
      </c>
      <c r="Z2051">
        <v>3.9312659999999998E-4</v>
      </c>
      <c r="AA2051">
        <v>0.99413929999999995</v>
      </c>
      <c r="AB2051">
        <v>37</v>
      </c>
      <c r="AC2051">
        <v>-49.750999999999998</v>
      </c>
      <c r="AD2051">
        <v>-1.02876554</v>
      </c>
      <c r="AE2051">
        <v>7.2098000000000297</v>
      </c>
      <c r="AF2051">
        <v>5.4701709455363901</v>
      </c>
      <c r="AG2051">
        <v>-1.02876554</v>
      </c>
      <c r="AH2051">
        <v>49.951026603686699</v>
      </c>
      <c r="AI2051">
        <v>91.172857608885494</v>
      </c>
      <c r="AJ2051">
        <v>83.750403709883798</v>
      </c>
      <c r="AK2051">
        <v>50.260184912830297</v>
      </c>
      <c r="AL2051">
        <v>84.139105942009706</v>
      </c>
      <c r="AM2051">
        <v>86.334569064918895</v>
      </c>
      <c r="AN2051">
        <v>0.99999999094278003</v>
      </c>
    </row>
    <row r="2052" spans="1:40" x14ac:dyDescent="0.25">
      <c r="A2052" t="str">
        <f>"20190312154550188"</f>
        <v>20190312154550188</v>
      </c>
      <c r="B2052" t="str">
        <f>"1552376750179156"</f>
        <v>1552376750179156</v>
      </c>
      <c r="C2052" t="s">
        <v>40</v>
      </c>
      <c r="D2052">
        <v>3.8861979999999998</v>
      </c>
      <c r="E2052">
        <v>0.46398739999999999</v>
      </c>
      <c r="F2052" t="s">
        <v>62</v>
      </c>
      <c r="G2052">
        <v>-553.59979999999996</v>
      </c>
      <c r="H2052">
        <v>1.52889599999999</v>
      </c>
      <c r="I2052">
        <v>293.69319999999999</v>
      </c>
      <c r="J2052">
        <v>-425.26339999999999</v>
      </c>
      <c r="K2052">
        <v>1.1088549999999999</v>
      </c>
      <c r="L2052">
        <v>282.63170000000002</v>
      </c>
      <c r="M2052">
        <v>-0.99920279999999995</v>
      </c>
      <c r="N2052">
        <v>0</v>
      </c>
      <c r="O2052">
        <v>3.7060089999999997E-2</v>
      </c>
      <c r="P2052">
        <v>-0.99135359999999995</v>
      </c>
      <c r="Q2052">
        <v>8.5959289999999994E-2</v>
      </c>
      <c r="R2052">
        <v>9.9142800000000003E-2</v>
      </c>
      <c r="S2052">
        <v>-2.999908</v>
      </c>
      <c r="T2052">
        <v>9.7668170000000006E-3</v>
      </c>
      <c r="U2052">
        <v>0.25775150000000002</v>
      </c>
      <c r="V2052">
        <v>6.2622399999999995E-2</v>
      </c>
      <c r="W2052">
        <v>0.1005296</v>
      </c>
      <c r="X2052">
        <v>0.99296130000000005</v>
      </c>
      <c r="Y2052">
        <v>4.8617390000000003E-2</v>
      </c>
      <c r="Z2052" s="1">
        <v>4.1383079999999999E-5</v>
      </c>
      <c r="AA2052">
        <v>0.99881750000000002</v>
      </c>
      <c r="AB2052">
        <v>37</v>
      </c>
      <c r="AC2052">
        <v>-128.336399999999</v>
      </c>
      <c r="AD2052">
        <v>0.420040999999999</v>
      </c>
      <c r="AE2052">
        <v>11.061499999999899</v>
      </c>
      <c r="AF2052">
        <v>6.2971499996335698</v>
      </c>
      <c r="AG2052">
        <v>0.420040999999999</v>
      </c>
      <c r="AH2052">
        <v>128.65683575246501</v>
      </c>
      <c r="AI2052">
        <v>89.813164101285196</v>
      </c>
      <c r="AJ2052">
        <v>87.197875938705906</v>
      </c>
      <c r="AK2052">
        <v>128.81153643364499</v>
      </c>
      <c r="AL2052">
        <v>84.230331729906396</v>
      </c>
      <c r="AM2052">
        <v>86.391346145393797</v>
      </c>
      <c r="AN2052">
        <v>0.99999995437780398</v>
      </c>
    </row>
    <row r="2053" spans="1:40" x14ac:dyDescent="0.25">
      <c r="A2053" t="str">
        <f>"20190312154550211"</f>
        <v>20190312154550211</v>
      </c>
      <c r="B2053" t="str">
        <f>"1552376750198674"</f>
        <v>1552376750198674</v>
      </c>
      <c r="C2053" t="s">
        <v>40</v>
      </c>
      <c r="D2053">
        <v>3.8621599999999998</v>
      </c>
      <c r="E2053">
        <v>0.45732660000000003</v>
      </c>
      <c r="F2053" t="s">
        <v>45</v>
      </c>
      <c r="G2053">
        <v>-727.36289999999997</v>
      </c>
      <c r="H2053">
        <v>-0.1</v>
      </c>
      <c r="I2053">
        <v>282.71699999999998</v>
      </c>
      <c r="J2053">
        <v>-425.62599999999998</v>
      </c>
      <c r="K2053">
        <v>1.108914</v>
      </c>
      <c r="L2053">
        <v>282.64620000000002</v>
      </c>
      <c r="M2053">
        <v>-0.99916369999999999</v>
      </c>
      <c r="N2053">
        <v>0</v>
      </c>
      <c r="O2053">
        <v>3.8102530000000003E-2</v>
      </c>
      <c r="P2053">
        <v>-0.99105909999999997</v>
      </c>
      <c r="Q2053">
        <v>8.8406879999999993E-2</v>
      </c>
      <c r="R2053">
        <v>9.9931720000000002E-2</v>
      </c>
      <c r="S2053">
        <v>-3.0271300000000001</v>
      </c>
      <c r="T2053">
        <v>-1.211309E-2</v>
      </c>
      <c r="U2053">
        <v>8.5449219999999995E-4</v>
      </c>
      <c r="V2053">
        <v>6.2381499999999999E-2</v>
      </c>
      <c r="W2053">
        <v>0.10297829999999999</v>
      </c>
      <c r="X2053">
        <v>0.99272559999999999</v>
      </c>
      <c r="Y2053">
        <v>-3.7824040000000003E-2</v>
      </c>
      <c r="Z2053">
        <v>-2.281323E-4</v>
      </c>
      <c r="AA2053">
        <v>0.99928439999999996</v>
      </c>
      <c r="AB2053">
        <v>37</v>
      </c>
      <c r="AC2053">
        <v>-301.73689999999999</v>
      </c>
      <c r="AD2053">
        <v>-1.208914</v>
      </c>
      <c r="AE2053">
        <v>7.0799999999962795E-2</v>
      </c>
      <c r="AF2053">
        <v>-11.427272710032099</v>
      </c>
      <c r="AG2053">
        <v>-1.208914</v>
      </c>
      <c r="AH2053">
        <v>301.51559892801498</v>
      </c>
      <c r="AI2053">
        <v>90.229558961188999</v>
      </c>
      <c r="AJ2053">
        <v>92.1704392410455</v>
      </c>
      <c r="AK2053">
        <v>301.73448664607201</v>
      </c>
      <c r="AL2053">
        <v>84.089300060824698</v>
      </c>
      <c r="AM2053">
        <v>86.404340416119993</v>
      </c>
      <c r="AN2053">
        <v>1.00000004935424</v>
      </c>
    </row>
    <row r="2054" spans="1:40" x14ac:dyDescent="0.25">
      <c r="A2054" t="str">
        <f>"20190312154550234"</f>
        <v>20190312154550234</v>
      </c>
      <c r="B2054" t="str">
        <f>"1552376750228928"</f>
        <v>1552376750228928</v>
      </c>
      <c r="C2054" t="s">
        <v>40</v>
      </c>
      <c r="D2054">
        <v>3.8764660000000002</v>
      </c>
      <c r="E2054">
        <v>0.45155020000000001</v>
      </c>
      <c r="F2054" t="s">
        <v>45</v>
      </c>
      <c r="G2054">
        <v>-750.87819999999999</v>
      </c>
      <c r="H2054">
        <v>-0.1</v>
      </c>
      <c r="I2054">
        <v>277.25639999999999</v>
      </c>
      <c r="J2054">
        <v>-426.01519999999999</v>
      </c>
      <c r="K2054">
        <v>1.1089690000000001</v>
      </c>
      <c r="L2054">
        <v>282.66219999999998</v>
      </c>
      <c r="M2054">
        <v>-0.99912219999999996</v>
      </c>
      <c r="N2054">
        <v>0</v>
      </c>
      <c r="O2054">
        <v>3.9172249999999999E-2</v>
      </c>
      <c r="P2054">
        <v>-0.99074960000000001</v>
      </c>
      <c r="Q2054">
        <v>9.0609519999999999E-2</v>
      </c>
      <c r="R2054">
        <v>0.10102120000000001</v>
      </c>
      <c r="S2054">
        <v>-3.033112</v>
      </c>
      <c r="T2054">
        <v>-1.127362E-2</v>
      </c>
      <c r="U2054">
        <v>-5.026245E-2</v>
      </c>
      <c r="V2054">
        <v>6.2412479999999999E-2</v>
      </c>
      <c r="W2054">
        <v>0.1051826</v>
      </c>
      <c r="X2054">
        <v>0.9924925</v>
      </c>
      <c r="Y2054">
        <v>-5.5726779999999997E-2</v>
      </c>
      <c r="Z2054">
        <v>-2.4914339999999998E-4</v>
      </c>
      <c r="AA2054">
        <v>0.99844599999999994</v>
      </c>
      <c r="AB2054">
        <v>37</v>
      </c>
      <c r="AC2054">
        <v>-324.863</v>
      </c>
      <c r="AD2054">
        <v>-1.208969</v>
      </c>
      <c r="AE2054">
        <v>-5.4057999999999904</v>
      </c>
      <c r="AF2054">
        <v>-18.1284160085143</v>
      </c>
      <c r="AG2054">
        <v>-1.208969</v>
      </c>
      <c r="AH2054">
        <v>324.39733171572902</v>
      </c>
      <c r="AI2054">
        <v>90.213197170312</v>
      </c>
      <c r="AJ2054">
        <v>93.198554352622295</v>
      </c>
      <c r="AK2054">
        <v>324.90572462993902</v>
      </c>
      <c r="AL2054">
        <v>83.962313154721897</v>
      </c>
      <c r="AM2054">
        <v>86.401716735151993</v>
      </c>
      <c r="AN2054">
        <v>1.0000000297793701</v>
      </c>
    </row>
    <row r="2055" spans="1:40" x14ac:dyDescent="0.25">
      <c r="A2055" t="str">
        <f>"20190312154550255"</f>
        <v>20190312154550255</v>
      </c>
      <c r="B2055" t="str">
        <f>"1552376750248448"</f>
        <v>1552376750248448</v>
      </c>
      <c r="C2055" t="s">
        <v>40</v>
      </c>
      <c r="D2055">
        <v>3.8612739999999999</v>
      </c>
      <c r="E2055">
        <v>0.44909070000000001</v>
      </c>
      <c r="F2055" t="s">
        <v>58</v>
      </c>
      <c r="G2055">
        <v>-551.06219999999996</v>
      </c>
      <c r="H2055">
        <v>0.96660860000000004</v>
      </c>
      <c r="I2055">
        <v>278.84070000000003</v>
      </c>
      <c r="J2055">
        <v>-426.36509999999998</v>
      </c>
      <c r="K2055">
        <v>1.109016</v>
      </c>
      <c r="L2055">
        <v>282.67680000000001</v>
      </c>
      <c r="M2055">
        <v>-0.99908660000000005</v>
      </c>
      <c r="N2055">
        <v>0</v>
      </c>
      <c r="O2055">
        <v>4.0074739999999998E-2</v>
      </c>
      <c r="P2055">
        <v>-0.99064640000000004</v>
      </c>
      <c r="Q2055">
        <v>9.0394059999999998E-2</v>
      </c>
      <c r="R2055">
        <v>0.1022189</v>
      </c>
      <c r="S2055">
        <v>-3.03775</v>
      </c>
      <c r="T2055">
        <v>-3.456354E-3</v>
      </c>
      <c r="U2055">
        <v>-9.2834470000000002E-2</v>
      </c>
      <c r="V2055">
        <v>6.2702610000000006E-2</v>
      </c>
      <c r="W2055">
        <v>0.1049716</v>
      </c>
      <c r="X2055">
        <v>0.99249659999999995</v>
      </c>
      <c r="Y2055">
        <v>-7.0581850000000002E-2</v>
      </c>
      <c r="Z2055" s="1">
        <v>-8.5733899999999996E-5</v>
      </c>
      <c r="AA2055">
        <v>0.997506</v>
      </c>
      <c r="AB2055">
        <v>37</v>
      </c>
      <c r="AC2055">
        <v>-124.697099999999</v>
      </c>
      <c r="AD2055">
        <v>-0.14240739999999999</v>
      </c>
      <c r="AE2055">
        <v>-3.8360999999999801</v>
      </c>
      <c r="AF2055">
        <v>-8.8307598151064592</v>
      </c>
      <c r="AG2055">
        <v>-0.14240739999999999</v>
      </c>
      <c r="AH2055">
        <v>124.44299712338901</v>
      </c>
      <c r="AI2055">
        <v>90.065402418183794</v>
      </c>
      <c r="AJ2055">
        <v>94.0590354493809</v>
      </c>
      <c r="AK2055">
        <v>124.75601040363399</v>
      </c>
      <c r="AL2055">
        <v>83.974470151406805</v>
      </c>
      <c r="AM2055">
        <v>86.3850489399412</v>
      </c>
      <c r="AN2055">
        <v>1.00000007755946</v>
      </c>
    </row>
    <row r="2056" spans="1:40" x14ac:dyDescent="0.25">
      <c r="A2056" t="str">
        <f>"20190312154550277"</f>
        <v>20190312154550277</v>
      </c>
      <c r="B2056" t="str">
        <f>"1552376750268944"</f>
        <v>1552376750268944</v>
      </c>
      <c r="C2056" t="s">
        <v>40</v>
      </c>
      <c r="D2056">
        <v>3.844541</v>
      </c>
      <c r="E2056">
        <v>0.44731490000000002</v>
      </c>
      <c r="F2056" t="s">
        <v>58</v>
      </c>
      <c r="G2056">
        <v>-551.06219999999996</v>
      </c>
      <c r="H2056">
        <v>1.1104860000000001</v>
      </c>
      <c r="I2056">
        <v>278.2285</v>
      </c>
      <c r="J2056">
        <v>-426.73070000000001</v>
      </c>
      <c r="K2056">
        <v>1.1090690000000001</v>
      </c>
      <c r="L2056">
        <v>282.69240000000002</v>
      </c>
      <c r="M2056">
        <v>-0.99905100000000002</v>
      </c>
      <c r="N2056">
        <v>0</v>
      </c>
      <c r="O2056">
        <v>4.0952139999999998E-2</v>
      </c>
      <c r="P2056">
        <v>-0.99072610000000005</v>
      </c>
      <c r="Q2056">
        <v>8.7242630000000002E-2</v>
      </c>
      <c r="R2056">
        <v>0.1041676</v>
      </c>
      <c r="S2056">
        <v>-3.03952</v>
      </c>
      <c r="T2056" s="1">
        <v>3.7789339999999997E-5</v>
      </c>
      <c r="U2056">
        <v>-0.108429</v>
      </c>
      <c r="V2056">
        <v>6.3750680000000004E-2</v>
      </c>
      <c r="W2056">
        <v>0.1018271</v>
      </c>
      <c r="X2056">
        <v>0.99275729999999995</v>
      </c>
      <c r="Y2056">
        <v>-7.6551069999999999E-2</v>
      </c>
      <c r="Z2056" s="1">
        <v>9.8474050000000003E-7</v>
      </c>
      <c r="AA2056">
        <v>0.99706570000000005</v>
      </c>
      <c r="AB2056">
        <v>37</v>
      </c>
      <c r="AC2056">
        <v>-124.331499999999</v>
      </c>
      <c r="AD2056">
        <v>1.4170000000000001E-3</v>
      </c>
      <c r="AE2056">
        <v>-4.4639000000000202</v>
      </c>
      <c r="AF2056">
        <v>-9.5523556723056</v>
      </c>
      <c r="AG2056">
        <v>1.4170000000000001E-3</v>
      </c>
      <c r="AH2056">
        <v>124.044350103315</v>
      </c>
      <c r="AI2056">
        <v>89.999347423277896</v>
      </c>
      <c r="AJ2056">
        <v>94.403518723518303</v>
      </c>
      <c r="AK2056">
        <v>124.411608354896</v>
      </c>
      <c r="AL2056">
        <v>84.155607144989304</v>
      </c>
      <c r="AM2056">
        <v>86.325751995327593</v>
      </c>
      <c r="AN2056">
        <v>0.99999998209908103</v>
      </c>
    </row>
    <row r="2057" spans="1:40" x14ac:dyDescent="0.25">
      <c r="A2057" t="str">
        <f>"20190312154550300"</f>
        <v>20190312154550300</v>
      </c>
      <c r="B2057" t="str">
        <f>"1552376750288250"</f>
        <v>1552376750288250</v>
      </c>
      <c r="C2057" t="s">
        <v>40</v>
      </c>
      <c r="D2057">
        <v>3.8413050000000002</v>
      </c>
      <c r="E2057">
        <v>0.44598480000000001</v>
      </c>
      <c r="F2057" t="s">
        <v>58</v>
      </c>
      <c r="G2057">
        <v>-547.95749999999998</v>
      </c>
      <c r="H2057">
        <v>0.76803980000000005</v>
      </c>
      <c r="I2057">
        <v>278.05</v>
      </c>
      <c r="J2057">
        <v>-427.10070000000002</v>
      </c>
      <c r="K2057">
        <v>1.109129</v>
      </c>
      <c r="L2057">
        <v>282.70839999999998</v>
      </c>
      <c r="M2057">
        <v>-0.9990173</v>
      </c>
      <c r="N2057">
        <v>0</v>
      </c>
      <c r="O2057">
        <v>4.1769760000000003E-2</v>
      </c>
      <c r="P2057">
        <v>-0.99062309999999998</v>
      </c>
      <c r="Q2057">
        <v>8.6291930000000003E-2</v>
      </c>
      <c r="R2057">
        <v>0.1059229</v>
      </c>
      <c r="S2057">
        <v>-3.0410159999999999</v>
      </c>
      <c r="T2057">
        <v>-8.5527899999999994E-3</v>
      </c>
      <c r="U2057">
        <v>-0.11645510000000001</v>
      </c>
      <c r="V2057">
        <v>6.4675940000000001E-2</v>
      </c>
      <c r="W2057">
        <v>0.1008816</v>
      </c>
      <c r="X2057">
        <v>0.99279399999999995</v>
      </c>
      <c r="Y2057">
        <v>-7.9976619999999998E-2</v>
      </c>
      <c r="Z2057">
        <v>-2.2986879999999999E-4</v>
      </c>
      <c r="AA2057">
        <v>0.99679669999999998</v>
      </c>
      <c r="AB2057">
        <v>37</v>
      </c>
      <c r="AC2057">
        <v>-120.856799999999</v>
      </c>
      <c r="AD2057">
        <v>-0.34108919999999998</v>
      </c>
      <c r="AE2057">
        <v>-4.6583999999999701</v>
      </c>
      <c r="AF2057">
        <v>-9.7029705921854603</v>
      </c>
      <c r="AG2057">
        <v>-0.34108919999999998</v>
      </c>
      <c r="AH2057">
        <v>120.555740127039</v>
      </c>
      <c r="AI2057">
        <v>90.161584402304797</v>
      </c>
      <c r="AJ2057">
        <v>94.601551692083405</v>
      </c>
      <c r="AK2057">
        <v>120.946064250696</v>
      </c>
      <c r="AL2057">
        <v>84.210060828887904</v>
      </c>
      <c r="AM2057">
        <v>86.272711626723407</v>
      </c>
      <c r="AN2057">
        <v>1.00000000043472</v>
      </c>
    </row>
    <row r="2058" spans="1:40" x14ac:dyDescent="0.25">
      <c r="A2058" t="str">
        <f>"20190312154550323"</f>
        <v>20190312154550323</v>
      </c>
      <c r="B2058" t="str">
        <f>"1552376750318506"</f>
        <v>1552376750318506</v>
      </c>
      <c r="C2058" t="s">
        <v>40</v>
      </c>
      <c r="D2058">
        <v>3.8454760000000001</v>
      </c>
      <c r="E2058">
        <v>0.44472070000000002</v>
      </c>
      <c r="F2058" t="s">
        <v>58</v>
      </c>
      <c r="G2058">
        <v>-513.08780000000002</v>
      </c>
      <c r="H2058">
        <v>0.80856549999999905</v>
      </c>
      <c r="I2058">
        <v>279.27539999999999</v>
      </c>
      <c r="J2058">
        <v>-427.47379999999998</v>
      </c>
      <c r="K2058">
        <v>1.1091899999999999</v>
      </c>
      <c r="L2058">
        <v>282.72469999999998</v>
      </c>
      <c r="M2058">
        <v>-0.99898560000000003</v>
      </c>
      <c r="N2058">
        <v>0</v>
      </c>
      <c r="O2058">
        <v>4.2521669999999998E-2</v>
      </c>
      <c r="P2058">
        <v>-0.99069309999999999</v>
      </c>
      <c r="Q2058">
        <v>8.3688419999999999E-2</v>
      </c>
      <c r="R2058">
        <v>0.10734929999999999</v>
      </c>
      <c r="S2058">
        <v>-3.042297</v>
      </c>
      <c r="T2058">
        <v>-1.063132E-2</v>
      </c>
      <c r="U2058">
        <v>-0.121459999999999</v>
      </c>
      <c r="V2058">
        <v>6.5327029999999994E-2</v>
      </c>
      <c r="W2058">
        <v>9.8288189999999998E-2</v>
      </c>
      <c r="X2058">
        <v>0.99301150000000005</v>
      </c>
      <c r="Y2058">
        <v>-8.234764E-2</v>
      </c>
      <c r="Z2058">
        <v>-2.923712E-4</v>
      </c>
      <c r="AA2058">
        <v>0.99660360000000003</v>
      </c>
      <c r="AB2058">
        <v>37</v>
      </c>
      <c r="AC2058">
        <v>-85.614000000000004</v>
      </c>
      <c r="AD2058">
        <v>-0.30062450000000002</v>
      </c>
      <c r="AE2058">
        <v>-3.4492999999999898</v>
      </c>
      <c r="AF2058">
        <v>-7.0869425229016496</v>
      </c>
      <c r="AG2058">
        <v>-0.30062450000000002</v>
      </c>
      <c r="AH2058">
        <v>85.388811710460999</v>
      </c>
      <c r="AI2058">
        <v>90.201026629698404</v>
      </c>
      <c r="AJ2058">
        <v>94.7444551417951</v>
      </c>
      <c r="AK2058">
        <v>85.682928840799306</v>
      </c>
      <c r="AL2058">
        <v>84.359394725302394</v>
      </c>
      <c r="AM2058">
        <v>86.236118754331599</v>
      </c>
      <c r="AN2058">
        <v>1.0000000141371701</v>
      </c>
    </row>
    <row r="2059" spans="1:40" x14ac:dyDescent="0.25">
      <c r="A2059" t="str">
        <f>"20190312154550346"</f>
        <v>20190312154550346</v>
      </c>
      <c r="B2059" t="str">
        <f>"1552376750339003"</f>
        <v>1552376750339003</v>
      </c>
      <c r="C2059" t="s">
        <v>40</v>
      </c>
      <c r="D2059">
        <v>3.852376</v>
      </c>
      <c r="E2059">
        <v>0.44389810000000002</v>
      </c>
      <c r="F2059" t="s">
        <v>58</v>
      </c>
      <c r="G2059">
        <v>-511.9588</v>
      </c>
      <c r="H2059">
        <v>0.51649079999999903</v>
      </c>
      <c r="I2059">
        <v>279.20420000000001</v>
      </c>
      <c r="J2059">
        <v>-427.84780000000001</v>
      </c>
      <c r="K2059">
        <v>1.1092610000000001</v>
      </c>
      <c r="L2059">
        <v>282.74130000000002</v>
      </c>
      <c r="M2059">
        <v>-0.99895679999999998</v>
      </c>
      <c r="N2059">
        <v>0</v>
      </c>
      <c r="O2059">
        <v>4.3194799999999998E-2</v>
      </c>
      <c r="P2059">
        <v>-0.9906374</v>
      </c>
      <c r="Q2059">
        <v>8.3157330000000002E-2</v>
      </c>
      <c r="R2059">
        <v>0.1082704</v>
      </c>
      <c r="S2059">
        <v>-3.043701</v>
      </c>
      <c r="T2059">
        <v>-2.134991E-2</v>
      </c>
      <c r="U2059">
        <v>-0.1268311</v>
      </c>
      <c r="V2059">
        <v>6.5561439999999999E-2</v>
      </c>
      <c r="W2059">
        <v>9.7764309999999993E-2</v>
      </c>
      <c r="X2059">
        <v>0.99304780000000004</v>
      </c>
      <c r="Y2059">
        <v>-8.4753949999999995E-2</v>
      </c>
      <c r="Z2059">
        <v>-6.0000240000000001E-4</v>
      </c>
      <c r="AA2059">
        <v>0.99640169999999995</v>
      </c>
      <c r="AB2059">
        <v>37</v>
      </c>
      <c r="AC2059">
        <v>-84.110999999999905</v>
      </c>
      <c r="AD2059">
        <v>-0.59277020000000002</v>
      </c>
      <c r="AE2059">
        <v>-3.5371000000000001</v>
      </c>
      <c r="AF2059">
        <v>-7.1669993213245897</v>
      </c>
      <c r="AG2059">
        <v>-0.59277020000000002</v>
      </c>
      <c r="AH2059">
        <v>83.875519774112803</v>
      </c>
      <c r="AI2059">
        <v>90.403447362344195</v>
      </c>
      <c r="AJ2059">
        <v>94.883948988447003</v>
      </c>
      <c r="AK2059">
        <v>84.183252925741996</v>
      </c>
      <c r="AL2059">
        <v>84.389556290589297</v>
      </c>
      <c r="AM2059">
        <v>86.222789699636493</v>
      </c>
      <c r="AN2059">
        <v>1.00000004790474</v>
      </c>
    </row>
    <row r="2060" spans="1:40" x14ac:dyDescent="0.25">
      <c r="A2060" t="str">
        <f>"20190312154550370"</f>
        <v>20190312154550370</v>
      </c>
      <c r="B2060" t="str">
        <f>"1552376750358522"</f>
        <v>1552376750358522</v>
      </c>
      <c r="C2060" t="s">
        <v>40</v>
      </c>
      <c r="D2060">
        <v>3.8174269999999999</v>
      </c>
      <c r="E2060">
        <v>0.44317319999999999</v>
      </c>
      <c r="F2060" t="s">
        <v>58</v>
      </c>
      <c r="G2060">
        <v>-511.9588</v>
      </c>
      <c r="H2060">
        <v>0.50635429999999904</v>
      </c>
      <c r="I2060">
        <v>279.1386</v>
      </c>
      <c r="J2060">
        <v>-428.25020000000001</v>
      </c>
      <c r="K2060">
        <v>1.109327</v>
      </c>
      <c r="L2060">
        <v>282.75940000000003</v>
      </c>
      <c r="M2060">
        <v>-0.9989287</v>
      </c>
      <c r="N2060">
        <v>0</v>
      </c>
      <c r="O2060">
        <v>4.3841629999999999E-2</v>
      </c>
      <c r="P2060">
        <v>-0.99071670000000001</v>
      </c>
      <c r="Q2060">
        <v>8.2715869999999997E-2</v>
      </c>
      <c r="R2060">
        <v>0.1078829</v>
      </c>
      <c r="S2060">
        <v>-3.044403</v>
      </c>
      <c r="T2060">
        <v>-2.1819229999999998E-2</v>
      </c>
      <c r="U2060">
        <v>-0.13040160000000001</v>
      </c>
      <c r="V2060">
        <v>6.4509269999999994E-2</v>
      </c>
      <c r="W2060">
        <v>9.7333409999999995E-2</v>
      </c>
      <c r="X2060">
        <v>0.99315900000000001</v>
      </c>
      <c r="Y2060">
        <v>-8.6555759999999995E-2</v>
      </c>
      <c r="Z2060">
        <v>-6.2412399999999999E-4</v>
      </c>
      <c r="AA2060">
        <v>0.99624679999999999</v>
      </c>
      <c r="AB2060">
        <v>37</v>
      </c>
      <c r="AC2060">
        <v>-83.708599999999905</v>
      </c>
      <c r="AD2060">
        <v>-0.60297270000000003</v>
      </c>
      <c r="AE2060">
        <v>-3.6208000000000302</v>
      </c>
      <c r="AF2060">
        <v>-7.2872644670109601</v>
      </c>
      <c r="AG2060">
        <v>-0.60297270000000003</v>
      </c>
      <c r="AH2060">
        <v>83.465014152748594</v>
      </c>
      <c r="AI2060">
        <v>90.412343638300996</v>
      </c>
      <c r="AJ2060">
        <v>94.989796027010698</v>
      </c>
      <c r="AK2060">
        <v>83.784702583512399</v>
      </c>
      <c r="AL2060">
        <v>84.414363190139895</v>
      </c>
      <c r="AM2060">
        <v>86.283652364153099</v>
      </c>
      <c r="AN2060">
        <v>1.0000000189495799</v>
      </c>
    </row>
    <row r="2061" spans="1:40" x14ac:dyDescent="0.25">
      <c r="A2061" t="str">
        <f>"20190312154550390"</f>
        <v>20190312154550390</v>
      </c>
      <c r="B2061" t="str">
        <f>"1552376750379019"</f>
        <v>1552376750379019</v>
      </c>
      <c r="C2061" t="s">
        <v>40</v>
      </c>
      <c r="D2061">
        <v>3.7908390000000001</v>
      </c>
      <c r="E2061">
        <v>0.44242540000000002</v>
      </c>
      <c r="F2061" t="s">
        <v>58</v>
      </c>
      <c r="G2061">
        <v>-511.9588</v>
      </c>
      <c r="H2061">
        <v>0.49298930000000002</v>
      </c>
      <c r="I2061">
        <v>278.98649999999998</v>
      </c>
      <c r="J2061">
        <v>-428.57209999999998</v>
      </c>
      <c r="K2061">
        <v>1.10937</v>
      </c>
      <c r="L2061">
        <v>282.774</v>
      </c>
      <c r="M2061">
        <v>-0.99890769999999995</v>
      </c>
      <c r="N2061">
        <v>0</v>
      </c>
      <c r="O2061">
        <v>4.4314850000000003E-2</v>
      </c>
      <c r="P2061">
        <v>-0.99088220000000005</v>
      </c>
      <c r="Q2061">
        <v>8.0957489999999993E-2</v>
      </c>
      <c r="R2061">
        <v>0.107696</v>
      </c>
      <c r="S2061">
        <v>-3.0449220000000001</v>
      </c>
      <c r="T2061">
        <v>-2.2416470000000001E-2</v>
      </c>
      <c r="U2061">
        <v>-0.13723750000000001</v>
      </c>
      <c r="V2061">
        <v>6.3829479999999994E-2</v>
      </c>
      <c r="W2061">
        <v>9.5583959999999996E-2</v>
      </c>
      <c r="X2061">
        <v>0.99337279999999994</v>
      </c>
      <c r="Y2061">
        <v>-8.9252159999999997E-2</v>
      </c>
      <c r="Z2061">
        <v>-6.5447200000000002E-4</v>
      </c>
      <c r="AA2061">
        <v>0.99600889999999997</v>
      </c>
      <c r="AB2061">
        <v>37</v>
      </c>
      <c r="AC2061">
        <v>-83.386700000000005</v>
      </c>
      <c r="AD2061">
        <v>-0.616380699999999</v>
      </c>
      <c r="AE2061">
        <v>-3.7875000000000201</v>
      </c>
      <c r="AF2061">
        <v>-7.4790455009844097</v>
      </c>
      <c r="AG2061">
        <v>-0.616380699999999</v>
      </c>
      <c r="AH2061">
        <v>83.132370249760399</v>
      </c>
      <c r="AI2061">
        <v>90.423100108427406</v>
      </c>
      <c r="AJ2061">
        <v>95.140803897800694</v>
      </c>
      <c r="AK2061">
        <v>83.470396130103396</v>
      </c>
      <c r="AL2061">
        <v>84.515068833695096</v>
      </c>
      <c r="AM2061">
        <v>86.323495988742593</v>
      </c>
      <c r="AN2061">
        <v>1.00000000785309</v>
      </c>
    </row>
    <row r="2062" spans="1:40" x14ac:dyDescent="0.25">
      <c r="A2062" t="str">
        <f>"20190312154550411"</f>
        <v>20190312154550411</v>
      </c>
      <c r="B2062" t="str">
        <f>"1552376750399180"</f>
        <v>1552376750399180</v>
      </c>
      <c r="C2062" t="s">
        <v>40</v>
      </c>
      <c r="D2062">
        <v>3.7866520000000001</v>
      </c>
      <c r="E2062">
        <v>0.4416718</v>
      </c>
      <c r="F2062" t="s">
        <v>58</v>
      </c>
      <c r="G2062">
        <v>-511.9588</v>
      </c>
      <c r="H2062">
        <v>0.41611799999999999</v>
      </c>
      <c r="I2062">
        <v>278.84820000000002</v>
      </c>
      <c r="J2062">
        <v>-428.928</v>
      </c>
      <c r="K2062">
        <v>1.109421</v>
      </c>
      <c r="L2062">
        <v>282.7903</v>
      </c>
      <c r="M2062">
        <v>-0.9988863</v>
      </c>
      <c r="N2062">
        <v>0</v>
      </c>
      <c r="O2062">
        <v>4.4796870000000003E-2</v>
      </c>
      <c r="P2062">
        <v>-0.99107420000000002</v>
      </c>
      <c r="Q2062">
        <v>7.9968059999999994E-2</v>
      </c>
      <c r="R2062">
        <v>0.10666390000000001</v>
      </c>
      <c r="S2062">
        <v>-3.045258</v>
      </c>
      <c r="T2062">
        <v>-2.5314329999999999E-2</v>
      </c>
      <c r="U2062">
        <v>-0.14337159999999999</v>
      </c>
      <c r="V2062">
        <v>6.229693E-2</v>
      </c>
      <c r="W2062">
        <v>9.4602839999999994E-2</v>
      </c>
      <c r="X2062">
        <v>0.993564</v>
      </c>
      <c r="Y2062">
        <v>-9.1728459999999998E-2</v>
      </c>
      <c r="Z2062">
        <v>-7.5325429999999996E-4</v>
      </c>
      <c r="AA2062">
        <v>0.99578370000000005</v>
      </c>
      <c r="AB2062">
        <v>37</v>
      </c>
      <c r="AC2062">
        <v>-83.0307999999999</v>
      </c>
      <c r="AD2062">
        <v>-0.693303</v>
      </c>
      <c r="AE2062">
        <v>-3.94209999999998</v>
      </c>
      <c r="AF2062">
        <v>-7.6575370781551397</v>
      </c>
      <c r="AG2062">
        <v>-0.693303</v>
      </c>
      <c r="AH2062">
        <v>82.765057778936793</v>
      </c>
      <c r="AI2062">
        <v>90.477900740618296</v>
      </c>
      <c r="AJ2062">
        <v>95.286035487067906</v>
      </c>
      <c r="AK2062">
        <v>83.121437260816705</v>
      </c>
      <c r="AL2062">
        <v>84.571538803040696</v>
      </c>
      <c r="AM2062">
        <v>86.4122243630474</v>
      </c>
      <c r="AN2062">
        <v>1.00000001345974</v>
      </c>
    </row>
    <row r="2063" spans="1:40" x14ac:dyDescent="0.25">
      <c r="A2063" t="str">
        <f>"20190312154550434"</f>
        <v>20190312154550434</v>
      </c>
      <c r="B2063" t="str">
        <f>"1552376750428460"</f>
        <v>1552376750428460</v>
      </c>
      <c r="C2063" t="s">
        <v>40</v>
      </c>
      <c r="D2063">
        <v>3.772443</v>
      </c>
      <c r="E2063">
        <v>0.44063239999999998</v>
      </c>
      <c r="F2063" t="s">
        <v>58</v>
      </c>
      <c r="G2063">
        <v>-511.9588</v>
      </c>
      <c r="H2063">
        <v>0.40675169999999999</v>
      </c>
      <c r="I2063">
        <v>278.64260000000002</v>
      </c>
      <c r="J2063">
        <v>-429.29849999999999</v>
      </c>
      <c r="K2063">
        <v>1.109467</v>
      </c>
      <c r="L2063">
        <v>282.80739999999997</v>
      </c>
      <c r="M2063">
        <v>-0.99886540000000001</v>
      </c>
      <c r="N2063">
        <v>0</v>
      </c>
      <c r="O2063">
        <v>4.5261889999999999E-2</v>
      </c>
      <c r="P2063">
        <v>-0.99124909999999999</v>
      </c>
      <c r="Q2063">
        <v>7.9270060000000003E-2</v>
      </c>
      <c r="R2063">
        <v>0.1055523</v>
      </c>
      <c r="S2063">
        <v>-3.045471</v>
      </c>
      <c r="T2063">
        <v>-2.5770069999999999E-2</v>
      </c>
      <c r="U2063">
        <v>-0.15213009999999999</v>
      </c>
      <c r="V2063">
        <v>6.0704220000000003E-2</v>
      </c>
      <c r="W2063">
        <v>9.3912120000000002E-2</v>
      </c>
      <c r="X2063">
        <v>0.9937281</v>
      </c>
      <c r="Y2063">
        <v>-9.5045019999999994E-2</v>
      </c>
      <c r="Z2063">
        <v>-7.8466880000000003E-4</v>
      </c>
      <c r="AA2063">
        <v>0.99547269999999999</v>
      </c>
      <c r="AB2063">
        <v>37</v>
      </c>
      <c r="AC2063">
        <v>-82.660300000000007</v>
      </c>
      <c r="AD2063">
        <v>-0.70271529999999904</v>
      </c>
      <c r="AE2063">
        <v>-4.1647999999999499</v>
      </c>
      <c r="AF2063">
        <v>-7.9017328349606499</v>
      </c>
      <c r="AG2063">
        <v>-0.70271529999999904</v>
      </c>
      <c r="AH2063">
        <v>82.381101367559907</v>
      </c>
      <c r="AI2063">
        <v>90.486491640916199</v>
      </c>
      <c r="AJ2063">
        <v>95.478867764584294</v>
      </c>
      <c r="AK2063">
        <v>82.762171631247895</v>
      </c>
      <c r="AL2063">
        <v>84.6112911230652</v>
      </c>
      <c r="AM2063">
        <v>86.504296393242399</v>
      </c>
      <c r="AN2063">
        <v>1.00000001266915</v>
      </c>
    </row>
    <row r="2064" spans="1:40" x14ac:dyDescent="0.25">
      <c r="A2064" t="str">
        <f>"20190312154550457"</f>
        <v>20190312154550457</v>
      </c>
      <c r="B2064" t="str">
        <f>"1552376750448956"</f>
        <v>1552376750448956</v>
      </c>
      <c r="C2064" t="s">
        <v>40</v>
      </c>
      <c r="D2064">
        <v>3.794311</v>
      </c>
      <c r="E2064">
        <v>0.44000459999999902</v>
      </c>
      <c r="F2064" t="s">
        <v>58</v>
      </c>
      <c r="G2064">
        <v>-511.9588</v>
      </c>
      <c r="H2064">
        <v>0.45915600000000001</v>
      </c>
      <c r="I2064">
        <v>278.36810000000003</v>
      </c>
      <c r="J2064">
        <v>-429.66980000000001</v>
      </c>
      <c r="K2064">
        <v>1.109497</v>
      </c>
      <c r="L2064">
        <v>282.82470000000001</v>
      </c>
      <c r="M2064">
        <v>-0.99884539999999999</v>
      </c>
      <c r="N2064">
        <v>0</v>
      </c>
      <c r="O2064">
        <v>4.5700539999999998E-2</v>
      </c>
      <c r="P2064">
        <v>-0.99133439999999995</v>
      </c>
      <c r="Q2064">
        <v>7.9171549999999993E-2</v>
      </c>
      <c r="R2064">
        <v>0.1048236</v>
      </c>
      <c r="S2064">
        <v>-3.0458069999999999</v>
      </c>
      <c r="T2064">
        <v>-2.395916E-2</v>
      </c>
      <c r="U2064">
        <v>-0.1635742</v>
      </c>
      <c r="V2064">
        <v>5.952665E-2</v>
      </c>
      <c r="W2064">
        <v>9.381813E-2</v>
      </c>
      <c r="X2064">
        <v>0.99380820000000003</v>
      </c>
      <c r="Y2064">
        <v>-9.9206719999999998E-2</v>
      </c>
      <c r="Z2064">
        <v>-7.4919119999999895E-4</v>
      </c>
      <c r="AA2064">
        <v>0.99506660000000002</v>
      </c>
      <c r="AB2064">
        <v>37</v>
      </c>
      <c r="AC2064">
        <v>-82.288999999999902</v>
      </c>
      <c r="AD2064">
        <v>-0.65034099999999895</v>
      </c>
      <c r="AE2064">
        <v>-4.4565999999999804</v>
      </c>
      <c r="AF2064">
        <v>-8.2124954159264991</v>
      </c>
      <c r="AG2064">
        <v>-0.65034099999999895</v>
      </c>
      <c r="AH2064">
        <v>81.994206598899595</v>
      </c>
      <c r="AI2064">
        <v>90.452172382980507</v>
      </c>
      <c r="AJ2064">
        <v>95.719638892576597</v>
      </c>
      <c r="AK2064">
        <v>82.407026036351496</v>
      </c>
      <c r="AL2064">
        <v>84.616700171861098</v>
      </c>
      <c r="AM2064">
        <v>86.572220083651004</v>
      </c>
      <c r="AN2064">
        <v>1.00000000098207</v>
      </c>
    </row>
    <row r="2065" spans="1:40" x14ac:dyDescent="0.25">
      <c r="A2065" t="str">
        <f>"20190312154550480"</f>
        <v>20190312154550480</v>
      </c>
      <c r="B2065" t="str">
        <f>"1552376750468477"</f>
        <v>1552376750468477</v>
      </c>
      <c r="C2065" t="s">
        <v>40</v>
      </c>
      <c r="D2065">
        <v>3.761387</v>
      </c>
      <c r="E2065">
        <v>0.43942510000000001</v>
      </c>
      <c r="F2065" t="s">
        <v>58</v>
      </c>
      <c r="G2065">
        <v>-511.9588</v>
      </c>
      <c r="H2065">
        <v>0.51245379999999996</v>
      </c>
      <c r="I2065">
        <v>278.22590000000002</v>
      </c>
      <c r="J2065">
        <v>-430.03730000000002</v>
      </c>
      <c r="K2065">
        <v>1.1095269999999999</v>
      </c>
      <c r="L2065">
        <v>282.84199999999998</v>
      </c>
      <c r="M2065">
        <v>-0.9988264</v>
      </c>
      <c r="N2065">
        <v>0</v>
      </c>
      <c r="O2065">
        <v>4.6116289999999997E-2</v>
      </c>
      <c r="P2065">
        <v>-0.99143550000000003</v>
      </c>
      <c r="Q2065">
        <v>7.9174099999999997E-2</v>
      </c>
      <c r="R2065">
        <v>0.10386090000000001</v>
      </c>
      <c r="S2065">
        <v>-3.0459589999999999</v>
      </c>
      <c r="T2065">
        <v>-2.2096749999999998E-2</v>
      </c>
      <c r="U2065">
        <v>-0.17022709999999999</v>
      </c>
      <c r="V2065">
        <v>5.8138500000000003E-2</v>
      </c>
      <c r="W2065">
        <v>9.3823820000000002E-2</v>
      </c>
      <c r="X2065">
        <v>0.99388980000000005</v>
      </c>
      <c r="Y2065">
        <v>-0.1017853</v>
      </c>
      <c r="Z2065">
        <v>-7.0324399999999903E-4</v>
      </c>
      <c r="AA2065">
        <v>0.99480610000000003</v>
      </c>
      <c r="AB2065">
        <v>36</v>
      </c>
      <c r="AC2065">
        <v>-81.921499999999895</v>
      </c>
      <c r="AD2065">
        <v>-0.59707319999999997</v>
      </c>
      <c r="AE2065">
        <v>-4.6160999999999603</v>
      </c>
      <c r="AF2065">
        <v>-8.3890731436617401</v>
      </c>
      <c r="AG2065">
        <v>-0.59707319999999997</v>
      </c>
      <c r="AH2065">
        <v>81.617100273567601</v>
      </c>
      <c r="AI2065">
        <v>90.416945486706993</v>
      </c>
      <c r="AJ2065">
        <v>95.868579369758706</v>
      </c>
      <c r="AK2065">
        <v>82.049278495800706</v>
      </c>
      <c r="AL2065">
        <v>84.616372517302494</v>
      </c>
      <c r="AM2065">
        <v>86.652245503732203</v>
      </c>
      <c r="AN2065">
        <v>0.99999996446284001</v>
      </c>
    </row>
    <row r="2066" spans="1:40" x14ac:dyDescent="0.25">
      <c r="A2066" t="str">
        <f>"20190312154550501"</f>
        <v>20190312154550501</v>
      </c>
      <c r="B2066" t="str">
        <f>"1552376750488972"</f>
        <v>1552376750488972</v>
      </c>
      <c r="C2066" t="s">
        <v>40</v>
      </c>
      <c r="D2066">
        <v>3.7499389999999999</v>
      </c>
      <c r="E2066">
        <v>0.43885000000000002</v>
      </c>
      <c r="F2066" t="s">
        <v>58</v>
      </c>
      <c r="G2066">
        <v>-511.9588</v>
      </c>
      <c r="H2066">
        <v>0.58429189999999998</v>
      </c>
      <c r="I2066">
        <v>278.0718</v>
      </c>
      <c r="J2066">
        <v>-430.38900000000001</v>
      </c>
      <c r="K2066">
        <v>1.109551</v>
      </c>
      <c r="L2066">
        <v>282.85860000000002</v>
      </c>
      <c r="M2066">
        <v>-0.99880860000000005</v>
      </c>
      <c r="N2066">
        <v>0</v>
      </c>
      <c r="O2066">
        <v>4.650344E-2</v>
      </c>
      <c r="P2066">
        <v>-0.99151619999999996</v>
      </c>
      <c r="Q2066">
        <v>7.9050350000000005E-2</v>
      </c>
      <c r="R2066">
        <v>0.10318479999999999</v>
      </c>
      <c r="S2066">
        <v>-3.0460820000000002</v>
      </c>
      <c r="T2066">
        <v>-1.9526720000000001E-2</v>
      </c>
      <c r="U2066">
        <v>-0.1773682</v>
      </c>
      <c r="V2066">
        <v>5.7067840000000002E-2</v>
      </c>
      <c r="W2066">
        <v>9.3702300000000002E-2</v>
      </c>
      <c r="X2066">
        <v>0.99396340000000005</v>
      </c>
      <c r="Y2066">
        <v>-0.10449369999999999</v>
      </c>
      <c r="Z2066">
        <v>-6.3254330000000005E-4</v>
      </c>
      <c r="AA2066">
        <v>0.9945254</v>
      </c>
      <c r="AB2066">
        <v>36</v>
      </c>
      <c r="AC2066">
        <v>-81.569799999999901</v>
      </c>
      <c r="AD2066">
        <v>-0.52525909999999998</v>
      </c>
      <c r="AE2066">
        <v>-4.7868000000000199</v>
      </c>
      <c r="AF2066">
        <v>-8.5749571967859701</v>
      </c>
      <c r="AG2066">
        <v>-0.52525909999999998</v>
      </c>
      <c r="AH2066">
        <v>81.255547966339506</v>
      </c>
      <c r="AI2066">
        <v>90.368325907288195</v>
      </c>
      <c r="AJ2066">
        <v>96.024168211467</v>
      </c>
      <c r="AK2066">
        <v>81.708444259812794</v>
      </c>
      <c r="AL2066">
        <v>84.623366370852295</v>
      </c>
      <c r="AM2066">
        <v>86.714003099161999</v>
      </c>
      <c r="AN2066">
        <v>1.00000004996355</v>
      </c>
    </row>
    <row r="2067" spans="1:40" x14ac:dyDescent="0.25">
      <c r="A2067" t="str">
        <f>"20190312154550526"</f>
        <v>20190312154550526</v>
      </c>
      <c r="B2067" t="str">
        <f>"1552376750519228"</f>
        <v>1552376750519228</v>
      </c>
      <c r="C2067" t="s">
        <v>40</v>
      </c>
      <c r="D2067">
        <v>3.7534540000000001</v>
      </c>
      <c r="E2067">
        <v>0.42929640000000002</v>
      </c>
      <c r="F2067" t="s">
        <v>58</v>
      </c>
      <c r="G2067">
        <v>-511.9588</v>
      </c>
      <c r="H2067">
        <v>0.62781969999999898</v>
      </c>
      <c r="I2067">
        <v>277.9391</v>
      </c>
      <c r="J2067">
        <v>-430.76949999999999</v>
      </c>
      <c r="K2067">
        <v>1.1095759999999999</v>
      </c>
      <c r="L2067">
        <v>282.8768</v>
      </c>
      <c r="M2067">
        <v>-0.99878940000000005</v>
      </c>
      <c r="N2067">
        <v>0</v>
      </c>
      <c r="O2067">
        <v>4.6914909999999997E-2</v>
      </c>
      <c r="P2067">
        <v>-0.99155210000000005</v>
      </c>
      <c r="Q2067">
        <v>7.9320390000000005E-2</v>
      </c>
      <c r="R2067">
        <v>0.10262930000000001</v>
      </c>
      <c r="S2067">
        <v>-3.0462340000000001</v>
      </c>
      <c r="T2067">
        <v>-1.798725E-2</v>
      </c>
      <c r="U2067">
        <v>-0.18371580000000001</v>
      </c>
      <c r="V2067">
        <v>5.6096699999999999E-2</v>
      </c>
      <c r="W2067">
        <v>9.3972410000000006E-2</v>
      </c>
      <c r="X2067">
        <v>0.99399309999999996</v>
      </c>
      <c r="Y2067">
        <v>-0.1069657</v>
      </c>
      <c r="Z2067">
        <v>-5.9233240000000002E-4</v>
      </c>
      <c r="AA2067">
        <v>0.99426250000000005</v>
      </c>
      <c r="AB2067">
        <v>36</v>
      </c>
      <c r="AC2067">
        <v>-81.189300000000003</v>
      </c>
      <c r="AD2067">
        <v>-0.48175630000000003</v>
      </c>
      <c r="AE2067">
        <v>-4.9377000000000004</v>
      </c>
      <c r="AF2067">
        <v>-8.7413605457479999</v>
      </c>
      <c r="AG2067">
        <v>-0.48175630000000003</v>
      </c>
      <c r="AH2067">
        <v>80.8653682224205</v>
      </c>
      <c r="AI2067">
        <v>90.339359263252206</v>
      </c>
      <c r="AJ2067">
        <v>96.169585804797407</v>
      </c>
      <c r="AK2067">
        <v>81.337883246805802</v>
      </c>
      <c r="AL2067">
        <v>84.607821175904405</v>
      </c>
      <c r="AM2067">
        <v>86.769898739127797</v>
      </c>
      <c r="AN2067">
        <v>0.99999996821985304</v>
      </c>
    </row>
    <row r="2068" spans="1:40" x14ac:dyDescent="0.25">
      <c r="A2068" t="str">
        <f>"20190312154550559"</f>
        <v>20190312154550559</v>
      </c>
      <c r="B2068" t="str">
        <f>"1552376750548508"</f>
        <v>1552376750548508</v>
      </c>
      <c r="C2068" t="s">
        <v>40</v>
      </c>
      <c r="D2068">
        <v>3.7417340000000001</v>
      </c>
      <c r="E2068">
        <v>0.41918129999999998</v>
      </c>
      <c r="F2068" t="s">
        <v>58</v>
      </c>
      <c r="G2068">
        <v>-511.95920000000001</v>
      </c>
      <c r="H2068">
        <v>1.7313959999999999</v>
      </c>
      <c r="I2068">
        <v>275.95269999999999</v>
      </c>
      <c r="J2068">
        <v>-431.31180000000001</v>
      </c>
      <c r="K2068">
        <v>1.1096029999999999</v>
      </c>
      <c r="L2068">
        <v>282.90289999999999</v>
      </c>
      <c r="M2068">
        <v>-0.99876209999999999</v>
      </c>
      <c r="N2068">
        <v>0</v>
      </c>
      <c r="O2068">
        <v>4.749399E-2</v>
      </c>
      <c r="P2068">
        <v>-0.9915851</v>
      </c>
      <c r="Q2068">
        <v>7.9372219999999993E-2</v>
      </c>
      <c r="R2068">
        <v>0.10227020000000001</v>
      </c>
      <c r="S2068">
        <v>-3.0505979999999999</v>
      </c>
      <c r="T2068">
        <v>2.336705E-2</v>
      </c>
      <c r="U2068">
        <v>-0.26016240000000002</v>
      </c>
      <c r="V2068">
        <v>5.5154689999999999E-2</v>
      </c>
      <c r="W2068">
        <v>9.4022250000000002E-2</v>
      </c>
      <c r="X2068">
        <v>0.99404110000000001</v>
      </c>
      <c r="Y2068">
        <v>-0.13220019999999999</v>
      </c>
      <c r="Z2068">
        <v>8.6864259999999997E-4</v>
      </c>
      <c r="AA2068">
        <v>0.99122270000000001</v>
      </c>
      <c r="AB2068">
        <v>36</v>
      </c>
      <c r="AC2068">
        <v>-80.647400000000005</v>
      </c>
      <c r="AD2068">
        <v>0.62179299999999904</v>
      </c>
      <c r="AE2068">
        <v>-6.9501999999999899</v>
      </c>
      <c r="AF2068">
        <v>-10.7724050141732</v>
      </c>
      <c r="AG2068">
        <v>0.62179299999999904</v>
      </c>
      <c r="AH2068">
        <v>80.221509038259597</v>
      </c>
      <c r="AI2068">
        <v>89.559862494182497</v>
      </c>
      <c r="AJ2068">
        <v>97.648112281381003</v>
      </c>
      <c r="AK2068">
        <v>80.943942631303798</v>
      </c>
      <c r="AL2068">
        <v>84.604952842006597</v>
      </c>
      <c r="AM2068">
        <v>86.824181629821496</v>
      </c>
      <c r="AN2068">
        <v>0.99999996590663298</v>
      </c>
    </row>
    <row r="2069" spans="1:40" x14ac:dyDescent="0.25">
      <c r="A2069" t="str">
        <f>"20190312154550581"</f>
        <v>20190312154550581</v>
      </c>
      <c r="B2069" t="str">
        <f>"1552376750569003"</f>
        <v>1552376750569003</v>
      </c>
      <c r="C2069" t="s">
        <v>40</v>
      </c>
      <c r="D2069">
        <v>3.7500209999999998</v>
      </c>
      <c r="E2069">
        <v>0.41826869999999999</v>
      </c>
      <c r="F2069" t="s">
        <v>58</v>
      </c>
      <c r="G2069">
        <v>-512.82600000000002</v>
      </c>
      <c r="H2069">
        <v>2.4624769999999998</v>
      </c>
      <c r="I2069">
        <v>273.82089999999999</v>
      </c>
      <c r="J2069">
        <v>-431.69310000000002</v>
      </c>
      <c r="K2069">
        <v>1.109615</v>
      </c>
      <c r="L2069">
        <v>282.92140000000001</v>
      </c>
      <c r="M2069">
        <v>-0.99874289999999999</v>
      </c>
      <c r="N2069">
        <v>0</v>
      </c>
      <c r="O2069">
        <v>4.7897809999999999E-2</v>
      </c>
      <c r="P2069">
        <v>-0.99157989999999996</v>
      </c>
      <c r="Q2069">
        <v>7.9675750000000004E-2</v>
      </c>
      <c r="R2069">
        <v>0.1020865</v>
      </c>
      <c r="S2069">
        <v>-3.056549</v>
      </c>
      <c r="T2069">
        <v>5.0731779999999997E-2</v>
      </c>
      <c r="U2069">
        <v>-0.34054570000000001</v>
      </c>
      <c r="V2069">
        <v>5.4566879999999998E-2</v>
      </c>
      <c r="W2069">
        <v>9.4324179999999994E-2</v>
      </c>
      <c r="X2069">
        <v>0.99404499999999996</v>
      </c>
      <c r="Y2069">
        <v>-0.1581832</v>
      </c>
      <c r="Z2069">
        <v>2.1014789999999998E-3</v>
      </c>
      <c r="AA2069">
        <v>0.98740760000000005</v>
      </c>
      <c r="AB2069">
        <v>36</v>
      </c>
      <c r="AC2069">
        <v>-81.132900000000006</v>
      </c>
      <c r="AD2069">
        <v>1.352862</v>
      </c>
      <c r="AE2069">
        <v>-9.1005000000000091</v>
      </c>
      <c r="AF2069">
        <v>-12.9730029927532</v>
      </c>
      <c r="AG2069">
        <v>1.352862</v>
      </c>
      <c r="AH2069">
        <v>80.581690178124106</v>
      </c>
      <c r="AI2069">
        <v>89.0503937167434</v>
      </c>
      <c r="AJ2069">
        <v>99.145683923408598</v>
      </c>
      <c r="AK2069">
        <v>81.630495736607003</v>
      </c>
      <c r="AL2069">
        <v>84.5875766430391</v>
      </c>
      <c r="AM2069">
        <v>86.857971972253907</v>
      </c>
      <c r="AN2069">
        <v>1.0000000286752999</v>
      </c>
    </row>
    <row r="2070" spans="1:40" x14ac:dyDescent="0.25">
      <c r="A2070" t="str">
        <f>"20190312154550602"</f>
        <v>20190312154550602</v>
      </c>
      <c r="B2070" t="str">
        <f>"1552376750588523"</f>
        <v>1552376750588523</v>
      </c>
      <c r="C2070" t="s">
        <v>40</v>
      </c>
      <c r="D2070">
        <v>3.7545980000000001</v>
      </c>
      <c r="E2070">
        <v>0.41803829999999997</v>
      </c>
      <c r="F2070" t="s">
        <v>58</v>
      </c>
      <c r="G2070">
        <v>-512.82590000000005</v>
      </c>
      <c r="H2070">
        <v>2.2866240000000002</v>
      </c>
      <c r="I2070">
        <v>273.66950000000003</v>
      </c>
      <c r="J2070">
        <v>-432.01620000000003</v>
      </c>
      <c r="K2070">
        <v>1.1096269999999999</v>
      </c>
      <c r="L2070">
        <v>282.93729999999999</v>
      </c>
      <c r="M2070">
        <v>-0.99872689999999997</v>
      </c>
      <c r="N2070">
        <v>0</v>
      </c>
      <c r="O2070">
        <v>4.8232850000000001E-2</v>
      </c>
      <c r="P2070">
        <v>-0.99158219999999997</v>
      </c>
      <c r="Q2070">
        <v>7.9749509999999996E-2</v>
      </c>
      <c r="R2070">
        <v>0.1020056</v>
      </c>
      <c r="S2070">
        <v>-3.0577999999999999</v>
      </c>
      <c r="T2070">
        <v>4.4363020000000003E-2</v>
      </c>
      <c r="U2070">
        <v>-0.3486938</v>
      </c>
      <c r="V2070">
        <v>5.4149709999999997E-2</v>
      </c>
      <c r="W2070">
        <v>9.4396350000000004E-2</v>
      </c>
      <c r="X2070">
        <v>0.99406090000000003</v>
      </c>
      <c r="Y2070">
        <v>-0.16107379999999999</v>
      </c>
      <c r="Z2070">
        <v>1.8624309999999999E-3</v>
      </c>
      <c r="AA2070">
        <v>0.98694059999999995</v>
      </c>
      <c r="AB2070">
        <v>36</v>
      </c>
      <c r="AC2070">
        <v>-80.809700000000007</v>
      </c>
      <c r="AD2070">
        <v>1.1769969999999901</v>
      </c>
      <c r="AE2070">
        <v>-9.2677999999999603</v>
      </c>
      <c r="AF2070">
        <v>-13.152364488516699</v>
      </c>
      <c r="AG2070">
        <v>1.1769969999999901</v>
      </c>
      <c r="AH2070">
        <v>80.251761758701704</v>
      </c>
      <c r="AI2070">
        <v>89.170803288873302</v>
      </c>
      <c r="AJ2070">
        <v>99.307394073747204</v>
      </c>
      <c r="AK2070">
        <v>81.330899902510794</v>
      </c>
      <c r="AL2070">
        <v>84.583422741370995</v>
      </c>
      <c r="AM2070">
        <v>86.881995327697396</v>
      </c>
      <c r="AN2070">
        <v>0.999999967447607</v>
      </c>
    </row>
    <row r="2071" spans="1:40" x14ac:dyDescent="0.25">
      <c r="A2071" t="str">
        <f>"20190312154550624"</f>
        <v>20190312154550624</v>
      </c>
      <c r="B2071" t="str">
        <f>"1552376750618780"</f>
        <v>1552376750618780</v>
      </c>
      <c r="C2071" t="s">
        <v>40</v>
      </c>
      <c r="D2071">
        <v>3.7992840000000001</v>
      </c>
      <c r="E2071">
        <v>0.41790680000000002</v>
      </c>
      <c r="F2071" t="s">
        <v>58</v>
      </c>
      <c r="G2071">
        <v>-512.82590000000005</v>
      </c>
      <c r="H2071">
        <v>2.2404039999999998</v>
      </c>
      <c r="I2071">
        <v>273.65870000000001</v>
      </c>
      <c r="J2071">
        <v>-432.37459999999999</v>
      </c>
      <c r="K2071">
        <v>1.1096429999999999</v>
      </c>
      <c r="L2071">
        <v>282.95490000000001</v>
      </c>
      <c r="M2071">
        <v>-0.99870970000000003</v>
      </c>
      <c r="N2071">
        <v>0</v>
      </c>
      <c r="O2071">
        <v>4.8589140000000003E-2</v>
      </c>
      <c r="P2071">
        <v>-0.99156690000000003</v>
      </c>
      <c r="Q2071">
        <v>7.9366829999999999E-2</v>
      </c>
      <c r="R2071">
        <v>0.1024505</v>
      </c>
      <c r="S2071">
        <v>-3.0581360000000002</v>
      </c>
      <c r="T2071">
        <v>4.2795659999999999E-2</v>
      </c>
      <c r="U2071">
        <v>-0.35113529999999998</v>
      </c>
      <c r="V2071">
        <v>5.4235400000000003E-2</v>
      </c>
      <c r="W2071">
        <v>9.4012289999999998E-2</v>
      </c>
      <c r="X2071">
        <v>0.99409259999999999</v>
      </c>
      <c r="Y2071">
        <v>-0.1621927</v>
      </c>
      <c r="Z2071">
        <v>1.8091380000000001E-3</v>
      </c>
      <c r="AA2071">
        <v>0.98675749999999995</v>
      </c>
      <c r="AB2071">
        <v>36</v>
      </c>
      <c r="AC2071">
        <v>-80.451300000000003</v>
      </c>
      <c r="AD2071">
        <v>1.1307609999999999</v>
      </c>
      <c r="AE2071">
        <v>-9.2962000000000007</v>
      </c>
      <c r="AF2071">
        <v>-13.1921313365474</v>
      </c>
      <c r="AG2071">
        <v>1.1307609999999999</v>
      </c>
      <c r="AH2071">
        <v>79.888936553468</v>
      </c>
      <c r="AI2071">
        <v>89.199914022364595</v>
      </c>
      <c r="AJ2071">
        <v>99.376685725792498</v>
      </c>
      <c r="AK2071">
        <v>80.978720249729093</v>
      </c>
      <c r="AL2071">
        <v>84.605525924810394</v>
      </c>
      <c r="AM2071">
        <v>86.877170342507895</v>
      </c>
      <c r="AN2071">
        <v>0.99999994332947995</v>
      </c>
    </row>
    <row r="2072" spans="1:40" x14ac:dyDescent="0.25">
      <c r="A2072" t="str">
        <f>"20190312154550647"</f>
        <v>20190312154550647</v>
      </c>
      <c r="B2072" t="str">
        <f>"1552376750639276"</f>
        <v>1552376750639276</v>
      </c>
      <c r="C2072" t="s">
        <v>40</v>
      </c>
      <c r="D2072">
        <v>3.7895629999999998</v>
      </c>
      <c r="E2072">
        <v>0.41784660000000001</v>
      </c>
      <c r="F2072" t="s">
        <v>58</v>
      </c>
      <c r="G2072">
        <v>-512.82590000000005</v>
      </c>
      <c r="H2072">
        <v>2.1762640000000002</v>
      </c>
      <c r="I2072">
        <v>273.72899999999998</v>
      </c>
      <c r="J2072">
        <v>-432.738</v>
      </c>
      <c r="K2072">
        <v>1.109666</v>
      </c>
      <c r="L2072">
        <v>282.97300000000001</v>
      </c>
      <c r="M2072">
        <v>-0.99869350000000001</v>
      </c>
      <c r="N2072">
        <v>0</v>
      </c>
      <c r="O2072">
        <v>4.8922720000000003E-2</v>
      </c>
      <c r="P2072">
        <v>-0.99156979999999995</v>
      </c>
      <c r="Q2072">
        <v>7.8466010000000003E-2</v>
      </c>
      <c r="R2072">
        <v>0.1031164</v>
      </c>
      <c r="S2072">
        <v>-3.0585019999999998</v>
      </c>
      <c r="T2072">
        <v>4.0552499999999998E-2</v>
      </c>
      <c r="U2072">
        <v>-0.35073850000000001</v>
      </c>
      <c r="V2072">
        <v>5.4561810000000002E-2</v>
      </c>
      <c r="W2072">
        <v>9.3110760000000001E-2</v>
      </c>
      <c r="X2072">
        <v>0.99415960000000003</v>
      </c>
      <c r="Y2072">
        <v>-0.16238449999999999</v>
      </c>
      <c r="Z2072">
        <v>1.7198059999999999E-3</v>
      </c>
      <c r="AA2072">
        <v>0.98672599999999999</v>
      </c>
      <c r="AB2072">
        <v>36</v>
      </c>
      <c r="AC2072">
        <v>-80.087899999999905</v>
      </c>
      <c r="AD2072">
        <v>1.0665979999999899</v>
      </c>
      <c r="AE2072">
        <v>-9.2439999999999696</v>
      </c>
      <c r="AF2072">
        <v>-13.149171753102699</v>
      </c>
      <c r="AG2072">
        <v>1.0665979999999899</v>
      </c>
      <c r="AH2072">
        <v>79.5257686492874</v>
      </c>
      <c r="AI2072">
        <v>89.241888106888595</v>
      </c>
      <c r="AJ2072">
        <v>99.388615632356505</v>
      </c>
      <c r="AK2072">
        <v>80.612568674780405</v>
      </c>
      <c r="AL2072">
        <v>84.657407447610197</v>
      </c>
      <c r="AM2072">
        <v>86.858624757019797</v>
      </c>
      <c r="AN2072">
        <v>0.99999995750520598</v>
      </c>
    </row>
    <row r="2073" spans="1:40" x14ac:dyDescent="0.25">
      <c r="A2073" t="str">
        <f>"20190312154550669"</f>
        <v>20190312154550669</v>
      </c>
      <c r="B2073" t="str">
        <f>"1552376750658796"</f>
        <v>1552376750658796</v>
      </c>
      <c r="C2073" t="s">
        <v>40</v>
      </c>
      <c r="D2073">
        <v>3.8133300000000001</v>
      </c>
      <c r="E2073">
        <v>0.41770059999999898</v>
      </c>
      <c r="F2073" t="s">
        <v>58</v>
      </c>
      <c r="G2073">
        <v>-512.82590000000005</v>
      </c>
      <c r="H2073">
        <v>2.1198579999999998</v>
      </c>
      <c r="I2073">
        <v>273.83429999999998</v>
      </c>
      <c r="J2073">
        <v>-433.10300000000001</v>
      </c>
      <c r="K2073">
        <v>1.109693</v>
      </c>
      <c r="L2073">
        <v>282.99119999999999</v>
      </c>
      <c r="M2073">
        <v>-0.99867830000000002</v>
      </c>
      <c r="N2073">
        <v>0</v>
      </c>
      <c r="O2073">
        <v>4.9232459999999999E-2</v>
      </c>
      <c r="P2073">
        <v>-0.99151829999999996</v>
      </c>
      <c r="Q2073">
        <v>7.7766329999999995E-2</v>
      </c>
      <c r="R2073">
        <v>0.1041363</v>
      </c>
      <c r="S2073">
        <v>-3.0587770000000001</v>
      </c>
      <c r="T2073">
        <v>3.858495E-2</v>
      </c>
      <c r="U2073">
        <v>-0.34902949999999999</v>
      </c>
      <c r="V2073">
        <v>5.5267650000000001E-2</v>
      </c>
      <c r="W2073">
        <v>9.2409980000000003E-2</v>
      </c>
      <c r="X2073">
        <v>0.99418600000000001</v>
      </c>
      <c r="Y2073">
        <v>-0.16213810000000001</v>
      </c>
      <c r="Z2073">
        <v>1.638622E-3</v>
      </c>
      <c r="AA2073">
        <v>0.9867667</v>
      </c>
      <c r="AB2073">
        <v>36</v>
      </c>
      <c r="AC2073">
        <v>-79.722899999999996</v>
      </c>
      <c r="AD2073">
        <v>1.010165</v>
      </c>
      <c r="AE2073">
        <v>-9.1569000000000091</v>
      </c>
      <c r="AF2073">
        <v>-13.0691044940375</v>
      </c>
      <c r="AG2073">
        <v>1.010165</v>
      </c>
      <c r="AH2073">
        <v>79.162792573836001</v>
      </c>
      <c r="AI2073">
        <v>89.278673773769697</v>
      </c>
      <c r="AJ2073">
        <v>99.374488867458595</v>
      </c>
      <c r="AK2073">
        <v>80.240698237811202</v>
      </c>
      <c r="AL2073">
        <v>84.6977330655439</v>
      </c>
      <c r="AM2073">
        <v>86.818153584727895</v>
      </c>
      <c r="AN2073">
        <v>0.99999996006806002</v>
      </c>
    </row>
    <row r="2074" spans="1:40" x14ac:dyDescent="0.25">
      <c r="A2074" t="str">
        <f>"20190312154550691"</f>
        <v>20190312154550691</v>
      </c>
      <c r="B2074" t="str">
        <f>"1552376750678316"</f>
        <v>1552376750678316</v>
      </c>
      <c r="C2074" t="s">
        <v>40</v>
      </c>
      <c r="D2074">
        <v>3.8592399999999998</v>
      </c>
      <c r="E2074">
        <v>0.41758630000000002</v>
      </c>
      <c r="F2074" t="s">
        <v>58</v>
      </c>
      <c r="G2074">
        <v>-512.82590000000005</v>
      </c>
      <c r="H2074">
        <v>2.0647679999999999</v>
      </c>
      <c r="I2074">
        <v>273.9434</v>
      </c>
      <c r="J2074">
        <v>-433.45069999999998</v>
      </c>
      <c r="K2074">
        <v>1.10972</v>
      </c>
      <c r="L2074">
        <v>283.0086</v>
      </c>
      <c r="M2074">
        <v>-0.99866529999999998</v>
      </c>
      <c r="N2074">
        <v>0</v>
      </c>
      <c r="O2074">
        <v>4.9495499999999998E-2</v>
      </c>
      <c r="P2074">
        <v>-0.99154070000000005</v>
      </c>
      <c r="Q2074">
        <v>7.6465179999999994E-2</v>
      </c>
      <c r="R2074">
        <v>0.1048818</v>
      </c>
      <c r="S2074">
        <v>-3.0592649999999999</v>
      </c>
      <c r="T2074">
        <v>3.6652799999999999E-2</v>
      </c>
      <c r="U2074">
        <v>-0.34719850000000002</v>
      </c>
      <c r="V2074">
        <v>5.574146E-2</v>
      </c>
      <c r="W2074">
        <v>9.1110360000000001E-2</v>
      </c>
      <c r="X2074">
        <v>0.99427960000000004</v>
      </c>
      <c r="Y2074">
        <v>-0.16179879999999999</v>
      </c>
      <c r="Z2074">
        <v>1.5574950000000001E-3</v>
      </c>
      <c r="AA2074">
        <v>0.98682250000000005</v>
      </c>
      <c r="AB2074">
        <v>36</v>
      </c>
      <c r="AC2074">
        <v>-79.375200000000007</v>
      </c>
      <c r="AD2074">
        <v>0.95504800000000001</v>
      </c>
      <c r="AE2074">
        <v>-9.0652000000000008</v>
      </c>
      <c r="AF2074">
        <v>-12.9813748050074</v>
      </c>
      <c r="AG2074">
        <v>0.95504800000000001</v>
      </c>
      <c r="AH2074">
        <v>78.817893221372799</v>
      </c>
      <c r="AI2074">
        <v>89.315000306918805</v>
      </c>
      <c r="AJ2074">
        <v>99.352699096118002</v>
      </c>
      <c r="AK2074">
        <v>79.885471146924502</v>
      </c>
      <c r="AL2074">
        <v>84.772511846873996</v>
      </c>
      <c r="AM2074">
        <v>86.791233825657102</v>
      </c>
      <c r="AN2074">
        <v>1.0000000655192001</v>
      </c>
    </row>
    <row r="2075" spans="1:40" x14ac:dyDescent="0.25">
      <c r="A2075" t="str">
        <f>"20190312154550713"</f>
        <v>20190312154550713</v>
      </c>
      <c r="B2075" t="str">
        <f>"1552376750709082"</f>
        <v>1552376750709082</v>
      </c>
      <c r="C2075" t="s">
        <v>40</v>
      </c>
      <c r="D2075">
        <v>3.8241320000000001</v>
      </c>
      <c r="E2075">
        <v>0.41743449999999999</v>
      </c>
      <c r="F2075" t="s">
        <v>58</v>
      </c>
      <c r="G2075">
        <v>-512.82579999999996</v>
      </c>
      <c r="H2075">
        <v>1.9268609999999999</v>
      </c>
      <c r="I2075">
        <v>274.04660000000001</v>
      </c>
      <c r="J2075">
        <v>-433.82</v>
      </c>
      <c r="K2075">
        <v>1.1097539999999999</v>
      </c>
      <c r="L2075">
        <v>283.02710000000002</v>
      </c>
      <c r="M2075">
        <v>-0.99865380000000004</v>
      </c>
      <c r="N2075">
        <v>0</v>
      </c>
      <c r="O2075">
        <v>4.9727779999999999E-2</v>
      </c>
      <c r="P2075">
        <v>-0.99160839999999995</v>
      </c>
      <c r="Q2075">
        <v>7.4020799999999998E-2</v>
      </c>
      <c r="R2075">
        <v>0.1059885</v>
      </c>
      <c r="S2075">
        <v>-3.0596920000000001</v>
      </c>
      <c r="T2075">
        <v>3.150153E-2</v>
      </c>
      <c r="U2075">
        <v>-0.34545900000000002</v>
      </c>
      <c r="V2075">
        <v>5.6602060000000003E-2</v>
      </c>
      <c r="W2075">
        <v>8.8667930000000006E-2</v>
      </c>
      <c r="X2075">
        <v>0.99445170000000005</v>
      </c>
      <c r="Y2075">
        <v>-0.16146289999999999</v>
      </c>
      <c r="Z2075">
        <v>1.3391290000000001E-3</v>
      </c>
      <c r="AA2075">
        <v>0.98687789999999997</v>
      </c>
      <c r="AB2075">
        <v>36</v>
      </c>
      <c r="AC2075">
        <v>-79.005799999999894</v>
      </c>
      <c r="AD2075">
        <v>0.81710699999999903</v>
      </c>
      <c r="AE2075">
        <v>-8.9804999999999993</v>
      </c>
      <c r="AF2075">
        <v>-12.897235860765401</v>
      </c>
      <c r="AG2075">
        <v>0.81710699999999903</v>
      </c>
      <c r="AH2075">
        <v>78.453119790288099</v>
      </c>
      <c r="AI2075">
        <v>89.411176067397307</v>
      </c>
      <c r="AJ2075">
        <v>99.335590532110203</v>
      </c>
      <c r="AK2075">
        <v>79.510366377768307</v>
      </c>
      <c r="AL2075">
        <v>84.913021230591795</v>
      </c>
      <c r="AM2075">
        <v>86.742361822100193</v>
      </c>
      <c r="AN2075">
        <v>0.99999998931980905</v>
      </c>
    </row>
    <row r="2076" spans="1:40" x14ac:dyDescent="0.25">
      <c r="A2076" t="str">
        <f>"20190312154550737"</f>
        <v>20190312154550737</v>
      </c>
      <c r="B2076" t="str">
        <f>"1552376750728600"</f>
        <v>1552376750728600</v>
      </c>
      <c r="C2076" t="s">
        <v>40</v>
      </c>
      <c r="D2076">
        <v>3.847054</v>
      </c>
      <c r="E2076">
        <v>0.4173366</v>
      </c>
      <c r="F2076" t="s">
        <v>58</v>
      </c>
      <c r="G2076">
        <v>-512.82569999999998</v>
      </c>
      <c r="H2076">
        <v>1.6616580000000001</v>
      </c>
      <c r="I2076">
        <v>274.1635</v>
      </c>
      <c r="J2076">
        <v>-434.1893</v>
      </c>
      <c r="K2076">
        <v>1.1098049999999999</v>
      </c>
      <c r="L2076">
        <v>283.04570000000001</v>
      </c>
      <c r="M2076">
        <v>-0.99864520000000001</v>
      </c>
      <c r="N2076">
        <v>0</v>
      </c>
      <c r="O2076">
        <v>4.9902349999999998E-2</v>
      </c>
      <c r="P2076">
        <v>-0.99151409999999995</v>
      </c>
      <c r="Q2076">
        <v>7.4255730000000006E-2</v>
      </c>
      <c r="R2076">
        <v>0.1067048</v>
      </c>
      <c r="S2076">
        <v>-3.060486</v>
      </c>
      <c r="T2076">
        <v>2.1382450000000001E-2</v>
      </c>
      <c r="U2076">
        <v>-0.34335329999999997</v>
      </c>
      <c r="V2076">
        <v>5.7138960000000003E-2</v>
      </c>
      <c r="W2076">
        <v>8.8903979999999994E-2</v>
      </c>
      <c r="X2076">
        <v>0.9943999</v>
      </c>
      <c r="Y2076">
        <v>-0.16094229999999901</v>
      </c>
      <c r="Z2076">
        <v>9.0818340000000004E-4</v>
      </c>
      <c r="AA2076">
        <v>0.98696340000000005</v>
      </c>
      <c r="AB2076">
        <v>36</v>
      </c>
      <c r="AC2076">
        <v>-78.636399999999895</v>
      </c>
      <c r="AD2076">
        <v>0.55185300000000004</v>
      </c>
      <c r="AE2076">
        <v>-8.8822000000000099</v>
      </c>
      <c r="AF2076">
        <v>-12.7950770772825</v>
      </c>
      <c r="AG2076">
        <v>0.55185300000000004</v>
      </c>
      <c r="AH2076">
        <v>78.0913173492726</v>
      </c>
      <c r="AI2076">
        <v>89.600438547312393</v>
      </c>
      <c r="AJ2076">
        <v>99.305097062347997</v>
      </c>
      <c r="AK2076">
        <v>79.134520814193493</v>
      </c>
      <c r="AL2076">
        <v>84.899442837290593</v>
      </c>
      <c r="AM2076">
        <v>86.711358000342301</v>
      </c>
      <c r="AN2076">
        <v>0.99999996976486505</v>
      </c>
    </row>
    <row r="2077" spans="1:40" x14ac:dyDescent="0.25">
      <c r="A2077" t="str">
        <f>"20190312154550760"</f>
        <v>20190312154550760</v>
      </c>
      <c r="B2077" t="str">
        <f>"1552376750749097"</f>
        <v>1552376750749097</v>
      </c>
      <c r="C2077" t="s">
        <v>40</v>
      </c>
      <c r="D2077">
        <v>3.9118200000000001</v>
      </c>
      <c r="E2077">
        <v>0.41736659999999998</v>
      </c>
      <c r="F2077" t="s">
        <v>58</v>
      </c>
      <c r="G2077">
        <v>-512.82569999999998</v>
      </c>
      <c r="H2077">
        <v>1.639783</v>
      </c>
      <c r="I2077">
        <v>274.26319999999998</v>
      </c>
      <c r="J2077">
        <v>-434.56020000000001</v>
      </c>
      <c r="K2077">
        <v>1.109856</v>
      </c>
      <c r="L2077">
        <v>283.06439999999998</v>
      </c>
      <c r="M2077">
        <v>-0.99863919999999995</v>
      </c>
      <c r="N2077">
        <v>0</v>
      </c>
      <c r="O2077">
        <v>5.0021820000000002E-2</v>
      </c>
      <c r="P2077">
        <v>-0.99140870000000003</v>
      </c>
      <c r="Q2077">
        <v>7.5312320000000002E-2</v>
      </c>
      <c r="R2077">
        <v>0.10694240000000001</v>
      </c>
      <c r="S2077">
        <v>-3.0609130000000002</v>
      </c>
      <c r="T2077">
        <v>2.063239E-2</v>
      </c>
      <c r="U2077">
        <v>-0.34185789999999999</v>
      </c>
      <c r="V2077">
        <v>5.7252440000000002E-2</v>
      </c>
      <c r="W2077">
        <v>8.9961639999999995E-2</v>
      </c>
      <c r="X2077">
        <v>0.99429829999999997</v>
      </c>
      <c r="Y2077">
        <v>-0.1605693</v>
      </c>
      <c r="Z2077">
        <v>8.7577710000000003E-4</v>
      </c>
      <c r="AA2077">
        <v>0.98702420000000002</v>
      </c>
      <c r="AB2077">
        <v>36</v>
      </c>
      <c r="AC2077">
        <v>-78.265499999999903</v>
      </c>
      <c r="AD2077">
        <v>0.52992700000000004</v>
      </c>
      <c r="AE2077">
        <v>-8.8011999999999908</v>
      </c>
      <c r="AF2077">
        <v>-12.7050131189776</v>
      </c>
      <c r="AG2077">
        <v>0.52992700000000004</v>
      </c>
      <c r="AH2077">
        <v>77.723681373338195</v>
      </c>
      <c r="AI2077">
        <v>89.614474898540095</v>
      </c>
      <c r="AJ2077">
        <v>99.283682464426406</v>
      </c>
      <c r="AK2077">
        <v>78.7570239864543</v>
      </c>
      <c r="AL2077">
        <v>84.838599851272207</v>
      </c>
      <c r="AM2077">
        <v>86.7045050530362</v>
      </c>
      <c r="AN2077">
        <v>1.0000000239701601</v>
      </c>
    </row>
    <row r="2078" spans="1:40" x14ac:dyDescent="0.25">
      <c r="A2078" t="str">
        <f>"20190312154550784"</f>
        <v>20190312154550784</v>
      </c>
      <c r="B2078" t="str">
        <f>"1552376750778377"</f>
        <v>1552376750778377</v>
      </c>
      <c r="C2078" t="s">
        <v>40</v>
      </c>
      <c r="D2078">
        <v>3.9316049999999998</v>
      </c>
      <c r="E2078">
        <v>0.41730010000000001</v>
      </c>
      <c r="F2078" t="s">
        <v>58</v>
      </c>
      <c r="G2078">
        <v>-512.82569999999998</v>
      </c>
      <c r="H2078">
        <v>1.6733130000000001</v>
      </c>
      <c r="I2078">
        <v>274.35879999999997</v>
      </c>
      <c r="J2078">
        <v>-434.94749999999999</v>
      </c>
      <c r="K2078">
        <v>1.109915</v>
      </c>
      <c r="L2078">
        <v>283.0838</v>
      </c>
      <c r="M2078">
        <v>-0.99863539999999995</v>
      </c>
      <c r="N2078">
        <v>0</v>
      </c>
      <c r="O2078">
        <v>5.0097250000000003E-2</v>
      </c>
      <c r="P2078">
        <v>-0.99131899999999995</v>
      </c>
      <c r="Q2078">
        <v>7.5414480000000006E-2</v>
      </c>
      <c r="R2078">
        <v>0.1076999</v>
      </c>
      <c r="S2078">
        <v>-3.0610659999999998</v>
      </c>
      <c r="T2078">
        <v>2.2040609999999999E-2</v>
      </c>
      <c r="U2078">
        <v>-0.34048460000000003</v>
      </c>
      <c r="V2078">
        <v>5.7928090000000002E-2</v>
      </c>
      <c r="W2078">
        <v>9.0065640000000002E-2</v>
      </c>
      <c r="X2078">
        <v>0.99424970000000001</v>
      </c>
      <c r="Y2078">
        <v>-0.16020039999999999</v>
      </c>
      <c r="Z2078">
        <v>9.3474370000000005E-4</v>
      </c>
      <c r="AA2078">
        <v>0.98708410000000002</v>
      </c>
      <c r="AB2078">
        <v>36</v>
      </c>
      <c r="AC2078">
        <v>-77.878199999999893</v>
      </c>
      <c r="AD2078">
        <v>0.56339799999999995</v>
      </c>
      <c r="AE2078">
        <v>-8.7250000000000192</v>
      </c>
      <c r="AF2078">
        <v>-12.615298184150801</v>
      </c>
      <c r="AG2078">
        <v>0.56339799999999995</v>
      </c>
      <c r="AH2078">
        <v>77.339247000263896</v>
      </c>
      <c r="AI2078">
        <v>89.588065268657999</v>
      </c>
      <c r="AJ2078">
        <v>99.264290415399003</v>
      </c>
      <c r="AK2078">
        <v>78.363398931830901</v>
      </c>
      <c r="AL2078">
        <v>84.832616546206495</v>
      </c>
      <c r="AM2078">
        <v>86.665538733493904</v>
      </c>
      <c r="AN2078">
        <v>0.99999997453487299</v>
      </c>
    </row>
    <row r="2079" spans="1:40" x14ac:dyDescent="0.25">
      <c r="A2079" t="str">
        <f>"20190312154550802"</f>
        <v>20190312154550802</v>
      </c>
      <c r="B2079" t="str">
        <f>"1552376750798406"</f>
        <v>1552376750798406</v>
      </c>
      <c r="C2079" t="s">
        <v>40</v>
      </c>
      <c r="D2079">
        <v>3.9764940000000002</v>
      </c>
      <c r="E2079">
        <v>0.41722150000000002</v>
      </c>
      <c r="F2079" t="s">
        <v>58</v>
      </c>
      <c r="G2079">
        <v>-512.82569999999998</v>
      </c>
      <c r="H2079">
        <v>1.5937950000000001</v>
      </c>
      <c r="I2079">
        <v>274.47550000000001</v>
      </c>
      <c r="J2079">
        <v>-435.24180000000001</v>
      </c>
      <c r="K2079">
        <v>1.1099479999999999</v>
      </c>
      <c r="L2079">
        <v>283.09870000000001</v>
      </c>
      <c r="M2079">
        <v>-0.99863440000000003</v>
      </c>
      <c r="N2079">
        <v>0</v>
      </c>
      <c r="O2079">
        <v>5.011989E-2</v>
      </c>
      <c r="P2079">
        <v>-0.99128130000000003</v>
      </c>
      <c r="Q2079">
        <v>7.6213929999999999E-2</v>
      </c>
      <c r="R2079">
        <v>0.10748439999999999</v>
      </c>
      <c r="S2079">
        <v>-3.0615540000000001</v>
      </c>
      <c r="T2079">
        <v>1.9025440000000001E-2</v>
      </c>
      <c r="U2079">
        <v>-0.33840940000000003</v>
      </c>
      <c r="V2079">
        <v>5.768529E-2</v>
      </c>
      <c r="W2079">
        <v>9.0865810000000005E-2</v>
      </c>
      <c r="X2079">
        <v>0.99419109999999999</v>
      </c>
      <c r="Y2079">
        <v>-0.15954579999999999</v>
      </c>
      <c r="Z2079">
        <v>8.0488649999999897E-4</v>
      </c>
      <c r="AA2079">
        <v>0.98719020000000002</v>
      </c>
      <c r="AB2079">
        <v>36</v>
      </c>
      <c r="AC2079">
        <v>-77.5838999999999</v>
      </c>
      <c r="AD2079">
        <v>0.48384700000000003</v>
      </c>
      <c r="AE2079">
        <v>-8.62319999999999</v>
      </c>
      <c r="AF2079">
        <v>-12.5007989659705</v>
      </c>
      <c r="AG2079">
        <v>0.48384700000000003</v>
      </c>
      <c r="AH2079">
        <v>77.051171008651295</v>
      </c>
      <c r="AI2079">
        <v>89.644856325451798</v>
      </c>
      <c r="AJ2079">
        <v>99.215384298748901</v>
      </c>
      <c r="AK2079">
        <v>78.060150118427501</v>
      </c>
      <c r="AL2079">
        <v>84.786581892694997</v>
      </c>
      <c r="AM2079">
        <v>86.679288186482793</v>
      </c>
      <c r="AN2079">
        <v>1.00000006571427</v>
      </c>
    </row>
    <row r="2080" spans="1:40" x14ac:dyDescent="0.25">
      <c r="A2080" t="str">
        <f>"20190312154550826"</f>
        <v>20190312154550826</v>
      </c>
      <c r="B2080" t="str">
        <f>"1552376750818900"</f>
        <v>1552376750818900</v>
      </c>
      <c r="C2080" t="s">
        <v>40</v>
      </c>
      <c r="D2080">
        <v>3.9748559999999999</v>
      </c>
      <c r="E2080">
        <v>0.41719810000000002</v>
      </c>
      <c r="F2080" t="s">
        <v>58</v>
      </c>
      <c r="G2080">
        <v>-512.82569999999998</v>
      </c>
      <c r="H2080">
        <v>1.596698</v>
      </c>
      <c r="I2080">
        <v>274.49169999999998</v>
      </c>
      <c r="J2080">
        <v>-435.60860000000002</v>
      </c>
      <c r="K2080">
        <v>1.1099870000000001</v>
      </c>
      <c r="L2080">
        <v>283.11709999999999</v>
      </c>
      <c r="M2080">
        <v>-0.99863500000000005</v>
      </c>
      <c r="N2080">
        <v>0</v>
      </c>
      <c r="O2080">
        <v>5.0111240000000001E-2</v>
      </c>
      <c r="P2080">
        <v>-0.99112169999999999</v>
      </c>
      <c r="Q2080">
        <v>7.7365959999999998E-2</v>
      </c>
      <c r="R2080">
        <v>0.1081327</v>
      </c>
      <c r="S2080">
        <v>-3.0617369999999999</v>
      </c>
      <c r="T2080">
        <v>1.9212010000000002E-2</v>
      </c>
      <c r="U2080">
        <v>-0.33966059999999998</v>
      </c>
      <c r="V2080">
        <v>5.8341480000000001E-2</v>
      </c>
      <c r="W2080">
        <v>9.2016819999999999E-2</v>
      </c>
      <c r="X2080">
        <v>0.99404689999999996</v>
      </c>
      <c r="Y2080">
        <v>-0.15992919999999999</v>
      </c>
      <c r="Z2080">
        <v>8.1385840000000001E-4</v>
      </c>
      <c r="AA2080">
        <v>0.98712809999999995</v>
      </c>
      <c r="AB2080">
        <v>36</v>
      </c>
      <c r="AC2080">
        <v>-77.217099999999903</v>
      </c>
      <c r="AD2080">
        <v>0.48671099999999901</v>
      </c>
      <c r="AE2080">
        <v>-8.6254000000000097</v>
      </c>
      <c r="AF2080">
        <v>-12.483935724698201</v>
      </c>
      <c r="AG2080">
        <v>0.48671099999999901</v>
      </c>
      <c r="AH2080">
        <v>76.684781143858999</v>
      </c>
      <c r="AI2080">
        <v>89.641078930718194</v>
      </c>
      <c r="AJ2080">
        <v>99.246379656425802</v>
      </c>
      <c r="AK2080">
        <v>77.6958248418631</v>
      </c>
      <c r="AL2080">
        <v>84.720356242783296</v>
      </c>
      <c r="AM2080">
        <v>86.641113859706607</v>
      </c>
      <c r="AN2080">
        <v>1.0000000314255499</v>
      </c>
    </row>
    <row r="2081" spans="1:40" x14ac:dyDescent="0.25">
      <c r="A2081" t="str">
        <f>"20190312154550848"</f>
        <v>20190312154550848</v>
      </c>
      <c r="B2081" t="str">
        <f>"1552376750838420"</f>
        <v>1552376750838420</v>
      </c>
      <c r="C2081" t="s">
        <v>40</v>
      </c>
      <c r="D2081">
        <v>4.0123769999999999</v>
      </c>
      <c r="E2081">
        <v>0.41446660000000002</v>
      </c>
      <c r="F2081" t="s">
        <v>58</v>
      </c>
      <c r="G2081">
        <v>-512.82569999999998</v>
      </c>
      <c r="H2081">
        <v>1.6698459999999999</v>
      </c>
      <c r="I2081">
        <v>274.5924</v>
      </c>
      <c r="J2081">
        <v>-435.95609999999999</v>
      </c>
      <c r="K2081">
        <v>1.110015</v>
      </c>
      <c r="L2081">
        <v>283.1345</v>
      </c>
      <c r="M2081">
        <v>-0.99863769999999996</v>
      </c>
      <c r="N2081">
        <v>0</v>
      </c>
      <c r="O2081">
        <v>5.0058709999999999E-2</v>
      </c>
      <c r="P2081">
        <v>-0.99120399999999997</v>
      </c>
      <c r="Q2081">
        <v>7.7119339999999995E-2</v>
      </c>
      <c r="R2081">
        <v>0.1075521</v>
      </c>
      <c r="S2081">
        <v>-3.0620419999999999</v>
      </c>
      <c r="T2081">
        <v>2.220428E-2</v>
      </c>
      <c r="U2081">
        <v>-0.33804319999999999</v>
      </c>
      <c r="V2081">
        <v>5.78016999999999E-2</v>
      </c>
      <c r="W2081">
        <v>9.1772300000000001E-2</v>
      </c>
      <c r="X2081">
        <v>0.99410100000000001</v>
      </c>
      <c r="Y2081">
        <v>-0.15935009999999999</v>
      </c>
      <c r="Z2081">
        <v>9.3807350000000005E-4</v>
      </c>
      <c r="AA2081">
        <v>0.98722169999999998</v>
      </c>
      <c r="AB2081">
        <v>36</v>
      </c>
      <c r="AC2081">
        <v>-76.869599999999906</v>
      </c>
      <c r="AD2081">
        <v>0.55983099999999997</v>
      </c>
      <c r="AE2081">
        <v>-8.5420999999999996</v>
      </c>
      <c r="AF2081">
        <v>-12.3791500030359</v>
      </c>
      <c r="AG2081">
        <v>0.55983099999999997</v>
      </c>
      <c r="AH2081">
        <v>76.341553229767896</v>
      </c>
      <c r="AI2081">
        <v>89.585260819506402</v>
      </c>
      <c r="AJ2081">
        <v>99.2106160450342</v>
      </c>
      <c r="AK2081">
        <v>77.340736452917994</v>
      </c>
      <c r="AL2081">
        <v>84.734425545082601</v>
      </c>
      <c r="AM2081">
        <v>86.672301069551395</v>
      </c>
      <c r="AN2081">
        <v>0.99999999488558999</v>
      </c>
    </row>
    <row r="2082" spans="1:40" x14ac:dyDescent="0.25">
      <c r="A2082" t="str">
        <f>"20190312154550871"</f>
        <v>20190312154550871</v>
      </c>
      <c r="B2082" t="str">
        <f>"1552376750858916"</f>
        <v>1552376750858916</v>
      </c>
      <c r="C2082" t="s">
        <v>40</v>
      </c>
      <c r="D2082">
        <v>4.0199400000000001</v>
      </c>
      <c r="E2082">
        <v>0.41397050000000002</v>
      </c>
      <c r="F2082" t="s">
        <v>58</v>
      </c>
      <c r="G2082">
        <v>-512.82539999999995</v>
      </c>
      <c r="H2082">
        <v>0.86822969999999899</v>
      </c>
      <c r="I2082">
        <v>274.04919999999998</v>
      </c>
      <c r="J2082">
        <v>-436.32639999999998</v>
      </c>
      <c r="K2082">
        <v>1.1100559999999999</v>
      </c>
      <c r="L2082">
        <v>283.15300000000002</v>
      </c>
      <c r="M2082">
        <v>-0.99864260000000005</v>
      </c>
      <c r="N2082">
        <v>0</v>
      </c>
      <c r="O2082">
        <v>4.9962260000000001E-2</v>
      </c>
      <c r="P2082">
        <v>-0.9913052</v>
      </c>
      <c r="Q2082">
        <v>7.6873919999999998E-2</v>
      </c>
      <c r="R2082">
        <v>0.10679329999999999</v>
      </c>
      <c r="S2082">
        <v>-3.0667110000000002</v>
      </c>
      <c r="T2082">
        <v>-9.6428390000000003E-3</v>
      </c>
      <c r="U2082">
        <v>-0.36245729999999998</v>
      </c>
      <c r="V2082">
        <v>5.7126150000000001E-2</v>
      </c>
      <c r="W2082">
        <v>9.1529189999999996E-2</v>
      </c>
      <c r="X2082">
        <v>0.9941624</v>
      </c>
      <c r="Y2082">
        <v>-0.16684849999999901</v>
      </c>
      <c r="Z2082">
        <v>-4.1804279999999998E-4</v>
      </c>
      <c r="AA2082">
        <v>0.98598249999999998</v>
      </c>
      <c r="AB2082">
        <v>36</v>
      </c>
      <c r="AC2082">
        <v>-76.498999999999896</v>
      </c>
      <c r="AD2082">
        <v>-0.24182629999999999</v>
      </c>
      <c r="AE2082">
        <v>-9.1038000000000299</v>
      </c>
      <c r="AF2082">
        <v>-12.9147777743575</v>
      </c>
      <c r="AG2082">
        <v>-0.24182629999999999</v>
      </c>
      <c r="AH2082">
        <v>75.947796098957795</v>
      </c>
      <c r="AI2082">
        <v>90.179853761999794</v>
      </c>
      <c r="AJ2082">
        <v>99.650723334984406</v>
      </c>
      <c r="AK2082">
        <v>77.038417021699502</v>
      </c>
      <c r="AL2082">
        <v>84.748413272136403</v>
      </c>
      <c r="AM2082">
        <v>86.711309925112005</v>
      </c>
      <c r="AN2082">
        <v>0.99999993360481698</v>
      </c>
    </row>
    <row r="2083" spans="1:40" x14ac:dyDescent="0.25">
      <c r="A2083" t="str">
        <f>"20190312154550892"</f>
        <v>20190312154550892</v>
      </c>
      <c r="B2083" t="str">
        <f>"1552376750888705"</f>
        <v>1552376750888705</v>
      </c>
      <c r="C2083" t="s">
        <v>40</v>
      </c>
      <c r="D2083">
        <v>4.0769479999999998</v>
      </c>
      <c r="E2083">
        <v>0.41313830000000001</v>
      </c>
      <c r="F2083" t="s">
        <v>58</v>
      </c>
      <c r="G2083">
        <v>-512.82539999999995</v>
      </c>
      <c r="H2083">
        <v>0.72134639999999906</v>
      </c>
      <c r="I2083">
        <v>273.95769999999999</v>
      </c>
      <c r="J2083">
        <v>-436.65750000000003</v>
      </c>
      <c r="K2083">
        <v>1.110096</v>
      </c>
      <c r="L2083">
        <v>283.16950000000003</v>
      </c>
      <c r="M2083">
        <v>-0.99864850000000005</v>
      </c>
      <c r="N2083">
        <v>0</v>
      </c>
      <c r="O2083">
        <v>4.9845479999999998E-2</v>
      </c>
      <c r="P2083">
        <v>-0.99113660000000003</v>
      </c>
      <c r="Q2083">
        <v>7.9740350000000002E-2</v>
      </c>
      <c r="R2083">
        <v>0.1062538</v>
      </c>
      <c r="S2083">
        <v>-3.0672299999999999</v>
      </c>
      <c r="T2083">
        <v>-1.558208E-2</v>
      </c>
      <c r="U2083">
        <v>-0.36868289999999998</v>
      </c>
      <c r="V2083">
        <v>5.6703919999999998E-2</v>
      </c>
      <c r="W2083">
        <v>9.4393480000000002E-2</v>
      </c>
      <c r="X2083">
        <v>0.99391879999999999</v>
      </c>
      <c r="Y2083">
        <v>-0.168685</v>
      </c>
      <c r="Z2083">
        <v>-6.793875E-4</v>
      </c>
      <c r="AA2083">
        <v>0.98566980000000004</v>
      </c>
      <c r="AB2083">
        <v>36</v>
      </c>
      <c r="AC2083">
        <v>-76.167899999999904</v>
      </c>
      <c r="AD2083">
        <v>-0.38874959999999997</v>
      </c>
      <c r="AE2083">
        <v>-9.2118000000000393</v>
      </c>
      <c r="AF2083">
        <v>-12.997049808174999</v>
      </c>
      <c r="AG2083">
        <v>-0.38874959999999997</v>
      </c>
      <c r="AH2083">
        <v>75.612040741341801</v>
      </c>
      <c r="AI2083">
        <v>90.290318629354303</v>
      </c>
      <c r="AJ2083">
        <v>99.753330465509407</v>
      </c>
      <c r="AK2083">
        <v>76.721933858825693</v>
      </c>
      <c r="AL2083">
        <v>84.583588215804696</v>
      </c>
      <c r="AM2083">
        <v>86.734766129517993</v>
      </c>
      <c r="AN2083">
        <v>1.0000000223016501</v>
      </c>
    </row>
    <row r="2084" spans="1:40" x14ac:dyDescent="0.25">
      <c r="A2084" t="str">
        <f>"20190312154550915"</f>
        <v>20190312154550915</v>
      </c>
      <c r="B2084" t="str">
        <f>"1552376750909205"</f>
        <v>1552376750909205</v>
      </c>
      <c r="C2084" t="s">
        <v>40</v>
      </c>
      <c r="D2084">
        <v>4.0676909999999999</v>
      </c>
      <c r="E2084">
        <v>0.41251979999999999</v>
      </c>
      <c r="F2084" t="s">
        <v>58</v>
      </c>
      <c r="G2084">
        <v>-512.82539999999995</v>
      </c>
      <c r="H2084">
        <v>0.94535369999999996</v>
      </c>
      <c r="I2084">
        <v>273.81400000000002</v>
      </c>
      <c r="J2084">
        <v>-437.02050000000003</v>
      </c>
      <c r="K2084">
        <v>1.1101350000000001</v>
      </c>
      <c r="L2084">
        <v>283.18740000000003</v>
      </c>
      <c r="M2084">
        <v>-0.99865630000000005</v>
      </c>
      <c r="N2084">
        <v>0</v>
      </c>
      <c r="O2084">
        <v>4.9686719999999997E-2</v>
      </c>
      <c r="P2084">
        <v>-0.99112719999999999</v>
      </c>
      <c r="Q2084">
        <v>8.0948489999999998E-2</v>
      </c>
      <c r="R2084">
        <v>0.1054233</v>
      </c>
      <c r="S2084">
        <v>-3.0677490000000001</v>
      </c>
      <c r="T2084">
        <v>-6.6319700000000001E-3</v>
      </c>
      <c r="U2084">
        <v>-0.37680049999999998</v>
      </c>
      <c r="V2084">
        <v>5.6024310000000001E-2</v>
      </c>
      <c r="W2084">
        <v>9.5602010000000001E-2</v>
      </c>
      <c r="X2084">
        <v>0.9938418</v>
      </c>
      <c r="Y2084">
        <v>-0.1710806</v>
      </c>
      <c r="Z2084">
        <v>-2.9130390000000001E-4</v>
      </c>
      <c r="AA2084">
        <v>0.98525700000000005</v>
      </c>
      <c r="AB2084">
        <v>36</v>
      </c>
      <c r="AC2084">
        <v>-75.804899999999904</v>
      </c>
      <c r="AD2084">
        <v>-0.16478129999999999</v>
      </c>
      <c r="AE2084">
        <v>-9.3734000000000002</v>
      </c>
      <c r="AF2084">
        <v>-13.128664092509</v>
      </c>
      <c r="AG2084">
        <v>-0.16478129999999999</v>
      </c>
      <c r="AH2084">
        <v>75.245115225783906</v>
      </c>
      <c r="AI2084">
        <v>90.123606021909097</v>
      </c>
      <c r="AJ2084">
        <v>99.897257908243304</v>
      </c>
      <c r="AK2084">
        <v>76.382041993339399</v>
      </c>
      <c r="AL2084">
        <v>84.514029819204396</v>
      </c>
      <c r="AM2084">
        <v>86.773568142977894</v>
      </c>
      <c r="AN2084">
        <v>0.99999999552712804</v>
      </c>
    </row>
    <row r="2085" spans="1:40" x14ac:dyDescent="0.25">
      <c r="A2085" t="str">
        <f>"20190312154550937"</f>
        <v>20190312154550937</v>
      </c>
      <c r="B2085" t="str">
        <f>"1552376750928720"</f>
        <v>1552376750928720</v>
      </c>
      <c r="C2085" t="s">
        <v>40</v>
      </c>
      <c r="D2085">
        <v>4.0996969999999999</v>
      </c>
      <c r="E2085">
        <v>0.41216730000000001</v>
      </c>
      <c r="F2085" t="s">
        <v>58</v>
      </c>
      <c r="G2085">
        <v>-512.82539999999995</v>
      </c>
      <c r="H2085">
        <v>0.94961240000000002</v>
      </c>
      <c r="I2085">
        <v>273.68439999999998</v>
      </c>
      <c r="J2085">
        <v>-437.37709999999998</v>
      </c>
      <c r="K2085">
        <v>1.1101639999999999</v>
      </c>
      <c r="L2085">
        <v>283.20499999999998</v>
      </c>
      <c r="M2085">
        <v>-0.99866560000000004</v>
      </c>
      <c r="N2085">
        <v>0</v>
      </c>
      <c r="O2085">
        <v>4.9503619999999998E-2</v>
      </c>
      <c r="P2085">
        <v>-0.99145779999999994</v>
      </c>
      <c r="Q2085">
        <v>7.9552579999999998E-2</v>
      </c>
      <c r="R2085">
        <v>0.1033587</v>
      </c>
      <c r="S2085">
        <v>-3.0682680000000002</v>
      </c>
      <c r="T2085">
        <v>-6.4940450000000004E-3</v>
      </c>
      <c r="U2085">
        <v>-0.38464359999999997</v>
      </c>
      <c r="V2085">
        <v>5.4121460000000003E-2</v>
      </c>
      <c r="W2085">
        <v>9.4209769999999998E-2</v>
      </c>
      <c r="X2085">
        <v>0.99408019999999997</v>
      </c>
      <c r="Y2085">
        <v>-0.17335970000000001</v>
      </c>
      <c r="Z2085">
        <v>-2.8717089999999999E-4</v>
      </c>
      <c r="AA2085">
        <v>0.98485849999999997</v>
      </c>
      <c r="AB2085">
        <v>36</v>
      </c>
      <c r="AC2085">
        <v>-75.448299999999904</v>
      </c>
      <c r="AD2085">
        <v>-0.16055159999999899</v>
      </c>
      <c r="AE2085">
        <v>-9.5206</v>
      </c>
      <c r="AF2085">
        <v>-13.2442338337714</v>
      </c>
      <c r="AG2085">
        <v>-0.16055159999999899</v>
      </c>
      <c r="AH2085">
        <v>74.884087188924994</v>
      </c>
      <c r="AI2085">
        <v>90.120964704266399</v>
      </c>
      <c r="AJ2085">
        <v>100.029789905082</v>
      </c>
      <c r="AK2085">
        <v>76.046446470419696</v>
      </c>
      <c r="AL2085">
        <v>84.594161173875705</v>
      </c>
      <c r="AM2085">
        <v>86.883679174200907</v>
      </c>
      <c r="AN2085">
        <v>1.0000000286140101</v>
      </c>
    </row>
    <row r="2086" spans="1:40" x14ac:dyDescent="0.25">
      <c r="A2086" t="str">
        <f>"20190312154550961"</f>
        <v>20190312154550961</v>
      </c>
      <c r="B2086" t="str">
        <f>"1552376750949216"</f>
        <v>1552376750949216</v>
      </c>
      <c r="C2086" t="s">
        <v>40</v>
      </c>
      <c r="D2086">
        <v>4.0654810000000001</v>
      </c>
      <c r="E2086">
        <v>0.41194530000000001</v>
      </c>
      <c r="F2086" t="s">
        <v>58</v>
      </c>
      <c r="G2086">
        <v>-512.82539999999995</v>
      </c>
      <c r="H2086">
        <v>0.82548359999999998</v>
      </c>
      <c r="I2086">
        <v>273.51639999999998</v>
      </c>
      <c r="J2086">
        <v>-437.75569999999999</v>
      </c>
      <c r="K2086">
        <v>1.11019</v>
      </c>
      <c r="L2086">
        <v>283.2235</v>
      </c>
      <c r="M2086">
        <v>-0.99867620000000001</v>
      </c>
      <c r="N2086">
        <v>0</v>
      </c>
      <c r="O2086">
        <v>4.9286870000000003E-2</v>
      </c>
      <c r="P2086">
        <v>-0.99163089999999998</v>
      </c>
      <c r="Q2086">
        <v>7.9234429999999995E-2</v>
      </c>
      <c r="R2086">
        <v>0.1019325</v>
      </c>
      <c r="S2086">
        <v>-3.067841</v>
      </c>
      <c r="T2086">
        <v>-1.1572239999999999E-2</v>
      </c>
      <c r="U2086">
        <v>-0.39395140000000001</v>
      </c>
      <c r="V2086">
        <v>5.2898399999999998E-2</v>
      </c>
      <c r="W2086">
        <v>9.3891219999999997E-2</v>
      </c>
      <c r="X2086">
        <v>0.99417610000000001</v>
      </c>
      <c r="Y2086">
        <v>-0.176101799999999</v>
      </c>
      <c r="Z2086">
        <v>-5.1604350000000005E-4</v>
      </c>
      <c r="AA2086">
        <v>0.98437180000000002</v>
      </c>
      <c r="AB2086">
        <v>36</v>
      </c>
      <c r="AC2086">
        <v>-75.069699999999898</v>
      </c>
      <c r="AD2086">
        <v>-0.28470640000000003</v>
      </c>
      <c r="AE2086">
        <v>-9.70710000000002</v>
      </c>
      <c r="AF2086">
        <v>-13.395461956564599</v>
      </c>
      <c r="AG2086">
        <v>-0.28470640000000003</v>
      </c>
      <c r="AH2086">
        <v>74.498906941255996</v>
      </c>
      <c r="AI2086">
        <v>90.2155055625865</v>
      </c>
      <c r="AJ2086">
        <v>100.19328987591599</v>
      </c>
      <c r="AK2086">
        <v>75.694164862332002</v>
      </c>
      <c r="AL2086">
        <v>84.612493634093099</v>
      </c>
      <c r="AM2086">
        <v>86.954262255315399</v>
      </c>
      <c r="AN2086">
        <v>0.99999995986342805</v>
      </c>
    </row>
    <row r="2087" spans="1:40" x14ac:dyDescent="0.25">
      <c r="A2087" t="str">
        <f>"20190312154550985"</f>
        <v>20190312154550985</v>
      </c>
      <c r="B2087" t="str">
        <f>"1552376750978496"</f>
        <v>1552376750978496</v>
      </c>
      <c r="C2087" t="s">
        <v>40</v>
      </c>
      <c r="D2087">
        <v>4.1098239999999997</v>
      </c>
      <c r="E2087">
        <v>0.41156999999999999</v>
      </c>
      <c r="F2087" t="s">
        <v>58</v>
      </c>
      <c r="G2087">
        <v>-512.82539999999995</v>
      </c>
      <c r="H2087">
        <v>0.7829045</v>
      </c>
      <c r="I2087">
        <v>273.4384</v>
      </c>
      <c r="J2087">
        <v>-438.11399999999998</v>
      </c>
      <c r="K2087">
        <v>1.1102179999999999</v>
      </c>
      <c r="L2087">
        <v>283.24110000000002</v>
      </c>
      <c r="M2087">
        <v>-0.99868729999999994</v>
      </c>
      <c r="N2087">
        <v>0</v>
      </c>
      <c r="O2087">
        <v>4.9065980000000002E-2</v>
      </c>
      <c r="P2087">
        <v>-0.99174609999999996</v>
      </c>
      <c r="Q2087">
        <v>7.8987970000000005E-2</v>
      </c>
      <c r="R2087">
        <v>0.1009997</v>
      </c>
      <c r="S2087">
        <v>-3.0675050000000001</v>
      </c>
      <c r="T2087">
        <v>-1.337028E-2</v>
      </c>
      <c r="U2087">
        <v>-0.39984130000000001</v>
      </c>
      <c r="V2087">
        <v>5.2177189999999998E-2</v>
      </c>
      <c r="W2087">
        <v>9.3644359999999996E-2</v>
      </c>
      <c r="X2087">
        <v>0.9942375</v>
      </c>
      <c r="Y2087">
        <v>-0.17775579999999999</v>
      </c>
      <c r="Z2087">
        <v>-5.9884680000000005E-4</v>
      </c>
      <c r="AA2087">
        <v>0.98407449999999996</v>
      </c>
      <c r="AB2087">
        <v>35</v>
      </c>
      <c r="AC2087">
        <v>-74.711399999999898</v>
      </c>
      <c r="AD2087">
        <v>-0.32731349999999898</v>
      </c>
      <c r="AE2087">
        <v>-9.8027000000000104</v>
      </c>
      <c r="AF2087">
        <v>-13.456820973317001</v>
      </c>
      <c r="AG2087">
        <v>-0.32731349999999898</v>
      </c>
      <c r="AH2087">
        <v>74.138963604516306</v>
      </c>
      <c r="AI2087">
        <v>90.248884970087403</v>
      </c>
      <c r="AJ2087">
        <v>100.287646593096</v>
      </c>
      <c r="AK2087">
        <v>75.351039071714098</v>
      </c>
      <c r="AL2087">
        <v>84.626700296220505</v>
      </c>
      <c r="AM2087">
        <v>86.995896050363498</v>
      </c>
      <c r="AN2087">
        <v>0.99999996586117701</v>
      </c>
    </row>
    <row r="2088" spans="1:40" x14ac:dyDescent="0.25">
      <c r="A2088" t="str">
        <f>"20190312154551007"</f>
        <v>20190312154551007</v>
      </c>
      <c r="B2088" t="str">
        <f>"1552376750998992"</f>
        <v>1552376750998992</v>
      </c>
      <c r="C2088" t="s">
        <v>40</v>
      </c>
      <c r="D2088">
        <v>4.1046639999999996</v>
      </c>
      <c r="E2088">
        <v>0.41147850000000002</v>
      </c>
      <c r="F2088" t="s">
        <v>58</v>
      </c>
      <c r="G2088">
        <v>-512.82539999999995</v>
      </c>
      <c r="H2088">
        <v>0.71095439999999999</v>
      </c>
      <c r="I2088">
        <v>273.35359999999997</v>
      </c>
      <c r="J2088">
        <v>-438.4896</v>
      </c>
      <c r="K2088">
        <v>1.1102299999999901</v>
      </c>
      <c r="L2088">
        <v>283.2593</v>
      </c>
      <c r="M2088">
        <v>-0.99869909999999995</v>
      </c>
      <c r="N2088">
        <v>0</v>
      </c>
      <c r="O2088">
        <v>4.8825100000000003E-2</v>
      </c>
      <c r="P2088">
        <v>-0.99171169999999997</v>
      </c>
      <c r="Q2088">
        <v>7.8577540000000001E-2</v>
      </c>
      <c r="R2088">
        <v>0.1016536</v>
      </c>
      <c r="S2088">
        <v>-3.0676269999999999</v>
      </c>
      <c r="T2088">
        <v>-1.639032E-2</v>
      </c>
      <c r="U2088">
        <v>-0.40597529999999998</v>
      </c>
      <c r="V2088">
        <v>5.3069249999999998E-2</v>
      </c>
      <c r="W2088">
        <v>9.3231339999999996E-2</v>
      </c>
      <c r="X2088">
        <v>0.99422909999999998</v>
      </c>
      <c r="Y2088">
        <v>-0.17944649999999901</v>
      </c>
      <c r="Z2088">
        <v>-7.3720489999999997E-4</v>
      </c>
      <c r="AA2088">
        <v>0.98376739999999996</v>
      </c>
      <c r="AB2088">
        <v>35</v>
      </c>
      <c r="AC2088">
        <v>-74.335799999999907</v>
      </c>
      <c r="AD2088">
        <v>-0.39927559999999901</v>
      </c>
      <c r="AE2088">
        <v>-9.9057000000000208</v>
      </c>
      <c r="AF2088">
        <v>-13.523345309629899</v>
      </c>
      <c r="AG2088">
        <v>-0.39927559999999901</v>
      </c>
      <c r="AH2088">
        <v>73.761333754981294</v>
      </c>
      <c r="AI2088">
        <v>90.305058759940195</v>
      </c>
      <c r="AJ2088">
        <v>100.38918406302</v>
      </c>
      <c r="AK2088">
        <v>74.991830532945301</v>
      </c>
      <c r="AL2088">
        <v>84.650468582580999</v>
      </c>
      <c r="AM2088">
        <v>86.944606390260802</v>
      </c>
      <c r="AN2088">
        <v>0.99999996567028304</v>
      </c>
    </row>
    <row r="2089" spans="1:40" x14ac:dyDescent="0.25">
      <c r="A2089" t="str">
        <f>"20190312154551026"</f>
        <v>20190312154551026</v>
      </c>
      <c r="B2089" t="str">
        <f>"1552376751018513"</f>
        <v>1552376751018513</v>
      </c>
      <c r="C2089" t="s">
        <v>40</v>
      </c>
      <c r="D2089">
        <v>4.1200900000000003</v>
      </c>
      <c r="E2089">
        <v>0.41140169999999998</v>
      </c>
      <c r="F2089" t="s">
        <v>58</v>
      </c>
      <c r="G2089">
        <v>-512.82539999999995</v>
      </c>
      <c r="H2089">
        <v>0.63168690000000005</v>
      </c>
      <c r="I2089">
        <v>273.45569999999998</v>
      </c>
      <c r="J2089">
        <v>-438.78320000000002</v>
      </c>
      <c r="K2089">
        <v>1.1102379999999901</v>
      </c>
      <c r="L2089">
        <v>283.27350000000001</v>
      </c>
      <c r="M2089">
        <v>-0.99870840000000005</v>
      </c>
      <c r="N2089">
        <v>0</v>
      </c>
      <c r="O2089">
        <v>4.8634089999999998E-2</v>
      </c>
      <c r="P2089">
        <v>-0.99169220000000002</v>
      </c>
      <c r="Q2089">
        <v>7.7853519999999996E-2</v>
      </c>
      <c r="R2089">
        <v>0.1023987</v>
      </c>
      <c r="S2089">
        <v>-3.0681150000000001</v>
      </c>
      <c r="T2089">
        <v>-1.974797E-2</v>
      </c>
      <c r="U2089">
        <v>-0.40463260000000001</v>
      </c>
      <c r="V2089">
        <v>5.4003580000000002E-2</v>
      </c>
      <c r="W2089">
        <v>9.2504929999999999E-2</v>
      </c>
      <c r="X2089">
        <v>0.99424670000000004</v>
      </c>
      <c r="Y2089">
        <v>-0.17881329999999901</v>
      </c>
      <c r="Z2089">
        <v>-8.8485289999999997E-4</v>
      </c>
      <c r="AA2089">
        <v>0.98388260000000005</v>
      </c>
      <c r="AB2089">
        <v>35</v>
      </c>
      <c r="AC2089">
        <v>-74.042199999999895</v>
      </c>
      <c r="AD2089">
        <v>-0.47855109999999901</v>
      </c>
      <c r="AE2089">
        <v>-9.8178000000000303</v>
      </c>
      <c r="AF2089">
        <v>-13.4069937879236</v>
      </c>
      <c r="AG2089">
        <v>-0.47855109999999901</v>
      </c>
      <c r="AH2089">
        <v>73.4740165034016</v>
      </c>
      <c r="AI2089">
        <v>90.367112186234195</v>
      </c>
      <c r="AJ2089">
        <v>100.341137049248</v>
      </c>
      <c r="AK2089">
        <v>74.688738071591899</v>
      </c>
      <c r="AL2089">
        <v>84.692269771779806</v>
      </c>
      <c r="AM2089">
        <v>86.890973099174303</v>
      </c>
      <c r="AN2089">
        <v>1.0000000245939999</v>
      </c>
    </row>
    <row r="2090" spans="1:40" x14ac:dyDescent="0.25">
      <c r="A2090" t="str">
        <f>"20190312154551048"</f>
        <v>20190312154551048</v>
      </c>
      <c r="B2090" t="str">
        <f>"1552376751039009"</f>
        <v>1552376751039009</v>
      </c>
      <c r="C2090" t="s">
        <v>40</v>
      </c>
      <c r="D2090">
        <v>4.1197269999999904</v>
      </c>
      <c r="E2090">
        <v>0.41123929999999997</v>
      </c>
      <c r="F2090" t="s">
        <v>58</v>
      </c>
      <c r="G2090">
        <v>-512.82529999999997</v>
      </c>
      <c r="H2090">
        <v>0.52532290000000004</v>
      </c>
      <c r="I2090">
        <v>273.5573</v>
      </c>
      <c r="J2090">
        <v>-439.13639999999998</v>
      </c>
      <c r="K2090">
        <v>1.110244</v>
      </c>
      <c r="L2090">
        <v>283.29039999999998</v>
      </c>
      <c r="M2090">
        <v>-0.99871969999999999</v>
      </c>
      <c r="N2090">
        <v>0</v>
      </c>
      <c r="O2090">
        <v>4.840328E-2</v>
      </c>
      <c r="P2090">
        <v>-0.99164300000000005</v>
      </c>
      <c r="Q2090">
        <v>7.8375920000000002E-2</v>
      </c>
      <c r="R2090">
        <v>0.102477</v>
      </c>
      <c r="S2090">
        <v>-3.0686339999999999</v>
      </c>
      <c r="T2090">
        <v>-2.423811E-2</v>
      </c>
      <c r="U2090">
        <v>-0.40267940000000002</v>
      </c>
      <c r="V2090">
        <v>5.431242E-2</v>
      </c>
      <c r="W2090">
        <v>9.3023869999999995E-2</v>
      </c>
      <c r="X2090">
        <v>0.99418150000000005</v>
      </c>
      <c r="Y2090">
        <v>-0.17794649999999901</v>
      </c>
      <c r="Z2090">
        <v>-1.080674E-3</v>
      </c>
      <c r="AA2090">
        <v>0.98403960000000001</v>
      </c>
      <c r="AB2090">
        <v>35</v>
      </c>
      <c r="AC2090">
        <v>-73.688899999999904</v>
      </c>
      <c r="AD2090">
        <v>-0.58492109999999997</v>
      </c>
      <c r="AE2090">
        <v>-9.7330999999999808</v>
      </c>
      <c r="AF2090">
        <v>-13.2880361133211</v>
      </c>
      <c r="AG2090">
        <v>-0.58492109999999997</v>
      </c>
      <c r="AH2090">
        <v>73.126815281680095</v>
      </c>
      <c r="AI2090">
        <v>90.450899828656901</v>
      </c>
      <c r="AJ2090">
        <v>100.298969598124</v>
      </c>
      <c r="AK2090">
        <v>74.326611315753695</v>
      </c>
      <c r="AL2090">
        <v>84.662408166519199</v>
      </c>
      <c r="AM2090">
        <v>86.873023475650896</v>
      </c>
      <c r="AN2090">
        <v>1.00000006714913</v>
      </c>
    </row>
    <row r="2091" spans="1:40" x14ac:dyDescent="0.25">
      <c r="A2091" t="str">
        <f>"20190312154551070"</f>
        <v>20190312154551070</v>
      </c>
      <c r="B2091" t="str">
        <f>"1552376751058529"</f>
        <v>1552376751058529</v>
      </c>
      <c r="C2091" t="s">
        <v>40</v>
      </c>
      <c r="D2091">
        <v>4.1160600000000001</v>
      </c>
      <c r="E2091">
        <v>0.41122229999999999</v>
      </c>
      <c r="F2091" t="s">
        <v>58</v>
      </c>
      <c r="G2091">
        <v>-512.82529999999997</v>
      </c>
      <c r="H2091">
        <v>0.52349069999999998</v>
      </c>
      <c r="I2091">
        <v>273.59589999999997</v>
      </c>
      <c r="J2091">
        <v>-439.48</v>
      </c>
      <c r="K2091">
        <v>1.110249</v>
      </c>
      <c r="L2091">
        <v>283.30689999999998</v>
      </c>
      <c r="M2091">
        <v>-0.99873049999999997</v>
      </c>
      <c r="N2091">
        <v>0</v>
      </c>
      <c r="O2091">
        <v>4.8179420000000001E-2</v>
      </c>
      <c r="P2091">
        <v>-0.99158329999999995</v>
      </c>
      <c r="Q2091">
        <v>7.9169329999999996E-2</v>
      </c>
      <c r="R2091">
        <v>0.10244399999999999</v>
      </c>
      <c r="S2091">
        <v>-3.0689389999999999</v>
      </c>
      <c r="T2091">
        <v>-2.4433259999999998E-2</v>
      </c>
      <c r="U2091">
        <v>-0.40374759999999998</v>
      </c>
      <c r="V2091">
        <v>5.4503910000000003E-2</v>
      </c>
      <c r="W2091">
        <v>9.3812889999999996E-2</v>
      </c>
      <c r="X2091">
        <v>0.9940968</v>
      </c>
      <c r="Y2091">
        <v>-0.17804979999999901</v>
      </c>
      <c r="Z2091">
        <v>-1.0878769999999999E-3</v>
      </c>
      <c r="AA2091">
        <v>0.98402089999999998</v>
      </c>
      <c r="AB2091">
        <v>35</v>
      </c>
      <c r="AC2091">
        <v>-73.345299999999895</v>
      </c>
      <c r="AD2091">
        <v>-0.58675829999999995</v>
      </c>
      <c r="AE2091">
        <v>-9.7110000000000092</v>
      </c>
      <c r="AF2091">
        <v>-13.233003793336399</v>
      </c>
      <c r="AG2091">
        <v>-0.58675829999999995</v>
      </c>
      <c r="AH2091">
        <v>72.787606486598307</v>
      </c>
      <c r="AI2091">
        <v>90.454416581251394</v>
      </c>
      <c r="AJ2091">
        <v>100.30400335906501</v>
      </c>
      <c r="AK2091">
        <v>73.983054362096794</v>
      </c>
      <c r="AL2091">
        <v>84.617001678678406</v>
      </c>
      <c r="AM2091">
        <v>86.861753817876803</v>
      </c>
      <c r="AN2091">
        <v>0.99999999115284</v>
      </c>
    </row>
    <row r="2092" spans="1:40" x14ac:dyDescent="0.25">
      <c r="A2092" t="str">
        <f>"20190312154551093"</f>
        <v>20190312154551093</v>
      </c>
      <c r="B2092" t="str">
        <f>"1552376751088785"</f>
        <v>1552376751088785</v>
      </c>
      <c r="C2092" t="s">
        <v>40</v>
      </c>
      <c r="D2092">
        <v>4.1719629999999999</v>
      </c>
      <c r="E2092">
        <v>0.41115800000000002</v>
      </c>
      <c r="F2092" t="s">
        <v>58</v>
      </c>
      <c r="G2092">
        <v>-512.82529999999997</v>
      </c>
      <c r="H2092">
        <v>0.54413449999999997</v>
      </c>
      <c r="I2092">
        <v>273.65370000000001</v>
      </c>
      <c r="J2092">
        <v>-439.8331</v>
      </c>
      <c r="K2092">
        <v>1.110252</v>
      </c>
      <c r="L2092">
        <v>283.32369999999997</v>
      </c>
      <c r="M2092">
        <v>-0.99874160000000001</v>
      </c>
      <c r="N2092">
        <v>0</v>
      </c>
      <c r="O2092">
        <v>4.7950920000000001E-2</v>
      </c>
      <c r="P2092">
        <v>-0.99168230000000002</v>
      </c>
      <c r="Q2092">
        <v>7.9220760000000001E-2</v>
      </c>
      <c r="R2092">
        <v>0.10144209999999999</v>
      </c>
      <c r="S2092">
        <v>-3.0690919999999999</v>
      </c>
      <c r="T2092">
        <v>-2.3685339999999999E-2</v>
      </c>
      <c r="U2092">
        <v>-0.40393069999999998</v>
      </c>
      <c r="V2092">
        <v>5.3725160000000001E-2</v>
      </c>
      <c r="W2092">
        <v>9.3861330000000007E-2</v>
      </c>
      <c r="X2092">
        <v>0.99413459999999998</v>
      </c>
      <c r="Y2092">
        <v>-0.17787639999999999</v>
      </c>
      <c r="Z2092">
        <v>-1.052098E-3</v>
      </c>
      <c r="AA2092">
        <v>0.98405220000000004</v>
      </c>
      <c r="AB2092">
        <v>35</v>
      </c>
      <c r="AC2092">
        <v>-72.992199999999897</v>
      </c>
      <c r="AD2092">
        <v>-0.56611749999999905</v>
      </c>
      <c r="AE2092">
        <v>-9.6699999999999608</v>
      </c>
      <c r="AF2092">
        <v>-13.1585173293183</v>
      </c>
      <c r="AG2092">
        <v>-0.56611749999999905</v>
      </c>
      <c r="AH2092">
        <v>72.440200588622702</v>
      </c>
      <c r="AI2092">
        <v>90.440546541574307</v>
      </c>
      <c r="AJ2092">
        <v>100.29533076713901</v>
      </c>
      <c r="AK2092">
        <v>73.627778240618298</v>
      </c>
      <c r="AL2092">
        <v>84.614213869761201</v>
      </c>
      <c r="AM2092">
        <v>86.906622648623795</v>
      </c>
      <c r="AN2092">
        <v>0.99999997250177597</v>
      </c>
    </row>
    <row r="2093" spans="1:40" x14ac:dyDescent="0.25">
      <c r="A2093" t="str">
        <f>"20190312154551116"</f>
        <v>20190312154551116</v>
      </c>
      <c r="B2093" t="str">
        <f>"1552376751108304"</f>
        <v>1552376751108304</v>
      </c>
      <c r="C2093" t="s">
        <v>40</v>
      </c>
      <c r="D2093">
        <v>4.1485789999999998</v>
      </c>
      <c r="E2093">
        <v>0.41117629999999999</v>
      </c>
      <c r="F2093" t="s">
        <v>58</v>
      </c>
      <c r="G2093">
        <v>-512.82529999999997</v>
      </c>
      <c r="H2093">
        <v>0.52568009999999998</v>
      </c>
      <c r="I2093">
        <v>273.62029999999999</v>
      </c>
      <c r="J2093">
        <v>-440.1848</v>
      </c>
      <c r="K2093">
        <v>1.110257</v>
      </c>
      <c r="L2093">
        <v>283.34039999999999</v>
      </c>
      <c r="M2093">
        <v>-0.9987528</v>
      </c>
      <c r="N2093">
        <v>0</v>
      </c>
      <c r="O2093">
        <v>4.7723389999999997E-2</v>
      </c>
      <c r="P2093">
        <v>-0.99176439999999999</v>
      </c>
      <c r="Q2093">
        <v>7.9396250000000002E-2</v>
      </c>
      <c r="R2093">
        <v>0.10049810000000001</v>
      </c>
      <c r="S2093">
        <v>-3.0688170000000001</v>
      </c>
      <c r="T2093">
        <v>-2.45738E-2</v>
      </c>
      <c r="U2093">
        <v>-0.40795900000000002</v>
      </c>
      <c r="V2093">
        <v>5.3004370000000002E-2</v>
      </c>
      <c r="W2093">
        <v>9.4033640000000002E-2</v>
      </c>
      <c r="X2093">
        <v>0.99415699999999996</v>
      </c>
      <c r="Y2093">
        <v>-0.1789326</v>
      </c>
      <c r="Z2093">
        <v>-1.0939630000000001E-3</v>
      </c>
      <c r="AA2093">
        <v>0.98386070000000003</v>
      </c>
      <c r="AB2093">
        <v>35</v>
      </c>
      <c r="AC2093">
        <v>-72.640499999999903</v>
      </c>
      <c r="AD2093">
        <v>-0.58457689999999995</v>
      </c>
      <c r="AE2093">
        <v>-9.7201000000000004</v>
      </c>
      <c r="AF2093">
        <v>-13.175208374671501</v>
      </c>
      <c r="AG2093">
        <v>-0.58457689999999995</v>
      </c>
      <c r="AH2093">
        <v>72.0892021974215</v>
      </c>
      <c r="AI2093">
        <v>90.457035746538907</v>
      </c>
      <c r="AJ2093">
        <v>100.35721609782399</v>
      </c>
      <c r="AK2093">
        <v>73.285611953020805</v>
      </c>
      <c r="AL2093">
        <v>84.604297332194193</v>
      </c>
      <c r="AM2093">
        <v>86.948113808047793</v>
      </c>
      <c r="AN2093">
        <v>0.99999996466987195</v>
      </c>
    </row>
    <row r="2094" spans="1:40" x14ac:dyDescent="0.25">
      <c r="A2094" t="str">
        <f>"20190312154551139"</f>
        <v>20190312154551139</v>
      </c>
      <c r="B2094" t="str">
        <f>"1552376751128800"</f>
        <v>1552376751128800</v>
      </c>
      <c r="C2094" t="s">
        <v>40</v>
      </c>
      <c r="D2094">
        <v>4.3392039999999996</v>
      </c>
      <c r="E2094">
        <v>0.41112490000000002</v>
      </c>
      <c r="F2094" t="s">
        <v>58</v>
      </c>
      <c r="G2094">
        <v>-512.82529999999997</v>
      </c>
      <c r="H2094">
        <v>0.52819680000000002</v>
      </c>
      <c r="I2094">
        <v>273.62200000000001</v>
      </c>
      <c r="J2094">
        <v>-440.54790000000003</v>
      </c>
      <c r="K2094">
        <v>1.1102650000000001</v>
      </c>
      <c r="L2094">
        <v>283.35750000000002</v>
      </c>
      <c r="M2094">
        <v>-0.99876390000000004</v>
      </c>
      <c r="N2094">
        <v>0</v>
      </c>
      <c r="O2094">
        <v>4.7487460000000002E-2</v>
      </c>
      <c r="P2094">
        <v>-0.99177859999999995</v>
      </c>
      <c r="Q2094">
        <v>7.9760899999999996E-2</v>
      </c>
      <c r="R2094">
        <v>0.10006710000000001</v>
      </c>
      <c r="S2094">
        <v>-3.0684809999999998</v>
      </c>
      <c r="T2094">
        <v>-2.4583939999999999E-2</v>
      </c>
      <c r="U2094">
        <v>-0.41052250000000001</v>
      </c>
      <c r="V2094">
        <v>5.2807369999999999E-2</v>
      </c>
      <c r="W2094">
        <v>9.4394439999999996E-2</v>
      </c>
      <c r="X2094">
        <v>0.99413339999999994</v>
      </c>
      <c r="Y2094">
        <v>-0.17952179999999901</v>
      </c>
      <c r="Z2094">
        <v>-1.09494E-3</v>
      </c>
      <c r="AA2094">
        <v>0.9837534</v>
      </c>
      <c r="AB2094">
        <v>35</v>
      </c>
      <c r="AC2094">
        <v>-72.277399999999901</v>
      </c>
      <c r="AD2094">
        <v>-0.58206819999999904</v>
      </c>
      <c r="AE2094">
        <v>-9.7355</v>
      </c>
      <c r="AF2094">
        <v>-13.156316547767201</v>
      </c>
      <c r="AG2094">
        <v>-0.58206819999999904</v>
      </c>
      <c r="AH2094">
        <v>71.728908425160299</v>
      </c>
      <c r="AI2094">
        <v>90.457307173633595</v>
      </c>
      <c r="AJ2094">
        <v>100.393507472914</v>
      </c>
      <c r="AK2094">
        <v>72.927798351242799</v>
      </c>
      <c r="AL2094">
        <v>84.583533239566705</v>
      </c>
      <c r="AM2094">
        <v>86.959363307420503</v>
      </c>
      <c r="AN2094">
        <v>1.0000000728123899</v>
      </c>
    </row>
    <row r="2095" spans="1:40" x14ac:dyDescent="0.25">
      <c r="A2095" t="str">
        <f>"20190312154551163"</f>
        <v>20190312154551163</v>
      </c>
      <c r="B2095" t="str">
        <f>"1552376751159057"</f>
        <v>1552376751159057</v>
      </c>
      <c r="C2095" t="s">
        <v>40</v>
      </c>
      <c r="D2095">
        <v>4.1625019999999999</v>
      </c>
      <c r="E2095">
        <v>0.4111804</v>
      </c>
      <c r="F2095" t="s">
        <v>58</v>
      </c>
      <c r="G2095">
        <v>-512.82529999999997</v>
      </c>
      <c r="H2095">
        <v>0.55908429999999998</v>
      </c>
      <c r="I2095">
        <v>273.63549999999998</v>
      </c>
      <c r="J2095">
        <v>-440.93060000000003</v>
      </c>
      <c r="K2095">
        <v>1.110274</v>
      </c>
      <c r="L2095">
        <v>283.37540000000001</v>
      </c>
      <c r="M2095">
        <v>-0.998776</v>
      </c>
      <c r="N2095">
        <v>0</v>
      </c>
      <c r="O2095">
        <v>4.723339E-2</v>
      </c>
      <c r="P2095">
        <v>-0.99187950000000003</v>
      </c>
      <c r="Q2095">
        <v>8.0006820000000006E-2</v>
      </c>
      <c r="R2095">
        <v>9.886317E-2</v>
      </c>
      <c r="S2095">
        <v>-3.0683590000000001</v>
      </c>
      <c r="T2095">
        <v>-2.3395539999999999E-2</v>
      </c>
      <c r="U2095">
        <v>-0.41271970000000002</v>
      </c>
      <c r="V2095">
        <v>5.1852219999999997E-2</v>
      </c>
      <c r="W2095">
        <v>9.4637009999999994E-2</v>
      </c>
      <c r="X2095">
        <v>0.9941605</v>
      </c>
      <c r="Y2095">
        <v>-0.1799693</v>
      </c>
      <c r="Z2095">
        <v>-1.0417740000000001E-3</v>
      </c>
      <c r="AA2095">
        <v>0.98367170000000004</v>
      </c>
      <c r="AB2095">
        <v>35</v>
      </c>
      <c r="AC2095">
        <v>-71.894699999999901</v>
      </c>
      <c r="AD2095">
        <v>-0.55118969999999901</v>
      </c>
      <c r="AE2095">
        <v>-9.7399000000000306</v>
      </c>
      <c r="AF2095">
        <v>-13.1244656269013</v>
      </c>
      <c r="AG2095">
        <v>-0.55118969999999901</v>
      </c>
      <c r="AH2095">
        <v>71.350223367129104</v>
      </c>
      <c r="AI2095">
        <v>90.435305658163301</v>
      </c>
      <c r="AJ2095">
        <v>100.42272064656299</v>
      </c>
      <c r="AK2095">
        <v>72.549361007636193</v>
      </c>
      <c r="AL2095">
        <v>84.569571881290798</v>
      </c>
      <c r="AM2095">
        <v>87.014341449575994</v>
      </c>
      <c r="AN2095">
        <v>0.99999995807045805</v>
      </c>
    </row>
    <row r="2096" spans="1:40" x14ac:dyDescent="0.25">
      <c r="A2096" t="str">
        <f>"20190312154551187"</f>
        <v>20190312154551187</v>
      </c>
      <c r="B2096" t="str">
        <f>"1552376751178576"</f>
        <v>1552376751178576</v>
      </c>
      <c r="C2096" t="s">
        <v>40</v>
      </c>
      <c r="D2096">
        <v>4.359146</v>
      </c>
      <c r="E2096">
        <v>0.41130070000000002</v>
      </c>
      <c r="F2096" t="s">
        <v>58</v>
      </c>
      <c r="G2096">
        <v>-512.82529999999997</v>
      </c>
      <c r="H2096">
        <v>0.54963909999999905</v>
      </c>
      <c r="I2096">
        <v>273.62009999999998</v>
      </c>
      <c r="J2096">
        <v>-441.28579999999999</v>
      </c>
      <c r="K2096">
        <v>1.1102719999999999</v>
      </c>
      <c r="L2096">
        <v>283.392</v>
      </c>
      <c r="M2096">
        <v>-0.99878769999999994</v>
      </c>
      <c r="N2096">
        <v>0</v>
      </c>
      <c r="O2096">
        <v>4.6986960000000001E-2</v>
      </c>
      <c r="P2096">
        <v>-0.99196620000000002</v>
      </c>
      <c r="Q2096">
        <v>7.9608280000000003E-2</v>
      </c>
      <c r="R2096">
        <v>9.8315890000000003E-2</v>
      </c>
      <c r="S2096">
        <v>-3.0679630000000002</v>
      </c>
      <c r="T2096">
        <v>-2.3920540000000001E-2</v>
      </c>
      <c r="U2096">
        <v>-0.4162903</v>
      </c>
      <c r="V2096">
        <v>5.1545750000000001E-2</v>
      </c>
      <c r="W2096">
        <v>9.423637E-2</v>
      </c>
      <c r="X2096">
        <v>0.9942145</v>
      </c>
      <c r="Y2096">
        <v>-0.18086730000000001</v>
      </c>
      <c r="Z2096">
        <v>-1.0667770000000001E-3</v>
      </c>
      <c r="AA2096">
        <v>0.98350689999999996</v>
      </c>
      <c r="AB2096">
        <v>35</v>
      </c>
      <c r="AC2096">
        <v>-71.539499999999904</v>
      </c>
      <c r="AD2096">
        <v>-0.56063289999999999</v>
      </c>
      <c r="AE2096">
        <v>-9.7719000000000094</v>
      </c>
      <c r="AF2096">
        <v>-13.122099156524699</v>
      </c>
      <c r="AG2096">
        <v>-0.56063289999999999</v>
      </c>
      <c r="AH2096">
        <v>70.996986146826302</v>
      </c>
      <c r="AI2096">
        <v>90.444896055586199</v>
      </c>
      <c r="AJ2096">
        <v>100.471586247941</v>
      </c>
      <c r="AK2096">
        <v>72.201633204899693</v>
      </c>
      <c r="AL2096">
        <v>84.592629949880404</v>
      </c>
      <c r="AM2096">
        <v>87.032117310744397</v>
      </c>
      <c r="AN2096">
        <v>0.99999996489204401</v>
      </c>
    </row>
    <row r="2097" spans="1:40" x14ac:dyDescent="0.25">
      <c r="A2097" t="str">
        <f>"20190312154551207"</f>
        <v>20190312154551207</v>
      </c>
      <c r="B2097" t="str">
        <f>"1552376751199073"</f>
        <v>1552376751199073</v>
      </c>
      <c r="C2097" t="s">
        <v>40</v>
      </c>
      <c r="D2097">
        <v>4.1829419999999997</v>
      </c>
      <c r="E2097">
        <v>0.41127330000000001</v>
      </c>
      <c r="F2097" t="s">
        <v>58</v>
      </c>
      <c r="G2097">
        <v>-512.82529999999997</v>
      </c>
      <c r="H2097">
        <v>0.53314340000000005</v>
      </c>
      <c r="I2097">
        <v>273.65530000000001</v>
      </c>
      <c r="J2097">
        <v>-441.63260000000002</v>
      </c>
      <c r="K2097">
        <v>1.110276</v>
      </c>
      <c r="L2097">
        <v>283.40800000000002</v>
      </c>
      <c r="M2097">
        <v>-0.99879960000000001</v>
      </c>
      <c r="N2097">
        <v>0</v>
      </c>
      <c r="O2097">
        <v>4.6733200000000003E-2</v>
      </c>
      <c r="P2097">
        <v>-0.99202349999999995</v>
      </c>
      <c r="Q2097">
        <v>7.8983609999999996E-2</v>
      </c>
      <c r="R2097">
        <v>9.8239389999999996E-2</v>
      </c>
      <c r="S2097">
        <v>-3.0676570000000001</v>
      </c>
      <c r="T2097">
        <v>-2.4744149999999999E-2</v>
      </c>
      <c r="U2097">
        <v>-0.41751100000000002</v>
      </c>
      <c r="V2097">
        <v>5.1717640000000002E-2</v>
      </c>
      <c r="W2097">
        <v>9.3609709999999999E-2</v>
      </c>
      <c r="X2097">
        <v>0.99426479999999995</v>
      </c>
      <c r="Y2097">
        <v>-0.18101419999999999</v>
      </c>
      <c r="Z2097">
        <v>-1.1021379999999999E-3</v>
      </c>
      <c r="AA2097">
        <v>0.98347989999999996</v>
      </c>
      <c r="AB2097">
        <v>35</v>
      </c>
      <c r="AC2097">
        <v>-71.192699999999903</v>
      </c>
      <c r="AD2097">
        <v>-0.5771326</v>
      </c>
      <c r="AE2097">
        <v>-9.7527000000000008</v>
      </c>
      <c r="AF2097">
        <v>-13.0686199729672</v>
      </c>
      <c r="AG2097">
        <v>-0.5771326</v>
      </c>
      <c r="AH2097">
        <v>70.6545169324569</v>
      </c>
      <c r="AI2097">
        <v>90.460197402766198</v>
      </c>
      <c r="AJ2097">
        <v>100.479284825267</v>
      </c>
      <c r="AK2097">
        <v>71.855289805237405</v>
      </c>
      <c r="AL2097">
        <v>84.628694496727405</v>
      </c>
      <c r="AM2097">
        <v>87.022388446845</v>
      </c>
      <c r="AN2097">
        <v>0.99999999230624603</v>
      </c>
    </row>
    <row r="2098" spans="1:40" x14ac:dyDescent="0.25">
      <c r="A2098" t="str">
        <f>"20190312154551227"</f>
        <v>20190312154551227</v>
      </c>
      <c r="B2098" t="str">
        <f>"1552376751218592"</f>
        <v>1552376751218592</v>
      </c>
      <c r="C2098" t="s">
        <v>40</v>
      </c>
      <c r="D2098">
        <v>4.1792239999999996</v>
      </c>
      <c r="E2098">
        <v>0.4112615</v>
      </c>
      <c r="F2098" t="s">
        <v>58</v>
      </c>
      <c r="G2098">
        <v>-512.82529999999997</v>
      </c>
      <c r="H2098">
        <v>0.46099040000000002</v>
      </c>
      <c r="I2098">
        <v>273.70679999999999</v>
      </c>
      <c r="J2098">
        <v>-441.93040000000002</v>
      </c>
      <c r="K2098">
        <v>1.1102810000000001</v>
      </c>
      <c r="L2098">
        <v>283.42180000000002</v>
      </c>
      <c r="M2098">
        <v>-0.99881039999999999</v>
      </c>
      <c r="N2098">
        <v>0</v>
      </c>
      <c r="O2098">
        <v>4.6505079999999997E-2</v>
      </c>
      <c r="P2098">
        <v>-0.99205889999999997</v>
      </c>
      <c r="Q2098">
        <v>7.7915479999999995E-2</v>
      </c>
      <c r="R2098">
        <v>9.8733710000000002E-2</v>
      </c>
      <c r="S2098">
        <v>-3.0677490000000001</v>
      </c>
      <c r="T2098">
        <v>-2.7974720000000002E-2</v>
      </c>
      <c r="U2098">
        <v>-0.41802980000000001</v>
      </c>
      <c r="V2098">
        <v>5.243544E-2</v>
      </c>
      <c r="W2098">
        <v>9.2541010000000007E-2</v>
      </c>
      <c r="X2098">
        <v>0.99432719999999997</v>
      </c>
      <c r="Y2098">
        <v>-0.180947</v>
      </c>
      <c r="Z2098">
        <v>-1.2435980000000001E-3</v>
      </c>
      <c r="AA2098">
        <v>0.98349209999999998</v>
      </c>
      <c r="AB2098">
        <v>35</v>
      </c>
      <c r="AC2098">
        <v>-70.894899999999893</v>
      </c>
      <c r="AD2098">
        <v>-0.64929059999999905</v>
      </c>
      <c r="AE2098">
        <v>-9.7150000000000301</v>
      </c>
      <c r="AF2098">
        <v>-13.0007438308605</v>
      </c>
      <c r="AG2098">
        <v>-0.64929059999999905</v>
      </c>
      <c r="AH2098">
        <v>70.360540634680504</v>
      </c>
      <c r="AI2098">
        <v>90.519913089168895</v>
      </c>
      <c r="AJ2098">
        <v>100.468654224517</v>
      </c>
      <c r="AK2098">
        <v>71.554500884594503</v>
      </c>
      <c r="AL2098">
        <v>84.6901932229176</v>
      </c>
      <c r="AM2098">
        <v>86.981326573369898</v>
      </c>
      <c r="AN2098">
        <v>0.999999947279825</v>
      </c>
    </row>
    <row r="2099" spans="1:40" x14ac:dyDescent="0.25">
      <c r="A2099" t="str">
        <f>"20190312154551249"</f>
        <v>20190312154551249</v>
      </c>
      <c r="B2099" t="str">
        <f>"1552376751239089"</f>
        <v>1552376751239089</v>
      </c>
      <c r="C2099" t="s">
        <v>40</v>
      </c>
      <c r="D2099">
        <v>4.1994360000000004</v>
      </c>
      <c r="E2099">
        <v>0.41130169999999999</v>
      </c>
      <c r="F2099" t="s">
        <v>58</v>
      </c>
      <c r="G2099">
        <v>-512.82529999999997</v>
      </c>
      <c r="H2099">
        <v>0.34774179999999999</v>
      </c>
      <c r="I2099">
        <v>273.79809999999998</v>
      </c>
      <c r="J2099">
        <v>-442.28019999999998</v>
      </c>
      <c r="K2099">
        <v>1.1102970000000001</v>
      </c>
      <c r="L2099">
        <v>283.43770000000001</v>
      </c>
      <c r="M2099">
        <v>-0.99882380000000004</v>
      </c>
      <c r="N2099">
        <v>0</v>
      </c>
      <c r="O2099">
        <v>4.6219429999999999E-2</v>
      </c>
      <c r="P2099">
        <v>-0.99203980000000003</v>
      </c>
      <c r="Q2099">
        <v>7.7331940000000002E-2</v>
      </c>
      <c r="R2099">
        <v>9.9382880000000007E-2</v>
      </c>
      <c r="S2099">
        <v>-3.0680540000000001</v>
      </c>
      <c r="T2099">
        <v>-3.299618E-2</v>
      </c>
      <c r="U2099">
        <v>-0.41647339999999999</v>
      </c>
      <c r="V2099">
        <v>5.3366770000000001E-2</v>
      </c>
      <c r="W2099">
        <v>9.1956049999999998E-2</v>
      </c>
      <c r="X2099">
        <v>0.99433199999999999</v>
      </c>
      <c r="Y2099">
        <v>-0.18015909999999999</v>
      </c>
      <c r="Z2099">
        <v>-1.4594370000000001E-3</v>
      </c>
      <c r="AA2099">
        <v>0.98363639999999997</v>
      </c>
      <c r="AB2099">
        <v>35</v>
      </c>
      <c r="AC2099">
        <v>-70.545099999999906</v>
      </c>
      <c r="AD2099">
        <v>-0.76255519999999899</v>
      </c>
      <c r="AE2099">
        <v>-9.6396000000000299</v>
      </c>
      <c r="AF2099">
        <v>-12.8887221976295</v>
      </c>
      <c r="AG2099">
        <v>-0.76255519999999899</v>
      </c>
      <c r="AH2099">
        <v>70.016077307155996</v>
      </c>
      <c r="AI2099">
        <v>90.613681661082197</v>
      </c>
      <c r="AJ2099">
        <v>100.43037078961299</v>
      </c>
      <c r="AK2099">
        <v>71.196571067730204</v>
      </c>
      <c r="AL2099">
        <v>84.723852907498099</v>
      </c>
      <c r="AM2099">
        <v>86.927827140919902</v>
      </c>
      <c r="AN2099">
        <v>1.0000000267479101</v>
      </c>
    </row>
    <row r="2100" spans="1:40" x14ac:dyDescent="0.25">
      <c r="A2100" t="str">
        <f>"20190312154551271"</f>
        <v>20190312154551271</v>
      </c>
      <c r="B2100" t="str">
        <f>"1552376751258609"</f>
        <v>1552376751258609</v>
      </c>
      <c r="C2100" t="s">
        <v>40</v>
      </c>
      <c r="D2100">
        <v>4.25936</v>
      </c>
      <c r="E2100">
        <v>0.41126010000000002</v>
      </c>
      <c r="F2100" t="s">
        <v>58</v>
      </c>
      <c r="G2100">
        <v>-512.82529999999997</v>
      </c>
      <c r="H2100">
        <v>0.2852961</v>
      </c>
      <c r="I2100">
        <v>273.91379999999998</v>
      </c>
      <c r="J2100">
        <v>-442.62119999999999</v>
      </c>
      <c r="K2100">
        <v>1.1103080000000001</v>
      </c>
      <c r="L2100">
        <v>283.45319999999998</v>
      </c>
      <c r="M2100">
        <v>-0.99883750000000004</v>
      </c>
      <c r="N2100">
        <v>0</v>
      </c>
      <c r="O2100">
        <v>4.5919790000000002E-2</v>
      </c>
      <c r="P2100">
        <v>-0.99204840000000005</v>
      </c>
      <c r="Q2100">
        <v>7.6709100000000002E-2</v>
      </c>
      <c r="R2100">
        <v>9.9779179999999995E-2</v>
      </c>
      <c r="S2100">
        <v>-3.06839</v>
      </c>
      <c r="T2100">
        <v>-3.5880210000000003E-2</v>
      </c>
      <c r="U2100">
        <v>-0.41424559999999999</v>
      </c>
      <c r="V2100">
        <v>5.4057910000000001E-2</v>
      </c>
      <c r="W2100">
        <v>9.1332140000000006E-2</v>
      </c>
      <c r="X2100">
        <v>0.99435220000000002</v>
      </c>
      <c r="Y2100">
        <v>-0.1791461</v>
      </c>
      <c r="Z2100">
        <v>-1.5775069999999999E-3</v>
      </c>
      <c r="AA2100">
        <v>0.98382119999999995</v>
      </c>
      <c r="AB2100">
        <v>35</v>
      </c>
      <c r="AC2100">
        <v>-70.204099999999897</v>
      </c>
      <c r="AD2100">
        <v>-0.82501190000000002</v>
      </c>
      <c r="AE2100">
        <v>-9.5394000000000005</v>
      </c>
      <c r="AF2100">
        <v>-12.7517100889371</v>
      </c>
      <c r="AG2100">
        <v>-0.82501190000000002</v>
      </c>
      <c r="AH2100">
        <v>69.682484790206701</v>
      </c>
      <c r="AI2100">
        <v>90.667247349386599</v>
      </c>
      <c r="AJ2100">
        <v>100.37023229184901</v>
      </c>
      <c r="AK2100">
        <v>70.844445381164704</v>
      </c>
      <c r="AL2100">
        <v>84.759751545778101</v>
      </c>
      <c r="AM2100">
        <v>86.888180973030302</v>
      </c>
      <c r="AN2100">
        <v>1.0000000575376899</v>
      </c>
    </row>
    <row r="2101" spans="1:40" x14ac:dyDescent="0.25">
      <c r="A2101" t="str">
        <f>"20190312154551294"</f>
        <v>20190312154551294</v>
      </c>
      <c r="B2101" t="str">
        <f>"1552376751288864"</f>
        <v>1552376751288864</v>
      </c>
      <c r="C2101" t="s">
        <v>40</v>
      </c>
      <c r="D2101">
        <v>4.2403190000000004</v>
      </c>
      <c r="E2101">
        <v>0.41133209999999998</v>
      </c>
      <c r="F2101" t="s">
        <v>58</v>
      </c>
      <c r="G2101">
        <v>-512.82529999999997</v>
      </c>
      <c r="H2101">
        <v>0.2283627</v>
      </c>
      <c r="I2101">
        <v>273.99279999999999</v>
      </c>
      <c r="J2101">
        <v>-442.97239999999999</v>
      </c>
      <c r="K2101">
        <v>1.1103289999999999</v>
      </c>
      <c r="L2101">
        <v>283.46910000000003</v>
      </c>
      <c r="M2101">
        <v>-0.99885299999999999</v>
      </c>
      <c r="N2101">
        <v>0</v>
      </c>
      <c r="O2101">
        <v>4.5584680000000002E-2</v>
      </c>
      <c r="P2101">
        <v>-0.99204210000000004</v>
      </c>
      <c r="Q2101">
        <v>7.6203320000000005E-2</v>
      </c>
      <c r="R2101">
        <v>0.10022929999999999</v>
      </c>
      <c r="S2101">
        <v>-3.0686040000000001</v>
      </c>
      <c r="T2101">
        <v>-3.8546089999999998E-2</v>
      </c>
      <c r="U2101">
        <v>-0.41351320000000003</v>
      </c>
      <c r="V2101">
        <v>5.4837749999999998E-2</v>
      </c>
      <c r="W2101">
        <v>9.0825920000000004E-2</v>
      </c>
      <c r="X2101">
        <v>0.99435580000000001</v>
      </c>
      <c r="Y2101">
        <v>-0.17857400000000001</v>
      </c>
      <c r="Z2101">
        <v>-1.6868439999999901E-3</v>
      </c>
      <c r="AA2101">
        <v>0.98392500000000005</v>
      </c>
      <c r="AB2101">
        <v>35</v>
      </c>
      <c r="AC2101">
        <v>-69.852899999999906</v>
      </c>
      <c r="AD2101">
        <v>-0.88196629999999998</v>
      </c>
      <c r="AE2101">
        <v>-9.4763000000000304</v>
      </c>
      <c r="AF2101">
        <v>-12.6490310388861</v>
      </c>
      <c r="AG2101">
        <v>-0.88196629999999998</v>
      </c>
      <c r="AH2101">
        <v>69.3373964753834</v>
      </c>
      <c r="AI2101">
        <v>90.716927892157102</v>
      </c>
      <c r="AJ2101">
        <v>100.338623557262</v>
      </c>
      <c r="AK2101">
        <v>70.487235729325803</v>
      </c>
      <c r="AL2101">
        <v>84.788876524830002</v>
      </c>
      <c r="AM2101">
        <v>86.843391382645507</v>
      </c>
      <c r="AN2101">
        <v>0.99999999178127397</v>
      </c>
    </row>
    <row r="2102" spans="1:40" x14ac:dyDescent="0.25">
      <c r="A2102" t="str">
        <f>"20190312154551317"</f>
        <v>20190312154551317</v>
      </c>
      <c r="B2102" t="str">
        <f>"1552376751308384"</f>
        <v>1552376751308384</v>
      </c>
      <c r="C2102" t="s">
        <v>40</v>
      </c>
      <c r="D2102">
        <v>4.2832679999999996</v>
      </c>
      <c r="E2102">
        <v>0.4113484</v>
      </c>
      <c r="F2102" t="s">
        <v>58</v>
      </c>
      <c r="G2102">
        <v>-512.8252</v>
      </c>
      <c r="H2102">
        <v>0.180261</v>
      </c>
      <c r="I2102">
        <v>274.09690000000001</v>
      </c>
      <c r="J2102">
        <v>-443.31490000000002</v>
      </c>
      <c r="K2102">
        <v>1.1103529999999999</v>
      </c>
      <c r="L2102">
        <v>283.48430000000002</v>
      </c>
      <c r="M2102">
        <v>-0.99886920000000001</v>
      </c>
      <c r="N2102">
        <v>0</v>
      </c>
      <c r="O2102">
        <v>4.522822E-2</v>
      </c>
      <c r="P2102">
        <v>-0.99207319999999999</v>
      </c>
      <c r="Q2102">
        <v>7.5546589999999997E-2</v>
      </c>
      <c r="R2102">
        <v>0.1004177</v>
      </c>
      <c r="S2102">
        <v>-3.0688170000000001</v>
      </c>
      <c r="T2102">
        <v>-4.0856719999999999E-2</v>
      </c>
      <c r="U2102">
        <v>-0.41174319999999998</v>
      </c>
      <c r="V2102">
        <v>5.5375309999999997E-2</v>
      </c>
      <c r="W2102">
        <v>9.0169159999999998E-2</v>
      </c>
      <c r="X2102">
        <v>0.99438579999999999</v>
      </c>
      <c r="Y2102">
        <v>-0.17765429999999999</v>
      </c>
      <c r="Z2102">
        <v>-1.7770730000000001E-3</v>
      </c>
      <c r="AA2102">
        <v>0.9840913</v>
      </c>
      <c r="AB2102">
        <v>35</v>
      </c>
      <c r="AC2102">
        <v>-69.510299999999901</v>
      </c>
      <c r="AD2102">
        <v>-0.93009200000000003</v>
      </c>
      <c r="AE2102">
        <v>-9.3874000000000102</v>
      </c>
      <c r="AF2102">
        <v>-12.5197549530663</v>
      </c>
      <c r="AG2102">
        <v>-0.93009200000000003</v>
      </c>
      <c r="AH2102">
        <v>69.002399485301495</v>
      </c>
      <c r="AI2102">
        <v>90.759845836867896</v>
      </c>
      <c r="AJ2102">
        <v>100.283837750106</v>
      </c>
      <c r="AK2102">
        <v>70.135158586421099</v>
      </c>
      <c r="AL2102">
        <v>84.826661243112198</v>
      </c>
      <c r="AM2102">
        <v>86.812607444255207</v>
      </c>
      <c r="AN2102">
        <v>1.00000001080717</v>
      </c>
    </row>
    <row r="2103" spans="1:40" x14ac:dyDescent="0.25">
      <c r="A2103" t="str">
        <f>"20190312154551339"</f>
        <v>20190312154551339</v>
      </c>
      <c r="B2103" t="str">
        <f>"1552376751328881"</f>
        <v>1552376751328881</v>
      </c>
      <c r="C2103" t="s">
        <v>40</v>
      </c>
      <c r="D2103">
        <v>4.3222829999999997</v>
      </c>
      <c r="E2103">
        <v>0.41127920000000001</v>
      </c>
      <c r="F2103" t="s">
        <v>58</v>
      </c>
      <c r="G2103">
        <v>-512.8252</v>
      </c>
      <c r="H2103">
        <v>0.1224359</v>
      </c>
      <c r="I2103">
        <v>274.17219999999998</v>
      </c>
      <c r="J2103">
        <v>-443.67410000000001</v>
      </c>
      <c r="K2103">
        <v>1.1103780000000001</v>
      </c>
      <c r="L2103">
        <v>283.50020000000001</v>
      </c>
      <c r="M2103">
        <v>-0.99888770000000005</v>
      </c>
      <c r="N2103">
        <v>0</v>
      </c>
      <c r="O2103">
        <v>4.4819049999999999E-2</v>
      </c>
      <c r="P2103">
        <v>-0.9921778</v>
      </c>
      <c r="Q2103">
        <v>7.4991290000000002E-2</v>
      </c>
      <c r="R2103">
        <v>9.9796469999999998E-2</v>
      </c>
      <c r="S2103">
        <v>-3.0689090000000001</v>
      </c>
      <c r="T2103">
        <v>-4.3613310000000002E-2</v>
      </c>
      <c r="U2103">
        <v>-0.41113280000000002</v>
      </c>
      <c r="V2103">
        <v>5.5152130000000001E-2</v>
      </c>
      <c r="W2103">
        <v>8.9614490000000005E-2</v>
      </c>
      <c r="X2103">
        <v>0.99444829999999995</v>
      </c>
      <c r="Y2103">
        <v>-0.1770523</v>
      </c>
      <c r="Z2103">
        <v>-1.8868769999999999E-3</v>
      </c>
      <c r="AA2103">
        <v>0.98419959999999995</v>
      </c>
      <c r="AB2103">
        <v>35</v>
      </c>
      <c r="AC2103">
        <v>-69.1510999999999</v>
      </c>
      <c r="AD2103">
        <v>-0.98794210000000005</v>
      </c>
      <c r="AE2103">
        <v>-9.3280000000000296</v>
      </c>
      <c r="AF2103">
        <v>-12.4157548251361</v>
      </c>
      <c r="AG2103">
        <v>-0.98794210000000005</v>
      </c>
      <c r="AH2103">
        <v>68.649717952527894</v>
      </c>
      <c r="AI2103">
        <v>90.811329625770497</v>
      </c>
      <c r="AJ2103">
        <v>100.251506101849</v>
      </c>
      <c r="AK2103">
        <v>69.7704147359931</v>
      </c>
      <c r="AL2103">
        <v>84.858570455816505</v>
      </c>
      <c r="AM2103">
        <v>86.825626426058903</v>
      </c>
      <c r="AN2103">
        <v>0.99999996781719203</v>
      </c>
    </row>
    <row r="2104" spans="1:40" x14ac:dyDescent="0.25">
      <c r="A2104" t="str">
        <f>"20190312154551363"</f>
        <v>20190312154551363</v>
      </c>
      <c r="B2104" t="str">
        <f>"1552376751359137"</f>
        <v>1552376751359137</v>
      </c>
      <c r="C2104" t="s">
        <v>40</v>
      </c>
      <c r="D2104">
        <v>4.2915179999999999</v>
      </c>
      <c r="E2104">
        <v>0.4111629</v>
      </c>
      <c r="F2104" t="s">
        <v>58</v>
      </c>
      <c r="G2104">
        <v>-512.8252</v>
      </c>
      <c r="H2104">
        <v>8.3432790000000007E-2</v>
      </c>
      <c r="I2104">
        <v>274.17899999999997</v>
      </c>
      <c r="J2104">
        <v>-444.03699999999998</v>
      </c>
      <c r="K2104">
        <v>1.1104099999999999</v>
      </c>
      <c r="L2104">
        <v>283.51600000000002</v>
      </c>
      <c r="M2104">
        <v>-0.99890800000000002</v>
      </c>
      <c r="N2104">
        <v>0</v>
      </c>
      <c r="O2104">
        <v>4.4369369999999998E-2</v>
      </c>
      <c r="P2104">
        <v>-0.99229400000000001</v>
      </c>
      <c r="Q2104">
        <v>7.4582220000000005E-2</v>
      </c>
      <c r="R2104">
        <v>9.8947010000000002E-2</v>
      </c>
      <c r="S2104">
        <v>-3.0686339999999999</v>
      </c>
      <c r="T2104">
        <v>-4.5567870000000003E-2</v>
      </c>
      <c r="U2104">
        <v>-0.41363529999999998</v>
      </c>
      <c r="V2104">
        <v>5.4740619999999997E-2</v>
      </c>
      <c r="W2104">
        <v>8.920604E-2</v>
      </c>
      <c r="X2104">
        <v>0.99450780000000005</v>
      </c>
      <c r="Y2104">
        <v>-0.17740719999999999</v>
      </c>
      <c r="Z2104">
        <v>-1.9674699999999998E-3</v>
      </c>
      <c r="AA2104">
        <v>0.9841356</v>
      </c>
      <c r="AB2104">
        <v>35</v>
      </c>
      <c r="AC2104">
        <v>-68.788200000000003</v>
      </c>
      <c r="AD2104">
        <v>-1.0269772100000001</v>
      </c>
      <c r="AE2104">
        <v>-9.3369999999999305</v>
      </c>
      <c r="AF2104">
        <v>-12.377509945354699</v>
      </c>
      <c r="AG2104">
        <v>-1.0269772100000001</v>
      </c>
      <c r="AH2104">
        <v>68.291175152372205</v>
      </c>
      <c r="AI2104">
        <v>90.847751368183197</v>
      </c>
      <c r="AJ2104">
        <v>100.27311493256499</v>
      </c>
      <c r="AK2104">
        <v>69.411397034847198</v>
      </c>
      <c r="AL2104">
        <v>84.8820672339872</v>
      </c>
      <c r="AM2104">
        <v>86.849451801515599</v>
      </c>
      <c r="AN2104">
        <v>1.00000000865565</v>
      </c>
    </row>
    <row r="2105" spans="1:40" x14ac:dyDescent="0.25">
      <c r="A2105" t="str">
        <f>"20190312154551386"</f>
        <v>20190312154551386</v>
      </c>
      <c r="B2105" t="str">
        <f>"1552376751378657"</f>
        <v>1552376751378657</v>
      </c>
      <c r="C2105" t="s">
        <v>40</v>
      </c>
      <c r="D2105">
        <v>4.3412129999999998</v>
      </c>
      <c r="E2105">
        <v>0.41112919999999997</v>
      </c>
      <c r="F2105" t="s">
        <v>58</v>
      </c>
      <c r="G2105">
        <v>-512.8252</v>
      </c>
      <c r="H2105">
        <v>3.8571540000000001E-2</v>
      </c>
      <c r="I2105">
        <v>274.16129999999998</v>
      </c>
      <c r="J2105">
        <v>-444.3888</v>
      </c>
      <c r="K2105">
        <v>1.110436</v>
      </c>
      <c r="L2105">
        <v>283.53120000000001</v>
      </c>
      <c r="M2105">
        <v>-0.99892890000000001</v>
      </c>
      <c r="N2105">
        <v>0</v>
      </c>
      <c r="O2105">
        <v>4.3894349999999999E-2</v>
      </c>
      <c r="P2105">
        <v>-0.99246029999999996</v>
      </c>
      <c r="Q2105">
        <v>7.4431310000000001E-2</v>
      </c>
      <c r="R2105">
        <v>9.7380530000000007E-2</v>
      </c>
      <c r="S2105">
        <v>-3.0685419999999999</v>
      </c>
      <c r="T2105">
        <v>-4.7809480000000001E-2</v>
      </c>
      <c r="U2105">
        <v>-0.41729739999999999</v>
      </c>
      <c r="V2105">
        <v>5.363565E-2</v>
      </c>
      <c r="W2105">
        <v>8.9055019999999999E-2</v>
      </c>
      <c r="X2105">
        <v>0.99458150000000001</v>
      </c>
      <c r="Y2105">
        <v>-0.178094</v>
      </c>
      <c r="Z2105">
        <v>-2.0620980000000001E-3</v>
      </c>
      <c r="AA2105">
        <v>0.98401130000000003</v>
      </c>
      <c r="AB2105">
        <v>35</v>
      </c>
      <c r="AC2105">
        <v>-68.436399999999907</v>
      </c>
      <c r="AD2105">
        <v>-1.07186446</v>
      </c>
      <c r="AE2105">
        <v>-9.3699000000000296</v>
      </c>
      <c r="AF2105">
        <v>-12.3621837330088</v>
      </c>
      <c r="AG2105">
        <v>-1.07186446</v>
      </c>
      <c r="AH2105">
        <v>67.942735646589696</v>
      </c>
      <c r="AI2105">
        <v>90.889226095884595</v>
      </c>
      <c r="AJ2105">
        <v>100.31215967479601</v>
      </c>
      <c r="AK2105">
        <v>69.066546223274003</v>
      </c>
      <c r="AL2105">
        <v>84.890754419888694</v>
      </c>
      <c r="AM2105">
        <v>86.913151420881405</v>
      </c>
      <c r="AN2105">
        <v>0.99999996984018502</v>
      </c>
    </row>
    <row r="2106" spans="1:40" x14ac:dyDescent="0.25">
      <c r="A2106" t="str">
        <f>"20190312154551409"</f>
        <v>20190312154551409</v>
      </c>
      <c r="B2106" t="str">
        <f>"1552376751399153"</f>
        <v>1552376751399153</v>
      </c>
      <c r="C2106" t="s">
        <v>40</v>
      </c>
      <c r="D2106">
        <v>4.337021</v>
      </c>
      <c r="E2106">
        <v>0.40722849999999999</v>
      </c>
      <c r="F2106" t="s">
        <v>58</v>
      </c>
      <c r="G2106">
        <v>-512.82510000000002</v>
      </c>
      <c r="H2106">
        <v>1.8822789999999999E-2</v>
      </c>
      <c r="I2106">
        <v>274.10399999999998</v>
      </c>
      <c r="J2106">
        <v>-444.75540000000001</v>
      </c>
      <c r="K2106">
        <v>1.1104639999999999</v>
      </c>
      <c r="L2106">
        <v>283.54669999999999</v>
      </c>
      <c r="M2106">
        <v>-0.99895199999999995</v>
      </c>
      <c r="N2106">
        <v>0</v>
      </c>
      <c r="O2106">
        <v>4.336363E-2</v>
      </c>
      <c r="P2106">
        <v>-0.99261829999999995</v>
      </c>
      <c r="Q2106">
        <v>7.4397459999999999E-2</v>
      </c>
      <c r="R2106">
        <v>9.578151E-2</v>
      </c>
      <c r="S2106">
        <v>-3.0679319999999999</v>
      </c>
      <c r="T2106">
        <v>-4.893219E-2</v>
      </c>
      <c r="U2106">
        <v>-0.42260740000000002</v>
      </c>
      <c r="V2106">
        <v>5.2554129999999998E-2</v>
      </c>
      <c r="W2106">
        <v>8.9020820000000001E-2</v>
      </c>
      <c r="X2106">
        <v>0.99464229999999998</v>
      </c>
      <c r="Y2106">
        <v>-0.1792677</v>
      </c>
      <c r="Z2106">
        <v>-2.111576E-3</v>
      </c>
      <c r="AA2106">
        <v>0.98379810000000001</v>
      </c>
      <c r="AB2106">
        <v>35</v>
      </c>
      <c r="AC2106">
        <v>-68.069699999999997</v>
      </c>
      <c r="AD2106">
        <v>-1.0916412099999999</v>
      </c>
      <c r="AE2106">
        <v>-9.4426999999999399</v>
      </c>
      <c r="AF2106">
        <v>-12.382757196280499</v>
      </c>
      <c r="AG2106">
        <v>-1.0916412099999999</v>
      </c>
      <c r="AH2106">
        <v>67.579090748049396</v>
      </c>
      <c r="AI2106">
        <v>90.910296276464905</v>
      </c>
      <c r="AJ2106">
        <v>100.383326869453</v>
      </c>
      <c r="AK2106">
        <v>68.712865335732502</v>
      </c>
      <c r="AL2106">
        <v>84.892721770478403</v>
      </c>
      <c r="AM2106">
        <v>86.975463037650002</v>
      </c>
      <c r="AN2106">
        <v>0.99999997396140905</v>
      </c>
    </row>
    <row r="2107" spans="1:40" x14ac:dyDescent="0.25">
      <c r="A2107" t="str">
        <f>"20190312154551428"</f>
        <v>20190312154551428</v>
      </c>
      <c r="B2107" t="str">
        <f>"1552376751418673"</f>
        <v>1552376751418673</v>
      </c>
      <c r="C2107" t="s">
        <v>40</v>
      </c>
      <c r="D2107">
        <v>4.3550550000000001</v>
      </c>
      <c r="E2107">
        <v>0.40744900000000001</v>
      </c>
      <c r="F2107" t="s">
        <v>53</v>
      </c>
      <c r="G2107">
        <v>-470.99</v>
      </c>
      <c r="H2107">
        <v>2.5209450000000001E-2</v>
      </c>
      <c r="I2107">
        <v>279.61630000000002</v>
      </c>
      <c r="J2107">
        <v>-445.04140000000001</v>
      </c>
      <c r="K2107">
        <v>1.1104799999999999</v>
      </c>
      <c r="L2107">
        <v>283.55869999999999</v>
      </c>
      <c r="M2107">
        <v>-0.99897089999999999</v>
      </c>
      <c r="N2107">
        <v>0</v>
      </c>
      <c r="O2107">
        <v>4.2930929999999999E-2</v>
      </c>
      <c r="P2107">
        <v>-0.99274490000000004</v>
      </c>
      <c r="Q2107">
        <v>7.4724899999999997E-2</v>
      </c>
      <c r="R2107">
        <v>9.4203729999999999E-2</v>
      </c>
      <c r="S2107">
        <v>-3.0762939999999999</v>
      </c>
      <c r="T2107">
        <v>-0.1272578</v>
      </c>
      <c r="U2107">
        <v>-0.46087650000000002</v>
      </c>
      <c r="V2107">
        <v>5.1399010000000002E-2</v>
      </c>
      <c r="W2107">
        <v>8.9347090000000004E-2</v>
      </c>
      <c r="X2107">
        <v>0.99467340000000004</v>
      </c>
      <c r="Y2107">
        <v>-0.19029160000000001</v>
      </c>
      <c r="Z2107">
        <v>-5.6789659999999997E-3</v>
      </c>
      <c r="AA2107">
        <v>0.98171120000000001</v>
      </c>
      <c r="AB2107">
        <v>35</v>
      </c>
      <c r="AC2107">
        <v>-25.948599999999999</v>
      </c>
      <c r="AD2107">
        <v>-1.0852705499999999</v>
      </c>
      <c r="AE2107">
        <v>-3.9423999999999602</v>
      </c>
      <c r="AF2107">
        <v>-5.0442567754768</v>
      </c>
      <c r="AG2107">
        <v>-1.0852705499999999</v>
      </c>
      <c r="AH2107">
        <v>25.7114417445725</v>
      </c>
      <c r="AI2107">
        <v>92.371837890433895</v>
      </c>
      <c r="AJ2107">
        <v>101.09972631365601</v>
      </c>
      <c r="AK2107">
        <v>26.224045743709802</v>
      </c>
      <c r="AL2107">
        <v>84.873953048581498</v>
      </c>
      <c r="AM2107">
        <v>87.0419141511898</v>
      </c>
      <c r="AN2107">
        <v>0.99999996669400304</v>
      </c>
    </row>
    <row r="2108" spans="1:40" x14ac:dyDescent="0.25">
      <c r="A2108" t="str">
        <f>"20190312154551450"</f>
        <v>20190312154551450</v>
      </c>
      <c r="B2108" t="str">
        <f>"1552376751439169"</f>
        <v>1552376751439169</v>
      </c>
      <c r="C2108" t="s">
        <v>40</v>
      </c>
      <c r="D2108">
        <v>4.3567689999999999</v>
      </c>
      <c r="E2108">
        <v>0.40743879999999999</v>
      </c>
      <c r="F2108" t="s">
        <v>53</v>
      </c>
      <c r="G2108">
        <v>-471.20929999999998</v>
      </c>
      <c r="H2108">
        <v>5.7116739999999999E-2</v>
      </c>
      <c r="I2108">
        <v>279.60919999999999</v>
      </c>
      <c r="J2108">
        <v>-445.3879</v>
      </c>
      <c r="K2108">
        <v>1.1104989999999999</v>
      </c>
      <c r="L2108">
        <v>283.57310000000001</v>
      </c>
      <c r="M2108">
        <v>-0.99899420000000005</v>
      </c>
      <c r="N2108">
        <v>0</v>
      </c>
      <c r="O2108">
        <v>4.2386460000000001E-2</v>
      </c>
      <c r="P2108">
        <v>-0.99285109999999999</v>
      </c>
      <c r="Q2108">
        <v>7.4544659999999999E-2</v>
      </c>
      <c r="R2108">
        <v>9.3218410000000002E-2</v>
      </c>
      <c r="S2108">
        <v>-3.075256</v>
      </c>
      <c r="T2108">
        <v>-0.1237915</v>
      </c>
      <c r="U2108">
        <v>-0.46414179999999999</v>
      </c>
      <c r="V2108">
        <v>5.0948380000000001E-2</v>
      </c>
      <c r="W2108">
        <v>8.9165670000000002E-2</v>
      </c>
      <c r="X2108">
        <v>0.99471290000000001</v>
      </c>
      <c r="Y2108">
        <v>-0.1908348</v>
      </c>
      <c r="Z2108">
        <v>-5.5148810000000001E-3</v>
      </c>
      <c r="AA2108">
        <v>0.98160670000000005</v>
      </c>
      <c r="AB2108">
        <v>34</v>
      </c>
      <c r="AC2108">
        <v>-25.821399999999901</v>
      </c>
      <c r="AD2108">
        <v>-1.05338225999999</v>
      </c>
      <c r="AE2108">
        <v>-3.9639000000000202</v>
      </c>
      <c r="AF2108">
        <v>-5.0467261705275801</v>
      </c>
      <c r="AG2108">
        <v>-1.05338225999999</v>
      </c>
      <c r="AH2108">
        <v>25.588550729732201</v>
      </c>
      <c r="AI2108">
        <v>92.3128128879153</v>
      </c>
      <c r="AJ2108">
        <v>101.15702291477</v>
      </c>
      <c r="AK2108">
        <v>26.102739083744599</v>
      </c>
      <c r="AL2108">
        <v>84.8843894938733</v>
      </c>
      <c r="AM2108">
        <v>87.067919322461606</v>
      </c>
      <c r="AN2108">
        <v>1.0000000037787899</v>
      </c>
    </row>
    <row r="2109" spans="1:40" x14ac:dyDescent="0.25">
      <c r="A2109" t="str">
        <f>"20190312154551475"</f>
        <v>20190312154551475</v>
      </c>
      <c r="B2109" t="str">
        <f>"1552376751469424"</f>
        <v>1552376751469424</v>
      </c>
      <c r="C2109" t="s">
        <v>40</v>
      </c>
      <c r="D2109">
        <v>4.353904</v>
      </c>
      <c r="E2109">
        <v>0.4061459</v>
      </c>
      <c r="F2109" t="s">
        <v>53</v>
      </c>
      <c r="G2109">
        <v>-471.42009999999999</v>
      </c>
      <c r="H2109">
        <v>3.5302880000000002E-2</v>
      </c>
      <c r="I2109">
        <v>279.61630000000002</v>
      </c>
      <c r="J2109">
        <v>-445.76209999999998</v>
      </c>
      <c r="K2109">
        <v>1.110519</v>
      </c>
      <c r="L2109">
        <v>283.5883</v>
      </c>
      <c r="M2109">
        <v>-0.99902000000000002</v>
      </c>
      <c r="N2109">
        <v>0</v>
      </c>
      <c r="O2109">
        <v>4.1775979999999997E-2</v>
      </c>
      <c r="P2109">
        <v>-0.99299440000000005</v>
      </c>
      <c r="Q2109">
        <v>7.4496370000000006E-2</v>
      </c>
      <c r="R2109">
        <v>9.1719910000000002E-2</v>
      </c>
      <c r="S2109">
        <v>-3.0749819999999999</v>
      </c>
      <c r="T2109">
        <v>-0.1270046</v>
      </c>
      <c r="U2109">
        <v>-0.46737669999999998</v>
      </c>
      <c r="V2109">
        <v>5.0049639999999999E-2</v>
      </c>
      <c r="W2109">
        <v>8.9115810000000004E-2</v>
      </c>
      <c r="X2109">
        <v>0.99476299999999995</v>
      </c>
      <c r="Y2109">
        <v>-0.1912479</v>
      </c>
      <c r="Z2109">
        <v>-5.6413660000000001E-3</v>
      </c>
      <c r="AA2109">
        <v>0.98152550000000005</v>
      </c>
      <c r="AB2109">
        <v>34</v>
      </c>
      <c r="AC2109">
        <v>-25.658000000000001</v>
      </c>
      <c r="AD2109">
        <v>-1.0752161200000001</v>
      </c>
      <c r="AE2109">
        <v>-3.9719999999999702</v>
      </c>
      <c r="AF2109">
        <v>-5.0319047615361701</v>
      </c>
      <c r="AG2109">
        <v>-1.0752161200000001</v>
      </c>
      <c r="AH2109">
        <v>25.4260385732257</v>
      </c>
      <c r="AI2109">
        <v>92.375463330195899</v>
      </c>
      <c r="AJ2109">
        <v>101.19439140121101</v>
      </c>
      <c r="AK2109">
        <v>25.941464738156899</v>
      </c>
      <c r="AL2109">
        <v>84.887257712030205</v>
      </c>
      <c r="AM2109">
        <v>87.119698775177497</v>
      </c>
      <c r="AN2109">
        <v>1.0000000101125399</v>
      </c>
    </row>
    <row r="2110" spans="1:40" x14ac:dyDescent="0.25">
      <c r="A2110" t="str">
        <f>"20190312154551498"</f>
        <v>20190312154551498</v>
      </c>
      <c r="B2110" t="str">
        <f>"1552376751488944"</f>
        <v>1552376751488944</v>
      </c>
      <c r="C2110" t="s">
        <v>40</v>
      </c>
      <c r="D2110">
        <v>4.4254480000000003</v>
      </c>
      <c r="E2110">
        <v>0.40548129999999999</v>
      </c>
      <c r="F2110" t="s">
        <v>54</v>
      </c>
      <c r="G2110">
        <v>-469.09930000000003</v>
      </c>
      <c r="H2110" s="1">
        <v>3.510282E-6</v>
      </c>
      <c r="I2110">
        <v>279.92880000000002</v>
      </c>
      <c r="J2110">
        <v>-446.12020000000001</v>
      </c>
      <c r="K2110">
        <v>1.110538</v>
      </c>
      <c r="L2110">
        <v>283.60270000000003</v>
      </c>
      <c r="M2110">
        <v>-0.99904510000000002</v>
      </c>
      <c r="N2110">
        <v>0</v>
      </c>
      <c r="O2110">
        <v>4.1170940000000003E-2</v>
      </c>
      <c r="P2110">
        <v>-0.99313189999999996</v>
      </c>
      <c r="Q2110">
        <v>7.4427489999999999E-2</v>
      </c>
      <c r="R2110">
        <v>9.0275830000000001E-2</v>
      </c>
      <c r="S2110">
        <v>-3.0766909999999998</v>
      </c>
      <c r="T2110">
        <v>-0.14640639999999999</v>
      </c>
      <c r="U2110">
        <v>-0.4824524</v>
      </c>
      <c r="V2110">
        <v>4.9200500000000001E-2</v>
      </c>
      <c r="W2110">
        <v>8.9044559999999995E-2</v>
      </c>
      <c r="X2110">
        <v>0.99481169999999997</v>
      </c>
      <c r="Y2110">
        <v>-0.19520129999999999</v>
      </c>
      <c r="Z2110">
        <v>-6.5611510000000003E-3</v>
      </c>
      <c r="AA2110">
        <v>0.98074130000000004</v>
      </c>
      <c r="AB2110">
        <v>34</v>
      </c>
      <c r="AC2110">
        <v>-22.979099999999999</v>
      </c>
      <c r="AD2110">
        <v>-1.1105344897180001</v>
      </c>
      <c r="AE2110">
        <v>-3.6739000000000002</v>
      </c>
      <c r="AF2110">
        <v>-4.6064659231801102</v>
      </c>
      <c r="AG2110">
        <v>-1.1105344897180001</v>
      </c>
      <c r="AH2110">
        <v>22.756512837073</v>
      </c>
      <c r="AI2110">
        <v>92.738406111832802</v>
      </c>
      <c r="AJ2110">
        <v>101.44341704382801</v>
      </c>
      <c r="AK2110">
        <v>23.244605646431999</v>
      </c>
      <c r="AL2110">
        <v>84.891356128432506</v>
      </c>
      <c r="AM2110">
        <v>87.168624018252999</v>
      </c>
      <c r="AN2110">
        <v>0.99999997066136603</v>
      </c>
    </row>
    <row r="2111" spans="1:40" x14ac:dyDescent="0.25">
      <c r="A2111" t="str">
        <f>"20190312154551519"</f>
        <v>20190312154551519</v>
      </c>
      <c r="B2111" t="str">
        <f>"1552376751508465"</f>
        <v>1552376751508465</v>
      </c>
      <c r="C2111" t="s">
        <v>40</v>
      </c>
      <c r="D2111">
        <v>4.3626610000000001</v>
      </c>
      <c r="E2111">
        <v>0.40538049999999998</v>
      </c>
      <c r="F2111" t="s">
        <v>54</v>
      </c>
      <c r="G2111">
        <v>-468.02480000000003</v>
      </c>
      <c r="H2111" s="1">
        <v>2.9311409999999998E-6</v>
      </c>
      <c r="I2111">
        <v>280.09699999999998</v>
      </c>
      <c r="J2111">
        <v>-446.43700000000001</v>
      </c>
      <c r="K2111">
        <v>1.1105590000000001</v>
      </c>
      <c r="L2111">
        <v>283.61520000000002</v>
      </c>
      <c r="M2111">
        <v>-0.99906810000000001</v>
      </c>
      <c r="N2111">
        <v>0</v>
      </c>
      <c r="O2111">
        <v>4.0613089999999998E-2</v>
      </c>
      <c r="P2111">
        <v>-0.99331919999999996</v>
      </c>
      <c r="Q2111">
        <v>7.3863079999999998E-2</v>
      </c>
      <c r="R2111">
        <v>8.8667029999999994E-2</v>
      </c>
      <c r="S2111">
        <v>-3.0772400000000002</v>
      </c>
      <c r="T2111">
        <v>-0.15601219999999999</v>
      </c>
      <c r="U2111">
        <v>-0.49249270000000001</v>
      </c>
      <c r="V2111">
        <v>4.8138180000000003E-2</v>
      </c>
      <c r="W2111">
        <v>8.8478890000000004E-2</v>
      </c>
      <c r="X2111">
        <v>0.99491419999999997</v>
      </c>
      <c r="Y2111">
        <v>-0.1977102</v>
      </c>
      <c r="Z2111">
        <v>-7.0231779999999997E-3</v>
      </c>
      <c r="AA2111">
        <v>0.98023530000000003</v>
      </c>
      <c r="AB2111">
        <v>34</v>
      </c>
      <c r="AC2111">
        <v>-21.587800000000001</v>
      </c>
      <c r="AD2111">
        <v>-1.1105560688589999</v>
      </c>
      <c r="AE2111">
        <v>-3.51820000000003</v>
      </c>
      <c r="AF2111">
        <v>-4.3808438192862198</v>
      </c>
      <c r="AG2111">
        <v>-1.1105560688589999</v>
      </c>
      <c r="AH2111">
        <v>21.371988298045</v>
      </c>
      <c r="AI2111">
        <v>92.914110877190396</v>
      </c>
      <c r="AJ2111">
        <v>101.584061658789</v>
      </c>
      <c r="AK2111">
        <v>21.844610574758001</v>
      </c>
      <c r="AL2111">
        <v>84.923895379709094</v>
      </c>
      <c r="AM2111">
        <v>87.229946779521399</v>
      </c>
      <c r="AN2111">
        <v>1.00000003185549</v>
      </c>
    </row>
    <row r="2112" spans="1:40" x14ac:dyDescent="0.25">
      <c r="A2112" t="str">
        <f>"20190312154551542"</f>
        <v>20190312154551542</v>
      </c>
      <c r="B2112" t="str">
        <f>"1552376751538720"</f>
        <v>1552376751538720</v>
      </c>
      <c r="C2112" t="s">
        <v>40</v>
      </c>
      <c r="D2112">
        <v>4.4066450000000001</v>
      </c>
      <c r="E2112">
        <v>0.4052674</v>
      </c>
      <c r="F2112" t="s">
        <v>54</v>
      </c>
      <c r="G2112">
        <v>-467.46409999999997</v>
      </c>
      <c r="H2112" s="1">
        <v>2.6278570000000002E-6</v>
      </c>
      <c r="I2112">
        <v>280.20929999999998</v>
      </c>
      <c r="J2112">
        <v>-446.79109999999997</v>
      </c>
      <c r="K2112">
        <v>1.1105849999999999</v>
      </c>
      <c r="L2112">
        <v>283.62889999999999</v>
      </c>
      <c r="M2112">
        <v>-0.99909460000000005</v>
      </c>
      <c r="N2112">
        <v>0</v>
      </c>
      <c r="O2112">
        <v>3.9953500000000003E-2</v>
      </c>
      <c r="P2112">
        <v>-0.99354129999999996</v>
      </c>
      <c r="Q2112">
        <v>7.3286850000000001E-2</v>
      </c>
      <c r="R2112">
        <v>8.6630139999999994E-2</v>
      </c>
      <c r="S2112">
        <v>-3.076721</v>
      </c>
      <c r="T2112">
        <v>-0.162498799999999</v>
      </c>
      <c r="U2112">
        <v>-0.49835210000000002</v>
      </c>
      <c r="V2112">
        <v>4.6746129999999997E-2</v>
      </c>
      <c r="W2112">
        <v>8.7902279999999999E-2</v>
      </c>
      <c r="X2112">
        <v>0.99503169999999996</v>
      </c>
      <c r="Y2112">
        <v>-0.19888230000000001</v>
      </c>
      <c r="Z2112">
        <v>-7.3110390000000001E-3</v>
      </c>
      <c r="AA2112">
        <v>0.97999610000000004</v>
      </c>
      <c r="AB2112">
        <v>34</v>
      </c>
      <c r="AC2112">
        <v>-20.672999999999998</v>
      </c>
      <c r="AD2112">
        <v>-1.1105823721429999</v>
      </c>
      <c r="AE2112">
        <v>-3.4196</v>
      </c>
      <c r="AF2112">
        <v>-4.2310304793814204</v>
      </c>
      <c r="AG2112">
        <v>-1.1105823721429999</v>
      </c>
      <c r="AH2112">
        <v>20.462368956347301</v>
      </c>
      <c r="AI2112">
        <v>93.042412085142999</v>
      </c>
      <c r="AJ2112">
        <v>101.682486788407</v>
      </c>
      <c r="AK2112">
        <v>20.924711597258799</v>
      </c>
      <c r="AL2112">
        <v>84.957062008411697</v>
      </c>
      <c r="AM2112">
        <v>87.310248390230797</v>
      </c>
      <c r="AN2112">
        <v>1.0000000477520301</v>
      </c>
    </row>
    <row r="2113" spans="1:40" x14ac:dyDescent="0.25">
      <c r="A2113" t="str">
        <f>"20190312154551566"</f>
        <v>20190312154551566</v>
      </c>
      <c r="B2113" t="str">
        <f>"1552376751559217"</f>
        <v>1552376751559217</v>
      </c>
      <c r="C2113" t="s">
        <v>40</v>
      </c>
      <c r="D2113">
        <v>4.4449699999999996</v>
      </c>
      <c r="E2113">
        <v>0.40515289999999998</v>
      </c>
      <c r="F2113" t="s">
        <v>54</v>
      </c>
      <c r="G2113">
        <v>-466.87619999999998</v>
      </c>
      <c r="H2113" s="1">
        <v>2.310071E-6</v>
      </c>
      <c r="I2113">
        <v>280.32209999999998</v>
      </c>
      <c r="J2113">
        <v>-447.13670000000002</v>
      </c>
      <c r="K2113">
        <v>1.1106259999999999</v>
      </c>
      <c r="L2113">
        <v>283.642</v>
      </c>
      <c r="M2113">
        <v>-0.99912250000000002</v>
      </c>
      <c r="N2113">
        <v>0</v>
      </c>
      <c r="O2113">
        <v>3.9252759999999998E-2</v>
      </c>
      <c r="P2113">
        <v>-0.99369909999999995</v>
      </c>
      <c r="Q2113">
        <v>7.2753199999999907E-2</v>
      </c>
      <c r="R2113">
        <v>8.5260100000000005E-2</v>
      </c>
      <c r="S2113">
        <v>-3.0762330000000002</v>
      </c>
      <c r="T2113">
        <v>-0.17009739999999901</v>
      </c>
      <c r="U2113">
        <v>-0.50646970000000002</v>
      </c>
      <c r="V2113">
        <v>4.6061520000000002E-2</v>
      </c>
      <c r="W2113">
        <v>8.7370279999999995E-2</v>
      </c>
      <c r="X2113">
        <v>0.99511050000000001</v>
      </c>
      <c r="Y2113">
        <v>-0.20070540000000001</v>
      </c>
      <c r="Z2113">
        <v>-7.6635459999999898E-3</v>
      </c>
      <c r="AA2113">
        <v>0.97962159999999998</v>
      </c>
      <c r="AB2113">
        <v>34</v>
      </c>
      <c r="AC2113">
        <v>-19.7394999999999</v>
      </c>
      <c r="AD2113">
        <v>-1.1106236899290001</v>
      </c>
      <c r="AE2113">
        <v>-3.3199000000000098</v>
      </c>
      <c r="AF2113">
        <v>-4.0796938364487296</v>
      </c>
      <c r="AG2113">
        <v>-1.1106236899290001</v>
      </c>
      <c r="AH2113">
        <v>19.533818622739499</v>
      </c>
      <c r="AI2113">
        <v>93.185543235534197</v>
      </c>
      <c r="AJ2113">
        <v>101.796814301629</v>
      </c>
      <c r="AK2113">
        <v>19.986181645473799</v>
      </c>
      <c r="AL2113">
        <v>84.987661194183204</v>
      </c>
      <c r="AM2113">
        <v>87.349793538167503</v>
      </c>
      <c r="AN2113">
        <v>1.0000000683311101</v>
      </c>
    </row>
    <row r="2114" spans="1:40" x14ac:dyDescent="0.25">
      <c r="A2114" t="str">
        <f>"20190312154551589"</f>
        <v>20190312154551589</v>
      </c>
      <c r="B2114" t="str">
        <f>"1552376751578737"</f>
        <v>1552376751578737</v>
      </c>
      <c r="C2114" t="s">
        <v>40</v>
      </c>
      <c r="D2114">
        <v>4.4648599999999998</v>
      </c>
      <c r="E2114">
        <v>0.40500930000000002</v>
      </c>
      <c r="F2114" t="s">
        <v>54</v>
      </c>
      <c r="G2114">
        <v>-466.77749999999997</v>
      </c>
      <c r="H2114" s="1">
        <v>2.2555030000000001E-6</v>
      </c>
      <c r="I2114">
        <v>280.36939999999998</v>
      </c>
      <c r="J2114">
        <v>-447.49869999999999</v>
      </c>
      <c r="K2114">
        <v>1.110684</v>
      </c>
      <c r="L2114">
        <v>283.65550000000002</v>
      </c>
      <c r="M2114">
        <v>-0.9991544</v>
      </c>
      <c r="N2114">
        <v>0</v>
      </c>
      <c r="O2114">
        <v>3.84334E-2</v>
      </c>
      <c r="P2114">
        <v>-0.99374050000000003</v>
      </c>
      <c r="Q2114">
        <v>7.3030730000000002E-2</v>
      </c>
      <c r="R2114">
        <v>8.4536310000000003E-2</v>
      </c>
      <c r="S2114">
        <v>-3.0757140000000001</v>
      </c>
      <c r="T2114">
        <v>-0.17392149999999901</v>
      </c>
      <c r="U2114">
        <v>-0.51248170000000004</v>
      </c>
      <c r="V2114">
        <v>4.6140359999999998E-2</v>
      </c>
      <c r="W2114">
        <v>8.7650519999999996E-2</v>
      </c>
      <c r="X2114">
        <v>0.99508209999999997</v>
      </c>
      <c r="Y2114">
        <v>-0.2017756</v>
      </c>
      <c r="Z2114">
        <v>-7.8196489999999997E-3</v>
      </c>
      <c r="AA2114">
        <v>0.97940059999999995</v>
      </c>
      <c r="AB2114">
        <v>34</v>
      </c>
      <c r="AC2114">
        <v>-19.278799999999901</v>
      </c>
      <c r="AD2114">
        <v>-1.1106817444970001</v>
      </c>
      <c r="AE2114">
        <v>-3.28610000000003</v>
      </c>
      <c r="AF2114">
        <v>-4.0117610172248401</v>
      </c>
      <c r="AG2114">
        <v>-1.1106817444970001</v>
      </c>
      <c r="AH2114">
        <v>19.076713915626801</v>
      </c>
      <c r="AI2114">
        <v>93.260937537240295</v>
      </c>
      <c r="AJ2114">
        <v>101.876033997934</v>
      </c>
      <c r="AK2114">
        <v>19.525594849211501</v>
      </c>
      <c r="AL2114">
        <v>84.971542274088094</v>
      </c>
      <c r="AM2114">
        <v>87.345188206554198</v>
      </c>
      <c r="AN2114">
        <v>0.99999996610880404</v>
      </c>
    </row>
    <row r="2115" spans="1:40" x14ac:dyDescent="0.25">
      <c r="A2115" t="str">
        <f>"20190312154551610"</f>
        <v>20190312154551610</v>
      </c>
      <c r="B2115" t="str">
        <f>"1552376751599233"</f>
        <v>1552376751599233</v>
      </c>
      <c r="C2115" t="s">
        <v>40</v>
      </c>
      <c r="D2115">
        <v>4.4665160000000004</v>
      </c>
      <c r="E2115">
        <v>0.40518419999999999</v>
      </c>
      <c r="F2115" t="s">
        <v>54</v>
      </c>
      <c r="G2115">
        <v>-467.0609</v>
      </c>
      <c r="H2115" s="1">
        <v>2.4062330000000002E-6</v>
      </c>
      <c r="I2115">
        <v>280.37049999999999</v>
      </c>
      <c r="J2115">
        <v>-447.83019999999999</v>
      </c>
      <c r="K2115">
        <v>1.1107479999999901</v>
      </c>
      <c r="L2115">
        <v>283.66739999999999</v>
      </c>
      <c r="M2115">
        <v>-0.99918580000000001</v>
      </c>
      <c r="N2115">
        <v>0</v>
      </c>
      <c r="O2115">
        <v>3.7611430000000001E-2</v>
      </c>
      <c r="P2115">
        <v>-0.99365349999999997</v>
      </c>
      <c r="Q2115">
        <v>7.3294310000000001E-2</v>
      </c>
      <c r="R2115">
        <v>8.5328130000000002E-2</v>
      </c>
      <c r="S2115">
        <v>-3.0756839999999999</v>
      </c>
      <c r="T2115">
        <v>-0.1746279</v>
      </c>
      <c r="U2115">
        <v>-0.51647949999999998</v>
      </c>
      <c r="V2115">
        <v>4.7740669999999999E-2</v>
      </c>
      <c r="W2115">
        <v>8.7919380000000005E-2</v>
      </c>
      <c r="X2115">
        <v>0.9949829</v>
      </c>
      <c r="Y2115">
        <v>-0.20220740000000001</v>
      </c>
      <c r="Z2115">
        <v>-7.8164210000000005E-3</v>
      </c>
      <c r="AA2115">
        <v>0.9793115</v>
      </c>
      <c r="AB2115">
        <v>34</v>
      </c>
      <c r="AC2115">
        <v>-19.230699999999999</v>
      </c>
      <c r="AD2115">
        <v>-1.1107455937670001</v>
      </c>
      <c r="AE2115">
        <v>-3.2968999999999902</v>
      </c>
      <c r="AF2115">
        <v>-4.0049585047256304</v>
      </c>
      <c r="AG2115">
        <v>-1.1107455937670001</v>
      </c>
      <c r="AH2115">
        <v>19.031398044870102</v>
      </c>
      <c r="AI2115">
        <v>93.2687787109966</v>
      </c>
      <c r="AJ2115">
        <v>101.88389665914001</v>
      </c>
      <c r="AK2115">
        <v>19.479927103070199</v>
      </c>
      <c r="AL2115">
        <v>84.956078100600294</v>
      </c>
      <c r="AM2115">
        <v>87.252975217328697</v>
      </c>
      <c r="AN2115">
        <v>0.99999998012202096</v>
      </c>
    </row>
    <row r="2116" spans="1:40" x14ac:dyDescent="0.25">
      <c r="A2116" t="str">
        <f>"20190312154551631"</f>
        <v>20190312154551631</v>
      </c>
      <c r="B2116" t="str">
        <f>"1552376751618752"</f>
        <v>1552376751618752</v>
      </c>
      <c r="C2116" t="s">
        <v>40</v>
      </c>
      <c r="D2116">
        <v>4.4330990000000003</v>
      </c>
      <c r="E2116">
        <v>0.40525529999999998</v>
      </c>
      <c r="F2116" t="s">
        <v>54</v>
      </c>
      <c r="G2116">
        <v>-467.2724</v>
      </c>
      <c r="H2116" s="1">
        <v>2.516447E-6</v>
      </c>
      <c r="I2116">
        <v>280.42509999999999</v>
      </c>
      <c r="J2116">
        <v>-448.14530000000002</v>
      </c>
      <c r="K2116">
        <v>1.1108119999999999</v>
      </c>
      <c r="L2116">
        <v>283.67840000000001</v>
      </c>
      <c r="M2116">
        <v>-0.99921789999999999</v>
      </c>
      <c r="N2116">
        <v>0</v>
      </c>
      <c r="O2116">
        <v>3.6743659999999997E-2</v>
      </c>
      <c r="P2116">
        <v>-0.99354540000000002</v>
      </c>
      <c r="Q2116">
        <v>7.3576100000000005E-2</v>
      </c>
      <c r="R2116">
        <v>8.6336910000000003E-2</v>
      </c>
      <c r="S2116">
        <v>-3.0761720000000001</v>
      </c>
      <c r="T2116">
        <v>-0.17574329999999999</v>
      </c>
      <c r="U2116">
        <v>-0.51300049999999997</v>
      </c>
      <c r="V2116">
        <v>4.960262E-2</v>
      </c>
      <c r="W2116">
        <v>8.8208640000000005E-2</v>
      </c>
      <c r="X2116">
        <v>0.99486629999999998</v>
      </c>
      <c r="Y2116">
        <v>-0.2002535</v>
      </c>
      <c r="Z2116">
        <v>-7.7611149999999999E-3</v>
      </c>
      <c r="AA2116">
        <v>0.97971339999999996</v>
      </c>
      <c r="AB2116">
        <v>34</v>
      </c>
      <c r="AC2116">
        <v>-19.127099999999899</v>
      </c>
      <c r="AD2116">
        <v>-1.110809483553</v>
      </c>
      <c r="AE2116">
        <v>-3.2533000000000198</v>
      </c>
      <c r="AF2116">
        <v>-3.9410589694029801</v>
      </c>
      <c r="AG2116">
        <v>-1.110809483553</v>
      </c>
      <c r="AH2116">
        <v>18.932571273569899</v>
      </c>
      <c r="AI2116">
        <v>93.287489932772701</v>
      </c>
      <c r="AJ2116">
        <v>101.758929788602</v>
      </c>
      <c r="AK2116">
        <v>19.370289066967199</v>
      </c>
      <c r="AL2116">
        <v>84.939440534663305</v>
      </c>
      <c r="AM2116">
        <v>87.145677451476004</v>
      </c>
      <c r="AN2116">
        <v>1.00000006947859</v>
      </c>
    </row>
    <row r="2117" spans="1:40" x14ac:dyDescent="0.25">
      <c r="A2117" t="str">
        <f>"20190312154551652"</f>
        <v>20190312154551652</v>
      </c>
      <c r="B2117" t="str">
        <f>"1552376751649010"</f>
        <v>1552376751649010</v>
      </c>
      <c r="C2117" t="s">
        <v>40</v>
      </c>
      <c r="D2117">
        <v>4.4828250000000001</v>
      </c>
      <c r="E2117">
        <v>0.40524680000000002</v>
      </c>
      <c r="F2117" t="s">
        <v>54</v>
      </c>
      <c r="G2117">
        <v>-467.46019999999999</v>
      </c>
      <c r="H2117" s="1">
        <v>2.6140739999999998E-6</v>
      </c>
      <c r="I2117">
        <v>280.47809999999998</v>
      </c>
      <c r="J2117">
        <v>-448.46820000000002</v>
      </c>
      <c r="K2117">
        <v>1.110903</v>
      </c>
      <c r="L2117">
        <v>283.6893</v>
      </c>
      <c r="M2117">
        <v>-0.99925459999999999</v>
      </c>
      <c r="N2117">
        <v>0</v>
      </c>
      <c r="O2117">
        <v>3.573747E-2</v>
      </c>
      <c r="P2117">
        <v>-0.99350850000000002</v>
      </c>
      <c r="Q2117">
        <v>7.387821E-2</v>
      </c>
      <c r="R2117">
        <v>8.650476E-2</v>
      </c>
      <c r="S2117">
        <v>-3.0769350000000002</v>
      </c>
      <c r="T2117">
        <v>-0.17695520000000001</v>
      </c>
      <c r="U2117">
        <v>-0.50982669999999997</v>
      </c>
      <c r="V2117">
        <v>5.075561E-2</v>
      </c>
      <c r="W2117">
        <v>8.8519749999999994E-2</v>
      </c>
      <c r="X2117">
        <v>0.99478040000000001</v>
      </c>
      <c r="Y2117">
        <v>-0.19824359999999999</v>
      </c>
      <c r="Z2117">
        <v>-7.698435E-3</v>
      </c>
      <c r="AA2117">
        <v>0.98012259999999995</v>
      </c>
      <c r="AB2117">
        <v>34</v>
      </c>
      <c r="AC2117">
        <v>-18.991999999999901</v>
      </c>
      <c r="AD2117">
        <v>-1.110900385926</v>
      </c>
      <c r="AE2117">
        <v>-3.2112000000000198</v>
      </c>
      <c r="AF2117">
        <v>-3.8750568702490802</v>
      </c>
      <c r="AG2117">
        <v>-1.110900385926</v>
      </c>
      <c r="AH2117">
        <v>18.802549430417301</v>
      </c>
      <c r="AI2117">
        <v>93.311801970272498</v>
      </c>
      <c r="AJ2117">
        <v>101.64516237951</v>
      </c>
      <c r="AK2117">
        <v>19.229821384984302</v>
      </c>
      <c r="AL2117">
        <v>84.921544692114495</v>
      </c>
      <c r="AM2117">
        <v>87.079191851469801</v>
      </c>
      <c r="AN2117">
        <v>0.99999996115534595</v>
      </c>
    </row>
    <row r="2118" spans="1:40" x14ac:dyDescent="0.25">
      <c r="A2118" t="str">
        <f>"20190312154551674"</f>
        <v>20190312154551674</v>
      </c>
      <c r="B2118" t="str">
        <f>"1552376751668528"</f>
        <v>1552376751668528</v>
      </c>
      <c r="C2118" t="s">
        <v>40</v>
      </c>
      <c r="D2118">
        <v>4.4559620000000004</v>
      </c>
      <c r="E2118">
        <v>0.4052403</v>
      </c>
      <c r="F2118" t="s">
        <v>54</v>
      </c>
      <c r="G2118">
        <v>-467.59469999999999</v>
      </c>
      <c r="H2118" s="1">
        <v>2.6837779999999999E-6</v>
      </c>
      <c r="I2118">
        <v>280.52030000000002</v>
      </c>
      <c r="J2118">
        <v>-448.80380000000002</v>
      </c>
      <c r="K2118">
        <v>1.1110150000000001</v>
      </c>
      <c r="L2118">
        <v>283.70010000000002</v>
      </c>
      <c r="M2118">
        <v>-0.99929650000000003</v>
      </c>
      <c r="N2118">
        <v>0</v>
      </c>
      <c r="O2118">
        <v>3.4546849999999997E-2</v>
      </c>
      <c r="P2118">
        <v>-0.99353550000000002</v>
      </c>
      <c r="Q2118">
        <v>7.4131879999999997E-2</v>
      </c>
      <c r="R2118">
        <v>8.5976350000000007E-2</v>
      </c>
      <c r="S2118">
        <v>-3.0772710000000001</v>
      </c>
      <c r="T2118">
        <v>-0.17873310000000001</v>
      </c>
      <c r="U2118">
        <v>-0.50985720000000001</v>
      </c>
      <c r="V2118">
        <v>5.1388740000000002E-2</v>
      </c>
      <c r="W2118">
        <v>8.8785719999999999E-2</v>
      </c>
      <c r="X2118">
        <v>0.99472419999999995</v>
      </c>
      <c r="Y2118">
        <v>-0.1970643</v>
      </c>
      <c r="Z2118">
        <v>-7.6721219999999904E-3</v>
      </c>
      <c r="AA2118">
        <v>0.98036060000000003</v>
      </c>
      <c r="AB2118">
        <v>34</v>
      </c>
      <c r="AC2118">
        <v>-18.790899999999901</v>
      </c>
      <c r="AD2118">
        <v>-1.11101231622199</v>
      </c>
      <c r="AE2118">
        <v>-3.1798000000000002</v>
      </c>
      <c r="AF2118">
        <v>-3.8141747766751899</v>
      </c>
      <c r="AG2118">
        <v>-1.11101231622199</v>
      </c>
      <c r="AH2118">
        <v>18.606583585541902</v>
      </c>
      <c r="AI2118">
        <v>93.347665126718894</v>
      </c>
      <c r="AJ2118">
        <v>101.584609493206</v>
      </c>
      <c r="AK2118">
        <v>19.025962007729799</v>
      </c>
      <c r="AL2118">
        <v>84.906245540912295</v>
      </c>
      <c r="AM2118">
        <v>87.042654924330193</v>
      </c>
      <c r="AN2118">
        <v>0.99999997037017196</v>
      </c>
    </row>
    <row r="2119" spans="1:40" x14ac:dyDescent="0.25">
      <c r="A2119" t="str">
        <f>"20190312154551696"</f>
        <v>20190312154551696</v>
      </c>
      <c r="B2119" t="str">
        <f>"1552376751689025"</f>
        <v>1552376751689025</v>
      </c>
      <c r="C2119" t="s">
        <v>40</v>
      </c>
      <c r="D2119">
        <v>4.4786619999999999</v>
      </c>
      <c r="E2119">
        <v>0.40518340000000003</v>
      </c>
      <c r="F2119" t="s">
        <v>54</v>
      </c>
      <c r="G2119">
        <v>-467.90350000000001</v>
      </c>
      <c r="H2119" s="1">
        <v>2.848035E-6</v>
      </c>
      <c r="I2119">
        <v>280.52190000000002</v>
      </c>
      <c r="J2119">
        <v>-449.13</v>
      </c>
      <c r="K2119">
        <v>1.1111420000000001</v>
      </c>
      <c r="L2119">
        <v>283.71010000000001</v>
      </c>
      <c r="M2119">
        <v>-0.99934100000000003</v>
      </c>
      <c r="N2119">
        <v>0</v>
      </c>
      <c r="O2119">
        <v>3.3236620000000001E-2</v>
      </c>
      <c r="P2119">
        <v>-0.99366189999999999</v>
      </c>
      <c r="Q2119">
        <v>7.4377760000000001E-2</v>
      </c>
      <c r="R2119">
        <v>8.4285399999999996E-2</v>
      </c>
      <c r="S2119">
        <v>-3.0771790000000001</v>
      </c>
      <c r="T2119">
        <v>-0.17899670000000001</v>
      </c>
      <c r="U2119">
        <v>-0.51205440000000002</v>
      </c>
      <c r="V2119">
        <v>5.0972410000000003E-2</v>
      </c>
      <c r="W2119">
        <v>8.9044559999999995E-2</v>
      </c>
      <c r="X2119">
        <v>0.99472249999999995</v>
      </c>
      <c r="Y2119">
        <v>-0.196467</v>
      </c>
      <c r="Z2119">
        <v>-7.5902499999999998E-3</v>
      </c>
      <c r="AA2119">
        <v>0.98048109999999999</v>
      </c>
      <c r="AB2119">
        <v>34</v>
      </c>
      <c r="AC2119">
        <v>-18.773499999999999</v>
      </c>
      <c r="AD2119">
        <v>-1.111139151965</v>
      </c>
      <c r="AE2119">
        <v>-3.1881999999999899</v>
      </c>
      <c r="AF2119">
        <v>-3.7975422199417799</v>
      </c>
      <c r="AG2119">
        <v>-1.111139151965</v>
      </c>
      <c r="AH2119">
        <v>18.593840064456501</v>
      </c>
      <c r="AI2119">
        <v>93.350830873319097</v>
      </c>
      <c r="AJ2119">
        <v>101.54314300455999</v>
      </c>
      <c r="AK2119">
        <v>19.0101774181583</v>
      </c>
      <c r="AL2119">
        <v>84.891356207648499</v>
      </c>
      <c r="AM2119">
        <v>87.066567071356801</v>
      </c>
      <c r="AN2119">
        <v>0.99999998612652496</v>
      </c>
    </row>
    <row r="2120" spans="1:40" x14ac:dyDescent="0.25">
      <c r="A2120" t="str">
        <f>"20190312154551719"</f>
        <v>20190312154551719</v>
      </c>
      <c r="B2120" t="str">
        <f>"1552376751708544"</f>
        <v>1552376751708544</v>
      </c>
      <c r="C2120" t="s">
        <v>40</v>
      </c>
      <c r="D2120">
        <v>4.5435140000000001</v>
      </c>
      <c r="E2120">
        <v>0.4048717</v>
      </c>
      <c r="F2120" t="s">
        <v>54</v>
      </c>
      <c r="G2120">
        <v>-468.17649999999998</v>
      </c>
      <c r="H2120" s="1">
        <v>2.9941630000000001E-6</v>
      </c>
      <c r="I2120">
        <v>280.50220000000002</v>
      </c>
      <c r="J2120">
        <v>-449.47899999999998</v>
      </c>
      <c r="K2120">
        <v>1.111291</v>
      </c>
      <c r="L2120">
        <v>283.72019999999998</v>
      </c>
      <c r="M2120">
        <v>-0.99939230000000001</v>
      </c>
      <c r="N2120">
        <v>0</v>
      </c>
      <c r="O2120">
        <v>3.1656950000000003E-2</v>
      </c>
      <c r="P2120">
        <v>-0.99394079999999996</v>
      </c>
      <c r="Q2120">
        <v>7.3892940000000004E-2</v>
      </c>
      <c r="R2120">
        <v>8.1375470000000005E-2</v>
      </c>
      <c r="S2120">
        <v>-3.076508</v>
      </c>
      <c r="T2120">
        <v>-0.17947839999999901</v>
      </c>
      <c r="U2120">
        <v>-0.51815800000000001</v>
      </c>
      <c r="V2120">
        <v>4.959918E-2</v>
      </c>
      <c r="W2120">
        <v>8.8574349999999996E-2</v>
      </c>
      <c r="X2120">
        <v>0.99483390000000005</v>
      </c>
      <c r="Y2120">
        <v>-0.19684399999999999</v>
      </c>
      <c r="Z2120">
        <v>-7.5304380000000004E-3</v>
      </c>
      <c r="AA2120">
        <v>0.98040590000000005</v>
      </c>
      <c r="AB2120">
        <v>34</v>
      </c>
      <c r="AC2120">
        <v>-18.697499999999899</v>
      </c>
      <c r="AD2120">
        <v>-1.111288005837</v>
      </c>
      <c r="AE2120">
        <v>-3.21799999999996</v>
      </c>
      <c r="AF2120">
        <v>-3.7953341755199101</v>
      </c>
      <c r="AG2120">
        <v>-1.111288005837</v>
      </c>
      <c r="AH2120">
        <v>18.522694185328799</v>
      </c>
      <c r="AI2120">
        <v>93.363683130432094</v>
      </c>
      <c r="AJ2120">
        <v>101.579728953588</v>
      </c>
      <c r="AK2120">
        <v>18.940161625999899</v>
      </c>
      <c r="AL2120">
        <v>84.918404159700998</v>
      </c>
      <c r="AM2120">
        <v>87.145782274631401</v>
      </c>
      <c r="AN2120">
        <v>0.99999999136190199</v>
      </c>
    </row>
    <row r="2121" spans="1:40" x14ac:dyDescent="0.25">
      <c r="A2121" t="str">
        <f>"20190312154551742"</f>
        <v>20190312154551742</v>
      </c>
      <c r="B2121" t="str">
        <f>"1552376751738801"</f>
        <v>1552376751738801</v>
      </c>
      <c r="C2121" t="s">
        <v>40</v>
      </c>
      <c r="D2121">
        <v>4.4638660000000003</v>
      </c>
      <c r="E2121">
        <v>0.40462510000000002</v>
      </c>
      <c r="F2121" t="s">
        <v>54</v>
      </c>
      <c r="G2121">
        <v>-468.07569999999998</v>
      </c>
      <c r="H2121" s="1">
        <v>2.9397890000000001E-6</v>
      </c>
      <c r="I2121">
        <v>280.5197</v>
      </c>
      <c r="J2121">
        <v>-449.82139999999998</v>
      </c>
      <c r="K2121">
        <v>1.11145</v>
      </c>
      <c r="L2121">
        <v>283.72930000000002</v>
      </c>
      <c r="M2121">
        <v>-0.9994459</v>
      </c>
      <c r="N2121">
        <v>0</v>
      </c>
      <c r="O2121">
        <v>2.9916459999999999E-2</v>
      </c>
      <c r="P2121">
        <v>-0.99435779999999996</v>
      </c>
      <c r="Q2121">
        <v>7.3241319999999999E-2</v>
      </c>
      <c r="R2121">
        <v>7.6737689999999997E-2</v>
      </c>
      <c r="S2121">
        <v>-3.075256</v>
      </c>
      <c r="T2121">
        <v>-0.18376890000000001</v>
      </c>
      <c r="U2121">
        <v>-0.52923580000000003</v>
      </c>
      <c r="V2121">
        <v>4.6654760000000003E-2</v>
      </c>
      <c r="W2121">
        <v>8.7934579999999998E-2</v>
      </c>
      <c r="X2121">
        <v>0.9950331</v>
      </c>
      <c r="Y2121">
        <v>-0.1986155</v>
      </c>
      <c r="Z2121">
        <v>-7.6601809999999899E-3</v>
      </c>
      <c r="AA2121">
        <v>0.98004749999999996</v>
      </c>
      <c r="AB2121">
        <v>34</v>
      </c>
      <c r="AC2121">
        <v>-18.254300000000001</v>
      </c>
      <c r="AD2121">
        <v>-1.111447060211</v>
      </c>
      <c r="AE2121">
        <v>-3.20960000000002</v>
      </c>
      <c r="AF2121">
        <v>-3.7408729413995698</v>
      </c>
      <c r="AG2121">
        <v>-1.111447060211</v>
      </c>
      <c r="AH2121">
        <v>18.085063014916301</v>
      </c>
      <c r="AI2121">
        <v>93.444055936774404</v>
      </c>
      <c r="AJ2121">
        <v>101.686743539403</v>
      </c>
      <c r="AK2121">
        <v>18.5013229036424</v>
      </c>
      <c r="AL2121">
        <v>84.955203987611597</v>
      </c>
      <c r="AM2121">
        <v>87.315501852794895</v>
      </c>
      <c r="AN2121">
        <v>1.00000001354302</v>
      </c>
    </row>
    <row r="2122" spans="1:40" x14ac:dyDescent="0.25">
      <c r="A2122" t="str">
        <f>"20190312154551765"</f>
        <v>20190312154551765</v>
      </c>
      <c r="B2122" t="str">
        <f>"1552376751759296"</f>
        <v>1552376751759296</v>
      </c>
      <c r="C2122" t="s">
        <v>40</v>
      </c>
      <c r="D2122">
        <v>4.4246869999999996</v>
      </c>
      <c r="E2122">
        <v>0.40446409999999999</v>
      </c>
      <c r="F2122" t="s">
        <v>54</v>
      </c>
      <c r="G2122">
        <v>-467.75740000000002</v>
      </c>
      <c r="H2122" s="1">
        <v>2.769083E-6</v>
      </c>
      <c r="I2122">
        <v>280.5487</v>
      </c>
      <c r="J2122">
        <v>-450.16629999999998</v>
      </c>
      <c r="K2122">
        <v>1.1116140000000001</v>
      </c>
      <c r="L2122">
        <v>283.73770000000002</v>
      </c>
      <c r="M2122">
        <v>-0.99950269999999997</v>
      </c>
      <c r="N2122">
        <v>0</v>
      </c>
      <c r="O2122">
        <v>2.7953430000000001E-2</v>
      </c>
      <c r="P2122">
        <v>-0.99473060000000002</v>
      </c>
      <c r="Q2122">
        <v>7.3545899999999997E-2</v>
      </c>
      <c r="R2122">
        <v>7.1431670000000003E-2</v>
      </c>
      <c r="S2122">
        <v>-3.0731199999999999</v>
      </c>
      <c r="T2122">
        <v>-0.1904333</v>
      </c>
      <c r="U2122">
        <v>-0.5449524</v>
      </c>
      <c r="V2122">
        <v>4.3261870000000001E-2</v>
      </c>
      <c r="W2122">
        <v>8.8247119999999998E-2</v>
      </c>
      <c r="X2122">
        <v>0.99515869999999995</v>
      </c>
      <c r="Y2122">
        <v>-0.20163590000000001</v>
      </c>
      <c r="Z2122">
        <v>-7.9115239999999996E-3</v>
      </c>
      <c r="AA2122">
        <v>0.97942859999999998</v>
      </c>
      <c r="AB2122">
        <v>34</v>
      </c>
      <c r="AC2122">
        <v>-17.591100000000001</v>
      </c>
      <c r="AD2122">
        <v>-1.1116112309170001</v>
      </c>
      <c r="AE2122">
        <v>-3.18900000000002</v>
      </c>
      <c r="AF2122">
        <v>-3.6653667178314802</v>
      </c>
      <c r="AG2122">
        <v>-1.1116112309170001</v>
      </c>
      <c r="AH2122">
        <v>17.427693661300601</v>
      </c>
      <c r="AI2122">
        <v>93.571689403357198</v>
      </c>
      <c r="AJ2122">
        <v>101.877256964267</v>
      </c>
      <c r="AK2122">
        <v>17.8436290887539</v>
      </c>
      <c r="AL2122">
        <v>84.937226762828203</v>
      </c>
      <c r="AM2122">
        <v>87.510786101817601</v>
      </c>
      <c r="AN2122">
        <v>0.99999999088493996</v>
      </c>
    </row>
    <row r="2123" spans="1:40" x14ac:dyDescent="0.25">
      <c r="A2123" t="str">
        <f>"20190312154551790"</f>
        <v>20190312154551790</v>
      </c>
      <c r="B2123" t="str">
        <f>"1552376751778817"</f>
        <v>1552376751778817</v>
      </c>
      <c r="C2123" t="s">
        <v>40</v>
      </c>
      <c r="D2123">
        <v>4.38863</v>
      </c>
      <c r="E2123">
        <v>0.40430480000000002</v>
      </c>
      <c r="F2123" t="s">
        <v>54</v>
      </c>
      <c r="G2123">
        <v>-468.00569999999999</v>
      </c>
      <c r="H2123" s="1">
        <v>2.9047689999999999E-6</v>
      </c>
      <c r="I2123">
        <v>280.46800000000002</v>
      </c>
      <c r="J2123">
        <v>-450.5369</v>
      </c>
      <c r="K2123">
        <v>1.1117889999999999</v>
      </c>
      <c r="L2123">
        <v>283.74560000000002</v>
      </c>
      <c r="M2123">
        <v>-0.99956560000000005</v>
      </c>
      <c r="N2123">
        <v>0</v>
      </c>
      <c r="O2123">
        <v>2.5601539999999999E-2</v>
      </c>
      <c r="P2123">
        <v>-0.9951082</v>
      </c>
      <c r="Q2123">
        <v>7.4094610000000005E-2</v>
      </c>
      <c r="R2123">
        <v>6.5342990000000004E-2</v>
      </c>
      <c r="S2123">
        <v>-3.070465</v>
      </c>
      <c r="T2123">
        <v>-0.191327</v>
      </c>
      <c r="U2123">
        <v>-0.56277469999999996</v>
      </c>
      <c r="V2123">
        <v>3.9469820000000003E-2</v>
      </c>
      <c r="W2123">
        <v>8.8800920000000005E-2</v>
      </c>
      <c r="X2123">
        <v>0.99526709999999996</v>
      </c>
      <c r="Y2123">
        <v>-0.20497570000000001</v>
      </c>
      <c r="Z2123">
        <v>-7.9090600000000007E-3</v>
      </c>
      <c r="AA2123">
        <v>0.97873509999999997</v>
      </c>
      <c r="AB2123">
        <v>34</v>
      </c>
      <c r="AC2123">
        <v>-17.468799999999899</v>
      </c>
      <c r="AD2123">
        <v>-1.1117860952309999</v>
      </c>
      <c r="AE2123">
        <v>-3.2776000000000001</v>
      </c>
      <c r="AF2123">
        <v>-3.7092875207027398</v>
      </c>
      <c r="AG2123">
        <v>-1.1117860952309999</v>
      </c>
      <c r="AH2123">
        <v>17.3114158542658</v>
      </c>
      <c r="AI2123">
        <v>93.5933045618535</v>
      </c>
      <c r="AJ2123">
        <v>102.093802717351</v>
      </c>
      <c r="AK2123">
        <v>17.739222111245901</v>
      </c>
      <c r="AL2123">
        <v>84.905371522644003</v>
      </c>
      <c r="AM2123">
        <v>87.728981820023293</v>
      </c>
      <c r="AN2123">
        <v>1.00000003521304</v>
      </c>
    </row>
    <row r="2124" spans="1:40" x14ac:dyDescent="0.25">
      <c r="A2124" t="str">
        <f>"20190312154551813"</f>
        <v>20190312154551813</v>
      </c>
      <c r="B2124" t="str">
        <f>"1552376751809073"</f>
        <v>1552376751809073</v>
      </c>
      <c r="C2124" t="s">
        <v>40</v>
      </c>
      <c r="D2124">
        <v>4.3359569999999996</v>
      </c>
      <c r="E2124">
        <v>0.40428219999999998</v>
      </c>
      <c r="F2124" t="s">
        <v>54</v>
      </c>
      <c r="G2124">
        <v>-468.40539999999999</v>
      </c>
      <c r="H2124" s="1">
        <v>3.122687E-6</v>
      </c>
      <c r="I2124">
        <v>280.34829999999999</v>
      </c>
      <c r="J2124">
        <v>-450.90069999999997</v>
      </c>
      <c r="K2124">
        <v>1.1119490000000001</v>
      </c>
      <c r="L2124">
        <v>283.75240000000002</v>
      </c>
      <c r="M2124">
        <v>-0.99962660000000003</v>
      </c>
      <c r="N2124">
        <v>0</v>
      </c>
      <c r="O2124">
        <v>2.3101429999999999E-2</v>
      </c>
      <c r="P2124">
        <v>-0.99545519999999998</v>
      </c>
      <c r="Q2124">
        <v>7.4150519999999998E-2</v>
      </c>
      <c r="R2124">
        <v>5.9755040000000002E-2</v>
      </c>
      <c r="S2124">
        <v>-3.067291</v>
      </c>
      <c r="T2124">
        <v>-0.1908484</v>
      </c>
      <c r="U2124">
        <v>-0.58319089999999996</v>
      </c>
      <c r="V2124">
        <v>3.6332620000000003E-2</v>
      </c>
      <c r="W2124">
        <v>8.8861700000000002E-2</v>
      </c>
      <c r="X2124">
        <v>0.99538110000000002</v>
      </c>
      <c r="Y2124">
        <v>-0.20899980000000001</v>
      </c>
      <c r="Z2124">
        <v>-7.8623619999999995E-3</v>
      </c>
      <c r="AA2124">
        <v>0.97788410000000003</v>
      </c>
      <c r="AB2124">
        <v>34</v>
      </c>
      <c r="AC2124">
        <v>-17.5047</v>
      </c>
      <c r="AD2124">
        <v>-1.111945877313</v>
      </c>
      <c r="AE2124">
        <v>-3.4041000000000201</v>
      </c>
      <c r="AF2124">
        <v>-3.7928709713037998</v>
      </c>
      <c r="AG2124">
        <v>-1.111945877313</v>
      </c>
      <c r="AH2124">
        <v>17.3539058721944</v>
      </c>
      <c r="AI2124">
        <v>93.581872228142004</v>
      </c>
      <c r="AJ2124">
        <v>102.32870190986399</v>
      </c>
      <c r="AK2124">
        <v>17.798324158751999</v>
      </c>
      <c r="AL2124">
        <v>84.901875071312901</v>
      </c>
      <c r="AM2124">
        <v>87.909562467486893</v>
      </c>
      <c r="AN2124">
        <v>0.99999999762008196</v>
      </c>
    </row>
    <row r="2125" spans="1:40" x14ac:dyDescent="0.25">
      <c r="A2125" t="str">
        <f>"20190312154551841"</f>
        <v>20190312154551841</v>
      </c>
      <c r="B2125" t="str">
        <f>"1552376751828594"</f>
        <v>1552376751828594</v>
      </c>
      <c r="C2125" t="s">
        <v>40</v>
      </c>
      <c r="D2125">
        <v>4.3510809999999998</v>
      </c>
      <c r="E2125">
        <v>0.40443279999999998</v>
      </c>
      <c r="F2125" t="s">
        <v>54</v>
      </c>
      <c r="G2125">
        <v>-468.76639999999998</v>
      </c>
      <c r="H2125" s="1">
        <v>3.3192030000000002E-6</v>
      </c>
      <c r="I2125">
        <v>280.2484</v>
      </c>
      <c r="J2125">
        <v>-451.31970000000001</v>
      </c>
      <c r="K2125">
        <v>1.1121239999999999</v>
      </c>
      <c r="L2125">
        <v>283.75900000000001</v>
      </c>
      <c r="M2125">
        <v>-0.99969379999999997</v>
      </c>
      <c r="N2125">
        <v>0</v>
      </c>
      <c r="O2125">
        <v>1.9981490000000001E-2</v>
      </c>
      <c r="P2125">
        <v>-0.99582959999999998</v>
      </c>
      <c r="Q2125">
        <v>7.4380039999999994E-2</v>
      </c>
      <c r="R2125">
        <v>5.2830050000000003E-2</v>
      </c>
      <c r="S2125">
        <v>-3.0639949999999998</v>
      </c>
      <c r="T2125">
        <v>-0.19070010000000001</v>
      </c>
      <c r="U2125">
        <v>-0.60095209999999999</v>
      </c>
      <c r="V2125">
        <v>3.2471510000000002E-2</v>
      </c>
      <c r="W2125">
        <v>8.9090630000000004E-2</v>
      </c>
      <c r="X2125">
        <v>0.99549410000000005</v>
      </c>
      <c r="Y2125">
        <v>-0.21160609999999999</v>
      </c>
      <c r="Z2125">
        <v>-7.7482109999999996E-3</v>
      </c>
      <c r="AA2125">
        <v>0.97732430000000003</v>
      </c>
      <c r="AB2125">
        <v>34</v>
      </c>
      <c r="AC2125">
        <v>-17.4466999999999</v>
      </c>
      <c r="AD2125">
        <v>-1.1121206807970001</v>
      </c>
      <c r="AE2125">
        <v>-3.5106000000000099</v>
      </c>
      <c r="AF2125">
        <v>-3.8435375003317902</v>
      </c>
      <c r="AG2125">
        <v>-1.1121206807970001</v>
      </c>
      <c r="AH2125">
        <v>17.3054807133047</v>
      </c>
      <c r="AI2125">
        <v>93.589768415451204</v>
      </c>
      <c r="AJ2125">
        <v>102.522103449287</v>
      </c>
      <c r="AK2125">
        <v>17.762017217750799</v>
      </c>
      <c r="AL2125">
        <v>84.888706238129203</v>
      </c>
      <c r="AM2125">
        <v>88.131760831893104</v>
      </c>
      <c r="AN2125">
        <v>1.0000000212251401</v>
      </c>
    </row>
    <row r="2126" spans="1:40" x14ac:dyDescent="0.25">
      <c r="A2126" t="str">
        <f>"20190312154551864"</f>
        <v>20190312154551864</v>
      </c>
      <c r="B2126" t="str">
        <f>"1552376751858849"</f>
        <v>1552376751858849</v>
      </c>
      <c r="C2126" t="s">
        <v>40</v>
      </c>
      <c r="D2126">
        <v>4.3021609999999999</v>
      </c>
      <c r="E2126">
        <v>0.40470879999999998</v>
      </c>
      <c r="F2126" t="s">
        <v>54</v>
      </c>
      <c r="G2126">
        <v>-469.53800000000001</v>
      </c>
      <c r="H2126" s="1">
        <v>3.738097E-6</v>
      </c>
      <c r="I2126">
        <v>280.05849999999998</v>
      </c>
      <c r="J2126">
        <v>-451.65980000000002</v>
      </c>
      <c r="K2126">
        <v>1.1122840000000001</v>
      </c>
      <c r="L2126">
        <v>283.76310000000001</v>
      </c>
      <c r="M2126">
        <v>-0.99974510000000005</v>
      </c>
      <c r="N2126">
        <v>0</v>
      </c>
      <c r="O2126">
        <v>1.722079E-2</v>
      </c>
      <c r="P2126">
        <v>-0.99597950000000002</v>
      </c>
      <c r="Q2126">
        <v>7.4269799999999997E-2</v>
      </c>
      <c r="R2126">
        <v>5.0091910000000003E-2</v>
      </c>
      <c r="S2126">
        <v>-3.0594790000000001</v>
      </c>
      <c r="T2126">
        <v>-0.18676300000000001</v>
      </c>
      <c r="U2126">
        <v>-0.62142940000000002</v>
      </c>
      <c r="V2126">
        <v>3.2449859999999997E-2</v>
      </c>
      <c r="W2126">
        <v>8.8994690000000001E-2</v>
      </c>
      <c r="X2126">
        <v>0.99550340000000004</v>
      </c>
      <c r="Y2126">
        <v>-0.2154837</v>
      </c>
      <c r="Z2126">
        <v>-7.544841E-3</v>
      </c>
      <c r="AA2126">
        <v>0.97647830000000002</v>
      </c>
      <c r="AB2126">
        <v>34</v>
      </c>
      <c r="AC2126">
        <v>-17.8781999999999</v>
      </c>
      <c r="AD2126">
        <v>-1.1122802619029999</v>
      </c>
      <c r="AE2126">
        <v>-3.7046000000000201</v>
      </c>
      <c r="AF2126">
        <v>-3.9971256652396101</v>
      </c>
      <c r="AG2126">
        <v>-1.1122802619029999</v>
      </c>
      <c r="AH2126">
        <v>17.745885568169001</v>
      </c>
      <c r="AI2126">
        <v>93.499068011074101</v>
      </c>
      <c r="AJ2126">
        <v>102.69360149209599</v>
      </c>
      <c r="AK2126">
        <v>18.224451584705701</v>
      </c>
      <c r="AL2126">
        <v>84.894225181682103</v>
      </c>
      <c r="AM2126">
        <v>88.133023005827894</v>
      </c>
      <c r="AN2126">
        <v>1.00000003383688</v>
      </c>
    </row>
    <row r="2127" spans="1:40" x14ac:dyDescent="0.25">
      <c r="A2127" t="str">
        <f>"20190312154551886"</f>
        <v>20190312154551886</v>
      </c>
      <c r="B2127" t="str">
        <f>"1552376751878369"</f>
        <v>1552376751878369</v>
      </c>
      <c r="C2127" t="s">
        <v>40</v>
      </c>
      <c r="D2127">
        <v>4.2789060000000001</v>
      </c>
      <c r="E2127">
        <v>0.41228930000000003</v>
      </c>
      <c r="F2127" t="s">
        <v>53</v>
      </c>
      <c r="G2127">
        <v>-470.27089999999998</v>
      </c>
      <c r="H2127" s="1">
        <v>6.0849040000000001E-6</v>
      </c>
      <c r="I2127">
        <v>279.93709999999999</v>
      </c>
      <c r="J2127">
        <v>-451.9862</v>
      </c>
      <c r="K2127">
        <v>1.112466</v>
      </c>
      <c r="L2127">
        <v>283.76589999999999</v>
      </c>
      <c r="M2127">
        <v>-0.99979030000000002</v>
      </c>
      <c r="N2127">
        <v>0</v>
      </c>
      <c r="O2127">
        <v>1.435841E-2</v>
      </c>
      <c r="P2127">
        <v>-0.99610019999999999</v>
      </c>
      <c r="Q2127">
        <v>7.4138170000000003E-2</v>
      </c>
      <c r="R2127">
        <v>4.7831129999999999E-2</v>
      </c>
      <c r="S2127">
        <v>-3.0573429999999999</v>
      </c>
      <c r="T2127">
        <v>-0.18271960000000001</v>
      </c>
      <c r="U2127">
        <v>-0.62850950000000005</v>
      </c>
      <c r="V2127">
        <v>3.3005E-2</v>
      </c>
      <c r="W2127">
        <v>8.8882610000000001E-2</v>
      </c>
      <c r="X2127">
        <v>0.99549509999999997</v>
      </c>
      <c r="Y2127">
        <v>-0.21501509999999999</v>
      </c>
      <c r="Z2127">
        <v>-7.202005E-3</v>
      </c>
      <c r="AA2127">
        <v>0.97658420000000001</v>
      </c>
      <c r="AB2127">
        <v>34</v>
      </c>
      <c r="AC2127">
        <v>-18.284699999999901</v>
      </c>
      <c r="AD2127">
        <v>-1.112459915096</v>
      </c>
      <c r="AE2127">
        <v>-3.8288000000000002</v>
      </c>
      <c r="AF2127">
        <v>-4.0765165287783498</v>
      </c>
      <c r="AG2127">
        <v>-1.112459915096</v>
      </c>
      <c r="AH2127">
        <v>18.1634233055286</v>
      </c>
      <c r="AI2127">
        <v>93.419965099867397</v>
      </c>
      <c r="AJ2127">
        <v>102.649593405641</v>
      </c>
      <c r="AK2127">
        <v>18.648471793900999</v>
      </c>
      <c r="AL2127">
        <v>84.900672122272297</v>
      </c>
      <c r="AM2127">
        <v>88.101090831514796</v>
      </c>
      <c r="AN2127">
        <v>0.99999997125470996</v>
      </c>
    </row>
    <row r="2128" spans="1:40" x14ac:dyDescent="0.25">
      <c r="A2128" t="str">
        <f>"20190312154551908"</f>
        <v>20190312154551908</v>
      </c>
      <c r="B2128" t="str">
        <f>"1552376751898866"</f>
        <v>1552376751898866</v>
      </c>
      <c r="C2128" t="s">
        <v>40</v>
      </c>
      <c r="D2128">
        <v>4.2064899999999996</v>
      </c>
      <c r="E2128">
        <v>0.41242889999999999</v>
      </c>
      <c r="F2128" t="s">
        <v>53</v>
      </c>
      <c r="G2128">
        <v>-481.43079999999998</v>
      </c>
      <c r="H2128" s="1">
        <v>1.648702E-6</v>
      </c>
      <c r="I2128">
        <v>278.23610000000002</v>
      </c>
      <c r="J2128">
        <v>-452.32139999999998</v>
      </c>
      <c r="K2128">
        <v>1.1126389999999999</v>
      </c>
      <c r="L2128">
        <v>283.76760000000002</v>
      </c>
      <c r="M2128">
        <v>-0.99983</v>
      </c>
      <c r="N2128">
        <v>0</v>
      </c>
      <c r="O2128">
        <v>1.1244850000000001E-2</v>
      </c>
      <c r="P2128">
        <v>-0.99608890000000005</v>
      </c>
      <c r="Q2128">
        <v>7.4881340000000005E-2</v>
      </c>
      <c r="R2128">
        <v>4.6899410000000002E-2</v>
      </c>
      <c r="S2128">
        <v>-3.0477910000000001</v>
      </c>
      <c r="T2128">
        <v>-0.11515060000000001</v>
      </c>
      <c r="U2128">
        <v>-0.57238769999999894</v>
      </c>
      <c r="V2128">
        <v>3.5135550000000002E-2</v>
      </c>
      <c r="W2128">
        <v>8.9655310000000002E-2</v>
      </c>
      <c r="X2128">
        <v>0.99535289999999998</v>
      </c>
      <c r="Y2128">
        <v>-0.19547590000000001</v>
      </c>
      <c r="Z2128">
        <v>-4.0805999999999898E-3</v>
      </c>
      <c r="AA2128">
        <v>0.98070000000000002</v>
      </c>
      <c r="AB2128">
        <v>34</v>
      </c>
      <c r="AC2128">
        <v>-29.109399999999901</v>
      </c>
      <c r="AD2128">
        <v>-1.1126373512979999</v>
      </c>
      <c r="AE2128">
        <v>-5.5314999999999896</v>
      </c>
      <c r="AF2128">
        <v>-5.8502668017722703</v>
      </c>
      <c r="AG2128">
        <v>-1.1126373512979999</v>
      </c>
      <c r="AH2128">
        <v>29.004453833013098</v>
      </c>
      <c r="AI2128">
        <v>92.153513472504201</v>
      </c>
      <c r="AJ2128">
        <v>101.40368830178301</v>
      </c>
      <c r="AK2128">
        <v>29.609490466382798</v>
      </c>
      <c r="AL2128">
        <v>84.856222296257698</v>
      </c>
      <c r="AM2128">
        <v>87.978321865399593</v>
      </c>
      <c r="AN2128">
        <v>0.99999998851170402</v>
      </c>
    </row>
    <row r="2129" spans="1:40" x14ac:dyDescent="0.25">
      <c r="A2129" t="str">
        <f>"20190312154551931"</f>
        <v>20190312154551931</v>
      </c>
      <c r="B2129" t="str">
        <f>"1552376751918386"</f>
        <v>1552376751918386</v>
      </c>
      <c r="C2129" t="s">
        <v>40</v>
      </c>
      <c r="D2129">
        <v>4.2086220000000001</v>
      </c>
      <c r="E2129">
        <v>0.41280929999999999</v>
      </c>
      <c r="F2129" t="s">
        <v>53</v>
      </c>
      <c r="G2129">
        <v>-481.95370000000003</v>
      </c>
      <c r="H2129" s="1">
        <v>1.6857049999999999E-6</v>
      </c>
      <c r="I2129">
        <v>278.18279999999999</v>
      </c>
      <c r="J2129">
        <v>-452.65730000000002</v>
      </c>
      <c r="K2129">
        <v>1.1128100000000001</v>
      </c>
      <c r="L2129">
        <v>283.7681</v>
      </c>
      <c r="M2129">
        <v>-0.99986169999999996</v>
      </c>
      <c r="N2129">
        <v>0</v>
      </c>
      <c r="O2129">
        <v>7.9454620000000004E-3</v>
      </c>
      <c r="P2129">
        <v>-0.99609879999999995</v>
      </c>
      <c r="Q2129">
        <v>7.5500860000000003E-2</v>
      </c>
      <c r="R2129">
        <v>4.5683340000000003E-2</v>
      </c>
      <c r="S2129">
        <v>-3.0473940000000002</v>
      </c>
      <c r="T2129">
        <v>-0.1144241</v>
      </c>
      <c r="U2129">
        <v>-0.57434079999999998</v>
      </c>
      <c r="V2129">
        <v>3.716796E-2</v>
      </c>
      <c r="W2129">
        <v>9.0304519999999999E-2</v>
      </c>
      <c r="X2129">
        <v>0.99522040000000001</v>
      </c>
      <c r="Y2129">
        <v>-0.19287509999999999</v>
      </c>
      <c r="Z2129">
        <v>-3.8839439999999999E-3</v>
      </c>
      <c r="AA2129">
        <v>0.98121559999999997</v>
      </c>
      <c r="AB2129">
        <v>34</v>
      </c>
      <c r="AC2129">
        <v>-29.296399999999998</v>
      </c>
      <c r="AD2129">
        <v>-1.112808314295</v>
      </c>
      <c r="AE2129">
        <v>-5.5853000000000099</v>
      </c>
      <c r="AF2129">
        <v>-5.8098333852597497</v>
      </c>
      <c r="AG2129">
        <v>-1.112808314295</v>
      </c>
      <c r="AH2129">
        <v>29.2104252440629</v>
      </c>
      <c r="AI2129">
        <v>92.139825901492898</v>
      </c>
      <c r="AJ2129">
        <v>101.249091578969</v>
      </c>
      <c r="AK2129">
        <v>29.803379829271499</v>
      </c>
      <c r="AL2129">
        <v>84.818873881837504</v>
      </c>
      <c r="AM2129">
        <v>87.861199396895699</v>
      </c>
      <c r="AN2129">
        <v>1.00000000407957</v>
      </c>
    </row>
    <row r="2130" spans="1:40" x14ac:dyDescent="0.25">
      <c r="A2130" t="str">
        <f>"20190312154551953"</f>
        <v>20190312154551953</v>
      </c>
      <c r="B2130" t="str">
        <f>"1552376751948641"</f>
        <v>1552376751948641</v>
      </c>
      <c r="C2130" t="s">
        <v>40</v>
      </c>
      <c r="D2130">
        <v>4.144317</v>
      </c>
      <c r="E2130">
        <v>0.41298620000000003</v>
      </c>
      <c r="F2130" t="s">
        <v>53</v>
      </c>
      <c r="G2130">
        <v>-483.0394</v>
      </c>
      <c r="H2130" s="1">
        <v>1.7556489999999901E-6</v>
      </c>
      <c r="I2130">
        <v>278.03320000000002</v>
      </c>
      <c r="J2130">
        <v>-452.99299999999999</v>
      </c>
      <c r="K2130">
        <v>1.112967</v>
      </c>
      <c r="L2130">
        <v>283.76729999999998</v>
      </c>
      <c r="M2130">
        <v>-0.99988319999999997</v>
      </c>
      <c r="N2130">
        <v>0</v>
      </c>
      <c r="O2130">
        <v>4.466327E-3</v>
      </c>
      <c r="P2130">
        <v>-0.99621320000000002</v>
      </c>
      <c r="Q2130">
        <v>7.4645539999999996E-2</v>
      </c>
      <c r="R2130">
        <v>4.4581580000000003E-2</v>
      </c>
      <c r="S2130">
        <v>-3.0466000000000002</v>
      </c>
      <c r="T2130">
        <v>-0.11158800000000001</v>
      </c>
      <c r="U2130">
        <v>-0.57507319999999995</v>
      </c>
      <c r="V2130">
        <v>3.9504379999999999E-2</v>
      </c>
      <c r="W2130">
        <v>8.9483409999999999E-2</v>
      </c>
      <c r="X2130">
        <v>0.99520459999999999</v>
      </c>
      <c r="Y2130">
        <v>-0.1897452</v>
      </c>
      <c r="Z2130">
        <v>-3.6055050000000002E-3</v>
      </c>
      <c r="AA2130">
        <v>0.98182670000000005</v>
      </c>
      <c r="AB2130">
        <v>34</v>
      </c>
      <c r="AC2130">
        <v>-30.046399999999899</v>
      </c>
      <c r="AD2130">
        <v>-1.1129652443510001</v>
      </c>
      <c r="AE2130">
        <v>-5.73409999999995</v>
      </c>
      <c r="AF2130">
        <v>-5.8604956993802704</v>
      </c>
      <c r="AG2130">
        <v>-1.1129652443510001</v>
      </c>
      <c r="AH2130">
        <v>29.980796746481602</v>
      </c>
      <c r="AI2130">
        <v>92.086538089125</v>
      </c>
      <c r="AJ2130">
        <v>101.060424195015</v>
      </c>
      <c r="AK2130">
        <v>30.568484997320901</v>
      </c>
      <c r="AL2130">
        <v>84.866111434333803</v>
      </c>
      <c r="AM2130">
        <v>87.726852790756695</v>
      </c>
      <c r="AN2130">
        <v>1.0000000362827799</v>
      </c>
    </row>
    <row r="2131" spans="1:40" x14ac:dyDescent="0.25">
      <c r="A2131" t="str">
        <f>"20190312154551977"</f>
        <v>20190312154551977</v>
      </c>
      <c r="B2131" t="str">
        <f>"1552376751969137"</f>
        <v>1552376751969137</v>
      </c>
      <c r="C2131" t="s">
        <v>40</v>
      </c>
      <c r="D2131">
        <v>4.2238069999999999</v>
      </c>
      <c r="E2131">
        <v>0.41264919999999999</v>
      </c>
      <c r="F2131" t="s">
        <v>53</v>
      </c>
      <c r="G2131">
        <v>-483.9581</v>
      </c>
      <c r="H2131" s="1">
        <v>1.864044E-6</v>
      </c>
      <c r="I2131">
        <v>277.90010000000001</v>
      </c>
      <c r="J2131">
        <v>-453.35550000000001</v>
      </c>
      <c r="K2131">
        <v>1.1131180000000001</v>
      </c>
      <c r="L2131">
        <v>283.76499999999999</v>
      </c>
      <c r="M2131">
        <v>-0.99989300000000003</v>
      </c>
      <c r="N2131">
        <v>0</v>
      </c>
      <c r="O2131">
        <v>5.1878639999999995E-4</v>
      </c>
      <c r="P2131">
        <v>-0.99637410000000004</v>
      </c>
      <c r="Q2131">
        <v>7.4056720000000006E-2</v>
      </c>
      <c r="R2131">
        <v>4.1885550000000001E-2</v>
      </c>
      <c r="S2131">
        <v>-3.0455019999999999</v>
      </c>
      <c r="T2131">
        <v>-0.109463</v>
      </c>
      <c r="U2131">
        <v>-0.57705689999999998</v>
      </c>
      <c r="V2131">
        <v>4.0711959999999998E-2</v>
      </c>
      <c r="W2131">
        <v>8.8922500000000002E-2</v>
      </c>
      <c r="X2131">
        <v>0.99520620000000004</v>
      </c>
      <c r="Y2131">
        <v>-0.18655920000000001</v>
      </c>
      <c r="Z2131">
        <v>-3.340572E-3</v>
      </c>
      <c r="AA2131">
        <v>0.98243800000000003</v>
      </c>
      <c r="AB2131">
        <v>33</v>
      </c>
      <c r="AC2131">
        <v>-30.602599999999899</v>
      </c>
      <c r="AD2131">
        <v>-1.113116135956</v>
      </c>
      <c r="AE2131">
        <v>-5.8648999999999702</v>
      </c>
      <c r="AF2131">
        <v>-5.8732819745341596</v>
      </c>
      <c r="AG2131">
        <v>-1.113116135956</v>
      </c>
      <c r="AH2131">
        <v>30.560553300334298</v>
      </c>
      <c r="AI2131">
        <v>92.048523735993399</v>
      </c>
      <c r="AJ2131">
        <v>100.878751539155</v>
      </c>
      <c r="AK2131">
        <v>31.139715584877901</v>
      </c>
      <c r="AL2131">
        <v>84.898377795885096</v>
      </c>
      <c r="AM2131">
        <v>87.657446670844806</v>
      </c>
      <c r="AN2131">
        <v>1.00000002760586</v>
      </c>
    </row>
    <row r="2132" spans="1:40" x14ac:dyDescent="0.25">
      <c r="A2132" t="str">
        <f>"20190312154552005"</f>
        <v>20190312154552005</v>
      </c>
      <c r="B2132" t="str">
        <f>"1552376751998418"</f>
        <v>1552376751998418</v>
      </c>
      <c r="C2132" t="s">
        <v>40</v>
      </c>
      <c r="D2132">
        <v>4.1583759999999996</v>
      </c>
      <c r="E2132">
        <v>0.41259040000000002</v>
      </c>
      <c r="F2132" t="s">
        <v>53</v>
      </c>
      <c r="G2132">
        <v>-483.7534</v>
      </c>
      <c r="H2132" s="1">
        <v>1.8259449999999999E-6</v>
      </c>
      <c r="I2132">
        <v>277.89499999999998</v>
      </c>
      <c r="J2132">
        <v>-453.7457</v>
      </c>
      <c r="K2132">
        <v>1.1132660000000001</v>
      </c>
      <c r="L2132">
        <v>283.76069999999999</v>
      </c>
      <c r="M2132">
        <v>-0.99988549999999998</v>
      </c>
      <c r="N2132">
        <v>0</v>
      </c>
      <c r="O2132">
        <v>-3.9057390000000001E-3</v>
      </c>
      <c r="P2132">
        <v>-0.99658080000000004</v>
      </c>
      <c r="Q2132">
        <v>7.3637140000000004E-2</v>
      </c>
      <c r="R2132">
        <v>3.7475229999999998E-2</v>
      </c>
      <c r="S2132">
        <v>-3.0439449999999999</v>
      </c>
      <c r="T2132">
        <v>-0.1114638</v>
      </c>
      <c r="U2132">
        <v>-0.58779910000000002</v>
      </c>
      <c r="V2132">
        <v>4.0682070000000001E-2</v>
      </c>
      <c r="W2132">
        <v>8.8522580000000003E-2</v>
      </c>
      <c r="X2132">
        <v>0.99524310000000005</v>
      </c>
      <c r="Y2132">
        <v>-0.18564749999999999</v>
      </c>
      <c r="Z2132">
        <v>-3.2251630000000001E-3</v>
      </c>
      <c r="AA2132">
        <v>0.98261109999999896</v>
      </c>
      <c r="AB2132">
        <v>33</v>
      </c>
      <c r="AC2132">
        <v>-30.0077</v>
      </c>
      <c r="AD2132">
        <v>-1.113264174055</v>
      </c>
      <c r="AE2132">
        <v>-5.8657000000000004</v>
      </c>
      <c r="AF2132">
        <v>-5.7408298489497804</v>
      </c>
      <c r="AG2132">
        <v>-1.113264174055</v>
      </c>
      <c r="AH2132">
        <v>29.990624777415501</v>
      </c>
      <c r="AI2132">
        <v>92.087991150463196</v>
      </c>
      <c r="AJ2132">
        <v>100.83651690926</v>
      </c>
      <c r="AK2132">
        <v>30.555426015939499</v>
      </c>
      <c r="AL2132">
        <v>84.921382373892698</v>
      </c>
      <c r="AM2132">
        <v>87.659251311275398</v>
      </c>
      <c r="AN2132">
        <v>1.0000000530434701</v>
      </c>
    </row>
    <row r="2133" spans="1:40" x14ac:dyDescent="0.25">
      <c r="A2133" t="str">
        <f>"20190312154552022"</f>
        <v>20190312154552022</v>
      </c>
      <c r="B2133" t="str">
        <f>"1552376752018913"</f>
        <v>1552376752018913</v>
      </c>
      <c r="C2133" t="s">
        <v>40</v>
      </c>
      <c r="D2133">
        <v>4.1519409999999999</v>
      </c>
      <c r="E2133">
        <v>0.41272510000000001</v>
      </c>
      <c r="F2133" t="s">
        <v>53</v>
      </c>
      <c r="G2133">
        <v>-484.40089999999998</v>
      </c>
      <c r="H2133" s="1">
        <v>1.8732980000000001E-6</v>
      </c>
      <c r="I2133">
        <v>277.70400000000001</v>
      </c>
      <c r="J2133">
        <v>-454.03140000000002</v>
      </c>
      <c r="K2133">
        <v>1.113348</v>
      </c>
      <c r="L2133">
        <v>283.75639999999999</v>
      </c>
      <c r="M2133">
        <v>-0.99986679999999994</v>
      </c>
      <c r="N2133">
        <v>0</v>
      </c>
      <c r="O2133">
        <v>-7.2371819999999896E-3</v>
      </c>
      <c r="P2133">
        <v>-0.99672709999999998</v>
      </c>
      <c r="Q2133">
        <v>7.3561539999999995E-2</v>
      </c>
      <c r="R2133">
        <v>3.35231E-2</v>
      </c>
      <c r="S2133">
        <v>-3.0410460000000001</v>
      </c>
      <c r="T2133">
        <v>-0.11043740000000001</v>
      </c>
      <c r="U2133">
        <v>-0.60083009999999903</v>
      </c>
      <c r="V2133">
        <v>4.0032819999999997E-2</v>
      </c>
      <c r="W2133">
        <v>8.845372E-2</v>
      </c>
      <c r="X2133">
        <v>0.99527549999999998</v>
      </c>
      <c r="Y2133">
        <v>-0.1866072</v>
      </c>
      <c r="Z2133">
        <v>-3.0946609999999999E-3</v>
      </c>
      <c r="AA2133">
        <v>0.98242969999999996</v>
      </c>
      <c r="AB2133">
        <v>33</v>
      </c>
      <c r="AC2133">
        <v>-30.369499999999899</v>
      </c>
      <c r="AD2133">
        <v>-1.1133461267019999</v>
      </c>
      <c r="AE2133">
        <v>-6.0523999999999702</v>
      </c>
      <c r="AF2133">
        <v>-5.82489897763252</v>
      </c>
      <c r="AG2133">
        <v>-1.1133461267019999</v>
      </c>
      <c r="AH2133">
        <v>30.3732505207016</v>
      </c>
      <c r="AI2133">
        <v>92.061726546935205</v>
      </c>
      <c r="AJ2133">
        <v>100.85621689699499</v>
      </c>
      <c r="AK2133">
        <v>30.946782302700999</v>
      </c>
      <c r="AL2133">
        <v>84.925343049732604</v>
      </c>
      <c r="AM2133">
        <v>87.696641939228101</v>
      </c>
      <c r="AN2133">
        <v>1.00000000407962</v>
      </c>
    </row>
    <row r="2134" spans="1:40" x14ac:dyDescent="0.25">
      <c r="A2134" t="str">
        <f>"20190312154552043"</f>
        <v>20190312154552043</v>
      </c>
      <c r="B2134" t="str">
        <f>"1552376752038434"</f>
        <v>1552376752038434</v>
      </c>
      <c r="C2134" t="s">
        <v>40</v>
      </c>
      <c r="D2134">
        <v>4.1160909999999999</v>
      </c>
      <c r="E2134">
        <v>0.41278619999999999</v>
      </c>
      <c r="F2134" t="s">
        <v>53</v>
      </c>
      <c r="G2134">
        <v>-484.50049999999999</v>
      </c>
      <c r="H2134" s="1">
        <v>1.8620989999999999E-6</v>
      </c>
      <c r="I2134">
        <v>277.62240000000003</v>
      </c>
      <c r="J2134">
        <v>-454.3184</v>
      </c>
      <c r="K2134">
        <v>1.11341</v>
      </c>
      <c r="L2134">
        <v>283.7509</v>
      </c>
      <c r="M2134">
        <v>-0.99983639999999996</v>
      </c>
      <c r="N2134">
        <v>0</v>
      </c>
      <c r="O2134">
        <v>-1.063566E-2</v>
      </c>
      <c r="P2134">
        <v>-0.99693390000000004</v>
      </c>
      <c r="Q2134">
        <v>7.2744530000000002E-2</v>
      </c>
      <c r="R2134">
        <v>2.8833060000000001E-2</v>
      </c>
      <c r="S2134">
        <v>-3.038605</v>
      </c>
      <c r="T2134">
        <v>-0.11103109999999999</v>
      </c>
      <c r="U2134">
        <v>-0.61172490000000002</v>
      </c>
      <c r="V2134">
        <v>3.872432E-2</v>
      </c>
      <c r="W2134">
        <v>8.7635790000000005E-2</v>
      </c>
      <c r="X2134">
        <v>0.99539960000000005</v>
      </c>
      <c r="Y2134">
        <v>-0.18680640000000001</v>
      </c>
      <c r="Z2134">
        <v>-2.9933970000000001E-3</v>
      </c>
      <c r="AA2134">
        <v>0.98239219999999905</v>
      </c>
      <c r="AB2134">
        <v>33</v>
      </c>
      <c r="AC2134">
        <v>-30.182099999999899</v>
      </c>
      <c r="AD2134">
        <v>-1.1134081379009999</v>
      </c>
      <c r="AE2134">
        <v>-6.1284999999999696</v>
      </c>
      <c r="AF2134">
        <v>-5.7995326048950799</v>
      </c>
      <c r="AG2134">
        <v>-1.1134081379009999</v>
      </c>
      <c r="AH2134">
        <v>30.206101884296999</v>
      </c>
      <c r="AI2134">
        <v>92.073155875651906</v>
      </c>
      <c r="AJ2134">
        <v>100.86845407283</v>
      </c>
      <c r="AK2134">
        <v>30.777960412628399</v>
      </c>
      <c r="AL2134">
        <v>84.9723895921435</v>
      </c>
      <c r="AM2134">
        <v>87.772129116184502</v>
      </c>
      <c r="AN2134">
        <v>0.99999998416427305</v>
      </c>
    </row>
    <row r="2135" spans="1:40" x14ac:dyDescent="0.25">
      <c r="A2135" t="str">
        <f>"20190312154552065"</f>
        <v>20190312154552065</v>
      </c>
      <c r="B2135" t="str">
        <f>"1552376752058930"</f>
        <v>1552376752058930</v>
      </c>
      <c r="C2135" t="s">
        <v>40</v>
      </c>
      <c r="D2135">
        <v>4.2584419999999996</v>
      </c>
      <c r="E2135">
        <v>0.41295310000000002</v>
      </c>
      <c r="F2135" t="s">
        <v>53</v>
      </c>
      <c r="G2135">
        <v>-483.95839999999998</v>
      </c>
      <c r="H2135" s="1">
        <v>1.7752200000000001E-6</v>
      </c>
      <c r="I2135">
        <v>277.64870000000002</v>
      </c>
      <c r="J2135">
        <v>-454.64389999999997</v>
      </c>
      <c r="K2135">
        <v>1.113451</v>
      </c>
      <c r="L2135">
        <v>283.74360000000001</v>
      </c>
      <c r="M2135">
        <v>-0.99978769999999995</v>
      </c>
      <c r="N2135">
        <v>0</v>
      </c>
      <c r="O2135">
        <v>-1.450892E-2</v>
      </c>
      <c r="P2135">
        <v>-0.99713280000000004</v>
      </c>
      <c r="Q2135">
        <v>7.2008359999999993E-2</v>
      </c>
      <c r="R2135">
        <v>2.325911E-2</v>
      </c>
      <c r="S2135">
        <v>-3.0356139999999998</v>
      </c>
      <c r="T2135">
        <v>-0.1140308</v>
      </c>
      <c r="U2135">
        <v>-0.62496949999999996</v>
      </c>
      <c r="V2135">
        <v>3.7010759999999997E-2</v>
      </c>
      <c r="W2135">
        <v>8.6891910000000003E-2</v>
      </c>
      <c r="X2135">
        <v>0.99553000000000003</v>
      </c>
      <c r="Y2135">
        <v>-0.1872994</v>
      </c>
      <c r="Z2135">
        <v>-2.9411699999999999E-3</v>
      </c>
      <c r="AA2135">
        <v>0.98229840000000002</v>
      </c>
      <c r="AB2135">
        <v>33</v>
      </c>
      <c r="AC2135">
        <v>-29.314499999999999</v>
      </c>
      <c r="AD2135">
        <v>-1.1134492247800001</v>
      </c>
      <c r="AE2135">
        <v>-6.0948999999999902</v>
      </c>
      <c r="AF2135">
        <v>-5.6610622660437198</v>
      </c>
      <c r="AG2135">
        <v>-1.1134492247800001</v>
      </c>
      <c r="AH2135">
        <v>29.359252135536899</v>
      </c>
      <c r="AI2135">
        <v>92.132654116946696</v>
      </c>
      <c r="AJ2135">
        <v>100.913851807569</v>
      </c>
      <c r="AK2135">
        <v>29.920780088664401</v>
      </c>
      <c r="AL2135">
        <v>85.015174023129305</v>
      </c>
      <c r="AM2135">
        <v>87.870898723128704</v>
      </c>
      <c r="AN2135">
        <v>0.99999999063961198</v>
      </c>
    </row>
    <row r="2136" spans="1:40" x14ac:dyDescent="0.25">
      <c r="A2136" t="str">
        <f>"20190312154552089"</f>
        <v>20190312154552089</v>
      </c>
      <c r="B2136" t="str">
        <f>"1552376752078450"</f>
        <v>1552376752078450</v>
      </c>
      <c r="C2136" t="s">
        <v>40</v>
      </c>
      <c r="D2136">
        <v>4.1245640000000003</v>
      </c>
      <c r="E2136">
        <v>0.4131089</v>
      </c>
      <c r="F2136" t="s">
        <v>53</v>
      </c>
      <c r="G2136">
        <v>-483.81299999999999</v>
      </c>
      <c r="H2136" s="1">
        <v>1.745719E-6</v>
      </c>
      <c r="I2136">
        <v>277.5872</v>
      </c>
      <c r="J2136">
        <v>-454.99160000000001</v>
      </c>
      <c r="K2136">
        <v>1.1134630000000001</v>
      </c>
      <c r="L2136">
        <v>283.73430000000002</v>
      </c>
      <c r="M2136">
        <v>-0.99971940000000004</v>
      </c>
      <c r="N2136">
        <v>0</v>
      </c>
      <c r="O2136">
        <v>-1.862772E-2</v>
      </c>
      <c r="P2136">
        <v>-0.99727080000000001</v>
      </c>
      <c r="Q2136">
        <v>7.177588E-2</v>
      </c>
      <c r="R2136">
        <v>1.730396E-2</v>
      </c>
      <c r="S2136">
        <v>-3.0319820000000002</v>
      </c>
      <c r="T2136">
        <v>-0.1157376</v>
      </c>
      <c r="U2136">
        <v>-0.63992309999999997</v>
      </c>
      <c r="V2136">
        <v>3.5164859999999999E-2</v>
      </c>
      <c r="W2136">
        <v>8.6645369999999999E-2</v>
      </c>
      <c r="X2136">
        <v>0.99561840000000001</v>
      </c>
      <c r="Y2136">
        <v>-0.18812619999999999</v>
      </c>
      <c r="Z2136">
        <v>-2.8474580000000002E-3</v>
      </c>
      <c r="AA2136">
        <v>0.98214069999999998</v>
      </c>
      <c r="AB2136">
        <v>33</v>
      </c>
      <c r="AC2136">
        <v>-28.821400000000001</v>
      </c>
      <c r="AD2136">
        <v>-1.1134612542809901</v>
      </c>
      <c r="AE2136">
        <v>-6.1471000000000204</v>
      </c>
      <c r="AF2136">
        <v>-5.6011027011715901</v>
      </c>
      <c r="AG2136">
        <v>-1.1134612542809901</v>
      </c>
      <c r="AH2136">
        <v>28.8896744980986</v>
      </c>
      <c r="AI2136">
        <v>92.166882040162406</v>
      </c>
      <c r="AJ2136">
        <v>100.97232311614501</v>
      </c>
      <c r="AK2136">
        <v>29.448691652430799</v>
      </c>
      <c r="AL2136">
        <v>85.029353213314906</v>
      </c>
      <c r="AM2136">
        <v>87.977175905865494</v>
      </c>
      <c r="AN2136">
        <v>0.99999999296990805</v>
      </c>
    </row>
    <row r="2137" spans="1:40" x14ac:dyDescent="0.25">
      <c r="A2137" t="str">
        <f>"20190312154552109"</f>
        <v>20190312154552109</v>
      </c>
      <c r="B2137" t="str">
        <f>"1552376752098945"</f>
        <v>1552376752098945</v>
      </c>
      <c r="C2137" t="s">
        <v>40</v>
      </c>
      <c r="D2137">
        <v>4.1065779999999998</v>
      </c>
      <c r="E2137">
        <v>0.4132847</v>
      </c>
      <c r="F2137" t="s">
        <v>53</v>
      </c>
      <c r="G2137">
        <v>-483.86189999999999</v>
      </c>
      <c r="H2137" s="1">
        <v>1.7305880000000001E-6</v>
      </c>
      <c r="I2137">
        <v>277.47669999999999</v>
      </c>
      <c r="J2137">
        <v>-455.30520000000001</v>
      </c>
      <c r="K2137">
        <v>1.1134539999999999</v>
      </c>
      <c r="L2137">
        <v>283.72469999999998</v>
      </c>
      <c r="M2137">
        <v>-0.99964410000000004</v>
      </c>
      <c r="N2137">
        <v>0</v>
      </c>
      <c r="O2137">
        <v>-2.2311629999999999E-2</v>
      </c>
      <c r="P2137">
        <v>-0.99734650000000002</v>
      </c>
      <c r="Q2137">
        <v>7.1983720000000001E-2</v>
      </c>
      <c r="R2137">
        <v>1.0895760000000001E-2</v>
      </c>
      <c r="S2137">
        <v>-3.0279850000000001</v>
      </c>
      <c r="T2137">
        <v>-0.116782399999999</v>
      </c>
      <c r="U2137">
        <v>-0.65631099999999998</v>
      </c>
      <c r="V2137">
        <v>3.2433789999999997E-2</v>
      </c>
      <c r="W2137">
        <v>8.6828260000000004E-2</v>
      </c>
      <c r="X2137">
        <v>0.9956952</v>
      </c>
      <c r="Y2137">
        <v>-0.18985050000000001</v>
      </c>
      <c r="Z2137">
        <v>-2.7678749999999999E-3</v>
      </c>
      <c r="AA2137">
        <v>0.98180909999999999</v>
      </c>
      <c r="AB2137">
        <v>33</v>
      </c>
      <c r="AC2137">
        <v>-28.5566999999999</v>
      </c>
      <c r="AD2137">
        <v>-1.1134522694119999</v>
      </c>
      <c r="AE2137">
        <v>-6.2479999999999896</v>
      </c>
      <c r="AF2137">
        <v>-5.6011033448690002</v>
      </c>
      <c r="AG2137">
        <v>-1.1134522694119999</v>
      </c>
      <c r="AH2137">
        <v>28.647444808029199</v>
      </c>
      <c r="AI2137">
        <v>92.184497657176607</v>
      </c>
      <c r="AJ2137">
        <v>101.06282178321599</v>
      </c>
      <c r="AK2137">
        <v>29.211097697026698</v>
      </c>
      <c r="AL2137">
        <v>85.018834853698095</v>
      </c>
      <c r="AM2137">
        <v>88.134306129019194</v>
      </c>
      <c r="AN2137">
        <v>1.00000001438571</v>
      </c>
    </row>
    <row r="2138" spans="1:40" x14ac:dyDescent="0.25">
      <c r="A2138" t="str">
        <f>"20190312154552132"</f>
        <v>20190312154552132</v>
      </c>
      <c r="B2138" t="str">
        <f>"1552376752129201"</f>
        <v>1552376752129201</v>
      </c>
      <c r="C2138" t="s">
        <v>40</v>
      </c>
      <c r="D2138">
        <v>4.1259670000000002</v>
      </c>
      <c r="E2138">
        <v>0.41335139999999998</v>
      </c>
      <c r="F2138" t="s">
        <v>53</v>
      </c>
      <c r="G2138">
        <v>-484.23779999999999</v>
      </c>
      <c r="H2138" s="1">
        <v>1.728972E-6</v>
      </c>
      <c r="I2138">
        <v>277.27820000000003</v>
      </c>
      <c r="J2138">
        <v>-455.63099999999997</v>
      </c>
      <c r="K2138">
        <v>1.1134230000000001</v>
      </c>
      <c r="L2138">
        <v>283.71370000000002</v>
      </c>
      <c r="M2138">
        <v>-0.99955289999999997</v>
      </c>
      <c r="N2138">
        <v>0</v>
      </c>
      <c r="O2138">
        <v>-2.6079399999999999E-2</v>
      </c>
      <c r="P2138">
        <v>-0.99737109999999995</v>
      </c>
      <c r="Q2138">
        <v>7.2324349999999996E-2</v>
      </c>
      <c r="R2138">
        <v>4.5027699999999997E-3</v>
      </c>
      <c r="S2138">
        <v>-3.0238040000000002</v>
      </c>
      <c r="T2138">
        <v>-0.11636920000000001</v>
      </c>
      <c r="U2138">
        <v>-0.67373660000000002</v>
      </c>
      <c r="V2138">
        <v>2.980447E-2</v>
      </c>
      <c r="W2138">
        <v>8.7142720000000007E-2</v>
      </c>
      <c r="X2138">
        <v>0.99574989999999997</v>
      </c>
      <c r="Y2138">
        <v>-0.19182940000000001</v>
      </c>
      <c r="Z2138">
        <v>-2.6547570000000002E-3</v>
      </c>
      <c r="AA2138">
        <v>0.98142470000000004</v>
      </c>
      <c r="AB2138">
        <v>33</v>
      </c>
      <c r="AC2138">
        <v>-28.6068</v>
      </c>
      <c r="AD2138">
        <v>-1.113421271028</v>
      </c>
      <c r="AE2138">
        <v>-6.4354999999999896</v>
      </c>
      <c r="AF2138">
        <v>-5.67899406272194</v>
      </c>
      <c r="AG2138">
        <v>-1.113421271028</v>
      </c>
      <c r="AH2138">
        <v>28.723503119115598</v>
      </c>
      <c r="AI2138">
        <v>92.177754422368196</v>
      </c>
      <c r="AJ2138">
        <v>101.18385107501901</v>
      </c>
      <c r="AK2138">
        <v>29.3006879087344</v>
      </c>
      <c r="AL2138">
        <v>85.000749056933898</v>
      </c>
      <c r="AM2138">
        <v>88.285552782790603</v>
      </c>
      <c r="AN2138">
        <v>1.0000000117154899</v>
      </c>
    </row>
    <row r="2139" spans="1:40" x14ac:dyDescent="0.25">
      <c r="A2139" t="str">
        <f>"20190312154552154"</f>
        <v>20190312154552154</v>
      </c>
      <c r="B2139" t="str">
        <f>"1552376752148722"</f>
        <v>1552376752148722</v>
      </c>
      <c r="C2139" t="s">
        <v>40</v>
      </c>
      <c r="D2139">
        <v>4.1266939999999996</v>
      </c>
      <c r="E2139">
        <v>0.41345870000000001</v>
      </c>
      <c r="F2139" t="s">
        <v>53</v>
      </c>
      <c r="G2139">
        <v>-484.66629999999998</v>
      </c>
      <c r="H2139" s="1">
        <v>1.728398E-6</v>
      </c>
      <c r="I2139">
        <v>277.05919999999998</v>
      </c>
      <c r="J2139">
        <v>-455.9624</v>
      </c>
      <c r="K2139">
        <v>1.1133710000000001</v>
      </c>
      <c r="L2139">
        <v>283.70119999999997</v>
      </c>
      <c r="M2139">
        <v>-0.99944849999999996</v>
      </c>
      <c r="N2139">
        <v>0</v>
      </c>
      <c r="O2139">
        <v>-2.9818569999999999E-2</v>
      </c>
      <c r="P2139">
        <v>-0.99738539999999998</v>
      </c>
      <c r="Q2139">
        <v>7.2241369999999999E-2</v>
      </c>
      <c r="R2139">
        <v>-1.9410880000000001E-3</v>
      </c>
      <c r="S2139">
        <v>-3.0194399999999999</v>
      </c>
      <c r="T2139">
        <v>-0.1157869</v>
      </c>
      <c r="U2139">
        <v>-0.69201659999999998</v>
      </c>
      <c r="V2139">
        <v>2.710475E-2</v>
      </c>
      <c r="W2139">
        <v>8.70311E-2</v>
      </c>
      <c r="X2139">
        <v>0.99583679999999997</v>
      </c>
      <c r="Y2139">
        <v>-0.19411310000000001</v>
      </c>
      <c r="Z2139">
        <v>-2.5454420000000002E-3</v>
      </c>
      <c r="AA2139">
        <v>0.98097590000000001</v>
      </c>
      <c r="AB2139">
        <v>33</v>
      </c>
      <c r="AC2139">
        <v>-28.703899999999901</v>
      </c>
      <c r="AD2139">
        <v>-1.1133692716019901</v>
      </c>
      <c r="AE2139">
        <v>-6.6419999999999897</v>
      </c>
      <c r="AF2139">
        <v>-5.7747984929683804</v>
      </c>
      <c r="AG2139">
        <v>-1.1133692716019901</v>
      </c>
      <c r="AH2139">
        <v>28.8480130998643</v>
      </c>
      <c r="AI2139">
        <v>92.167240182350497</v>
      </c>
      <c r="AJ2139">
        <v>101.31985487712799</v>
      </c>
      <c r="AK2139">
        <v>29.441395153410699</v>
      </c>
      <c r="AL2139">
        <v>85.007168773771397</v>
      </c>
      <c r="AM2139">
        <v>88.440904720771002</v>
      </c>
      <c r="AN2139">
        <v>1.000000006037</v>
      </c>
    </row>
    <row r="2140" spans="1:40" x14ac:dyDescent="0.25">
      <c r="A2140" t="str">
        <f>"20190312154552178"</f>
        <v>20190312154552178</v>
      </c>
      <c r="B2140" t="str">
        <f>"1552376752169218"</f>
        <v>1552376752169218</v>
      </c>
      <c r="C2140" t="s">
        <v>40</v>
      </c>
      <c r="D2140">
        <v>4.133902</v>
      </c>
      <c r="E2140">
        <v>0.41354170000000001</v>
      </c>
      <c r="F2140" t="s">
        <v>53</v>
      </c>
      <c r="G2140">
        <v>-484.99529999999999</v>
      </c>
      <c r="H2140" s="1">
        <v>1.722416E-6</v>
      </c>
      <c r="I2140">
        <v>276.85950000000003</v>
      </c>
      <c r="J2140">
        <v>-456.30259999999998</v>
      </c>
      <c r="K2140">
        <v>1.1132959999999901</v>
      </c>
      <c r="L2140">
        <v>283.68729999999999</v>
      </c>
      <c r="M2140">
        <v>-0.99933090000000002</v>
      </c>
      <c r="N2140">
        <v>0</v>
      </c>
      <c r="O2140">
        <v>-3.3532840000000001E-2</v>
      </c>
      <c r="P2140">
        <v>-0.99736000000000002</v>
      </c>
      <c r="Q2140">
        <v>7.2158949999999999E-2</v>
      </c>
      <c r="R2140">
        <v>-8.1636260000000002E-3</v>
      </c>
      <c r="S2140">
        <v>-3.0148320000000002</v>
      </c>
      <c r="T2140">
        <v>-0.11561440000000001</v>
      </c>
      <c r="U2140">
        <v>-0.710449199999999</v>
      </c>
      <c r="V2140">
        <v>2.460704E-2</v>
      </c>
      <c r="W2140">
        <v>8.6919469999999999E-2</v>
      </c>
      <c r="X2140">
        <v>0.9959114</v>
      </c>
      <c r="Y2140">
        <v>-0.1964842</v>
      </c>
      <c r="Z2140">
        <v>-2.4483930000000001E-3</v>
      </c>
      <c r="AA2140">
        <v>0.98050389999999998</v>
      </c>
      <c r="AB2140">
        <v>33</v>
      </c>
      <c r="AC2140">
        <v>-28.692699999999999</v>
      </c>
      <c r="AD2140">
        <v>-1.11329427758399</v>
      </c>
      <c r="AE2140">
        <v>-6.8277999999999599</v>
      </c>
      <c r="AF2140">
        <v>-5.8533690739687003</v>
      </c>
      <c r="AG2140">
        <v>-1.11329427758399</v>
      </c>
      <c r="AH2140">
        <v>28.864414009060301</v>
      </c>
      <c r="AI2140">
        <v>92.164771647954097</v>
      </c>
      <c r="AJ2140">
        <v>101.463469986277</v>
      </c>
      <c r="AK2140">
        <v>29.472966422656398</v>
      </c>
      <c r="AL2140">
        <v>85.013589044507995</v>
      </c>
      <c r="AM2140">
        <v>88.584620340354604</v>
      </c>
      <c r="AN2140">
        <v>1.0000000086662999</v>
      </c>
    </row>
    <row r="2141" spans="1:40" x14ac:dyDescent="0.25">
      <c r="A2141" t="str">
        <f>"20190312154552201"</f>
        <v>20190312154552201</v>
      </c>
      <c r="B2141" t="str">
        <f>"1552376752188737"</f>
        <v>1552376752188737</v>
      </c>
      <c r="C2141" t="s">
        <v>40</v>
      </c>
      <c r="D2141">
        <v>4.2883930000000001</v>
      </c>
      <c r="E2141">
        <v>0.41365410000000002</v>
      </c>
      <c r="F2141" t="s">
        <v>53</v>
      </c>
      <c r="G2141">
        <v>-485.5496</v>
      </c>
      <c r="H2141" s="1">
        <v>1.727546E-6</v>
      </c>
      <c r="I2141">
        <v>276.60950000000003</v>
      </c>
      <c r="J2141">
        <v>-456.64850000000001</v>
      </c>
      <c r="K2141">
        <v>1.113189</v>
      </c>
      <c r="L2141">
        <v>283.67189999999999</v>
      </c>
      <c r="M2141">
        <v>-0.99920260000000005</v>
      </c>
      <c r="N2141">
        <v>0</v>
      </c>
      <c r="O2141">
        <v>-3.7162529999999999E-2</v>
      </c>
      <c r="P2141">
        <v>-0.99733669999999996</v>
      </c>
      <c r="Q2141">
        <v>7.1691679999999994E-2</v>
      </c>
      <c r="R2141">
        <v>-1.343244E-2</v>
      </c>
      <c r="S2141">
        <v>-3.010284</v>
      </c>
      <c r="T2141">
        <v>-0.1145872</v>
      </c>
      <c r="U2141">
        <v>-0.7284851</v>
      </c>
      <c r="V2141">
        <v>2.2987339999999998E-2</v>
      </c>
      <c r="W2141">
        <v>8.6427799999999999E-2</v>
      </c>
      <c r="X2141">
        <v>0.99599289999999996</v>
      </c>
      <c r="Y2141">
        <v>-0.19881280000000001</v>
      </c>
      <c r="Z2141">
        <v>-2.3364420000000002E-3</v>
      </c>
      <c r="AA2141">
        <v>0.98003470000000004</v>
      </c>
      <c r="AB2141">
        <v>33</v>
      </c>
      <c r="AC2141">
        <v>-28.9010999999999</v>
      </c>
      <c r="AD2141">
        <v>-1.113187272454</v>
      </c>
      <c r="AE2141">
        <v>-7.0623999999999603</v>
      </c>
      <c r="AF2141">
        <v>-5.9750032080820397</v>
      </c>
      <c r="AG2141">
        <v>-1.113187272454</v>
      </c>
      <c r="AH2141">
        <v>29.102873304911402</v>
      </c>
      <c r="AI2141">
        <v>92.145787088200393</v>
      </c>
      <c r="AJ2141">
        <v>101.601967069544</v>
      </c>
      <c r="AK2141">
        <v>29.730743075844401</v>
      </c>
      <c r="AL2141">
        <v>85.041866128233295</v>
      </c>
      <c r="AM2141">
        <v>88.677858266430803</v>
      </c>
      <c r="AN2141">
        <v>1.00000001963176</v>
      </c>
    </row>
    <row r="2142" spans="1:40" x14ac:dyDescent="0.25">
      <c r="A2142" t="str">
        <f>"20190312154552223"</f>
        <v>20190312154552223</v>
      </c>
      <c r="B2142" t="str">
        <f>"1552376752208850"</f>
        <v>1552376752208850</v>
      </c>
      <c r="C2142" t="s">
        <v>40</v>
      </c>
      <c r="D2142">
        <v>4.2250529999999999</v>
      </c>
      <c r="E2142">
        <v>0.42066599999999998</v>
      </c>
      <c r="F2142" t="s">
        <v>53</v>
      </c>
      <c r="G2142">
        <v>-485.39179999999999</v>
      </c>
      <c r="H2142" s="1">
        <v>1.706373E-6</v>
      </c>
      <c r="I2142">
        <v>276.56869999999998</v>
      </c>
      <c r="J2142">
        <v>-456.97649999999999</v>
      </c>
      <c r="K2142">
        <v>1.1130719999999901</v>
      </c>
      <c r="L2142">
        <v>283.65640000000002</v>
      </c>
      <c r="M2142">
        <v>-0.99907469999999998</v>
      </c>
      <c r="N2142">
        <v>0</v>
      </c>
      <c r="O2142">
        <v>-4.0453139999999999E-2</v>
      </c>
      <c r="P2142">
        <v>-0.99727699999999997</v>
      </c>
      <c r="Q2142">
        <v>7.1422860000000005E-2</v>
      </c>
      <c r="R2142">
        <v>-1.8364760000000001E-2</v>
      </c>
      <c r="S2142">
        <v>-3.0063780000000002</v>
      </c>
      <c r="T2142">
        <v>-0.11643249999999999</v>
      </c>
      <c r="U2142">
        <v>-0.74295040000000001</v>
      </c>
      <c r="V2142">
        <v>2.136598E-2</v>
      </c>
      <c r="W2142">
        <v>8.6134199999999994E-2</v>
      </c>
      <c r="X2142">
        <v>0.99605440000000001</v>
      </c>
      <c r="Y2142">
        <v>-0.20032259999999999</v>
      </c>
      <c r="Z2142">
        <v>-2.2793710000000001E-3</v>
      </c>
      <c r="AA2142">
        <v>0.97972729999999997</v>
      </c>
      <c r="AB2142">
        <v>33</v>
      </c>
      <c r="AC2142">
        <v>-28.415299999999998</v>
      </c>
      <c r="AD2142">
        <v>-1.1130702936269901</v>
      </c>
      <c r="AE2142">
        <v>-7.0877000000000399</v>
      </c>
      <c r="AF2142">
        <v>-5.9237292911445296</v>
      </c>
      <c r="AG2142">
        <v>-1.1130702936269901</v>
      </c>
      <c r="AH2142">
        <v>28.637417907239101</v>
      </c>
      <c r="AI2142">
        <v>92.179735261165405</v>
      </c>
      <c r="AJ2142">
        <v>101.68696375531501</v>
      </c>
      <c r="AK2142">
        <v>29.264845781024999</v>
      </c>
      <c r="AL2142">
        <v>85.058750972252199</v>
      </c>
      <c r="AM2142">
        <v>88.771158713113607</v>
      </c>
      <c r="AN2142">
        <v>0.99999998663517997</v>
      </c>
    </row>
    <row r="2143" spans="1:40" x14ac:dyDescent="0.25">
      <c r="A2143" t="str">
        <f>"20190312154552244"</f>
        <v>20190312154552244</v>
      </c>
      <c r="B2143" t="str">
        <f>"1552376752239106"</f>
        <v>1552376752239106</v>
      </c>
      <c r="C2143" t="s">
        <v>40</v>
      </c>
      <c r="D2143">
        <v>4.1771019999999996</v>
      </c>
      <c r="E2143">
        <v>0.42239500000000002</v>
      </c>
      <c r="F2143" t="s">
        <v>53</v>
      </c>
      <c r="G2143">
        <v>-490.17680000000001</v>
      </c>
      <c r="H2143" s="1">
        <v>2.2025940000000001E-6</v>
      </c>
      <c r="I2143">
        <v>275.90210000000002</v>
      </c>
      <c r="J2143">
        <v>-457.27589999999998</v>
      </c>
      <c r="K2143">
        <v>1.1129610000000001</v>
      </c>
      <c r="L2143">
        <v>283.6413</v>
      </c>
      <c r="M2143">
        <v>-0.99895500000000004</v>
      </c>
      <c r="N2143">
        <v>0</v>
      </c>
      <c r="O2143">
        <v>-4.3315970000000002E-2</v>
      </c>
      <c r="P2143">
        <v>-0.9972666</v>
      </c>
      <c r="Q2143">
        <v>7.063179E-2</v>
      </c>
      <c r="R2143">
        <v>-2.171066E-2</v>
      </c>
      <c r="S2143">
        <v>-3.0025019999999998</v>
      </c>
      <c r="T2143">
        <v>-0.1006618</v>
      </c>
      <c r="U2143">
        <v>-0.70126339999999998</v>
      </c>
      <c r="V2143">
        <v>2.0909609999999999E-2</v>
      </c>
      <c r="W2143">
        <v>8.5328479999999998E-2</v>
      </c>
      <c r="X2143">
        <v>0.99613339999999995</v>
      </c>
      <c r="Y2143">
        <v>-0.18496460000000001</v>
      </c>
      <c r="Z2143">
        <v>-1.627989E-3</v>
      </c>
      <c r="AA2143">
        <v>0.9827439</v>
      </c>
      <c r="AB2143">
        <v>33</v>
      </c>
      <c r="AC2143">
        <v>-32.9009</v>
      </c>
      <c r="AD2143">
        <v>-1.112958797406</v>
      </c>
      <c r="AE2143">
        <v>-7.7391999999999799</v>
      </c>
      <c r="AF2143">
        <v>-6.2998177245887401</v>
      </c>
      <c r="AG2143">
        <v>-1.112958797406</v>
      </c>
      <c r="AH2143">
        <v>33.169314177878803</v>
      </c>
      <c r="AI2143">
        <v>91.888046994747697</v>
      </c>
      <c r="AJ2143">
        <v>100.754045863551</v>
      </c>
      <c r="AK2143">
        <v>33.780612541494797</v>
      </c>
      <c r="AL2143">
        <v>85.105085770815293</v>
      </c>
      <c r="AM2143">
        <v>88.797493895164706</v>
      </c>
      <c r="AN2143">
        <v>0.99999995594251001</v>
      </c>
    </row>
    <row r="2144" spans="1:40" x14ac:dyDescent="0.25">
      <c r="A2144" t="str">
        <f>"20190312154552265"</f>
        <v>20190312154552265</v>
      </c>
      <c r="B2144" t="str">
        <f>"1552376752258626"</f>
        <v>1552376752258626</v>
      </c>
      <c r="C2144" t="s">
        <v>40</v>
      </c>
      <c r="D2144">
        <v>4.290133</v>
      </c>
      <c r="E2144">
        <v>0.42328009999999999</v>
      </c>
      <c r="F2144" t="s">
        <v>53</v>
      </c>
      <c r="G2144">
        <v>-488.26949999999999</v>
      </c>
      <c r="H2144" s="1">
        <v>2.1111949999999999E-6</v>
      </c>
      <c r="I2144">
        <v>276.43579999999997</v>
      </c>
      <c r="J2144">
        <v>-457.59300000000002</v>
      </c>
      <c r="K2144">
        <v>1.112841</v>
      </c>
      <c r="L2144">
        <v>283.62450000000001</v>
      </c>
      <c r="M2144">
        <v>-0.99882530000000003</v>
      </c>
      <c r="N2144">
        <v>0</v>
      </c>
      <c r="O2144">
        <v>-4.6209859999999998E-2</v>
      </c>
      <c r="P2144">
        <v>-0.99718819999999997</v>
      </c>
      <c r="Q2144">
        <v>7.058855E-2</v>
      </c>
      <c r="R2144">
        <v>-2.51615E-2</v>
      </c>
      <c r="S2144">
        <v>-3.0006409999999999</v>
      </c>
      <c r="T2144">
        <v>-0.107751</v>
      </c>
      <c r="U2144">
        <v>-0.69760129999999998</v>
      </c>
      <c r="V2144">
        <v>2.0373039999999999E-2</v>
      </c>
      <c r="W2144">
        <v>8.5267659999999995E-2</v>
      </c>
      <c r="X2144">
        <v>0.99614979999999997</v>
      </c>
      <c r="Y2144">
        <v>-0.18110660000000001</v>
      </c>
      <c r="Z2144">
        <v>-1.573329E-3</v>
      </c>
      <c r="AA2144">
        <v>0.98346219999999995</v>
      </c>
      <c r="AB2144">
        <v>33</v>
      </c>
      <c r="AC2144">
        <v>-30.676499999999901</v>
      </c>
      <c r="AD2144">
        <v>-1.112838888805</v>
      </c>
      <c r="AE2144">
        <v>-7.1887000000000398</v>
      </c>
      <c r="AF2144">
        <v>-5.7561308436663197</v>
      </c>
      <c r="AG2144">
        <v>-1.112838888805</v>
      </c>
      <c r="AH2144">
        <v>30.937353213660799</v>
      </c>
      <c r="AI2144">
        <v>92.025353931844506</v>
      </c>
      <c r="AJ2144">
        <v>100.539799855976</v>
      </c>
      <c r="AK2144">
        <v>31.487954467520598</v>
      </c>
      <c r="AL2144">
        <v>85.108583606704101</v>
      </c>
      <c r="AM2144">
        <v>88.828362461938994</v>
      </c>
      <c r="AN2144">
        <v>1.0000000293203699</v>
      </c>
    </row>
    <row r="2145" spans="1:40" x14ac:dyDescent="0.25">
      <c r="A2145" t="str">
        <f>"20190312154552288"</f>
        <v>20190312154552288</v>
      </c>
      <c r="B2145" t="str">
        <f>"1552376752279122"</f>
        <v>1552376752279122</v>
      </c>
      <c r="C2145" t="s">
        <v>40</v>
      </c>
      <c r="D2145">
        <v>4.2307969999999999</v>
      </c>
      <c r="E2145">
        <v>0.42419319999999999</v>
      </c>
      <c r="F2145" t="s">
        <v>53</v>
      </c>
      <c r="G2145">
        <v>-486.56130000000002</v>
      </c>
      <c r="H2145" s="1">
        <v>1.955372E-6</v>
      </c>
      <c r="I2145">
        <v>276.85210000000001</v>
      </c>
      <c r="J2145">
        <v>-457.9246</v>
      </c>
      <c r="K2145">
        <v>1.112724</v>
      </c>
      <c r="L2145">
        <v>283.60610000000003</v>
      </c>
      <c r="M2145">
        <v>-0.99868679999999999</v>
      </c>
      <c r="N2145">
        <v>0</v>
      </c>
      <c r="O2145">
        <v>-4.9115180000000001E-2</v>
      </c>
      <c r="P2145">
        <v>-0.9971314</v>
      </c>
      <c r="Q2145">
        <v>7.0367379999999993E-2</v>
      </c>
      <c r="R2145">
        <v>-2.7889199999999999E-2</v>
      </c>
      <c r="S2145">
        <v>-2.9989319999999999</v>
      </c>
      <c r="T2145">
        <v>-0.11520619999999999</v>
      </c>
      <c r="U2145">
        <v>-0.70111080000000003</v>
      </c>
      <c r="V2145">
        <v>2.0571760000000001E-2</v>
      </c>
      <c r="W2145">
        <v>8.5034860000000004E-2</v>
      </c>
      <c r="X2145">
        <v>0.99616559999999998</v>
      </c>
      <c r="Y2145">
        <v>-0.1794521</v>
      </c>
      <c r="Z2145">
        <v>-1.5417899999999999E-3</v>
      </c>
      <c r="AA2145">
        <v>0.98376549999999996</v>
      </c>
      <c r="AB2145">
        <v>33</v>
      </c>
      <c r="AC2145">
        <v>-28.636700000000001</v>
      </c>
      <c r="AD2145">
        <v>-1.112722044628</v>
      </c>
      <c r="AE2145">
        <v>-6.7540000000000102</v>
      </c>
      <c r="AF2145">
        <v>-5.3315753753277404</v>
      </c>
      <c r="AG2145">
        <v>-1.112722044628</v>
      </c>
      <c r="AH2145">
        <v>28.8925666696048</v>
      </c>
      <c r="AI2145">
        <v>92.168925110226994</v>
      </c>
      <c r="AJ2145">
        <v>100.45523571085801</v>
      </c>
      <c r="AK2145">
        <v>29.401432874758999</v>
      </c>
      <c r="AL2145">
        <v>85.121970608692294</v>
      </c>
      <c r="AM2145">
        <v>88.816956222089999</v>
      </c>
      <c r="AN2145">
        <v>1.0000000136740299</v>
      </c>
    </row>
    <row r="2146" spans="1:40" x14ac:dyDescent="0.25">
      <c r="A2146" t="str">
        <f>"20190312154552310"</f>
        <v>20190312154552310</v>
      </c>
      <c r="B2146" t="str">
        <f>"1552376752298397"</f>
        <v>1552376752298397</v>
      </c>
      <c r="C2146" t="s">
        <v>40</v>
      </c>
      <c r="D2146">
        <v>4.2528509999999997</v>
      </c>
      <c r="E2146">
        <v>0.4249889</v>
      </c>
      <c r="F2146" t="s">
        <v>53</v>
      </c>
      <c r="G2146">
        <v>-485.7149</v>
      </c>
      <c r="H2146" s="1">
        <v>1.8912410000000001E-6</v>
      </c>
      <c r="I2146">
        <v>277.09550000000002</v>
      </c>
      <c r="J2146">
        <v>-458.24279999999999</v>
      </c>
      <c r="K2146">
        <v>1.11263</v>
      </c>
      <c r="L2146">
        <v>283.58760000000001</v>
      </c>
      <c r="M2146">
        <v>-0.99855119999999997</v>
      </c>
      <c r="N2146">
        <v>0</v>
      </c>
      <c r="O2146">
        <v>-5.1800480000000003E-2</v>
      </c>
      <c r="P2146">
        <v>-0.997085</v>
      </c>
      <c r="Q2146">
        <v>7.0121879999999998E-2</v>
      </c>
      <c r="R2146">
        <v>-3.0077300000000001E-2</v>
      </c>
      <c r="S2146">
        <v>-2.9974669999999999</v>
      </c>
      <c r="T2146">
        <v>-0.1200184</v>
      </c>
      <c r="U2146">
        <v>-0.70223999999999998</v>
      </c>
      <c r="V2146">
        <v>2.108668E-2</v>
      </c>
      <c r="W2146">
        <v>8.4780679999999997E-2</v>
      </c>
      <c r="X2146">
        <v>0.99617650000000002</v>
      </c>
      <c r="Y2146">
        <v>-0.1772601</v>
      </c>
      <c r="Z2146">
        <v>-1.4579180000000001E-3</v>
      </c>
      <c r="AA2146">
        <v>0.98416300000000001</v>
      </c>
      <c r="AB2146">
        <v>33</v>
      </c>
      <c r="AC2146">
        <v>-27.472100000000001</v>
      </c>
      <c r="AD2146">
        <v>-1.112628108759</v>
      </c>
      <c r="AE2146">
        <v>-6.49209999999999</v>
      </c>
      <c r="AF2146">
        <v>-5.0523143623234903</v>
      </c>
      <c r="AG2146">
        <v>-1.112628108759</v>
      </c>
      <c r="AH2146">
        <v>27.7284625493193</v>
      </c>
      <c r="AI2146">
        <v>92.260629407680895</v>
      </c>
      <c r="AJ2146">
        <v>100.326398522085</v>
      </c>
      <c r="AK2146">
        <v>28.206939874313601</v>
      </c>
      <c r="AL2146">
        <v>85.136586840378001</v>
      </c>
      <c r="AM2146">
        <v>88.787366126503102</v>
      </c>
      <c r="AN2146">
        <v>1.0000000154634601</v>
      </c>
    </row>
    <row r="2147" spans="1:40" x14ac:dyDescent="0.25">
      <c r="A2147" t="str">
        <f>"20190312154552333"</f>
        <v>20190312154552333</v>
      </c>
      <c r="B2147" t="str">
        <f>"1552376752328653"</f>
        <v>1552376752328653</v>
      </c>
      <c r="C2147" t="s">
        <v>40</v>
      </c>
      <c r="D2147">
        <v>4.3284229999999999</v>
      </c>
      <c r="E2147">
        <v>0.42599419999999999</v>
      </c>
      <c r="F2147" t="s">
        <v>53</v>
      </c>
      <c r="G2147">
        <v>-485.41570000000002</v>
      </c>
      <c r="H2147" s="1">
        <v>1.8795369999999999E-6</v>
      </c>
      <c r="I2147">
        <v>277.21249999999998</v>
      </c>
      <c r="J2147">
        <v>-458.57279999999997</v>
      </c>
      <c r="K2147">
        <v>1.1125449999999999</v>
      </c>
      <c r="L2147">
        <v>283.5677</v>
      </c>
      <c r="M2147">
        <v>-0.99840819999999997</v>
      </c>
      <c r="N2147">
        <v>0</v>
      </c>
      <c r="O2147">
        <v>-5.4490289999999997E-2</v>
      </c>
      <c r="P2147">
        <v>-0.99705759999999999</v>
      </c>
      <c r="Q2147">
        <v>6.9850229999999999E-2</v>
      </c>
      <c r="R2147">
        <v>-3.1587360000000002E-2</v>
      </c>
      <c r="S2147">
        <v>-2.9961549999999999</v>
      </c>
      <c r="T2147">
        <v>-0.1226815</v>
      </c>
      <c r="U2147">
        <v>-0.70294190000000001</v>
      </c>
      <c r="V2147">
        <v>2.2283529999999999E-2</v>
      </c>
      <c r="W2147">
        <v>8.4504609999999994E-2</v>
      </c>
      <c r="X2147">
        <v>0.99617389999999995</v>
      </c>
      <c r="Y2147">
        <v>-0.1749223</v>
      </c>
      <c r="Z2147">
        <v>-1.3354580000000001E-3</v>
      </c>
      <c r="AA2147">
        <v>0.98458140000000005</v>
      </c>
      <c r="AB2147">
        <v>33</v>
      </c>
      <c r="AC2147">
        <v>-26.8429</v>
      </c>
      <c r="AD2147">
        <v>-1.1125431204629901</v>
      </c>
      <c r="AE2147">
        <v>-6.3552000000000204</v>
      </c>
      <c r="AF2147">
        <v>-4.8749938811169704</v>
      </c>
      <c r="AG2147">
        <v>-1.1125431204629901</v>
      </c>
      <c r="AH2147">
        <v>27.105254190741299</v>
      </c>
      <c r="AI2147">
        <v>92.313326641219604</v>
      </c>
      <c r="AJ2147">
        <v>100.195882107077</v>
      </c>
      <c r="AK2147">
        <v>27.562621832483899</v>
      </c>
      <c r="AL2147">
        <v>85.1524614369483</v>
      </c>
      <c r="AM2147">
        <v>88.718557740848297</v>
      </c>
      <c r="AN2147">
        <v>1.0000000119308601</v>
      </c>
    </row>
    <row r="2148" spans="1:40" x14ac:dyDescent="0.25">
      <c r="A2148" t="str">
        <f>"20190312154552355"</f>
        <v>20190312154552355</v>
      </c>
      <c r="B2148" t="str">
        <f>"1552376752349149"</f>
        <v>1552376752349149</v>
      </c>
      <c r="C2148" t="s">
        <v>40</v>
      </c>
      <c r="D2148">
        <v>4.2752869999999996</v>
      </c>
      <c r="E2148">
        <v>0.42658740000000001</v>
      </c>
      <c r="F2148" t="s">
        <v>53</v>
      </c>
      <c r="G2148">
        <v>-485.23500000000001</v>
      </c>
      <c r="H2148" s="1">
        <v>1.8913640000000001E-6</v>
      </c>
      <c r="I2148">
        <v>277.33659999999998</v>
      </c>
      <c r="J2148">
        <v>-458.8965</v>
      </c>
      <c r="K2148">
        <v>1.112476</v>
      </c>
      <c r="L2148">
        <v>283.54730000000001</v>
      </c>
      <c r="M2148">
        <v>-0.99826479999999995</v>
      </c>
      <c r="N2148">
        <v>0</v>
      </c>
      <c r="O2148">
        <v>-5.7056549999999998E-2</v>
      </c>
      <c r="P2148">
        <v>-0.99703629999999999</v>
      </c>
      <c r="Q2148">
        <v>6.9627049999999996E-2</v>
      </c>
      <c r="R2148">
        <v>-3.2728970000000003E-2</v>
      </c>
      <c r="S2148">
        <v>-2.995422</v>
      </c>
      <c r="T2148">
        <v>-0.1249907</v>
      </c>
      <c r="U2148">
        <v>-0.70004270000000002</v>
      </c>
      <c r="V2148">
        <v>2.3722940000000001E-2</v>
      </c>
      <c r="W2148">
        <v>8.4278450000000005E-2</v>
      </c>
      <c r="X2148">
        <v>0.99615980000000004</v>
      </c>
      <c r="Y2148">
        <v>-0.17154169999999999</v>
      </c>
      <c r="Z2148">
        <v>-1.186304E-3</v>
      </c>
      <c r="AA2148">
        <v>0.9851761</v>
      </c>
      <c r="AB2148">
        <v>33</v>
      </c>
      <c r="AC2148">
        <v>-26.3385</v>
      </c>
      <c r="AD2148">
        <v>-1.1124741086359999</v>
      </c>
      <c r="AE2148">
        <v>-6.2107000000000303</v>
      </c>
      <c r="AF2148">
        <v>-4.6897112826432199</v>
      </c>
      <c r="AG2148">
        <v>-1.1124741086359999</v>
      </c>
      <c r="AH2148">
        <v>26.6050192295769</v>
      </c>
      <c r="AI2148">
        <v>92.358083760507796</v>
      </c>
      <c r="AJ2148">
        <v>99.9969266952494</v>
      </c>
      <c r="AK2148">
        <v>27.038084968486501</v>
      </c>
      <c r="AL2148">
        <v>85.165465740230601</v>
      </c>
      <c r="AM2148">
        <v>88.635793698074707</v>
      </c>
      <c r="AN2148">
        <v>0.99999999107634296</v>
      </c>
    </row>
    <row r="2149" spans="1:40" x14ac:dyDescent="0.25">
      <c r="A2149" t="str">
        <f>"20190312154552378"</f>
        <v>20190312154552378</v>
      </c>
      <c r="B2149" t="str">
        <f>"1552376752368668"</f>
        <v>1552376752368668</v>
      </c>
      <c r="C2149" t="s">
        <v>40</v>
      </c>
      <c r="D2149">
        <v>4.2685599999999999</v>
      </c>
      <c r="E2149">
        <v>0.4270813</v>
      </c>
      <c r="F2149" t="s">
        <v>53</v>
      </c>
      <c r="G2149">
        <v>-485.40859999999998</v>
      </c>
      <c r="H2149" s="1">
        <v>1.9299060000000001E-6</v>
      </c>
      <c r="I2149">
        <v>277.35849999999999</v>
      </c>
      <c r="J2149">
        <v>-459.22410000000002</v>
      </c>
      <c r="K2149">
        <v>1.112417</v>
      </c>
      <c r="L2149">
        <v>283.52589999999998</v>
      </c>
      <c r="M2149">
        <v>-0.99811620000000001</v>
      </c>
      <c r="N2149">
        <v>0</v>
      </c>
      <c r="O2149">
        <v>-5.9601960000000002E-2</v>
      </c>
      <c r="P2149">
        <v>-0.99701759999999995</v>
      </c>
      <c r="Q2149">
        <v>6.9202130000000001E-2</v>
      </c>
      <c r="R2149">
        <v>-3.4162599999999897E-2</v>
      </c>
      <c r="S2149">
        <v>-2.99472</v>
      </c>
      <c r="T2149">
        <v>-0.12566140000000001</v>
      </c>
      <c r="U2149">
        <v>-0.69906619999999997</v>
      </c>
      <c r="V2149">
        <v>2.4849779999999998E-2</v>
      </c>
      <c r="W2149">
        <v>8.3848919999999993E-2</v>
      </c>
      <c r="X2149">
        <v>0.99616859999999996</v>
      </c>
      <c r="Y2149">
        <v>-0.16877879999999901</v>
      </c>
      <c r="Z2149">
        <v>-1.03093E-3</v>
      </c>
      <c r="AA2149">
        <v>0.98565340000000001</v>
      </c>
      <c r="AB2149">
        <v>33</v>
      </c>
      <c r="AC2149">
        <v>-26.1844999999999</v>
      </c>
      <c r="AD2149">
        <v>-1.1124150700939901</v>
      </c>
      <c r="AE2149">
        <v>-6.1673999999999802</v>
      </c>
      <c r="AF2149">
        <v>-4.5877756065156996</v>
      </c>
      <c r="AG2149">
        <v>-1.1124150700939901</v>
      </c>
      <c r="AH2149">
        <v>26.460320806520102</v>
      </c>
      <c r="AI2149">
        <v>92.371999273834206</v>
      </c>
      <c r="AJ2149">
        <v>99.836338829246699</v>
      </c>
      <c r="AK2149">
        <v>26.8781273433972</v>
      </c>
      <c r="AL2149">
        <v>85.190163538665601</v>
      </c>
      <c r="AM2149">
        <v>88.5710327559744</v>
      </c>
      <c r="AN2149">
        <v>1.00000001628858</v>
      </c>
    </row>
    <row r="2150" spans="1:40" x14ac:dyDescent="0.25">
      <c r="A2150" t="str">
        <f>"20190312154552399"</f>
        <v>20190312154552399</v>
      </c>
      <c r="B2150" t="str">
        <f>"1552376752389164"</f>
        <v>1552376752389164</v>
      </c>
      <c r="C2150" t="s">
        <v>40</v>
      </c>
      <c r="D2150">
        <v>4.2762529999999996</v>
      </c>
      <c r="E2150">
        <v>0.42751790000000001</v>
      </c>
      <c r="F2150" t="s">
        <v>53</v>
      </c>
      <c r="G2150">
        <v>-485.0899</v>
      </c>
      <c r="H2150" s="1">
        <v>1.9175759999999998E-6</v>
      </c>
      <c r="I2150">
        <v>277.48360000000002</v>
      </c>
      <c r="J2150">
        <v>-459.54559999999998</v>
      </c>
      <c r="K2150">
        <v>1.112365</v>
      </c>
      <c r="L2150">
        <v>283.50409999999999</v>
      </c>
      <c r="M2150">
        <v>-0.99796609999999997</v>
      </c>
      <c r="N2150">
        <v>0</v>
      </c>
      <c r="O2150">
        <v>-6.206627E-2</v>
      </c>
      <c r="P2150">
        <v>-0.99692890000000001</v>
      </c>
      <c r="Q2150">
        <v>6.9992319999999997E-2</v>
      </c>
      <c r="R2150">
        <v>-3.5127829999999999E-2</v>
      </c>
      <c r="S2150">
        <v>-2.9939879999999999</v>
      </c>
      <c r="T2150">
        <v>-0.12876309999999999</v>
      </c>
      <c r="U2150">
        <v>-0.69940190000000002</v>
      </c>
      <c r="V2150">
        <v>2.6349850000000001E-2</v>
      </c>
      <c r="W2150">
        <v>8.4636710000000004E-2</v>
      </c>
      <c r="X2150">
        <v>0.99606340000000004</v>
      </c>
      <c r="Y2150">
        <v>-0.16650239999999999</v>
      </c>
      <c r="Z2150">
        <v>-9.0428670000000004E-4</v>
      </c>
      <c r="AA2150">
        <v>0.98604069999999999</v>
      </c>
      <c r="AB2150">
        <v>33</v>
      </c>
      <c r="AC2150">
        <v>-25.5443</v>
      </c>
      <c r="AD2150">
        <v>-1.1123630824240001</v>
      </c>
      <c r="AE2150">
        <v>-6.02049999999997</v>
      </c>
      <c r="AF2150">
        <v>-4.4153509734665199</v>
      </c>
      <c r="AG2150">
        <v>-1.1123630824240001</v>
      </c>
      <c r="AH2150">
        <v>25.822360620731899</v>
      </c>
      <c r="AI2150">
        <v>92.431390295762995</v>
      </c>
      <c r="AJ2150">
        <v>99.7031346672008</v>
      </c>
      <c r="AK2150">
        <v>26.220735761476199</v>
      </c>
      <c r="AL2150">
        <v>85.1448653550556</v>
      </c>
      <c r="AM2150">
        <v>88.484651513244401</v>
      </c>
      <c r="AN2150">
        <v>0.99999999204710299</v>
      </c>
    </row>
    <row r="2151" spans="1:40" x14ac:dyDescent="0.25">
      <c r="A2151" t="str">
        <f>"20190312154552446"</f>
        <v>20190312154552446</v>
      </c>
      <c r="B2151" t="str">
        <f>"1552376752438940"</f>
        <v>1552376752438940</v>
      </c>
      <c r="C2151" t="s">
        <v>40</v>
      </c>
      <c r="D2151">
        <v>4.2784060000000004</v>
      </c>
      <c r="E2151">
        <v>0.42843340000000002</v>
      </c>
      <c r="F2151" t="s">
        <v>53</v>
      </c>
      <c r="G2151">
        <v>-485.78879999999998</v>
      </c>
      <c r="H2151" s="1">
        <v>2.0035809999999999E-6</v>
      </c>
      <c r="I2151">
        <v>277.37619999999998</v>
      </c>
      <c r="J2151">
        <v>-460.1995</v>
      </c>
      <c r="K2151">
        <v>1.112282</v>
      </c>
      <c r="L2151">
        <v>283.45740000000001</v>
      </c>
      <c r="M2151">
        <v>-0.99764540000000002</v>
      </c>
      <c r="N2151">
        <v>0</v>
      </c>
      <c r="O2151">
        <v>-6.7026530000000001E-2</v>
      </c>
      <c r="P2151">
        <v>-0.99690029999999996</v>
      </c>
      <c r="Q2151">
        <v>6.8855040000000006E-2</v>
      </c>
      <c r="R2151">
        <v>-3.806325E-2</v>
      </c>
      <c r="S2151">
        <v>-2.9935299999999998</v>
      </c>
      <c r="T2151">
        <v>-0.12688579999999999</v>
      </c>
      <c r="U2151">
        <v>-0.69900509999999905</v>
      </c>
      <c r="V2151">
        <v>2.8397450000000001E-2</v>
      </c>
      <c r="W2151">
        <v>8.349492E-2</v>
      </c>
      <c r="X2151">
        <v>0.99610350000000003</v>
      </c>
      <c r="Y2151">
        <v>-0.1615191</v>
      </c>
      <c r="Z2151">
        <v>-5.807939E-4</v>
      </c>
      <c r="AA2151">
        <v>0.98686940000000001</v>
      </c>
      <c r="AB2151">
        <v>33</v>
      </c>
      <c r="AC2151">
        <v>-25.589299999999898</v>
      </c>
      <c r="AD2151">
        <v>-1.112279996419</v>
      </c>
      <c r="AE2151">
        <v>-6.0812000000000204</v>
      </c>
      <c r="AF2151">
        <v>-4.3444093056398501</v>
      </c>
      <c r="AG2151">
        <v>-1.112279996419</v>
      </c>
      <c r="AH2151">
        <v>25.893081388573801</v>
      </c>
      <c r="AI2151">
        <v>92.425855649096405</v>
      </c>
      <c r="AJ2151">
        <v>99.5245228332723</v>
      </c>
      <c r="AK2151">
        <v>26.278560135606199</v>
      </c>
      <c r="AL2151">
        <v>85.210517539600602</v>
      </c>
      <c r="AM2151">
        <v>88.367023647610793</v>
      </c>
      <c r="AN2151">
        <v>0.99999999977227905</v>
      </c>
    </row>
    <row r="2152" spans="1:40" x14ac:dyDescent="0.25">
      <c r="A2152" t="str">
        <f>"20190312154552467"</f>
        <v>20190312154552467</v>
      </c>
      <c r="B2152" t="str">
        <f>"1552376752458461"</f>
        <v>1552376752458461</v>
      </c>
      <c r="C2152" t="s">
        <v>40</v>
      </c>
      <c r="D2152">
        <v>4.2756230000000004</v>
      </c>
      <c r="E2152">
        <v>0.42870200000000003</v>
      </c>
      <c r="F2152" t="s">
        <v>53</v>
      </c>
      <c r="G2152">
        <v>-485.15589999999997</v>
      </c>
      <c r="H2152" s="1">
        <v>1.9751270000000001E-6</v>
      </c>
      <c r="I2152">
        <v>277.61329999999998</v>
      </c>
      <c r="J2152">
        <v>-460.51159999999999</v>
      </c>
      <c r="K2152">
        <v>1.1122570000000001</v>
      </c>
      <c r="L2152">
        <v>283.43389999999999</v>
      </c>
      <c r="M2152">
        <v>-0.99748429999999999</v>
      </c>
      <c r="N2152">
        <v>0</v>
      </c>
      <c r="O2152">
        <v>-6.9383539999999994E-2</v>
      </c>
      <c r="P2152">
        <v>-0.99689879999999997</v>
      </c>
      <c r="Q2152">
        <v>6.7675059999999995E-2</v>
      </c>
      <c r="R2152">
        <v>-4.0162610000000001E-2</v>
      </c>
      <c r="S2152">
        <v>-2.9917600000000002</v>
      </c>
      <c r="T2152">
        <v>-0.13333979999999901</v>
      </c>
      <c r="U2152">
        <v>-0.70059199999999999</v>
      </c>
      <c r="V2152">
        <v>2.8670049999999999E-2</v>
      </c>
      <c r="W2152">
        <v>8.2311209999999996E-2</v>
      </c>
      <c r="X2152">
        <v>0.99619420000000003</v>
      </c>
      <c r="Y2152">
        <v>-0.15980820000000001</v>
      </c>
      <c r="Z2152">
        <v>-4.7001639999999999E-4</v>
      </c>
      <c r="AA2152">
        <v>0.98714800000000003</v>
      </c>
      <c r="AB2152">
        <v>33</v>
      </c>
      <c r="AC2152">
        <v>-24.644299999999902</v>
      </c>
      <c r="AD2152">
        <v>-1.1122550248729901</v>
      </c>
      <c r="AE2152">
        <v>-5.8206000000000104</v>
      </c>
      <c r="AF2152">
        <v>-4.0885923891296603</v>
      </c>
      <c r="AG2152">
        <v>-1.1122550248729901</v>
      </c>
      <c r="AH2152">
        <v>24.940674380773501</v>
      </c>
      <c r="AI2152">
        <v>92.5198814655852</v>
      </c>
      <c r="AJ2152">
        <v>99.309844524597693</v>
      </c>
      <c r="AK2152">
        <v>25.298042167973701</v>
      </c>
      <c r="AL2152">
        <v>85.278573385473706</v>
      </c>
      <c r="AM2152">
        <v>88.351506597498499</v>
      </c>
      <c r="AN2152">
        <v>0.99999999558615305</v>
      </c>
    </row>
    <row r="2153" spans="1:40" x14ac:dyDescent="0.25">
      <c r="A2153" t="str">
        <f>"20190312154552489"</f>
        <v>20190312154552489</v>
      </c>
      <c r="B2153" t="str">
        <f>"1552376752478957"</f>
        <v>1552376752478957</v>
      </c>
      <c r="C2153" t="s">
        <v>40</v>
      </c>
      <c r="D2153">
        <v>4.2515109999999998</v>
      </c>
      <c r="E2153">
        <v>0.42893340000000002</v>
      </c>
      <c r="F2153" t="s">
        <v>53</v>
      </c>
      <c r="G2153">
        <v>-484.54090000000002</v>
      </c>
      <c r="H2153" s="1">
        <v>1.9226739999999999E-6</v>
      </c>
      <c r="I2153">
        <v>277.77350000000001</v>
      </c>
      <c r="J2153">
        <v>-460.84100000000001</v>
      </c>
      <c r="K2153">
        <v>1.112244</v>
      </c>
      <c r="L2153">
        <v>283.4083</v>
      </c>
      <c r="M2153">
        <v>-0.99730830000000004</v>
      </c>
      <c r="N2153">
        <v>0</v>
      </c>
      <c r="O2153">
        <v>-7.1870829999999997E-2</v>
      </c>
      <c r="P2153">
        <v>-0.9967163</v>
      </c>
      <c r="Q2153">
        <v>6.8134189999999997E-2</v>
      </c>
      <c r="R2153">
        <v>-4.3756219999999998E-2</v>
      </c>
      <c r="S2153">
        <v>-2.9902950000000001</v>
      </c>
      <c r="T2153">
        <v>-0.13841339999999999</v>
      </c>
      <c r="U2153">
        <v>-0.70440669999999905</v>
      </c>
      <c r="V2153">
        <v>2.756076E-2</v>
      </c>
      <c r="W2153">
        <v>8.2758390000000001E-2</v>
      </c>
      <c r="X2153">
        <v>0.99618850000000003</v>
      </c>
      <c r="Y2153">
        <v>-0.15864420000000001</v>
      </c>
      <c r="Z2153">
        <v>-3.4866710000000002E-4</v>
      </c>
      <c r="AA2153">
        <v>0.98733570000000004</v>
      </c>
      <c r="AB2153">
        <v>32</v>
      </c>
      <c r="AC2153">
        <v>-23.6999</v>
      </c>
      <c r="AD2153">
        <v>-1.112242077326</v>
      </c>
      <c r="AE2153">
        <v>-5.6347999999999798</v>
      </c>
      <c r="AF2153">
        <v>-3.90856621612767</v>
      </c>
      <c r="AG2153">
        <v>-1.112242077326</v>
      </c>
      <c r="AH2153">
        <v>23.993601050250401</v>
      </c>
      <c r="AI2153">
        <v>92.6196094788544</v>
      </c>
      <c r="AJ2153">
        <v>99.252233540685694</v>
      </c>
      <c r="AK2153">
        <v>24.335300771985601</v>
      </c>
      <c r="AL2153">
        <v>85.252864340611794</v>
      </c>
      <c r="AM2153">
        <v>88.415247196606202</v>
      </c>
      <c r="AN2153">
        <v>1.0000000370697</v>
      </c>
    </row>
    <row r="2154" spans="1:40" x14ac:dyDescent="0.25">
      <c r="A2154" t="str">
        <f>"20190312154552512"</f>
        <v>20190312154552512</v>
      </c>
      <c r="B2154" t="str">
        <f>"1552376752499453"</f>
        <v>1552376752499453</v>
      </c>
      <c r="C2154" t="s">
        <v>40</v>
      </c>
      <c r="D2154">
        <v>4.2288649999999999</v>
      </c>
      <c r="E2154">
        <v>0.42911759999999899</v>
      </c>
      <c r="F2154" t="s">
        <v>53</v>
      </c>
      <c r="G2154">
        <v>-484.76459999999997</v>
      </c>
      <c r="H2154" s="1">
        <v>1.9358479999999998E-6</v>
      </c>
      <c r="I2154">
        <v>277.69850000000002</v>
      </c>
      <c r="J2154">
        <v>-461.15390000000002</v>
      </c>
      <c r="K2154">
        <v>1.112241</v>
      </c>
      <c r="L2154">
        <v>283.38330000000002</v>
      </c>
      <c r="M2154">
        <v>-0.99713499999999999</v>
      </c>
      <c r="N2154">
        <v>0</v>
      </c>
      <c r="O2154">
        <v>-7.4237570000000003E-2</v>
      </c>
      <c r="P2154">
        <v>-0.99639359999999999</v>
      </c>
      <c r="Q2154">
        <v>6.9846549999999993E-2</v>
      </c>
      <c r="R2154">
        <v>-4.8181969999999998E-2</v>
      </c>
      <c r="S2154">
        <v>-2.9880979999999999</v>
      </c>
      <c r="T2154">
        <v>-0.1389213</v>
      </c>
      <c r="U2154">
        <v>-0.7131653</v>
      </c>
      <c r="V2154">
        <v>2.5483949999999998E-2</v>
      </c>
      <c r="W2154">
        <v>8.4453299999999995E-2</v>
      </c>
      <c r="X2154">
        <v>0.99610149999999997</v>
      </c>
      <c r="Y2154">
        <v>-0.15920399999999901</v>
      </c>
      <c r="Z2154">
        <v>-2.5520799999999999E-4</v>
      </c>
      <c r="AA2154">
        <v>0.9872457</v>
      </c>
      <c r="AB2154">
        <v>32</v>
      </c>
      <c r="AC2154">
        <v>-23.610699999999898</v>
      </c>
      <c r="AD2154">
        <v>-1.1122390641519999</v>
      </c>
      <c r="AE2154">
        <v>-5.6847999999999903</v>
      </c>
      <c r="AF2154">
        <v>-3.90792746526914</v>
      </c>
      <c r="AG2154">
        <v>-1.1122390641519999</v>
      </c>
      <c r="AH2154">
        <v>23.917437563816701</v>
      </c>
      <c r="AI2154">
        <v>92.627727475235503</v>
      </c>
      <c r="AJ2154">
        <v>99.279694371649299</v>
      </c>
      <c r="AK2154">
        <v>24.260107016019099</v>
      </c>
      <c r="AL2154">
        <v>85.155411747753703</v>
      </c>
      <c r="AM2154">
        <v>88.534482336352497</v>
      </c>
      <c r="AN2154">
        <v>0.99999999494537095</v>
      </c>
    </row>
    <row r="2155" spans="1:40" x14ac:dyDescent="0.25">
      <c r="A2155" t="str">
        <f>"20190312154552534"</f>
        <v>20190312154552534</v>
      </c>
      <c r="B2155" t="str">
        <f>"1552376752528733"</f>
        <v>1552376752528733</v>
      </c>
      <c r="C2155" t="s">
        <v>40</v>
      </c>
      <c r="D2155">
        <v>4.2302419999999996</v>
      </c>
      <c r="E2155">
        <v>0.42941699999999999</v>
      </c>
      <c r="F2155" t="s">
        <v>53</v>
      </c>
      <c r="G2155">
        <v>-485.89690000000002</v>
      </c>
      <c r="H2155" s="1">
        <v>2.021615E-6</v>
      </c>
      <c r="I2155">
        <v>277.37299999999999</v>
      </c>
      <c r="J2155">
        <v>-461.47629999999998</v>
      </c>
      <c r="K2155">
        <v>1.1122350000000001</v>
      </c>
      <c r="L2155">
        <v>283.35669999999999</v>
      </c>
      <c r="M2155">
        <v>-0.99695009999999995</v>
      </c>
      <c r="N2155">
        <v>0</v>
      </c>
      <c r="O2155">
        <v>-7.6679449999999996E-2</v>
      </c>
      <c r="P2155">
        <v>-0.99608549999999996</v>
      </c>
      <c r="Q2155">
        <v>7.0895340000000001E-2</v>
      </c>
      <c r="R2155">
        <v>-5.2799140000000001E-2</v>
      </c>
      <c r="S2155">
        <v>-2.9851679999999998</v>
      </c>
      <c r="T2155">
        <v>-0.13418849999999999</v>
      </c>
      <c r="U2155">
        <v>-0.725128199999999</v>
      </c>
      <c r="V2155">
        <v>2.3296190000000001E-2</v>
      </c>
      <c r="W2155">
        <v>8.5484299999999999E-2</v>
      </c>
      <c r="X2155">
        <v>0.99606709999999998</v>
      </c>
      <c r="Y2155">
        <v>-0.16075059999999999</v>
      </c>
      <c r="Z2155">
        <v>-1.7357829999999999E-4</v>
      </c>
      <c r="AA2155">
        <v>0.98699499999999996</v>
      </c>
      <c r="AB2155">
        <v>32</v>
      </c>
      <c r="AC2155">
        <v>-24.4206</v>
      </c>
      <c r="AD2155">
        <v>-1.112232978385</v>
      </c>
      <c r="AE2155">
        <v>-5.98369999999999</v>
      </c>
      <c r="AF2155">
        <v>-4.0853291401755598</v>
      </c>
      <c r="AG2155">
        <v>-1.112232978385</v>
      </c>
      <c r="AH2155">
        <v>24.7591109452929</v>
      </c>
      <c r="AI2155">
        <v>92.537851462303195</v>
      </c>
      <c r="AJ2155">
        <v>99.369555935445803</v>
      </c>
      <c r="AK2155">
        <v>25.118530036271999</v>
      </c>
      <c r="AL2155">
        <v>85.096125285069803</v>
      </c>
      <c r="AM2155">
        <v>88.660200634129893</v>
      </c>
      <c r="AN2155">
        <v>0.99999997285870701</v>
      </c>
    </row>
    <row r="2156" spans="1:40" x14ac:dyDescent="0.25">
      <c r="A2156" t="str">
        <f>"20190312154552556"</f>
        <v>20190312154552556</v>
      </c>
      <c r="B2156" t="str">
        <f>"1552376752549229"</f>
        <v>1552376752549229</v>
      </c>
      <c r="C2156" t="s">
        <v>40</v>
      </c>
      <c r="D2156">
        <v>4.2247849999999998</v>
      </c>
      <c r="E2156">
        <v>0.42962590000000001</v>
      </c>
      <c r="F2156" t="s">
        <v>53</v>
      </c>
      <c r="G2156">
        <v>-486.83530000000002</v>
      </c>
      <c r="H2156" s="1">
        <v>2.088378E-6</v>
      </c>
      <c r="I2156">
        <v>277.09089999999998</v>
      </c>
      <c r="J2156">
        <v>-461.791</v>
      </c>
      <c r="K2156">
        <v>1.11222</v>
      </c>
      <c r="L2156">
        <v>283.33</v>
      </c>
      <c r="M2156">
        <v>-0.99676379999999998</v>
      </c>
      <c r="N2156">
        <v>0</v>
      </c>
      <c r="O2156">
        <v>-7.906465E-2</v>
      </c>
      <c r="P2156">
        <v>-0.99588659999999996</v>
      </c>
      <c r="Q2156">
        <v>7.0345889999999994E-2</v>
      </c>
      <c r="R2156">
        <v>-5.7111170000000003E-2</v>
      </c>
      <c r="S2156">
        <v>-2.982056</v>
      </c>
      <c r="T2156">
        <v>-0.1307915</v>
      </c>
      <c r="U2156">
        <v>-0.73681640000000004</v>
      </c>
      <c r="V2156">
        <v>2.1373240000000002E-2</v>
      </c>
      <c r="W2156">
        <v>8.492131E-2</v>
      </c>
      <c r="X2156">
        <v>0.9961584</v>
      </c>
      <c r="Y2156">
        <v>-0.16227910000000001</v>
      </c>
      <c r="Z2156">
        <v>-1.0010830000000001E-4</v>
      </c>
      <c r="AA2156">
        <v>0.98674490000000004</v>
      </c>
      <c r="AB2156">
        <v>32</v>
      </c>
      <c r="AC2156">
        <v>-25.0443</v>
      </c>
      <c r="AD2156">
        <v>-1.1122179116219999</v>
      </c>
      <c r="AE2156">
        <v>-6.2390999999999996</v>
      </c>
      <c r="AF2156">
        <v>-4.2313791805287702</v>
      </c>
      <c r="AG2156">
        <v>-1.1122179116219999</v>
      </c>
      <c r="AH2156">
        <v>25.412036097695399</v>
      </c>
      <c r="AI2156">
        <v>92.472092984936296</v>
      </c>
      <c r="AJ2156">
        <v>99.453634431385794</v>
      </c>
      <c r="AK2156">
        <v>25.785910437347798</v>
      </c>
      <c r="AL2156">
        <v>85.128500101465704</v>
      </c>
      <c r="AM2156">
        <v>88.770869586694701</v>
      </c>
      <c r="AN2156">
        <v>1.00000000108538</v>
      </c>
    </row>
    <row r="2157" spans="1:40" x14ac:dyDescent="0.25">
      <c r="A2157" t="str">
        <f>"20190312154552579"</f>
        <v>20190312154552579</v>
      </c>
      <c r="B2157" t="str">
        <f>"1552376752568750"</f>
        <v>1552376752568750</v>
      </c>
      <c r="C2157" t="s">
        <v>40</v>
      </c>
      <c r="D2157">
        <v>4.2356449999999999</v>
      </c>
      <c r="E2157">
        <v>0.43397010000000003</v>
      </c>
      <c r="F2157" t="s">
        <v>53</v>
      </c>
      <c r="G2157">
        <v>-486.92250000000001</v>
      </c>
      <c r="H2157" s="1">
        <v>2.0766219999999999E-6</v>
      </c>
      <c r="I2157">
        <v>277.01389999999998</v>
      </c>
      <c r="J2157">
        <v>-462.12200000000001</v>
      </c>
      <c r="K2157">
        <v>1.1122080000000001</v>
      </c>
      <c r="L2157">
        <v>283.30110000000002</v>
      </c>
      <c r="M2157">
        <v>-0.99656100000000003</v>
      </c>
      <c r="N2157">
        <v>0</v>
      </c>
      <c r="O2157">
        <v>-8.1583100000000006E-2</v>
      </c>
      <c r="P2157">
        <v>-0.99578109999999997</v>
      </c>
      <c r="Q2157">
        <v>6.8543419999999994E-2</v>
      </c>
      <c r="R2157">
        <v>-6.1007279999999997E-2</v>
      </c>
      <c r="S2157">
        <v>-2.97879</v>
      </c>
      <c r="T2157">
        <v>-0.131829</v>
      </c>
      <c r="U2157">
        <v>-0.74862669999999998</v>
      </c>
      <c r="V2157">
        <v>2.0011919999999999E-2</v>
      </c>
      <c r="W2157">
        <v>8.3109080000000002E-2</v>
      </c>
      <c r="X2157">
        <v>0.99633950000000004</v>
      </c>
      <c r="Y2157">
        <v>-0.16372049999999999</v>
      </c>
      <c r="Z2157" s="1">
        <v>-2.3587840000000001E-5</v>
      </c>
      <c r="AA2157">
        <v>0.98650680000000002</v>
      </c>
      <c r="AB2157">
        <v>32</v>
      </c>
      <c r="AC2157">
        <v>-24.8005</v>
      </c>
      <c r="AD2157">
        <v>-1.1122059233779999</v>
      </c>
      <c r="AE2157">
        <v>-6.2872000000000403</v>
      </c>
      <c r="AF2157">
        <v>-4.23472048725821</v>
      </c>
      <c r="AG2157">
        <v>-1.1122059233779999</v>
      </c>
      <c r="AH2157">
        <v>25.1832050701559</v>
      </c>
      <c r="AI2157">
        <v>92.493833636098003</v>
      </c>
      <c r="AJ2157">
        <v>99.545358104472299</v>
      </c>
      <c r="AK2157">
        <v>25.560979582690599</v>
      </c>
      <c r="AL2157">
        <v>85.232701637598097</v>
      </c>
      <c r="AM2157">
        <v>88.849343617893396</v>
      </c>
      <c r="AN2157">
        <v>0.99999999769039105</v>
      </c>
    </row>
    <row r="2158" spans="1:40" x14ac:dyDescent="0.25">
      <c r="A2158" t="str">
        <f>"20190312154552601"</f>
        <v>20190312154552601</v>
      </c>
      <c r="B2158" t="str">
        <f>"1552376752589245"</f>
        <v>1552376752589245</v>
      </c>
      <c r="C2158" t="s">
        <v>40</v>
      </c>
      <c r="D2158">
        <v>4.2263359999999999</v>
      </c>
      <c r="E2158">
        <v>0.43379329999999999</v>
      </c>
      <c r="F2158" t="s">
        <v>53</v>
      </c>
      <c r="G2158">
        <v>-485.58069999999998</v>
      </c>
      <c r="H2158" s="1">
        <v>2.0400980000000001E-6</v>
      </c>
      <c r="I2158">
        <v>277.58390000000003</v>
      </c>
      <c r="J2158">
        <v>-462.4434</v>
      </c>
      <c r="K2158">
        <v>1.1122160000000001</v>
      </c>
      <c r="L2158">
        <v>283.2722</v>
      </c>
      <c r="M2158">
        <v>-0.99635600000000002</v>
      </c>
      <c r="N2158">
        <v>0</v>
      </c>
      <c r="O2158">
        <v>-8.4051970000000004E-2</v>
      </c>
      <c r="P2158">
        <v>-0.99558420000000003</v>
      </c>
      <c r="Q2158">
        <v>6.7560419999999996E-2</v>
      </c>
      <c r="R2158">
        <v>-6.5176440000000002E-2</v>
      </c>
      <c r="S2158">
        <v>-2.9779659999999999</v>
      </c>
      <c r="T2158">
        <v>-0.14118889999999901</v>
      </c>
      <c r="U2158">
        <v>-0.725769</v>
      </c>
      <c r="V2158">
        <v>1.8316519999999999E-2</v>
      </c>
      <c r="W2158">
        <v>8.2114950000000006E-2</v>
      </c>
      <c r="X2158">
        <v>0.99645450000000002</v>
      </c>
      <c r="Y2158">
        <v>-0.1541999</v>
      </c>
      <c r="Z2158">
        <v>3.1175160000000002E-4</v>
      </c>
      <c r="AA2158">
        <v>0.98803960000000002</v>
      </c>
      <c r="AB2158">
        <v>32</v>
      </c>
      <c r="AC2158">
        <v>-23.1372999999999</v>
      </c>
      <c r="AD2158">
        <v>-1.112213959902</v>
      </c>
      <c r="AE2158">
        <v>-5.6882999999999697</v>
      </c>
      <c r="AF2158">
        <v>-3.71513172065201</v>
      </c>
      <c r="AG2158">
        <v>-1.112213959902</v>
      </c>
      <c r="AH2158">
        <v>23.4824025132482</v>
      </c>
      <c r="AI2158">
        <v>92.678450368038597</v>
      </c>
      <c r="AJ2158">
        <v>98.990203972812793</v>
      </c>
      <c r="AK2158">
        <v>23.800471663154099</v>
      </c>
      <c r="AL2158">
        <v>85.289856307709201</v>
      </c>
      <c r="AM2158">
        <v>88.9469252074135</v>
      </c>
      <c r="AN2158">
        <v>0.99999996524432999</v>
      </c>
    </row>
    <row r="2159" spans="1:40" x14ac:dyDescent="0.25">
      <c r="A2159" t="str">
        <f>"20190312154552624"</f>
        <v>20190312154552624</v>
      </c>
      <c r="B2159" t="str">
        <f>"1552376752619032"</f>
        <v>1552376752619032</v>
      </c>
      <c r="C2159" t="s">
        <v>40</v>
      </c>
      <c r="D2159">
        <v>4.2449279999999998</v>
      </c>
      <c r="E2159">
        <v>0.43482340000000003</v>
      </c>
      <c r="F2159" t="s">
        <v>53</v>
      </c>
      <c r="G2159">
        <v>-485.93189999999998</v>
      </c>
      <c r="H2159" s="1">
        <v>2.0502869999999999E-6</v>
      </c>
      <c r="I2159">
        <v>277.43650000000002</v>
      </c>
      <c r="J2159">
        <v>-462.76060000000001</v>
      </c>
      <c r="K2159">
        <v>1.112247</v>
      </c>
      <c r="L2159">
        <v>283.24290000000002</v>
      </c>
      <c r="M2159">
        <v>-0.99614329999999995</v>
      </c>
      <c r="N2159">
        <v>0</v>
      </c>
      <c r="O2159">
        <v>-8.6537630000000004E-2</v>
      </c>
      <c r="P2159">
        <v>-0.99531890000000001</v>
      </c>
      <c r="Q2159">
        <v>6.7581769999999999E-2</v>
      </c>
      <c r="R2159">
        <v>-6.908802E-2</v>
      </c>
      <c r="S2159">
        <v>-2.9745180000000002</v>
      </c>
      <c r="T2159">
        <v>-0.14084769999999999</v>
      </c>
      <c r="U2159">
        <v>-0.7390137</v>
      </c>
      <c r="V2159">
        <v>1.688108E-2</v>
      </c>
      <c r="W2159">
        <v>8.2126829999999998E-2</v>
      </c>
      <c r="X2159">
        <v>0.99647889999999995</v>
      </c>
      <c r="Y2159">
        <v>-0.156146799999999</v>
      </c>
      <c r="Z2159">
        <v>3.8059170000000002E-4</v>
      </c>
      <c r="AA2159">
        <v>0.9877338</v>
      </c>
      <c r="AB2159">
        <v>32</v>
      </c>
      <c r="AC2159">
        <v>-23.171299999999899</v>
      </c>
      <c r="AD2159">
        <v>-1.112244949713</v>
      </c>
      <c r="AE2159">
        <v>-5.8063999999999902</v>
      </c>
      <c r="AF2159">
        <v>-3.7710380042193998</v>
      </c>
      <c r="AG2159">
        <v>-1.112244949713</v>
      </c>
      <c r="AH2159">
        <v>23.535856518246302</v>
      </c>
      <c r="AI2159">
        <v>92.671615049696996</v>
      </c>
      <c r="AJ2159">
        <v>99.102859045359395</v>
      </c>
      <c r="AK2159">
        <v>23.861985636256399</v>
      </c>
      <c r="AL2159">
        <v>85.289173456162004</v>
      </c>
      <c r="AM2159">
        <v>89.029460506275598</v>
      </c>
      <c r="AN2159">
        <v>0.99999999260651196</v>
      </c>
    </row>
    <row r="2160" spans="1:40" x14ac:dyDescent="0.25">
      <c r="A2160" t="str">
        <f>"20190312154552645"</f>
        <v>20190312154552645</v>
      </c>
      <c r="B2160" t="str">
        <f>"1552376752638552"</f>
        <v>1552376752638552</v>
      </c>
      <c r="C2160" t="s">
        <v>40</v>
      </c>
      <c r="D2160">
        <v>4.256551</v>
      </c>
      <c r="E2160">
        <v>0.4352087</v>
      </c>
      <c r="F2160" t="s">
        <v>53</v>
      </c>
      <c r="G2160">
        <v>-484.98930000000001</v>
      </c>
      <c r="H2160" s="1">
        <v>1.9721499999999998E-6</v>
      </c>
      <c r="I2160">
        <v>277.6884</v>
      </c>
      <c r="J2160">
        <v>-463.07339999999999</v>
      </c>
      <c r="K2160">
        <v>1.112303</v>
      </c>
      <c r="L2160">
        <v>283.21300000000002</v>
      </c>
      <c r="M2160">
        <v>-0.99592009999999997</v>
      </c>
      <c r="N2160">
        <v>0</v>
      </c>
      <c r="O2160">
        <v>-8.9069200000000001E-2</v>
      </c>
      <c r="P2160">
        <v>-0.99510310000000002</v>
      </c>
      <c r="Q2160">
        <v>6.8596829999999998E-2</v>
      </c>
      <c r="R2160">
        <v>-7.1168099999999998E-2</v>
      </c>
      <c r="S2160">
        <v>-2.9726560000000002</v>
      </c>
      <c r="T2160">
        <v>-0.14874100000000001</v>
      </c>
      <c r="U2160">
        <v>-0.74279790000000001</v>
      </c>
      <c r="V2160">
        <v>1.731096E-2</v>
      </c>
      <c r="W2160">
        <v>8.3142350000000004E-2</v>
      </c>
      <c r="X2160">
        <v>0.99638729999999998</v>
      </c>
      <c r="Y2160">
        <v>-0.15496070000000001</v>
      </c>
      <c r="Z2160">
        <v>5.5488499999999997E-4</v>
      </c>
      <c r="AA2160">
        <v>0.98792049999999998</v>
      </c>
      <c r="AB2160">
        <v>32</v>
      </c>
      <c r="AC2160">
        <v>-21.915900000000001</v>
      </c>
      <c r="AD2160">
        <v>-1.1123010278500001</v>
      </c>
      <c r="AE2160">
        <v>-5.5245999999999604</v>
      </c>
      <c r="AF2160">
        <v>-3.5418228028549898</v>
      </c>
      <c r="AG2160">
        <v>-1.1123010278500001</v>
      </c>
      <c r="AH2160">
        <v>22.2669688691077</v>
      </c>
      <c r="AI2160">
        <v>92.824270624055899</v>
      </c>
      <c r="AJ2160">
        <v>99.037852760530498</v>
      </c>
      <c r="AK2160">
        <v>22.5743133884774</v>
      </c>
      <c r="AL2160">
        <v>85.230788729209905</v>
      </c>
      <c r="AM2160">
        <v>89.004658960966793</v>
      </c>
      <c r="AN2160">
        <v>0.99999998565046699</v>
      </c>
    </row>
    <row r="2161" spans="1:40" x14ac:dyDescent="0.25">
      <c r="A2161" t="str">
        <f>"20190312154552667"</f>
        <v>20190312154552667</v>
      </c>
      <c r="B2161" t="str">
        <f>"1552376752659048"</f>
        <v>1552376752659048</v>
      </c>
      <c r="C2161" t="s">
        <v>40</v>
      </c>
      <c r="D2161">
        <v>4.2557090000000004</v>
      </c>
      <c r="E2161">
        <v>0.43574659999999898</v>
      </c>
      <c r="F2161" t="s">
        <v>53</v>
      </c>
      <c r="G2161">
        <v>-485.51029999999997</v>
      </c>
      <c r="H2161" s="1">
        <v>2.0260219999999999E-6</v>
      </c>
      <c r="I2161">
        <v>277.57940000000002</v>
      </c>
      <c r="J2161">
        <v>-463.39100000000002</v>
      </c>
      <c r="K2161">
        <v>1.1123749999999999</v>
      </c>
      <c r="L2161">
        <v>283.18180000000001</v>
      </c>
      <c r="M2161">
        <v>-0.99567950000000005</v>
      </c>
      <c r="N2161">
        <v>0</v>
      </c>
      <c r="O2161">
        <v>-9.1718549999999996E-2</v>
      </c>
      <c r="P2161">
        <v>-0.9948977</v>
      </c>
      <c r="Q2161">
        <v>7.0843359999999994E-2</v>
      </c>
      <c r="R2161">
        <v>-7.183494E-2</v>
      </c>
      <c r="S2161">
        <v>-2.9715880000000001</v>
      </c>
      <c r="T2161">
        <v>-0.14731569999999999</v>
      </c>
      <c r="U2161">
        <v>-0.74612429999999996</v>
      </c>
      <c r="V2161">
        <v>1.9257150000000001E-2</v>
      </c>
      <c r="W2161">
        <v>8.5397360000000005E-2</v>
      </c>
      <c r="X2161">
        <v>0.99616090000000002</v>
      </c>
      <c r="Y2161">
        <v>-0.1534624</v>
      </c>
      <c r="Z2161">
        <v>7.1434160000000005E-4</v>
      </c>
      <c r="AA2161">
        <v>0.98815419999999998</v>
      </c>
      <c r="AB2161">
        <v>32</v>
      </c>
      <c r="AC2161">
        <v>-22.119299999999999</v>
      </c>
      <c r="AD2161">
        <v>-1.1123729739779999</v>
      </c>
      <c r="AE2161">
        <v>-5.6023999999999798</v>
      </c>
      <c r="AF2161">
        <v>-3.5414010635853801</v>
      </c>
      <c r="AG2161">
        <v>-1.1123729739779999</v>
      </c>
      <c r="AH2161">
        <v>22.486503592513198</v>
      </c>
      <c r="AI2161">
        <v>92.797599756211</v>
      </c>
      <c r="AJ2161">
        <v>98.950003576444203</v>
      </c>
      <c r="AK2161">
        <v>22.790825762628899</v>
      </c>
      <c r="AL2161">
        <v>85.101125205996794</v>
      </c>
      <c r="AM2161">
        <v>88.892532311210104</v>
      </c>
      <c r="AN2161">
        <v>1.00000004280495</v>
      </c>
    </row>
    <row r="2162" spans="1:40" x14ac:dyDescent="0.25">
      <c r="A2162" t="str">
        <f>"20190312154552690"</f>
        <v>20190312154552690</v>
      </c>
      <c r="B2162" t="str">
        <f>"1552376752678568"</f>
        <v>1552376752678568</v>
      </c>
      <c r="C2162" t="s">
        <v>40</v>
      </c>
      <c r="D2162">
        <v>4.2465599999999997</v>
      </c>
      <c r="E2162">
        <v>0.43633490000000003</v>
      </c>
      <c r="F2162" t="s">
        <v>53</v>
      </c>
      <c r="G2162">
        <v>-486.89359999999999</v>
      </c>
      <c r="H2162" s="1">
        <v>2.1703479999999998E-6</v>
      </c>
      <c r="I2162">
        <v>277.29360000000003</v>
      </c>
      <c r="J2162">
        <v>-463.7081</v>
      </c>
      <c r="K2162">
        <v>1.1124579999999999</v>
      </c>
      <c r="L2162">
        <v>283.1497</v>
      </c>
      <c r="M2162">
        <v>-0.99542149999999996</v>
      </c>
      <c r="N2162">
        <v>0</v>
      </c>
      <c r="O2162">
        <v>-9.4477500000000006E-2</v>
      </c>
      <c r="P2162">
        <v>-0.99475789999999997</v>
      </c>
      <c r="Q2162">
        <v>7.3270340000000003E-2</v>
      </c>
      <c r="R2162">
        <v>-7.1333610000000006E-2</v>
      </c>
      <c r="S2162">
        <v>-2.9716490000000002</v>
      </c>
      <c r="T2162">
        <v>-0.14064760000000001</v>
      </c>
      <c r="U2162">
        <v>-0.74450680000000002</v>
      </c>
      <c r="V2162">
        <v>2.247712E-2</v>
      </c>
      <c r="W2162">
        <v>8.7841470000000005E-2</v>
      </c>
      <c r="X2162">
        <v>0.99588080000000001</v>
      </c>
      <c r="Y2162">
        <v>-0.15022489999999999</v>
      </c>
      <c r="Z2162">
        <v>8.8489340000000001E-4</v>
      </c>
      <c r="AA2162">
        <v>0.98865150000000002</v>
      </c>
      <c r="AB2162">
        <v>32</v>
      </c>
      <c r="AC2162">
        <v>-23.185499999999902</v>
      </c>
      <c r="AD2162">
        <v>-1.112455829652</v>
      </c>
      <c r="AE2162">
        <v>-5.8560999999999597</v>
      </c>
      <c r="AF2162">
        <v>-3.6313035147197299</v>
      </c>
      <c r="AG2162">
        <v>-1.112455829652</v>
      </c>
      <c r="AH2162">
        <v>23.584059186850901</v>
      </c>
      <c r="AI2162">
        <v>92.6692210367152</v>
      </c>
      <c r="AJ2162">
        <v>98.753250372515794</v>
      </c>
      <c r="AK2162">
        <v>23.8879000943538</v>
      </c>
      <c r="AL2162">
        <v>84.960559232297399</v>
      </c>
      <c r="AM2162">
        <v>88.707048575861904</v>
      </c>
      <c r="AN2162">
        <v>0.99999995629194605</v>
      </c>
    </row>
    <row r="2163" spans="1:40" x14ac:dyDescent="0.25">
      <c r="A2163" t="str">
        <f>"20190312154552712"</f>
        <v>20190312154552712</v>
      </c>
      <c r="B2163" t="str">
        <f>"1552376752699064"</f>
        <v>1552376752699064</v>
      </c>
      <c r="C2163" t="s">
        <v>40</v>
      </c>
      <c r="D2163">
        <v>4.2877289999999997</v>
      </c>
      <c r="E2163">
        <v>0.43678430000000001</v>
      </c>
      <c r="F2163" t="s">
        <v>53</v>
      </c>
      <c r="G2163">
        <v>-488.55180000000001</v>
      </c>
      <c r="H2163" s="1">
        <v>2.3533139999999999E-6</v>
      </c>
      <c r="I2163">
        <v>276.97910000000002</v>
      </c>
      <c r="J2163">
        <v>-464.02159999999998</v>
      </c>
      <c r="K2163">
        <v>1.1125560000000001</v>
      </c>
      <c r="L2163">
        <v>283.11689999999999</v>
      </c>
      <c r="M2163">
        <v>-0.9951449</v>
      </c>
      <c r="N2163">
        <v>0</v>
      </c>
      <c r="O2163">
        <v>-9.7347790000000003E-2</v>
      </c>
      <c r="P2163">
        <v>-0.99473730000000005</v>
      </c>
      <c r="Q2163">
        <v>7.3508229999999994E-2</v>
      </c>
      <c r="R2163">
        <v>-7.1372110000000002E-2</v>
      </c>
      <c r="S2163">
        <v>-2.9726560000000002</v>
      </c>
      <c r="T2163">
        <v>-0.13311039999999999</v>
      </c>
      <c r="U2163">
        <v>-0.73834230000000001</v>
      </c>
      <c r="V2163">
        <v>2.529027E-2</v>
      </c>
      <c r="W2163">
        <v>8.8099869999999997E-2</v>
      </c>
      <c r="X2163">
        <v>0.99579050000000002</v>
      </c>
      <c r="Y2163">
        <v>-0.14537630000000001</v>
      </c>
      <c r="Z2163">
        <v>1.0698120000000001E-3</v>
      </c>
      <c r="AA2163">
        <v>0.98937589999999997</v>
      </c>
      <c r="AB2163">
        <v>32</v>
      </c>
      <c r="AC2163">
        <v>-24.530200000000001</v>
      </c>
      <c r="AD2163">
        <v>-1.112553646686</v>
      </c>
      <c r="AE2163">
        <v>-6.1377999999999702</v>
      </c>
      <c r="AF2163">
        <v>-3.7132421384663399</v>
      </c>
      <c r="AG2163">
        <v>-1.112553646686</v>
      </c>
      <c r="AH2163">
        <v>24.9629075294771</v>
      </c>
      <c r="AI2163">
        <v>92.524148925787003</v>
      </c>
      <c r="AJ2163">
        <v>98.460730712927898</v>
      </c>
      <c r="AK2163">
        <v>25.262080181981499</v>
      </c>
      <c r="AL2163">
        <v>84.945696359996305</v>
      </c>
      <c r="AM2163">
        <v>88.545161551899497</v>
      </c>
      <c r="AN2163">
        <v>0.99999995237046801</v>
      </c>
    </row>
    <row r="2164" spans="1:40" x14ac:dyDescent="0.25">
      <c r="A2164" t="str">
        <f>"20190312154552735"</f>
        <v>20190312154552735</v>
      </c>
      <c r="B2164" t="str">
        <f>"1552376752729320"</f>
        <v>1552376752729320</v>
      </c>
      <c r="C2164" t="s">
        <v>40</v>
      </c>
      <c r="D2164">
        <v>4.2648159999999997</v>
      </c>
      <c r="E2164">
        <v>0.43706590000000001</v>
      </c>
      <c r="F2164" t="s">
        <v>53</v>
      </c>
      <c r="G2164">
        <v>-488.71809999999999</v>
      </c>
      <c r="H2164" s="1">
        <v>2.3938229999999998E-6</v>
      </c>
      <c r="I2164">
        <v>277.0102</v>
      </c>
      <c r="J2164">
        <v>-464.3417</v>
      </c>
      <c r="K2164">
        <v>1.1126689999999999</v>
      </c>
      <c r="L2164">
        <v>283.08240000000001</v>
      </c>
      <c r="M2164">
        <v>-0.99483739999999998</v>
      </c>
      <c r="N2164">
        <v>0</v>
      </c>
      <c r="O2164">
        <v>-0.1004419</v>
      </c>
      <c r="P2164">
        <v>-0.99479660000000003</v>
      </c>
      <c r="Q2164">
        <v>7.2624759999999997E-2</v>
      </c>
      <c r="R2164">
        <v>-7.145311E-2</v>
      </c>
      <c r="S2164">
        <v>-2.9730219999999998</v>
      </c>
      <c r="T2164">
        <v>-0.13393189999999999</v>
      </c>
      <c r="U2164">
        <v>-0.73513790000000001</v>
      </c>
      <c r="V2164">
        <v>2.8296849999999998E-2</v>
      </c>
      <c r="W2164">
        <v>8.724295E-2</v>
      </c>
      <c r="X2164">
        <v>0.99578509999999998</v>
      </c>
      <c r="Y2164">
        <v>-0.14127139999999999</v>
      </c>
      <c r="Z2164">
        <v>1.3034559999999999E-3</v>
      </c>
      <c r="AA2164">
        <v>0.98997000000000002</v>
      </c>
      <c r="AB2164">
        <v>32</v>
      </c>
      <c r="AC2164">
        <v>-24.376399999999901</v>
      </c>
      <c r="AD2164">
        <v>-1.1126666061769901</v>
      </c>
      <c r="AE2164">
        <v>-6.0721999999999996</v>
      </c>
      <c r="AF2164">
        <v>-3.58578250865965</v>
      </c>
      <c r="AG2164">
        <v>-1.1126666061769901</v>
      </c>
      <c r="AH2164">
        <v>24.814388301199799</v>
      </c>
      <c r="AI2164">
        <v>92.541040514693094</v>
      </c>
      <c r="AJ2164">
        <v>98.222561130448995</v>
      </c>
      <c r="AK2164">
        <v>25.096807166224</v>
      </c>
      <c r="AL2164">
        <v>84.994984310705703</v>
      </c>
      <c r="AM2164">
        <v>88.372285455802796</v>
      </c>
      <c r="AN2164">
        <v>1.00000000471331</v>
      </c>
    </row>
    <row r="2165" spans="1:40" x14ac:dyDescent="0.25">
      <c r="A2165" t="str">
        <f>"20190312154552757"</f>
        <v>20190312154552757</v>
      </c>
      <c r="B2165" t="str">
        <f>"1552376752748840"</f>
        <v>1552376752748840</v>
      </c>
      <c r="C2165" t="s">
        <v>40</v>
      </c>
      <c r="D2165">
        <v>4.2044069999999998</v>
      </c>
      <c r="E2165">
        <v>0.43731690000000001</v>
      </c>
      <c r="F2165" t="s">
        <v>53</v>
      </c>
      <c r="G2165">
        <v>-487.94850000000002</v>
      </c>
      <c r="H2165" s="1">
        <v>2.346191E-6</v>
      </c>
      <c r="I2165">
        <v>277.26159999999999</v>
      </c>
      <c r="J2165">
        <v>-464.65929999999997</v>
      </c>
      <c r="K2165">
        <v>1.112787</v>
      </c>
      <c r="L2165">
        <v>283.04700000000003</v>
      </c>
      <c r="M2165">
        <v>-0.99450550000000004</v>
      </c>
      <c r="N2165">
        <v>0</v>
      </c>
      <c r="O2165">
        <v>-0.1036774</v>
      </c>
      <c r="P2165">
        <v>-0.99470899999999995</v>
      </c>
      <c r="Q2165">
        <v>7.1892010000000006E-2</v>
      </c>
      <c r="R2165">
        <v>-7.3387960000000002E-2</v>
      </c>
      <c r="S2165">
        <v>-2.9732669999999999</v>
      </c>
      <c r="T2165">
        <v>-0.14013979999999901</v>
      </c>
      <c r="U2165">
        <v>-0.73312379999999999</v>
      </c>
      <c r="V2165">
        <v>2.9584530000000001E-2</v>
      </c>
      <c r="W2165">
        <v>8.6529460000000002E-2</v>
      </c>
      <c r="X2165">
        <v>0.99580990000000003</v>
      </c>
      <c r="Y2165">
        <v>-0.13740289999999999</v>
      </c>
      <c r="Z2165">
        <v>1.602294E-3</v>
      </c>
      <c r="AA2165">
        <v>0.99051389999999995</v>
      </c>
      <c r="AB2165">
        <v>32</v>
      </c>
      <c r="AC2165">
        <v>-23.289200000000001</v>
      </c>
      <c r="AD2165">
        <v>-1.112784653809</v>
      </c>
      <c r="AE2165">
        <v>-5.7854000000000303</v>
      </c>
      <c r="AF2165">
        <v>-3.3322333151625299</v>
      </c>
      <c r="AG2165">
        <v>-1.112784653809</v>
      </c>
      <c r="AH2165">
        <v>23.712555681550601</v>
      </c>
      <c r="AI2165">
        <v>92.660704911550596</v>
      </c>
      <c r="AJ2165">
        <v>97.999172929775398</v>
      </c>
      <c r="AK2165">
        <v>23.971386390926</v>
      </c>
      <c r="AL2165">
        <v>85.036019311258002</v>
      </c>
      <c r="AM2165">
        <v>88.2982994362754</v>
      </c>
      <c r="AN2165">
        <v>0.99999997440061095</v>
      </c>
    </row>
    <row r="2166" spans="1:40" x14ac:dyDescent="0.25">
      <c r="A2166" t="str">
        <f>"20190312154552780"</f>
        <v>20190312154552780</v>
      </c>
      <c r="B2166" t="str">
        <f>"1552376752769336"</f>
        <v>1552376752769336</v>
      </c>
      <c r="C2166" t="s">
        <v>40</v>
      </c>
      <c r="D2166">
        <v>4.304373</v>
      </c>
      <c r="E2166">
        <v>0.43750250000000002</v>
      </c>
      <c r="F2166" t="s">
        <v>53</v>
      </c>
      <c r="G2166">
        <v>-487.68669999999997</v>
      </c>
      <c r="H2166" s="1">
        <v>2.327694E-6</v>
      </c>
      <c r="I2166">
        <v>277.34070000000003</v>
      </c>
      <c r="J2166">
        <v>-464.97480000000002</v>
      </c>
      <c r="K2166">
        <v>1.112895</v>
      </c>
      <c r="L2166">
        <v>283.01060000000001</v>
      </c>
      <c r="M2166">
        <v>-0.9941487</v>
      </c>
      <c r="N2166">
        <v>0</v>
      </c>
      <c r="O2166">
        <v>-0.1070435</v>
      </c>
      <c r="P2166">
        <v>-0.99444259999999995</v>
      </c>
      <c r="Q2166">
        <v>7.1892719999999993E-2</v>
      </c>
      <c r="R2166">
        <v>-7.6912839999999996E-2</v>
      </c>
      <c r="S2166">
        <v>-2.9720149999999999</v>
      </c>
      <c r="T2166">
        <v>-0.14362079999999999</v>
      </c>
      <c r="U2166">
        <v>-0.73648069999999999</v>
      </c>
      <c r="V2166">
        <v>2.9401119999999999E-2</v>
      </c>
      <c r="W2166">
        <v>8.6540400000000003E-2</v>
      </c>
      <c r="X2166">
        <v>0.99581439999999999</v>
      </c>
      <c r="Y2166">
        <v>-0.13520480000000001</v>
      </c>
      <c r="Z2166">
        <v>1.853197E-3</v>
      </c>
      <c r="AA2166">
        <v>0.99081589999999997</v>
      </c>
      <c r="AB2166">
        <v>32</v>
      </c>
      <c r="AC2166">
        <v>-22.711899999999901</v>
      </c>
      <c r="AD2166">
        <v>-1.112892672306</v>
      </c>
      <c r="AE2166">
        <v>-5.6698999999999797</v>
      </c>
      <c r="AF2166">
        <v>-3.1986695922217598</v>
      </c>
      <c r="AG2166">
        <v>-1.112892672306</v>
      </c>
      <c r="AH2166">
        <v>23.136075573259401</v>
      </c>
      <c r="AI2166">
        <v>92.728012849038507</v>
      </c>
      <c r="AJ2166">
        <v>97.871507070695202</v>
      </c>
      <c r="AK2166">
        <v>23.382643353390201</v>
      </c>
      <c r="AL2166">
        <v>85.035390227673005</v>
      </c>
      <c r="AM2166">
        <v>88.308850661925703</v>
      </c>
      <c r="AN2166">
        <v>0.99999999296838704</v>
      </c>
    </row>
    <row r="2167" spans="1:40" x14ac:dyDescent="0.25">
      <c r="A2167" t="str">
        <f>"20190312154552802"</f>
        <v>20190312154552802</v>
      </c>
      <c r="B2167" t="str">
        <f>"1552376752788856"</f>
        <v>1552376752788856</v>
      </c>
      <c r="C2167" t="s">
        <v>40</v>
      </c>
      <c r="D2167">
        <v>4.251754</v>
      </c>
      <c r="E2167">
        <v>0.43769069999999999</v>
      </c>
      <c r="F2167" t="s">
        <v>53</v>
      </c>
      <c r="G2167">
        <v>-487.61419999999998</v>
      </c>
      <c r="H2167" s="1">
        <v>2.3122300000000001E-6</v>
      </c>
      <c r="I2167">
        <v>277.33330000000001</v>
      </c>
      <c r="J2167">
        <v>-465.28829999999999</v>
      </c>
      <c r="K2167">
        <v>1.112992</v>
      </c>
      <c r="L2167">
        <v>282.97329999999999</v>
      </c>
      <c r="M2167">
        <v>-0.99376949999999997</v>
      </c>
      <c r="N2167">
        <v>0</v>
      </c>
      <c r="O2167">
        <v>-0.1105095</v>
      </c>
      <c r="P2167">
        <v>-0.99407020000000001</v>
      </c>
      <c r="Q2167">
        <v>7.1381310000000003E-2</v>
      </c>
      <c r="R2167">
        <v>-8.2035049999999998E-2</v>
      </c>
      <c r="S2167">
        <v>-2.969757</v>
      </c>
      <c r="T2167">
        <v>-0.14598559999999999</v>
      </c>
      <c r="U2167">
        <v>-0.74472050000000001</v>
      </c>
      <c r="V2167">
        <v>2.7727720000000001E-2</v>
      </c>
      <c r="W2167">
        <v>8.6027800000000001E-2</v>
      </c>
      <c r="X2167">
        <v>0.99590679999999998</v>
      </c>
      <c r="Y2167">
        <v>-0.13451740000000001</v>
      </c>
      <c r="Z2167">
        <v>2.0667120000000001E-3</v>
      </c>
      <c r="AA2167">
        <v>0.99090909999999999</v>
      </c>
      <c r="AB2167">
        <v>32</v>
      </c>
      <c r="AC2167">
        <v>-22.325899999999901</v>
      </c>
      <c r="AD2167">
        <v>-1.1129896877700001</v>
      </c>
      <c r="AE2167">
        <v>-5.6399999999999801</v>
      </c>
      <c r="AF2167">
        <v>-3.1306515610263599</v>
      </c>
      <c r="AG2167">
        <v>-1.1129896877700001</v>
      </c>
      <c r="AH2167">
        <v>22.759296873560601</v>
      </c>
      <c r="AI2167">
        <v>92.773608614452499</v>
      </c>
      <c r="AJ2167">
        <v>97.832160583869694</v>
      </c>
      <c r="AK2167">
        <v>23.000550415598799</v>
      </c>
      <c r="AL2167">
        <v>85.064869930957897</v>
      </c>
      <c r="AM2167">
        <v>88.405201140642504</v>
      </c>
      <c r="AN2167">
        <v>0.99999998155773895</v>
      </c>
    </row>
    <row r="2168" spans="1:40" x14ac:dyDescent="0.25">
      <c r="A2168" t="str">
        <f>"20190312154552824"</f>
        <v>20190312154552824</v>
      </c>
      <c r="B2168" t="str">
        <f>"1552376752819112"</f>
        <v>1552376752819112</v>
      </c>
      <c r="C2168" t="s">
        <v>40</v>
      </c>
      <c r="D2168">
        <v>4.5440950000000004</v>
      </c>
      <c r="E2168">
        <v>0.43786799999999998</v>
      </c>
      <c r="F2168" t="s">
        <v>53</v>
      </c>
      <c r="G2168">
        <v>-487.11369999999999</v>
      </c>
      <c r="H2168" s="1">
        <v>2.2472479999999999E-6</v>
      </c>
      <c r="I2168">
        <v>277.40069999999997</v>
      </c>
      <c r="J2168">
        <v>-465.60079999999999</v>
      </c>
      <c r="K2168">
        <v>1.1130610000000001</v>
      </c>
      <c r="L2168">
        <v>282.9348</v>
      </c>
      <c r="M2168">
        <v>-0.99336849999999999</v>
      </c>
      <c r="N2168">
        <v>0</v>
      </c>
      <c r="O2168">
        <v>-0.1140577</v>
      </c>
      <c r="P2168">
        <v>-0.99362309999999998</v>
      </c>
      <c r="Q2168">
        <v>7.0841589999999996E-2</v>
      </c>
      <c r="R2168">
        <v>-8.7721170000000001E-2</v>
      </c>
      <c r="S2168">
        <v>-2.9662169999999999</v>
      </c>
      <c r="T2168">
        <v>-0.1512626</v>
      </c>
      <c r="U2168">
        <v>-0.75735469999999905</v>
      </c>
      <c r="V2168">
        <v>2.5576669999999999E-2</v>
      </c>
      <c r="W2168">
        <v>8.5479559999999996E-2</v>
      </c>
      <c r="X2168">
        <v>0.9960116</v>
      </c>
      <c r="Y2168">
        <v>-0.1352254</v>
      </c>
      <c r="Z2168">
        <v>2.3005170000000002E-3</v>
      </c>
      <c r="AA2168">
        <v>0.99081220000000003</v>
      </c>
      <c r="AB2168">
        <v>32</v>
      </c>
      <c r="AC2168">
        <v>-21.512899999999998</v>
      </c>
      <c r="AD2168">
        <v>-1.1130587527519999</v>
      </c>
      <c r="AE2168">
        <v>-5.53410000000002</v>
      </c>
      <c r="AF2168">
        <v>-3.0363844421525701</v>
      </c>
      <c r="AG2168">
        <v>-1.1130587527519999</v>
      </c>
      <c r="AH2168">
        <v>21.948644601844201</v>
      </c>
      <c r="AI2168">
        <v>92.875753128558202</v>
      </c>
      <c r="AJ2168">
        <v>97.876329475301603</v>
      </c>
      <c r="AK2168">
        <v>22.1856153875814</v>
      </c>
      <c r="AL2168">
        <v>85.096398068402493</v>
      </c>
      <c r="AM2168">
        <v>88.529019880790699</v>
      </c>
      <c r="AN2168">
        <v>1.00000001428032</v>
      </c>
    </row>
    <row r="2169" spans="1:40" x14ac:dyDescent="0.25">
      <c r="A2169" t="str">
        <f>"20190312154552846"</f>
        <v>20190312154552846</v>
      </c>
      <c r="B2169" t="str">
        <f>"1552376752838633"</f>
        <v>1552376752838633</v>
      </c>
      <c r="C2169" t="s">
        <v>40</v>
      </c>
      <c r="D2169">
        <v>4.6113499999999998</v>
      </c>
      <c r="E2169">
        <v>0.43998930000000003</v>
      </c>
      <c r="F2169" t="s">
        <v>53</v>
      </c>
      <c r="G2169">
        <v>-486.8673</v>
      </c>
      <c r="H2169" s="1">
        <v>2.1982430000000001E-6</v>
      </c>
      <c r="I2169">
        <v>277.38569999999999</v>
      </c>
      <c r="J2169">
        <v>-465.90910000000002</v>
      </c>
      <c r="K2169">
        <v>1.1131070000000001</v>
      </c>
      <c r="L2169">
        <v>282.8956</v>
      </c>
      <c r="M2169">
        <v>-0.992954</v>
      </c>
      <c r="N2169">
        <v>0</v>
      </c>
      <c r="O2169">
        <v>-0.1176108</v>
      </c>
      <c r="P2169">
        <v>-0.9932318</v>
      </c>
      <c r="Q2169">
        <v>7.0190740000000001E-2</v>
      </c>
      <c r="R2169">
        <v>-9.2542749999999993E-2</v>
      </c>
      <c r="S2169">
        <v>-2.9620359999999999</v>
      </c>
      <c r="T2169">
        <v>-0.15502829999999901</v>
      </c>
      <c r="U2169">
        <v>-0.77288819999999903</v>
      </c>
      <c r="V2169">
        <v>2.4305779999999999E-2</v>
      </c>
      <c r="W2169">
        <v>8.4822960000000003E-2</v>
      </c>
      <c r="X2169">
        <v>0.99609950000000003</v>
      </c>
      <c r="Y2169">
        <v>-0.1368878</v>
      </c>
      <c r="Z2169">
        <v>2.4967449999999999E-3</v>
      </c>
      <c r="AA2169">
        <v>0.9905834</v>
      </c>
      <c r="AB2169">
        <v>32</v>
      </c>
      <c r="AC2169">
        <v>-20.958199999999898</v>
      </c>
      <c r="AD2169">
        <v>-1.113104801757</v>
      </c>
      <c r="AE2169">
        <v>-5.5099000000000098</v>
      </c>
      <c r="AF2169">
        <v>-2.9985709492647201</v>
      </c>
      <c r="AG2169">
        <v>-1.113104801757</v>
      </c>
      <c r="AH2169">
        <v>21.404333333391499</v>
      </c>
      <c r="AI2169">
        <v>92.948173726297796</v>
      </c>
      <c r="AJ2169">
        <v>97.9747673048156</v>
      </c>
      <c r="AK2169">
        <v>21.6419942584875</v>
      </c>
      <c r="AL2169">
        <v>85.1341553451701</v>
      </c>
      <c r="AM2169">
        <v>88.602205583870003</v>
      </c>
      <c r="AN2169">
        <v>0.99999995969240896</v>
      </c>
    </row>
    <row r="2170" spans="1:40" x14ac:dyDescent="0.25">
      <c r="A2170" t="str">
        <f>"20190312154552868"</f>
        <v>20190312154552868</v>
      </c>
      <c r="B2170" t="str">
        <f>"1552376752859129"</f>
        <v>1552376752859129</v>
      </c>
      <c r="C2170" t="s">
        <v>40</v>
      </c>
      <c r="D2170">
        <v>4.3923180000000004</v>
      </c>
      <c r="E2170">
        <v>0.51578610000000003</v>
      </c>
      <c r="F2170" t="s">
        <v>53</v>
      </c>
      <c r="G2170">
        <v>-485.71820000000002</v>
      </c>
      <c r="H2170" s="1">
        <v>2.1192610000000002E-6</v>
      </c>
      <c r="I2170">
        <v>277.7389</v>
      </c>
      <c r="J2170">
        <v>-466.22579999999999</v>
      </c>
      <c r="K2170">
        <v>1.1131260000000001</v>
      </c>
      <c r="L2170">
        <v>282.85419999999999</v>
      </c>
      <c r="M2170">
        <v>-0.99251230000000001</v>
      </c>
      <c r="N2170">
        <v>0</v>
      </c>
      <c r="O2170">
        <v>-0.1212811</v>
      </c>
      <c r="P2170">
        <v>-0.99288100000000001</v>
      </c>
      <c r="Q2170">
        <v>6.9479830000000006E-2</v>
      </c>
      <c r="R2170">
        <v>-9.6747139999999995E-2</v>
      </c>
      <c r="S2170">
        <v>-2.960388</v>
      </c>
      <c r="T2170">
        <v>-0.16634930000000001</v>
      </c>
      <c r="U2170">
        <v>-0.77066040000000002</v>
      </c>
      <c r="V2170">
        <v>2.3777639999999999E-2</v>
      </c>
      <c r="W2170">
        <v>8.4109310000000007E-2</v>
      </c>
      <c r="X2170">
        <v>0.99617279999999997</v>
      </c>
      <c r="Y2170">
        <v>-0.1326686</v>
      </c>
      <c r="Z2170">
        <v>2.9971669999999998E-3</v>
      </c>
      <c r="AA2170">
        <v>0.99115589999999998</v>
      </c>
      <c r="AB2170">
        <v>32</v>
      </c>
      <c r="AC2170">
        <v>-19.4924</v>
      </c>
      <c r="AD2170">
        <v>-1.113123880739</v>
      </c>
      <c r="AE2170">
        <v>-5.1152999999999897</v>
      </c>
      <c r="AF2170">
        <v>-2.7049709835587898</v>
      </c>
      <c r="AG2170">
        <v>-1.113123880739</v>
      </c>
      <c r="AH2170">
        <v>19.908196529330699</v>
      </c>
      <c r="AI2170">
        <v>93.171160175422401</v>
      </c>
      <c r="AJ2170">
        <v>97.737522476906605</v>
      </c>
      <c r="AK2170">
        <v>20.121933352593601</v>
      </c>
      <c r="AL2170">
        <v>85.175191322373806</v>
      </c>
      <c r="AM2170">
        <v>88.632667161493103</v>
      </c>
      <c r="AN2170">
        <v>0.99999999982624199</v>
      </c>
    </row>
    <row r="2171" spans="1:40" x14ac:dyDescent="0.25">
      <c r="A2171" t="str">
        <f>"20190312154552891"</f>
        <v>20190312154552891</v>
      </c>
      <c r="B2171" t="str">
        <f>"1552376752878648"</f>
        <v>1552376752878648</v>
      </c>
      <c r="C2171" t="s">
        <v>40</v>
      </c>
      <c r="D2171">
        <v>4.384665</v>
      </c>
      <c r="E2171">
        <v>0.53284039999999999</v>
      </c>
      <c r="F2171" t="s">
        <v>41</v>
      </c>
      <c r="G2171">
        <v>-467.11180000000002</v>
      </c>
      <c r="H2171">
        <v>0.95061660000000003</v>
      </c>
      <c r="I2171">
        <v>282.79700000000003</v>
      </c>
      <c r="J2171">
        <v>-466.5299</v>
      </c>
      <c r="K2171">
        <v>1.1131310000000001</v>
      </c>
      <c r="L2171">
        <v>282.8134</v>
      </c>
      <c r="M2171">
        <v>-0.99207679999999998</v>
      </c>
      <c r="N2171">
        <v>0</v>
      </c>
      <c r="O2171">
        <v>-0.12479419999999999</v>
      </c>
      <c r="P2171">
        <v>-0.992537</v>
      </c>
      <c r="Q2171">
        <v>6.9111439999999996E-2</v>
      </c>
      <c r="R2171">
        <v>-0.10047109999999999</v>
      </c>
      <c r="S2171">
        <v>-3.0412599999999999</v>
      </c>
      <c r="T2171">
        <v>-0.55864060000000004</v>
      </c>
      <c r="U2171">
        <v>-0.1987305</v>
      </c>
      <c r="V2171">
        <v>2.357308E-2</v>
      </c>
      <c r="W2171">
        <v>8.373775E-2</v>
      </c>
      <c r="X2171">
        <v>0.99620900000000001</v>
      </c>
      <c r="Y2171">
        <v>5.683407E-2</v>
      </c>
      <c r="Z2171">
        <v>2.7815030000000001E-2</v>
      </c>
      <c r="AA2171">
        <v>0.99799610000000005</v>
      </c>
      <c r="AB2171">
        <v>32</v>
      </c>
      <c r="AC2171">
        <v>-0.58190000000001796</v>
      </c>
      <c r="AD2171">
        <v>-0.162514399999999</v>
      </c>
      <c r="AE2171">
        <v>-1.6399999999975899E-2</v>
      </c>
      <c r="AF2171">
        <v>5.2279138865872897E-2</v>
      </c>
      <c r="AG2171">
        <v>-0.162514399999999</v>
      </c>
      <c r="AH2171">
        <v>0.53750554168070497</v>
      </c>
      <c r="AI2171">
        <v>106.74807563699299</v>
      </c>
      <c r="AJ2171">
        <v>84.444742192041602</v>
      </c>
      <c r="AK2171">
        <v>0.56396475590712702</v>
      </c>
      <c r="AL2171">
        <v>85.196555686476799</v>
      </c>
      <c r="AM2171">
        <v>88.644475213169898</v>
      </c>
      <c r="AN2171">
        <v>1.0000000362783701</v>
      </c>
    </row>
    <row r="2172" spans="1:40" x14ac:dyDescent="0.25">
      <c r="A2172" t="str">
        <f>"20190312154552913"</f>
        <v>20190312154552913</v>
      </c>
      <c r="B2172" t="str">
        <f>"1552376752908917"</f>
        <v>1552376752908917</v>
      </c>
      <c r="C2172" t="s">
        <v>40</v>
      </c>
      <c r="D2172">
        <v>4.3967479999999997</v>
      </c>
      <c r="E2172">
        <v>0.54278719999999903</v>
      </c>
      <c r="F2172" t="s">
        <v>41</v>
      </c>
      <c r="G2172">
        <v>-467.38130000000001</v>
      </c>
      <c r="H2172">
        <v>0.92196920000000004</v>
      </c>
      <c r="I2172">
        <v>282.79070000000002</v>
      </c>
      <c r="J2172">
        <v>-466.85079999999999</v>
      </c>
      <c r="K2172">
        <v>1.1131089999999999</v>
      </c>
      <c r="L2172">
        <v>282.76909999999998</v>
      </c>
      <c r="M2172">
        <v>-0.99160879999999996</v>
      </c>
      <c r="N2172">
        <v>0</v>
      </c>
      <c r="O2172">
        <v>-0.12845970000000001</v>
      </c>
      <c r="P2172">
        <v>-0.99213799999999996</v>
      </c>
      <c r="Q2172">
        <v>6.8756070000000002E-2</v>
      </c>
      <c r="R2172">
        <v>-0.1045692</v>
      </c>
      <c r="S2172">
        <v>-3.0622560000000001</v>
      </c>
      <c r="T2172">
        <v>-0.68741869999999905</v>
      </c>
      <c r="U2172">
        <v>-8.099365E-2</v>
      </c>
      <c r="V2172">
        <v>2.3149179999999998E-2</v>
      </c>
      <c r="W2172">
        <v>8.3375660000000004E-2</v>
      </c>
      <c r="X2172">
        <v>0.9962493</v>
      </c>
      <c r="Y2172">
        <v>9.6627820000000003E-2</v>
      </c>
      <c r="Z2172">
        <v>3.9119109999999999E-2</v>
      </c>
      <c r="AA2172">
        <v>0.99455150000000003</v>
      </c>
      <c r="AB2172">
        <v>32</v>
      </c>
      <c r="AC2172">
        <v>-0.53050000000001696</v>
      </c>
      <c r="AD2172">
        <v>-0.1911398</v>
      </c>
      <c r="AE2172">
        <v>2.16000000000349E-2</v>
      </c>
      <c r="AF2172">
        <v>7.9298745809555093E-2</v>
      </c>
      <c r="AG2172">
        <v>-0.1911398</v>
      </c>
      <c r="AH2172">
        <v>0.46328588460063203</v>
      </c>
      <c r="AI2172">
        <v>112.12961299749</v>
      </c>
      <c r="AJ2172">
        <v>80.287042344318806</v>
      </c>
      <c r="AK2172">
        <v>0.50740173935570898</v>
      </c>
      <c r="AL2172">
        <v>85.217374671333999</v>
      </c>
      <c r="AM2172">
        <v>88.668895747637393</v>
      </c>
      <c r="AN2172">
        <v>1.00000002648279</v>
      </c>
    </row>
    <row r="2173" spans="1:40" x14ac:dyDescent="0.25">
      <c r="A2173" t="str">
        <f>"20190312154552936"</f>
        <v>20190312154552936</v>
      </c>
      <c r="B2173" t="str">
        <f>"1552376752928425"</f>
        <v>1552376752928425</v>
      </c>
      <c r="C2173" t="s">
        <v>40</v>
      </c>
      <c r="D2173">
        <v>4.4891329999999998</v>
      </c>
      <c r="E2173">
        <v>0.54590930000000004</v>
      </c>
      <c r="F2173" t="s">
        <v>41</v>
      </c>
      <c r="G2173">
        <v>-467.65629999999999</v>
      </c>
      <c r="H2173">
        <v>0.90895570000000003</v>
      </c>
      <c r="I2173">
        <v>282.76459999999997</v>
      </c>
      <c r="J2173">
        <v>-467.15839999999997</v>
      </c>
      <c r="K2173">
        <v>1.11307</v>
      </c>
      <c r="L2173">
        <v>282.72559999999999</v>
      </c>
      <c r="M2173">
        <v>-0.99115529999999996</v>
      </c>
      <c r="N2173">
        <v>0</v>
      </c>
      <c r="O2173">
        <v>-0.131914</v>
      </c>
      <c r="P2173">
        <v>-0.99173</v>
      </c>
      <c r="Q2173">
        <v>6.7718509999999996E-2</v>
      </c>
      <c r="R2173">
        <v>-0.10902299999999999</v>
      </c>
      <c r="S2173">
        <v>-3.0758359999999998</v>
      </c>
      <c r="T2173">
        <v>-0.77998780000000001</v>
      </c>
      <c r="U2173">
        <v>-1.876831E-2</v>
      </c>
      <c r="V2173">
        <v>2.216953E-2</v>
      </c>
      <c r="W2173">
        <v>8.2326899999999995E-2</v>
      </c>
      <c r="X2173">
        <v>0.99635879999999999</v>
      </c>
      <c r="Y2173">
        <v>0.1179872</v>
      </c>
      <c r="Z2173">
        <v>4.758358E-2</v>
      </c>
      <c r="AA2173">
        <v>0.99187440000000004</v>
      </c>
      <c r="AB2173">
        <v>32</v>
      </c>
      <c r="AC2173">
        <v>-0.497900000000015</v>
      </c>
      <c r="AD2173">
        <v>-0.2041143</v>
      </c>
      <c r="AE2173">
        <v>3.8999999999987198E-2</v>
      </c>
      <c r="AF2173">
        <v>8.9411227974991306E-2</v>
      </c>
      <c r="AG2173">
        <v>-0.2041143</v>
      </c>
      <c r="AH2173">
        <v>0.418499052579408</v>
      </c>
      <c r="AI2173">
        <v>115.499522017419</v>
      </c>
      <c r="AJ2173">
        <v>77.9402154278241</v>
      </c>
      <c r="AK2173">
        <v>0.47412917244391101</v>
      </c>
      <c r="AL2173">
        <v>85.277671527603303</v>
      </c>
      <c r="AM2173">
        <v>88.725347794538095</v>
      </c>
      <c r="AN2173">
        <v>1.0000000324307301</v>
      </c>
    </row>
    <row r="2174" spans="1:40" x14ac:dyDescent="0.25">
      <c r="A2174" t="str">
        <f>"20190312154552957"</f>
        <v>20190312154552957</v>
      </c>
      <c r="B2174" t="str">
        <f>"1552376752948920"</f>
        <v>1552376752948920</v>
      </c>
      <c r="C2174" t="s">
        <v>40</v>
      </c>
      <c r="D2174">
        <v>4.5760449999999997</v>
      </c>
      <c r="E2174">
        <v>0.54828920000000003</v>
      </c>
      <c r="F2174" t="s">
        <v>41</v>
      </c>
      <c r="G2174">
        <v>-467.93490000000003</v>
      </c>
      <c r="H2174">
        <v>0.9093658</v>
      </c>
      <c r="I2174">
        <v>282.72390000000001</v>
      </c>
      <c r="J2174">
        <v>-467.46570000000003</v>
      </c>
      <c r="K2174">
        <v>1.113011</v>
      </c>
      <c r="L2174">
        <v>282.68110000000001</v>
      </c>
      <c r="M2174">
        <v>-0.99070100000000005</v>
      </c>
      <c r="N2174">
        <v>0</v>
      </c>
      <c r="O2174">
        <v>-0.13528509999999999</v>
      </c>
      <c r="P2174">
        <v>-0.99138289999999996</v>
      </c>
      <c r="Q2174">
        <v>6.552587E-2</v>
      </c>
      <c r="R2174">
        <v>-0.11343159999999999</v>
      </c>
      <c r="S2174">
        <v>-3.0794069999999998</v>
      </c>
      <c r="T2174">
        <v>-0.80801940000000005</v>
      </c>
      <c r="U2174">
        <v>-7.5378419999999899E-3</v>
      </c>
      <c r="V2174">
        <v>2.1173210000000001E-2</v>
      </c>
      <c r="W2174">
        <v>8.0122150000000003E-2</v>
      </c>
      <c r="X2174">
        <v>0.99656020000000001</v>
      </c>
      <c r="Y2174">
        <v>0.1241141</v>
      </c>
      <c r="Z2174">
        <v>5.0839830000000003E-2</v>
      </c>
      <c r="AA2174">
        <v>0.99096470000000003</v>
      </c>
      <c r="AB2174">
        <v>32</v>
      </c>
      <c r="AC2174">
        <v>-0.46920000000000001</v>
      </c>
      <c r="AD2174">
        <v>-0.203645199999999</v>
      </c>
      <c r="AE2174">
        <v>4.2799999999999699E-2</v>
      </c>
      <c r="AF2174">
        <v>8.9220329135748899E-2</v>
      </c>
      <c r="AG2174">
        <v>-0.203645199999999</v>
      </c>
      <c r="AH2174">
        <v>0.386826220600822</v>
      </c>
      <c r="AI2174">
        <v>117.157067194712</v>
      </c>
      <c r="AJ2174">
        <v>77.012029523048</v>
      </c>
      <c r="AK2174">
        <v>0.44616830855457101</v>
      </c>
      <c r="AL2174">
        <v>85.404413267336594</v>
      </c>
      <c r="AM2174">
        <v>88.782860199821698</v>
      </c>
      <c r="AN2174">
        <v>1.0000000479831801</v>
      </c>
    </row>
    <row r="2175" spans="1:40" x14ac:dyDescent="0.25">
      <c r="A2175" t="str">
        <f>"20190312154552981"</f>
        <v>20190312154552981</v>
      </c>
      <c r="B2175" t="str">
        <f>"1552376752968440"</f>
        <v>1552376752968440</v>
      </c>
      <c r="C2175" t="s">
        <v>40</v>
      </c>
      <c r="D2175">
        <v>4.2534999999999998</v>
      </c>
      <c r="E2175">
        <v>0.54926519999999901</v>
      </c>
      <c r="F2175" t="s">
        <v>41</v>
      </c>
      <c r="G2175">
        <v>-468.21350000000001</v>
      </c>
      <c r="H2175">
        <v>0.91160940000000001</v>
      </c>
      <c r="I2175">
        <v>282.68110000000001</v>
      </c>
      <c r="J2175">
        <v>-467.78019999999998</v>
      </c>
      <c r="K2175">
        <v>1.1129279999999999</v>
      </c>
      <c r="L2175">
        <v>282.63459999999998</v>
      </c>
      <c r="M2175">
        <v>-0.99023740000000005</v>
      </c>
      <c r="N2175">
        <v>0</v>
      </c>
      <c r="O2175">
        <v>-0.13863689999999901</v>
      </c>
      <c r="P2175">
        <v>-0.99100319999999997</v>
      </c>
      <c r="Q2175">
        <v>6.2636860000000003E-2</v>
      </c>
      <c r="R2175">
        <v>-0.11827849999999999</v>
      </c>
      <c r="S2175">
        <v>-3.0807500000000001</v>
      </c>
      <c r="T2175">
        <v>-0.83016440000000002</v>
      </c>
      <c r="U2175">
        <v>-1.8310550000000001E-3</v>
      </c>
      <c r="V2175">
        <v>1.9729759999999999E-2</v>
      </c>
      <c r="W2175">
        <v>7.7217709999999995E-2</v>
      </c>
      <c r="X2175">
        <v>0.99681900000000001</v>
      </c>
      <c r="Y2175">
        <v>0.12855610000000001</v>
      </c>
      <c r="Z2175">
        <v>5.3633880000000002E-2</v>
      </c>
      <c r="AA2175">
        <v>0.99025079999999999</v>
      </c>
      <c r="AB2175">
        <v>32</v>
      </c>
      <c r="AC2175">
        <v>-0.43330000000003099</v>
      </c>
      <c r="AD2175">
        <v>-0.20131859999999999</v>
      </c>
      <c r="AE2175">
        <v>4.6500000000037199E-2</v>
      </c>
      <c r="AF2175">
        <v>8.7462955238831894E-2</v>
      </c>
      <c r="AG2175">
        <v>-0.20131859999999999</v>
      </c>
      <c r="AH2175">
        <v>0.34833001580005901</v>
      </c>
      <c r="AI2175">
        <v>119.27294254418899</v>
      </c>
      <c r="AJ2175">
        <v>75.904873508122407</v>
      </c>
      <c r="AK2175">
        <v>0.41171925768943501</v>
      </c>
      <c r="AL2175">
        <v>85.571342526373101</v>
      </c>
      <c r="AM2175">
        <v>88.866108694514097</v>
      </c>
      <c r="AN2175">
        <v>0.99999997846415001</v>
      </c>
    </row>
    <row r="2176" spans="1:40" x14ac:dyDescent="0.25">
      <c r="A2176" t="str">
        <f>"20190312154553015"</f>
        <v>20190312154553015</v>
      </c>
      <c r="B2176" t="str">
        <f>"1552376753008456"</f>
        <v>1552376753008456</v>
      </c>
      <c r="C2176" t="s">
        <v>40</v>
      </c>
      <c r="D2176">
        <v>4.5166709999999997</v>
      </c>
      <c r="E2176">
        <v>0.54956199999999999</v>
      </c>
      <c r="F2176" t="s">
        <v>41</v>
      </c>
      <c r="G2176">
        <v>-468.49299999999999</v>
      </c>
      <c r="H2176">
        <v>0.91868810000000001</v>
      </c>
      <c r="I2176">
        <v>282.63260000000002</v>
      </c>
      <c r="J2176">
        <v>-468.24770000000001</v>
      </c>
      <c r="K2176">
        <v>1.1127880000000001</v>
      </c>
      <c r="L2176">
        <v>282.56349999999998</v>
      </c>
      <c r="M2176">
        <v>-0.98955709999999997</v>
      </c>
      <c r="N2176">
        <v>0</v>
      </c>
      <c r="O2176">
        <v>-0.14341379999999901</v>
      </c>
      <c r="P2176">
        <v>-0.99000600000000005</v>
      </c>
      <c r="Q2176">
        <v>5.8783269999999999E-2</v>
      </c>
      <c r="R2176">
        <v>-0.12818959999999999</v>
      </c>
      <c r="S2176">
        <v>-3.079224</v>
      </c>
      <c r="T2176">
        <v>-0.83892599999999995</v>
      </c>
      <c r="U2176">
        <v>-8.4228519999999998E-3</v>
      </c>
      <c r="V2176">
        <v>1.464176E-2</v>
      </c>
      <c r="W2176">
        <v>7.3319679999999998E-2</v>
      </c>
      <c r="X2176">
        <v>0.997201</v>
      </c>
      <c r="Y2176">
        <v>0.13075599999999901</v>
      </c>
      <c r="Z2176">
        <v>5.5767190000000001E-2</v>
      </c>
      <c r="AA2176">
        <v>0.98984490000000003</v>
      </c>
      <c r="AB2176">
        <v>32</v>
      </c>
      <c r="AC2176">
        <v>-0.24530000000004201</v>
      </c>
      <c r="AD2176">
        <v>-0.19409989999999999</v>
      </c>
      <c r="AE2176">
        <v>6.9100000000048498E-2</v>
      </c>
      <c r="AF2176">
        <v>6.5546212319861102E-2</v>
      </c>
      <c r="AG2176">
        <v>-0.19409989999999999</v>
      </c>
      <c r="AH2176">
        <v>0.147367207131197</v>
      </c>
      <c r="AI2176">
        <v>140.27522002906801</v>
      </c>
      <c r="AJ2176">
        <v>66.021385059302403</v>
      </c>
      <c r="AK2176">
        <v>0.25236515382900898</v>
      </c>
      <c r="AL2176">
        <v>85.795318770873905</v>
      </c>
      <c r="AM2176">
        <v>89.158794691811593</v>
      </c>
      <c r="AN2176">
        <v>0.99999999550609997</v>
      </c>
    </row>
    <row r="2177" spans="1:40" x14ac:dyDescent="0.25">
      <c r="A2177" t="str">
        <f>"20190312154553036"</f>
        <v>20190312154553036</v>
      </c>
      <c r="B2177" t="str">
        <f>"1552376753028952"</f>
        <v>1552376753028952</v>
      </c>
      <c r="C2177" t="s">
        <v>40</v>
      </c>
      <c r="D2177">
        <v>4.4005470000000004</v>
      </c>
      <c r="E2177">
        <v>0.54946450000000002</v>
      </c>
      <c r="F2177" t="s">
        <v>41</v>
      </c>
      <c r="G2177">
        <v>-469.03840000000002</v>
      </c>
      <c r="H2177">
        <v>0.89667030000000003</v>
      </c>
      <c r="I2177">
        <v>282.55450000000002</v>
      </c>
      <c r="J2177">
        <v>-468.55360000000002</v>
      </c>
      <c r="K2177">
        <v>1.1127020000000001</v>
      </c>
      <c r="L2177">
        <v>282.51589999999999</v>
      </c>
      <c r="M2177">
        <v>-0.98911570000000004</v>
      </c>
      <c r="N2177">
        <v>0</v>
      </c>
      <c r="O2177">
        <v>-0.14642720000000001</v>
      </c>
      <c r="P2177">
        <v>-0.98897219999999997</v>
      </c>
      <c r="Q2177">
        <v>5.5643100000000001E-2</v>
      </c>
      <c r="R2177">
        <v>-0.13725290000000001</v>
      </c>
      <c r="S2177">
        <v>-3.075745</v>
      </c>
      <c r="T2177">
        <v>-0.84048630000000002</v>
      </c>
      <c r="U2177">
        <v>-3.4545899999999997E-2</v>
      </c>
      <c r="V2177">
        <v>8.5996419999999994E-3</v>
      </c>
      <c r="W2177">
        <v>7.0135489999999995E-2</v>
      </c>
      <c r="X2177">
        <v>0.99750039999999995</v>
      </c>
      <c r="Y2177">
        <v>0.1253918</v>
      </c>
      <c r="Z2177">
        <v>5.6002900000000001E-2</v>
      </c>
      <c r="AA2177">
        <v>0.9905254</v>
      </c>
      <c r="AB2177">
        <v>31</v>
      </c>
      <c r="AC2177">
        <v>-0.484800000000007</v>
      </c>
      <c r="AD2177">
        <v>-0.21603169999999899</v>
      </c>
      <c r="AE2177">
        <v>3.8600000000030797E-2</v>
      </c>
      <c r="AF2177">
        <v>9.1186513167112501E-2</v>
      </c>
      <c r="AG2177">
        <v>-0.21603169999999899</v>
      </c>
      <c r="AH2177">
        <v>0.395818853205475</v>
      </c>
      <c r="AI2177">
        <v>118.006428336886</v>
      </c>
      <c r="AJ2177">
        <v>77.026865812035197</v>
      </c>
      <c r="AK2177">
        <v>0.46006221333789499</v>
      </c>
      <c r="AL2177">
        <v>85.978230627563605</v>
      </c>
      <c r="AM2177">
        <v>89.506054348188698</v>
      </c>
      <c r="AN2177">
        <v>0.999999994400114</v>
      </c>
    </row>
    <row r="2178" spans="1:40" x14ac:dyDescent="0.25">
      <c r="A2178" t="str">
        <f>"20190312154553059"</f>
        <v>20190312154553059</v>
      </c>
      <c r="B2178" t="str">
        <f>"1552376753048472"</f>
        <v>1552376753048472</v>
      </c>
      <c r="C2178" t="s">
        <v>40</v>
      </c>
      <c r="D2178">
        <v>4.4291580000000002</v>
      </c>
      <c r="E2178">
        <v>0.54949689999999995</v>
      </c>
      <c r="F2178" t="s">
        <v>41</v>
      </c>
      <c r="G2178">
        <v>-469.3159</v>
      </c>
      <c r="H2178">
        <v>0.90371299999999999</v>
      </c>
      <c r="I2178">
        <v>282.50060000000002</v>
      </c>
      <c r="J2178">
        <v>-468.86380000000003</v>
      </c>
      <c r="K2178">
        <v>1.112643</v>
      </c>
      <c r="L2178">
        <v>282.46679999999998</v>
      </c>
      <c r="M2178">
        <v>-0.98866889999999996</v>
      </c>
      <c r="N2178">
        <v>0</v>
      </c>
      <c r="O2178">
        <v>-0.14941460000000001</v>
      </c>
      <c r="P2178">
        <v>-0.98772349999999998</v>
      </c>
      <c r="Q2178">
        <v>5.321965E-2</v>
      </c>
      <c r="R2178">
        <v>-0.14686669999999999</v>
      </c>
      <c r="S2178">
        <v>-3.0721129999999999</v>
      </c>
      <c r="T2178">
        <v>-0.84264359999999905</v>
      </c>
      <c r="U2178">
        <v>-6.3354489999999999E-2</v>
      </c>
      <c r="V2178">
        <v>1.9498129999999999E-3</v>
      </c>
      <c r="W2178">
        <v>6.7665639999999999E-2</v>
      </c>
      <c r="X2178">
        <v>0.99770619999999999</v>
      </c>
      <c r="Y2178">
        <v>0.11913609999999999</v>
      </c>
      <c r="Z2178">
        <v>5.6149749999999998E-2</v>
      </c>
      <c r="AA2178">
        <v>0.99128899999999998</v>
      </c>
      <c r="AB2178">
        <v>31</v>
      </c>
      <c r="AC2178">
        <v>-0.45209999999997302</v>
      </c>
      <c r="AD2178">
        <v>-0.20893</v>
      </c>
      <c r="AE2178">
        <v>3.3800000000041998E-2</v>
      </c>
      <c r="AF2178">
        <v>8.3289047868226801E-2</v>
      </c>
      <c r="AG2178">
        <v>-0.20893</v>
      </c>
      <c r="AH2178">
        <v>0.36455031186959003</v>
      </c>
      <c r="AI2178">
        <v>119.19297705493599</v>
      </c>
      <c r="AJ2178">
        <v>77.130485880859794</v>
      </c>
      <c r="AK2178">
        <v>0.42835235528593901</v>
      </c>
      <c r="AL2178">
        <v>86.120079966083196</v>
      </c>
      <c r="AM2178">
        <v>89.888027243375404</v>
      </c>
      <c r="AN2178">
        <v>1.0000000510628899</v>
      </c>
    </row>
    <row r="2179" spans="1:40" x14ac:dyDescent="0.25">
      <c r="A2179" t="str">
        <f>"20190312154553081"</f>
        <v>20190312154553081</v>
      </c>
      <c r="B2179" t="str">
        <f>"1552376753068969"</f>
        <v>1552376753068969</v>
      </c>
      <c r="C2179" t="s">
        <v>40</v>
      </c>
      <c r="D2179">
        <v>4.5658949999999896</v>
      </c>
      <c r="E2179">
        <v>0.548875</v>
      </c>
      <c r="F2179" t="s">
        <v>41</v>
      </c>
      <c r="G2179">
        <v>-469.59309999999999</v>
      </c>
      <c r="H2179">
        <v>0.91189520000000002</v>
      </c>
      <c r="I2179">
        <v>282.44409999999999</v>
      </c>
      <c r="J2179">
        <v>-469.16750000000002</v>
      </c>
      <c r="K2179">
        <v>1.112622</v>
      </c>
      <c r="L2179">
        <v>282.4178</v>
      </c>
      <c r="M2179">
        <v>-0.98822739999999998</v>
      </c>
      <c r="N2179">
        <v>0</v>
      </c>
      <c r="O2179">
        <v>-0.15230859999999999</v>
      </c>
      <c r="P2179">
        <v>-0.98641970000000001</v>
      </c>
      <c r="Q2179">
        <v>5.4584500000000001E-2</v>
      </c>
      <c r="R2179">
        <v>-0.1549092</v>
      </c>
      <c r="S2179">
        <v>-3.0686650000000002</v>
      </c>
      <c r="T2179">
        <v>-0.84468529999999997</v>
      </c>
      <c r="U2179">
        <v>-9.5153810000000005E-2</v>
      </c>
      <c r="V2179">
        <v>-3.2759730000000002E-3</v>
      </c>
      <c r="W2179">
        <v>6.8991490000000003E-2</v>
      </c>
      <c r="X2179">
        <v>0.9976119</v>
      </c>
      <c r="Y2179">
        <v>0.11184910000000001</v>
      </c>
      <c r="Z2179">
        <v>5.6116850000000003E-2</v>
      </c>
      <c r="AA2179">
        <v>0.99213949999999995</v>
      </c>
      <c r="AB2179">
        <v>31</v>
      </c>
      <c r="AC2179">
        <v>-0.425599999999974</v>
      </c>
      <c r="AD2179">
        <v>-0.20072680000000001</v>
      </c>
      <c r="AE2179">
        <v>2.6299999999992E-2</v>
      </c>
      <c r="AF2179">
        <v>7.4347628763271903E-2</v>
      </c>
      <c r="AG2179">
        <v>-0.20072680000000001</v>
      </c>
      <c r="AH2179">
        <v>0.34105303845642498</v>
      </c>
      <c r="AI2179">
        <v>119.900846760489</v>
      </c>
      <c r="AJ2179">
        <v>77.702238708827593</v>
      </c>
      <c r="AK2179">
        <v>0.402661139398031</v>
      </c>
      <c r="AL2179">
        <v>86.043936315772399</v>
      </c>
      <c r="AM2179">
        <v>90.188148068423402</v>
      </c>
      <c r="AN2179">
        <v>1.0000000303565599</v>
      </c>
    </row>
    <row r="2180" spans="1:40" x14ac:dyDescent="0.25">
      <c r="A2180" t="str">
        <f>"20190312154553103"</f>
        <v>20190312154553103</v>
      </c>
      <c r="B2180" t="str">
        <f>"1552376753099224"</f>
        <v>1552376753099224</v>
      </c>
      <c r="C2180" t="s">
        <v>40</v>
      </c>
      <c r="D2180">
        <v>4.3819129999999999</v>
      </c>
      <c r="E2180">
        <v>0.48785840000000003</v>
      </c>
      <c r="F2180" t="s">
        <v>41</v>
      </c>
      <c r="G2180">
        <v>-469.87079999999997</v>
      </c>
      <c r="H2180">
        <v>0.92048569999999996</v>
      </c>
      <c r="I2180">
        <v>282.38889999999998</v>
      </c>
      <c r="J2180">
        <v>-469.46910000000003</v>
      </c>
      <c r="K2180">
        <v>1.1126400000000001</v>
      </c>
      <c r="L2180">
        <v>282.3682</v>
      </c>
      <c r="M2180">
        <v>-0.98777610000000005</v>
      </c>
      <c r="N2180">
        <v>0</v>
      </c>
      <c r="O2180">
        <v>-0.15520900000000001</v>
      </c>
      <c r="P2180">
        <v>-0.9850949</v>
      </c>
      <c r="Q2180">
        <v>5.968685E-2</v>
      </c>
      <c r="R2180">
        <v>-0.1613253</v>
      </c>
      <c r="S2180">
        <v>-3.06778</v>
      </c>
      <c r="T2180">
        <v>-0.83823749999999997</v>
      </c>
      <c r="U2180">
        <v>-0.1267395</v>
      </c>
      <c r="V2180">
        <v>-6.9201239999999997E-3</v>
      </c>
      <c r="W2180">
        <v>7.4062500000000003E-2</v>
      </c>
      <c r="X2180">
        <v>0.99722960000000005</v>
      </c>
      <c r="Y2180">
        <v>0.10484830000000001</v>
      </c>
      <c r="Z2180">
        <v>5.5532310000000001E-2</v>
      </c>
      <c r="AA2180">
        <v>0.99293659999999995</v>
      </c>
      <c r="AB2180">
        <v>31</v>
      </c>
      <c r="AC2180">
        <v>-0.40169999999994799</v>
      </c>
      <c r="AD2180">
        <v>-0.1921543</v>
      </c>
      <c r="AE2180">
        <v>2.0699999999976602E-2</v>
      </c>
      <c r="AF2180">
        <v>6.7417375615251796E-2</v>
      </c>
      <c r="AG2180">
        <v>-0.1921543</v>
      </c>
      <c r="AH2180">
        <v>0.32047953238726501</v>
      </c>
      <c r="AI2180">
        <v>120.401924807123</v>
      </c>
      <c r="AJ2180">
        <v>78.1202442679011</v>
      </c>
      <c r="AK2180">
        <v>0.37970450118809301</v>
      </c>
      <c r="AL2180">
        <v>85.752642341895495</v>
      </c>
      <c r="AM2180">
        <v>90.397589015369306</v>
      </c>
      <c r="AN2180">
        <v>1.0000000085692899</v>
      </c>
    </row>
    <row r="2181" spans="1:40" x14ac:dyDescent="0.25">
      <c r="A2181" t="str">
        <f>"20190312154553126"</f>
        <v>20190312154553126</v>
      </c>
      <c r="B2181" t="str">
        <f>"1552376753118745"</f>
        <v>1552376753118745</v>
      </c>
      <c r="C2181" t="s">
        <v>40</v>
      </c>
      <c r="D2181">
        <v>4.3886770000000004</v>
      </c>
      <c r="E2181">
        <v>0.4335582</v>
      </c>
      <c r="F2181" t="s">
        <v>41</v>
      </c>
      <c r="G2181">
        <v>-470.17360000000002</v>
      </c>
      <c r="H2181">
        <v>1.0107649999999999</v>
      </c>
      <c r="I2181">
        <v>282.22329999999999</v>
      </c>
      <c r="J2181">
        <v>-469.7792</v>
      </c>
      <c r="K2181">
        <v>1.1127020000000001</v>
      </c>
      <c r="L2181">
        <v>282.31599999999997</v>
      </c>
      <c r="M2181">
        <v>-0.98728559999999999</v>
      </c>
      <c r="N2181">
        <v>0</v>
      </c>
      <c r="O2181">
        <v>-0.15829939999999901</v>
      </c>
      <c r="P2181">
        <v>-0.98401799999999995</v>
      </c>
      <c r="Q2181">
        <v>6.429762E-2</v>
      </c>
      <c r="R2181">
        <v>-0.1660575</v>
      </c>
      <c r="S2181">
        <v>-2.9714969999999998</v>
      </c>
      <c r="T2181">
        <v>-0.42944840000000001</v>
      </c>
      <c r="U2181">
        <v>-0.61044309999999902</v>
      </c>
      <c r="V2181">
        <v>-8.6783639999999992E-3</v>
      </c>
      <c r="W2181">
        <v>7.8653860000000006E-2</v>
      </c>
      <c r="X2181">
        <v>0.99686419999999998</v>
      </c>
      <c r="Y2181">
        <v>-4.4728730000000001E-2</v>
      </c>
      <c r="Z2181">
        <v>1.9186269999999998E-2</v>
      </c>
      <c r="AA2181">
        <v>0.99881489999999995</v>
      </c>
      <c r="AB2181">
        <v>31</v>
      </c>
      <c r="AC2181">
        <v>-0.39440000000001801</v>
      </c>
      <c r="AD2181">
        <v>-0.101937</v>
      </c>
      <c r="AE2181">
        <v>-9.2699999999979299E-2</v>
      </c>
      <c r="AF2181">
        <v>-2.7359156626235E-2</v>
      </c>
      <c r="AG2181">
        <v>-0.101937</v>
      </c>
      <c r="AH2181">
        <v>0.38004332871115398</v>
      </c>
      <c r="AI2181">
        <v>104.977713299016</v>
      </c>
      <c r="AJ2181">
        <v>94.117595312149305</v>
      </c>
      <c r="AK2181">
        <v>0.39442693508196602</v>
      </c>
      <c r="AL2181">
        <v>85.488806184576504</v>
      </c>
      <c r="AM2181">
        <v>90.498785159811305</v>
      </c>
      <c r="AN2181">
        <v>0.99999998846812799</v>
      </c>
    </row>
    <row r="2182" spans="1:40" x14ac:dyDescent="0.25">
      <c r="A2182" t="str">
        <f>"20190312154553148"</f>
        <v>20190312154553148</v>
      </c>
      <c r="B2182" t="str">
        <f>"1552376753139241"</f>
        <v>1552376753139241</v>
      </c>
      <c r="C2182" t="s">
        <v>40</v>
      </c>
      <c r="D2182">
        <v>4.401986</v>
      </c>
      <c r="E2182">
        <v>0.43158089999999999</v>
      </c>
      <c r="F2182" t="s">
        <v>58</v>
      </c>
      <c r="G2182">
        <v>-512.82510000000002</v>
      </c>
      <c r="H2182">
        <v>-3.7025870000000002E-2</v>
      </c>
      <c r="I2182">
        <v>266.84120000000001</v>
      </c>
      <c r="J2182">
        <v>-470.0838</v>
      </c>
      <c r="K2182">
        <v>1.1128039999999999</v>
      </c>
      <c r="L2182">
        <v>282.2638</v>
      </c>
      <c r="M2182">
        <v>-0.98676750000000002</v>
      </c>
      <c r="N2182">
        <v>0</v>
      </c>
      <c r="O2182">
        <v>-0.16149659999999999</v>
      </c>
      <c r="P2182">
        <v>-0.98321829999999999</v>
      </c>
      <c r="Q2182">
        <v>6.6728019999999999E-2</v>
      </c>
      <c r="R2182">
        <v>-0.169792</v>
      </c>
      <c r="S2182">
        <v>-2.8790589999999998</v>
      </c>
      <c r="T2182">
        <v>-7.6892260000000004E-2</v>
      </c>
      <c r="U2182">
        <v>-1.035004</v>
      </c>
      <c r="V2182">
        <v>-9.2954460000000006E-3</v>
      </c>
      <c r="W2182">
        <v>8.1076060000000005E-2</v>
      </c>
      <c r="X2182">
        <v>0.99666460000000001</v>
      </c>
      <c r="Y2182">
        <v>-0.18185889999999999</v>
      </c>
      <c r="Z2182">
        <v>1.784725E-3</v>
      </c>
      <c r="AA2182">
        <v>0.98332299999999995</v>
      </c>
      <c r="AB2182">
        <v>31</v>
      </c>
      <c r="AC2182">
        <v>-42.741300000000003</v>
      </c>
      <c r="AD2182">
        <v>-1.14982987</v>
      </c>
      <c r="AE2182">
        <v>-15.4225999999999</v>
      </c>
      <c r="AF2182">
        <v>-8.3114916859621992</v>
      </c>
      <c r="AG2182">
        <v>-1.14982987</v>
      </c>
      <c r="AH2182">
        <v>44.642499287145299</v>
      </c>
      <c r="AI2182">
        <v>91.450492720128295</v>
      </c>
      <c r="AJ2182">
        <v>100.54651542232401</v>
      </c>
      <c r="AK2182">
        <v>45.424175780948801</v>
      </c>
      <c r="AL2182">
        <v>85.349579766644695</v>
      </c>
      <c r="AM2182">
        <v>90.534356676183407</v>
      </c>
      <c r="AN2182">
        <v>1.0000000288573101</v>
      </c>
    </row>
    <row r="2183" spans="1:40" x14ac:dyDescent="0.25">
      <c r="A2183" t="str">
        <f>"20190312154553170"</f>
        <v>20190312154553170</v>
      </c>
      <c r="B2183" t="str">
        <f>"1552376753158761"</f>
        <v>1552376753158761</v>
      </c>
      <c r="C2183" t="s">
        <v>40</v>
      </c>
      <c r="D2183">
        <v>4.3302529999999999</v>
      </c>
      <c r="E2183">
        <v>0.43224960000000001</v>
      </c>
      <c r="F2183" t="s">
        <v>58</v>
      </c>
      <c r="G2183">
        <v>-512.8252</v>
      </c>
      <c r="H2183">
        <v>0.15558529999999901</v>
      </c>
      <c r="I2183">
        <v>266.47070000000002</v>
      </c>
      <c r="J2183">
        <v>-470.38400000000001</v>
      </c>
      <c r="K2183">
        <v>1.112919</v>
      </c>
      <c r="L2183">
        <v>282.21100000000001</v>
      </c>
      <c r="M2183">
        <v>-0.98621899999999996</v>
      </c>
      <c r="N2183">
        <v>0</v>
      </c>
      <c r="O2183">
        <v>-0.16481309999999999</v>
      </c>
      <c r="P2183">
        <v>-0.98208110000000004</v>
      </c>
      <c r="Q2183">
        <v>6.9135829999999995E-2</v>
      </c>
      <c r="R2183">
        <v>-0.17532020000000001</v>
      </c>
      <c r="S2183">
        <v>-2.8722840000000001</v>
      </c>
      <c r="T2183">
        <v>-6.4320920000000004E-2</v>
      </c>
      <c r="U2183">
        <v>-1.06131</v>
      </c>
      <c r="V2183">
        <v>-1.162183E-2</v>
      </c>
      <c r="W2183">
        <v>8.3464999999999998E-2</v>
      </c>
      <c r="X2183">
        <v>0.99644290000000002</v>
      </c>
      <c r="Y2183">
        <v>-0.1872375</v>
      </c>
      <c r="Z2183">
        <v>1.5052640000000001E-3</v>
      </c>
      <c r="AA2183">
        <v>0.98231349999999995</v>
      </c>
      <c r="AB2183">
        <v>31</v>
      </c>
      <c r="AC2183">
        <v>-42.441199999999903</v>
      </c>
      <c r="AD2183">
        <v>-0.95733369999999995</v>
      </c>
      <c r="AE2183">
        <v>-15.7402999999999</v>
      </c>
      <c r="AF2183">
        <v>-8.5255940368441596</v>
      </c>
      <c r="AG2183">
        <v>-0.95733369999999995</v>
      </c>
      <c r="AH2183">
        <v>44.435290043804002</v>
      </c>
      <c r="AI2183">
        <v>91.212112942040804</v>
      </c>
      <c r="AJ2183">
        <v>100.861086508143</v>
      </c>
      <c r="AK2183">
        <v>45.255908374169401</v>
      </c>
      <c r="AL2183">
        <v>85.212237657902506</v>
      </c>
      <c r="AM2183">
        <v>90.668228573580095</v>
      </c>
      <c r="AN2183">
        <v>0.99999996305897798</v>
      </c>
    </row>
    <row r="2184" spans="1:40" x14ac:dyDescent="0.25">
      <c r="A2184" t="str">
        <f>"20190312154553195"</f>
        <v>20190312154553195</v>
      </c>
      <c r="B2184" t="str">
        <f>"1552376753189016"</f>
        <v>1552376753189016</v>
      </c>
      <c r="C2184" t="s">
        <v>40</v>
      </c>
      <c r="D2184">
        <v>4.3652369999999996</v>
      </c>
      <c r="E2184">
        <v>0.43338850000000001</v>
      </c>
      <c r="F2184" t="s">
        <v>58</v>
      </c>
      <c r="G2184">
        <v>-512.8252</v>
      </c>
      <c r="H2184">
        <v>0.1156586</v>
      </c>
      <c r="I2184">
        <v>266.33629999999999</v>
      </c>
      <c r="J2184">
        <v>-470.71499999999997</v>
      </c>
      <c r="K2184">
        <v>1.1130770000000001</v>
      </c>
      <c r="L2184">
        <v>282.15140000000002</v>
      </c>
      <c r="M2184">
        <v>-0.98555619999999999</v>
      </c>
      <c r="N2184">
        <v>0</v>
      </c>
      <c r="O2184">
        <v>-0.168730399999999</v>
      </c>
      <c r="P2184">
        <v>-0.97974289999999997</v>
      </c>
      <c r="Q2184">
        <v>7.3833620000000003E-2</v>
      </c>
      <c r="R2184">
        <v>-0.18615119999999999</v>
      </c>
      <c r="S2184">
        <v>-2.86795</v>
      </c>
      <c r="T2184">
        <v>-6.7384120000000006E-2</v>
      </c>
      <c r="U2184">
        <v>-1.0727230000000001</v>
      </c>
      <c r="V2184">
        <v>-1.879521E-2</v>
      </c>
      <c r="W2184">
        <v>8.8102710000000001E-2</v>
      </c>
      <c r="X2184">
        <v>0.99593410000000004</v>
      </c>
      <c r="Y2184">
        <v>-0.18725130000000001</v>
      </c>
      <c r="Z2184">
        <v>1.664406E-3</v>
      </c>
      <c r="AA2184">
        <v>0.98231069999999998</v>
      </c>
      <c r="AB2184">
        <v>31</v>
      </c>
      <c r="AC2184">
        <v>-42.110199999999999</v>
      </c>
      <c r="AD2184">
        <v>-0.99741840000000004</v>
      </c>
      <c r="AE2184">
        <v>-15.815099999999999</v>
      </c>
      <c r="AF2184">
        <v>-8.4781170784529696</v>
      </c>
      <c r="AG2184">
        <v>-0.99741840000000004</v>
      </c>
      <c r="AH2184">
        <v>44.153365017571701</v>
      </c>
      <c r="AI2184">
        <v>91.270875035044995</v>
      </c>
      <c r="AJ2184">
        <v>100.869365100086</v>
      </c>
      <c r="AK2184">
        <v>44.971023504424899</v>
      </c>
      <c r="AL2184">
        <v>84.945533446237405</v>
      </c>
      <c r="AM2184">
        <v>91.081154256060699</v>
      </c>
      <c r="AN2184">
        <v>1.0000000394855399</v>
      </c>
    </row>
    <row r="2185" spans="1:40" x14ac:dyDescent="0.25">
      <c r="A2185" t="str">
        <f>"20190312154553216"</f>
        <v>20190312154553216</v>
      </c>
      <c r="B2185" t="str">
        <f>"1552376753208536"</f>
        <v>1552376753208536</v>
      </c>
      <c r="C2185" t="s">
        <v>40</v>
      </c>
      <c r="D2185">
        <v>4.3212479999999998</v>
      </c>
      <c r="E2185">
        <v>0.43411889999999997</v>
      </c>
      <c r="F2185" t="s">
        <v>58</v>
      </c>
      <c r="G2185">
        <v>-512.8252</v>
      </c>
      <c r="H2185">
        <v>0.1006857</v>
      </c>
      <c r="I2185">
        <v>266.04430000000002</v>
      </c>
      <c r="J2185">
        <v>-471.00619999999998</v>
      </c>
      <c r="K2185">
        <v>1.11324</v>
      </c>
      <c r="L2185">
        <v>282.09769999999997</v>
      </c>
      <c r="M2185">
        <v>-0.98491039999999996</v>
      </c>
      <c r="N2185">
        <v>0</v>
      </c>
      <c r="O2185">
        <v>-0.1724608</v>
      </c>
      <c r="P2185">
        <v>-0.9779873</v>
      </c>
      <c r="Q2185">
        <v>7.190916E-2</v>
      </c>
      <c r="R2185">
        <v>-0.19588340000000001</v>
      </c>
      <c r="S2185">
        <v>-2.8594059999999999</v>
      </c>
      <c r="T2185">
        <v>-6.8738820000000006E-2</v>
      </c>
      <c r="U2185">
        <v>-1.0937190000000001</v>
      </c>
      <c r="V2185">
        <v>-2.4931970000000001E-2</v>
      </c>
      <c r="W2185">
        <v>8.6129460000000005E-2</v>
      </c>
      <c r="X2185">
        <v>0.99597190000000002</v>
      </c>
      <c r="Y2185">
        <v>-0.1908011</v>
      </c>
      <c r="Z2185">
        <v>1.7429629999999999E-3</v>
      </c>
      <c r="AA2185">
        <v>0.98162720000000003</v>
      </c>
      <c r="AB2185">
        <v>31</v>
      </c>
      <c r="AC2185">
        <v>-41.819000000000003</v>
      </c>
      <c r="AD2185">
        <v>-1.0125542999999999</v>
      </c>
      <c r="AE2185">
        <v>-16.0533999999999</v>
      </c>
      <c r="AF2185">
        <v>-8.5955282077577806</v>
      </c>
      <c r="AG2185">
        <v>-1.0125542999999999</v>
      </c>
      <c r="AH2185">
        <v>43.938688481967702</v>
      </c>
      <c r="AI2185">
        <v>91.295581750785701</v>
      </c>
      <c r="AJ2185">
        <v>101.068730996025</v>
      </c>
      <c r="AK2185">
        <v>44.782995845479199</v>
      </c>
      <c r="AL2185">
        <v>85.059023417018295</v>
      </c>
      <c r="AM2185">
        <v>91.433974576070199</v>
      </c>
      <c r="AN2185">
        <v>0.99999995629879002</v>
      </c>
    </row>
    <row r="2186" spans="1:40" x14ac:dyDescent="0.25">
      <c r="A2186" t="str">
        <f>"20190312154553237"</f>
        <v>20190312154553237</v>
      </c>
      <c r="B2186" t="str">
        <f>"1552376753229033"</f>
        <v>1552376753229033</v>
      </c>
      <c r="C2186" t="s">
        <v>40</v>
      </c>
      <c r="D2186">
        <v>4.2959389999999997</v>
      </c>
      <c r="E2186">
        <v>0.43491039999999997</v>
      </c>
      <c r="F2186" t="s">
        <v>43</v>
      </c>
      <c r="G2186">
        <v>-511.20549999999997</v>
      </c>
      <c r="H2186">
        <v>-0.05</v>
      </c>
      <c r="I2186">
        <v>266.35520000000002</v>
      </c>
      <c r="J2186">
        <v>-471.30160000000001</v>
      </c>
      <c r="K2186">
        <v>1.113459</v>
      </c>
      <c r="L2186">
        <v>282.04169999999999</v>
      </c>
      <c r="M2186">
        <v>-0.98418249999999996</v>
      </c>
      <c r="N2186">
        <v>0</v>
      </c>
      <c r="O2186">
        <v>-0.17656540000000001</v>
      </c>
      <c r="P2186">
        <v>-0.97730669999999997</v>
      </c>
      <c r="Q2186">
        <v>6.3562809999999997E-2</v>
      </c>
      <c r="R2186">
        <v>-0.20206760000000001</v>
      </c>
      <c r="S2186">
        <v>-2.850006</v>
      </c>
      <c r="T2186">
        <v>-8.2470059999999998E-2</v>
      </c>
      <c r="U2186">
        <v>-1.1160890000000001</v>
      </c>
      <c r="V2186">
        <v>-2.6959400000000001E-2</v>
      </c>
      <c r="W2186">
        <v>7.7770599999999995E-2</v>
      </c>
      <c r="X2186">
        <v>0.99660669999999996</v>
      </c>
      <c r="Y2186">
        <v>-0.19448309999999999</v>
      </c>
      <c r="Z2186">
        <v>2.1537470000000001E-3</v>
      </c>
      <c r="AA2186">
        <v>0.98090350000000004</v>
      </c>
      <c r="AB2186">
        <v>31</v>
      </c>
      <c r="AC2186">
        <v>-39.903899999999901</v>
      </c>
      <c r="AD2186">
        <v>-1.163459</v>
      </c>
      <c r="AE2186">
        <v>-15.686499999999899</v>
      </c>
      <c r="AF2186">
        <v>-8.3874340418709998</v>
      </c>
      <c r="AG2186">
        <v>-1.163459</v>
      </c>
      <c r="AH2186">
        <v>42.015880106816603</v>
      </c>
      <c r="AI2186">
        <v>91.555493246076907</v>
      </c>
      <c r="AJ2186">
        <v>101.289289776724</v>
      </c>
      <c r="AK2186">
        <v>42.860668074609002</v>
      </c>
      <c r="AL2186">
        <v>85.539568785537</v>
      </c>
      <c r="AM2186">
        <v>91.549541284939806</v>
      </c>
      <c r="AN2186">
        <v>0.99999999497880498</v>
      </c>
    </row>
    <row r="2187" spans="1:40" x14ac:dyDescent="0.25">
      <c r="A2187" t="str">
        <f>"20190312154553259"</f>
        <v>20190312154553259</v>
      </c>
      <c r="B2187" t="str">
        <f>"1552376753248553"</f>
        <v>1552376753248553</v>
      </c>
      <c r="C2187" t="s">
        <v>40</v>
      </c>
      <c r="D2187">
        <v>4.2786160000000004</v>
      </c>
      <c r="E2187">
        <v>0.43563770000000002</v>
      </c>
      <c r="F2187" t="s">
        <v>53</v>
      </c>
      <c r="G2187">
        <v>-499.4948</v>
      </c>
      <c r="H2187" s="1">
        <v>2.5755080000000002E-7</v>
      </c>
      <c r="I2187">
        <v>270.84559999999999</v>
      </c>
      <c r="J2187">
        <v>-471.59989999999999</v>
      </c>
      <c r="K2187">
        <v>1.11374</v>
      </c>
      <c r="L2187">
        <v>281.98349999999999</v>
      </c>
      <c r="M2187">
        <v>-0.98336080000000003</v>
      </c>
      <c r="N2187">
        <v>0</v>
      </c>
      <c r="O2187">
        <v>-0.18108540000000001</v>
      </c>
      <c r="P2187">
        <v>-0.97664530000000005</v>
      </c>
      <c r="Q2187">
        <v>5.8362440000000002E-2</v>
      </c>
      <c r="R2187">
        <v>-0.20678060000000001</v>
      </c>
      <c r="S2187">
        <v>-2.8435060000000001</v>
      </c>
      <c r="T2187">
        <v>-0.1123011</v>
      </c>
      <c r="U2187">
        <v>-1.129211</v>
      </c>
      <c r="V2187">
        <v>-2.7134970000000001E-2</v>
      </c>
      <c r="W2187">
        <v>7.2570200000000001E-2</v>
      </c>
      <c r="X2187">
        <v>0.99699409999999999</v>
      </c>
      <c r="Y2187">
        <v>-0.1946505</v>
      </c>
      <c r="Z2187">
        <v>3.0992369999999999E-3</v>
      </c>
      <c r="AA2187">
        <v>0.98086770000000001</v>
      </c>
      <c r="AB2187">
        <v>31</v>
      </c>
      <c r="AC2187">
        <v>-27.8949</v>
      </c>
      <c r="AD2187">
        <v>-1.1137397424491999</v>
      </c>
      <c r="AE2187">
        <v>-11.1379</v>
      </c>
      <c r="AF2187">
        <v>-5.8937303546878796</v>
      </c>
      <c r="AG2187">
        <v>-1.1137397424491999</v>
      </c>
      <c r="AH2187">
        <v>29.4103124690388</v>
      </c>
      <c r="AI2187">
        <v>92.126460938798004</v>
      </c>
      <c r="AJ2187">
        <v>101.33178731963601</v>
      </c>
      <c r="AK2187">
        <v>30.015711772906201</v>
      </c>
      <c r="AL2187">
        <v>85.838375486040604</v>
      </c>
      <c r="AM2187">
        <v>91.559021804649603</v>
      </c>
      <c r="AN2187">
        <v>0.99999998797987499</v>
      </c>
    </row>
    <row r="2188" spans="1:40" x14ac:dyDescent="0.25">
      <c r="A2188" t="str">
        <f>"20190312154553282"</f>
        <v>20190312154553282</v>
      </c>
      <c r="B2188" t="str">
        <f>"1552376753269049"</f>
        <v>1552376753269049</v>
      </c>
      <c r="C2188" t="s">
        <v>40</v>
      </c>
      <c r="D2188">
        <v>4.2310530000000002</v>
      </c>
      <c r="E2188">
        <v>0.4364208</v>
      </c>
      <c r="F2188" t="s">
        <v>53</v>
      </c>
      <c r="G2188">
        <v>-495.89920000000001</v>
      </c>
      <c r="H2188" s="1">
        <v>8.232901E-7</v>
      </c>
      <c r="I2188">
        <v>272.24720000000002</v>
      </c>
      <c r="J2188">
        <v>-471.90030000000002</v>
      </c>
      <c r="K2188">
        <v>1.1140859999999999</v>
      </c>
      <c r="L2188">
        <v>281.923</v>
      </c>
      <c r="M2188">
        <v>-0.98243060000000004</v>
      </c>
      <c r="N2188">
        <v>0</v>
      </c>
      <c r="O2188">
        <v>-0.18606420000000001</v>
      </c>
      <c r="P2188">
        <v>-0.97565639999999998</v>
      </c>
      <c r="Q2188">
        <v>5.827893E-2</v>
      </c>
      <c r="R2188">
        <v>-0.21142</v>
      </c>
      <c r="S2188">
        <v>-2.8387150000000001</v>
      </c>
      <c r="T2188">
        <v>-0.13011030000000001</v>
      </c>
      <c r="U2188">
        <v>-1.137421</v>
      </c>
      <c r="V2188">
        <v>-2.6877459999999999E-2</v>
      </c>
      <c r="W2188">
        <v>7.2487930000000006E-2</v>
      </c>
      <c r="X2188">
        <v>0.99700710000000003</v>
      </c>
      <c r="Y2188">
        <v>-0.1926986</v>
      </c>
      <c r="Z2188">
        <v>3.8495560000000001E-3</v>
      </c>
      <c r="AA2188">
        <v>0.98125050000000003</v>
      </c>
      <c r="AB2188">
        <v>31</v>
      </c>
      <c r="AC2188">
        <v>-23.9988999999999</v>
      </c>
      <c r="AD2188">
        <v>-1.11408517670989</v>
      </c>
      <c r="AE2188">
        <v>-9.6757999999999793</v>
      </c>
      <c r="AF2188">
        <v>-5.03166852474462</v>
      </c>
      <c r="AG2188">
        <v>-1.11408517670989</v>
      </c>
      <c r="AH2188">
        <v>25.333281124279502</v>
      </c>
      <c r="AI2188">
        <v>92.469896552208397</v>
      </c>
      <c r="AJ2188">
        <v>101.23382481697099</v>
      </c>
      <c r="AK2188">
        <v>25.852156707819301</v>
      </c>
      <c r="AL2188">
        <v>85.843101822399404</v>
      </c>
      <c r="AM2188">
        <v>91.544213809975901</v>
      </c>
      <c r="AN2188">
        <v>1.0000000276510701</v>
      </c>
    </row>
    <row r="2189" spans="1:40" x14ac:dyDescent="0.25">
      <c r="A2189" t="str">
        <f>"20190312154553305"</f>
        <v>20190312154553305</v>
      </c>
      <c r="B2189" t="str">
        <f>"1552376753299304"</f>
        <v>1552376753299304</v>
      </c>
      <c r="C2189" t="s">
        <v>40</v>
      </c>
      <c r="D2189">
        <v>4.2420150000000003</v>
      </c>
      <c r="E2189">
        <v>0.43779580000000001</v>
      </c>
      <c r="F2189" t="s">
        <v>53</v>
      </c>
      <c r="G2189">
        <v>-495.8818</v>
      </c>
      <c r="H2189" s="1">
        <v>8.2242119999999999E-7</v>
      </c>
      <c r="I2189">
        <v>272.23349999999999</v>
      </c>
      <c r="J2189">
        <v>-472.20089999999999</v>
      </c>
      <c r="K2189">
        <v>1.1144670000000001</v>
      </c>
      <c r="L2189">
        <v>281.86040000000003</v>
      </c>
      <c r="M2189">
        <v>-0.9813769</v>
      </c>
      <c r="N2189">
        <v>0</v>
      </c>
      <c r="O2189">
        <v>-0.1915424</v>
      </c>
      <c r="P2189">
        <v>-0.97432949999999996</v>
      </c>
      <c r="Q2189">
        <v>6.209054E-2</v>
      </c>
      <c r="R2189">
        <v>-0.21639549999999999</v>
      </c>
      <c r="S2189">
        <v>-2.8345030000000002</v>
      </c>
      <c r="T2189">
        <v>-0.13167980000000001</v>
      </c>
      <c r="U2189">
        <v>-1.1452639999999901</v>
      </c>
      <c r="V2189">
        <v>-2.6550890000000001E-2</v>
      </c>
      <c r="W2189">
        <v>7.6301090000000002E-2</v>
      </c>
      <c r="X2189">
        <v>0.99673129999999999</v>
      </c>
      <c r="Y2189">
        <v>-0.19006990000000001</v>
      </c>
      <c r="Z2189">
        <v>4.1945929999999999E-3</v>
      </c>
      <c r="AA2189">
        <v>0.98176160000000001</v>
      </c>
      <c r="AB2189">
        <v>31</v>
      </c>
      <c r="AC2189">
        <v>-23.680900000000001</v>
      </c>
      <c r="AD2189">
        <v>-1.1144661775788001</v>
      </c>
      <c r="AE2189">
        <v>-9.6269000000000293</v>
      </c>
      <c r="AF2189">
        <v>-4.9029198808556496</v>
      </c>
      <c r="AG2189">
        <v>-1.1144661775788001</v>
      </c>
      <c r="AH2189">
        <v>25.038901725850099</v>
      </c>
      <c r="AI2189">
        <v>92.501082323287605</v>
      </c>
      <c r="AJ2189">
        <v>101.079027467462</v>
      </c>
      <c r="AK2189">
        <v>25.538740334163698</v>
      </c>
      <c r="AL2189">
        <v>85.6240166862313</v>
      </c>
      <c r="AM2189">
        <v>91.525881925051706</v>
      </c>
      <c r="AN2189">
        <v>1.0000000452473301</v>
      </c>
    </row>
    <row r="2190" spans="1:40" x14ac:dyDescent="0.25">
      <c r="A2190" t="str">
        <f>"20190312154553326"</f>
        <v>20190312154553326</v>
      </c>
      <c r="B2190" t="str">
        <f>"1552376753318825"</f>
        <v>1552376753318825</v>
      </c>
      <c r="C2190" t="s">
        <v>40</v>
      </c>
      <c r="D2190">
        <v>4.2628830000000004</v>
      </c>
      <c r="E2190">
        <v>0.43859740000000003</v>
      </c>
      <c r="F2190" t="s">
        <v>53</v>
      </c>
      <c r="G2190">
        <v>-497.26209999999998</v>
      </c>
      <c r="H2190" s="1">
        <v>6.044444E-7</v>
      </c>
      <c r="I2190">
        <v>271.6909</v>
      </c>
      <c r="J2190">
        <v>-472.49880000000002</v>
      </c>
      <c r="K2190">
        <v>1.11487</v>
      </c>
      <c r="L2190">
        <v>281.79590000000002</v>
      </c>
      <c r="M2190">
        <v>-0.98019500000000004</v>
      </c>
      <c r="N2190">
        <v>0</v>
      </c>
      <c r="O2190">
        <v>-0.19749910000000001</v>
      </c>
      <c r="P2190">
        <v>-0.97286360000000005</v>
      </c>
      <c r="Q2190">
        <v>6.7042069999999995E-2</v>
      </c>
      <c r="R2190">
        <v>-0.2214546</v>
      </c>
      <c r="S2190">
        <v>-2.8318789999999998</v>
      </c>
      <c r="T2190">
        <v>-0.1259333</v>
      </c>
      <c r="U2190">
        <v>-1.1491389999999999</v>
      </c>
      <c r="V2190">
        <v>-2.5867709999999999E-2</v>
      </c>
      <c r="W2190">
        <v>8.1262360000000006E-2</v>
      </c>
      <c r="X2190">
        <v>0.99635700000000005</v>
      </c>
      <c r="Y2190">
        <v>-0.1855839</v>
      </c>
      <c r="Z2190">
        <v>4.356057E-3</v>
      </c>
      <c r="AA2190">
        <v>0.98261869999999996</v>
      </c>
      <c r="AB2190">
        <v>31</v>
      </c>
      <c r="AC2190">
        <v>-24.763299999999902</v>
      </c>
      <c r="AD2190">
        <v>-1.1148693955555999</v>
      </c>
      <c r="AE2190">
        <v>-10.105</v>
      </c>
      <c r="AF2190">
        <v>-5.00597407291243</v>
      </c>
      <c r="AG2190">
        <v>-1.1148693955555999</v>
      </c>
      <c r="AH2190">
        <v>26.225805459101501</v>
      </c>
      <c r="AI2190">
        <v>92.391082275779397</v>
      </c>
      <c r="AJ2190">
        <v>100.806606583129</v>
      </c>
      <c r="AK2190">
        <v>26.722566908260401</v>
      </c>
      <c r="AL2190">
        <v>85.338870046193804</v>
      </c>
      <c r="AM2190">
        <v>91.487195595957601</v>
      </c>
      <c r="AN2190">
        <v>0.99999999051120603</v>
      </c>
    </row>
    <row r="2191" spans="1:40" x14ac:dyDescent="0.25">
      <c r="A2191" t="str">
        <f>"20190312154553349"</f>
        <v>20190312154553349</v>
      </c>
      <c r="B2191" t="str">
        <f>"1552376753339321"</f>
        <v>1552376753339321</v>
      </c>
      <c r="C2191" t="s">
        <v>40</v>
      </c>
      <c r="D2191">
        <v>4.2747529999999996</v>
      </c>
      <c r="E2191">
        <v>0.43931199999999998</v>
      </c>
      <c r="F2191" t="s">
        <v>53</v>
      </c>
      <c r="G2191">
        <v>-499.95780000000002</v>
      </c>
      <c r="H2191">
        <v>1.2009840000000001E-2</v>
      </c>
      <c r="I2191">
        <v>270.55220000000003</v>
      </c>
      <c r="J2191">
        <v>-472.7971</v>
      </c>
      <c r="K2191">
        <v>1.115235</v>
      </c>
      <c r="L2191">
        <v>281.72899999999998</v>
      </c>
      <c r="M2191">
        <v>-0.9788829</v>
      </c>
      <c r="N2191">
        <v>0</v>
      </c>
      <c r="O2191">
        <v>-0.2039002</v>
      </c>
      <c r="P2191">
        <v>-0.97128979999999998</v>
      </c>
      <c r="Q2191">
        <v>7.0050299999999996E-2</v>
      </c>
      <c r="R2191">
        <v>-0.2273531</v>
      </c>
      <c r="S2191">
        <v>-2.8279109999999998</v>
      </c>
      <c r="T2191">
        <v>-0.11358020000000001</v>
      </c>
      <c r="U2191">
        <v>-1.157959</v>
      </c>
      <c r="V2191">
        <v>-2.5553409999999999E-2</v>
      </c>
      <c r="W2191">
        <v>8.4283700000000003E-2</v>
      </c>
      <c r="X2191">
        <v>0.9961141</v>
      </c>
      <c r="Y2191">
        <v>-0.18227399999999999</v>
      </c>
      <c r="Z2191">
        <v>4.2337199999999998E-3</v>
      </c>
      <c r="AA2191">
        <v>0.98323859999999996</v>
      </c>
      <c r="AB2191">
        <v>31</v>
      </c>
      <c r="AC2191">
        <v>-27.160699999999999</v>
      </c>
      <c r="AD2191">
        <v>-1.10322516</v>
      </c>
      <c r="AE2191">
        <v>-11.1768</v>
      </c>
      <c r="AF2191">
        <v>-5.3956687217151096</v>
      </c>
      <c r="AG2191">
        <v>-1.10322516</v>
      </c>
      <c r="AH2191">
        <v>28.828495839347099</v>
      </c>
      <c r="AI2191">
        <v>92.154187611862596</v>
      </c>
      <c r="AJ2191">
        <v>100.601079868732</v>
      </c>
      <c r="AK2191">
        <v>29.349829966584199</v>
      </c>
      <c r="AL2191">
        <v>85.165163952763706</v>
      </c>
      <c r="AM2191">
        <v>91.4694918039512</v>
      </c>
      <c r="AN2191">
        <v>1.0000000095335599</v>
      </c>
    </row>
    <row r="2192" spans="1:40" x14ac:dyDescent="0.25">
      <c r="A2192" t="str">
        <f>"20190312154553371"</f>
        <v>20190312154553371</v>
      </c>
      <c r="B2192" t="str">
        <f>"1552376753358841"</f>
        <v>1552376753358841</v>
      </c>
      <c r="C2192" t="s">
        <v>40</v>
      </c>
      <c r="D2192">
        <v>4.324757</v>
      </c>
      <c r="E2192">
        <v>0.4398454</v>
      </c>
      <c r="F2192" t="s">
        <v>53</v>
      </c>
      <c r="G2192">
        <v>-500.07060000000001</v>
      </c>
      <c r="H2192">
        <v>7.9999959999999995E-2</v>
      </c>
      <c r="I2192">
        <v>270.42360000000002</v>
      </c>
      <c r="J2192">
        <v>-473.09109999999998</v>
      </c>
      <c r="K2192">
        <v>1.1155619999999999</v>
      </c>
      <c r="L2192">
        <v>281.66059999999999</v>
      </c>
      <c r="M2192">
        <v>-0.9774505</v>
      </c>
      <c r="N2192">
        <v>0</v>
      </c>
      <c r="O2192">
        <v>-0.21065819999999999</v>
      </c>
      <c r="P2192">
        <v>-0.96949010000000002</v>
      </c>
      <c r="Q2192">
        <v>7.0168519999999998E-2</v>
      </c>
      <c r="R2192">
        <v>-0.23487330000000001</v>
      </c>
      <c r="S2192">
        <v>-2.8225099999999999</v>
      </c>
      <c r="T2192">
        <v>-0.1071353</v>
      </c>
      <c r="U2192">
        <v>-1.169983</v>
      </c>
      <c r="V2192">
        <v>-2.6465099999999998E-2</v>
      </c>
      <c r="W2192">
        <v>8.4402000000000005E-2</v>
      </c>
      <c r="X2192">
        <v>0.99608030000000003</v>
      </c>
      <c r="Y2192">
        <v>-0.17972379999999999</v>
      </c>
      <c r="Z2192">
        <v>4.2805040000000001E-3</v>
      </c>
      <c r="AA2192">
        <v>0.98370780000000002</v>
      </c>
      <c r="AB2192">
        <v>31</v>
      </c>
      <c r="AC2192">
        <v>-26.979500000000002</v>
      </c>
      <c r="AD2192">
        <v>-1.0355620400000001</v>
      </c>
      <c r="AE2192">
        <v>-11.236999999999901</v>
      </c>
      <c r="AF2192">
        <v>-5.2940779923988597</v>
      </c>
      <c r="AG2192">
        <v>-1.0355620400000001</v>
      </c>
      <c r="AH2192">
        <v>28.705323240350801</v>
      </c>
      <c r="AI2192">
        <v>92.031847121213602</v>
      </c>
      <c r="AJ2192">
        <v>100.449550657909</v>
      </c>
      <c r="AK2192">
        <v>29.2077940430515</v>
      </c>
      <c r="AL2192">
        <v>85.158361731027199</v>
      </c>
      <c r="AM2192">
        <v>91.521947455945096</v>
      </c>
      <c r="AN2192">
        <v>1.0000000315850399</v>
      </c>
    </row>
    <row r="2193" spans="1:40" x14ac:dyDescent="0.25">
      <c r="A2193" t="str">
        <f>"20190312154553394"</f>
        <v>20190312154553394</v>
      </c>
      <c r="B2193" t="str">
        <f>"1552376753389097"</f>
        <v>1552376753389097</v>
      </c>
      <c r="C2193" t="s">
        <v>40</v>
      </c>
      <c r="D2193">
        <v>4.3006180000000001</v>
      </c>
      <c r="E2193">
        <v>0.44052580000000002</v>
      </c>
      <c r="F2193" t="s">
        <v>53</v>
      </c>
      <c r="G2193">
        <v>-500.03750000000002</v>
      </c>
      <c r="H2193">
        <v>7.9999959999999995E-2</v>
      </c>
      <c r="I2193">
        <v>270.29340000000002</v>
      </c>
      <c r="J2193">
        <v>-473.39859999999999</v>
      </c>
      <c r="K2193">
        <v>1.115904</v>
      </c>
      <c r="L2193">
        <v>281.58629999999999</v>
      </c>
      <c r="M2193">
        <v>-0.97578710000000002</v>
      </c>
      <c r="N2193">
        <v>0</v>
      </c>
      <c r="O2193">
        <v>-0.2182306</v>
      </c>
      <c r="P2193">
        <v>-0.96783350000000001</v>
      </c>
      <c r="Q2193">
        <v>6.7231920000000001E-2</v>
      </c>
      <c r="R2193">
        <v>-0.2424423</v>
      </c>
      <c r="S2193">
        <v>-2.8146059999999999</v>
      </c>
      <c r="T2193">
        <v>-0.1081665</v>
      </c>
      <c r="U2193">
        <v>-1.187317</v>
      </c>
      <c r="V2193">
        <v>-2.651384E-2</v>
      </c>
      <c r="W2193">
        <v>8.1480979999999995E-2</v>
      </c>
      <c r="X2193">
        <v>0.99632220000000005</v>
      </c>
      <c r="Y2193">
        <v>-0.1782329</v>
      </c>
      <c r="Z2193">
        <v>4.6223230000000002E-3</v>
      </c>
      <c r="AA2193">
        <v>0.98397749999999995</v>
      </c>
      <c r="AB2193">
        <v>31</v>
      </c>
      <c r="AC2193">
        <v>-26.6389</v>
      </c>
      <c r="AD2193">
        <v>-1.0359040399999999</v>
      </c>
      <c r="AE2193">
        <v>-11.2928999999999</v>
      </c>
      <c r="AF2193">
        <v>-5.1999371635660596</v>
      </c>
      <c r="AG2193">
        <v>-1.0359040399999999</v>
      </c>
      <c r="AH2193">
        <v>28.424974270812498</v>
      </c>
      <c r="AI2193">
        <v>92.053090870676201</v>
      </c>
      <c r="AJ2193">
        <v>100.36680386506499</v>
      </c>
      <c r="AK2193">
        <v>28.915248675767501</v>
      </c>
      <c r="AL2193">
        <v>85.326302551162499</v>
      </c>
      <c r="AM2193">
        <v>91.524379036466399</v>
      </c>
      <c r="AN2193">
        <v>1.00000003001307</v>
      </c>
    </row>
    <row r="2194" spans="1:40" x14ac:dyDescent="0.25">
      <c r="A2194" t="str">
        <f>"20190312154553416"</f>
        <v>20190312154553416</v>
      </c>
      <c r="B2194" t="str">
        <f>"1552376753408617"</f>
        <v>1552376753408617</v>
      </c>
      <c r="C2194" t="s">
        <v>40</v>
      </c>
      <c r="D2194">
        <v>4.2593350000000001</v>
      </c>
      <c r="E2194">
        <v>0.44931369999999998</v>
      </c>
      <c r="F2194" t="s">
        <v>53</v>
      </c>
      <c r="G2194">
        <v>-499.75569999999999</v>
      </c>
      <c r="H2194" s="1">
        <v>1.365871E-7</v>
      </c>
      <c r="I2194">
        <v>270.2901</v>
      </c>
      <c r="J2194">
        <v>-473.6816</v>
      </c>
      <c r="K2194">
        <v>1.1162209999999999</v>
      </c>
      <c r="L2194">
        <v>281.51519999999999</v>
      </c>
      <c r="M2194">
        <v>-0.97409190000000001</v>
      </c>
      <c r="N2194">
        <v>0</v>
      </c>
      <c r="O2194">
        <v>-0.2256753</v>
      </c>
      <c r="P2194">
        <v>-0.96659689999999998</v>
      </c>
      <c r="Q2194">
        <v>6.3356339999999997E-2</v>
      </c>
      <c r="R2194">
        <v>-0.24834790000000001</v>
      </c>
      <c r="S2194">
        <v>-2.8066710000000001</v>
      </c>
      <c r="T2194">
        <v>-0.1188283</v>
      </c>
      <c r="U2194">
        <v>-1.2028810000000001</v>
      </c>
      <c r="V2194">
        <v>-2.4941330000000001E-2</v>
      </c>
      <c r="W2194">
        <v>7.7650330000000004E-2</v>
      </c>
      <c r="X2194">
        <v>0.99666860000000002</v>
      </c>
      <c r="Y2194">
        <v>-0.176345</v>
      </c>
      <c r="Z2194">
        <v>5.4117849999999997E-3</v>
      </c>
      <c r="AA2194">
        <v>0.98431349999999995</v>
      </c>
      <c r="AB2194">
        <v>31</v>
      </c>
      <c r="AC2194">
        <v>-26.074099999999898</v>
      </c>
      <c r="AD2194">
        <v>-1.1162208634128901</v>
      </c>
      <c r="AE2194">
        <v>-11.2250999999999</v>
      </c>
      <c r="AF2194">
        <v>-5.0427465680531602</v>
      </c>
      <c r="AG2194">
        <v>-1.1162208634128901</v>
      </c>
      <c r="AH2194">
        <v>27.891685805330699</v>
      </c>
      <c r="AI2194">
        <v>92.255221127501699</v>
      </c>
      <c r="AJ2194">
        <v>100.248225952673</v>
      </c>
      <c r="AK2194">
        <v>28.365848815588301</v>
      </c>
      <c r="AL2194">
        <v>85.546480543479106</v>
      </c>
      <c r="AM2194">
        <v>91.433510349147397</v>
      </c>
      <c r="AN2194">
        <v>0.99999997095861803</v>
      </c>
    </row>
    <row r="2195" spans="1:40" x14ac:dyDescent="0.25">
      <c r="A2195" t="str">
        <f>"20190312154553438"</f>
        <v>20190312154553438</v>
      </c>
      <c r="B2195" t="str">
        <f>"1552376753429113"</f>
        <v>1552376753429113</v>
      </c>
      <c r="C2195" t="s">
        <v>40</v>
      </c>
      <c r="D2195">
        <v>4.2872969999999997</v>
      </c>
      <c r="E2195">
        <v>0.44967170000000001</v>
      </c>
      <c r="F2195" t="s">
        <v>53</v>
      </c>
      <c r="G2195">
        <v>-492.69650000000001</v>
      </c>
      <c r="H2195" s="1">
        <v>1.36950799999999E-6</v>
      </c>
      <c r="I2195">
        <v>273.73579999999998</v>
      </c>
      <c r="J2195">
        <v>-473.97559999999999</v>
      </c>
      <c r="K2195">
        <v>1.11659</v>
      </c>
      <c r="L2195">
        <v>281.4384</v>
      </c>
      <c r="M2195">
        <v>-0.97214690000000004</v>
      </c>
      <c r="N2195">
        <v>0</v>
      </c>
      <c r="O2195">
        <v>-0.2339087</v>
      </c>
      <c r="P2195">
        <v>-0.96527859999999999</v>
      </c>
      <c r="Q2195">
        <v>5.9401790000000003E-2</v>
      </c>
      <c r="R2195">
        <v>-0.25437929999999997</v>
      </c>
      <c r="S2195">
        <v>-2.8182680000000002</v>
      </c>
      <c r="T2195">
        <v>-0.16543910000000001</v>
      </c>
      <c r="U2195">
        <v>-1.1530149999999999</v>
      </c>
      <c r="V2195">
        <v>-2.26839E-2</v>
      </c>
      <c r="W2195">
        <v>7.3760049999999994E-2</v>
      </c>
      <c r="X2195">
        <v>0.99701799999999996</v>
      </c>
      <c r="Y2195">
        <v>-0.15174960000000001</v>
      </c>
      <c r="Z2195">
        <v>8.67185E-3</v>
      </c>
      <c r="AA2195">
        <v>0.98838090000000001</v>
      </c>
      <c r="AB2195">
        <v>31</v>
      </c>
      <c r="AC2195">
        <v>-18.7209</v>
      </c>
      <c r="AD2195">
        <v>-1.1165886304920001</v>
      </c>
      <c r="AE2195">
        <v>-7.7026000000000101</v>
      </c>
      <c r="AF2195">
        <v>-3.0999836137719399</v>
      </c>
      <c r="AG2195">
        <v>-1.1165886304920001</v>
      </c>
      <c r="AH2195">
        <v>19.942668784582899</v>
      </c>
      <c r="AI2195">
        <v>93.166689444072802</v>
      </c>
      <c r="AJ2195">
        <v>98.835617021364001</v>
      </c>
      <c r="AK2195">
        <v>20.213033093204398</v>
      </c>
      <c r="AL2195">
        <v>85.770018935059795</v>
      </c>
      <c r="AM2195">
        <v>91.303354146272994</v>
      </c>
      <c r="AN2195">
        <v>0.99999999830960595</v>
      </c>
    </row>
    <row r="2196" spans="1:40" x14ac:dyDescent="0.25">
      <c r="A2196" t="str">
        <f>"20190312154553461"</f>
        <v>20190312154553461</v>
      </c>
      <c r="B2196" t="str">
        <f>"1552376753448633"</f>
        <v>1552376753448633</v>
      </c>
      <c r="C2196" t="s">
        <v>40</v>
      </c>
      <c r="D2196">
        <v>4.2596550000000004</v>
      </c>
      <c r="E2196">
        <v>0.44969769999999998</v>
      </c>
      <c r="F2196" t="s">
        <v>53</v>
      </c>
      <c r="G2196">
        <v>-491.55720000000002</v>
      </c>
      <c r="H2196" s="1">
        <v>1.5415730000000001E-6</v>
      </c>
      <c r="I2196">
        <v>274.13900000000001</v>
      </c>
      <c r="J2196">
        <v>-474.26220000000001</v>
      </c>
      <c r="K2196">
        <v>1.1169739999999999</v>
      </c>
      <c r="L2196">
        <v>281.3605</v>
      </c>
      <c r="M2196">
        <v>-0.97004939999999995</v>
      </c>
      <c r="N2196">
        <v>0</v>
      </c>
      <c r="O2196">
        <v>-0.24245620000000001</v>
      </c>
      <c r="P2196">
        <v>-0.9638215</v>
      </c>
      <c r="Q2196">
        <v>5.493663E-2</v>
      </c>
      <c r="R2196">
        <v>-0.26082549999999999</v>
      </c>
      <c r="S2196">
        <v>-2.8112789999999999</v>
      </c>
      <c r="T2196">
        <v>-0.17854239999999999</v>
      </c>
      <c r="U2196">
        <v>-1.1671750000000001</v>
      </c>
      <c r="V2196">
        <v>-2.050484E-2</v>
      </c>
      <c r="W2196">
        <v>6.9367750000000006E-2</v>
      </c>
      <c r="X2196">
        <v>0.99738039999999994</v>
      </c>
      <c r="Y2196">
        <v>-0.14820150000000001</v>
      </c>
      <c r="Z2196">
        <v>9.9736559999999991E-3</v>
      </c>
      <c r="AA2196">
        <v>0.98890690000000003</v>
      </c>
      <c r="AB2196">
        <v>31</v>
      </c>
      <c r="AC2196">
        <v>-17.295000000000002</v>
      </c>
      <c r="AD2196">
        <v>-1.116972458427</v>
      </c>
      <c r="AE2196">
        <v>-7.22149999999999</v>
      </c>
      <c r="AF2196">
        <v>-2.8022867963211699</v>
      </c>
      <c r="AG2196">
        <v>-1.116972458427</v>
      </c>
      <c r="AH2196">
        <v>18.464350849013801</v>
      </c>
      <c r="AI2196">
        <v>93.422702289781597</v>
      </c>
      <c r="AJ2196">
        <v>98.629776920464806</v>
      </c>
      <c r="AK2196">
        <v>18.709160618188999</v>
      </c>
      <c r="AL2196">
        <v>86.022326303890395</v>
      </c>
      <c r="AM2196">
        <v>91.177760575769099</v>
      </c>
      <c r="AN2196">
        <v>0.99999999775382398</v>
      </c>
    </row>
    <row r="2197" spans="1:40" x14ac:dyDescent="0.25">
      <c r="A2197" t="str">
        <f>"20190312154553484"</f>
        <v>20190312154553484</v>
      </c>
      <c r="B2197" t="str">
        <f>"1552376753478890"</f>
        <v>1552376753478890</v>
      </c>
      <c r="C2197" t="s">
        <v>40</v>
      </c>
      <c r="D2197">
        <v>4.1723129999999999</v>
      </c>
      <c r="E2197">
        <v>0.44939620000000002</v>
      </c>
      <c r="F2197" t="s">
        <v>53</v>
      </c>
      <c r="G2197">
        <v>-490.59969999999998</v>
      </c>
      <c r="H2197" s="1">
        <v>1.682185E-6</v>
      </c>
      <c r="I2197">
        <v>274.45519999999999</v>
      </c>
      <c r="J2197">
        <v>-474.56319999999999</v>
      </c>
      <c r="K2197">
        <v>1.117402</v>
      </c>
      <c r="L2197">
        <v>281.27519999999998</v>
      </c>
      <c r="M2197">
        <v>-0.96761019999999998</v>
      </c>
      <c r="N2197">
        <v>0</v>
      </c>
      <c r="O2197">
        <v>-0.2520114</v>
      </c>
      <c r="P2197">
        <v>-0.96154209999999996</v>
      </c>
      <c r="Q2197">
        <v>5.0618240000000002E-2</v>
      </c>
      <c r="R2197">
        <v>-0.26995350000000001</v>
      </c>
      <c r="S2197">
        <v>-2.8029169999999999</v>
      </c>
      <c r="T2197">
        <v>-0.19163189999999999</v>
      </c>
      <c r="U2197">
        <v>-1.1846920000000001</v>
      </c>
      <c r="V2197">
        <v>-2.0065469999999998E-2</v>
      </c>
      <c r="W2197">
        <v>6.5102579999999993E-2</v>
      </c>
      <c r="X2197">
        <v>0.99767680000000003</v>
      </c>
      <c r="Y2197">
        <v>-0.1447937</v>
      </c>
      <c r="Z2197">
        <v>1.142467E-2</v>
      </c>
      <c r="AA2197">
        <v>0.98939589999999999</v>
      </c>
      <c r="AB2197">
        <v>31</v>
      </c>
      <c r="AC2197">
        <v>-16.036499999999901</v>
      </c>
      <c r="AD2197">
        <v>-1.117400317815</v>
      </c>
      <c r="AE2197">
        <v>-6.8199999999999896</v>
      </c>
      <c r="AF2197">
        <v>-2.5475289775616599</v>
      </c>
      <c r="AG2197">
        <v>-1.117400317815</v>
      </c>
      <c r="AH2197">
        <v>17.167119095169099</v>
      </c>
      <c r="AI2197">
        <v>93.683875942149797</v>
      </c>
      <c r="AJ2197">
        <v>98.440855167842301</v>
      </c>
      <c r="AK2197">
        <v>17.391045551935299</v>
      </c>
      <c r="AL2197">
        <v>86.267256918186504</v>
      </c>
      <c r="AM2197">
        <v>91.152188533415497</v>
      </c>
      <c r="AN2197">
        <v>0.99999998313360805</v>
      </c>
    </row>
    <row r="2198" spans="1:40" x14ac:dyDescent="0.25">
      <c r="A2198" t="str">
        <f>"20190312154553506"</f>
        <v>20190312154553506</v>
      </c>
      <c r="B2198" t="str">
        <f>"1552376753499384"</f>
        <v>1552376753499384</v>
      </c>
      <c r="C2198" t="s">
        <v>40</v>
      </c>
      <c r="D2198">
        <v>4.2121420000000001</v>
      </c>
      <c r="E2198">
        <v>0.41266720000000001</v>
      </c>
      <c r="F2198" t="s">
        <v>53</v>
      </c>
      <c r="G2198">
        <v>-490.01960000000003</v>
      </c>
      <c r="H2198" s="1">
        <v>1.745529E-6</v>
      </c>
      <c r="I2198">
        <v>274.55419999999998</v>
      </c>
      <c r="J2198">
        <v>-474.84559999999999</v>
      </c>
      <c r="K2198">
        <v>1.1178250000000001</v>
      </c>
      <c r="L2198">
        <v>281.19130000000001</v>
      </c>
      <c r="M2198">
        <v>-0.9650647</v>
      </c>
      <c r="N2198">
        <v>0</v>
      </c>
      <c r="O2198">
        <v>-0.26158680000000001</v>
      </c>
      <c r="P2198">
        <v>-0.95843979999999995</v>
      </c>
      <c r="Q2198">
        <v>4.905408E-2</v>
      </c>
      <c r="R2198">
        <v>-0.28104679999999999</v>
      </c>
      <c r="S2198">
        <v>-2.790009</v>
      </c>
      <c r="T2198">
        <v>-0.20170009999999999</v>
      </c>
      <c r="U2198">
        <v>-1.2131959999999999</v>
      </c>
      <c r="V2198">
        <v>-2.1728379999999999E-2</v>
      </c>
      <c r="W2198">
        <v>6.3555109999999998E-2</v>
      </c>
      <c r="X2198">
        <v>0.99774180000000001</v>
      </c>
      <c r="Y2198">
        <v>-0.145202</v>
      </c>
      <c r="Z2198">
        <v>1.2659139999999999E-2</v>
      </c>
      <c r="AA2198">
        <v>0.98932109999999995</v>
      </c>
      <c r="AB2198">
        <v>30</v>
      </c>
      <c r="AC2198">
        <v>-15.173999999999999</v>
      </c>
      <c r="AD2198">
        <v>-1.1178232544710001</v>
      </c>
      <c r="AE2198">
        <v>-6.6371000000000304</v>
      </c>
      <c r="AF2198">
        <v>-2.4251365641548799</v>
      </c>
      <c r="AG2198">
        <v>-1.1178232544710001</v>
      </c>
      <c r="AH2198">
        <v>16.3076055955047</v>
      </c>
      <c r="AI2198">
        <v>93.878747320649893</v>
      </c>
      <c r="AJ2198">
        <v>98.458578666502802</v>
      </c>
      <c r="AK2198">
        <v>16.524793990896601</v>
      </c>
      <c r="AL2198">
        <v>86.356104650131797</v>
      </c>
      <c r="AM2198">
        <v>91.247564966883104</v>
      </c>
      <c r="AN2198">
        <v>1.0000000369858799</v>
      </c>
    </row>
    <row r="2199" spans="1:40" x14ac:dyDescent="0.25">
      <c r="A2199" t="str">
        <f>"20190312154553528"</f>
        <v>20190312154553528</v>
      </c>
      <c r="B2199" t="str">
        <f>"1552376753518905"</f>
        <v>1552376753518905</v>
      </c>
      <c r="C2199" t="s">
        <v>40</v>
      </c>
      <c r="D2199">
        <v>4.2540630000000004</v>
      </c>
      <c r="E2199">
        <v>0.4074816</v>
      </c>
      <c r="F2199" t="s">
        <v>53</v>
      </c>
      <c r="G2199">
        <v>-490.06909999999999</v>
      </c>
      <c r="H2199" s="1">
        <v>1.0438409999999999E-6</v>
      </c>
      <c r="I2199">
        <v>272.56920000000002</v>
      </c>
      <c r="J2199">
        <v>-475.13130000000001</v>
      </c>
      <c r="K2199">
        <v>1.1182449999999999</v>
      </c>
      <c r="L2199">
        <v>281.10289999999998</v>
      </c>
      <c r="M2199">
        <v>-0.96224339999999997</v>
      </c>
      <c r="N2199">
        <v>0</v>
      </c>
      <c r="O2199">
        <v>-0.27177689999999999</v>
      </c>
      <c r="P2199">
        <v>-0.95452709999999996</v>
      </c>
      <c r="Q2199">
        <v>4.9961119999999998E-2</v>
      </c>
      <c r="R2199">
        <v>-0.29390769999999999</v>
      </c>
      <c r="S2199">
        <v>-2.6929630000000002</v>
      </c>
      <c r="T2199">
        <v>-0.1977372</v>
      </c>
      <c r="U2199">
        <v>-1.5252079999999999</v>
      </c>
      <c r="V2199">
        <v>-2.469037E-2</v>
      </c>
      <c r="W2199">
        <v>6.4453549999999998E-2</v>
      </c>
      <c r="X2199">
        <v>0.99761520000000004</v>
      </c>
      <c r="Y2199">
        <v>-0.2378094</v>
      </c>
      <c r="Z2199">
        <v>9.9380389999999992E-3</v>
      </c>
      <c r="AA2199">
        <v>0.97126100000000004</v>
      </c>
      <c r="AB2199">
        <v>30</v>
      </c>
      <c r="AC2199">
        <v>-14.9377999999999</v>
      </c>
      <c r="AD2199">
        <v>-1.1182439561589901</v>
      </c>
      <c r="AE2199">
        <v>-8.5336999999999499</v>
      </c>
      <c r="AF2199">
        <v>-4.1347448612456299</v>
      </c>
      <c r="AG2199">
        <v>-1.1182439561589901</v>
      </c>
      <c r="AH2199">
        <v>16.624698843518701</v>
      </c>
      <c r="AI2199">
        <v>93.734708145785106</v>
      </c>
      <c r="AJ2199">
        <v>103.966710533132</v>
      </c>
      <c r="AK2199">
        <v>17.167620576270199</v>
      </c>
      <c r="AL2199">
        <v>86.304521858637401</v>
      </c>
      <c r="AM2199">
        <v>91.417746302627705</v>
      </c>
      <c r="AN2199">
        <v>0.999999980874689</v>
      </c>
    </row>
    <row r="2200" spans="1:40" x14ac:dyDescent="0.25">
      <c r="A2200" t="str">
        <f>"20190312154553550"</f>
        <v>20190312154553550</v>
      </c>
      <c r="B2200" t="str">
        <f>"1552376753538425"</f>
        <v>1552376753538425</v>
      </c>
      <c r="C2200" t="s">
        <v>40</v>
      </c>
      <c r="D2200">
        <v>4.213171</v>
      </c>
      <c r="E2200">
        <v>0.40538659999999999</v>
      </c>
      <c r="F2200" t="s">
        <v>53</v>
      </c>
      <c r="G2200">
        <v>-488.85019999999997</v>
      </c>
      <c r="H2200" s="1">
        <v>1.044465E-6</v>
      </c>
      <c r="I2200">
        <v>272.84890000000001</v>
      </c>
      <c r="J2200">
        <v>-475.41289999999998</v>
      </c>
      <c r="K2200">
        <v>1.118641</v>
      </c>
      <c r="L2200">
        <v>281.01190000000003</v>
      </c>
      <c r="M2200">
        <v>-0.95919829999999995</v>
      </c>
      <c r="N2200">
        <v>0</v>
      </c>
      <c r="O2200">
        <v>-0.28233239999999998</v>
      </c>
      <c r="P2200">
        <v>-0.9505844</v>
      </c>
      <c r="Q2200">
        <v>4.9629670000000001E-2</v>
      </c>
      <c r="R2200">
        <v>-0.30647429999999998</v>
      </c>
      <c r="S2200">
        <v>-2.6612239999999998</v>
      </c>
      <c r="T2200">
        <v>-0.21692030000000001</v>
      </c>
      <c r="U2200">
        <v>-1.601135</v>
      </c>
      <c r="V2200">
        <v>-2.6942839999999999E-2</v>
      </c>
      <c r="W2200">
        <v>6.4123299999999994E-2</v>
      </c>
      <c r="X2200">
        <v>0.99757819999999997</v>
      </c>
      <c r="Y2200">
        <v>-0.25266499999999997</v>
      </c>
      <c r="Z2200">
        <v>1.110298E-2</v>
      </c>
      <c r="AA2200">
        <v>0.96749010000000002</v>
      </c>
      <c r="AB2200">
        <v>30</v>
      </c>
      <c r="AC2200">
        <v>-13.437299999999899</v>
      </c>
      <c r="AD2200">
        <v>-1.118639955535</v>
      </c>
      <c r="AE2200">
        <v>-8.1630000000000091</v>
      </c>
      <c r="AF2200">
        <v>-4.0162775911681097</v>
      </c>
      <c r="AG2200">
        <v>-1.118639955535</v>
      </c>
      <c r="AH2200">
        <v>15.1189047321154</v>
      </c>
      <c r="AI2200">
        <v>94.090222200714706</v>
      </c>
      <c r="AJ2200">
        <v>104.87680953501599</v>
      </c>
      <c r="AK2200">
        <v>15.6832114484955</v>
      </c>
      <c r="AL2200">
        <v>86.323483046475701</v>
      </c>
      <c r="AM2200">
        <v>91.547082557813596</v>
      </c>
      <c r="AN2200">
        <v>0.99999998967269699</v>
      </c>
    </row>
    <row r="2201" spans="1:40" x14ac:dyDescent="0.25">
      <c r="A2201" t="str">
        <f>"20190312154553572"</f>
        <v>20190312154553572</v>
      </c>
      <c r="B2201" t="str">
        <f>"1552376753568681"</f>
        <v>1552376753568681</v>
      </c>
      <c r="C2201" t="s">
        <v>40</v>
      </c>
      <c r="D2201">
        <v>4.1701870000000003</v>
      </c>
      <c r="E2201">
        <v>0.40486480000000002</v>
      </c>
      <c r="F2201" t="s">
        <v>53</v>
      </c>
      <c r="G2201">
        <v>-488.50240000000002</v>
      </c>
      <c r="H2201" s="1">
        <v>9.9301659999999993E-7</v>
      </c>
      <c r="I2201">
        <v>272.79059999999998</v>
      </c>
      <c r="J2201">
        <v>-475.69069999999999</v>
      </c>
      <c r="K2201">
        <v>1.1190209999999901</v>
      </c>
      <c r="L2201">
        <v>280.91820000000001</v>
      </c>
      <c r="M2201">
        <v>-0.95590719999999996</v>
      </c>
      <c r="N2201">
        <v>0</v>
      </c>
      <c r="O2201">
        <v>-0.29327880000000001</v>
      </c>
      <c r="P2201">
        <v>-0.94703130000000002</v>
      </c>
      <c r="Q2201">
        <v>4.699068E-2</v>
      </c>
      <c r="R2201">
        <v>-0.317685</v>
      </c>
      <c r="S2201">
        <v>-2.634277</v>
      </c>
      <c r="T2201">
        <v>-0.22512650000000001</v>
      </c>
      <c r="U2201">
        <v>-1.654541</v>
      </c>
      <c r="V2201">
        <v>-2.7292179999999999E-2</v>
      </c>
      <c r="W2201">
        <v>6.1527770000000002E-2</v>
      </c>
      <c r="X2201">
        <v>0.99773219999999996</v>
      </c>
      <c r="Y2201">
        <v>-0.26016260000000002</v>
      </c>
      <c r="Z2201">
        <v>1.2052449999999999E-2</v>
      </c>
      <c r="AA2201">
        <v>0.96548959999999995</v>
      </c>
      <c r="AB2201">
        <v>30</v>
      </c>
      <c r="AC2201">
        <v>-12.8117</v>
      </c>
      <c r="AD2201">
        <v>-1.11902000698339</v>
      </c>
      <c r="AE2201">
        <v>-8.1276000000000295</v>
      </c>
      <c r="AF2201">
        <v>-3.9905831520088499</v>
      </c>
      <c r="AG2201">
        <v>-1.11902000698339</v>
      </c>
      <c r="AH2201">
        <v>14.552960553380199</v>
      </c>
      <c r="AI2201">
        <v>94.241036385154004</v>
      </c>
      <c r="AJ2201">
        <v>105.33421948231199</v>
      </c>
      <c r="AK2201">
        <v>15.131609978365301</v>
      </c>
      <c r="AL2201">
        <v>86.472490529770795</v>
      </c>
      <c r="AM2201">
        <v>91.566890275404205</v>
      </c>
      <c r="AN2201">
        <v>1.0000000362435799</v>
      </c>
    </row>
    <row r="2202" spans="1:40" x14ac:dyDescent="0.25">
      <c r="A2202" t="str">
        <f>"20190312154553596"</f>
        <v>20190312154553596</v>
      </c>
      <c r="B2202" t="str">
        <f>"1552376753589177"</f>
        <v>1552376753589177</v>
      </c>
      <c r="C2202" t="s">
        <v>40</v>
      </c>
      <c r="D2202">
        <v>4.1678119999999996</v>
      </c>
      <c r="E2202">
        <v>0.4048889</v>
      </c>
      <c r="F2202" t="s">
        <v>53</v>
      </c>
      <c r="G2202">
        <v>-488.36360000000002</v>
      </c>
      <c r="H2202" s="1">
        <v>9.5332209999999996E-7</v>
      </c>
      <c r="I2202">
        <v>272.7131</v>
      </c>
      <c r="J2202">
        <v>-475.97770000000003</v>
      </c>
      <c r="K2202">
        <v>1.119408</v>
      </c>
      <c r="L2202">
        <v>280.81729999999999</v>
      </c>
      <c r="M2202">
        <v>-0.95218290000000005</v>
      </c>
      <c r="N2202">
        <v>0</v>
      </c>
      <c r="O2202">
        <v>-0.3051488</v>
      </c>
      <c r="P2202">
        <v>-0.9432642</v>
      </c>
      <c r="Q2202">
        <v>4.484366E-2</v>
      </c>
      <c r="R2202">
        <v>-0.3290014</v>
      </c>
      <c r="S2202">
        <v>-2.6119690000000002</v>
      </c>
      <c r="T2202">
        <v>-0.23063790000000001</v>
      </c>
      <c r="U2202">
        <v>-1.6911320000000001</v>
      </c>
      <c r="V2202">
        <v>-2.680695E-2</v>
      </c>
      <c r="W2202">
        <v>5.9451619999999997E-2</v>
      </c>
      <c r="X2202">
        <v>0.99787119999999996</v>
      </c>
      <c r="Y2202">
        <v>-0.26147429999999999</v>
      </c>
      <c r="Z2202">
        <v>1.3209469999999999E-2</v>
      </c>
      <c r="AA2202">
        <v>0.96511999999999998</v>
      </c>
      <c r="AB2202">
        <v>30</v>
      </c>
      <c r="AC2202">
        <v>-12.3858999999999</v>
      </c>
      <c r="AD2202">
        <v>-1.1194070466779</v>
      </c>
      <c r="AE2202">
        <v>-8.1041999999999899</v>
      </c>
      <c r="AF2202">
        <v>-3.9152018871280601</v>
      </c>
      <c r="AG2202">
        <v>-1.1194070466779</v>
      </c>
      <c r="AH2202">
        <v>14.187140808271799</v>
      </c>
      <c r="AI2202">
        <v>94.349529469728196</v>
      </c>
      <c r="AJ2202">
        <v>105.42782016036701</v>
      </c>
      <c r="AK2202">
        <v>14.759974331510699</v>
      </c>
      <c r="AL2202">
        <v>86.591663350214503</v>
      </c>
      <c r="AM2202">
        <v>91.538831638186906</v>
      </c>
      <c r="AN2202">
        <v>1.0000000197391801</v>
      </c>
    </row>
    <row r="2203" spans="1:40" x14ac:dyDescent="0.25">
      <c r="A2203" t="str">
        <f>"20190312154553618"</f>
        <v>20190312154553618</v>
      </c>
      <c r="B2203" t="str">
        <f>"1552376753608699"</f>
        <v>1552376753608699</v>
      </c>
      <c r="C2203" t="s">
        <v>40</v>
      </c>
      <c r="D2203">
        <v>4.182652</v>
      </c>
      <c r="E2203">
        <v>0.40491969999999999</v>
      </c>
      <c r="F2203" t="s">
        <v>53</v>
      </c>
      <c r="G2203">
        <v>-488.39550000000003</v>
      </c>
      <c r="H2203" s="1">
        <v>9.0138549999999998E-7</v>
      </c>
      <c r="I2203">
        <v>272.5582</v>
      </c>
      <c r="J2203">
        <v>-476.25599999999997</v>
      </c>
      <c r="K2203">
        <v>1.1197999999999999</v>
      </c>
      <c r="L2203">
        <v>280.71499999999997</v>
      </c>
      <c r="M2203">
        <v>-0.94823009999999996</v>
      </c>
      <c r="N2203">
        <v>0</v>
      </c>
      <c r="O2203">
        <v>-0.3172142</v>
      </c>
      <c r="P2203">
        <v>-0.93942700000000001</v>
      </c>
      <c r="Q2203">
        <v>4.377984E-2</v>
      </c>
      <c r="R2203">
        <v>-0.33994150000000001</v>
      </c>
      <c r="S2203">
        <v>-2.590576</v>
      </c>
      <c r="T2203">
        <v>-0.2335293</v>
      </c>
      <c r="U2203">
        <v>-1.7229920000000001</v>
      </c>
      <c r="V2203">
        <v>-2.5752569999999999E-2</v>
      </c>
      <c r="W2203">
        <v>5.847865E-2</v>
      </c>
      <c r="X2203">
        <v>0.99795650000000002</v>
      </c>
      <c r="Y2203">
        <v>-0.26115500000000003</v>
      </c>
      <c r="Z2203">
        <v>1.433188E-2</v>
      </c>
      <c r="AA2203">
        <v>0.96519049999999995</v>
      </c>
      <c r="AB2203">
        <v>30</v>
      </c>
      <c r="AC2203">
        <v>-12.1395</v>
      </c>
      <c r="AD2203">
        <v>-1.1197990986145001</v>
      </c>
      <c r="AE2203">
        <v>-8.1567999999999703</v>
      </c>
      <c r="AF2203">
        <v>-3.8615202080676698</v>
      </c>
      <c r="AG2203">
        <v>-1.1197990986145001</v>
      </c>
      <c r="AH2203">
        <v>14.0179702555878</v>
      </c>
      <c r="AI2203">
        <v>94.403911560217907</v>
      </c>
      <c r="AJ2203">
        <v>105.401245719881</v>
      </c>
      <c r="AK2203">
        <v>14.5831676403008</v>
      </c>
      <c r="AL2203">
        <v>86.647507733128293</v>
      </c>
      <c r="AM2203">
        <v>91.478206897656193</v>
      </c>
      <c r="AN2203">
        <v>1.0000000616298299</v>
      </c>
    </row>
    <row r="2204" spans="1:40" x14ac:dyDescent="0.25">
      <c r="A2204" t="str">
        <f>"20190312154553639"</f>
        <v>20190312154553639</v>
      </c>
      <c r="B2204" t="str">
        <f>"1552376753629193"</f>
        <v>1552376753629193</v>
      </c>
      <c r="C2204" t="s">
        <v>40</v>
      </c>
      <c r="D2204">
        <v>4.1437900000000001</v>
      </c>
      <c r="E2204">
        <v>0.40479739999999997</v>
      </c>
      <c r="F2204" t="s">
        <v>53</v>
      </c>
      <c r="G2204">
        <v>-488.68400000000003</v>
      </c>
      <c r="H2204" s="1">
        <v>8.1398989999999995E-7</v>
      </c>
      <c r="I2204">
        <v>272.23860000000002</v>
      </c>
      <c r="J2204">
        <v>-476.53089999999997</v>
      </c>
      <c r="K2204">
        <v>1.120196</v>
      </c>
      <c r="L2204">
        <v>280.60939999999999</v>
      </c>
      <c r="M2204">
        <v>-0.94396760000000002</v>
      </c>
      <c r="N2204">
        <v>0</v>
      </c>
      <c r="O2204">
        <v>-0.32967770000000002</v>
      </c>
      <c r="P2204">
        <v>-0.93552009999999997</v>
      </c>
      <c r="Q2204">
        <v>4.3097499999999997E-2</v>
      </c>
      <c r="R2204">
        <v>-0.35063480000000002</v>
      </c>
      <c r="S2204">
        <v>-2.5699459999999998</v>
      </c>
      <c r="T2204">
        <v>-0.23155980000000001</v>
      </c>
      <c r="U2204">
        <v>-1.7528079999999999</v>
      </c>
      <c r="V2204">
        <v>-2.402166E-2</v>
      </c>
      <c r="W2204">
        <v>5.7912659999999998E-2</v>
      </c>
      <c r="X2204">
        <v>0.99803260000000005</v>
      </c>
      <c r="Y2204">
        <v>-0.25971810000000001</v>
      </c>
      <c r="Z2204">
        <v>1.5234950000000001E-2</v>
      </c>
      <c r="AA2204">
        <v>0.96556430000000004</v>
      </c>
      <c r="AB2204">
        <v>30</v>
      </c>
      <c r="AC2204">
        <v>-12.1531</v>
      </c>
      <c r="AD2204">
        <v>-1.1201951860101</v>
      </c>
      <c r="AE2204">
        <v>-8.3707999999999707</v>
      </c>
      <c r="AF2204">
        <v>-3.8733021308411502</v>
      </c>
      <c r="AG2204">
        <v>-1.1201951860101</v>
      </c>
      <c r="AH2204">
        <v>14.151943858776701</v>
      </c>
      <c r="AI2204">
        <v>94.365890281886706</v>
      </c>
      <c r="AJ2204">
        <v>105.306660814607</v>
      </c>
      <c r="AK2204">
        <v>14.7151222092617</v>
      </c>
      <c r="AL2204">
        <v>86.679991397168607</v>
      </c>
      <c r="AM2204">
        <v>91.378786672954803</v>
      </c>
      <c r="AN2204">
        <v>0.99999999350009505</v>
      </c>
    </row>
    <row r="2205" spans="1:40" x14ac:dyDescent="0.25">
      <c r="A2205" t="str">
        <f>"20190312154553662"</f>
        <v>20190312154553662</v>
      </c>
      <c r="B2205" t="str">
        <f>"1552376753648713"</f>
        <v>1552376753648713</v>
      </c>
      <c r="C2205" t="s">
        <v>40</v>
      </c>
      <c r="D2205">
        <v>4.1694789999999999</v>
      </c>
      <c r="E2205">
        <v>0.40510360000000001</v>
      </c>
      <c r="F2205" t="s">
        <v>53</v>
      </c>
      <c r="G2205">
        <v>-489.1583</v>
      </c>
      <c r="H2205" s="1">
        <v>6.936333E-7</v>
      </c>
      <c r="I2205">
        <v>271.77910000000003</v>
      </c>
      <c r="J2205">
        <v>-476.8005</v>
      </c>
      <c r="K2205">
        <v>1.1205799999999999</v>
      </c>
      <c r="L2205">
        <v>280.50130000000001</v>
      </c>
      <c r="M2205">
        <v>-0.93941680000000005</v>
      </c>
      <c r="N2205">
        <v>0</v>
      </c>
      <c r="O2205">
        <v>-0.3424256</v>
      </c>
      <c r="P2205">
        <v>-0.93135599999999996</v>
      </c>
      <c r="Q2205">
        <v>4.295119E-2</v>
      </c>
      <c r="R2205">
        <v>-0.36156820000000001</v>
      </c>
      <c r="S2205">
        <v>-2.5490719999999998</v>
      </c>
      <c r="T2205">
        <v>-0.22613230000000001</v>
      </c>
      <c r="U2205">
        <v>-1.782562</v>
      </c>
      <c r="V2205">
        <v>-2.225274E-2</v>
      </c>
      <c r="W2205">
        <v>5.7891239999999997E-2</v>
      </c>
      <c r="X2205">
        <v>0.99807480000000004</v>
      </c>
      <c r="Y2205">
        <v>-0.25795319999999999</v>
      </c>
      <c r="Z2205">
        <v>1.5912559999999999E-2</v>
      </c>
      <c r="AA2205">
        <v>0.96602639999999995</v>
      </c>
      <c r="AB2205">
        <v>30</v>
      </c>
      <c r="AC2205">
        <v>-12.3577999999999</v>
      </c>
      <c r="AD2205">
        <v>-1.1205793063667</v>
      </c>
      <c r="AE2205">
        <v>-8.7221999999999795</v>
      </c>
      <c r="AF2205">
        <v>-3.9410015079392098</v>
      </c>
      <c r="AG2205">
        <v>-1.1205793063667</v>
      </c>
      <c r="AH2205">
        <v>14.517907212000001</v>
      </c>
      <c r="AI2205">
        <v>94.260107234205407</v>
      </c>
      <c r="AJ2205">
        <v>105.18740566982</v>
      </c>
      <c r="AK2205">
        <v>15.0849865987239</v>
      </c>
      <c r="AL2205">
        <v>86.681220568311801</v>
      </c>
      <c r="AM2205">
        <v>91.277235817900007</v>
      </c>
      <c r="AN2205">
        <v>0.99999994325064101</v>
      </c>
    </row>
    <row r="2206" spans="1:40" x14ac:dyDescent="0.25">
      <c r="A2206" t="str">
        <f>"20190312154553684"</f>
        <v>20190312154553684</v>
      </c>
      <c r="B2206" t="str">
        <f>"1552376753678969"</f>
        <v>1552376753678969</v>
      </c>
      <c r="C2206" t="s">
        <v>40</v>
      </c>
      <c r="D2206">
        <v>4.1565560000000001</v>
      </c>
      <c r="E2206">
        <v>0.4058678</v>
      </c>
      <c r="F2206" t="s">
        <v>53</v>
      </c>
      <c r="G2206">
        <v>-489.53699999999998</v>
      </c>
      <c r="H2206" s="1">
        <v>5.8768919999999905E-7</v>
      </c>
      <c r="I2206">
        <v>271.38440000000003</v>
      </c>
      <c r="J2206">
        <v>-477.0718</v>
      </c>
      <c r="K2206">
        <v>1.1209610000000001</v>
      </c>
      <c r="L2206">
        <v>280.38760000000002</v>
      </c>
      <c r="M2206">
        <v>-0.93444190000000005</v>
      </c>
      <c r="N2206">
        <v>0</v>
      </c>
      <c r="O2206">
        <v>-0.3557728</v>
      </c>
      <c r="P2206">
        <v>-0.92640599999999995</v>
      </c>
      <c r="Q2206">
        <v>4.328982E-2</v>
      </c>
      <c r="R2206">
        <v>-0.37402940000000001</v>
      </c>
      <c r="S2206">
        <v>-2.5286870000000001</v>
      </c>
      <c r="T2206">
        <v>-0.22247790000000001</v>
      </c>
      <c r="U2206">
        <v>-1.8100590000000001</v>
      </c>
      <c r="V2206">
        <v>-2.1495460000000001E-2</v>
      </c>
      <c r="W2206">
        <v>5.8335850000000002E-2</v>
      </c>
      <c r="X2206">
        <v>0.9980656</v>
      </c>
      <c r="Y2206">
        <v>-0.25484810000000002</v>
      </c>
      <c r="Z2206">
        <v>1.6769059999999999E-2</v>
      </c>
      <c r="AA2206">
        <v>0.96683569999999996</v>
      </c>
      <c r="AB2206">
        <v>30</v>
      </c>
      <c r="AC2206">
        <v>-12.4651999999999</v>
      </c>
      <c r="AD2206">
        <v>-1.1209604123107999</v>
      </c>
      <c r="AE2206">
        <v>-9.0031999999999908</v>
      </c>
      <c r="AF2206">
        <v>-3.9576408842307398</v>
      </c>
      <c r="AG2206">
        <v>-1.1209604123107999</v>
      </c>
      <c r="AH2206">
        <v>14.774392989498899</v>
      </c>
      <c r="AI2206">
        <v>94.191598837889003</v>
      </c>
      <c r="AJ2206">
        <v>104.995854160742</v>
      </c>
      <c r="AK2206">
        <v>15.3363020908776</v>
      </c>
      <c r="AL2206">
        <v>86.655703469198102</v>
      </c>
      <c r="AM2206">
        <v>91.233795418762298</v>
      </c>
      <c r="AN2206">
        <v>1.00000003404959</v>
      </c>
    </row>
    <row r="2207" spans="1:40" x14ac:dyDescent="0.25">
      <c r="A2207" t="str">
        <f>"20190312154553707"</f>
        <v>20190312154553707</v>
      </c>
      <c r="B2207" t="str">
        <f>"1552376753699465"</f>
        <v>1552376753699465</v>
      </c>
      <c r="C2207" t="s">
        <v>40</v>
      </c>
      <c r="D2207">
        <v>4.1833</v>
      </c>
      <c r="E2207">
        <v>0.40650009999999998</v>
      </c>
      <c r="F2207" t="s">
        <v>53</v>
      </c>
      <c r="G2207">
        <v>-490.161</v>
      </c>
      <c r="H2207" s="1">
        <v>4.14095E-7</v>
      </c>
      <c r="I2207">
        <v>270.7878</v>
      </c>
      <c r="J2207">
        <v>-477.34190000000001</v>
      </c>
      <c r="K2207">
        <v>1.121316</v>
      </c>
      <c r="L2207">
        <v>280.26900000000001</v>
      </c>
      <c r="M2207">
        <v>-0.92906449999999996</v>
      </c>
      <c r="N2207">
        <v>0</v>
      </c>
      <c r="O2207">
        <v>-0.36958299999999999</v>
      </c>
      <c r="P2207">
        <v>-0.92016149999999997</v>
      </c>
      <c r="Q2207">
        <v>4.4043440000000003E-2</v>
      </c>
      <c r="R2207">
        <v>-0.3890536</v>
      </c>
      <c r="S2207">
        <v>-2.5062259999999998</v>
      </c>
      <c r="T2207">
        <v>-0.21463289999999999</v>
      </c>
      <c r="U2207">
        <v>-1.838104</v>
      </c>
      <c r="V2207">
        <v>-2.3032509999999999E-2</v>
      </c>
      <c r="W2207">
        <v>5.9136510000000003E-2</v>
      </c>
      <c r="X2207">
        <v>0.99798419999999999</v>
      </c>
      <c r="Y2207">
        <v>-0.25169599999999998</v>
      </c>
      <c r="Z2207">
        <v>1.7294859999999999E-2</v>
      </c>
      <c r="AA2207">
        <v>0.96765179999999995</v>
      </c>
      <c r="AB2207">
        <v>30</v>
      </c>
      <c r="AC2207">
        <v>-12.819099999999899</v>
      </c>
      <c r="AD2207">
        <v>-1.1213155859049999</v>
      </c>
      <c r="AE2207">
        <v>-9.4811999999999994</v>
      </c>
      <c r="AF2207">
        <v>-4.05139128487858</v>
      </c>
      <c r="AG2207">
        <v>-1.1213155859049999</v>
      </c>
      <c r="AH2207">
        <v>15.3399003699117</v>
      </c>
      <c r="AI2207">
        <v>94.042636159627904</v>
      </c>
      <c r="AJ2207">
        <v>104.79446529439799</v>
      </c>
      <c r="AK2207">
        <v>15.9054601739529</v>
      </c>
      <c r="AL2207">
        <v>86.609749725059601</v>
      </c>
      <c r="AM2207">
        <v>91.3220964685041</v>
      </c>
      <c r="AN2207">
        <v>1.0000000433907501</v>
      </c>
    </row>
    <row r="2208" spans="1:40" x14ac:dyDescent="0.25">
      <c r="A2208" t="str">
        <f>"20190312154553728"</f>
        <v>20190312154553728</v>
      </c>
      <c r="B2208" t="str">
        <f>"1552376753718986"</f>
        <v>1552376753718986</v>
      </c>
      <c r="C2208" t="s">
        <v>40</v>
      </c>
      <c r="D2208">
        <v>4.2163259999999996</v>
      </c>
      <c r="E2208">
        <v>0.40710940000000001</v>
      </c>
      <c r="F2208" t="s">
        <v>53</v>
      </c>
      <c r="G2208">
        <v>-490.42110000000002</v>
      </c>
      <c r="H2208" s="1">
        <v>2.701016E-7</v>
      </c>
      <c r="I2208">
        <v>270.38040000000001</v>
      </c>
      <c r="J2208">
        <v>-477.60610000000003</v>
      </c>
      <c r="K2208">
        <v>1.1216219999999999</v>
      </c>
      <c r="L2208">
        <v>280.14789999999999</v>
      </c>
      <c r="M2208">
        <v>-0.92340089999999997</v>
      </c>
      <c r="N2208">
        <v>0</v>
      </c>
      <c r="O2208">
        <v>-0.38351030000000003</v>
      </c>
      <c r="P2208">
        <v>-0.91307150000000004</v>
      </c>
      <c r="Q2208">
        <v>4.355846E-2</v>
      </c>
      <c r="R2208">
        <v>-0.40546729999999997</v>
      </c>
      <c r="S2208">
        <v>-2.4782410000000001</v>
      </c>
      <c r="T2208">
        <v>-0.21246599999999999</v>
      </c>
      <c r="U2208">
        <v>-1.873688</v>
      </c>
      <c r="V2208">
        <v>-2.5924079999999999E-2</v>
      </c>
      <c r="W2208">
        <v>5.8656680000000003E-2</v>
      </c>
      <c r="X2208">
        <v>0.99794159999999998</v>
      </c>
      <c r="Y2208">
        <v>-0.25125969999999997</v>
      </c>
      <c r="Z2208">
        <v>1.8142249999999999E-2</v>
      </c>
      <c r="AA2208">
        <v>0.96774970000000005</v>
      </c>
      <c r="AB2208">
        <v>30</v>
      </c>
      <c r="AC2208">
        <v>-12.8149999999999</v>
      </c>
      <c r="AD2208">
        <v>-1.1216217298983999</v>
      </c>
      <c r="AE2208">
        <v>-9.7674999999999805</v>
      </c>
      <c r="AF2208">
        <v>-4.08535258264624</v>
      </c>
      <c r="AG2208">
        <v>-1.1216217298983999</v>
      </c>
      <c r="AH2208">
        <v>15.506136688453999</v>
      </c>
      <c r="AI2208">
        <v>94.001156805621903</v>
      </c>
      <c r="AJ2208">
        <v>104.760115514202</v>
      </c>
      <c r="AK2208">
        <v>16.074464719875898</v>
      </c>
      <c r="AL2208">
        <v>86.637289789082402</v>
      </c>
      <c r="AM2208">
        <v>91.488069430086298</v>
      </c>
      <c r="AN2208">
        <v>1.0000000505215101</v>
      </c>
    </row>
    <row r="2209" spans="1:40" x14ac:dyDescent="0.25">
      <c r="A2209" t="str">
        <f>"20190312154553751"</f>
        <v>20190312154553751</v>
      </c>
      <c r="B2209" t="str">
        <f>"1552376753739481"</f>
        <v>1552376753739481</v>
      </c>
      <c r="C2209" t="s">
        <v>40</v>
      </c>
      <c r="D2209">
        <v>4.2148859999999999</v>
      </c>
      <c r="E2209">
        <v>0.40778959999999997</v>
      </c>
      <c r="F2209" t="s">
        <v>53</v>
      </c>
      <c r="G2209">
        <v>-490.39339999999999</v>
      </c>
      <c r="H2209" s="1">
        <v>1.9039759999999999E-7</v>
      </c>
      <c r="I2209">
        <v>270.1549</v>
      </c>
      <c r="J2209">
        <v>-477.87049999999999</v>
      </c>
      <c r="K2209">
        <v>1.1218919999999999</v>
      </c>
      <c r="L2209">
        <v>280.02159999999998</v>
      </c>
      <c r="M2209">
        <v>-0.91732899999999995</v>
      </c>
      <c r="N2209">
        <v>0</v>
      </c>
      <c r="O2209">
        <v>-0.39781119999999998</v>
      </c>
      <c r="P2209">
        <v>-0.90571500000000005</v>
      </c>
      <c r="Q2209">
        <v>4.0110819999999998E-2</v>
      </c>
      <c r="R2209">
        <v>-0.42198560000000002</v>
      </c>
      <c r="S2209">
        <v>-2.4467469999999998</v>
      </c>
      <c r="T2209">
        <v>-0.21461440000000001</v>
      </c>
      <c r="U2209">
        <v>-1.9120790000000001</v>
      </c>
      <c r="V2209">
        <v>-2.842592E-2</v>
      </c>
      <c r="W2209">
        <v>5.5218080000000003E-2</v>
      </c>
      <c r="X2209">
        <v>0.9980696</v>
      </c>
      <c r="Y2209">
        <v>-0.25171650000000001</v>
      </c>
      <c r="Z2209">
        <v>1.9359660000000001E-2</v>
      </c>
      <c r="AA2209">
        <v>0.96760740000000001</v>
      </c>
      <c r="AB2209">
        <v>30</v>
      </c>
      <c r="AC2209">
        <v>-12.5228999999999</v>
      </c>
      <c r="AD2209">
        <v>-1.1218918096024</v>
      </c>
      <c r="AE2209">
        <v>-9.8666999999999803</v>
      </c>
      <c r="AF2209">
        <v>-4.0497228512530103</v>
      </c>
      <c r="AG2209">
        <v>-1.1218918096024</v>
      </c>
      <c r="AH2209">
        <v>15.338703689153199</v>
      </c>
      <c r="AI2209">
        <v>94.045108958274795</v>
      </c>
      <c r="AJ2209">
        <v>104.789742937374</v>
      </c>
      <c r="AK2209">
        <v>15.903921757480299</v>
      </c>
      <c r="AL2209">
        <v>86.834627108448004</v>
      </c>
      <c r="AM2209">
        <v>91.631394326926994</v>
      </c>
      <c r="AN2209">
        <v>0.99999999786544602</v>
      </c>
    </row>
    <row r="2210" spans="1:40" x14ac:dyDescent="0.25">
      <c r="A2210" t="str">
        <f>"20190312154553773"</f>
        <v>20190312154553773</v>
      </c>
      <c r="B2210" t="str">
        <f>"1552376753768761"</f>
        <v>1552376753768761</v>
      </c>
      <c r="C2210" t="s">
        <v>40</v>
      </c>
      <c r="D2210">
        <v>4.3184040000000001</v>
      </c>
      <c r="E2210">
        <v>0.40857660000000001</v>
      </c>
      <c r="F2210" t="s">
        <v>53</v>
      </c>
      <c r="G2210">
        <v>-489.96300000000002</v>
      </c>
      <c r="H2210" s="1">
        <v>2.2439129999999999E-7</v>
      </c>
      <c r="I2210">
        <v>270.25110000000001</v>
      </c>
      <c r="J2210">
        <v>-478.13119999999998</v>
      </c>
      <c r="K2210">
        <v>1.1221350000000001</v>
      </c>
      <c r="L2210">
        <v>279.89159999999998</v>
      </c>
      <c r="M2210">
        <v>-0.91093250000000003</v>
      </c>
      <c r="N2210">
        <v>0</v>
      </c>
      <c r="O2210">
        <v>-0.41224420000000001</v>
      </c>
      <c r="P2210">
        <v>-0.89823339999999996</v>
      </c>
      <c r="Q2210">
        <v>3.8233870000000003E-2</v>
      </c>
      <c r="R2210">
        <v>-0.4378532</v>
      </c>
      <c r="S2210">
        <v>-2.4135740000000001</v>
      </c>
      <c r="T2210">
        <v>-0.22392029999999999</v>
      </c>
      <c r="U2210">
        <v>-1.9501040000000001</v>
      </c>
      <c r="V2210">
        <v>-3.0172210000000001E-2</v>
      </c>
      <c r="W2210">
        <v>5.3364019999999998E-2</v>
      </c>
      <c r="X2210">
        <v>0.99811919999999998</v>
      </c>
      <c r="Y2210">
        <v>-0.25220479999999901</v>
      </c>
      <c r="Z2210">
        <v>2.129354E-2</v>
      </c>
      <c r="AA2210">
        <v>0.96743959999999996</v>
      </c>
      <c r="AB2210">
        <v>30</v>
      </c>
      <c r="AC2210">
        <v>-11.831799999999999</v>
      </c>
      <c r="AD2210">
        <v>-1.1221347756086999</v>
      </c>
      <c r="AE2210">
        <v>-9.6404999999999692</v>
      </c>
      <c r="AF2210">
        <v>-3.8837600595536901</v>
      </c>
      <c r="AG2210">
        <v>-1.1221347756086999</v>
      </c>
      <c r="AH2210">
        <v>14.6747756733765</v>
      </c>
      <c r="AI2210">
        <v>94.227722469414999</v>
      </c>
      <c r="AJ2210">
        <v>104.823782141449</v>
      </c>
      <c r="AK2210">
        <v>15.2214263365408</v>
      </c>
      <c r="AL2210">
        <v>86.941013875695802</v>
      </c>
      <c r="AM2210">
        <v>91.731470557731498</v>
      </c>
      <c r="AN2210">
        <v>1.0000000091477399</v>
      </c>
    </row>
    <row r="2211" spans="1:40" x14ac:dyDescent="0.25">
      <c r="A2211" t="str">
        <f>"20190312154553796"</f>
        <v>20190312154553796</v>
      </c>
      <c r="B2211" t="str">
        <f>"1552376753789257"</f>
        <v>1552376753789257</v>
      </c>
      <c r="C2211" t="s">
        <v>40</v>
      </c>
      <c r="D2211">
        <v>4.3298860000000001</v>
      </c>
      <c r="E2211">
        <v>0.38398850000000001</v>
      </c>
      <c r="F2211" t="s">
        <v>53</v>
      </c>
      <c r="G2211">
        <v>-489.88850000000002</v>
      </c>
      <c r="H2211" s="1">
        <v>1.5805790000000001E-7</v>
      </c>
      <c r="I2211">
        <v>270.08080000000001</v>
      </c>
      <c r="J2211">
        <v>-478.38909999999998</v>
      </c>
      <c r="K2211">
        <v>1.1223479999999999</v>
      </c>
      <c r="L2211">
        <v>279.75779999999997</v>
      </c>
      <c r="M2211">
        <v>-0.90420389999999995</v>
      </c>
      <c r="N2211">
        <v>0</v>
      </c>
      <c r="O2211">
        <v>-0.42679709999999899</v>
      </c>
      <c r="P2211">
        <v>-0.89012579999999997</v>
      </c>
      <c r="Q2211">
        <v>3.8218549999999997E-2</v>
      </c>
      <c r="R2211">
        <v>-0.45410970000000001</v>
      </c>
      <c r="S2211">
        <v>-2.3810730000000002</v>
      </c>
      <c r="T2211">
        <v>-0.2272544</v>
      </c>
      <c r="U2211">
        <v>-1.986877</v>
      </c>
      <c r="V2211">
        <v>-3.2341969999999998E-2</v>
      </c>
      <c r="W2211">
        <v>5.3350679999999998E-2</v>
      </c>
      <c r="X2211">
        <v>0.99805189999999999</v>
      </c>
      <c r="Y2211">
        <v>-0.25202669999999999</v>
      </c>
      <c r="Z2211">
        <v>2.2755770000000002E-2</v>
      </c>
      <c r="AA2211">
        <v>0.96745270000000005</v>
      </c>
      <c r="AB2211">
        <v>30</v>
      </c>
      <c r="AC2211">
        <v>-11.4994</v>
      </c>
      <c r="AD2211">
        <v>-1.12234784194209</v>
      </c>
      <c r="AE2211">
        <v>-9.6769999999999605</v>
      </c>
      <c r="AF2211">
        <v>-3.8212592948414801</v>
      </c>
      <c r="AG2211">
        <v>-1.12234784194209</v>
      </c>
      <c r="AH2211">
        <v>14.4492247560895</v>
      </c>
      <c r="AI2211">
        <v>94.294489607649993</v>
      </c>
      <c r="AJ2211">
        <v>104.813377820931</v>
      </c>
      <c r="AK2211">
        <v>14.9880546879411</v>
      </c>
      <c r="AL2211">
        <v>86.941779100229297</v>
      </c>
      <c r="AM2211">
        <v>91.856025888262195</v>
      </c>
      <c r="AN2211">
        <v>0.99999994658677505</v>
      </c>
    </row>
    <row r="2212" spans="1:40" x14ac:dyDescent="0.25">
      <c r="A2212" t="str">
        <f>"20190312154553819"</f>
        <v>20190312154553819</v>
      </c>
      <c r="B2212" t="str">
        <f>"1552376753808777"</f>
        <v>1552376753808777</v>
      </c>
      <c r="C2212" t="s">
        <v>40</v>
      </c>
      <c r="D2212">
        <v>4.296964</v>
      </c>
      <c r="E2212">
        <v>0.37342239999999999</v>
      </c>
      <c r="F2212" t="s">
        <v>42</v>
      </c>
      <c r="G2212">
        <v>-489.17270000000002</v>
      </c>
      <c r="H2212" s="1">
        <v>-4.2586939999999998E-6</v>
      </c>
      <c r="I2212">
        <v>269.21780000000001</v>
      </c>
      <c r="J2212">
        <v>-478.64920000000001</v>
      </c>
      <c r="K2212">
        <v>1.122525</v>
      </c>
      <c r="L2212">
        <v>279.61720000000003</v>
      </c>
      <c r="M2212">
        <v>-0.89700930000000001</v>
      </c>
      <c r="N2212">
        <v>0</v>
      </c>
      <c r="O2212">
        <v>-0.44171510000000003</v>
      </c>
      <c r="P2212">
        <v>-0.8818994</v>
      </c>
      <c r="Q2212">
        <v>3.9121639999999999E-2</v>
      </c>
      <c r="R2212">
        <v>-0.4698117</v>
      </c>
      <c r="S2212">
        <v>-2.255646</v>
      </c>
      <c r="T2212">
        <v>-0.23476710000000001</v>
      </c>
      <c r="U2212">
        <v>-2.2046809999999999</v>
      </c>
      <c r="V2212">
        <v>-3.3567149999999997E-2</v>
      </c>
      <c r="W2212">
        <v>5.4278220000000002E-2</v>
      </c>
      <c r="X2212">
        <v>0.99796149999999995</v>
      </c>
      <c r="Y2212">
        <v>-0.31140859999999998</v>
      </c>
      <c r="Z2212">
        <v>2.2182879999999999E-2</v>
      </c>
      <c r="AA2212">
        <v>0.95001720000000001</v>
      </c>
      <c r="AB2212">
        <v>30</v>
      </c>
      <c r="AC2212">
        <v>-10.5235</v>
      </c>
      <c r="AD2212">
        <v>-1.1225292586940001</v>
      </c>
      <c r="AE2212">
        <v>-10.3994</v>
      </c>
      <c r="AF2212">
        <v>-4.6537930177739302</v>
      </c>
      <c r="AG2212">
        <v>-1.1225292586940001</v>
      </c>
      <c r="AH2212">
        <v>13.9547567034764</v>
      </c>
      <c r="AI2212">
        <v>94.363729460565494</v>
      </c>
      <c r="AJ2212">
        <v>108.443105497308</v>
      </c>
      <c r="AK2212">
        <v>14.7530707326348</v>
      </c>
      <c r="AL2212">
        <v>86.888558067635103</v>
      </c>
      <c r="AM2212">
        <v>91.926458303260006</v>
      </c>
      <c r="AN2212">
        <v>1.0000000171038701</v>
      </c>
    </row>
    <row r="2213" spans="1:40" x14ac:dyDescent="0.25">
      <c r="A2213" t="str">
        <f>"20190312154553840"</f>
        <v>20190312154553840</v>
      </c>
      <c r="B2213" t="str">
        <f>"1552376753829273"</f>
        <v>1552376753829273</v>
      </c>
      <c r="C2213" t="s">
        <v>40</v>
      </c>
      <c r="D2213">
        <v>4.3159210000000003</v>
      </c>
      <c r="E2213">
        <v>0.36896020000000002</v>
      </c>
      <c r="F2213" t="s">
        <v>53</v>
      </c>
      <c r="G2213">
        <v>-487.38479999999998</v>
      </c>
      <c r="H2213" s="1">
        <v>1.228719E-7</v>
      </c>
      <c r="I2213">
        <v>270.31400000000002</v>
      </c>
      <c r="J2213">
        <v>-478.89049999999997</v>
      </c>
      <c r="K2213">
        <v>1.1226529999999999</v>
      </c>
      <c r="L2213">
        <v>279.48160000000001</v>
      </c>
      <c r="M2213">
        <v>-0.8899705</v>
      </c>
      <c r="N2213">
        <v>0</v>
      </c>
      <c r="O2213">
        <v>-0.45572829999999898</v>
      </c>
      <c r="P2213">
        <v>-0.87466259999999996</v>
      </c>
      <c r="Q2213">
        <v>3.9974629999999997E-2</v>
      </c>
      <c r="R2213">
        <v>-0.48308089999999998</v>
      </c>
      <c r="S2213">
        <v>-2.1783139999999999</v>
      </c>
      <c r="T2213">
        <v>-0.27991460000000001</v>
      </c>
      <c r="U2213">
        <v>-2.319855</v>
      </c>
      <c r="V2213">
        <v>-3.3055830000000001E-2</v>
      </c>
      <c r="W2213">
        <v>5.5200470000000001E-2</v>
      </c>
      <c r="X2213">
        <v>0.99792800000000004</v>
      </c>
      <c r="Y2213">
        <v>-0.33718690000000001</v>
      </c>
      <c r="Z2213">
        <v>2.6432000000000001E-2</v>
      </c>
      <c r="AA2213">
        <v>0.94106659999999998</v>
      </c>
      <c r="AB2213">
        <v>30</v>
      </c>
      <c r="AC2213">
        <v>-8.4943000000000097</v>
      </c>
      <c r="AD2213">
        <v>-1.1226528771280999</v>
      </c>
      <c r="AE2213">
        <v>-9.1675999999999895</v>
      </c>
      <c r="AF2213">
        <v>-4.2540417169590299</v>
      </c>
      <c r="AG2213">
        <v>-1.1226528771280999</v>
      </c>
      <c r="AH2213">
        <v>11.6451979966932</v>
      </c>
      <c r="AI2213">
        <v>95.174135054267893</v>
      </c>
      <c r="AJ2213">
        <v>110.06746956064001</v>
      </c>
      <c r="AK2213">
        <v>12.4486086288524</v>
      </c>
      <c r="AL2213">
        <v>86.835637750696904</v>
      </c>
      <c r="AM2213">
        <v>91.8971982946981</v>
      </c>
      <c r="AN2213">
        <v>1.0000000364846</v>
      </c>
    </row>
    <row r="2214" spans="1:40" x14ac:dyDescent="0.25">
      <c r="A2214" t="str">
        <f>"20190312154553863"</f>
        <v>20190312154553863</v>
      </c>
      <c r="B2214" t="str">
        <f>"1552376753858554"</f>
        <v>1552376753858554</v>
      </c>
      <c r="C2214" t="s">
        <v>40</v>
      </c>
      <c r="D2214">
        <v>4.360957</v>
      </c>
      <c r="E2214">
        <v>0.36895030000000001</v>
      </c>
      <c r="F2214" t="s">
        <v>53</v>
      </c>
      <c r="G2214">
        <v>-487.31920000000002</v>
      </c>
      <c r="H2214" s="1">
        <v>7.3098509999999994E-8</v>
      </c>
      <c r="I2214">
        <v>270.03140000000002</v>
      </c>
      <c r="J2214">
        <v>-479.14440000000002</v>
      </c>
      <c r="K2214">
        <v>1.122752</v>
      </c>
      <c r="L2214">
        <v>279.33339999999998</v>
      </c>
      <c r="M2214">
        <v>-0.88217690000000004</v>
      </c>
      <c r="N2214">
        <v>0</v>
      </c>
      <c r="O2214">
        <v>-0.4706361</v>
      </c>
      <c r="P2214">
        <v>-0.86708890000000005</v>
      </c>
      <c r="Q2214">
        <v>4.0410759999999997E-2</v>
      </c>
      <c r="R2214">
        <v>-0.49651220000000001</v>
      </c>
      <c r="S2214">
        <v>-2.1262210000000001</v>
      </c>
      <c r="T2214">
        <v>-0.283201599999999</v>
      </c>
      <c r="U2214">
        <v>-2.3839109999999999</v>
      </c>
      <c r="V2214">
        <v>-3.1695359999999999E-2</v>
      </c>
      <c r="W2214">
        <v>5.5729420000000002E-2</v>
      </c>
      <c r="X2214">
        <v>0.99794269999999996</v>
      </c>
      <c r="Y2214">
        <v>-0.34546700000000002</v>
      </c>
      <c r="Z2214">
        <v>2.7723500000000002E-2</v>
      </c>
      <c r="AA2214">
        <v>0.93802129999999995</v>
      </c>
      <c r="AB2214">
        <v>30</v>
      </c>
      <c r="AC2214">
        <v>-8.1747999999999994</v>
      </c>
      <c r="AD2214">
        <v>-1.1227519269014801</v>
      </c>
      <c r="AE2214">
        <v>-9.3019999999999605</v>
      </c>
      <c r="AF2214">
        <v>-4.3236917577860803</v>
      </c>
      <c r="AG2214">
        <v>-1.1227519269014801</v>
      </c>
      <c r="AH2214">
        <v>11.4965148307001</v>
      </c>
      <c r="AI2214">
        <v>95.2228571343597</v>
      </c>
      <c r="AJ2214">
        <v>110.610636455275</v>
      </c>
      <c r="AK2214">
        <v>12.3338856634159</v>
      </c>
      <c r="AL2214">
        <v>86.805284301886005</v>
      </c>
      <c r="AM2214">
        <v>91.819142620846804</v>
      </c>
      <c r="AN2214">
        <v>0.99999999829117703</v>
      </c>
    </row>
    <row r="2215" spans="1:40" x14ac:dyDescent="0.25">
      <c r="A2215" t="str">
        <f>"20190312154553886"</f>
        <v>20190312154553886</v>
      </c>
      <c r="B2215" t="str">
        <f>"1552376753879053"</f>
        <v>1552376753879053</v>
      </c>
      <c r="C2215" t="s">
        <v>40</v>
      </c>
      <c r="D2215">
        <v>4.4090400000000001</v>
      </c>
      <c r="E2215">
        <v>0.3699191</v>
      </c>
      <c r="F2215" t="s">
        <v>53</v>
      </c>
      <c r="G2215">
        <v>-487.31020000000001</v>
      </c>
      <c r="H2215" s="1">
        <v>4.6968400000000003E-8</v>
      </c>
      <c r="I2215">
        <v>269.88299999999998</v>
      </c>
      <c r="J2215">
        <v>-479.39359999999999</v>
      </c>
      <c r="K2215">
        <v>1.1228279999999999</v>
      </c>
      <c r="L2215">
        <v>279.18169999999998</v>
      </c>
      <c r="M2215">
        <v>-0.87412239999999997</v>
      </c>
      <c r="N2215">
        <v>0</v>
      </c>
      <c r="O2215">
        <v>-0.48542990000000003</v>
      </c>
      <c r="P2215">
        <v>-0.85915039999999998</v>
      </c>
      <c r="Q2215">
        <v>4.0366680000000002E-2</v>
      </c>
      <c r="R2215">
        <v>-0.51012860000000004</v>
      </c>
      <c r="S2215">
        <v>-2.0889280000000001</v>
      </c>
      <c r="T2215">
        <v>-0.287216799999999</v>
      </c>
      <c r="U2215">
        <v>-2.4175420000000001</v>
      </c>
      <c r="V2215">
        <v>-3.0638410000000001E-2</v>
      </c>
      <c r="W2215">
        <v>5.576275E-2</v>
      </c>
      <c r="X2215">
        <v>0.99797389999999997</v>
      </c>
      <c r="Y2215">
        <v>-0.34445779999999998</v>
      </c>
      <c r="Z2215">
        <v>2.9606779999999999E-2</v>
      </c>
      <c r="AA2215">
        <v>0.93833480000000002</v>
      </c>
      <c r="AB2215">
        <v>30</v>
      </c>
      <c r="AC2215">
        <v>-7.9166000000000096</v>
      </c>
      <c r="AD2215">
        <v>-1.1228279530316001</v>
      </c>
      <c r="AE2215">
        <v>-9.2986999999999895</v>
      </c>
      <c r="AF2215">
        <v>-4.2498950881895503</v>
      </c>
      <c r="AG2215">
        <v>-1.1228279530316001</v>
      </c>
      <c r="AH2215">
        <v>11.339616406747799</v>
      </c>
      <c r="AI2215">
        <v>95.297330712281905</v>
      </c>
      <c r="AJ2215">
        <v>110.545142487638</v>
      </c>
      <c r="AK2215">
        <v>12.161794732888399</v>
      </c>
      <c r="AL2215">
        <v>86.803371827273395</v>
      </c>
      <c r="AM2215">
        <v>91.758463197432107</v>
      </c>
      <c r="AN2215">
        <v>1.00000005076804</v>
      </c>
    </row>
    <row r="2216" spans="1:40" x14ac:dyDescent="0.25">
      <c r="A2216" t="str">
        <f>"20190312154553908"</f>
        <v>20190312154553908</v>
      </c>
      <c r="B2216" t="str">
        <f>"1552376753898569"</f>
        <v>1552376753898569</v>
      </c>
      <c r="C2216" t="s">
        <v>40</v>
      </c>
      <c r="D2216">
        <v>4.3980069999999998</v>
      </c>
      <c r="E2216">
        <v>0.37112990000000001</v>
      </c>
      <c r="F2216" t="s">
        <v>53</v>
      </c>
      <c r="G2216">
        <v>-487.25830000000002</v>
      </c>
      <c r="H2216" s="1">
        <v>3.8012080000000002E-8</v>
      </c>
      <c r="I2216">
        <v>269.8322</v>
      </c>
      <c r="J2216">
        <v>-479.63279999999997</v>
      </c>
      <c r="K2216">
        <v>1.1228959999999999</v>
      </c>
      <c r="L2216">
        <v>279.03050000000002</v>
      </c>
      <c r="M2216">
        <v>-0.86600480000000002</v>
      </c>
      <c r="N2216">
        <v>0</v>
      </c>
      <c r="O2216">
        <v>-0.4997664</v>
      </c>
      <c r="P2216">
        <v>-0.85103969999999995</v>
      </c>
      <c r="Q2216">
        <v>3.9826920000000002E-2</v>
      </c>
      <c r="R2216">
        <v>-0.52358879999999997</v>
      </c>
      <c r="S2216">
        <v>-2.0550229999999998</v>
      </c>
      <c r="T2216">
        <v>-0.29339029999999999</v>
      </c>
      <c r="U2216">
        <v>-2.442993</v>
      </c>
      <c r="V2216">
        <v>-2.9885889999999998E-2</v>
      </c>
      <c r="W2216">
        <v>5.5286170000000003E-2</v>
      </c>
      <c r="X2216">
        <v>0.9980232</v>
      </c>
      <c r="Y2216">
        <v>-0.34149000000000002</v>
      </c>
      <c r="Z2216">
        <v>3.1839350000000002E-2</v>
      </c>
      <c r="AA2216">
        <v>0.93934600000000001</v>
      </c>
      <c r="AB2216">
        <v>29</v>
      </c>
      <c r="AC2216">
        <v>-7.6255000000000397</v>
      </c>
      <c r="AD2216">
        <v>-1.12289596198792</v>
      </c>
      <c r="AE2216">
        <v>-9.1983000000000104</v>
      </c>
      <c r="AF2216">
        <v>-4.1189819384924702</v>
      </c>
      <c r="AG2216">
        <v>-1.12289596198792</v>
      </c>
      <c r="AH2216">
        <v>11.1041519941665</v>
      </c>
      <c r="AI2216">
        <v>95.416094830059905</v>
      </c>
      <c r="AJ2216">
        <v>110.351867289008</v>
      </c>
      <c r="AK2216">
        <v>11.8966003152425</v>
      </c>
      <c r="AL2216">
        <v>86.830719932148497</v>
      </c>
      <c r="AM2216">
        <v>91.715214453432594</v>
      </c>
      <c r="AN2216">
        <v>1.0000000173763</v>
      </c>
    </row>
    <row r="2217" spans="1:40" x14ac:dyDescent="0.25">
      <c r="A2217" t="str">
        <f>"20190312154553929"</f>
        <v>20190312154553929</v>
      </c>
      <c r="B2217" t="str">
        <f>"1552376753919065"</f>
        <v>1552376753919065</v>
      </c>
      <c r="C2217" t="s">
        <v>40</v>
      </c>
      <c r="D2217">
        <v>4.4286159999999999</v>
      </c>
      <c r="E2217">
        <v>0.37237690000000001</v>
      </c>
      <c r="F2217" t="s">
        <v>53</v>
      </c>
      <c r="G2217">
        <v>-487.2296</v>
      </c>
      <c r="H2217" s="1">
        <v>2.601922E-8</v>
      </c>
      <c r="I2217">
        <v>269.76409999999998</v>
      </c>
      <c r="J2217">
        <v>-479.86860000000001</v>
      </c>
      <c r="K2217">
        <v>1.122959</v>
      </c>
      <c r="L2217">
        <v>278.8759</v>
      </c>
      <c r="M2217">
        <v>-0.85762729999999998</v>
      </c>
      <c r="N2217">
        <v>0</v>
      </c>
      <c r="O2217">
        <v>-0.51400889999999999</v>
      </c>
      <c r="P2217">
        <v>-0.84290019999999999</v>
      </c>
      <c r="Q2217">
        <v>3.963618E-2</v>
      </c>
      <c r="R2217">
        <v>-0.53660819999999998</v>
      </c>
      <c r="S2217">
        <v>-2.02182</v>
      </c>
      <c r="T2217">
        <v>-0.29884769999999999</v>
      </c>
      <c r="U2217">
        <v>-2.4661559999999998</v>
      </c>
      <c r="V2217">
        <v>-2.8733439999999999E-2</v>
      </c>
      <c r="W2217">
        <v>5.5168559999999998E-2</v>
      </c>
      <c r="X2217">
        <v>0.99806360000000005</v>
      </c>
      <c r="Y2217">
        <v>-0.33790609999999999</v>
      </c>
      <c r="Z2217">
        <v>3.4087819999999998E-2</v>
      </c>
      <c r="AA2217">
        <v>0.94056229999999996</v>
      </c>
      <c r="AB2217">
        <v>29</v>
      </c>
      <c r="AC2217">
        <v>-7.36099999999999</v>
      </c>
      <c r="AD2217">
        <v>-1.1229589739807799</v>
      </c>
      <c r="AE2217">
        <v>-9.1118000000000094</v>
      </c>
      <c r="AF2217">
        <v>-3.99473963012362</v>
      </c>
      <c r="AG2217">
        <v>-1.1229589739807799</v>
      </c>
      <c r="AH2217">
        <v>10.897869043721499</v>
      </c>
      <c r="AI2217">
        <v>95.526096899069103</v>
      </c>
      <c r="AJ2217">
        <v>110.130993628506</v>
      </c>
      <c r="AK2217">
        <v>11.661154799754</v>
      </c>
      <c r="AL2217">
        <v>86.837468939869694</v>
      </c>
      <c r="AM2217">
        <v>91.649043448022695</v>
      </c>
      <c r="AN2217">
        <v>1.0000000651158301</v>
      </c>
    </row>
    <row r="2218" spans="1:40" x14ac:dyDescent="0.25">
      <c r="A2218" t="str">
        <f>"20190312154553952"</f>
        <v>20190312154553952</v>
      </c>
      <c r="B2218" t="str">
        <f>"1552376753949321"</f>
        <v>1552376753949321</v>
      </c>
      <c r="C2218" t="s">
        <v>40</v>
      </c>
      <c r="D2218">
        <v>4.4204949999999998</v>
      </c>
      <c r="E2218">
        <v>0.37409199999999998</v>
      </c>
      <c r="F2218" t="s">
        <v>42</v>
      </c>
      <c r="G2218">
        <v>-487.3202</v>
      </c>
      <c r="H2218" s="1">
        <v>-4.7300919999999996E-6</v>
      </c>
      <c r="I2218">
        <v>269.55070000000001</v>
      </c>
      <c r="J2218">
        <v>-480.10759999999999</v>
      </c>
      <c r="K2218">
        <v>1.123027</v>
      </c>
      <c r="L2218">
        <v>278.71319999999997</v>
      </c>
      <c r="M2218">
        <v>-0.84872999999999899</v>
      </c>
      <c r="N2218">
        <v>0</v>
      </c>
      <c r="O2218">
        <v>-0.52856979999999998</v>
      </c>
      <c r="P2218">
        <v>-0.83414319999999897</v>
      </c>
      <c r="Q2218">
        <v>3.9156200000000002E-2</v>
      </c>
      <c r="R2218">
        <v>-0.5501566</v>
      </c>
      <c r="S2218">
        <v>-1.9887999999999999</v>
      </c>
      <c r="T2218">
        <v>-0.2997127</v>
      </c>
      <c r="U2218">
        <v>-2.4888309999999998</v>
      </c>
      <c r="V2218">
        <v>-2.7809839999999999E-2</v>
      </c>
      <c r="W2218">
        <v>5.4752910000000002E-2</v>
      </c>
      <c r="X2218">
        <v>0.99811260000000002</v>
      </c>
      <c r="Y2218">
        <v>-0.3336865</v>
      </c>
      <c r="Z2218">
        <v>3.5913260000000002E-2</v>
      </c>
      <c r="AA2218">
        <v>0.94199980000000005</v>
      </c>
      <c r="AB2218">
        <v>29</v>
      </c>
      <c r="AC2218">
        <v>-7.2126000000000001</v>
      </c>
      <c r="AD2218">
        <v>-1.1230317300920001</v>
      </c>
      <c r="AE2218">
        <v>-9.1624999999999606</v>
      </c>
      <c r="AF2218">
        <v>-3.92822825480593</v>
      </c>
      <c r="AG2218">
        <v>-1.1230317300920001</v>
      </c>
      <c r="AH2218">
        <v>10.865279219647199</v>
      </c>
      <c r="AI2218">
        <v>95.551825192433895</v>
      </c>
      <c r="AJ2218">
        <v>109.87692779309501</v>
      </c>
      <c r="AK2218">
        <v>11.608034717795601</v>
      </c>
      <c r="AL2218">
        <v>86.861319823234695</v>
      </c>
      <c r="AM2218">
        <v>91.595986594781806</v>
      </c>
      <c r="AN2218">
        <v>1.0000000153165201</v>
      </c>
    </row>
    <row r="2219" spans="1:40" x14ac:dyDescent="0.25">
      <c r="A2219" t="str">
        <f>"20190312154553974"</f>
        <v>20190312154553974</v>
      </c>
      <c r="B2219" t="str">
        <f>"1552376753968841"</f>
        <v>1552376753968841</v>
      </c>
      <c r="C2219" t="s">
        <v>40</v>
      </c>
      <c r="D2219">
        <v>4.4169460000000003</v>
      </c>
      <c r="E2219">
        <v>0.37519069999999999</v>
      </c>
      <c r="F2219" t="s">
        <v>42</v>
      </c>
      <c r="G2219">
        <v>-487.43349999999998</v>
      </c>
      <c r="H2219" s="1">
        <v>-4.6065909999999996E-6</v>
      </c>
      <c r="I2219">
        <v>269.30970000000002</v>
      </c>
      <c r="J2219">
        <v>-480.34280000000001</v>
      </c>
      <c r="K2219">
        <v>1.1230990000000001</v>
      </c>
      <c r="L2219">
        <v>278.5471</v>
      </c>
      <c r="M2219">
        <v>-0.83954470000000003</v>
      </c>
      <c r="N2219">
        <v>0</v>
      </c>
      <c r="O2219">
        <v>-0.54303950000000001</v>
      </c>
      <c r="P2219">
        <v>-0.82532759999999905</v>
      </c>
      <c r="Q2219">
        <v>3.9207100000000002E-2</v>
      </c>
      <c r="R2219">
        <v>-0.56329169999999995</v>
      </c>
      <c r="S2219">
        <v>-1.955292</v>
      </c>
      <c r="T2219">
        <v>-0.29973650000000002</v>
      </c>
      <c r="U2219">
        <v>-2.5097960000000001</v>
      </c>
      <c r="V2219">
        <v>-2.6515090000000002E-2</v>
      </c>
      <c r="W2219">
        <v>5.4878150000000001E-2</v>
      </c>
      <c r="X2219">
        <v>0.9981409</v>
      </c>
      <c r="Y2219">
        <v>-0.32921020000000001</v>
      </c>
      <c r="Z2219">
        <v>3.7663090000000003E-2</v>
      </c>
      <c r="AA2219">
        <v>0.94350529999999999</v>
      </c>
      <c r="AB2219">
        <v>29</v>
      </c>
      <c r="AC2219">
        <v>-7.0906999999999698</v>
      </c>
      <c r="AD2219">
        <v>-1.1231036065910001</v>
      </c>
      <c r="AE2219">
        <v>-9.2373999999999796</v>
      </c>
      <c r="AF2219">
        <v>-3.8692229344017202</v>
      </c>
      <c r="AG2219">
        <v>-1.1231036065910001</v>
      </c>
      <c r="AH2219">
        <v>10.869624744605099</v>
      </c>
      <c r="AI2219">
        <v>95.559750485078297</v>
      </c>
      <c r="AJ2219">
        <v>109.594029044869</v>
      </c>
      <c r="AK2219">
        <v>11.592281480181899</v>
      </c>
      <c r="AL2219">
        <v>86.854133116982894</v>
      </c>
      <c r="AM2219">
        <v>91.521674494052405</v>
      </c>
      <c r="AN2219">
        <v>0.99999995879896897</v>
      </c>
    </row>
    <row r="2220" spans="1:40" x14ac:dyDescent="0.25">
      <c r="A2220" t="str">
        <f>"20190312154553998"</f>
        <v>20190312154553998</v>
      </c>
      <c r="B2220" t="str">
        <f>"1552376753989337"</f>
        <v>1552376753989337</v>
      </c>
      <c r="C2220" t="s">
        <v>40</v>
      </c>
      <c r="D2220">
        <v>4.402495</v>
      </c>
      <c r="E2220">
        <v>0.37622699999999998</v>
      </c>
      <c r="F2220" t="s">
        <v>42</v>
      </c>
      <c r="G2220">
        <v>-487.60789999999997</v>
      </c>
      <c r="H2220" s="1">
        <v>-4.4225189999999999E-6</v>
      </c>
      <c r="I2220">
        <v>268.95269999999999</v>
      </c>
      <c r="J2220">
        <v>-480.5761</v>
      </c>
      <c r="K2220">
        <v>1.123176</v>
      </c>
      <c r="L2220">
        <v>278.37630000000001</v>
      </c>
      <c r="M2220">
        <v>-0.82999100000000003</v>
      </c>
      <c r="N2220">
        <v>0</v>
      </c>
      <c r="O2220">
        <v>-0.55753090000000005</v>
      </c>
      <c r="P2220">
        <v>-0.81603649999999905</v>
      </c>
      <c r="Q2220">
        <v>3.9455410000000003E-2</v>
      </c>
      <c r="R2220">
        <v>-0.57665250000000001</v>
      </c>
      <c r="S2220">
        <v>-1.919189</v>
      </c>
      <c r="T2220">
        <v>-0.29668549999999999</v>
      </c>
      <c r="U2220">
        <v>-2.5345149999999999</v>
      </c>
      <c r="V2220">
        <v>-2.5464199999999999E-2</v>
      </c>
      <c r="W2220">
        <v>5.5195229999999998E-2</v>
      </c>
      <c r="X2220">
        <v>0.9981508</v>
      </c>
      <c r="Y2220">
        <v>-0.32581909999999997</v>
      </c>
      <c r="Z2220">
        <v>3.894997E-2</v>
      </c>
      <c r="AA2220">
        <v>0.94462950000000001</v>
      </c>
      <c r="AB2220">
        <v>29</v>
      </c>
      <c r="AC2220">
        <v>-7.0317999999999703</v>
      </c>
      <c r="AD2220">
        <v>-1.1231804225190001</v>
      </c>
      <c r="AE2220">
        <v>-9.42360000000002</v>
      </c>
      <c r="AF2220">
        <v>-3.86631234913632</v>
      </c>
      <c r="AG2220">
        <v>-1.1231804225190001</v>
      </c>
      <c r="AH2220">
        <v>10.9915025150492</v>
      </c>
      <c r="AI2220">
        <v>95.506099253375893</v>
      </c>
      <c r="AJ2220">
        <v>109.379560853746</v>
      </c>
      <c r="AK2220">
        <v>11.7056837895506</v>
      </c>
      <c r="AL2220">
        <v>86.835938257611105</v>
      </c>
      <c r="AM2220">
        <v>91.461377172335304</v>
      </c>
      <c r="AN2220">
        <v>0.99999997921851602</v>
      </c>
    </row>
    <row r="2221" spans="1:40" x14ac:dyDescent="0.25">
      <c r="A2221" t="str">
        <f>"20190312154554020"</f>
        <v>20190312154554020</v>
      </c>
      <c r="B2221" t="str">
        <f>"1552376754008857"</f>
        <v>1552376754008857</v>
      </c>
      <c r="C2221" t="s">
        <v>40</v>
      </c>
      <c r="D2221">
        <v>4.4306150000000004</v>
      </c>
      <c r="E2221">
        <v>0.37678539999999999</v>
      </c>
      <c r="F2221" t="s">
        <v>42</v>
      </c>
      <c r="G2221">
        <v>-487.7747</v>
      </c>
      <c r="H2221" s="1">
        <v>-4.2354080000000004E-6</v>
      </c>
      <c r="I2221">
        <v>268.58550000000002</v>
      </c>
      <c r="J2221">
        <v>-480.80470000000003</v>
      </c>
      <c r="K2221">
        <v>1.123264</v>
      </c>
      <c r="L2221">
        <v>278.20249999999999</v>
      </c>
      <c r="M2221">
        <v>-0.82015269999999996</v>
      </c>
      <c r="N2221">
        <v>0</v>
      </c>
      <c r="O2221">
        <v>-0.57190390000000002</v>
      </c>
      <c r="P2221">
        <v>-0.80608740000000001</v>
      </c>
      <c r="Q2221">
        <v>3.8444550000000001E-2</v>
      </c>
      <c r="R2221">
        <v>-0.59054649999999997</v>
      </c>
      <c r="S2221">
        <v>-1.8818360000000001</v>
      </c>
      <c r="T2221">
        <v>-0.29361949999999998</v>
      </c>
      <c r="U2221">
        <v>-2.5595089999999998</v>
      </c>
      <c r="V2221">
        <v>-2.5128080000000001E-2</v>
      </c>
      <c r="W2221">
        <v>5.4231080000000001E-2</v>
      </c>
      <c r="X2221">
        <v>0.99821219999999999</v>
      </c>
      <c r="Y2221">
        <v>-0.32272709999999999</v>
      </c>
      <c r="Z2221">
        <v>4.0179670000000001E-2</v>
      </c>
      <c r="AA2221">
        <v>0.9456388</v>
      </c>
      <c r="AB2221">
        <v>29</v>
      </c>
      <c r="AC2221">
        <v>-6.9699999999999704</v>
      </c>
      <c r="AD2221">
        <v>-1.1232682354079999</v>
      </c>
      <c r="AE2221">
        <v>-9.61699999999996</v>
      </c>
      <c r="AF2221">
        <v>-3.8671870445274101</v>
      </c>
      <c r="AG2221">
        <v>-1.1232682354079999</v>
      </c>
      <c r="AH2221">
        <v>11.118563145698101</v>
      </c>
      <c r="AI2221">
        <v>95.450630303192199</v>
      </c>
      <c r="AJ2221">
        <v>109.178367812183</v>
      </c>
      <c r="AK2221">
        <v>11.8253673765728</v>
      </c>
      <c r="AL2221">
        <v>86.891262962880802</v>
      </c>
      <c r="AM2221">
        <v>91.442006954881194</v>
      </c>
      <c r="AN2221">
        <v>1.0000000133356399</v>
      </c>
    </row>
    <row r="2222" spans="1:40" x14ac:dyDescent="0.25">
      <c r="A2222" t="str">
        <f>"20190312154554043"</f>
        <v>20190312154554043</v>
      </c>
      <c r="B2222" t="str">
        <f>"1552376754029353"</f>
        <v>1552376754029353</v>
      </c>
      <c r="C2222" t="s">
        <v>40</v>
      </c>
      <c r="D2222">
        <v>4.4080510000000004</v>
      </c>
      <c r="E2222">
        <v>0.39305420000000002</v>
      </c>
      <c r="F2222" t="s">
        <v>42</v>
      </c>
      <c r="G2222">
        <v>-487.85309999999998</v>
      </c>
      <c r="H2222" s="1">
        <v>-4.0921850000000002E-6</v>
      </c>
      <c r="I2222">
        <v>268.28410000000002</v>
      </c>
      <c r="J2222">
        <v>-481.0265</v>
      </c>
      <c r="K2222">
        <v>1.1233629999999999</v>
      </c>
      <c r="L2222">
        <v>278.02769999999998</v>
      </c>
      <c r="M2222">
        <v>-0.81012980000000001</v>
      </c>
      <c r="N2222">
        <v>0</v>
      </c>
      <c r="O2222">
        <v>-0.58601429999999999</v>
      </c>
      <c r="P2222">
        <v>-0.79524329999999999</v>
      </c>
      <c r="Q2222">
        <v>3.7480590000000001E-2</v>
      </c>
      <c r="R2222">
        <v>-0.60513109999999903</v>
      </c>
      <c r="S2222">
        <v>-1.839386</v>
      </c>
      <c r="T2222">
        <v>-0.29313679999999998</v>
      </c>
      <c r="U2222">
        <v>-2.588409</v>
      </c>
      <c r="V2222">
        <v>-2.59876E-2</v>
      </c>
      <c r="W2222">
        <v>5.3275919999999997E-2</v>
      </c>
      <c r="X2222">
        <v>0.99824159999999995</v>
      </c>
      <c r="Y2222">
        <v>-0.32166739999999999</v>
      </c>
      <c r="Z2222">
        <v>4.1625460000000003E-2</v>
      </c>
      <c r="AA2222">
        <v>0.94593729999999998</v>
      </c>
      <c r="AB2222">
        <v>29</v>
      </c>
      <c r="AC2222">
        <v>-6.8265999999999796</v>
      </c>
      <c r="AD2222">
        <v>-1.1233670921850001</v>
      </c>
      <c r="AE2222">
        <v>-9.7435999999999492</v>
      </c>
      <c r="AF2222">
        <v>-3.8592263546133099</v>
      </c>
      <c r="AG2222">
        <v>-1.1233670921850001</v>
      </c>
      <c r="AH2222">
        <v>11.142532504205899</v>
      </c>
      <c r="AI2222">
        <v>95.441901576721804</v>
      </c>
      <c r="AJ2222">
        <v>109.103574545672</v>
      </c>
      <c r="AK2222">
        <v>11.8453202695086</v>
      </c>
      <c r="AL2222">
        <v>86.946068752275593</v>
      </c>
      <c r="AM2222">
        <v>91.491265799412204</v>
      </c>
      <c r="AN2222">
        <v>0.999999985488083</v>
      </c>
    </row>
    <row r="2223" spans="1:40" x14ac:dyDescent="0.25">
      <c r="A2223" t="str">
        <f>"20190312154554065"</f>
        <v>20190312154554065</v>
      </c>
      <c r="B2223" t="str">
        <f>"1552376754058633"</f>
        <v>1552376754058633</v>
      </c>
      <c r="C2223" t="s">
        <v>40</v>
      </c>
      <c r="D2223">
        <v>4.3980730000000001</v>
      </c>
      <c r="E2223">
        <v>0.39556180000000002</v>
      </c>
      <c r="F2223" t="s">
        <v>42</v>
      </c>
      <c r="G2223">
        <v>-488.63130000000001</v>
      </c>
      <c r="H2223" s="1">
        <v>-3.7375580000000001E-6</v>
      </c>
      <c r="I2223">
        <v>267.7792</v>
      </c>
      <c r="J2223">
        <v>-481.24380000000002</v>
      </c>
      <c r="K2223">
        <v>1.1234729999999999</v>
      </c>
      <c r="L2223">
        <v>277.84969999999998</v>
      </c>
      <c r="M2223">
        <v>-0.79979690000000003</v>
      </c>
      <c r="N2223">
        <v>0</v>
      </c>
      <c r="O2223">
        <v>-0.60003869999999904</v>
      </c>
      <c r="P2223">
        <v>-0.784211199999999</v>
      </c>
      <c r="Q2223">
        <v>3.7382949999999998E-2</v>
      </c>
      <c r="R2223">
        <v>-0.6193668</v>
      </c>
      <c r="S2223">
        <v>-1.868927</v>
      </c>
      <c r="T2223">
        <v>-0.27607490000000001</v>
      </c>
      <c r="U2223">
        <v>-2.5186459999999999</v>
      </c>
      <c r="V2223">
        <v>-2.6599370000000001E-2</v>
      </c>
      <c r="W2223">
        <v>5.3197359999999999E-2</v>
      </c>
      <c r="X2223">
        <v>0.9982297</v>
      </c>
      <c r="Y2223">
        <v>-0.28555259999999999</v>
      </c>
      <c r="Z2223">
        <v>4.2444719999999998E-2</v>
      </c>
      <c r="AA2223">
        <v>0.95742269999999896</v>
      </c>
      <c r="AB2223">
        <v>29</v>
      </c>
      <c r="AC2223">
        <v>-7.3874999999999797</v>
      </c>
      <c r="AD2223">
        <v>-1.1234767375579999</v>
      </c>
      <c r="AE2223">
        <v>-10.0704999999999</v>
      </c>
      <c r="AF2223">
        <v>-3.5930002559993599</v>
      </c>
      <c r="AG2223">
        <v>-1.1234767375579999</v>
      </c>
      <c r="AH2223">
        <v>11.8569130834265</v>
      </c>
      <c r="AI2223">
        <v>95.181457594849206</v>
      </c>
      <c r="AJ2223">
        <v>106.858382353683</v>
      </c>
      <c r="AK2223">
        <v>12.4401864410216</v>
      </c>
      <c r="AL2223">
        <v>86.950576374967</v>
      </c>
      <c r="AM2223">
        <v>91.526373223912401</v>
      </c>
      <c r="AN2223">
        <v>1.0000000097787201</v>
      </c>
    </row>
    <row r="2224" spans="1:40" x14ac:dyDescent="0.25">
      <c r="A2224" t="str">
        <f>"20190312154554085"</f>
        <v>20190312154554085</v>
      </c>
      <c r="B2224" t="str">
        <f>"1552376754079133"</f>
        <v>1552376754079133</v>
      </c>
      <c r="C2224" t="s">
        <v>40</v>
      </c>
      <c r="D2224">
        <v>4.3829599999999997</v>
      </c>
      <c r="E2224">
        <v>0.39674710000000002</v>
      </c>
      <c r="F2224" t="s">
        <v>42</v>
      </c>
      <c r="G2224">
        <v>-488.68439999999998</v>
      </c>
      <c r="H2224" s="1">
        <v>-3.6307479999999999E-6</v>
      </c>
      <c r="I2224">
        <v>267.55220000000003</v>
      </c>
      <c r="J2224">
        <v>-481.45069999999998</v>
      </c>
      <c r="K2224">
        <v>1.1235790000000001</v>
      </c>
      <c r="L2224">
        <v>277.67380000000003</v>
      </c>
      <c r="M2224">
        <v>-0.78945750000000003</v>
      </c>
      <c r="N2224">
        <v>0</v>
      </c>
      <c r="O2224">
        <v>-0.61357720000000004</v>
      </c>
      <c r="P2224">
        <v>-0.77344380000000001</v>
      </c>
      <c r="Q2224">
        <v>3.7292640000000002E-2</v>
      </c>
      <c r="R2224">
        <v>-0.63276739999999998</v>
      </c>
      <c r="S2224">
        <v>-1.834015</v>
      </c>
      <c r="T2224">
        <v>-0.27692470000000002</v>
      </c>
      <c r="U2224">
        <v>-2.5382389999999999</v>
      </c>
      <c r="V2224">
        <v>-2.677653E-2</v>
      </c>
      <c r="W2224">
        <v>5.3140699999999902E-2</v>
      </c>
      <c r="X2224">
        <v>0.998228</v>
      </c>
      <c r="Y2224">
        <v>-0.28141440000000001</v>
      </c>
      <c r="Z2224">
        <v>4.4118839999999999E-2</v>
      </c>
      <c r="AA2224">
        <v>0.95857159999999997</v>
      </c>
      <c r="AB2224">
        <v>29</v>
      </c>
      <c r="AC2224">
        <v>-7.23369999999999</v>
      </c>
      <c r="AD2224">
        <v>-1.1235826307479999</v>
      </c>
      <c r="AE2224">
        <v>-10.121600000000001</v>
      </c>
      <c r="AF2224">
        <v>-3.5238934955973198</v>
      </c>
      <c r="AG2224">
        <v>-1.1235826307479999</v>
      </c>
      <c r="AH2224">
        <v>11.8262868397335</v>
      </c>
      <c r="AI2224">
        <v>95.202498332329199</v>
      </c>
      <c r="AJ2224">
        <v>106.592543768957</v>
      </c>
      <c r="AK2224">
        <v>12.391179270436099</v>
      </c>
      <c r="AL2224">
        <v>86.953827408602905</v>
      </c>
      <c r="AM2224">
        <v>91.536537097994</v>
      </c>
      <c r="AN2224">
        <v>1.0000000282696599</v>
      </c>
    </row>
    <row r="2225" spans="1:40" x14ac:dyDescent="0.25">
      <c r="A2225" t="str">
        <f>"20190312154554108"</f>
        <v>20190312154554108</v>
      </c>
      <c r="B2225" t="str">
        <f>"1552376754098649"</f>
        <v>1552376754098649</v>
      </c>
      <c r="C2225" t="s">
        <v>40</v>
      </c>
      <c r="D2225">
        <v>4.4028890000000001</v>
      </c>
      <c r="E2225">
        <v>0.39846789999999999</v>
      </c>
      <c r="F2225" t="s">
        <v>42</v>
      </c>
      <c r="G2225">
        <v>-489.01190000000003</v>
      </c>
      <c r="H2225" s="1">
        <v>-3.2846880000000002E-6</v>
      </c>
      <c r="I2225">
        <v>266.8809</v>
      </c>
      <c r="J2225">
        <v>-481.67009999999999</v>
      </c>
      <c r="K2225">
        <v>1.1236729999999999</v>
      </c>
      <c r="L2225">
        <v>277.48009999999999</v>
      </c>
      <c r="M2225">
        <v>-0.7779334</v>
      </c>
      <c r="N2225">
        <v>0</v>
      </c>
      <c r="O2225">
        <v>-0.62812270000000003</v>
      </c>
      <c r="P2225">
        <v>-0.76346650000000005</v>
      </c>
      <c r="Q2225">
        <v>3.7041560000000001E-2</v>
      </c>
      <c r="R2225">
        <v>-0.64478489999999999</v>
      </c>
      <c r="S2225">
        <v>-1.7951969999999999</v>
      </c>
      <c r="T2225">
        <v>-0.26676519999999998</v>
      </c>
      <c r="U2225">
        <v>-2.5625</v>
      </c>
      <c r="V2225">
        <v>-2.3857280000000002E-2</v>
      </c>
      <c r="W2225">
        <v>5.3034980000000002E-2</v>
      </c>
      <c r="X2225">
        <v>0.99830759999999996</v>
      </c>
      <c r="Y2225">
        <v>-0.27757969999999998</v>
      </c>
      <c r="Z2225">
        <v>4.4056860000000003E-2</v>
      </c>
      <c r="AA2225">
        <v>0.95969190000000004</v>
      </c>
      <c r="AB2225">
        <v>29</v>
      </c>
      <c r="AC2225">
        <v>-7.3418000000000303</v>
      </c>
      <c r="AD2225">
        <v>-1.123676284688</v>
      </c>
      <c r="AE2225">
        <v>-10.5991999999999</v>
      </c>
      <c r="AF2225">
        <v>-3.6070362235647901</v>
      </c>
      <c r="AG2225">
        <v>-1.123676284688</v>
      </c>
      <c r="AH2225">
        <v>12.2775218185194</v>
      </c>
      <c r="AI2225">
        <v>95.018373189003</v>
      </c>
      <c r="AJ2225">
        <v>106.372359844004</v>
      </c>
      <c r="AK2225">
        <v>12.845656881417099</v>
      </c>
      <c r="AL2225">
        <v>86.959893099493897</v>
      </c>
      <c r="AM2225">
        <v>91.368978185628507</v>
      </c>
      <c r="AN2225">
        <v>0.99999997156517895</v>
      </c>
    </row>
    <row r="2226" spans="1:40" x14ac:dyDescent="0.25">
      <c r="A2226" t="str">
        <f>"20190312154554130"</f>
        <v>20190312154554130</v>
      </c>
      <c r="B2226" t="str">
        <f>"1552376754118759"</f>
        <v>1552376754118759</v>
      </c>
      <c r="C2226" t="s">
        <v>40</v>
      </c>
      <c r="D2226">
        <v>4.4037459999999999</v>
      </c>
      <c r="E2226">
        <v>0.40646749999999998</v>
      </c>
      <c r="F2226" t="s">
        <v>42</v>
      </c>
      <c r="G2226">
        <v>-489.12470000000002</v>
      </c>
      <c r="H2226" s="1">
        <v>-3.134071E-6</v>
      </c>
      <c r="I2226">
        <v>266.57639999999998</v>
      </c>
      <c r="J2226">
        <v>-481.87169999999998</v>
      </c>
      <c r="K2226">
        <v>1.1237490000000001</v>
      </c>
      <c r="L2226">
        <v>277.29539999999997</v>
      </c>
      <c r="M2226">
        <v>-0.76681759999999999</v>
      </c>
      <c r="N2226">
        <v>0</v>
      </c>
      <c r="O2226">
        <v>-0.6416444</v>
      </c>
      <c r="P2226">
        <v>-0.75494280000000002</v>
      </c>
      <c r="Q2226">
        <v>3.6197779999999999E-2</v>
      </c>
      <c r="R2226">
        <v>-0.65479109999999996</v>
      </c>
      <c r="S2226">
        <v>-1.7636719999999999</v>
      </c>
      <c r="T2226">
        <v>-0.26584849999999999</v>
      </c>
      <c r="U2226">
        <v>-2.5796809999999999</v>
      </c>
      <c r="V2226">
        <v>-1.9494930000000001E-2</v>
      </c>
      <c r="W2226">
        <v>5.2382629999999999E-2</v>
      </c>
      <c r="X2226">
        <v>0.99843680000000001</v>
      </c>
      <c r="Y2226">
        <v>-0.27175129999999997</v>
      </c>
      <c r="Z2226">
        <v>4.5440229999999998E-2</v>
      </c>
      <c r="AA2226">
        <v>0.96129410000000004</v>
      </c>
      <c r="AB2226">
        <v>29</v>
      </c>
      <c r="AC2226">
        <v>-7.2530000000000401</v>
      </c>
      <c r="AD2226">
        <v>-1.1237521340709999</v>
      </c>
      <c r="AE2226">
        <v>-10.7189999999999</v>
      </c>
      <c r="AF2226">
        <v>-3.5394915630046802</v>
      </c>
      <c r="AG2226">
        <v>-1.1237521340709999</v>
      </c>
      <c r="AH2226">
        <v>12.348182409807899</v>
      </c>
      <c r="AI2226">
        <v>94.999649422872395</v>
      </c>
      <c r="AJ2226">
        <v>105.99445713023</v>
      </c>
      <c r="AK2226">
        <v>12.894511553730901</v>
      </c>
      <c r="AL2226">
        <v>86.997322171306294</v>
      </c>
      <c r="AM2226">
        <v>91.118583866978298</v>
      </c>
      <c r="AN2226">
        <v>1.0000000179078301</v>
      </c>
    </row>
    <row r="2227" spans="1:40" x14ac:dyDescent="0.25">
      <c r="A2227" t="str">
        <f>"20190312154554153"</f>
        <v>20190312154554153</v>
      </c>
      <c r="B2227" t="str">
        <f>"1552376754149015"</f>
        <v>1552376754149015</v>
      </c>
      <c r="C2227" t="s">
        <v>40</v>
      </c>
      <c r="D2227">
        <v>4.4241080000000004</v>
      </c>
      <c r="E2227">
        <v>0.4068599</v>
      </c>
      <c r="F2227" t="s">
        <v>42</v>
      </c>
      <c r="G2227">
        <v>-490.19900000000001</v>
      </c>
      <c r="H2227" s="1">
        <v>-2.5026859999999998E-6</v>
      </c>
      <c r="I2227">
        <v>265.29950000000002</v>
      </c>
      <c r="J2227">
        <v>-482.07510000000002</v>
      </c>
      <c r="K2227">
        <v>1.123801</v>
      </c>
      <c r="L2227">
        <v>277.10219999999998</v>
      </c>
      <c r="M2227">
        <v>-0.7550694</v>
      </c>
      <c r="N2227">
        <v>0</v>
      </c>
      <c r="O2227">
        <v>-0.65542739999999999</v>
      </c>
      <c r="P2227">
        <v>-0.74551129999999999</v>
      </c>
      <c r="Q2227">
        <v>3.4134240000000003E-2</v>
      </c>
      <c r="R2227">
        <v>-0.66561840000000005</v>
      </c>
      <c r="S2227">
        <v>-1.7716670000000001</v>
      </c>
      <c r="T2227">
        <v>-0.2390832</v>
      </c>
      <c r="U2227">
        <v>-2.5521850000000001</v>
      </c>
      <c r="V2227">
        <v>-1.5695690000000002E-2</v>
      </c>
      <c r="W2227">
        <v>5.0491620000000001E-2</v>
      </c>
      <c r="X2227">
        <v>0.99860110000000002</v>
      </c>
      <c r="Y2227">
        <v>-0.24730389999999999</v>
      </c>
      <c r="Z2227">
        <v>4.305221E-2</v>
      </c>
      <c r="AA2227">
        <v>0.96798099999999998</v>
      </c>
      <c r="AB2227">
        <v>29</v>
      </c>
      <c r="AC2227">
        <v>-8.1238999999999901</v>
      </c>
      <c r="AD2227">
        <v>-1.123803502686</v>
      </c>
      <c r="AE2227">
        <v>-11.8026999999999</v>
      </c>
      <c r="AF2227">
        <v>-3.5658070170211702</v>
      </c>
      <c r="AG2227">
        <v>-1.123803502686</v>
      </c>
      <c r="AH2227">
        <v>13.7870862662934</v>
      </c>
      <c r="AI2227">
        <v>94.512126823799207</v>
      </c>
      <c r="AJ2227">
        <v>104.50087280712501</v>
      </c>
      <c r="AK2227">
        <v>14.285015285588701</v>
      </c>
      <c r="AL2227">
        <v>87.105812519107403</v>
      </c>
      <c r="AM2227">
        <v>90.900482433689803</v>
      </c>
      <c r="AN2227">
        <v>0.99999995764800398</v>
      </c>
    </row>
    <row r="2228" spans="1:40" x14ac:dyDescent="0.25">
      <c r="A2228" t="str">
        <f>"20190312154554176"</f>
        <v>20190312154554176</v>
      </c>
      <c r="B2228" t="str">
        <f>"1552376754168538"</f>
        <v>1552376754168538</v>
      </c>
      <c r="C2228" t="s">
        <v>40</v>
      </c>
      <c r="D2228">
        <v>4.4320110000000001</v>
      </c>
      <c r="E2228">
        <v>0.40577200000000002</v>
      </c>
      <c r="F2228" t="s">
        <v>42</v>
      </c>
      <c r="G2228">
        <v>-489.86770000000001</v>
      </c>
      <c r="H2228" s="1">
        <v>-2.5629009999999999E-6</v>
      </c>
      <c r="I2228">
        <v>265.5523</v>
      </c>
      <c r="J2228">
        <v>-482.27980000000002</v>
      </c>
      <c r="K2228">
        <v>1.1238509999999999</v>
      </c>
      <c r="L2228">
        <v>276.90050000000002</v>
      </c>
      <c r="M2228">
        <v>-0.74268259999999997</v>
      </c>
      <c r="N2228">
        <v>0</v>
      </c>
      <c r="O2228">
        <v>-0.66942990000000002</v>
      </c>
      <c r="P2228">
        <v>-0.73419309999999904</v>
      </c>
      <c r="Q2228">
        <v>3.2396580000000001E-2</v>
      </c>
      <c r="R2228">
        <v>-0.67816779999999999</v>
      </c>
      <c r="S2228">
        <v>-1.73696899999999</v>
      </c>
      <c r="T2228">
        <v>-0.25049650000000001</v>
      </c>
      <c r="U2228">
        <v>-2.5744929999999999</v>
      </c>
      <c r="V2228">
        <v>-1.3858769999999999E-2</v>
      </c>
      <c r="W2228">
        <v>4.8857129999999999E-2</v>
      </c>
      <c r="X2228">
        <v>0.99870959999999998</v>
      </c>
      <c r="Y2228">
        <v>-0.24214189999999999</v>
      </c>
      <c r="Z2228">
        <v>4.6527289999999999E-2</v>
      </c>
      <c r="AA2228">
        <v>0.9691246</v>
      </c>
      <c r="AB2228">
        <v>29</v>
      </c>
      <c r="AC2228">
        <v>-7.5878999999999897</v>
      </c>
      <c r="AD2228">
        <v>-1.123853562901</v>
      </c>
      <c r="AE2228">
        <v>-11.3482</v>
      </c>
      <c r="AF2228">
        <v>-3.3264774487481601</v>
      </c>
      <c r="AG2228">
        <v>-1.123853562901</v>
      </c>
      <c r="AH2228">
        <v>13.145028515702499</v>
      </c>
      <c r="AI2228">
        <v>94.738058966725205</v>
      </c>
      <c r="AJ2228">
        <v>104.201121930599</v>
      </c>
      <c r="AK2228">
        <v>13.6058911404768</v>
      </c>
      <c r="AL2228">
        <v>87.199577716851394</v>
      </c>
      <c r="AM2228">
        <v>90.795023967128103</v>
      </c>
      <c r="AN2228">
        <v>0.99999997489495396</v>
      </c>
    </row>
    <row r="2229" spans="1:40" x14ac:dyDescent="0.25">
      <c r="A2229" t="str">
        <f>"20190312154554197"</f>
        <v>20190312154554197</v>
      </c>
      <c r="B2229" t="str">
        <f>"1552376754189031"</f>
        <v>1552376754189031</v>
      </c>
      <c r="C2229" t="s">
        <v>40</v>
      </c>
      <c r="D2229">
        <v>4.4356070000000001</v>
      </c>
      <c r="E2229">
        <v>0.38844010000000001</v>
      </c>
      <c r="F2229" t="s">
        <v>42</v>
      </c>
      <c r="G2229">
        <v>-489.42349999999999</v>
      </c>
      <c r="H2229" s="1">
        <v>-2.7682730000000001E-6</v>
      </c>
      <c r="I2229">
        <v>265.84730000000002</v>
      </c>
      <c r="J2229">
        <v>-482.47269999999997</v>
      </c>
      <c r="K2229">
        <v>1.1238939999999999</v>
      </c>
      <c r="L2229">
        <v>276.70310000000001</v>
      </c>
      <c r="M2229">
        <v>-0.73046690000000003</v>
      </c>
      <c r="N2229">
        <v>0</v>
      </c>
      <c r="O2229">
        <v>-0.6827375</v>
      </c>
      <c r="P2229">
        <v>-0.72268959999999904</v>
      </c>
      <c r="Q2229">
        <v>3.086061E-2</v>
      </c>
      <c r="R2229">
        <v>-0.69048390000000004</v>
      </c>
      <c r="S2229">
        <v>-1.68692</v>
      </c>
      <c r="T2229">
        <v>-0.26538859999999997</v>
      </c>
      <c r="U2229">
        <v>-2.6101070000000002</v>
      </c>
      <c r="V2229">
        <v>-1.260766E-2</v>
      </c>
      <c r="W2229">
        <v>4.7397809999999999E-2</v>
      </c>
      <c r="X2229">
        <v>0.99879649999999998</v>
      </c>
      <c r="Y2229">
        <v>-0.24388760000000001</v>
      </c>
      <c r="Z2229">
        <v>5.044796E-2</v>
      </c>
      <c r="AA2229">
        <v>0.96849050000000003</v>
      </c>
      <c r="AB2229">
        <v>29</v>
      </c>
      <c r="AC2229">
        <v>-6.9508000000000099</v>
      </c>
      <c r="AD2229">
        <v>-1.1238967682729999</v>
      </c>
      <c r="AE2229">
        <v>-10.855799999999901</v>
      </c>
      <c r="AF2229">
        <v>-3.1606617951570102</v>
      </c>
      <c r="AG2229">
        <v>-1.1238967682729999</v>
      </c>
      <c r="AH2229">
        <v>12.396550366337699</v>
      </c>
      <c r="AI2229">
        <v>95.020634307234005</v>
      </c>
      <c r="AJ2229">
        <v>104.30356185670399</v>
      </c>
      <c r="AK2229">
        <v>12.842405846034</v>
      </c>
      <c r="AL2229">
        <v>87.283287611844102</v>
      </c>
      <c r="AM2229">
        <v>90.723197713271702</v>
      </c>
      <c r="AN2229">
        <v>0.99999997694786003</v>
      </c>
    </row>
    <row r="2230" spans="1:40" x14ac:dyDescent="0.25">
      <c r="A2230" t="str">
        <f>"20190312154554220"</f>
        <v>20190312154554220</v>
      </c>
      <c r="B2230" t="str">
        <f>"1552376754209180"</f>
        <v>1552376754209180</v>
      </c>
      <c r="C2230" t="s">
        <v>40</v>
      </c>
      <c r="D2230">
        <v>4.4402599999999897</v>
      </c>
      <c r="E2230">
        <v>0.38770700000000002</v>
      </c>
      <c r="F2230" t="s">
        <v>42</v>
      </c>
      <c r="G2230">
        <v>-488.7038</v>
      </c>
      <c r="H2230" s="1">
        <v>-2.8204889999999998E-6</v>
      </c>
      <c r="I2230">
        <v>265.67140000000001</v>
      </c>
      <c r="J2230">
        <v>-482.66669999999999</v>
      </c>
      <c r="K2230">
        <v>1.1239239999999999</v>
      </c>
      <c r="L2230">
        <v>276.49700000000001</v>
      </c>
      <c r="M2230">
        <v>-0.71762419999999905</v>
      </c>
      <c r="N2230">
        <v>0</v>
      </c>
      <c r="O2230">
        <v>-0.69622359999999905</v>
      </c>
      <c r="P2230">
        <v>-0.70941860000000001</v>
      </c>
      <c r="Q2230">
        <v>3.0447930000000002E-2</v>
      </c>
      <c r="R2230">
        <v>-0.70412980000000003</v>
      </c>
      <c r="S2230">
        <v>-1.546753</v>
      </c>
      <c r="T2230">
        <v>-0.27898440000000002</v>
      </c>
      <c r="U2230">
        <v>-2.7383730000000002</v>
      </c>
      <c r="V2230">
        <v>-1.3016059999999999E-2</v>
      </c>
      <c r="W2230">
        <v>4.7001029999999999E-2</v>
      </c>
      <c r="X2230">
        <v>0.99881010000000003</v>
      </c>
      <c r="Y2230">
        <v>-0.283358</v>
      </c>
      <c r="Z2230">
        <v>5.2402400000000002E-2</v>
      </c>
      <c r="AA2230">
        <v>0.95758149999999997</v>
      </c>
      <c r="AB2230">
        <v>29</v>
      </c>
      <c r="AC2230">
        <v>-6.0370999999999997</v>
      </c>
      <c r="AD2230">
        <v>-1.1239268204889901</v>
      </c>
      <c r="AE2230">
        <v>-10.8256</v>
      </c>
      <c r="AF2230">
        <v>-3.5369743756051499</v>
      </c>
      <c r="AG2230">
        <v>-1.1239268204889901</v>
      </c>
      <c r="AH2230">
        <v>11.7743110573252</v>
      </c>
      <c r="AI2230">
        <v>95.223466739600696</v>
      </c>
      <c r="AJ2230">
        <v>106.72013994492499</v>
      </c>
      <c r="AK2230">
        <v>12.3453554062308</v>
      </c>
      <c r="AL2230">
        <v>87.306047035397498</v>
      </c>
      <c r="AM2230">
        <v>90.746611485481196</v>
      </c>
      <c r="AN2230">
        <v>1.0000000652504899</v>
      </c>
    </row>
    <row r="2231" spans="1:40" x14ac:dyDescent="0.25">
      <c r="A2231" t="str">
        <f>"20190312154554243"</f>
        <v>20190312154554243</v>
      </c>
      <c r="B2231" t="str">
        <f>"1552376754239435"</f>
        <v>1552376754239435</v>
      </c>
      <c r="C2231" t="s">
        <v>40</v>
      </c>
      <c r="D2231">
        <v>4.4181879999999998</v>
      </c>
      <c r="E2231">
        <v>0.3895692</v>
      </c>
      <c r="F2231" t="s">
        <v>42</v>
      </c>
      <c r="G2231">
        <v>-488.53109999999998</v>
      </c>
      <c r="H2231" s="1">
        <v>-2.8155099999999998E-6</v>
      </c>
      <c r="I2231">
        <v>265.58839999999998</v>
      </c>
      <c r="J2231">
        <v>-482.85390000000001</v>
      </c>
      <c r="K2231">
        <v>1.1239349999999999</v>
      </c>
      <c r="L2231">
        <v>276.29070000000002</v>
      </c>
      <c r="M2231">
        <v>-0.70468509999999995</v>
      </c>
      <c r="N2231">
        <v>0</v>
      </c>
      <c r="O2231">
        <v>-0.70931630000000001</v>
      </c>
      <c r="P2231">
        <v>-0.69592159999999903</v>
      </c>
      <c r="Q2231">
        <v>3.0355940000000001E-2</v>
      </c>
      <c r="R2231">
        <v>-0.71747590000000006</v>
      </c>
      <c r="S2231">
        <v>-1.490051</v>
      </c>
      <c r="T2231">
        <v>-0.28557519999999997</v>
      </c>
      <c r="U2231">
        <v>-2.7717290000000001</v>
      </c>
      <c r="V2231">
        <v>-1.359431E-2</v>
      </c>
      <c r="W2231">
        <v>4.6913389999999999E-2</v>
      </c>
      <c r="X2231">
        <v>0.99880650000000004</v>
      </c>
      <c r="Y2231">
        <v>-0.28578140000000002</v>
      </c>
      <c r="Z2231">
        <v>5.4870929999999998E-2</v>
      </c>
      <c r="AA2231">
        <v>0.95672259999999998</v>
      </c>
      <c r="AB2231">
        <v>29</v>
      </c>
      <c r="AC2231">
        <v>-5.6771999999999698</v>
      </c>
      <c r="AD2231">
        <v>-1.1239378155099999</v>
      </c>
      <c r="AE2231">
        <v>-10.702299999999999</v>
      </c>
      <c r="AF2231">
        <v>-3.4853314000119</v>
      </c>
      <c r="AG2231">
        <v>-1.1239378155099999</v>
      </c>
      <c r="AH2231">
        <v>11.494697261136301</v>
      </c>
      <c r="AI2231">
        <v>95.345714185617894</v>
      </c>
      <c r="AJ2231">
        <v>106.867938915857</v>
      </c>
      <c r="AK2231">
        <v>12.0639477910929</v>
      </c>
      <c r="AL2231">
        <v>87.311073935806405</v>
      </c>
      <c r="AM2231">
        <v>90.779779164036199</v>
      </c>
      <c r="AN2231">
        <v>1.0000000479339499</v>
      </c>
    </row>
    <row r="2232" spans="1:40" x14ac:dyDescent="0.25">
      <c r="A2232" t="str">
        <f>"20190312154554257"</f>
        <v>20190312154554257</v>
      </c>
      <c r="B2232" t="str">
        <f>"1552376754249195"</f>
        <v>1552376754249195</v>
      </c>
      <c r="C2232" t="s">
        <v>40</v>
      </c>
      <c r="D2232">
        <v>4.434056</v>
      </c>
      <c r="E2232">
        <v>0.39050220000000002</v>
      </c>
      <c r="F2232" t="s">
        <v>42</v>
      </c>
      <c r="G2232">
        <v>-488.59750000000003</v>
      </c>
      <c r="H2232" s="1">
        <v>-2.6514429999999998E-6</v>
      </c>
      <c r="I2232">
        <v>265.23349999999999</v>
      </c>
      <c r="J2232">
        <v>-482.9631</v>
      </c>
      <c r="K2232">
        <v>1.1239380000000001</v>
      </c>
      <c r="L2232">
        <v>276.16579999999999</v>
      </c>
      <c r="M2232">
        <v>-0.69683680000000003</v>
      </c>
      <c r="N2232">
        <v>0</v>
      </c>
      <c r="O2232">
        <v>-0.71702790000000005</v>
      </c>
      <c r="P2232">
        <v>-0.68770779999999998</v>
      </c>
      <c r="Q2232">
        <v>3.073275E-2</v>
      </c>
      <c r="R2232">
        <v>-0.72533709999999996</v>
      </c>
      <c r="S2232">
        <v>-1.4483950000000001</v>
      </c>
      <c r="T2232">
        <v>-0.28342850000000003</v>
      </c>
      <c r="U2232">
        <v>-2.7883610000000001</v>
      </c>
      <c r="V2232">
        <v>-1.397793E-2</v>
      </c>
      <c r="W2232">
        <v>4.7289200000000003E-2</v>
      </c>
      <c r="X2232">
        <v>0.99878339999999999</v>
      </c>
      <c r="Y2232">
        <v>-0.28880450000000002</v>
      </c>
      <c r="Z2232">
        <v>5.5237210000000002E-2</v>
      </c>
      <c r="AA2232">
        <v>0.95579329999999996</v>
      </c>
      <c r="AB2232">
        <v>29</v>
      </c>
      <c r="AC2232">
        <v>-5.6344000000000198</v>
      </c>
      <c r="AD2232">
        <v>-1.1239406514429999</v>
      </c>
      <c r="AE2232">
        <v>-10.9322999999999</v>
      </c>
      <c r="AF2232">
        <v>-3.5488868334966499</v>
      </c>
      <c r="AG2232">
        <v>-1.1239406514429999</v>
      </c>
      <c r="AH2232">
        <v>11.6692700873684</v>
      </c>
      <c r="AI2232">
        <v>95.264883081736897</v>
      </c>
      <c r="AJ2232">
        <v>106.915693145464</v>
      </c>
      <c r="AK2232">
        <v>12.248661343872699</v>
      </c>
      <c r="AL2232">
        <v>87.289517461426101</v>
      </c>
      <c r="AM2232">
        <v>90.801799584617299</v>
      </c>
      <c r="AN2232">
        <v>0.99999996553964099</v>
      </c>
    </row>
    <row r="2233" spans="1:40" x14ac:dyDescent="0.25">
      <c r="A2233" t="str">
        <f>"20190312154554268"</f>
        <v>20190312154554268</v>
      </c>
      <c r="B2233" t="str">
        <f>"1552376754258956"</f>
        <v>1552376754258956</v>
      </c>
      <c r="C2233" t="s">
        <v>40</v>
      </c>
      <c r="D2233">
        <v>4.3885820000000004</v>
      </c>
      <c r="E2233">
        <v>0.39156560000000001</v>
      </c>
      <c r="F2233" t="s">
        <v>42</v>
      </c>
      <c r="G2233">
        <v>-488.65989999999999</v>
      </c>
      <c r="H2233" s="1">
        <v>-2.5186790000000002E-6</v>
      </c>
      <c r="I2233">
        <v>264.94979999999998</v>
      </c>
      <c r="J2233">
        <v>-483.06029999999998</v>
      </c>
      <c r="K2233">
        <v>1.123939</v>
      </c>
      <c r="L2233">
        <v>276.053</v>
      </c>
      <c r="M2233">
        <v>-0.68971539999999998</v>
      </c>
      <c r="N2233">
        <v>0</v>
      </c>
      <c r="O2233">
        <v>-0.72388009999999903</v>
      </c>
      <c r="P2233">
        <v>-0.67968919999999999</v>
      </c>
      <c r="Q2233">
        <v>3.1337410000000003E-2</v>
      </c>
      <c r="R2233">
        <v>-0.7328306</v>
      </c>
      <c r="S2233">
        <v>-1.421997</v>
      </c>
      <c r="T2233">
        <v>-0.280555</v>
      </c>
      <c r="U2233">
        <v>-2.7997130000000001</v>
      </c>
      <c r="V2233">
        <v>-1.5093850000000001E-2</v>
      </c>
      <c r="W2233">
        <v>4.7865520000000002E-2</v>
      </c>
      <c r="X2233">
        <v>0.99873970000000001</v>
      </c>
      <c r="Y2233">
        <v>-0.28806330000000002</v>
      </c>
      <c r="Z2233">
        <v>5.5441810000000001E-2</v>
      </c>
      <c r="AA2233">
        <v>0.95600510000000005</v>
      </c>
      <c r="AB2233">
        <v>29</v>
      </c>
      <c r="AC2233">
        <v>-5.5995999999999997</v>
      </c>
      <c r="AD2233">
        <v>-1.1239415186790001</v>
      </c>
      <c r="AE2233">
        <v>-11.103199999999999</v>
      </c>
      <c r="AF2233">
        <v>-3.5759201690397799</v>
      </c>
      <c r="AG2233">
        <v>-1.1239415186790001</v>
      </c>
      <c r="AH2233">
        <v>11.804808395583199</v>
      </c>
      <c r="AI2233">
        <v>95.206500735976206</v>
      </c>
      <c r="AJ2233">
        <v>106.852644053785</v>
      </c>
      <c r="AK2233">
        <v>12.3856348585443</v>
      </c>
      <c r="AL2233">
        <v>87.256459305395893</v>
      </c>
      <c r="AM2233">
        <v>90.865839286814094</v>
      </c>
      <c r="AN2233">
        <v>0.99999996033438998</v>
      </c>
    </row>
    <row r="2234" spans="1:40" x14ac:dyDescent="0.25">
      <c r="A2234" t="str">
        <f>"20190312154554280"</f>
        <v>20190312154554280</v>
      </c>
      <c r="B2234" t="str">
        <f>"1552376754268717"</f>
        <v>1552376754268717</v>
      </c>
      <c r="C2234" t="s">
        <v>40</v>
      </c>
      <c r="D2234">
        <v>4.3715539999999997</v>
      </c>
      <c r="E2234">
        <v>0.39156560000000001</v>
      </c>
      <c r="F2234" t="s">
        <v>42</v>
      </c>
      <c r="G2234">
        <v>-488.74119999999999</v>
      </c>
      <c r="H2234" s="1">
        <v>-2.3673129999999999E-6</v>
      </c>
      <c r="I2234">
        <v>264.63060000000002</v>
      </c>
      <c r="J2234">
        <v>-483.1592</v>
      </c>
      <c r="K2234">
        <v>1.1239410000000001</v>
      </c>
      <c r="L2234">
        <v>275.9359</v>
      </c>
      <c r="M2234">
        <v>-0.68230059999999904</v>
      </c>
      <c r="N2234">
        <v>0</v>
      </c>
      <c r="O2234">
        <v>-0.7308732</v>
      </c>
      <c r="P2234">
        <v>-0.67102320000000004</v>
      </c>
      <c r="Q2234">
        <v>3.1827499999999898E-2</v>
      </c>
      <c r="R2234">
        <v>-0.74075340000000001</v>
      </c>
      <c r="S2234">
        <v>-1.397308</v>
      </c>
      <c r="T2234">
        <v>-0.27644980000000002</v>
      </c>
      <c r="U2234">
        <v>-2.8095089999999998</v>
      </c>
      <c r="V2234">
        <v>-1.6662679999999999E-2</v>
      </c>
      <c r="W2234">
        <v>4.8310369999999998E-2</v>
      </c>
      <c r="X2234">
        <v>0.99869339999999995</v>
      </c>
      <c r="Y2234">
        <v>-0.28635189999999999</v>
      </c>
      <c r="Z2234">
        <v>5.543965E-2</v>
      </c>
      <c r="AA2234">
        <v>0.95651920000000001</v>
      </c>
      <c r="AB2234">
        <v>29</v>
      </c>
      <c r="AC2234">
        <v>-5.5819999999999901</v>
      </c>
      <c r="AD2234">
        <v>-1.1239433673129999</v>
      </c>
      <c r="AE2234">
        <v>-11.3052999999999</v>
      </c>
      <c r="AF2234">
        <v>-3.6057530289691102</v>
      </c>
      <c r="AG2234">
        <v>-1.1239433673129999</v>
      </c>
      <c r="AH2234">
        <v>11.9779121384658</v>
      </c>
      <c r="AI2234">
        <v>95.134336269214501</v>
      </c>
      <c r="AJ2234">
        <v>106.753555573837</v>
      </c>
      <c r="AK2234">
        <v>12.5592628285124</v>
      </c>
      <c r="AL2234">
        <v>87.230941926373106</v>
      </c>
      <c r="AM2234">
        <v>90.955861595607601</v>
      </c>
      <c r="AN2234">
        <v>1.00000002197893</v>
      </c>
    </row>
    <row r="2235" spans="1:40" x14ac:dyDescent="0.25">
      <c r="A2235" t="str">
        <f>"20190312154554293"</f>
        <v>20190312154554293</v>
      </c>
      <c r="B2235" t="str">
        <f>"1552376754289212"</f>
        <v>1552376754289212</v>
      </c>
      <c r="C2235" t="s">
        <v>40</v>
      </c>
      <c r="D2235">
        <v>4.4685110000000003</v>
      </c>
      <c r="E2235">
        <v>0.40364410000000001</v>
      </c>
      <c r="F2235" t="s">
        <v>42</v>
      </c>
      <c r="G2235">
        <v>-488.72640000000001</v>
      </c>
      <c r="H2235" s="1">
        <v>-2.274985E-6</v>
      </c>
      <c r="I2235">
        <v>264.4092</v>
      </c>
      <c r="J2235">
        <v>-483.25400000000002</v>
      </c>
      <c r="K2235">
        <v>1.123936</v>
      </c>
      <c r="L2235">
        <v>275.82060000000001</v>
      </c>
      <c r="M2235">
        <v>-0.67500230000000006</v>
      </c>
      <c r="N2235">
        <v>0</v>
      </c>
      <c r="O2235">
        <v>-0.73761860000000001</v>
      </c>
      <c r="P2235">
        <v>-0.66302629999999996</v>
      </c>
      <c r="Q2235">
        <v>3.2139920000000002E-2</v>
      </c>
      <c r="R2235">
        <v>-0.74790590000000001</v>
      </c>
      <c r="S2235">
        <v>-1.364716</v>
      </c>
      <c r="T2235">
        <v>-0.27551900000000001</v>
      </c>
      <c r="U2235">
        <v>-2.8255919999999999</v>
      </c>
      <c r="V2235">
        <v>-1.7467699999999999E-2</v>
      </c>
      <c r="W2235">
        <v>4.8602800000000002E-2</v>
      </c>
      <c r="X2235">
        <v>0.99866549999999998</v>
      </c>
      <c r="Y2235">
        <v>-0.28791169999999999</v>
      </c>
      <c r="Z2235">
        <v>5.5886150000000002E-2</v>
      </c>
      <c r="AA2235">
        <v>0.95602489999999996</v>
      </c>
      <c r="AB2235">
        <v>29</v>
      </c>
      <c r="AC2235">
        <v>-5.4723999999999897</v>
      </c>
      <c r="AD2235">
        <v>-1.123938274985</v>
      </c>
      <c r="AE2235">
        <v>-11.4114</v>
      </c>
      <c r="AF2235">
        <v>-3.6380172007905398</v>
      </c>
      <c r="AG2235">
        <v>-1.123938274985</v>
      </c>
      <c r="AH2235">
        <v>12.018117416945501</v>
      </c>
      <c r="AI2235">
        <v>95.114866377027894</v>
      </c>
      <c r="AJ2235">
        <v>106.84164498439701</v>
      </c>
      <c r="AK2235">
        <v>12.606885128639499</v>
      </c>
      <c r="AL2235">
        <v>87.214167341419</v>
      </c>
      <c r="AM2235">
        <v>91.002060693496901</v>
      </c>
      <c r="AN2235">
        <v>1.0000000668006801</v>
      </c>
    </row>
    <row r="2236" spans="1:40" x14ac:dyDescent="0.25">
      <c r="A2236" t="str">
        <f>"20190312154554305"</f>
        <v>20190312154554305</v>
      </c>
      <c r="B2236" t="str">
        <f>"1552376754298972"</f>
        <v>1552376754298972</v>
      </c>
      <c r="C2236" t="s">
        <v>40</v>
      </c>
      <c r="D2236">
        <v>4.4626429999999999</v>
      </c>
      <c r="E2236">
        <v>0.40387420000000002</v>
      </c>
      <c r="F2236" t="s">
        <v>42</v>
      </c>
      <c r="G2236">
        <v>-489.22789999999998</v>
      </c>
      <c r="H2236" s="1">
        <v>-2.0277999999999999E-6</v>
      </c>
      <c r="I2236">
        <v>264.04039999999998</v>
      </c>
      <c r="J2236">
        <v>-483.35250000000002</v>
      </c>
      <c r="K2236">
        <v>1.1239330000000001</v>
      </c>
      <c r="L2236">
        <v>275.69940000000003</v>
      </c>
      <c r="M2236">
        <v>-0.66728500000000002</v>
      </c>
      <c r="N2236">
        <v>0</v>
      </c>
      <c r="O2236">
        <v>-0.74460719999999903</v>
      </c>
      <c r="P2236">
        <v>-0.65445050000000005</v>
      </c>
      <c r="Q2236">
        <v>3.267805E-2</v>
      </c>
      <c r="R2236">
        <v>-0.75539840000000003</v>
      </c>
      <c r="S2236">
        <v>-1.4072880000000001</v>
      </c>
      <c r="T2236">
        <v>-0.26476809999999901</v>
      </c>
      <c r="U2236">
        <v>-2.7750849999999998</v>
      </c>
      <c r="V2236">
        <v>-1.8464870000000001E-2</v>
      </c>
      <c r="W2236">
        <v>4.9113839999999999E-2</v>
      </c>
      <c r="X2236">
        <v>0.99862249999999997</v>
      </c>
      <c r="Y2236">
        <v>-0.25928889999999999</v>
      </c>
      <c r="Z2236">
        <v>5.5718400000000001E-2</v>
      </c>
      <c r="AA2236">
        <v>0.96419129999999997</v>
      </c>
      <c r="AB2236">
        <v>28</v>
      </c>
      <c r="AC2236">
        <v>-5.8753999999999502</v>
      </c>
      <c r="AD2236">
        <v>-1.1239350278</v>
      </c>
      <c r="AE2236">
        <v>-11.659000000000001</v>
      </c>
      <c r="AF2236">
        <v>-3.3804532957782598</v>
      </c>
      <c r="AG2236">
        <v>-1.1239350278</v>
      </c>
      <c r="AH2236">
        <v>12.511054804612399</v>
      </c>
      <c r="AI2236">
        <v>94.956594988615194</v>
      </c>
      <c r="AJ2236">
        <v>105.12011124373301</v>
      </c>
      <c r="AK2236">
        <v>13.008350654701401</v>
      </c>
      <c r="AL2236">
        <v>87.184851734468296</v>
      </c>
      <c r="AM2236">
        <v>91.059297758150194</v>
      </c>
      <c r="AN2236">
        <v>1.0000000091049499</v>
      </c>
    </row>
    <row r="2237" spans="1:40" x14ac:dyDescent="0.25">
      <c r="A2237" t="str">
        <f>"20190312154554317"</f>
        <v>20190312154554317</v>
      </c>
      <c r="B2237" t="str">
        <f>"1552376754309493"</f>
        <v>1552376754309493</v>
      </c>
      <c r="C2237" t="s">
        <v>40</v>
      </c>
      <c r="D2237">
        <v>4.3818919999999997</v>
      </c>
      <c r="E2237">
        <v>0.40456110000000001</v>
      </c>
      <c r="F2237" t="s">
        <v>42</v>
      </c>
      <c r="G2237">
        <v>-489.2792</v>
      </c>
      <c r="H2237" s="1">
        <v>-1.868853E-6</v>
      </c>
      <c r="I2237">
        <v>263.69110000000001</v>
      </c>
      <c r="J2237">
        <v>-483.44439999999997</v>
      </c>
      <c r="K2237">
        <v>1.1239330000000001</v>
      </c>
      <c r="L2237">
        <v>275.5829</v>
      </c>
      <c r="M2237">
        <v>-0.65987680000000004</v>
      </c>
      <c r="N2237">
        <v>0</v>
      </c>
      <c r="O2237">
        <v>-0.75117999999999996</v>
      </c>
      <c r="P2237">
        <v>-0.6460844</v>
      </c>
      <c r="Q2237">
        <v>3.2846199999999999E-2</v>
      </c>
      <c r="R2237">
        <v>-0.76255909999999905</v>
      </c>
      <c r="S2237">
        <v>-1.3769229999999999</v>
      </c>
      <c r="T2237">
        <v>-0.26111580000000001</v>
      </c>
      <c r="U2237">
        <v>-2.7897949999999998</v>
      </c>
      <c r="V2237">
        <v>-1.9581850000000001E-2</v>
      </c>
      <c r="W2237">
        <v>4.9249099999999997E-2</v>
      </c>
      <c r="X2237">
        <v>0.99859450000000005</v>
      </c>
      <c r="Y2237">
        <v>-0.26016420000000001</v>
      </c>
      <c r="Z2237">
        <v>5.5567230000000002E-2</v>
      </c>
      <c r="AA2237">
        <v>0.96396420000000005</v>
      </c>
      <c r="AB2237">
        <v>28</v>
      </c>
      <c r="AC2237">
        <v>-5.8348000000000297</v>
      </c>
      <c r="AD2237">
        <v>-1.123934868853</v>
      </c>
      <c r="AE2237">
        <v>-11.8917999999999</v>
      </c>
      <c r="AF2237">
        <v>-3.4398768571603799</v>
      </c>
      <c r="AG2237">
        <v>-1.123934868853</v>
      </c>
      <c r="AH2237">
        <v>12.6936051122759</v>
      </c>
      <c r="AI2237">
        <v>94.884684439766005</v>
      </c>
      <c r="AJ2237">
        <v>105.16258540804</v>
      </c>
      <c r="AK2237">
        <v>13.199378512954601</v>
      </c>
      <c r="AL2237">
        <v>87.177092348028097</v>
      </c>
      <c r="AM2237">
        <v>91.123392513024399</v>
      </c>
      <c r="AN2237">
        <v>0.99999994906524003</v>
      </c>
    </row>
    <row r="2238" spans="1:40" x14ac:dyDescent="0.25">
      <c r="A2238" t="str">
        <f>"20190312154554332"</f>
        <v>20190312154554332</v>
      </c>
      <c r="B2238" t="str">
        <f>"1552376754329013"</f>
        <v>1552376754329013</v>
      </c>
      <c r="C2238" t="s">
        <v>40</v>
      </c>
      <c r="D2238">
        <v>4.3690910000000001</v>
      </c>
      <c r="E2238">
        <v>0.40449289999999999</v>
      </c>
      <c r="F2238" t="s">
        <v>42</v>
      </c>
      <c r="G2238">
        <v>-489.38780000000003</v>
      </c>
      <c r="H2238" s="1">
        <v>-1.661963E-6</v>
      </c>
      <c r="I2238">
        <v>263.25369999999998</v>
      </c>
      <c r="J2238">
        <v>-483.55829999999997</v>
      </c>
      <c r="K2238">
        <v>1.123926</v>
      </c>
      <c r="L2238">
        <v>275.43549999999999</v>
      </c>
      <c r="M2238">
        <v>-0.65048039999999996</v>
      </c>
      <c r="N2238">
        <v>0</v>
      </c>
      <c r="O2238">
        <v>-0.75933109999999904</v>
      </c>
      <c r="P2238">
        <v>-0.63533729999999999</v>
      </c>
      <c r="Q2238">
        <v>3.2941959999999999E-2</v>
      </c>
      <c r="R2238">
        <v>-0.771532199999999</v>
      </c>
      <c r="S2238">
        <v>-1.35025</v>
      </c>
      <c r="T2238">
        <v>-0.25534299999999999</v>
      </c>
      <c r="U2238">
        <v>-2.8010250000000001</v>
      </c>
      <c r="V2238">
        <v>-2.1149790000000002E-2</v>
      </c>
      <c r="W2238">
        <v>4.9297189999999998E-2</v>
      </c>
      <c r="X2238">
        <v>0.99856020000000001</v>
      </c>
      <c r="Y2238">
        <v>-0.25708720000000002</v>
      </c>
      <c r="Z2238">
        <v>5.5227940000000003E-2</v>
      </c>
      <c r="AA2238">
        <v>0.96480880000000002</v>
      </c>
      <c r="AB2238">
        <v>28</v>
      </c>
      <c r="AC2238">
        <v>-5.8295000000000501</v>
      </c>
      <c r="AD2238">
        <v>-1.1239276619630001</v>
      </c>
      <c r="AE2238">
        <v>-12.181800000000001</v>
      </c>
      <c r="AF2238">
        <v>-3.47394980478964</v>
      </c>
      <c r="AG2238">
        <v>-1.1239276619630001</v>
      </c>
      <c r="AH2238">
        <v>12.9541721201011</v>
      </c>
      <c r="AI2238">
        <v>94.790240698553703</v>
      </c>
      <c r="AJ2238">
        <v>105.011924799569</v>
      </c>
      <c r="AK2238">
        <v>13.458904708509101</v>
      </c>
      <c r="AL2238">
        <v>87.1743337864159</v>
      </c>
      <c r="AM2238">
        <v>91.213359543051098</v>
      </c>
      <c r="AN2238">
        <v>0.99999999979149001</v>
      </c>
    </row>
    <row r="2239" spans="1:40" x14ac:dyDescent="0.25">
      <c r="A2239" t="str">
        <f>"20190312154554344"</f>
        <v>20190312154554344</v>
      </c>
      <c r="B2239" t="str">
        <f>"1552376754338772"</f>
        <v>1552376754338772</v>
      </c>
      <c r="C2239" t="s">
        <v>40</v>
      </c>
      <c r="D2239">
        <v>4.3450939999999996</v>
      </c>
      <c r="E2239">
        <v>0.40508860000000002</v>
      </c>
      <c r="F2239" t="s">
        <v>42</v>
      </c>
      <c r="G2239">
        <v>-489.75540000000001</v>
      </c>
      <c r="H2239" s="1">
        <v>-1.1087160000000001E-6</v>
      </c>
      <c r="I2239">
        <v>262.11610000000002</v>
      </c>
      <c r="J2239">
        <v>-483.65050000000002</v>
      </c>
      <c r="K2239">
        <v>1.1239239999999999</v>
      </c>
      <c r="L2239">
        <v>275.3141</v>
      </c>
      <c r="M2239">
        <v>-0.64270469999999902</v>
      </c>
      <c r="N2239">
        <v>0</v>
      </c>
      <c r="O2239">
        <v>-0.76592389999999999</v>
      </c>
      <c r="P2239">
        <v>-0.62701499999999999</v>
      </c>
      <c r="Q2239">
        <v>3.2912520000000001E-2</v>
      </c>
      <c r="R2239">
        <v>-0.7783118</v>
      </c>
      <c r="S2239">
        <v>-1.311401</v>
      </c>
      <c r="T2239">
        <v>-0.2378403</v>
      </c>
      <c r="U2239">
        <v>-2.8186040000000001</v>
      </c>
      <c r="V2239">
        <v>-2.1691209999999999E-2</v>
      </c>
      <c r="W2239">
        <v>4.9253379999999999E-2</v>
      </c>
      <c r="X2239">
        <v>0.99855079999999996</v>
      </c>
      <c r="Y2239">
        <v>-0.26036209999999999</v>
      </c>
      <c r="Z2239">
        <v>5.1968500000000001E-2</v>
      </c>
      <c r="AA2239">
        <v>0.96411139999999995</v>
      </c>
      <c r="AB2239">
        <v>28</v>
      </c>
      <c r="AC2239">
        <v>-6.1048999999999802</v>
      </c>
      <c r="AD2239">
        <v>-1.1239251087159901</v>
      </c>
      <c r="AE2239">
        <v>-13.197999999999899</v>
      </c>
      <c r="AF2239">
        <v>-3.7844744595301201</v>
      </c>
      <c r="AG2239">
        <v>-1.1239251087159901</v>
      </c>
      <c r="AH2239">
        <v>13.9510144916682</v>
      </c>
      <c r="AI2239">
        <v>94.445931500441503</v>
      </c>
      <c r="AJ2239">
        <v>105.177308921136</v>
      </c>
      <c r="AK2239">
        <v>14.4988365026844</v>
      </c>
      <c r="AL2239">
        <v>87.176847115254006</v>
      </c>
      <c r="AM2239">
        <v>91.244422773817206</v>
      </c>
      <c r="AN2239">
        <v>1.0000000521066601</v>
      </c>
    </row>
    <row r="2240" spans="1:40" x14ac:dyDescent="0.25">
      <c r="A2240" t="str">
        <f>"20190312154554357"</f>
        <v>20190312154554357</v>
      </c>
      <c r="B2240" t="str">
        <f>"1552376754349509"</f>
        <v>1552376754349509</v>
      </c>
      <c r="C2240" t="s">
        <v>40</v>
      </c>
      <c r="D2240">
        <v>4.3029120000000001</v>
      </c>
      <c r="E2240">
        <v>0.40508860000000002</v>
      </c>
      <c r="F2240" t="s">
        <v>42</v>
      </c>
      <c r="G2240">
        <v>-489.85019999999997</v>
      </c>
      <c r="H2240" s="1">
        <v>-8.9696059999999996E-7</v>
      </c>
      <c r="I2240">
        <v>261.6617</v>
      </c>
      <c r="J2240">
        <v>-483.74270000000001</v>
      </c>
      <c r="K2240">
        <v>1.1239140000000001</v>
      </c>
      <c r="L2240">
        <v>275.18880000000001</v>
      </c>
      <c r="M2240">
        <v>-0.63469739999999997</v>
      </c>
      <c r="N2240">
        <v>0</v>
      </c>
      <c r="O2240">
        <v>-0.77257219999999904</v>
      </c>
      <c r="P2240">
        <v>-0.61888520000000002</v>
      </c>
      <c r="Q2240">
        <v>3.2820370000000001E-2</v>
      </c>
      <c r="R2240">
        <v>-0.78479540000000003</v>
      </c>
      <c r="S2240">
        <v>-1.284821</v>
      </c>
      <c r="T2240">
        <v>-0.2329214</v>
      </c>
      <c r="U2240">
        <v>-2.8293149999999998</v>
      </c>
      <c r="V2240">
        <v>-2.1682259999999998E-2</v>
      </c>
      <c r="W2240">
        <v>4.9165269999999997E-2</v>
      </c>
      <c r="X2240">
        <v>0.99855530000000003</v>
      </c>
      <c r="Y2240">
        <v>-0.2591735</v>
      </c>
      <c r="Z2240">
        <v>5.1526580000000002E-2</v>
      </c>
      <c r="AA2240">
        <v>0.96445530000000002</v>
      </c>
      <c r="AB2240">
        <v>28</v>
      </c>
      <c r="AC2240">
        <v>-6.1074999999999502</v>
      </c>
      <c r="AD2240">
        <v>-1.1239148969606001</v>
      </c>
      <c r="AE2240">
        <v>-13.527100000000001</v>
      </c>
      <c r="AF2240">
        <v>-3.8456418220475199</v>
      </c>
      <c r="AG2240">
        <v>-1.1239148969606001</v>
      </c>
      <c r="AH2240">
        <v>14.247463840833801</v>
      </c>
      <c r="AI2240">
        <v>94.355222002398506</v>
      </c>
      <c r="AJ2240">
        <v>105.105176806106</v>
      </c>
      <c r="AK2240">
        <v>14.800080121910099</v>
      </c>
      <c r="AL2240">
        <v>87.181901466882906</v>
      </c>
      <c r="AM2240">
        <v>91.243903870549801</v>
      </c>
      <c r="AN2240">
        <v>1.00000001566548</v>
      </c>
    </row>
    <row r="2241" spans="1:40" x14ac:dyDescent="0.25">
      <c r="A2241" t="str">
        <f>"20190312154554376"</f>
        <v>20190312154554376</v>
      </c>
      <c r="B2241" t="str">
        <f>"1552376754369032"</f>
        <v>1552376754369032</v>
      </c>
      <c r="C2241" t="s">
        <v>40</v>
      </c>
      <c r="D2241">
        <v>4.2670360000000001</v>
      </c>
      <c r="E2241">
        <v>0.41620509999999999</v>
      </c>
      <c r="F2241" t="s">
        <v>42</v>
      </c>
      <c r="G2241">
        <v>-489.79230000000001</v>
      </c>
      <c r="H2241" s="1">
        <v>-8.3288299999999995E-7</v>
      </c>
      <c r="I2241">
        <v>261.48840000000001</v>
      </c>
      <c r="J2241">
        <v>-483.88260000000002</v>
      </c>
      <c r="K2241">
        <v>1.123896</v>
      </c>
      <c r="L2241">
        <v>274.99419999999998</v>
      </c>
      <c r="M2241">
        <v>-0.62221490000000002</v>
      </c>
      <c r="N2241">
        <v>0</v>
      </c>
      <c r="O2241">
        <v>-0.78266000000000002</v>
      </c>
      <c r="P2241">
        <v>-0.60569689999999998</v>
      </c>
      <c r="Q2241">
        <v>3.2738330000000003E-2</v>
      </c>
      <c r="R2241">
        <v>-0.79502169999999905</v>
      </c>
      <c r="S2241">
        <v>-1.255188</v>
      </c>
      <c r="T2241">
        <v>-0.2331915</v>
      </c>
      <c r="U2241">
        <v>-2.84259</v>
      </c>
      <c r="V2241">
        <v>-2.2322310000000001E-2</v>
      </c>
      <c r="W2241">
        <v>4.9065249999999998E-2</v>
      </c>
      <c r="X2241">
        <v>0.99854609999999999</v>
      </c>
      <c r="Y2241">
        <v>-0.25376379999999998</v>
      </c>
      <c r="Z2241">
        <v>5.25961E-2</v>
      </c>
      <c r="AA2241">
        <v>0.9658352</v>
      </c>
      <c r="AB2241">
        <v>28</v>
      </c>
      <c r="AC2241">
        <v>-5.9096999999999804</v>
      </c>
      <c r="AD2241">
        <v>-1.1238968328829999</v>
      </c>
      <c r="AE2241">
        <v>-13.505799999999899</v>
      </c>
      <c r="AF2241">
        <v>-3.7569402276949702</v>
      </c>
      <c r="AG2241">
        <v>-1.1238968328829999</v>
      </c>
      <c r="AH2241">
        <v>14.1672917198046</v>
      </c>
      <c r="AI2241">
        <v>94.3848613447893</v>
      </c>
      <c r="AJ2241">
        <v>104.852081578338</v>
      </c>
      <c r="AK2241">
        <v>14.699996552362901</v>
      </c>
      <c r="AL2241">
        <v>87.187639068573503</v>
      </c>
      <c r="AM2241">
        <v>91.280623063220105</v>
      </c>
      <c r="AN2241">
        <v>0.99999999905325399</v>
      </c>
    </row>
    <row r="2242" spans="1:40" x14ac:dyDescent="0.25">
      <c r="A2242" t="str">
        <f>"20190312154554389"</f>
        <v>20190312154554389</v>
      </c>
      <c r="B2242" t="str">
        <f>"1552376754379764"</f>
        <v>1552376754379764</v>
      </c>
      <c r="C2242" t="s">
        <v>40</v>
      </c>
      <c r="D2242">
        <v>4.2875829999999997</v>
      </c>
      <c r="E2242">
        <v>0.41811700000000002</v>
      </c>
      <c r="F2242" t="s">
        <v>42</v>
      </c>
      <c r="G2242">
        <v>-491.47149999999999</v>
      </c>
      <c r="H2242" s="1">
        <v>-4.1246890000000004E-6</v>
      </c>
      <c r="I2242">
        <v>258.34039999999999</v>
      </c>
      <c r="J2242">
        <v>-483.97089999999997</v>
      </c>
      <c r="K2242">
        <v>1.1238840000000001</v>
      </c>
      <c r="L2242">
        <v>274.86779999999999</v>
      </c>
      <c r="M2242">
        <v>-0.61409469999999899</v>
      </c>
      <c r="N2242">
        <v>0</v>
      </c>
      <c r="O2242">
        <v>-0.78904770000000002</v>
      </c>
      <c r="P2242">
        <v>-0.59765389999999996</v>
      </c>
      <c r="Q2242">
        <v>3.2497249999999998E-2</v>
      </c>
      <c r="R2242">
        <v>-0.80109580000000002</v>
      </c>
      <c r="S2242">
        <v>-1.2790220000000001</v>
      </c>
      <c r="T2242">
        <v>-0.1894208</v>
      </c>
      <c r="U2242">
        <v>-2.8068240000000002</v>
      </c>
      <c r="V2242">
        <v>-2.206402E-2</v>
      </c>
      <c r="W2242">
        <v>4.883523E-2</v>
      </c>
      <c r="X2242">
        <v>0.99856310000000004</v>
      </c>
      <c r="Y2242">
        <v>-0.23214650000000001</v>
      </c>
      <c r="Z2242">
        <v>4.3955279999999999E-2</v>
      </c>
      <c r="AA2242">
        <v>0.97168710000000003</v>
      </c>
      <c r="AB2242">
        <v>28</v>
      </c>
      <c r="AC2242">
        <v>-7.5006000000000101</v>
      </c>
      <c r="AD2242">
        <v>-1.123888124689</v>
      </c>
      <c r="AE2242">
        <v>-16.5274</v>
      </c>
      <c r="AF2242">
        <v>-4.2155100189748298</v>
      </c>
      <c r="AG2242">
        <v>-1.123888124689</v>
      </c>
      <c r="AH2242">
        <v>17.582139620465998</v>
      </c>
      <c r="AI2242">
        <v>93.556955198688996</v>
      </c>
      <c r="AJ2242">
        <v>103.482780499486</v>
      </c>
      <c r="AK2242">
        <v>18.115332811473699</v>
      </c>
      <c r="AL2242">
        <v>87.200834015850305</v>
      </c>
      <c r="AM2242">
        <v>91.265788363485697</v>
      </c>
      <c r="AN2242">
        <v>0.99999998267466095</v>
      </c>
    </row>
    <row r="2243" spans="1:40" x14ac:dyDescent="0.25">
      <c r="A2243" t="str">
        <f>"20190312154554401"</f>
        <v>20190312154554401</v>
      </c>
      <c r="B2243" t="str">
        <f>"1552376754388548"</f>
        <v>1552376754388548</v>
      </c>
      <c r="C2243" t="s">
        <v>40</v>
      </c>
      <c r="D2243">
        <v>4.3318139999999996</v>
      </c>
      <c r="E2243">
        <v>0.41881940000000001</v>
      </c>
      <c r="F2243" t="s">
        <v>42</v>
      </c>
      <c r="G2243">
        <v>-491.41750000000002</v>
      </c>
      <c r="H2243" s="1">
        <v>-4.0998799999999998E-6</v>
      </c>
      <c r="I2243">
        <v>258.29559999999998</v>
      </c>
      <c r="J2243">
        <v>-484.05329999999998</v>
      </c>
      <c r="K2243">
        <v>1.1238649999999999</v>
      </c>
      <c r="L2243">
        <v>274.74770000000001</v>
      </c>
      <c r="M2243">
        <v>-0.6063636</v>
      </c>
      <c r="N2243">
        <v>0</v>
      </c>
      <c r="O2243">
        <v>-0.79500400000000004</v>
      </c>
      <c r="P2243">
        <v>-0.58962950000000003</v>
      </c>
      <c r="Q2243">
        <v>3.2851350000000001E-2</v>
      </c>
      <c r="R2243">
        <v>-0.80700559999999999</v>
      </c>
      <c r="S2243">
        <v>-1.2628779999999999</v>
      </c>
      <c r="T2243">
        <v>-0.19060289999999999</v>
      </c>
      <c r="U2243">
        <v>-2.8105159999999998</v>
      </c>
      <c r="V2243">
        <v>-2.2284089999999999E-2</v>
      </c>
      <c r="W2243">
        <v>4.9183379999999999E-2</v>
      </c>
      <c r="X2243">
        <v>0.99854109999999996</v>
      </c>
      <c r="Y2243">
        <v>-0.2277805</v>
      </c>
      <c r="Z2243">
        <v>4.478472E-2</v>
      </c>
      <c r="AA2243">
        <v>0.97268209999999999</v>
      </c>
      <c r="AB2243">
        <v>28</v>
      </c>
      <c r="AC2243">
        <v>-7.3642000000000296</v>
      </c>
      <c r="AD2243">
        <v>-1.1238690998799901</v>
      </c>
      <c r="AE2243">
        <v>-16.452100000000002</v>
      </c>
      <c r="AF2243">
        <v>-4.1060251784833</v>
      </c>
      <c r="AG2243">
        <v>-1.1238690998799901</v>
      </c>
      <c r="AH2243">
        <v>17.479476099907199</v>
      </c>
      <c r="AI2243">
        <v>93.581626929938196</v>
      </c>
      <c r="AJ2243">
        <v>103.219420325071</v>
      </c>
      <c r="AK2243">
        <v>17.990403254158402</v>
      </c>
      <c r="AL2243">
        <v>87.180862417876597</v>
      </c>
      <c r="AM2243">
        <v>91.278437522966698</v>
      </c>
      <c r="AN2243">
        <v>0.99999995696227995</v>
      </c>
    </row>
    <row r="2244" spans="1:40" x14ac:dyDescent="0.25">
      <c r="A2244" t="str">
        <f>"20190312154554416"</f>
        <v>20190312154554416</v>
      </c>
      <c r="B2244" t="str">
        <f>"1552376754409343"</f>
        <v>1552376754409343</v>
      </c>
      <c r="C2244" t="s">
        <v>40</v>
      </c>
      <c r="D2244">
        <v>4.2947340000000001</v>
      </c>
      <c r="E2244">
        <v>0.42102980000000001</v>
      </c>
      <c r="F2244" t="s">
        <v>42</v>
      </c>
      <c r="G2244">
        <v>-491.53160000000003</v>
      </c>
      <c r="H2244" s="1">
        <v>-3.9006649999999999E-6</v>
      </c>
      <c r="I2244">
        <v>257.73180000000002</v>
      </c>
      <c r="J2244">
        <v>-484.14429999999999</v>
      </c>
      <c r="K2244">
        <v>1.123848</v>
      </c>
      <c r="L2244">
        <v>274.61110000000002</v>
      </c>
      <c r="M2244">
        <v>-0.59757969999999905</v>
      </c>
      <c r="N2244">
        <v>0</v>
      </c>
      <c r="O2244">
        <v>-0.80162749999999905</v>
      </c>
      <c r="P2244">
        <v>-0.58079150000000002</v>
      </c>
      <c r="Q2244">
        <v>3.2625469999999997E-2</v>
      </c>
      <c r="R2244">
        <v>-0.81339819999999996</v>
      </c>
      <c r="S2244">
        <v>-1.2391970000000001</v>
      </c>
      <c r="T2244">
        <v>-0.1862338</v>
      </c>
      <c r="U2244">
        <v>-2.8196720000000002</v>
      </c>
      <c r="V2244">
        <v>-2.2184820000000001E-2</v>
      </c>
      <c r="W2244">
        <v>4.8960959999999998E-2</v>
      </c>
      <c r="X2244">
        <v>0.99855430000000001</v>
      </c>
      <c r="Y2244">
        <v>-0.22505810000000001</v>
      </c>
      <c r="Z2244">
        <v>4.429085E-2</v>
      </c>
      <c r="AA2244">
        <v>0.97333820000000004</v>
      </c>
      <c r="AB2244">
        <v>28</v>
      </c>
      <c r="AC2244">
        <v>-7.3873000000000397</v>
      </c>
      <c r="AD2244">
        <v>-1.1238519006649901</v>
      </c>
      <c r="AE2244">
        <v>-16.879300000000001</v>
      </c>
      <c r="AF2244">
        <v>-4.1500319438232998</v>
      </c>
      <c r="AG2244">
        <v>-1.1238519006649901</v>
      </c>
      <c r="AH2244">
        <v>17.8815029084831</v>
      </c>
      <c r="AI2244">
        <v>93.503432694635293</v>
      </c>
      <c r="AJ2244">
        <v>103.06618255491</v>
      </c>
      <c r="AK2244">
        <v>18.391137933675299</v>
      </c>
      <c r="AL2244">
        <v>87.193621683106301</v>
      </c>
      <c r="AM2244">
        <v>91.272727464743099</v>
      </c>
      <c r="AN2244">
        <v>1.00000001594552</v>
      </c>
    </row>
    <row r="2245" spans="1:40" x14ac:dyDescent="0.25">
      <c r="A2245" t="str">
        <f>"20190312154554434"</f>
        <v>20190312154554434</v>
      </c>
      <c r="B2245" t="str">
        <f>"1552376754428862"</f>
        <v>1552376754428862</v>
      </c>
      <c r="C2245" t="s">
        <v>40</v>
      </c>
      <c r="D2245">
        <v>4.3063349999999998</v>
      </c>
      <c r="E2245">
        <v>0.42215409999999998</v>
      </c>
      <c r="F2245" t="s">
        <v>42</v>
      </c>
      <c r="G2245">
        <v>-491.63670000000002</v>
      </c>
      <c r="H2245" s="1">
        <v>-3.7501520000000001E-6</v>
      </c>
      <c r="I2245">
        <v>257.31569999999999</v>
      </c>
      <c r="J2245">
        <v>-484.27249999999998</v>
      </c>
      <c r="K2245">
        <v>1.1238170000000001</v>
      </c>
      <c r="L2245">
        <v>274.4135</v>
      </c>
      <c r="M2245">
        <v>-0.58485129999999996</v>
      </c>
      <c r="N2245">
        <v>0</v>
      </c>
      <c r="O2245">
        <v>-0.81096080000000004</v>
      </c>
      <c r="P2245">
        <v>-0.5685093</v>
      </c>
      <c r="Q2245">
        <v>3.2747560000000002E-2</v>
      </c>
      <c r="R2245">
        <v>-0.82202509999999995</v>
      </c>
      <c r="S2245">
        <v>-1.2227479999999999</v>
      </c>
      <c r="T2245">
        <v>-0.1834102</v>
      </c>
      <c r="U2245">
        <v>-2.8225709999999999</v>
      </c>
      <c r="V2245">
        <v>-2.1417579999999999E-2</v>
      </c>
      <c r="W2245">
        <v>4.9108600000000002E-2</v>
      </c>
      <c r="X2245">
        <v>0.9985638</v>
      </c>
      <c r="Y2245">
        <v>-0.2147985</v>
      </c>
      <c r="Z2245">
        <v>4.4503800000000003E-2</v>
      </c>
      <c r="AA2245">
        <v>0.97564390000000001</v>
      </c>
      <c r="AB2245">
        <v>28</v>
      </c>
      <c r="AC2245">
        <v>-7.3642000000000296</v>
      </c>
      <c r="AD2245">
        <v>-1.1238207501519999</v>
      </c>
      <c r="AE2245">
        <v>-17.097799999999999</v>
      </c>
      <c r="AF2245">
        <v>-4.01355387566994</v>
      </c>
      <c r="AG2245">
        <v>-1.1238207501519999</v>
      </c>
      <c r="AH2245">
        <v>18.109262452749</v>
      </c>
      <c r="AI2245">
        <v>93.467175338829406</v>
      </c>
      <c r="AJ2245">
        <v>102.49646269908099</v>
      </c>
      <c r="AK2245">
        <v>18.5827063253425</v>
      </c>
      <c r="AL2245">
        <v>87.185152343673906</v>
      </c>
      <c r="AM2245">
        <v>91.2287134970599</v>
      </c>
      <c r="AN2245">
        <v>1.00000001499872</v>
      </c>
    </row>
    <row r="2246" spans="1:40" x14ac:dyDescent="0.25">
      <c r="A2246" t="str">
        <f>"20190312154554457"</f>
        <v>20190312154554457</v>
      </c>
      <c r="B2246" t="str">
        <f>"1552376754449358"</f>
        <v>1552376754449358</v>
      </c>
      <c r="C2246" t="s">
        <v>40</v>
      </c>
      <c r="D2246">
        <v>4.2848269999999999</v>
      </c>
      <c r="E2246">
        <v>0.4350753</v>
      </c>
      <c r="F2246" t="s">
        <v>42</v>
      </c>
      <c r="G2246">
        <v>-491.60789999999997</v>
      </c>
      <c r="H2246" s="1">
        <v>-3.563736E-6</v>
      </c>
      <c r="I2246">
        <v>256.899</v>
      </c>
      <c r="J2246">
        <v>-484.41739999999999</v>
      </c>
      <c r="K2246">
        <v>1.1237740000000001</v>
      </c>
      <c r="L2246">
        <v>274.18169999999998</v>
      </c>
      <c r="M2246">
        <v>-0.56990790000000002</v>
      </c>
      <c r="N2246">
        <v>0</v>
      </c>
      <c r="O2246">
        <v>-0.82153109999999996</v>
      </c>
      <c r="P2246">
        <v>-0.55418690000000004</v>
      </c>
      <c r="Q2246">
        <v>3.2876809999999999E-2</v>
      </c>
      <c r="R2246">
        <v>-0.8317428</v>
      </c>
      <c r="S2246">
        <v>-1.1875610000000001</v>
      </c>
      <c r="T2246">
        <v>-0.1819413</v>
      </c>
      <c r="U2246">
        <v>-2.8355100000000002</v>
      </c>
      <c r="V2246">
        <v>-2.042797E-2</v>
      </c>
      <c r="W2246">
        <v>4.9268149999999997E-2</v>
      </c>
      <c r="X2246">
        <v>0.99857660000000004</v>
      </c>
      <c r="Y2246">
        <v>-0.2087986</v>
      </c>
      <c r="Z2246">
        <v>4.5000119999999998E-2</v>
      </c>
      <c r="AA2246">
        <v>0.97692279999999998</v>
      </c>
      <c r="AB2246">
        <v>28</v>
      </c>
      <c r="AC2246">
        <v>-7.1904999999999797</v>
      </c>
      <c r="AD2246">
        <v>-1.1237775637359999</v>
      </c>
      <c r="AE2246">
        <v>-17.282699999999899</v>
      </c>
      <c r="AF2246">
        <v>-3.9287431017360301</v>
      </c>
      <c r="AG2246">
        <v>-1.1237775637359999</v>
      </c>
      <c r="AH2246">
        <v>18.233151801400101</v>
      </c>
      <c r="AI2246">
        <v>93.447956553531696</v>
      </c>
      <c r="AJ2246">
        <v>102.159754689723</v>
      </c>
      <c r="AK2246">
        <v>18.6854414715065</v>
      </c>
      <c r="AL2246">
        <v>87.175999509205596</v>
      </c>
      <c r="AM2246">
        <v>91.171941374406103</v>
      </c>
      <c r="AN2246">
        <v>0.99999993931514897</v>
      </c>
    </row>
    <row r="2247" spans="1:40" x14ac:dyDescent="0.25">
      <c r="A2247" t="str">
        <f>"20190312154554470"</f>
        <v>20190312154554470</v>
      </c>
      <c r="B2247" t="str">
        <f>"1552376754459119"</f>
        <v>1552376754459119</v>
      </c>
      <c r="C2247" t="s">
        <v>40</v>
      </c>
      <c r="D2247">
        <v>4.2907190000000002</v>
      </c>
      <c r="E2247">
        <v>0.43448819999999999</v>
      </c>
      <c r="F2247" t="s">
        <v>42</v>
      </c>
      <c r="G2247">
        <v>-492.6028</v>
      </c>
      <c r="H2247" s="1">
        <v>-3.2170610000000001E-6</v>
      </c>
      <c r="I2247">
        <v>255.47380000000001</v>
      </c>
      <c r="J2247">
        <v>-484.50580000000002</v>
      </c>
      <c r="K2247">
        <v>1.12374</v>
      </c>
      <c r="L2247">
        <v>274.03530000000001</v>
      </c>
      <c r="M2247">
        <v>-0.56047539999999996</v>
      </c>
      <c r="N2247">
        <v>0</v>
      </c>
      <c r="O2247">
        <v>-0.82799539999999905</v>
      </c>
      <c r="P2247">
        <v>-0.54493369999999997</v>
      </c>
      <c r="Q2247">
        <v>3.2969650000000003E-2</v>
      </c>
      <c r="R2247">
        <v>-0.83783099999999999</v>
      </c>
      <c r="S2247">
        <v>-1.2241820000000001</v>
      </c>
      <c r="T2247">
        <v>-0.16806779999999999</v>
      </c>
      <c r="U2247">
        <v>-2.797882</v>
      </c>
      <c r="V2247">
        <v>-2.0072650000000001E-2</v>
      </c>
      <c r="W2247">
        <v>4.9369589999999998E-2</v>
      </c>
      <c r="X2247">
        <v>0.99857879999999999</v>
      </c>
      <c r="Y2247">
        <v>-0.18203469999999999</v>
      </c>
      <c r="Z2247">
        <v>4.268624E-2</v>
      </c>
      <c r="AA2247">
        <v>0.98236509999999999</v>
      </c>
      <c r="AB2247">
        <v>28</v>
      </c>
      <c r="AC2247">
        <v>-8.09699999999998</v>
      </c>
      <c r="AD2247">
        <v>-1.123743217061</v>
      </c>
      <c r="AE2247">
        <v>-18.561499999999899</v>
      </c>
      <c r="AF2247">
        <v>-3.6881665685157898</v>
      </c>
      <c r="AG2247">
        <v>-1.123743217061</v>
      </c>
      <c r="AH2247">
        <v>19.848781799751102</v>
      </c>
      <c r="AI2247">
        <v>93.185936460207003</v>
      </c>
      <c r="AJ2247">
        <v>100.52626516659799</v>
      </c>
      <c r="AK2247">
        <v>20.219780176578102</v>
      </c>
      <c r="AL2247">
        <v>87.1701803561064</v>
      </c>
      <c r="AM2247">
        <v>91.151559863272794</v>
      </c>
      <c r="AN2247">
        <v>0.99999994375211299</v>
      </c>
    </row>
    <row r="2248" spans="1:40" x14ac:dyDescent="0.25">
      <c r="A2248" t="str">
        <f>"20190312154554486"</f>
        <v>20190312154554486</v>
      </c>
      <c r="B2248" t="str">
        <f>"1552376754478638"</f>
        <v>1552376754478638</v>
      </c>
      <c r="C2248" t="s">
        <v>40</v>
      </c>
      <c r="D2248">
        <v>4.2483890000000004</v>
      </c>
      <c r="E2248">
        <v>0.41025139999999999</v>
      </c>
      <c r="F2248" t="s">
        <v>42</v>
      </c>
      <c r="G2248">
        <v>-492.53789999999998</v>
      </c>
      <c r="H2248" s="1">
        <v>-3.0116690000000001E-6</v>
      </c>
      <c r="I2248">
        <v>255.03530000000001</v>
      </c>
      <c r="J2248">
        <v>-484.60050000000001</v>
      </c>
      <c r="K2248">
        <v>1.1236969999999999</v>
      </c>
      <c r="L2248">
        <v>273.87479999999999</v>
      </c>
      <c r="M2248">
        <v>-0.55012740000000004</v>
      </c>
      <c r="N2248">
        <v>0</v>
      </c>
      <c r="O2248">
        <v>-0.834906699999999</v>
      </c>
      <c r="P2248">
        <v>-0.53491080000000002</v>
      </c>
      <c r="Q2248">
        <v>3.2897839999999998E-2</v>
      </c>
      <c r="R2248">
        <v>-0.84426819999999902</v>
      </c>
      <c r="S2248">
        <v>-1.1894229999999999</v>
      </c>
      <c r="T2248">
        <v>-0.1664081</v>
      </c>
      <c r="U2248">
        <v>-2.813599</v>
      </c>
      <c r="V2248">
        <v>-1.9538449999999999E-2</v>
      </c>
      <c r="W2248">
        <v>4.9310529999999998E-2</v>
      </c>
      <c r="X2248">
        <v>0.99859240000000005</v>
      </c>
      <c r="Y2248">
        <v>-0.1820601</v>
      </c>
      <c r="Z2248">
        <v>4.2683069999999997E-2</v>
      </c>
      <c r="AA2248">
        <v>0.98236049999999997</v>
      </c>
      <c r="AB2248">
        <v>28</v>
      </c>
      <c r="AC2248">
        <v>-7.9373999999999603</v>
      </c>
      <c r="AD2248">
        <v>-1.1237000116689999</v>
      </c>
      <c r="AE2248">
        <v>-18.839499999999902</v>
      </c>
      <c r="AF2248">
        <v>-3.7264211736253499</v>
      </c>
      <c r="AG2248">
        <v>-1.1237000116689999</v>
      </c>
      <c r="AH2248">
        <v>20.038185047504601</v>
      </c>
      <c r="AI2248">
        <v>93.155676246755704</v>
      </c>
      <c r="AJ2248">
        <v>100.53472516284501</v>
      </c>
      <c r="AK2248">
        <v>20.412686655056099</v>
      </c>
      <c r="AL2248">
        <v>87.173568616522701</v>
      </c>
      <c r="AM2248">
        <v>91.120905687962704</v>
      </c>
      <c r="AN2248">
        <v>1.0000000303675201</v>
      </c>
    </row>
    <row r="2249" spans="1:40" x14ac:dyDescent="0.25">
      <c r="A2249" t="str">
        <f>"20190312154554501"</f>
        <v>20190312154554501</v>
      </c>
      <c r="B2249" t="str">
        <f>"1552376754489376"</f>
        <v>1552376754489376</v>
      </c>
      <c r="C2249" t="s">
        <v>40</v>
      </c>
      <c r="D2249">
        <v>4.3053330000000001</v>
      </c>
      <c r="E2249">
        <v>0.40720210000000001</v>
      </c>
      <c r="F2249" t="s">
        <v>42</v>
      </c>
      <c r="G2249">
        <v>-490.6703</v>
      </c>
      <c r="H2249" s="1">
        <v>-2.8988079999999999E-6</v>
      </c>
      <c r="I2249">
        <v>255.9306</v>
      </c>
      <c r="J2249">
        <v>-484.69459999999998</v>
      </c>
      <c r="K2249">
        <v>1.1236429999999999</v>
      </c>
      <c r="L2249">
        <v>273.71019999999999</v>
      </c>
      <c r="M2249">
        <v>-0.53953759999999995</v>
      </c>
      <c r="N2249">
        <v>0</v>
      </c>
      <c r="O2249">
        <v>-0.84178889999999995</v>
      </c>
      <c r="P2249">
        <v>-0.52553530000000004</v>
      </c>
      <c r="Q2249">
        <v>3.2757179999999997E-2</v>
      </c>
      <c r="R2249">
        <v>-0.85014120000000004</v>
      </c>
      <c r="S2249">
        <v>-0.99182130000000002</v>
      </c>
      <c r="T2249">
        <v>-0.18361649999999999</v>
      </c>
      <c r="U2249">
        <v>-2.932159</v>
      </c>
      <c r="V2249">
        <v>-1.7967170000000001E-2</v>
      </c>
      <c r="W2249">
        <v>4.9215759999999997E-2</v>
      </c>
      <c r="X2249">
        <v>0.99862649999999997</v>
      </c>
      <c r="Y2249">
        <v>-0.24178369999999999</v>
      </c>
      <c r="Z2249">
        <v>4.5943249999999998E-2</v>
      </c>
      <c r="AA2249">
        <v>0.96924189999999999</v>
      </c>
      <c r="AB2249">
        <v>28</v>
      </c>
      <c r="AC2249">
        <v>-5.9757000000000096</v>
      </c>
      <c r="AD2249">
        <v>-1.123645898808</v>
      </c>
      <c r="AE2249">
        <v>-17.779599999999899</v>
      </c>
      <c r="AF2249">
        <v>-4.5468308038859204</v>
      </c>
      <c r="AG2249">
        <v>-1.123645898808</v>
      </c>
      <c r="AH2249">
        <v>18.128371805247198</v>
      </c>
      <c r="AI2249">
        <v>93.440513037955498</v>
      </c>
      <c r="AJ2249">
        <v>104.080074929228</v>
      </c>
      <c r="AK2249">
        <v>18.723624509542901</v>
      </c>
      <c r="AL2249">
        <v>87.179004906710404</v>
      </c>
      <c r="AM2249">
        <v>91.030747684726705</v>
      </c>
      <c r="AN2249">
        <v>0.99999994836621597</v>
      </c>
    </row>
    <row r="2250" spans="1:40" x14ac:dyDescent="0.25">
      <c r="A2250" t="str">
        <f>"20190312154554515"</f>
        <v>20190312154554515</v>
      </c>
      <c r="B2250" t="str">
        <f>"1552376754508895"</f>
        <v>1552376754508895</v>
      </c>
      <c r="C2250" t="s">
        <v>40</v>
      </c>
      <c r="D2250">
        <v>4.2569549999999996</v>
      </c>
      <c r="E2250">
        <v>0.40481289999999998</v>
      </c>
      <c r="F2250" t="s">
        <v>42</v>
      </c>
      <c r="G2250">
        <v>-489.86520000000002</v>
      </c>
      <c r="H2250" s="1">
        <v>-3.3589120000000001E-6</v>
      </c>
      <c r="I2250">
        <v>257.4067</v>
      </c>
      <c r="J2250">
        <v>-484.77420000000001</v>
      </c>
      <c r="K2250">
        <v>1.12359599999999</v>
      </c>
      <c r="L2250">
        <v>273.56639999999999</v>
      </c>
      <c r="M2250">
        <v>-0.53031709999999999</v>
      </c>
      <c r="N2250">
        <v>0</v>
      </c>
      <c r="O2250">
        <v>-0.84762819999999905</v>
      </c>
      <c r="P2250">
        <v>-0.51662229999999998</v>
      </c>
      <c r="Q2250">
        <v>3.2584589999999997E-2</v>
      </c>
      <c r="R2250">
        <v>-0.8555931</v>
      </c>
      <c r="S2250">
        <v>-0.93780520000000001</v>
      </c>
      <c r="T2250">
        <v>-0.2037967</v>
      </c>
      <c r="U2250">
        <v>-2.9569700000000001</v>
      </c>
      <c r="V2250">
        <v>-1.749351E-2</v>
      </c>
      <c r="W2250">
        <v>4.9049549999999997E-2</v>
      </c>
      <c r="X2250">
        <v>0.99864319999999895</v>
      </c>
      <c r="Y2250">
        <v>-0.2497385</v>
      </c>
      <c r="Z2250">
        <v>5.1175409999999998E-2</v>
      </c>
      <c r="AA2250">
        <v>0.96696009999999999</v>
      </c>
      <c r="AB2250">
        <v>28</v>
      </c>
      <c r="AC2250">
        <v>-5.0910000000000002</v>
      </c>
      <c r="AD2250">
        <v>-1.1235993589119999</v>
      </c>
      <c r="AE2250">
        <v>-16.159699999999901</v>
      </c>
      <c r="AF2250">
        <v>-4.2364753684633198</v>
      </c>
      <c r="AG2250">
        <v>-1.1235993589119999</v>
      </c>
      <c r="AH2250">
        <v>16.327831166718202</v>
      </c>
      <c r="AI2250">
        <v>93.810807114472098</v>
      </c>
      <c r="AJ2250">
        <v>104.545416839095</v>
      </c>
      <c r="AK2250">
        <v>16.905864949058302</v>
      </c>
      <c r="AL2250">
        <v>87.188539871220996</v>
      </c>
      <c r="AM2250">
        <v>91.003563424898502</v>
      </c>
      <c r="AN2250">
        <v>1.0000000610767701</v>
      </c>
    </row>
    <row r="2251" spans="1:40" x14ac:dyDescent="0.25">
      <c r="A2251" t="str">
        <f>"20190312154554535"</f>
        <v>20190312154554535</v>
      </c>
      <c r="B2251" t="str">
        <f>"1552376754529391"</f>
        <v>1552376754529391</v>
      </c>
      <c r="C2251" t="s">
        <v>40</v>
      </c>
      <c r="D2251">
        <v>4.239452</v>
      </c>
      <c r="E2251">
        <v>0.40471839999999998</v>
      </c>
      <c r="F2251" t="s">
        <v>42</v>
      </c>
      <c r="G2251">
        <v>-489.54930000000002</v>
      </c>
      <c r="H2251" s="1">
        <v>-3.496725E-6</v>
      </c>
      <c r="I2251">
        <v>257.59739999999999</v>
      </c>
      <c r="J2251">
        <v>-484.8904</v>
      </c>
      <c r="K2251">
        <v>1.123505</v>
      </c>
      <c r="L2251">
        <v>273.35059999999999</v>
      </c>
      <c r="M2251">
        <v>-0.51650050000000003</v>
      </c>
      <c r="N2251">
        <v>0</v>
      </c>
      <c r="O2251">
        <v>-0.85611780000000004</v>
      </c>
      <c r="P2251">
        <v>-0.50373230000000002</v>
      </c>
      <c r="Q2251">
        <v>3.2673269999999997E-2</v>
      </c>
      <c r="R2251">
        <v>-0.86324199999999995</v>
      </c>
      <c r="S2251">
        <v>-0.8901367</v>
      </c>
      <c r="T2251">
        <v>-0.20945320000000001</v>
      </c>
      <c r="U2251">
        <v>-2.9768370000000002</v>
      </c>
      <c r="V2251">
        <v>-1.6264359999999999E-2</v>
      </c>
      <c r="W2251">
        <v>4.9162879999999999E-2</v>
      </c>
      <c r="X2251">
        <v>0.99865839999999995</v>
      </c>
      <c r="Y2251">
        <v>-0.25007269999999998</v>
      </c>
      <c r="Z2251">
        <v>5.3188939999999997E-2</v>
      </c>
      <c r="AA2251">
        <v>0.96676499999999999</v>
      </c>
      <c r="AB2251">
        <v>28</v>
      </c>
      <c r="AC2251">
        <v>-4.6589000000000098</v>
      </c>
      <c r="AD2251">
        <v>-1.123508496725</v>
      </c>
      <c r="AE2251">
        <v>-15.7531999999999</v>
      </c>
      <c r="AF2251">
        <v>-4.1292551132294504</v>
      </c>
      <c r="AG2251">
        <v>-1.123508496725</v>
      </c>
      <c r="AH2251">
        <v>15.821219024669301</v>
      </c>
      <c r="AI2251">
        <v>93.930676568274507</v>
      </c>
      <c r="AJ2251">
        <v>104.627589361481</v>
      </c>
      <c r="AK2251">
        <v>16.389752608227599</v>
      </c>
      <c r="AL2251">
        <v>87.182038691897503</v>
      </c>
      <c r="AM2251">
        <v>90.933048584833998</v>
      </c>
      <c r="AN2251">
        <v>1.00000005903333</v>
      </c>
    </row>
    <row r="2252" spans="1:40" x14ac:dyDescent="0.25">
      <c r="A2252" t="str">
        <f>"20190312154554557"</f>
        <v>20190312154554557</v>
      </c>
      <c r="B2252" t="str">
        <f>"1552376754548910"</f>
        <v>1552376754548910</v>
      </c>
      <c r="C2252" t="s">
        <v>40</v>
      </c>
      <c r="D2252">
        <v>4.1231169999999997</v>
      </c>
      <c r="E2252">
        <v>0.40475460000000002</v>
      </c>
      <c r="F2252" t="s">
        <v>42</v>
      </c>
      <c r="G2252">
        <v>-489.56909999999999</v>
      </c>
      <c r="H2252" s="1">
        <v>-3.1504899999999999E-6</v>
      </c>
      <c r="I2252">
        <v>256.79849999999999</v>
      </c>
      <c r="J2252">
        <v>-485.01150000000001</v>
      </c>
      <c r="K2252">
        <v>1.1233799999999901</v>
      </c>
      <c r="L2252">
        <v>273.11630000000002</v>
      </c>
      <c r="M2252">
        <v>-0.50158919999999996</v>
      </c>
      <c r="N2252">
        <v>0</v>
      </c>
      <c r="O2252">
        <v>-0.86493889999999995</v>
      </c>
      <c r="P2252">
        <v>-0.48960229999999999</v>
      </c>
      <c r="Q2252">
        <v>3.2102640000000002E-2</v>
      </c>
      <c r="R2252">
        <v>-0.87135479999999998</v>
      </c>
      <c r="S2252">
        <v>-0.84512330000000002</v>
      </c>
      <c r="T2252">
        <v>-0.20293929999999999</v>
      </c>
      <c r="U2252">
        <v>-2.9898069999999999</v>
      </c>
      <c r="V2252">
        <v>-1.5205700000000001E-2</v>
      </c>
      <c r="W2252">
        <v>4.8603760000000003E-2</v>
      </c>
      <c r="X2252">
        <v>0.99870239999999999</v>
      </c>
      <c r="Y2252">
        <v>-0.2478515</v>
      </c>
      <c r="Z2252">
        <v>5.2279020000000002E-2</v>
      </c>
      <c r="AA2252">
        <v>0.96738639999999998</v>
      </c>
      <c r="AB2252">
        <v>28</v>
      </c>
      <c r="AC2252">
        <v>-4.5575999999999697</v>
      </c>
      <c r="AD2252">
        <v>-1.12338315048999</v>
      </c>
      <c r="AE2252">
        <v>-16.317799999999998</v>
      </c>
      <c r="AF2252">
        <v>-4.2248253122369199</v>
      </c>
      <c r="AG2252">
        <v>-1.12338315048999</v>
      </c>
      <c r="AH2252">
        <v>16.330515434470001</v>
      </c>
      <c r="AI2252">
        <v>93.810148816037099</v>
      </c>
      <c r="AJ2252">
        <v>104.504823751432</v>
      </c>
      <c r="AK2252">
        <v>16.905527882239699</v>
      </c>
      <c r="AL2252">
        <v>87.214112117601402</v>
      </c>
      <c r="AM2252">
        <v>90.872287002846605</v>
      </c>
      <c r="AN2252">
        <v>1.0000000112821901</v>
      </c>
    </row>
    <row r="2253" spans="1:40" x14ac:dyDescent="0.25">
      <c r="A2253" t="str">
        <f>"20190312154554570"</f>
        <v>20190312154554570</v>
      </c>
      <c r="B2253" t="str">
        <f>"1552376754558671"</f>
        <v>1552376754558671</v>
      </c>
      <c r="C2253" t="s">
        <v>40</v>
      </c>
      <c r="D2253">
        <v>4.1319520000000001</v>
      </c>
      <c r="E2253">
        <v>0.40514630000000001</v>
      </c>
      <c r="F2253" t="s">
        <v>42</v>
      </c>
      <c r="G2253">
        <v>-489.67579999999998</v>
      </c>
      <c r="H2253" s="1">
        <v>-2.5973629999999999E-6</v>
      </c>
      <c r="I2253">
        <v>255.5532</v>
      </c>
      <c r="J2253">
        <v>-485.0847</v>
      </c>
      <c r="K2253">
        <v>1.123289</v>
      </c>
      <c r="L2253">
        <v>272.96980000000002</v>
      </c>
      <c r="M2253">
        <v>-0.4923225</v>
      </c>
      <c r="N2253">
        <v>0</v>
      </c>
      <c r="O2253">
        <v>-0.8702474</v>
      </c>
      <c r="P2253">
        <v>-0.48072589999999998</v>
      </c>
      <c r="Q2253">
        <v>3.1957350000000002E-2</v>
      </c>
      <c r="R2253">
        <v>-0.87628879999999998</v>
      </c>
      <c r="S2253">
        <v>-0.79727169999999903</v>
      </c>
      <c r="T2253">
        <v>-0.1920191</v>
      </c>
      <c r="U2253">
        <v>-3.0020449999999999</v>
      </c>
      <c r="V2253">
        <v>-1.4670529999999999E-2</v>
      </c>
      <c r="W2253">
        <v>4.8457060000000003E-2</v>
      </c>
      <c r="X2253">
        <v>0.99871750000000004</v>
      </c>
      <c r="Y2253">
        <v>-0.2528396</v>
      </c>
      <c r="Z2253">
        <v>4.9808850000000002E-2</v>
      </c>
      <c r="AA2253">
        <v>0.96622529999999995</v>
      </c>
      <c r="AB2253">
        <v>28</v>
      </c>
      <c r="AC2253">
        <v>-4.5910999999999804</v>
      </c>
      <c r="AD2253">
        <v>-1.123291597363</v>
      </c>
      <c r="AE2253">
        <v>-17.416599999999999</v>
      </c>
      <c r="AF2253">
        <v>-4.5621069481558498</v>
      </c>
      <c r="AG2253">
        <v>-1.123291597363</v>
      </c>
      <c r="AH2253">
        <v>17.352072317264501</v>
      </c>
      <c r="AI2253">
        <v>93.582476082853802</v>
      </c>
      <c r="AJ2253">
        <v>104.730505966908</v>
      </c>
      <c r="AK2253">
        <v>17.976902333903301</v>
      </c>
      <c r="AL2253">
        <v>87.222527231336898</v>
      </c>
      <c r="AM2253">
        <v>90.841578326292293</v>
      </c>
      <c r="AN2253">
        <v>0.99999997796028695</v>
      </c>
    </row>
    <row r="2254" spans="1:40" x14ac:dyDescent="0.25">
      <c r="A2254" t="str">
        <f>"20190312154554583"</f>
        <v>20190312154554583</v>
      </c>
      <c r="B2254" t="str">
        <f>"1552376754579167"</f>
        <v>1552376754579167</v>
      </c>
      <c r="C2254" t="s">
        <v>40</v>
      </c>
      <c r="D2254">
        <v>4.1642429999999999</v>
      </c>
      <c r="E2254">
        <v>0.40602650000000001</v>
      </c>
      <c r="F2254" t="s">
        <v>42</v>
      </c>
      <c r="G2254">
        <v>-489.71390000000002</v>
      </c>
      <c r="H2254" s="1">
        <v>-2.2956559999999999E-6</v>
      </c>
      <c r="I2254">
        <v>254.8657</v>
      </c>
      <c r="J2254">
        <v>-485.15469999999999</v>
      </c>
      <c r="K2254">
        <v>1.1231990000000001</v>
      </c>
      <c r="L2254">
        <v>272.82690000000002</v>
      </c>
      <c r="M2254">
        <v>-0.48330990000000001</v>
      </c>
      <c r="N2254">
        <v>0</v>
      </c>
      <c r="O2254">
        <v>-0.87528519999999899</v>
      </c>
      <c r="P2254">
        <v>-0.4718154</v>
      </c>
      <c r="Q2254">
        <v>3.1580669999999998E-2</v>
      </c>
      <c r="R2254">
        <v>-0.88113169999999996</v>
      </c>
      <c r="S2254">
        <v>-0.76922609999999902</v>
      </c>
      <c r="T2254">
        <v>-0.1866575</v>
      </c>
      <c r="U2254">
        <v>-3.008362</v>
      </c>
      <c r="V2254">
        <v>-1.4466980000000001E-2</v>
      </c>
      <c r="W2254">
        <v>4.8067470000000001E-2</v>
      </c>
      <c r="X2254">
        <v>0.9987393</v>
      </c>
      <c r="Y2254">
        <v>-0.2517723</v>
      </c>
      <c r="Z2254">
        <v>4.8825359999999998E-2</v>
      </c>
      <c r="AA2254">
        <v>0.96655409999999997</v>
      </c>
      <c r="AB2254">
        <v>28</v>
      </c>
      <c r="AC2254">
        <v>-4.5592000000000299</v>
      </c>
      <c r="AD2254">
        <v>-1.123201295656</v>
      </c>
      <c r="AE2254">
        <v>-17.961200000000002</v>
      </c>
      <c r="AF2254">
        <v>-4.6737287569464101</v>
      </c>
      <c r="AG2254">
        <v>-1.123201295656</v>
      </c>
      <c r="AH2254">
        <v>17.861633302112999</v>
      </c>
      <c r="AI2254">
        <v>93.4813163227724</v>
      </c>
      <c r="AJ2254">
        <v>104.66343020924801</v>
      </c>
      <c r="AK2254">
        <v>18.497115068659301</v>
      </c>
      <c r="AL2254">
        <v>87.244875148666296</v>
      </c>
      <c r="AM2254">
        <v>90.829885166163507</v>
      </c>
      <c r="AN2254">
        <v>0.99999998227350495</v>
      </c>
    </row>
    <row r="2255" spans="1:40" x14ac:dyDescent="0.25">
      <c r="A2255" t="str">
        <f>"20190312154554601"</f>
        <v>20190312154554601</v>
      </c>
      <c r="B2255" t="str">
        <f>"1552376754598687"</f>
        <v>1552376754598687</v>
      </c>
      <c r="C2255" t="s">
        <v>40</v>
      </c>
      <c r="D2255">
        <v>4.1210459999999998</v>
      </c>
      <c r="E2255">
        <v>0.40753250000000002</v>
      </c>
      <c r="F2255" t="s">
        <v>42</v>
      </c>
      <c r="G2255">
        <v>-489.76889999999997</v>
      </c>
      <c r="H2255" s="1">
        <v>-1.9948529999999999E-6</v>
      </c>
      <c r="I2255">
        <v>254.18729999999999</v>
      </c>
      <c r="J2255">
        <v>-485.24709999999999</v>
      </c>
      <c r="K2255">
        <v>1.1230469999999999</v>
      </c>
      <c r="L2255">
        <v>272.63099999999997</v>
      </c>
      <c r="M2255">
        <v>-0.47109669999999998</v>
      </c>
      <c r="N2255">
        <v>0</v>
      </c>
      <c r="O2255">
        <v>-0.88191960000000003</v>
      </c>
      <c r="P2255">
        <v>-0.459953</v>
      </c>
      <c r="Q2255">
        <v>3.1227789999999998E-2</v>
      </c>
      <c r="R2255">
        <v>-0.88739409999999896</v>
      </c>
      <c r="S2255">
        <v>-0.74560550000000003</v>
      </c>
      <c r="T2255">
        <v>-0.18149860000000001</v>
      </c>
      <c r="U2255">
        <v>-3.0119929999999999</v>
      </c>
      <c r="V2255">
        <v>-1.395718E-2</v>
      </c>
      <c r="W2255">
        <v>4.7697389999999999E-2</v>
      </c>
      <c r="X2255">
        <v>0.99876430000000005</v>
      </c>
      <c r="Y2255">
        <v>-0.2457116</v>
      </c>
      <c r="Z2255">
        <v>4.8080150000000002E-2</v>
      </c>
      <c r="AA2255">
        <v>0.96814979999999995</v>
      </c>
      <c r="AB2255">
        <v>28</v>
      </c>
      <c r="AC2255">
        <v>-4.5217999999999803</v>
      </c>
      <c r="AD2255">
        <v>-1.12304899485299</v>
      </c>
      <c r="AE2255">
        <v>-18.4436999999999</v>
      </c>
      <c r="AF2255">
        <v>-4.6851876598253597</v>
      </c>
      <c r="AG2255">
        <v>-1.12304899485299</v>
      </c>
      <c r="AH2255">
        <v>18.334569952745099</v>
      </c>
      <c r="AI2255">
        <v>93.396296406527298</v>
      </c>
      <c r="AJ2255">
        <v>104.33451563629301</v>
      </c>
      <c r="AK2255">
        <v>18.957021860110899</v>
      </c>
      <c r="AL2255">
        <v>87.266103529253698</v>
      </c>
      <c r="AM2255">
        <v>90.800624790343903</v>
      </c>
      <c r="AN2255">
        <v>0.99999998542042701</v>
      </c>
    </row>
    <row r="2256" spans="1:40" x14ac:dyDescent="0.25">
      <c r="A2256" t="str">
        <f>"20190312154554615"</f>
        <v>20190312154554615</v>
      </c>
      <c r="B2256" t="str">
        <f>"1552376754609422"</f>
        <v>1552376754609422</v>
      </c>
      <c r="C2256" t="s">
        <v>40</v>
      </c>
      <c r="D2256">
        <v>4.2024689999999998</v>
      </c>
      <c r="E2256">
        <v>0.40824329999999998</v>
      </c>
      <c r="F2256" t="s">
        <v>42</v>
      </c>
      <c r="G2256">
        <v>-489.7595</v>
      </c>
      <c r="H2256" s="1">
        <v>-1.7505119999999999E-6</v>
      </c>
      <c r="I2256">
        <v>253.6138</v>
      </c>
      <c r="J2256">
        <v>-485.31569999999999</v>
      </c>
      <c r="K2256">
        <v>1.1229150000000001</v>
      </c>
      <c r="L2256">
        <v>272.48050000000001</v>
      </c>
      <c r="M2256">
        <v>-0.46183400000000002</v>
      </c>
      <c r="N2256">
        <v>0</v>
      </c>
      <c r="O2256">
        <v>-0.88680619999999999</v>
      </c>
      <c r="P2256">
        <v>-0.45073269999999999</v>
      </c>
      <c r="Q2256">
        <v>3.1062800000000002E-2</v>
      </c>
      <c r="R2256">
        <v>-0.89211849999999904</v>
      </c>
      <c r="S2256">
        <v>-0.71563719999999997</v>
      </c>
      <c r="T2256">
        <v>-0.17810899999999999</v>
      </c>
      <c r="U2256">
        <v>-3.016022</v>
      </c>
      <c r="V2256">
        <v>-1.3827290000000001E-2</v>
      </c>
      <c r="W2256">
        <v>4.750592E-2</v>
      </c>
      <c r="X2256">
        <v>0.99877519999999997</v>
      </c>
      <c r="Y2256">
        <v>-0.24493889999999999</v>
      </c>
      <c r="Z2256">
        <v>4.7589729999999997E-2</v>
      </c>
      <c r="AA2256">
        <v>0.96836979999999995</v>
      </c>
      <c r="AB2256">
        <v>28</v>
      </c>
      <c r="AC2256">
        <v>-4.4438000000000004</v>
      </c>
      <c r="AD2256">
        <v>-1.1229167505119999</v>
      </c>
      <c r="AE2256">
        <v>-18.866700000000002</v>
      </c>
      <c r="AF2256">
        <v>-4.7572058914883204</v>
      </c>
      <c r="AG2256">
        <v>-1.1229167505119999</v>
      </c>
      <c r="AH2256">
        <v>18.723233559120501</v>
      </c>
      <c r="AI2256">
        <v>93.326721873541402</v>
      </c>
      <c r="AJ2256">
        <v>104.256066455244</v>
      </c>
      <c r="AK2256">
        <v>19.3507473972446</v>
      </c>
      <c r="AL2256">
        <v>87.277086314896195</v>
      </c>
      <c r="AM2256">
        <v>90.793166220160202</v>
      </c>
      <c r="AN2256">
        <v>0.99999995325941404</v>
      </c>
    </row>
    <row r="2257" spans="1:40" x14ac:dyDescent="0.25">
      <c r="A2257" t="str">
        <f>"20190312154554636"</f>
        <v>20190312154554636</v>
      </c>
      <c r="B2257" t="str">
        <f>"1552376754628942"</f>
        <v>1552376754628942</v>
      </c>
      <c r="C2257" t="s">
        <v>40</v>
      </c>
      <c r="D2257">
        <v>4.1629949999999996</v>
      </c>
      <c r="E2257">
        <v>0.40974110000000002</v>
      </c>
      <c r="F2257" t="s">
        <v>42</v>
      </c>
      <c r="G2257">
        <v>-489.70159999999998</v>
      </c>
      <c r="H2257" s="1">
        <v>-1.621652E-6</v>
      </c>
      <c r="I2257">
        <v>253.2895</v>
      </c>
      <c r="J2257">
        <v>-485.41980000000001</v>
      </c>
      <c r="K2257">
        <v>1.122692</v>
      </c>
      <c r="L2257">
        <v>272.24529999999999</v>
      </c>
      <c r="M2257">
        <v>-0.44751930000000001</v>
      </c>
      <c r="N2257">
        <v>0</v>
      </c>
      <c r="O2257">
        <v>-0.89411640000000003</v>
      </c>
      <c r="P2257">
        <v>-0.43673479999999998</v>
      </c>
      <c r="Q2257">
        <v>3.1641849999999999E-2</v>
      </c>
      <c r="R2257">
        <v>-0.89903409999999995</v>
      </c>
      <c r="S2257">
        <v>-0.69024659999999904</v>
      </c>
      <c r="T2257">
        <v>-0.1767203</v>
      </c>
      <c r="U2257">
        <v>-3.020203</v>
      </c>
      <c r="V2257">
        <v>-1.336117E-2</v>
      </c>
      <c r="W2257">
        <v>4.80446E-2</v>
      </c>
      <c r="X2257">
        <v>0.99875579999999997</v>
      </c>
      <c r="Y2257">
        <v>-0.23737040000000001</v>
      </c>
      <c r="Z2257">
        <v>4.7863650000000001E-2</v>
      </c>
      <c r="AA2257">
        <v>0.97023930000000003</v>
      </c>
      <c r="AB2257">
        <v>28</v>
      </c>
      <c r="AC2257">
        <v>-4.2817999999999703</v>
      </c>
      <c r="AD2257">
        <v>-1.122693621652</v>
      </c>
      <c r="AE2257">
        <v>-18.955799999999901</v>
      </c>
      <c r="AF2257">
        <v>-4.6398303813490598</v>
      </c>
      <c r="AG2257">
        <v>-1.122693621652</v>
      </c>
      <c r="AH2257">
        <v>18.804781874541298</v>
      </c>
      <c r="AI2257">
        <v>93.317393403601699</v>
      </c>
      <c r="AJ2257">
        <v>103.860135512998</v>
      </c>
      <c r="AK2257">
        <v>19.401244503507101</v>
      </c>
      <c r="AL2257">
        <v>87.246187002228694</v>
      </c>
      <c r="AM2257">
        <v>90.766446599674893</v>
      </c>
      <c r="AN2257">
        <v>0.99999997624328396</v>
      </c>
    </row>
    <row r="2258" spans="1:40" x14ac:dyDescent="0.25">
      <c r="A2258" t="str">
        <f>"20190312154554658"</f>
        <v>20190312154554658</v>
      </c>
      <c r="B2258" t="str">
        <f>"1552376754649438"</f>
        <v>1552376754649438</v>
      </c>
      <c r="C2258" t="s">
        <v>40</v>
      </c>
      <c r="D2258">
        <v>4.1561360000000001</v>
      </c>
      <c r="E2258">
        <v>0.42784179999999999</v>
      </c>
      <c r="F2258" t="s">
        <v>42</v>
      </c>
      <c r="G2258">
        <v>-489.7319</v>
      </c>
      <c r="H2258" s="1">
        <v>-1.186039E-6</v>
      </c>
      <c r="I2258">
        <v>252.28659999999999</v>
      </c>
      <c r="J2258">
        <v>-485.524</v>
      </c>
      <c r="K2258">
        <v>1.1224289999999999</v>
      </c>
      <c r="L2258">
        <v>272.00020000000001</v>
      </c>
      <c r="M2258">
        <v>-0.43287569999999997</v>
      </c>
      <c r="N2258">
        <v>0</v>
      </c>
      <c r="O2258">
        <v>-0.9012983</v>
      </c>
      <c r="P2258">
        <v>-0.4228287</v>
      </c>
      <c r="Q2258">
        <v>3.3588310000000003E-2</v>
      </c>
      <c r="R2258">
        <v>-0.90558700000000003</v>
      </c>
      <c r="S2258">
        <v>-0.65362549999999997</v>
      </c>
      <c r="T2258">
        <v>-0.17017889999999999</v>
      </c>
      <c r="U2258">
        <v>-3.02536</v>
      </c>
      <c r="V2258">
        <v>-1.245513E-2</v>
      </c>
      <c r="W2258">
        <v>4.9952999999999997E-2</v>
      </c>
      <c r="X2258">
        <v>0.9986739</v>
      </c>
      <c r="Y2258">
        <v>-0.23305870000000001</v>
      </c>
      <c r="Z2258">
        <v>4.6684429999999999E-2</v>
      </c>
      <c r="AA2258">
        <v>0.97134140000000002</v>
      </c>
      <c r="AB2258">
        <v>28</v>
      </c>
      <c r="AC2258">
        <v>-4.2078999999999898</v>
      </c>
      <c r="AD2258">
        <v>-1.122430186039</v>
      </c>
      <c r="AE2258">
        <v>-19.7136</v>
      </c>
      <c r="AF2258">
        <v>-4.7269730008281297</v>
      </c>
      <c r="AG2258">
        <v>-1.122430186039</v>
      </c>
      <c r="AH2258">
        <v>19.5315167089759</v>
      </c>
      <c r="AI2258">
        <v>93.196941245701296</v>
      </c>
      <c r="AJ2258">
        <v>103.60499328133</v>
      </c>
      <c r="AK2258">
        <v>20.126705349512498</v>
      </c>
      <c r="AL2258">
        <v>87.136712275438697</v>
      </c>
      <c r="AM2258">
        <v>90.714536933418202</v>
      </c>
      <c r="AN2258">
        <v>0.999999995506763</v>
      </c>
    </row>
    <row r="2259" spans="1:40" x14ac:dyDescent="0.25">
      <c r="A2259" t="str">
        <f>"20190312154554679"</f>
        <v>20190312154554679</v>
      </c>
      <c r="B2259" t="str">
        <f>"1552376754668959"</f>
        <v>1552376754668959</v>
      </c>
      <c r="C2259" t="s">
        <v>40</v>
      </c>
      <c r="D2259">
        <v>4.1541509999999997</v>
      </c>
      <c r="E2259">
        <v>0.42987969999999998</v>
      </c>
      <c r="F2259" t="s">
        <v>42</v>
      </c>
      <c r="G2259">
        <v>-491.39920000000001</v>
      </c>
      <c r="H2259" s="1">
        <v>-4.1197599999999997E-6</v>
      </c>
      <c r="I2259">
        <v>248.36349999999999</v>
      </c>
      <c r="J2259">
        <v>-485.6232</v>
      </c>
      <c r="K2259">
        <v>1.1221369999999999</v>
      </c>
      <c r="L2259">
        <v>271.7568</v>
      </c>
      <c r="M2259">
        <v>-0.41866199999999998</v>
      </c>
      <c r="N2259">
        <v>0</v>
      </c>
      <c r="O2259">
        <v>-0.90798959999999995</v>
      </c>
      <c r="P2259">
        <v>-0.4091902</v>
      </c>
      <c r="Q2259">
        <v>3.4452000000000003E-2</v>
      </c>
      <c r="R2259">
        <v>-0.91179869999999996</v>
      </c>
      <c r="S2259">
        <v>-0.73898319999999995</v>
      </c>
      <c r="T2259">
        <v>-0.14117839999999901</v>
      </c>
      <c r="U2259">
        <v>-2.9729920000000001</v>
      </c>
      <c r="V2259">
        <v>-1.1725579999999999E-2</v>
      </c>
      <c r="W2259">
        <v>5.0764499999999997E-2</v>
      </c>
      <c r="X2259">
        <v>0.99864180000000002</v>
      </c>
      <c r="Y2259">
        <v>-0.1875028</v>
      </c>
      <c r="Z2259">
        <v>3.99855E-2</v>
      </c>
      <c r="AA2259">
        <v>0.98144989999999999</v>
      </c>
      <c r="AB2259">
        <v>28</v>
      </c>
      <c r="AC2259">
        <v>-5.7760000000000096</v>
      </c>
      <c r="AD2259">
        <v>-1.12214111976</v>
      </c>
      <c r="AE2259">
        <v>-23.3933</v>
      </c>
      <c r="AF2259">
        <v>-4.5401216526508703</v>
      </c>
      <c r="AG2259">
        <v>-1.12214111976</v>
      </c>
      <c r="AH2259">
        <v>23.611135592522999</v>
      </c>
      <c r="AI2259">
        <v>92.672109116609505</v>
      </c>
      <c r="AJ2259">
        <v>100.884400652785</v>
      </c>
      <c r="AK2259">
        <v>24.069848966747401</v>
      </c>
      <c r="AL2259">
        <v>87.090157647140899</v>
      </c>
      <c r="AM2259">
        <v>90.672709048895499</v>
      </c>
      <c r="AN2259">
        <v>0.99999998419691305</v>
      </c>
    </row>
    <row r="2260" spans="1:40" x14ac:dyDescent="0.25">
      <c r="A2260" t="str">
        <f>"20190312154554693"</f>
        <v>20190312154554693</v>
      </c>
      <c r="B2260" t="str">
        <f>"1552376754689455"</f>
        <v>1552376754689455</v>
      </c>
      <c r="C2260" t="s">
        <v>40</v>
      </c>
      <c r="D2260">
        <v>4.189146</v>
      </c>
      <c r="E2260">
        <v>0.43208089999999999</v>
      </c>
      <c r="F2260" t="s">
        <v>42</v>
      </c>
      <c r="G2260">
        <v>-491.3852</v>
      </c>
      <c r="H2260" s="1">
        <v>-3.8019969999999999E-6</v>
      </c>
      <c r="I2260">
        <v>247.5925</v>
      </c>
      <c r="J2260">
        <v>-485.67840000000001</v>
      </c>
      <c r="K2260">
        <v>1.1219539999999999</v>
      </c>
      <c r="L2260">
        <v>271.61610000000002</v>
      </c>
      <c r="M2260">
        <v>-0.41064070000000003</v>
      </c>
      <c r="N2260">
        <v>0</v>
      </c>
      <c r="O2260">
        <v>-0.91164610000000001</v>
      </c>
      <c r="P2260">
        <v>-0.40096349999999997</v>
      </c>
      <c r="Q2260">
        <v>3.4132950000000002E-2</v>
      </c>
      <c r="R2260">
        <v>-0.91545799999999999</v>
      </c>
      <c r="S2260">
        <v>-0.70983890000000005</v>
      </c>
      <c r="T2260">
        <v>-0.13823959999999999</v>
      </c>
      <c r="U2260">
        <v>-2.9768680000000001</v>
      </c>
      <c r="V2260">
        <v>-1.188342E-2</v>
      </c>
      <c r="W2260">
        <v>5.0394460000000002E-2</v>
      </c>
      <c r="X2260">
        <v>0.99865870000000001</v>
      </c>
      <c r="Y2260">
        <v>-0.18820600000000001</v>
      </c>
      <c r="Z2260">
        <v>3.9387159999999997E-2</v>
      </c>
      <c r="AA2260">
        <v>0.98133950000000003</v>
      </c>
      <c r="AB2260">
        <v>28</v>
      </c>
      <c r="AC2260">
        <v>-5.7067999999999799</v>
      </c>
      <c r="AD2260">
        <v>-1.121957801997</v>
      </c>
      <c r="AE2260">
        <v>-24.023599999999998</v>
      </c>
      <c r="AF2260">
        <v>-4.6535209241570898</v>
      </c>
      <c r="AG2260">
        <v>-1.121957801997</v>
      </c>
      <c r="AH2260">
        <v>24.197848310874299</v>
      </c>
      <c r="AI2260">
        <v>92.606973411777503</v>
      </c>
      <c r="AJ2260">
        <v>100.88572926138499</v>
      </c>
      <c r="AK2260">
        <v>24.666777438026099</v>
      </c>
      <c r="AL2260">
        <v>87.111386619348593</v>
      </c>
      <c r="AM2260">
        <v>90.681752113041199</v>
      </c>
      <c r="AN2260">
        <v>1.0000000081776299</v>
      </c>
    </row>
    <row r="2261" spans="1:40" x14ac:dyDescent="0.25">
      <c r="A2261" t="str">
        <f>"20190312154554713"</f>
        <v>20190312154554713</v>
      </c>
      <c r="B2261" t="str">
        <f>"1552376754708976"</f>
        <v>1552376754708976</v>
      </c>
      <c r="C2261" t="s">
        <v>40</v>
      </c>
      <c r="D2261">
        <v>4.1761549999999996</v>
      </c>
      <c r="E2261">
        <v>0.43386459999999999</v>
      </c>
      <c r="F2261" t="s">
        <v>42</v>
      </c>
      <c r="G2261">
        <v>-491.09530000000001</v>
      </c>
      <c r="H2261" s="1">
        <v>-4.1260419999999999E-6</v>
      </c>
      <c r="I2261">
        <v>248.54040000000001</v>
      </c>
      <c r="J2261">
        <v>-485.76690000000002</v>
      </c>
      <c r="K2261">
        <v>1.1216269999999999</v>
      </c>
      <c r="L2261">
        <v>271.3843</v>
      </c>
      <c r="M2261">
        <v>-0.39768880000000001</v>
      </c>
      <c r="N2261">
        <v>0</v>
      </c>
      <c r="O2261">
        <v>-0.91737159999999995</v>
      </c>
      <c r="P2261">
        <v>-0.38767089999999998</v>
      </c>
      <c r="Q2261">
        <v>3.4198350000000002E-2</v>
      </c>
      <c r="R2261">
        <v>-0.92116319999999996</v>
      </c>
      <c r="S2261">
        <v>-0.69869999999999999</v>
      </c>
      <c r="T2261">
        <v>-0.14471500000000001</v>
      </c>
      <c r="U2261">
        <v>-2.97641</v>
      </c>
      <c r="V2261">
        <v>-1.215249E-2</v>
      </c>
      <c r="W2261">
        <v>5.0371609999999997E-2</v>
      </c>
      <c r="X2261">
        <v>0.99865660000000001</v>
      </c>
      <c r="Y2261">
        <v>-0.1777513</v>
      </c>
      <c r="Z2261">
        <v>4.1698390000000002E-2</v>
      </c>
      <c r="AA2261">
        <v>0.98319160000000005</v>
      </c>
      <c r="AB2261">
        <v>28</v>
      </c>
      <c r="AC2261">
        <v>-5.3283999999999798</v>
      </c>
      <c r="AD2261">
        <v>-1.121631126042</v>
      </c>
      <c r="AE2261">
        <v>-22.843899999999898</v>
      </c>
      <c r="AF2261">
        <v>-4.1876386326743802</v>
      </c>
      <c r="AG2261">
        <v>-1.121631126042</v>
      </c>
      <c r="AH2261">
        <v>23.025893830624799</v>
      </c>
      <c r="AI2261">
        <v>92.743835040887006</v>
      </c>
      <c r="AJ2261">
        <v>100.30752607300001</v>
      </c>
      <c r="AK2261">
        <v>23.430453695991002</v>
      </c>
      <c r="AL2261">
        <v>87.112697450091204</v>
      </c>
      <c r="AM2261">
        <v>90.697188624989593</v>
      </c>
      <c r="AN2261">
        <v>0.99999999341537604</v>
      </c>
    </row>
    <row r="2262" spans="1:40" x14ac:dyDescent="0.25">
      <c r="A2262" t="str">
        <f>"20190312154554726"</f>
        <v>20190312154554726</v>
      </c>
      <c r="B2262" t="str">
        <f>"1552376754718735"</f>
        <v>1552376754718735</v>
      </c>
      <c r="C2262" t="s">
        <v>40</v>
      </c>
      <c r="D2262">
        <v>4.1930120000000004</v>
      </c>
      <c r="E2262">
        <v>0.43343930000000003</v>
      </c>
      <c r="F2262" t="s">
        <v>42</v>
      </c>
      <c r="G2262">
        <v>-490.99549999999999</v>
      </c>
      <c r="H2262" s="1">
        <v>-3.9231739999999997E-6</v>
      </c>
      <c r="I2262">
        <v>248.11670000000001</v>
      </c>
      <c r="J2262">
        <v>-485.82350000000002</v>
      </c>
      <c r="K2262">
        <v>1.121399</v>
      </c>
      <c r="L2262">
        <v>271.23160000000001</v>
      </c>
      <c r="M2262">
        <v>-0.38934879999999999</v>
      </c>
      <c r="N2262">
        <v>0</v>
      </c>
      <c r="O2262">
        <v>-0.92094330000000002</v>
      </c>
      <c r="P2262">
        <v>-0.37894</v>
      </c>
      <c r="Q2262">
        <v>3.4411190000000001E-2</v>
      </c>
      <c r="R2262">
        <v>-0.92478130000000003</v>
      </c>
      <c r="S2262">
        <v>-0.66970830000000003</v>
      </c>
      <c r="T2262">
        <v>-0.1436636</v>
      </c>
      <c r="U2262">
        <v>-2.9802249999999999</v>
      </c>
      <c r="V2262">
        <v>-1.250954E-2</v>
      </c>
      <c r="W2262">
        <v>5.051829E-2</v>
      </c>
      <c r="X2262">
        <v>0.9986448</v>
      </c>
      <c r="Y2262">
        <v>-0.1781857</v>
      </c>
      <c r="Z2262">
        <v>4.1632290000000002E-2</v>
      </c>
      <c r="AA2262">
        <v>0.98311579999999998</v>
      </c>
      <c r="AB2262">
        <v>28</v>
      </c>
      <c r="AC2262">
        <v>-5.1719999999999597</v>
      </c>
      <c r="AD2262">
        <v>-1.1214029231739999</v>
      </c>
      <c r="AE2262">
        <v>-23.114899999999999</v>
      </c>
      <c r="AF2262">
        <v>-4.2277377700536301</v>
      </c>
      <c r="AG2262">
        <v>-1.1214029231739999</v>
      </c>
      <c r="AH2262">
        <v>23.252263571106301</v>
      </c>
      <c r="AI2262">
        <v>92.716632953601206</v>
      </c>
      <c r="AJ2262">
        <v>100.30497404203599</v>
      </c>
      <c r="AK2262">
        <v>23.660073380034898</v>
      </c>
      <c r="AL2262">
        <v>87.104282643751105</v>
      </c>
      <c r="AM2262">
        <v>90.717678958751307</v>
      </c>
      <c r="AN2262">
        <v>1.0000000113912799</v>
      </c>
    </row>
    <row r="2263" spans="1:40" x14ac:dyDescent="0.25">
      <c r="A2263" t="str">
        <f>"20190312154554748"</f>
        <v>20190312154554748</v>
      </c>
      <c r="B2263" t="str">
        <f>"1552376754739230"</f>
        <v>1552376754739230</v>
      </c>
      <c r="C2263" t="s">
        <v>40</v>
      </c>
      <c r="D2263">
        <v>4.1291909999999996</v>
      </c>
      <c r="E2263">
        <v>0.4120606</v>
      </c>
      <c r="F2263" t="s">
        <v>42</v>
      </c>
      <c r="G2263">
        <v>-490.85129999999998</v>
      </c>
      <c r="H2263" s="1">
        <v>-3.706185E-6</v>
      </c>
      <c r="I2263">
        <v>247.7003</v>
      </c>
      <c r="J2263">
        <v>-485.90809999999999</v>
      </c>
      <c r="K2263">
        <v>1.1210260000000001</v>
      </c>
      <c r="L2263">
        <v>270.99560000000002</v>
      </c>
      <c r="M2263">
        <v>-0.37685350000000001</v>
      </c>
      <c r="N2263">
        <v>0</v>
      </c>
      <c r="O2263">
        <v>-0.92612839999999996</v>
      </c>
      <c r="P2263">
        <v>-0.36570839999999999</v>
      </c>
      <c r="Q2263">
        <v>3.5490599999999997E-2</v>
      </c>
      <c r="R2263">
        <v>-0.93005260000000001</v>
      </c>
      <c r="S2263">
        <v>-0.63836669999999995</v>
      </c>
      <c r="T2263">
        <v>-0.14238129999999999</v>
      </c>
      <c r="U2263">
        <v>-2.9877009999999999</v>
      </c>
      <c r="V2263">
        <v>-1.320984E-2</v>
      </c>
      <c r="W2263">
        <v>5.1485959999999997E-2</v>
      </c>
      <c r="X2263">
        <v>0.99858639999999999</v>
      </c>
      <c r="Y2263">
        <v>-0.175236999999999</v>
      </c>
      <c r="Z2263">
        <v>4.1573369999999998E-2</v>
      </c>
      <c r="AA2263">
        <v>0.98364810000000003</v>
      </c>
      <c r="AB2263">
        <v>28</v>
      </c>
      <c r="AC2263">
        <v>-4.9431999999999903</v>
      </c>
      <c r="AD2263">
        <v>-1.1210297061849901</v>
      </c>
      <c r="AE2263">
        <v>-23.295300000000001</v>
      </c>
      <c r="AF2263">
        <v>-4.1921498714707504</v>
      </c>
      <c r="AG2263">
        <v>-1.1210297061849901</v>
      </c>
      <c r="AH2263">
        <v>23.3886088204804</v>
      </c>
      <c r="AI2263">
        <v>92.7011391967458</v>
      </c>
      <c r="AJ2263">
        <v>100.161732071559</v>
      </c>
      <c r="AK2263">
        <v>23.7877668288655</v>
      </c>
      <c r="AL2263">
        <v>87.048767101404707</v>
      </c>
      <c r="AM2263">
        <v>90.757895296277198</v>
      </c>
      <c r="AN2263">
        <v>1.00000005110745</v>
      </c>
    </row>
    <row r="2264" spans="1:40" x14ac:dyDescent="0.25">
      <c r="A2264" t="str">
        <f>"20190312154554770"</f>
        <v>20190312154554770</v>
      </c>
      <c r="B2264" t="str">
        <f>"1552376754758750"</f>
        <v>1552376754758750</v>
      </c>
      <c r="C2264" t="s">
        <v>40</v>
      </c>
      <c r="D2264">
        <v>4.1104430000000001</v>
      </c>
      <c r="E2264">
        <v>0.40954079999999998</v>
      </c>
      <c r="F2264" t="s">
        <v>42</v>
      </c>
      <c r="G2264">
        <v>-490.10829999999999</v>
      </c>
      <c r="H2264" s="1">
        <v>-9.3826199999999999E-7</v>
      </c>
      <c r="I2264">
        <v>241.709</v>
      </c>
      <c r="J2264">
        <v>-485.99630000000002</v>
      </c>
      <c r="K2264">
        <v>1.1206130000000001</v>
      </c>
      <c r="L2264">
        <v>270.73930000000001</v>
      </c>
      <c r="M2264">
        <v>-0.36377910000000002</v>
      </c>
      <c r="N2264">
        <v>0</v>
      </c>
      <c r="O2264">
        <v>-0.93134380000000005</v>
      </c>
      <c r="P2264">
        <v>-0.35236279999999998</v>
      </c>
      <c r="Q2264">
        <v>3.6507129999999999E-2</v>
      </c>
      <c r="R2264">
        <v>-0.93515130000000002</v>
      </c>
      <c r="S2264">
        <v>-0.43853760000000003</v>
      </c>
      <c r="T2264">
        <v>-0.1170424</v>
      </c>
      <c r="U2264">
        <v>-3.057709</v>
      </c>
      <c r="V2264">
        <v>-1.3397289999999999E-2</v>
      </c>
      <c r="W2264">
        <v>5.2394540000000003E-2</v>
      </c>
      <c r="X2264">
        <v>0.9985366</v>
      </c>
      <c r="Y2264">
        <v>-0.22798660000000001</v>
      </c>
      <c r="Z2264">
        <v>3.367796E-2</v>
      </c>
      <c r="AA2264">
        <v>0.97308159999999999</v>
      </c>
      <c r="AB2264">
        <v>28</v>
      </c>
      <c r="AC2264">
        <v>-4.1119999999999601</v>
      </c>
      <c r="AD2264">
        <v>-1.120613938262</v>
      </c>
      <c r="AE2264">
        <v>-29.0303</v>
      </c>
      <c r="AF2264">
        <v>-6.7219983578174798</v>
      </c>
      <c r="AG2264">
        <v>-1.120613938262</v>
      </c>
      <c r="AH2264">
        <v>28.495184531239001</v>
      </c>
      <c r="AI2264">
        <v>92.191974759098599</v>
      </c>
      <c r="AJ2264">
        <v>103.273379029046</v>
      </c>
      <c r="AK2264">
        <v>29.2987470549593</v>
      </c>
      <c r="AL2264">
        <v>86.996638811546603</v>
      </c>
      <c r="AM2264">
        <v>90.768687015428995</v>
      </c>
      <c r="AN2264">
        <v>1.00000000837035</v>
      </c>
    </row>
    <row r="2265" spans="1:40" x14ac:dyDescent="0.25">
      <c r="A2265" t="str">
        <f>"20190312154554803"</f>
        <v>20190312154554803</v>
      </c>
      <c r="B2265" t="str">
        <f>"1552376754798767"</f>
        <v>1552376754798767</v>
      </c>
      <c r="C2265" t="s">
        <v>40</v>
      </c>
      <c r="D2265">
        <v>4.1023540000000001</v>
      </c>
      <c r="E2265">
        <v>0.4130202</v>
      </c>
      <c r="F2265" t="s">
        <v>42</v>
      </c>
      <c r="G2265">
        <v>-489.93900000000002</v>
      </c>
      <c r="H2265" s="1">
        <v>-3.8377459999999997E-6</v>
      </c>
      <c r="I2265">
        <v>238.55340000000001</v>
      </c>
      <c r="J2265">
        <v>-486.12290000000002</v>
      </c>
      <c r="K2265">
        <v>1.119982</v>
      </c>
      <c r="L2265">
        <v>270.35399999999998</v>
      </c>
      <c r="M2265">
        <v>-0.3450454</v>
      </c>
      <c r="N2265">
        <v>0</v>
      </c>
      <c r="O2265">
        <v>-0.93844850000000002</v>
      </c>
      <c r="P2265">
        <v>-0.33468490000000001</v>
      </c>
      <c r="Q2265">
        <v>3.5045989999999999E-2</v>
      </c>
      <c r="R2265">
        <v>-0.94167820000000002</v>
      </c>
      <c r="S2265">
        <v>-0.3761292</v>
      </c>
      <c r="T2265">
        <v>-0.1069055</v>
      </c>
      <c r="U2265">
        <v>-3.0704959999999999</v>
      </c>
      <c r="V2265">
        <v>-1.20946E-2</v>
      </c>
      <c r="W2265">
        <v>5.0813079999999997E-2</v>
      </c>
      <c r="X2265">
        <v>0.99863489999999999</v>
      </c>
      <c r="Y2265">
        <v>-0.22846939999999999</v>
      </c>
      <c r="Z2265">
        <v>3.103738E-2</v>
      </c>
      <c r="AA2265">
        <v>0.97305620000000004</v>
      </c>
      <c r="AB2265">
        <v>27</v>
      </c>
      <c r="AC2265">
        <v>-3.8161</v>
      </c>
      <c r="AD2265">
        <v>-1.1199858377459999</v>
      </c>
      <c r="AE2265">
        <v>-31.800599999999999</v>
      </c>
      <c r="AF2265">
        <v>-7.3833632579229898</v>
      </c>
      <c r="AG2265">
        <v>-1.1199858377459999</v>
      </c>
      <c r="AH2265">
        <v>31.1259149896464</v>
      </c>
      <c r="AI2265">
        <v>92.005157767051401</v>
      </c>
      <c r="AJ2265">
        <v>103.344462629302</v>
      </c>
      <c r="AK2265">
        <v>32.009233124489199</v>
      </c>
      <c r="AL2265">
        <v>87.087370538962105</v>
      </c>
      <c r="AM2265">
        <v>90.693882875910006</v>
      </c>
      <c r="AN2265">
        <v>0.99999995597312696</v>
      </c>
    </row>
    <row r="2266" spans="1:40" x14ac:dyDescent="0.25">
      <c r="A2266" t="str">
        <f>"20190312154554827"</f>
        <v>20190312154554827</v>
      </c>
      <c r="B2266" t="str">
        <f>"1552376754819263"</f>
        <v>1552376754819263</v>
      </c>
      <c r="C2266" t="s">
        <v>40</v>
      </c>
      <c r="D2266">
        <v>4.1538959999999996</v>
      </c>
      <c r="E2266">
        <v>0.4153037</v>
      </c>
      <c r="F2266" t="s">
        <v>42</v>
      </c>
      <c r="G2266">
        <v>-489.27390000000003</v>
      </c>
      <c r="H2266" s="1">
        <v>-1.2505360000000001E-6</v>
      </c>
      <c r="I2266">
        <v>242.24760000000001</v>
      </c>
      <c r="J2266">
        <v>-486.20429999999999</v>
      </c>
      <c r="K2266">
        <v>1.1195269999999999</v>
      </c>
      <c r="L2266">
        <v>270.09269999999998</v>
      </c>
      <c r="M2266">
        <v>-0.33314559999999999</v>
      </c>
      <c r="N2266">
        <v>0</v>
      </c>
      <c r="O2266">
        <v>-0.94274080000000005</v>
      </c>
      <c r="P2266">
        <v>-0.32356390000000002</v>
      </c>
      <c r="Q2266">
        <v>3.5411890000000001E-2</v>
      </c>
      <c r="R2266">
        <v>-0.9455441</v>
      </c>
      <c r="S2266">
        <v>-0.34396359999999998</v>
      </c>
      <c r="T2266">
        <v>-0.1222568</v>
      </c>
      <c r="U2266">
        <v>-3.068085</v>
      </c>
      <c r="V2266">
        <v>-1.117254E-2</v>
      </c>
      <c r="W2266">
        <v>5.1091190000000002E-2</v>
      </c>
      <c r="X2266">
        <v>0.99863150000000001</v>
      </c>
      <c r="Y2266">
        <v>-0.2261396</v>
      </c>
      <c r="Z2266">
        <v>3.5798700000000003E-2</v>
      </c>
      <c r="AA2266">
        <v>0.97343690000000005</v>
      </c>
      <c r="AB2266">
        <v>27</v>
      </c>
      <c r="AC2266">
        <v>-3.0696000000000301</v>
      </c>
      <c r="AD2266">
        <v>-1.119528250536</v>
      </c>
      <c r="AE2266">
        <v>-27.845099999999899</v>
      </c>
      <c r="AF2266">
        <v>-6.3732668606332403</v>
      </c>
      <c r="AG2266">
        <v>-1.119528250536</v>
      </c>
      <c r="AH2266">
        <v>27.2333033800926</v>
      </c>
      <c r="AI2266">
        <v>92.29217198245</v>
      </c>
      <c r="AJ2266">
        <v>103.171586035902</v>
      </c>
      <c r="AK2266">
        <v>27.991510980523302</v>
      </c>
      <c r="AL2266">
        <v>87.071415425604599</v>
      </c>
      <c r="AM2266">
        <v>90.640989876770604</v>
      </c>
      <c r="AN2266">
        <v>1.0000000040689501</v>
      </c>
    </row>
    <row r="2267" spans="1:40" x14ac:dyDescent="0.25">
      <c r="A2267" t="str">
        <f>"20190312154554849"</f>
        <v>20190312154554849</v>
      </c>
      <c r="B2267" t="str">
        <f>"1552376754838783"</f>
        <v>1552376754838783</v>
      </c>
      <c r="C2267" t="s">
        <v>40</v>
      </c>
      <c r="D2267">
        <v>4.1480360000000003</v>
      </c>
      <c r="E2267">
        <v>0.4164948</v>
      </c>
      <c r="F2267" t="s">
        <v>42</v>
      </c>
      <c r="G2267">
        <v>-489.18239999999997</v>
      </c>
      <c r="H2267" s="1">
        <v>-1.17859E-6</v>
      </c>
      <c r="I2267">
        <v>242.042</v>
      </c>
      <c r="J2267">
        <v>-486.2826</v>
      </c>
      <c r="K2267">
        <v>1.1190819999999999</v>
      </c>
      <c r="L2267">
        <v>269.83210000000003</v>
      </c>
      <c r="M2267">
        <v>-0.32181599999999999</v>
      </c>
      <c r="N2267">
        <v>0</v>
      </c>
      <c r="O2267">
        <v>-0.94667009999999996</v>
      </c>
      <c r="P2267">
        <v>-0.31271009999999999</v>
      </c>
      <c r="Q2267">
        <v>3.633666E-2</v>
      </c>
      <c r="R2267">
        <v>-0.94915340000000004</v>
      </c>
      <c r="S2267">
        <v>-0.32550050000000003</v>
      </c>
      <c r="T2267">
        <v>-0.1223648</v>
      </c>
      <c r="U2267">
        <v>-3.0659480000000001</v>
      </c>
      <c r="V2267">
        <v>-1.0586369999999999E-2</v>
      </c>
      <c r="W2267">
        <v>5.1918350000000002E-2</v>
      </c>
      <c r="X2267">
        <v>0.99859520000000002</v>
      </c>
      <c r="Y2267">
        <v>-0.2201718</v>
      </c>
      <c r="Z2267">
        <v>3.6124919999999998E-2</v>
      </c>
      <c r="AA2267">
        <v>0.97479190000000004</v>
      </c>
      <c r="AB2267">
        <v>27</v>
      </c>
      <c r="AC2267">
        <v>-2.8997999999999702</v>
      </c>
      <c r="AD2267">
        <v>-1.1190831785899999</v>
      </c>
      <c r="AE2267">
        <v>-27.790099999999999</v>
      </c>
      <c r="AF2267">
        <v>-6.1889923590301699</v>
      </c>
      <c r="AG2267">
        <v>-1.1190831785899999</v>
      </c>
      <c r="AH2267">
        <v>27.2010329078213</v>
      </c>
      <c r="AI2267">
        <v>92.297241386774203</v>
      </c>
      <c r="AJ2267">
        <v>102.818164451553</v>
      </c>
      <c r="AK2267">
        <v>27.918670542006801</v>
      </c>
      <c r="AL2267">
        <v>87.023959589665495</v>
      </c>
      <c r="AM2267">
        <v>90.607384854245595</v>
      </c>
      <c r="AN2267">
        <v>0.99999997987976896</v>
      </c>
    </row>
    <row r="2268" spans="1:40" x14ac:dyDescent="0.25">
      <c r="A2268" t="str">
        <f>"20190312154554871"</f>
        <v>20190312154554871</v>
      </c>
      <c r="B2268" t="str">
        <f>"1552376754859279"</f>
        <v>1552376754859279</v>
      </c>
      <c r="C2268" t="s">
        <v>40</v>
      </c>
      <c r="D2268">
        <v>4.2008660000000004</v>
      </c>
      <c r="E2268">
        <v>0.43246689999999999</v>
      </c>
      <c r="F2268" t="s">
        <v>42</v>
      </c>
      <c r="G2268">
        <v>-489.03899999999999</v>
      </c>
      <c r="H2268" s="1">
        <v>-1.0233330000000001E-6</v>
      </c>
      <c r="I2268">
        <v>241.6208</v>
      </c>
      <c r="J2268">
        <v>-486.35719999999998</v>
      </c>
      <c r="K2268">
        <v>1.1186199999999999</v>
      </c>
      <c r="L2268">
        <v>269.57490000000001</v>
      </c>
      <c r="M2268">
        <v>-0.31124570000000001</v>
      </c>
      <c r="N2268">
        <v>0</v>
      </c>
      <c r="O2268">
        <v>-0.95019980000000004</v>
      </c>
      <c r="P2268">
        <v>-0.30308590000000002</v>
      </c>
      <c r="Q2268">
        <v>3.5624959999999997E-2</v>
      </c>
      <c r="R2268">
        <v>-0.95229699999999995</v>
      </c>
      <c r="S2268">
        <v>-0.29962159999999999</v>
      </c>
      <c r="T2268">
        <v>-0.1216463</v>
      </c>
      <c r="U2268">
        <v>-3.0666199999999999</v>
      </c>
      <c r="V2268">
        <v>-9.4953820000000001E-3</v>
      </c>
      <c r="W2268">
        <v>5.1122609999999999E-2</v>
      </c>
      <c r="X2268">
        <v>0.99864730000000002</v>
      </c>
      <c r="Y2268">
        <v>-0.21746270000000001</v>
      </c>
      <c r="Z2268">
        <v>3.6138749999999997E-2</v>
      </c>
      <c r="AA2268">
        <v>0.97539940000000003</v>
      </c>
      <c r="AB2268">
        <v>27</v>
      </c>
      <c r="AC2268">
        <v>-2.6818</v>
      </c>
      <c r="AD2268">
        <v>-1.1186210233329901</v>
      </c>
      <c r="AE2268">
        <v>-27.9541</v>
      </c>
      <c r="AF2268">
        <v>-6.14335818012123</v>
      </c>
      <c r="AG2268">
        <v>-1.1186210233329901</v>
      </c>
      <c r="AH2268">
        <v>27.356648664430701</v>
      </c>
      <c r="AI2268">
        <v>92.284698847258795</v>
      </c>
      <c r="AJ2268">
        <v>102.65668325021799</v>
      </c>
      <c r="AK2268">
        <v>28.060263521075601</v>
      </c>
      <c r="AL2268">
        <v>87.069612990836504</v>
      </c>
      <c r="AM2268">
        <v>90.544765823969996</v>
      </c>
      <c r="AN2268">
        <v>1.0000000566649101</v>
      </c>
    </row>
    <row r="2269" spans="1:40" x14ac:dyDescent="0.25">
      <c r="A2269" t="str">
        <f>"20190312154554892"</f>
        <v>20190312154554892</v>
      </c>
      <c r="B2269" t="str">
        <f>"1552376754888558"</f>
        <v>1552376754888558</v>
      </c>
      <c r="C2269" t="s">
        <v>40</v>
      </c>
      <c r="D2269">
        <v>4.215306</v>
      </c>
      <c r="E2269">
        <v>0.43504789999999999</v>
      </c>
      <c r="F2269" t="s">
        <v>42</v>
      </c>
      <c r="G2269">
        <v>-489.47919999999999</v>
      </c>
      <c r="H2269" s="1">
        <v>-2.53255E-6</v>
      </c>
      <c r="I2269">
        <v>245.32089999999999</v>
      </c>
      <c r="J2269">
        <v>-486.42489999999998</v>
      </c>
      <c r="K2269">
        <v>1.1181399999999999</v>
      </c>
      <c r="L2269">
        <v>269.33420000000001</v>
      </c>
      <c r="M2269">
        <v>-0.30195650000000002</v>
      </c>
      <c r="N2269">
        <v>0</v>
      </c>
      <c r="O2269">
        <v>-0.95319449999999994</v>
      </c>
      <c r="P2269">
        <v>-0.2952824</v>
      </c>
      <c r="Q2269">
        <v>3.54591E-2</v>
      </c>
      <c r="R2269">
        <v>-0.95475220000000005</v>
      </c>
      <c r="S2269">
        <v>-0.39019779999999998</v>
      </c>
      <c r="T2269">
        <v>-0.1398073</v>
      </c>
      <c r="U2269">
        <v>-3.0313110000000001</v>
      </c>
      <c r="V2269">
        <v>-7.8545059999999903E-3</v>
      </c>
      <c r="W2269">
        <v>5.088641E-2</v>
      </c>
      <c r="X2269">
        <v>0.99867360000000005</v>
      </c>
      <c r="Y2269">
        <v>-0.17793110000000001</v>
      </c>
      <c r="Z2269">
        <v>4.2326250000000003E-2</v>
      </c>
      <c r="AA2269">
        <v>0.98313220000000001</v>
      </c>
      <c r="AB2269">
        <v>27</v>
      </c>
      <c r="AC2269">
        <v>-3.0543000000000098</v>
      </c>
      <c r="AD2269">
        <v>-1.1181425325499901</v>
      </c>
      <c r="AE2269">
        <v>-24.013300000000001</v>
      </c>
      <c r="AF2269">
        <v>-4.3309157627998296</v>
      </c>
      <c r="AG2269">
        <v>-1.1181425325499901</v>
      </c>
      <c r="AH2269">
        <v>23.7637957528508</v>
      </c>
      <c r="AI2269">
        <v>92.650323168730495</v>
      </c>
      <c r="AJ2269">
        <v>100.328710244845</v>
      </c>
      <c r="AK2269">
        <v>24.181088946752801</v>
      </c>
      <c r="AL2269">
        <v>87.083163841123707</v>
      </c>
      <c r="AM2269">
        <v>90.450618465429997</v>
      </c>
      <c r="AN2269">
        <v>1.0000000396620701</v>
      </c>
    </row>
    <row r="2270" spans="1:40" x14ac:dyDescent="0.25">
      <c r="A2270" t="str">
        <f>"20190312154554914"</f>
        <v>20190312154554914</v>
      </c>
      <c r="B2270" t="str">
        <f>"1552376754909055"</f>
        <v>1552376754909055</v>
      </c>
      <c r="C2270" t="s">
        <v>40</v>
      </c>
      <c r="D2270">
        <v>4.2349019999999999</v>
      </c>
      <c r="E2270">
        <v>0.43631399999999998</v>
      </c>
      <c r="F2270" t="s">
        <v>42</v>
      </c>
      <c r="G2270">
        <v>-489.5154</v>
      </c>
      <c r="H2270" s="1">
        <v>-2.3830450000000001E-6</v>
      </c>
      <c r="I2270">
        <v>244.9873</v>
      </c>
      <c r="J2270">
        <v>-486.49709999999999</v>
      </c>
      <c r="K2270">
        <v>1.1175600000000001</v>
      </c>
      <c r="L2270">
        <v>269.06950000000001</v>
      </c>
      <c r="M2270">
        <v>-0.29245929999999998</v>
      </c>
      <c r="N2270">
        <v>0</v>
      </c>
      <c r="O2270">
        <v>-0.95615320000000004</v>
      </c>
      <c r="P2270">
        <v>-0.28654980000000002</v>
      </c>
      <c r="Q2270">
        <v>3.5850729999999997E-2</v>
      </c>
      <c r="R2270">
        <v>-0.957395</v>
      </c>
      <c r="S2270">
        <v>-0.38442989999999999</v>
      </c>
      <c r="T2270">
        <v>-0.13908429999999999</v>
      </c>
      <c r="U2270">
        <v>-3.028473</v>
      </c>
      <c r="V2270">
        <v>-6.9677080000000004E-3</v>
      </c>
      <c r="W2270">
        <v>5.1176430000000002E-2</v>
      </c>
      <c r="X2270">
        <v>0.99866529999999998</v>
      </c>
      <c r="Y2270">
        <v>-0.16986099999999901</v>
      </c>
      <c r="Z2270">
        <v>4.2384860000000003E-2</v>
      </c>
      <c r="AA2270">
        <v>0.98455610000000005</v>
      </c>
      <c r="AB2270">
        <v>27</v>
      </c>
      <c r="AC2270">
        <v>-3.0183</v>
      </c>
      <c r="AD2270">
        <v>-1.1175623830449899</v>
      </c>
      <c r="AE2270">
        <v>-24.0822</v>
      </c>
      <c r="AF2270">
        <v>-4.1488058092091</v>
      </c>
      <c r="AG2270">
        <v>-1.1175623830449899</v>
      </c>
      <c r="AH2270">
        <v>23.8612642680718</v>
      </c>
      <c r="AI2270">
        <v>92.641956101189706</v>
      </c>
      <c r="AJ2270">
        <v>99.863524506920399</v>
      </c>
      <c r="AK2270">
        <v>24.245029754431801</v>
      </c>
      <c r="AL2270">
        <v>87.066525061420904</v>
      </c>
      <c r="AM2270">
        <v>90.399747326369294</v>
      </c>
      <c r="AN2270">
        <v>0.99999997868320301</v>
      </c>
    </row>
    <row r="2271" spans="1:40" x14ac:dyDescent="0.25">
      <c r="A2271" t="str">
        <f>"20190312154554938"</f>
        <v>20190312154554938</v>
      </c>
      <c r="B2271" t="str">
        <f>"1552376754928576"</f>
        <v>1552376754928576</v>
      </c>
      <c r="C2271" t="s">
        <v>40</v>
      </c>
      <c r="D2271">
        <v>4.2517740000000002</v>
      </c>
      <c r="E2271">
        <v>0.4444534</v>
      </c>
      <c r="F2271" t="s">
        <v>42</v>
      </c>
      <c r="G2271">
        <v>-489.49419999999998</v>
      </c>
      <c r="H2271" s="1">
        <v>-2.1132759999999999E-6</v>
      </c>
      <c r="I2271">
        <v>244.34970000000001</v>
      </c>
      <c r="J2271">
        <v>-486.56700000000001</v>
      </c>
      <c r="K2271">
        <v>1.1169439999999999</v>
      </c>
      <c r="L2271">
        <v>268.80619999999999</v>
      </c>
      <c r="M2271">
        <v>-0.28376380000000001</v>
      </c>
      <c r="N2271">
        <v>0</v>
      </c>
      <c r="O2271">
        <v>-0.95877159999999995</v>
      </c>
      <c r="P2271">
        <v>-0.27872819999999998</v>
      </c>
      <c r="Q2271">
        <v>3.6252029999999998E-2</v>
      </c>
      <c r="R2271">
        <v>-0.95968589999999998</v>
      </c>
      <c r="S2271">
        <v>-0.36721799999999999</v>
      </c>
      <c r="T2271">
        <v>-0.1369271</v>
      </c>
      <c r="U2271">
        <v>-3.0287480000000002</v>
      </c>
      <c r="V2271">
        <v>-5.9685429999999998E-3</v>
      </c>
      <c r="W2271">
        <v>5.1477870000000002E-2</v>
      </c>
      <c r="X2271">
        <v>0.99865630000000005</v>
      </c>
      <c r="Y2271">
        <v>-0.1664283</v>
      </c>
      <c r="Z2271">
        <v>4.1926900000000003E-2</v>
      </c>
      <c r="AA2271">
        <v>0.98516179999999998</v>
      </c>
      <c r="AB2271">
        <v>27</v>
      </c>
      <c r="AC2271">
        <v>-2.92720000000002</v>
      </c>
      <c r="AD2271">
        <v>-1.1169461132759999</v>
      </c>
      <c r="AE2271">
        <v>-24.456499999999899</v>
      </c>
      <c r="AF2271">
        <v>-4.1253559575356897</v>
      </c>
      <c r="AG2271">
        <v>-1.1169461132759999</v>
      </c>
      <c r="AH2271">
        <v>24.231856477853199</v>
      </c>
      <c r="AI2271">
        <v>92.601748618546097</v>
      </c>
      <c r="AJ2271">
        <v>99.661696102559304</v>
      </c>
      <c r="AK2271">
        <v>24.605873257407801</v>
      </c>
      <c r="AL2271">
        <v>87.049231088978104</v>
      </c>
      <c r="AM2271">
        <v>90.342428373148707</v>
      </c>
      <c r="AN2271">
        <v>1.00000000006748</v>
      </c>
    </row>
    <row r="2272" spans="1:40" x14ac:dyDescent="0.25">
      <c r="A2272" t="str">
        <f>"20190312154554960"</f>
        <v>20190312154554960</v>
      </c>
      <c r="B2272" t="str">
        <f>"1552376754949071"</f>
        <v>1552376754949071</v>
      </c>
      <c r="C2272" t="s">
        <v>40</v>
      </c>
      <c r="D2272">
        <v>4.2554230000000004</v>
      </c>
      <c r="E2272">
        <v>0.44455810000000001</v>
      </c>
      <c r="F2272" t="s">
        <v>42</v>
      </c>
      <c r="G2272">
        <v>-489.78530000000001</v>
      </c>
      <c r="H2272" s="1">
        <v>-2.275438E-6</v>
      </c>
      <c r="I2272">
        <v>244.84809999999999</v>
      </c>
      <c r="J2272">
        <v>-486.63549999999998</v>
      </c>
      <c r="K2272">
        <v>1.1163099999999999</v>
      </c>
      <c r="L2272">
        <v>268.54180000000002</v>
      </c>
      <c r="M2272">
        <v>-0.27581060000000002</v>
      </c>
      <c r="N2272">
        <v>0</v>
      </c>
      <c r="O2272">
        <v>-0.96109160000000005</v>
      </c>
      <c r="P2272">
        <v>-0.27211069999999998</v>
      </c>
      <c r="Q2272">
        <v>3.552843E-2</v>
      </c>
      <c r="R2272">
        <v>-0.96160990000000002</v>
      </c>
      <c r="S2272">
        <v>-0.40484619999999999</v>
      </c>
      <c r="T2272">
        <v>-0.14050409999999999</v>
      </c>
      <c r="U2272">
        <v>-3.013763</v>
      </c>
      <c r="V2272">
        <v>-4.4863239999999999E-3</v>
      </c>
      <c r="W2272">
        <v>5.0664010000000002E-2</v>
      </c>
      <c r="X2272">
        <v>0.99870570000000003</v>
      </c>
      <c r="Y2272">
        <v>-0.1455447</v>
      </c>
      <c r="Z2272">
        <v>4.3435639999999998E-2</v>
      </c>
      <c r="AA2272">
        <v>0.98839770000000005</v>
      </c>
      <c r="AB2272">
        <v>27</v>
      </c>
      <c r="AC2272">
        <v>-3.1498000000000199</v>
      </c>
      <c r="AD2272">
        <v>-1.1163122754379999</v>
      </c>
      <c r="AE2272">
        <v>-23.6937</v>
      </c>
      <c r="AF2272">
        <v>-3.5004979701333001</v>
      </c>
      <c r="AG2272">
        <v>-1.1163122754379999</v>
      </c>
      <c r="AH2272">
        <v>23.591841772400301</v>
      </c>
      <c r="AI2272">
        <v>92.679790382504706</v>
      </c>
      <c r="AJ2272">
        <v>98.439826001091802</v>
      </c>
      <c r="AK2272">
        <v>23.876235828730898</v>
      </c>
      <c r="AL2272">
        <v>87.095922828791203</v>
      </c>
      <c r="AM2272">
        <v>90.257378827152294</v>
      </c>
      <c r="AN2272">
        <v>1.0000000221123999</v>
      </c>
    </row>
    <row r="2273" spans="1:40" x14ac:dyDescent="0.25">
      <c r="A2273" t="str">
        <f>"20190312154554982"</f>
        <v>20190312154554982</v>
      </c>
      <c r="B2273" t="str">
        <f>"1552376754968592"</f>
        <v>1552376754968592</v>
      </c>
      <c r="C2273" t="s">
        <v>40</v>
      </c>
      <c r="D2273">
        <v>4.2262219999999999</v>
      </c>
      <c r="E2273">
        <v>0.42993920000000002</v>
      </c>
      <c r="F2273" t="s">
        <v>42</v>
      </c>
      <c r="G2273">
        <v>-489.67180000000002</v>
      </c>
      <c r="H2273" s="1">
        <v>-2.2561669999999998E-6</v>
      </c>
      <c r="I2273">
        <v>244.75620000000001</v>
      </c>
      <c r="J2273">
        <v>-486.6979</v>
      </c>
      <c r="K2273">
        <v>1.115713</v>
      </c>
      <c r="L2273">
        <v>268.2962</v>
      </c>
      <c r="M2273">
        <v>-0.26916489999999998</v>
      </c>
      <c r="N2273">
        <v>0</v>
      </c>
      <c r="O2273">
        <v>-0.96297580000000005</v>
      </c>
      <c r="P2273">
        <v>-0.26642169999999998</v>
      </c>
      <c r="Q2273">
        <v>3.5287069999999997E-2</v>
      </c>
      <c r="R2273">
        <v>-0.96321089999999998</v>
      </c>
      <c r="S2273">
        <v>-0.38500980000000001</v>
      </c>
      <c r="T2273">
        <v>-0.1415516</v>
      </c>
      <c r="U2273">
        <v>-3.0160830000000001</v>
      </c>
      <c r="V2273">
        <v>-3.412979E-3</v>
      </c>
      <c r="W2273">
        <v>5.0334940000000002E-2</v>
      </c>
      <c r="X2273">
        <v>0.99872649999999996</v>
      </c>
      <c r="Y2273">
        <v>-0.14520339999999901</v>
      </c>
      <c r="Z2273">
        <v>4.3875030000000002E-2</v>
      </c>
      <c r="AA2273">
        <v>0.98842850000000004</v>
      </c>
      <c r="AB2273">
        <v>27</v>
      </c>
      <c r="AC2273">
        <v>-2.9739000000000102</v>
      </c>
      <c r="AD2273">
        <v>-1.1157152561669901</v>
      </c>
      <c r="AE2273">
        <v>-23.5399999999999</v>
      </c>
      <c r="AF2273">
        <v>-3.4650818991927701</v>
      </c>
      <c r="AG2273">
        <v>-1.1157152561669901</v>
      </c>
      <c r="AH2273">
        <v>23.419809579343401</v>
      </c>
      <c r="AI2273">
        <v>92.698169384454403</v>
      </c>
      <c r="AJ2273">
        <v>98.416149327374896</v>
      </c>
      <c r="AK2273">
        <v>23.701035712256498</v>
      </c>
      <c r="AL2273">
        <v>87.114800995530402</v>
      </c>
      <c r="AM2273">
        <v>90.195797879653796</v>
      </c>
      <c r="AN2273">
        <v>0.99999993820635202</v>
      </c>
    </row>
    <row r="2274" spans="1:40" x14ac:dyDescent="0.25">
      <c r="A2274" t="str">
        <f>"20190312154555005"</f>
        <v>20190312154555005</v>
      </c>
      <c r="B2274" t="str">
        <f>"1552376754998847"</f>
        <v>1552376754998847</v>
      </c>
      <c r="C2274" t="s">
        <v>40</v>
      </c>
      <c r="D2274">
        <v>4.2199350000000004</v>
      </c>
      <c r="E2274">
        <v>0.42854920000000002</v>
      </c>
      <c r="F2274" t="s">
        <v>53</v>
      </c>
      <c r="G2274">
        <v>-491.62040000000002</v>
      </c>
      <c r="H2274" s="1">
        <v>2.8150970000000001E-6</v>
      </c>
      <c r="I2274">
        <v>209.89449999999999</v>
      </c>
      <c r="J2274">
        <v>-486.76620000000003</v>
      </c>
      <c r="K2274">
        <v>1.115065</v>
      </c>
      <c r="L2274">
        <v>268.02280000000002</v>
      </c>
      <c r="M2274">
        <v>-0.26262400000000002</v>
      </c>
      <c r="N2274">
        <v>0</v>
      </c>
      <c r="O2274">
        <v>-0.96478189999999997</v>
      </c>
      <c r="P2274">
        <v>-0.26124069999999999</v>
      </c>
      <c r="Q2274">
        <v>3.5627789999999999E-2</v>
      </c>
      <c r="R2274">
        <v>-0.96461609999999998</v>
      </c>
      <c r="S2274">
        <v>-0.25671389999999999</v>
      </c>
      <c r="T2274">
        <v>-5.8185580000000001E-2</v>
      </c>
      <c r="U2274">
        <v>-3.045715</v>
      </c>
      <c r="V2274">
        <v>-1.9213990000000001E-3</v>
      </c>
      <c r="W2274">
        <v>5.0582099999999998E-2</v>
      </c>
      <c r="X2274">
        <v>0.99871810000000005</v>
      </c>
      <c r="Y2274">
        <v>-0.18069879999999999</v>
      </c>
      <c r="Z2274">
        <v>1.7909540000000002E-2</v>
      </c>
      <c r="AA2274">
        <v>0.98337540000000001</v>
      </c>
      <c r="AB2274">
        <v>27</v>
      </c>
      <c r="AC2274">
        <v>-4.8541999999999899</v>
      </c>
      <c r="AD2274">
        <v>-1.115062184903</v>
      </c>
      <c r="AE2274">
        <v>-58.128300000000003</v>
      </c>
      <c r="AF2274">
        <v>-10.5799643260811</v>
      </c>
      <c r="AG2274">
        <v>-1.115062184903</v>
      </c>
      <c r="AH2274">
        <v>57.341446689647903</v>
      </c>
      <c r="AI2274">
        <v>91.095546432793398</v>
      </c>
      <c r="AJ2274">
        <v>100.453967470791</v>
      </c>
      <c r="AK2274">
        <v>58.319983858700397</v>
      </c>
      <c r="AL2274">
        <v>87.100622008596403</v>
      </c>
      <c r="AM2274">
        <v>90.110229220477194</v>
      </c>
      <c r="AN2274">
        <v>1.00000004194106</v>
      </c>
    </row>
    <row r="2275" spans="1:40" x14ac:dyDescent="0.25">
      <c r="A2275" t="str">
        <f>"20190312154555029"</f>
        <v>20190312154555029</v>
      </c>
      <c r="B2275" t="str">
        <f>"1552376755019343"</f>
        <v>1552376755019343</v>
      </c>
      <c r="C2275" t="s">
        <v>40</v>
      </c>
      <c r="D2275">
        <v>4.1991509999999996</v>
      </c>
      <c r="E2275">
        <v>0.42924259999999997</v>
      </c>
      <c r="F2275" t="s">
        <v>42</v>
      </c>
      <c r="G2275">
        <v>-493.6902</v>
      </c>
      <c r="H2275" s="1">
        <v>-3.819615E-6</v>
      </c>
      <c r="I2275">
        <v>176.28739999999999</v>
      </c>
      <c r="J2275">
        <v>-486.83339999999998</v>
      </c>
      <c r="K2275">
        <v>1.11443799999999</v>
      </c>
      <c r="L2275">
        <v>267.74919999999997</v>
      </c>
      <c r="M2275">
        <v>-0.25696380000000002</v>
      </c>
      <c r="N2275">
        <v>0</v>
      </c>
      <c r="O2275">
        <v>-0.96630669999999996</v>
      </c>
      <c r="P2275">
        <v>-0.25679479999999999</v>
      </c>
      <c r="Q2275">
        <v>3.7340949999999998E-2</v>
      </c>
      <c r="R2275">
        <v>-0.96574459999999995</v>
      </c>
      <c r="S2275">
        <v>-0.23013310000000001</v>
      </c>
      <c r="T2275">
        <v>-3.706193E-2</v>
      </c>
      <c r="U2275">
        <v>-3.049042</v>
      </c>
      <c r="V2275">
        <v>-5.8886870000000001E-4</v>
      </c>
      <c r="W2275">
        <v>5.2201200000000003E-2</v>
      </c>
      <c r="X2275">
        <v>0.99863639999999998</v>
      </c>
      <c r="Y2275">
        <v>-0.1835329</v>
      </c>
      <c r="Z2275">
        <v>1.142458E-2</v>
      </c>
      <c r="AA2275">
        <v>0.98294720000000002</v>
      </c>
      <c r="AB2275">
        <v>27</v>
      </c>
      <c r="AC2275">
        <v>-6.8568000000000202</v>
      </c>
      <c r="AD2275">
        <v>-1.1144418196150001</v>
      </c>
      <c r="AE2275">
        <v>-91.461799999999897</v>
      </c>
      <c r="AF2275">
        <v>-16.875973244623701</v>
      </c>
      <c r="AG2275">
        <v>-1.1144418196150001</v>
      </c>
      <c r="AH2275">
        <v>90.1387523841681</v>
      </c>
      <c r="AI2275">
        <v>90.696251266483102</v>
      </c>
      <c r="AJ2275">
        <v>100.604276903288</v>
      </c>
      <c r="AK2275">
        <v>91.711695736677598</v>
      </c>
      <c r="AL2275">
        <v>87.007731489753297</v>
      </c>
      <c r="AM2275">
        <v>90.033785757545701</v>
      </c>
      <c r="AN2275">
        <v>0.99999998572637205</v>
      </c>
    </row>
    <row r="2276" spans="1:40" x14ac:dyDescent="0.25">
      <c r="A2276" t="str">
        <f>"20190312154555050"</f>
        <v>20190312154555050</v>
      </c>
      <c r="B2276" t="str">
        <f>"1552376755038863"</f>
        <v>1552376755038863</v>
      </c>
      <c r="C2276" t="s">
        <v>40</v>
      </c>
      <c r="D2276">
        <v>4.20458</v>
      </c>
      <c r="E2276">
        <v>0.4304386</v>
      </c>
      <c r="F2276" t="s">
        <v>42</v>
      </c>
      <c r="G2276">
        <v>-494.42669999999998</v>
      </c>
      <c r="H2276" s="1">
        <v>-3.0507150000000001E-6</v>
      </c>
      <c r="I2276">
        <v>163.55369999999999</v>
      </c>
      <c r="J2276">
        <v>-486.89460000000003</v>
      </c>
      <c r="K2276">
        <v>1.1139509999999999</v>
      </c>
      <c r="L2276">
        <v>267.49770000000001</v>
      </c>
      <c r="M2276">
        <v>-0.25233179999999999</v>
      </c>
      <c r="N2276">
        <v>0</v>
      </c>
      <c r="O2276">
        <v>-0.96752780000000005</v>
      </c>
      <c r="P2276">
        <v>-0.25302910000000001</v>
      </c>
      <c r="Q2276">
        <v>3.802001E-2</v>
      </c>
      <c r="R2276">
        <v>-0.96671130000000005</v>
      </c>
      <c r="S2276">
        <v>-0.222168</v>
      </c>
      <c r="T2276">
        <v>-3.2606959999999997E-2</v>
      </c>
      <c r="U2276">
        <v>-3.0486149999999999</v>
      </c>
      <c r="V2276">
        <v>3.6899740000000001E-4</v>
      </c>
      <c r="W2276">
        <v>5.2796429999999998E-2</v>
      </c>
      <c r="X2276">
        <v>0.99860530000000003</v>
      </c>
      <c r="Y2276">
        <v>-0.18136579999999999</v>
      </c>
      <c r="Z2276">
        <v>1.007539E-2</v>
      </c>
      <c r="AA2276">
        <v>0.98336409999999996</v>
      </c>
      <c r="AB2276">
        <v>27</v>
      </c>
      <c r="AC2276">
        <v>-7.5320999999999501</v>
      </c>
      <c r="AD2276">
        <v>-1.1139540507150001</v>
      </c>
      <c r="AE2276">
        <v>-103.944</v>
      </c>
      <c r="AF2276">
        <v>-18.940767224037302</v>
      </c>
      <c r="AG2276">
        <v>-1.1139540507150001</v>
      </c>
      <c r="AH2276">
        <v>102.468793500153</v>
      </c>
      <c r="AI2276">
        <v>90.612472118649094</v>
      </c>
      <c r="AJ2276">
        <v>100.472589364942</v>
      </c>
      <c r="AK2276">
        <v>104.210590623215</v>
      </c>
      <c r="AL2276">
        <v>86.973580488760206</v>
      </c>
      <c r="AM2276">
        <v>89.978828479371103</v>
      </c>
      <c r="AN2276">
        <v>1.0000000721839499</v>
      </c>
    </row>
    <row r="2277" spans="1:40" x14ac:dyDescent="0.25">
      <c r="A2277" t="str">
        <f>"20190312154555073"</f>
        <v>20190312154555073</v>
      </c>
      <c r="B2277" t="str">
        <f>"1552376755069118"</f>
        <v>1552376755069118</v>
      </c>
      <c r="C2277" t="s">
        <v>40</v>
      </c>
      <c r="D2277">
        <v>4.2086860000000001</v>
      </c>
      <c r="E2277">
        <v>0.44073879999999999</v>
      </c>
      <c r="F2277" t="s">
        <v>42</v>
      </c>
      <c r="G2277">
        <v>-493.6268</v>
      </c>
      <c r="H2277" s="1">
        <v>-2.8011499999999999E-6</v>
      </c>
      <c r="I2277">
        <v>173.86920000000001</v>
      </c>
      <c r="J2277">
        <v>-486.95749999999998</v>
      </c>
      <c r="K2277">
        <v>1.1134980000000001</v>
      </c>
      <c r="L2277">
        <v>267.2355</v>
      </c>
      <c r="M2277">
        <v>-0.2480868</v>
      </c>
      <c r="N2277">
        <v>0</v>
      </c>
      <c r="O2277">
        <v>-0.96862630000000005</v>
      </c>
      <c r="P2277">
        <v>-0.24998200000000001</v>
      </c>
      <c r="Q2277">
        <v>3.6477740000000002E-2</v>
      </c>
      <c r="R2277">
        <v>-0.96756319999999996</v>
      </c>
      <c r="S2277">
        <v>-0.21911620000000001</v>
      </c>
      <c r="T2277">
        <v>-3.625631E-2</v>
      </c>
      <c r="U2277">
        <v>-3.0473629999999998</v>
      </c>
      <c r="V2277">
        <v>1.66141799999999E-3</v>
      </c>
      <c r="W2277">
        <v>5.1177380000000001E-2</v>
      </c>
      <c r="X2277">
        <v>0.99868820000000003</v>
      </c>
      <c r="Y2277">
        <v>-0.17800339999999901</v>
      </c>
      <c r="Z2277">
        <v>1.123096E-2</v>
      </c>
      <c r="AA2277">
        <v>0.9839658</v>
      </c>
      <c r="AB2277">
        <v>27</v>
      </c>
      <c r="AC2277">
        <v>-6.6693000000000202</v>
      </c>
      <c r="AD2277">
        <v>-1.1135008011499901</v>
      </c>
      <c r="AE2277">
        <v>-93.366299999999995</v>
      </c>
      <c r="AF2277">
        <v>-16.7023281076962</v>
      </c>
      <c r="AG2277">
        <v>-1.1135008011499901</v>
      </c>
      <c r="AH2277">
        <v>92.088536377592604</v>
      </c>
      <c r="AI2277">
        <v>90.681645875094105</v>
      </c>
      <c r="AJ2277">
        <v>100.28012601226099</v>
      </c>
      <c r="AK2277">
        <v>93.597575718703894</v>
      </c>
      <c r="AL2277">
        <v>87.066470629455495</v>
      </c>
      <c r="AM2277">
        <v>89.904682811321607</v>
      </c>
      <c r="AN2277">
        <v>1.00000000267633</v>
      </c>
    </row>
    <row r="2278" spans="1:40" x14ac:dyDescent="0.25">
      <c r="A2278" t="str">
        <f>"20190312154555094"</f>
        <v>20190312154555094</v>
      </c>
      <c r="B2278" t="str">
        <f>"1552376755088639"</f>
        <v>1552376755088639</v>
      </c>
      <c r="C2278" t="s">
        <v>40</v>
      </c>
      <c r="D2278">
        <v>4.2328659999999996</v>
      </c>
      <c r="E2278">
        <v>0.44167960000000001</v>
      </c>
      <c r="F2278" t="s">
        <v>53</v>
      </c>
      <c r="G2278">
        <v>-490.86</v>
      </c>
      <c r="H2278" s="1">
        <v>5.3825450000000003E-6</v>
      </c>
      <c r="I2278">
        <v>226.2261</v>
      </c>
      <c r="J2278">
        <v>-487.0172</v>
      </c>
      <c r="K2278">
        <v>1.1130899999999999</v>
      </c>
      <c r="L2278">
        <v>266.98489999999998</v>
      </c>
      <c r="M2278">
        <v>-0.24459</v>
      </c>
      <c r="N2278">
        <v>0</v>
      </c>
      <c r="O2278">
        <v>-0.9695165</v>
      </c>
      <c r="P2278">
        <v>-0.24833740000000001</v>
      </c>
      <c r="Q2278">
        <v>3.4715540000000003E-2</v>
      </c>
      <c r="R2278">
        <v>-0.96805149999999995</v>
      </c>
      <c r="S2278">
        <v>-0.288269</v>
      </c>
      <c r="T2278">
        <v>-8.2250359999999995E-2</v>
      </c>
      <c r="U2278">
        <v>-3.029236</v>
      </c>
      <c r="V2278">
        <v>3.620224E-3</v>
      </c>
      <c r="W2278">
        <v>4.9350060000000001E-2</v>
      </c>
      <c r="X2278">
        <v>0.99877499999999997</v>
      </c>
      <c r="Y2278">
        <v>-0.15169150000000001</v>
      </c>
      <c r="Z2278">
        <v>2.5695300000000001E-2</v>
      </c>
      <c r="AA2278">
        <v>0.98809389999999997</v>
      </c>
      <c r="AB2278">
        <v>27</v>
      </c>
      <c r="AC2278">
        <v>-3.8428000000000102</v>
      </c>
      <c r="AD2278">
        <v>-1.113084617455</v>
      </c>
      <c r="AE2278">
        <v>-40.758799999999901</v>
      </c>
      <c r="AF2278">
        <v>-6.2395910598140603</v>
      </c>
      <c r="AG2278">
        <v>-1.113084617455</v>
      </c>
      <c r="AH2278">
        <v>40.430671807595303</v>
      </c>
      <c r="AI2278">
        <v>91.558552776186104</v>
      </c>
      <c r="AJ2278">
        <v>98.773138506315306</v>
      </c>
      <c r="AK2278">
        <v>40.924450842654103</v>
      </c>
      <c r="AL2278">
        <v>87.171300917262201</v>
      </c>
      <c r="AM2278">
        <v>89.792322947902093</v>
      </c>
      <c r="AN2278">
        <v>1.0000000175343999</v>
      </c>
    </row>
    <row r="2279" spans="1:40" x14ac:dyDescent="0.25">
      <c r="A2279" t="str">
        <f>"20190312154555116"</f>
        <v>20190312154555116</v>
      </c>
      <c r="B2279" t="str">
        <f>"1552376755109138"</f>
        <v>1552376755109138</v>
      </c>
      <c r="C2279" t="s">
        <v>40</v>
      </c>
      <c r="D2279">
        <v>4.2596749999999997</v>
      </c>
      <c r="E2279">
        <v>0.44266</v>
      </c>
      <c r="F2279" t="s">
        <v>42</v>
      </c>
      <c r="G2279">
        <v>-490.57920000000001</v>
      </c>
      <c r="H2279" s="1">
        <v>-2.284958E-7</v>
      </c>
      <c r="I2279">
        <v>229.76249999999999</v>
      </c>
      <c r="J2279">
        <v>-487.08109999999999</v>
      </c>
      <c r="K2279">
        <v>1.112636</v>
      </c>
      <c r="L2279">
        <v>266.71460000000002</v>
      </c>
      <c r="M2279">
        <v>-0.2414017</v>
      </c>
      <c r="N2279">
        <v>0</v>
      </c>
      <c r="O2279">
        <v>-0.97031639999999997</v>
      </c>
      <c r="P2279">
        <v>-0.246757</v>
      </c>
      <c r="Q2279">
        <v>3.4346849999999998E-2</v>
      </c>
      <c r="R2279">
        <v>-0.96846849999999995</v>
      </c>
      <c r="S2279">
        <v>-0.28976439999999998</v>
      </c>
      <c r="T2279">
        <v>-9.0546370000000001E-2</v>
      </c>
      <c r="U2279">
        <v>-3.0279240000000001</v>
      </c>
      <c r="V2279">
        <v>5.3300350000000003E-3</v>
      </c>
      <c r="W2279">
        <v>4.8909519999999998E-2</v>
      </c>
      <c r="X2279">
        <v>0.99878900000000004</v>
      </c>
      <c r="Y2279">
        <v>-0.1479239</v>
      </c>
      <c r="Z2279">
        <v>2.834045E-2</v>
      </c>
      <c r="AA2279">
        <v>0.98859260000000004</v>
      </c>
      <c r="AB2279">
        <v>27</v>
      </c>
      <c r="AC2279">
        <v>-3.49810000000002</v>
      </c>
      <c r="AD2279">
        <v>-1.1126362284958</v>
      </c>
      <c r="AE2279">
        <v>-36.952100000000002</v>
      </c>
      <c r="AF2279">
        <v>-5.5216582720169498</v>
      </c>
      <c r="AG2279">
        <v>-1.1126362284958</v>
      </c>
      <c r="AH2279">
        <v>36.670602700133102</v>
      </c>
      <c r="AI2279">
        <v>91.718538192846495</v>
      </c>
      <c r="AJ2279">
        <v>98.562955922154401</v>
      </c>
      <c r="AK2279">
        <v>37.1006707734632</v>
      </c>
      <c r="AL2279">
        <v>87.196572492216504</v>
      </c>
      <c r="AM2279">
        <v>89.694244118393101</v>
      </c>
      <c r="AN2279">
        <v>1.00000000847036</v>
      </c>
    </row>
    <row r="2280" spans="1:40" x14ac:dyDescent="0.25">
      <c r="A2280" t="str">
        <f>"20190312154555139"</f>
        <v>20190312154555139</v>
      </c>
      <c r="B2280" t="str">
        <f>"1552376755128655"</f>
        <v>1552376755128655</v>
      </c>
      <c r="C2280" t="s">
        <v>40</v>
      </c>
      <c r="D2280">
        <v>4.2629029999999997</v>
      </c>
      <c r="E2280">
        <v>0.44340170000000001</v>
      </c>
      <c r="F2280" t="s">
        <v>42</v>
      </c>
      <c r="G2280">
        <v>-490.60719999999998</v>
      </c>
      <c r="H2280" s="1">
        <v>-4.3885749999999998E-7</v>
      </c>
      <c r="I2280">
        <v>230.2355</v>
      </c>
      <c r="J2280">
        <v>-487.14159999999998</v>
      </c>
      <c r="K2280">
        <v>1.112196</v>
      </c>
      <c r="L2280">
        <v>266.45729999999998</v>
      </c>
      <c r="M2280">
        <v>-0.2388913</v>
      </c>
      <c r="N2280">
        <v>0</v>
      </c>
      <c r="O2280">
        <v>-0.97093839999999998</v>
      </c>
      <c r="P2280">
        <v>-0.24553639999999999</v>
      </c>
      <c r="Q2280">
        <v>3.3645149999999999E-2</v>
      </c>
      <c r="R2280">
        <v>-0.96880319999999998</v>
      </c>
      <c r="S2280">
        <v>-0.29254150000000001</v>
      </c>
      <c r="T2280">
        <v>-9.2308039999999994E-2</v>
      </c>
      <c r="U2280">
        <v>-3.0264280000000001</v>
      </c>
      <c r="V2280">
        <v>6.7077789999999997E-3</v>
      </c>
      <c r="W2280">
        <v>4.8141299999999998E-2</v>
      </c>
      <c r="X2280">
        <v>0.99881799999999998</v>
      </c>
      <c r="Y2280">
        <v>-0.1444213</v>
      </c>
      <c r="Z2280">
        <v>2.894037E-2</v>
      </c>
      <c r="AA2280">
        <v>0.989093</v>
      </c>
      <c r="AB2280">
        <v>27</v>
      </c>
      <c r="AC2280">
        <v>-3.46559999999999</v>
      </c>
      <c r="AD2280">
        <v>-1.1121964388575001</v>
      </c>
      <c r="AE2280">
        <v>-36.221799999999902</v>
      </c>
      <c r="AF2280">
        <v>-5.2838065589233603</v>
      </c>
      <c r="AG2280">
        <v>-1.1121964388575001</v>
      </c>
      <c r="AH2280">
        <v>35.967208227271698</v>
      </c>
      <c r="AI2280">
        <v>91.752368596536499</v>
      </c>
      <c r="AJ2280">
        <v>98.357327414257398</v>
      </c>
      <c r="AK2280">
        <v>36.370257908552801</v>
      </c>
      <c r="AL2280">
        <v>87.2406401144044</v>
      </c>
      <c r="AM2280">
        <v>89.6152235452995</v>
      </c>
      <c r="AN2280">
        <v>0.99999998809440105</v>
      </c>
    </row>
    <row r="2281" spans="1:40" x14ac:dyDescent="0.25">
      <c r="A2281" t="str">
        <f>"20190312154555161"</f>
        <v>20190312154555161</v>
      </c>
      <c r="B2281" t="str">
        <f>"1552376755149151"</f>
        <v>1552376755149151</v>
      </c>
      <c r="C2281" t="s">
        <v>40</v>
      </c>
      <c r="D2281">
        <v>4.2789890000000002</v>
      </c>
      <c r="E2281">
        <v>0.44367099999999998</v>
      </c>
      <c r="F2281" t="s">
        <v>53</v>
      </c>
      <c r="G2281">
        <v>-490.7457</v>
      </c>
      <c r="H2281" s="1">
        <v>6.379551E-6</v>
      </c>
      <c r="I2281">
        <v>229.41900000000001</v>
      </c>
      <c r="J2281">
        <v>-487.2029</v>
      </c>
      <c r="K2281">
        <v>1.1117570000000001</v>
      </c>
      <c r="L2281">
        <v>266.1968</v>
      </c>
      <c r="M2281">
        <v>-0.23684179999999999</v>
      </c>
      <c r="N2281">
        <v>0</v>
      </c>
      <c r="O2281">
        <v>-0.97144140000000001</v>
      </c>
      <c r="P2281">
        <v>-0.24495990000000001</v>
      </c>
      <c r="Q2281">
        <v>3.3823300000000001E-2</v>
      </c>
      <c r="R2281">
        <v>-0.96894309999999995</v>
      </c>
      <c r="S2281">
        <v>-0.29437259999999998</v>
      </c>
      <c r="T2281">
        <v>-9.0839390000000006E-2</v>
      </c>
      <c r="U2281">
        <v>-3.0251459999999999</v>
      </c>
      <c r="V2281">
        <v>8.2763860000000002E-3</v>
      </c>
      <c r="W2281">
        <v>4.8257969999999997E-2</v>
      </c>
      <c r="X2281">
        <v>0.99880060000000004</v>
      </c>
      <c r="Y2281">
        <v>-0.14169789999999999</v>
      </c>
      <c r="Z2281">
        <v>2.8519840000000001E-2</v>
      </c>
      <c r="AA2281">
        <v>0.98949900000000002</v>
      </c>
      <c r="AB2281">
        <v>27</v>
      </c>
      <c r="AC2281">
        <v>-3.5428000000000002</v>
      </c>
      <c r="AD2281">
        <v>-1.111750620449</v>
      </c>
      <c r="AE2281">
        <v>-36.7777999999999</v>
      </c>
      <c r="AF2281">
        <v>-5.2646781282643902</v>
      </c>
      <c r="AG2281">
        <v>-1.111750620449</v>
      </c>
      <c r="AH2281">
        <v>36.537276076374901</v>
      </c>
      <c r="AI2281">
        <v>91.725044584627696</v>
      </c>
      <c r="AJ2281">
        <v>98.199348960968194</v>
      </c>
      <c r="AK2281">
        <v>36.931360228368597</v>
      </c>
      <c r="AL2281">
        <v>87.233947626971997</v>
      </c>
      <c r="AM2281">
        <v>89.525239437718099</v>
      </c>
      <c r="AN2281">
        <v>0.99999998439704996</v>
      </c>
    </row>
    <row r="2282" spans="1:40" x14ac:dyDescent="0.25">
      <c r="A2282" t="str">
        <f>"20190312154555194"</f>
        <v>20190312154555194</v>
      </c>
      <c r="B2282" t="str">
        <f>"1552376755189169"</f>
        <v>1552376755189169</v>
      </c>
      <c r="C2282" t="s">
        <v>40</v>
      </c>
      <c r="D2282">
        <v>4.273644</v>
      </c>
      <c r="E2282">
        <v>0.44952979999999998</v>
      </c>
      <c r="F2282" t="s">
        <v>53</v>
      </c>
      <c r="G2282">
        <v>-490.95479999999998</v>
      </c>
      <c r="H2282" s="1">
        <v>5.8301329999999997E-6</v>
      </c>
      <c r="I2282">
        <v>227.7388</v>
      </c>
      <c r="J2282">
        <v>-487.29239999999999</v>
      </c>
      <c r="K2282">
        <v>1.111165</v>
      </c>
      <c r="L2282">
        <v>265.81670000000003</v>
      </c>
      <c r="M2282">
        <v>-0.23478199999999999</v>
      </c>
      <c r="N2282">
        <v>0</v>
      </c>
      <c r="O2282">
        <v>-0.97194259999999999</v>
      </c>
      <c r="P2282">
        <v>-0.244171</v>
      </c>
      <c r="Q2282">
        <v>3.5357909999999999E-2</v>
      </c>
      <c r="R2282">
        <v>-0.9690879</v>
      </c>
      <c r="S2282">
        <v>-0.29507450000000002</v>
      </c>
      <c r="T2282">
        <v>-8.7435479999999996E-2</v>
      </c>
      <c r="U2282">
        <v>-3.024597</v>
      </c>
      <c r="V2282">
        <v>9.6611720000000009E-3</v>
      </c>
      <c r="W2282">
        <v>4.9706779999999999E-2</v>
      </c>
      <c r="X2282">
        <v>0.99871710000000002</v>
      </c>
      <c r="Y2282">
        <v>-0.13935110000000001</v>
      </c>
      <c r="Z2282">
        <v>2.7482989999999999E-2</v>
      </c>
      <c r="AA2282">
        <v>0.98986160000000001</v>
      </c>
      <c r="AB2282">
        <v>27</v>
      </c>
      <c r="AC2282">
        <v>-3.6623999999999901</v>
      </c>
      <c r="AD2282">
        <v>-1.111159169867</v>
      </c>
      <c r="AE2282">
        <v>-38.0779</v>
      </c>
      <c r="AF2282">
        <v>-5.3763782449612298</v>
      </c>
      <c r="AG2282">
        <v>-1.111159169867</v>
      </c>
      <c r="AH2282">
        <v>37.841352664088099</v>
      </c>
      <c r="AI2282">
        <v>91.665214980697399</v>
      </c>
      <c r="AJ2282">
        <v>98.086281357053906</v>
      </c>
      <c r="AK2282">
        <v>38.237522006290703</v>
      </c>
      <c r="AL2282">
        <v>87.150837128227906</v>
      </c>
      <c r="AM2282">
        <v>89.445761852722498</v>
      </c>
      <c r="AN2282">
        <v>0.99999997402739504</v>
      </c>
    </row>
    <row r="2283" spans="1:40" x14ac:dyDescent="0.25">
      <c r="A2283" t="str">
        <f>"20190312154555216"</f>
        <v>20190312154555216</v>
      </c>
      <c r="B2283" t="str">
        <f>"1552376755208687"</f>
        <v>1552376755208687</v>
      </c>
      <c r="C2283" t="s">
        <v>40</v>
      </c>
      <c r="D2283">
        <v>4.2770000000000001</v>
      </c>
      <c r="E2283">
        <v>0.44996710000000001</v>
      </c>
      <c r="F2283" t="s">
        <v>53</v>
      </c>
      <c r="G2283">
        <v>-493.83800000000002</v>
      </c>
      <c r="H2283" s="1">
        <v>2.0878679999999999E-6</v>
      </c>
      <c r="I2283">
        <v>207.46690000000001</v>
      </c>
      <c r="J2283">
        <v>-487.35390000000001</v>
      </c>
      <c r="K2283">
        <v>1.1108129999999901</v>
      </c>
      <c r="L2283">
        <v>265.5564</v>
      </c>
      <c r="M2283">
        <v>-0.23388410000000001</v>
      </c>
      <c r="N2283">
        <v>0</v>
      </c>
      <c r="O2283">
        <v>-0.97215960000000001</v>
      </c>
      <c r="P2283">
        <v>-0.2440416</v>
      </c>
      <c r="Q2283">
        <v>3.4331149999999998E-2</v>
      </c>
      <c r="R2283">
        <v>-0.96915700000000005</v>
      </c>
      <c r="S2283">
        <v>-0.33795170000000002</v>
      </c>
      <c r="T2283">
        <v>-5.7369950000000003E-2</v>
      </c>
      <c r="U2283">
        <v>-3.0126339999999998</v>
      </c>
      <c r="V2283">
        <v>1.0486550000000001E-2</v>
      </c>
      <c r="W2283">
        <v>4.8628999999999999E-2</v>
      </c>
      <c r="X2283">
        <v>0.99876180000000003</v>
      </c>
      <c r="Y2283">
        <v>-0.12408230000000001</v>
      </c>
      <c r="Z2283">
        <v>1.8120560000000001E-2</v>
      </c>
      <c r="AA2283">
        <v>0.99210640000000005</v>
      </c>
      <c r="AB2283">
        <v>27</v>
      </c>
      <c r="AC2283">
        <v>-6.4841000000000104</v>
      </c>
      <c r="AD2283">
        <v>-1.11081091213199</v>
      </c>
      <c r="AE2283">
        <v>-58.089500000000001</v>
      </c>
      <c r="AF2283">
        <v>-7.2807435279751997</v>
      </c>
      <c r="AG2283">
        <v>-1.11081091213199</v>
      </c>
      <c r="AH2283">
        <v>57.973768820577703</v>
      </c>
      <c r="AI2283">
        <v>91.089132682430304</v>
      </c>
      <c r="AJ2283">
        <v>97.1581211947653</v>
      </c>
      <c r="AK2283">
        <v>58.439721067647497</v>
      </c>
      <c r="AL2283">
        <v>87.212664061955607</v>
      </c>
      <c r="AM2283">
        <v>89.398442171781895</v>
      </c>
      <c r="AN2283">
        <v>0.99999994025556904</v>
      </c>
    </row>
    <row r="2284" spans="1:40" x14ac:dyDescent="0.25">
      <c r="A2284" t="str">
        <f>"20190312154555239"</f>
        <v>20190312154555239</v>
      </c>
      <c r="B2284" t="str">
        <f>"1552376755229184"</f>
        <v>1552376755229184</v>
      </c>
      <c r="C2284" t="s">
        <v>40</v>
      </c>
      <c r="D2284">
        <v>4.3136780000000003</v>
      </c>
      <c r="E2284">
        <v>0.45070470000000001</v>
      </c>
      <c r="F2284" t="s">
        <v>53</v>
      </c>
      <c r="G2284">
        <v>-493.21199999999999</v>
      </c>
      <c r="H2284" s="1">
        <v>2.6995479999999998E-6</v>
      </c>
      <c r="I2284">
        <v>213.7099</v>
      </c>
      <c r="J2284">
        <v>-487.41750000000002</v>
      </c>
      <c r="K2284">
        <v>1.110511</v>
      </c>
      <c r="L2284">
        <v>265.28809999999999</v>
      </c>
      <c r="M2284">
        <v>-0.23334830000000001</v>
      </c>
      <c r="N2284">
        <v>0</v>
      </c>
      <c r="O2284">
        <v>-0.97228910000000002</v>
      </c>
      <c r="P2284">
        <v>-0.24455859999999999</v>
      </c>
      <c r="Q2284">
        <v>3.1383849999999998E-2</v>
      </c>
      <c r="R2284">
        <v>-0.96912690000000001</v>
      </c>
      <c r="S2284">
        <v>-0.34033200000000002</v>
      </c>
      <c r="T2284">
        <v>-6.4533229999999997E-2</v>
      </c>
      <c r="U2284">
        <v>-3.012054</v>
      </c>
      <c r="V2284">
        <v>1.1586229999999999E-2</v>
      </c>
      <c r="W2284">
        <v>4.563445E-2</v>
      </c>
      <c r="X2284">
        <v>0.99889099999999997</v>
      </c>
      <c r="Y2284">
        <v>-0.1227448</v>
      </c>
      <c r="Z2284">
        <v>2.0391059999999999E-2</v>
      </c>
      <c r="AA2284">
        <v>0.99222869999999996</v>
      </c>
      <c r="AB2284">
        <v>27</v>
      </c>
      <c r="AC2284">
        <v>-5.79449999999997</v>
      </c>
      <c r="AD2284">
        <v>-1.110508300452</v>
      </c>
      <c r="AE2284">
        <v>-51.578199999999903</v>
      </c>
      <c r="AF2284">
        <v>-6.3994746977397297</v>
      </c>
      <c r="AG2284">
        <v>-1.110508300452</v>
      </c>
      <c r="AH2284">
        <v>51.482704905145802</v>
      </c>
      <c r="AI2284">
        <v>91.226273120306402</v>
      </c>
      <c r="AJ2284">
        <v>97.085714162764404</v>
      </c>
      <c r="AK2284">
        <v>51.890802744250401</v>
      </c>
      <c r="AL2284">
        <v>87.384430221881004</v>
      </c>
      <c r="AM2284">
        <v>89.335450703835704</v>
      </c>
      <c r="AN2284">
        <v>0.99999998681670699</v>
      </c>
    </row>
    <row r="2285" spans="1:40" x14ac:dyDescent="0.25">
      <c r="A2285" t="str">
        <f>"20190312154555262"</f>
        <v>20190312154555262</v>
      </c>
      <c r="B2285" t="str">
        <f>"1552376755259439"</f>
        <v>1552376755259439</v>
      </c>
      <c r="C2285" t="s">
        <v>40</v>
      </c>
      <c r="D2285">
        <v>4.3257830000000004</v>
      </c>
      <c r="E2285">
        <v>0.45129950000000002</v>
      </c>
      <c r="F2285" t="s">
        <v>53</v>
      </c>
      <c r="G2285">
        <v>-492.55309999999997</v>
      </c>
      <c r="H2285" s="1">
        <v>3.4228300000000001E-6</v>
      </c>
      <c r="I2285">
        <v>220.74039999999999</v>
      </c>
      <c r="J2285">
        <v>-487.48079999999999</v>
      </c>
      <c r="K2285">
        <v>1.1102510000000001</v>
      </c>
      <c r="L2285">
        <v>265.02229999999997</v>
      </c>
      <c r="M2285">
        <v>-0.23317289999999999</v>
      </c>
      <c r="N2285">
        <v>0</v>
      </c>
      <c r="O2285">
        <v>-0.97233150000000002</v>
      </c>
      <c r="P2285">
        <v>-0.24592520000000001</v>
      </c>
      <c r="Q2285">
        <v>2.9257350000000001E-2</v>
      </c>
      <c r="R2285">
        <v>-0.96884709999999996</v>
      </c>
      <c r="S2285">
        <v>-0.34704590000000002</v>
      </c>
      <c r="T2285">
        <v>-7.5044159999999999E-2</v>
      </c>
      <c r="U2285">
        <v>-3.0103759999999999</v>
      </c>
      <c r="V2285">
        <v>1.3190530000000001E-2</v>
      </c>
      <c r="W2285">
        <v>4.3465570000000002E-2</v>
      </c>
      <c r="X2285">
        <v>0.99896779999999996</v>
      </c>
      <c r="Y2285">
        <v>-0.1203277</v>
      </c>
      <c r="Z2285">
        <v>2.3725880000000001E-2</v>
      </c>
      <c r="AA2285">
        <v>0.99245070000000002</v>
      </c>
      <c r="AB2285">
        <v>27</v>
      </c>
      <c r="AC2285">
        <v>-5.0722999999999798</v>
      </c>
      <c r="AD2285">
        <v>-1.11024757717</v>
      </c>
      <c r="AE2285">
        <v>-44.281899999999901</v>
      </c>
      <c r="AF2285">
        <v>-5.3905816559498199</v>
      </c>
      <c r="AG2285">
        <v>-1.11024757717</v>
      </c>
      <c r="AH2285">
        <v>44.216439448947199</v>
      </c>
      <c r="AI2285">
        <v>91.427792507449496</v>
      </c>
      <c r="AJ2285">
        <v>96.9508289368014</v>
      </c>
      <c r="AK2285">
        <v>44.5576540878724</v>
      </c>
      <c r="AL2285">
        <v>87.508821341769803</v>
      </c>
      <c r="AM2285">
        <v>89.2435013612765</v>
      </c>
      <c r="AN2285">
        <v>0.99999995564697197</v>
      </c>
    </row>
    <row r="2286" spans="1:40" x14ac:dyDescent="0.25">
      <c r="A2286" t="str">
        <f>"20190312154555284"</f>
        <v>20190312154555284</v>
      </c>
      <c r="B2286" t="str">
        <f>"1552376755278959"</f>
        <v>1552376755278959</v>
      </c>
      <c r="C2286" t="s">
        <v>40</v>
      </c>
      <c r="D2286">
        <v>4.3040289999999999</v>
      </c>
      <c r="E2286">
        <v>0.45172299999999899</v>
      </c>
      <c r="F2286" t="s">
        <v>53</v>
      </c>
      <c r="G2286">
        <v>-492.15179999999998</v>
      </c>
      <c r="H2286" s="1">
        <v>4.85696E-6</v>
      </c>
      <c r="I2286">
        <v>225.45410000000001</v>
      </c>
      <c r="J2286">
        <v>-487.5421</v>
      </c>
      <c r="K2286">
        <v>1.110034</v>
      </c>
      <c r="L2286">
        <v>264.76620000000003</v>
      </c>
      <c r="M2286">
        <v>-0.23330039999999999</v>
      </c>
      <c r="N2286">
        <v>0</v>
      </c>
      <c r="O2286">
        <v>-0.97230139999999998</v>
      </c>
      <c r="P2286">
        <v>-0.24704619999999999</v>
      </c>
      <c r="Q2286">
        <v>2.9033630000000001E-2</v>
      </c>
      <c r="R2286">
        <v>-0.96856889999999995</v>
      </c>
      <c r="S2286">
        <v>-0.35519410000000001</v>
      </c>
      <c r="T2286">
        <v>-8.4425449999999999E-2</v>
      </c>
      <c r="U2286">
        <v>-3.0088499999999998</v>
      </c>
      <c r="V2286">
        <v>1.4237990000000001E-2</v>
      </c>
      <c r="W2286">
        <v>4.3204510000000002E-2</v>
      </c>
      <c r="X2286">
        <v>0.99896479999999999</v>
      </c>
      <c r="Y2286">
        <v>-0.11775770000000001</v>
      </c>
      <c r="Z2286">
        <v>2.6702139999999999E-2</v>
      </c>
      <c r="AA2286">
        <v>0.99268330000000005</v>
      </c>
      <c r="AB2286">
        <v>27</v>
      </c>
      <c r="AC2286">
        <v>-4.6096999999999699</v>
      </c>
      <c r="AD2286">
        <v>-1.11002914304</v>
      </c>
      <c r="AE2286">
        <v>-39.312100000000001</v>
      </c>
      <c r="AF2286">
        <v>-4.6862963890217904</v>
      </c>
      <c r="AG2286">
        <v>-1.11002914304</v>
      </c>
      <c r="AH2286">
        <v>39.271716812690698</v>
      </c>
      <c r="AI2286">
        <v>91.607654929438695</v>
      </c>
      <c r="AJ2286">
        <v>96.804930672372805</v>
      </c>
      <c r="AK2286">
        <v>39.565910579188397</v>
      </c>
      <c r="AL2286">
        <v>87.523793179912104</v>
      </c>
      <c r="AM2286">
        <v>89.183433186712506</v>
      </c>
      <c r="AN2286">
        <v>1.0000000108413101</v>
      </c>
    </row>
    <row r="2287" spans="1:40" x14ac:dyDescent="0.25">
      <c r="A2287" t="str">
        <f>"20190312154555306"</f>
        <v>20190312154555306</v>
      </c>
      <c r="B2287" t="str">
        <f>"1552376755299460"</f>
        <v>1552376755299460</v>
      </c>
      <c r="C2287" t="s">
        <v>40</v>
      </c>
      <c r="D2287">
        <v>4.3351069999999998</v>
      </c>
      <c r="E2287">
        <v>0.45192260000000001</v>
      </c>
      <c r="F2287" t="s">
        <v>53</v>
      </c>
      <c r="G2287">
        <v>-492.15129999999999</v>
      </c>
      <c r="H2287" s="1">
        <v>5.1772460000000002E-6</v>
      </c>
      <c r="I2287">
        <v>226.48759999999999</v>
      </c>
      <c r="J2287">
        <v>-487.60239999999999</v>
      </c>
      <c r="K2287">
        <v>1.1098330000000001</v>
      </c>
      <c r="L2287">
        <v>264.51560000000001</v>
      </c>
      <c r="M2287">
        <v>-0.23366390000000001</v>
      </c>
      <c r="N2287">
        <v>0</v>
      </c>
      <c r="O2287">
        <v>-0.97221429999999998</v>
      </c>
      <c r="P2287">
        <v>-0.24883420000000001</v>
      </c>
      <c r="Q2287">
        <v>2.983688E-2</v>
      </c>
      <c r="R2287">
        <v>-0.96808640000000001</v>
      </c>
      <c r="S2287">
        <v>-0.36215209999999998</v>
      </c>
      <c r="T2287">
        <v>-8.7216379999999996E-2</v>
      </c>
      <c r="U2287">
        <v>-3.0075989999999999</v>
      </c>
      <c r="V2287">
        <v>1.5737129999999998E-2</v>
      </c>
      <c r="W2287">
        <v>4.3973400000000003E-2</v>
      </c>
      <c r="X2287">
        <v>0.99890880000000004</v>
      </c>
      <c r="Y2287">
        <v>-0.1158192</v>
      </c>
      <c r="Z2287">
        <v>2.7591419999999998E-2</v>
      </c>
      <c r="AA2287">
        <v>0.99288699999999996</v>
      </c>
      <c r="AB2287">
        <v>27</v>
      </c>
      <c r="AC2287">
        <v>-4.5488999999999997</v>
      </c>
      <c r="AD2287">
        <v>-1.1098278227539999</v>
      </c>
      <c r="AE2287">
        <v>-38.027999999999999</v>
      </c>
      <c r="AF2287">
        <v>-4.4599676316415904</v>
      </c>
      <c r="AG2287">
        <v>-1.1098278227539999</v>
      </c>
      <c r="AH2287">
        <v>38.006178810329303</v>
      </c>
      <c r="AI2287">
        <v>91.661240272675499</v>
      </c>
      <c r="AJ2287">
        <v>96.692962936350298</v>
      </c>
      <c r="AK2287">
        <v>38.283059658733798</v>
      </c>
      <c r="AL2287">
        <v>87.479697224974899</v>
      </c>
      <c r="AM2287">
        <v>89.097418559223598</v>
      </c>
      <c r="AN2287">
        <v>1.00000005394281</v>
      </c>
    </row>
    <row r="2288" spans="1:40" x14ac:dyDescent="0.25">
      <c r="A2288" t="str">
        <f>"20190312154555327"</f>
        <v>20190312154555327</v>
      </c>
      <c r="B2288" t="str">
        <f>"1552376755318978"</f>
        <v>1552376755318978</v>
      </c>
      <c r="C2288" t="s">
        <v>40</v>
      </c>
      <c r="D2288">
        <v>4.3273760000000001</v>
      </c>
      <c r="E2288">
        <v>0.4520303</v>
      </c>
      <c r="F2288" t="s">
        <v>53</v>
      </c>
      <c r="G2288">
        <v>-492.40699999999998</v>
      </c>
      <c r="H2288" s="1">
        <v>4.7585530000000002E-6</v>
      </c>
      <c r="I2288">
        <v>225.31909999999999</v>
      </c>
      <c r="J2288">
        <v>-487.66309999999999</v>
      </c>
      <c r="K2288">
        <v>1.109658</v>
      </c>
      <c r="L2288">
        <v>264.2645</v>
      </c>
      <c r="M2288">
        <v>-0.23419470000000001</v>
      </c>
      <c r="N2288">
        <v>0</v>
      </c>
      <c r="O2288">
        <v>-0.97208709999999998</v>
      </c>
      <c r="P2288">
        <v>-0.25027719999999998</v>
      </c>
      <c r="Q2288">
        <v>2.8662759999999999E-2</v>
      </c>
      <c r="R2288">
        <v>-0.96775</v>
      </c>
      <c r="S2288">
        <v>-0.36856080000000002</v>
      </c>
      <c r="T2288">
        <v>-8.5135219999999998E-2</v>
      </c>
      <c r="U2288">
        <v>-3.0067750000000002</v>
      </c>
      <c r="V2288">
        <v>1.6690440000000001E-2</v>
      </c>
      <c r="W2288">
        <v>4.2769559999999998E-2</v>
      </c>
      <c r="X2288">
        <v>0.99894550000000004</v>
      </c>
      <c r="Y2288">
        <v>-0.1142413</v>
      </c>
      <c r="Z2288">
        <v>2.693473E-2</v>
      </c>
      <c r="AA2288">
        <v>0.99308779999999997</v>
      </c>
      <c r="AB2288">
        <v>27</v>
      </c>
      <c r="AC2288">
        <v>-4.7438999999999902</v>
      </c>
      <c r="AD2288">
        <v>-1.1096532414469999</v>
      </c>
      <c r="AE2288">
        <v>-38.945399999999999</v>
      </c>
      <c r="AF2288">
        <v>-4.5061674432651797</v>
      </c>
      <c r="AG2288">
        <v>-1.1096532414469999</v>
      </c>
      <c r="AH2288">
        <v>38.942053291909701</v>
      </c>
      <c r="AI2288">
        <v>91.621387565133801</v>
      </c>
      <c r="AJ2288">
        <v>96.600607094848996</v>
      </c>
      <c r="AK2288">
        <v>39.217603062055304</v>
      </c>
      <c r="AL2288">
        <v>87.548736909357302</v>
      </c>
      <c r="AM2288">
        <v>89.042787820528005</v>
      </c>
      <c r="AN2288">
        <v>0.99999995901011696</v>
      </c>
    </row>
    <row r="2289" spans="1:40" x14ac:dyDescent="0.25">
      <c r="A2289" t="str">
        <f>"20190312154555352"</f>
        <v>20190312154555352</v>
      </c>
      <c r="B2289" t="str">
        <f>"1552376755339471"</f>
        <v>1552376755339471</v>
      </c>
      <c r="C2289" t="s">
        <v>40</v>
      </c>
      <c r="D2289">
        <v>4.3466310000000004</v>
      </c>
      <c r="E2289">
        <v>0.4521058</v>
      </c>
      <c r="F2289" t="s">
        <v>53</v>
      </c>
      <c r="G2289">
        <v>-492.29930000000002</v>
      </c>
      <c r="H2289" s="1">
        <v>5.2891790000000002E-6</v>
      </c>
      <c r="I2289">
        <v>226.95490000000001</v>
      </c>
      <c r="J2289">
        <v>-487.73149999999998</v>
      </c>
      <c r="K2289">
        <v>1.1094900000000001</v>
      </c>
      <c r="L2289">
        <v>263.9837</v>
      </c>
      <c r="M2289">
        <v>-0.23496710000000001</v>
      </c>
      <c r="N2289">
        <v>0</v>
      </c>
      <c r="O2289">
        <v>-0.97190100000000001</v>
      </c>
      <c r="P2289">
        <v>-0.25275989999999998</v>
      </c>
      <c r="Q2289">
        <v>2.6875050000000001E-2</v>
      </c>
      <c r="R2289">
        <v>-0.96715580000000001</v>
      </c>
      <c r="S2289">
        <v>-0.37353520000000001</v>
      </c>
      <c r="T2289">
        <v>-8.9403869999999996E-2</v>
      </c>
      <c r="U2289">
        <v>-3.0060120000000001</v>
      </c>
      <c r="V2289">
        <v>1.8463420000000001E-2</v>
      </c>
      <c r="W2289">
        <v>4.0951069999999999E-2</v>
      </c>
      <c r="X2289">
        <v>0.9989905</v>
      </c>
      <c r="Y2289">
        <v>-0.1133861</v>
      </c>
      <c r="Z2289">
        <v>2.828168E-2</v>
      </c>
      <c r="AA2289">
        <v>0.99314840000000004</v>
      </c>
      <c r="AB2289">
        <v>27</v>
      </c>
      <c r="AC2289">
        <v>-4.5678000000000303</v>
      </c>
      <c r="AD2289">
        <v>-1.109484710821</v>
      </c>
      <c r="AE2289">
        <v>-37.028799999999897</v>
      </c>
      <c r="AF2289">
        <v>-4.25775903393634</v>
      </c>
      <c r="AG2289">
        <v>-1.109484710821</v>
      </c>
      <c r="AH2289">
        <v>37.032548702939202</v>
      </c>
      <c r="AI2289">
        <v>91.704827799720903</v>
      </c>
      <c r="AJ2289">
        <v>96.558693746309302</v>
      </c>
      <c r="AK2289">
        <v>37.293017198266199</v>
      </c>
      <c r="AL2289">
        <v>87.653020124439706</v>
      </c>
      <c r="AM2289">
        <v>88.941175502914803</v>
      </c>
      <c r="AN2289">
        <v>0.99999995355124405</v>
      </c>
    </row>
    <row r="2290" spans="1:40" x14ac:dyDescent="0.25">
      <c r="A2290" t="str">
        <f>"20190312154555363"</f>
        <v>20190312154555363</v>
      </c>
      <c r="B2290" t="str">
        <f>"1552376755358991"</f>
        <v>1552376755358991</v>
      </c>
      <c r="C2290" t="s">
        <v>40</v>
      </c>
      <c r="D2290">
        <v>4.3452840000000004</v>
      </c>
      <c r="E2290">
        <v>0.4521559</v>
      </c>
      <c r="F2290" t="s">
        <v>53</v>
      </c>
      <c r="G2290">
        <v>-492.1995</v>
      </c>
      <c r="H2290" s="1">
        <v>5.8560889999999996E-6</v>
      </c>
      <c r="I2290">
        <v>228.80090000000001</v>
      </c>
      <c r="J2290">
        <v>-487.76569999999998</v>
      </c>
      <c r="K2290">
        <v>1.1094170000000001</v>
      </c>
      <c r="L2290">
        <v>263.84410000000003</v>
      </c>
      <c r="M2290">
        <v>-0.2354031</v>
      </c>
      <c r="N2290">
        <v>0</v>
      </c>
      <c r="O2290">
        <v>-0.97179559999999998</v>
      </c>
      <c r="P2290">
        <v>-0.25411420000000001</v>
      </c>
      <c r="Q2290">
        <v>2.6466440000000001E-2</v>
      </c>
      <c r="R2290">
        <v>-0.966812</v>
      </c>
      <c r="S2290">
        <v>-0.38159179999999998</v>
      </c>
      <c r="T2290">
        <v>-9.4755649999999997E-2</v>
      </c>
      <c r="U2290">
        <v>-3.004791</v>
      </c>
      <c r="V2290">
        <v>1.941849E-2</v>
      </c>
      <c r="W2290">
        <v>4.0527510000000003E-2</v>
      </c>
      <c r="X2290">
        <v>0.99898969999999998</v>
      </c>
      <c r="Y2290">
        <v>-0.11116719999999999</v>
      </c>
      <c r="Z2290">
        <v>2.9979289999999999E-2</v>
      </c>
      <c r="AA2290">
        <v>0.99334940000000005</v>
      </c>
      <c r="AB2290">
        <v>27</v>
      </c>
      <c r="AC2290">
        <v>-4.4338000000000104</v>
      </c>
      <c r="AD2290">
        <v>-1.1094111439109999</v>
      </c>
      <c r="AE2290">
        <v>-35.043199999999999</v>
      </c>
      <c r="AF2290">
        <v>-3.9370383795006001</v>
      </c>
      <c r="AG2290">
        <v>-1.1094111439109999</v>
      </c>
      <c r="AH2290">
        <v>35.067452558065902</v>
      </c>
      <c r="AI2290">
        <v>91.800727319904695</v>
      </c>
      <c r="AJ2290">
        <v>96.405798047434402</v>
      </c>
      <c r="AK2290">
        <v>35.305202069951299</v>
      </c>
      <c r="AL2290">
        <v>87.677308571899403</v>
      </c>
      <c r="AM2290">
        <v>88.8864175226052</v>
      </c>
      <c r="AN2290">
        <v>0.99999998876338403</v>
      </c>
    </row>
    <row r="2291" spans="1:40" x14ac:dyDescent="0.25">
      <c r="A2291" t="str">
        <f>"20190312154555384"</f>
        <v>20190312154555384</v>
      </c>
      <c r="B2291" t="str">
        <f>"1552376755379487"</f>
        <v>1552376755379487</v>
      </c>
      <c r="C2291" t="s">
        <v>40</v>
      </c>
      <c r="D2291">
        <v>4.3096019999999999</v>
      </c>
      <c r="E2291">
        <v>0.45221909999999998</v>
      </c>
      <c r="F2291" t="s">
        <v>53</v>
      </c>
      <c r="G2291">
        <v>-492.24889999999999</v>
      </c>
      <c r="H2291" s="1">
        <v>5.8842119999999998E-6</v>
      </c>
      <c r="I2291">
        <v>228.98759999999999</v>
      </c>
      <c r="J2291">
        <v>-487.8229</v>
      </c>
      <c r="K2291">
        <v>1.1093200000000001</v>
      </c>
      <c r="L2291">
        <v>263.61180000000002</v>
      </c>
      <c r="M2291">
        <v>-0.23624419999999999</v>
      </c>
      <c r="N2291">
        <v>0</v>
      </c>
      <c r="O2291">
        <v>-0.97159169999999995</v>
      </c>
      <c r="P2291">
        <v>-0.2563954</v>
      </c>
      <c r="Q2291">
        <v>2.5754579999999999E-2</v>
      </c>
      <c r="R2291">
        <v>-0.96622889999999995</v>
      </c>
      <c r="S2291">
        <v>-0.38638309999999998</v>
      </c>
      <c r="T2291">
        <v>-9.5612879999999997E-2</v>
      </c>
      <c r="U2291">
        <v>-3.0040589999999998</v>
      </c>
      <c r="V2291">
        <v>2.0916589999999999E-2</v>
      </c>
      <c r="W2291">
        <v>3.9793299999999997E-2</v>
      </c>
      <c r="X2291">
        <v>0.99898900000000002</v>
      </c>
      <c r="Y2291">
        <v>-0.1104392</v>
      </c>
      <c r="Z2291">
        <v>3.0246249999999999E-2</v>
      </c>
      <c r="AA2291">
        <v>0.99342260000000004</v>
      </c>
      <c r="AB2291">
        <v>27</v>
      </c>
      <c r="AC2291">
        <v>-4.4259999999999797</v>
      </c>
      <c r="AD2291">
        <v>-1.109314115788</v>
      </c>
      <c r="AE2291">
        <v>-34.624200000000002</v>
      </c>
      <c r="AF2291">
        <v>-3.8759715391567502</v>
      </c>
      <c r="AG2291">
        <v>-1.109314115788</v>
      </c>
      <c r="AH2291">
        <v>34.654640586715203</v>
      </c>
      <c r="AI2291">
        <v>91.822089851071297</v>
      </c>
      <c r="AJ2291">
        <v>96.381762325684406</v>
      </c>
      <c r="AK2291">
        <v>34.888362635329401</v>
      </c>
      <c r="AL2291">
        <v>87.719409735666105</v>
      </c>
      <c r="AM2291">
        <v>88.800530087864999</v>
      </c>
      <c r="AN2291">
        <v>1.0000000162915501</v>
      </c>
    </row>
    <row r="2292" spans="1:40" x14ac:dyDescent="0.25">
      <c r="A2292" t="str">
        <f>"20190312154555396"</f>
        <v>20190312154555396</v>
      </c>
      <c r="B2292" t="str">
        <f>"1552376755389248"</f>
        <v>1552376755389248</v>
      </c>
      <c r="C2292" t="s">
        <v>40</v>
      </c>
      <c r="D2292">
        <v>4.3750819999999999</v>
      </c>
      <c r="E2292">
        <v>0.45227980000000001</v>
      </c>
      <c r="F2292" t="s">
        <v>53</v>
      </c>
      <c r="G2292">
        <v>-492.30790000000002</v>
      </c>
      <c r="H2292" s="1">
        <v>5.9524589999999997E-6</v>
      </c>
      <c r="I2292">
        <v>229.3672</v>
      </c>
      <c r="J2292">
        <v>-487.8587</v>
      </c>
      <c r="K2292">
        <v>1.109267</v>
      </c>
      <c r="L2292">
        <v>263.46699999999998</v>
      </c>
      <c r="M2292">
        <v>-0.23682990000000001</v>
      </c>
      <c r="N2292">
        <v>0</v>
      </c>
      <c r="O2292">
        <v>-0.97144929999999996</v>
      </c>
      <c r="P2292">
        <v>-0.25752599999999998</v>
      </c>
      <c r="Q2292">
        <v>2.530891E-2</v>
      </c>
      <c r="R2292">
        <v>-0.96594009999999997</v>
      </c>
      <c r="S2292">
        <v>-0.39331050000000001</v>
      </c>
      <c r="T2292">
        <v>-9.7280500000000006E-2</v>
      </c>
      <c r="U2292">
        <v>-3.0030519999999998</v>
      </c>
      <c r="V2292">
        <v>2.1485250000000001E-2</v>
      </c>
      <c r="W2292">
        <v>3.93359E-2</v>
      </c>
      <c r="X2292">
        <v>0.99899499999999997</v>
      </c>
      <c r="Y2292">
        <v>-0.10874449999999999</v>
      </c>
      <c r="Z2292">
        <v>3.0775230000000001E-2</v>
      </c>
      <c r="AA2292">
        <v>0.99359319999999896</v>
      </c>
      <c r="AB2292">
        <v>27</v>
      </c>
      <c r="AC2292">
        <v>-4.44920000000001</v>
      </c>
      <c r="AD2292">
        <v>-1.1092610475409901</v>
      </c>
      <c r="AE2292">
        <v>-34.099799999999902</v>
      </c>
      <c r="AF2292">
        <v>-3.7501494515773</v>
      </c>
      <c r="AG2292">
        <v>-1.1092610475409901</v>
      </c>
      <c r="AH2292">
        <v>34.147782286763402</v>
      </c>
      <c r="AI2292">
        <v>91.8494378566145</v>
      </c>
      <c r="AJ2292">
        <v>96.267174665020804</v>
      </c>
      <c r="AK2292">
        <v>34.370992363982602</v>
      </c>
      <c r="AL2292">
        <v>87.745637255347603</v>
      </c>
      <c r="AM2292">
        <v>88.7679373775253</v>
      </c>
      <c r="AN2292">
        <v>0.99999996951068504</v>
      </c>
    </row>
    <row r="2293" spans="1:40" x14ac:dyDescent="0.25">
      <c r="A2293" t="str">
        <f>"20190312154555408"</f>
        <v>20190312154555408</v>
      </c>
      <c r="B2293" t="str">
        <f>"1552376755399007"</f>
        <v>1552376755399007</v>
      </c>
      <c r="C2293" t="s">
        <v>40</v>
      </c>
      <c r="D2293">
        <v>4.3672750000000002</v>
      </c>
      <c r="E2293">
        <v>0.45233459999999998</v>
      </c>
      <c r="F2293" t="s">
        <v>53</v>
      </c>
      <c r="G2293">
        <v>-492.35250000000002</v>
      </c>
      <c r="H2293" s="1">
        <v>5.9751849999999998E-6</v>
      </c>
      <c r="I2293">
        <v>229.52369999999999</v>
      </c>
      <c r="J2293">
        <v>-487.89359999999999</v>
      </c>
      <c r="K2293">
        <v>1.109218</v>
      </c>
      <c r="L2293">
        <v>263.32619999999997</v>
      </c>
      <c r="M2293">
        <v>-0.23742070000000001</v>
      </c>
      <c r="N2293">
        <v>0</v>
      </c>
      <c r="O2293">
        <v>-0.97130539999999999</v>
      </c>
      <c r="P2293">
        <v>-0.25909779999999999</v>
      </c>
      <c r="Q2293">
        <v>2.5177270000000002E-2</v>
      </c>
      <c r="R2293">
        <v>-0.96552329999999997</v>
      </c>
      <c r="S2293">
        <v>-0.3974915</v>
      </c>
      <c r="T2293">
        <v>-9.8117109999999993E-2</v>
      </c>
      <c r="U2293">
        <v>-3.00238</v>
      </c>
      <c r="V2293">
        <v>2.2507579999999999E-2</v>
      </c>
      <c r="W2293">
        <v>3.9191530000000002E-2</v>
      </c>
      <c r="X2293">
        <v>0.99897820000000004</v>
      </c>
      <c r="Y2293">
        <v>-0.1079615</v>
      </c>
      <c r="Z2293">
        <v>3.1038179999999999E-2</v>
      </c>
      <c r="AA2293">
        <v>0.99367050000000001</v>
      </c>
      <c r="AB2293">
        <v>27</v>
      </c>
      <c r="AC2293">
        <v>-4.4589000000000203</v>
      </c>
      <c r="AD2293">
        <v>-1.1092120248149999</v>
      </c>
      <c r="AE2293">
        <v>-33.802499999999903</v>
      </c>
      <c r="AF2293">
        <v>-3.6909175735629498</v>
      </c>
      <c r="AG2293">
        <v>-1.1092120248149999</v>
      </c>
      <c r="AH2293">
        <v>33.858693437687599</v>
      </c>
      <c r="AI2293">
        <v>91.865298641711902</v>
      </c>
      <c r="AJ2293">
        <v>96.221216693319306</v>
      </c>
      <c r="AK2293">
        <v>34.077328902925203</v>
      </c>
      <c r="AL2293">
        <v>87.753915511901894</v>
      </c>
      <c r="AM2293">
        <v>88.709309976002203</v>
      </c>
      <c r="AN2293">
        <v>1.0000000056282099</v>
      </c>
    </row>
    <row r="2294" spans="1:40" x14ac:dyDescent="0.25">
      <c r="A2294" t="str">
        <f>"20190312154555422"</f>
        <v>20190312154555422</v>
      </c>
      <c r="B2294" t="str">
        <f>"1552376755419503"</f>
        <v>1552376755419503</v>
      </c>
      <c r="C2294" t="s">
        <v>40</v>
      </c>
      <c r="D2294">
        <v>4.3595100000000002</v>
      </c>
      <c r="E2294">
        <v>0.45229320000000001</v>
      </c>
      <c r="F2294" t="s">
        <v>53</v>
      </c>
      <c r="G2294">
        <v>-492.44569999999999</v>
      </c>
      <c r="H2294" s="1">
        <v>5.9211139999999999E-6</v>
      </c>
      <c r="I2294">
        <v>229.3913</v>
      </c>
      <c r="J2294">
        <v>-487.93259999999998</v>
      </c>
      <c r="K2294">
        <v>1.1091690000000001</v>
      </c>
      <c r="L2294">
        <v>263.1696</v>
      </c>
      <c r="M2294">
        <v>-0.2381064</v>
      </c>
      <c r="N2294">
        <v>0</v>
      </c>
      <c r="O2294">
        <v>-0.97113760000000005</v>
      </c>
      <c r="P2294">
        <v>-0.26040259999999998</v>
      </c>
      <c r="Q2294">
        <v>2.4939869999999999E-2</v>
      </c>
      <c r="R2294">
        <v>-0.96517830000000004</v>
      </c>
      <c r="S2294">
        <v>-0.40264889999999998</v>
      </c>
      <c r="T2294">
        <v>-9.8114370000000006E-2</v>
      </c>
      <c r="U2294">
        <v>-3.0016780000000001</v>
      </c>
      <c r="V2294">
        <v>2.3155390000000001E-2</v>
      </c>
      <c r="W2294">
        <v>3.8942810000000001E-2</v>
      </c>
      <c r="X2294">
        <v>0.99897309999999995</v>
      </c>
      <c r="Y2294">
        <v>-0.1069556</v>
      </c>
      <c r="Z2294">
        <v>3.1034740000000002E-2</v>
      </c>
      <c r="AA2294">
        <v>0.99377930000000003</v>
      </c>
      <c r="AB2294">
        <v>27</v>
      </c>
      <c r="AC2294">
        <v>-4.5130999999999997</v>
      </c>
      <c r="AD2294">
        <v>-1.1091630788860001</v>
      </c>
      <c r="AE2294">
        <v>-33.778300000000002</v>
      </c>
      <c r="AF2294">
        <v>-3.6564756510195799</v>
      </c>
      <c r="AG2294">
        <v>-1.1091630788860001</v>
      </c>
      <c r="AH2294">
        <v>33.845460951544098</v>
      </c>
      <c r="AI2294">
        <v>91.866140122904298</v>
      </c>
      <c r="AJ2294">
        <v>96.166003337320006</v>
      </c>
      <c r="AK2294">
        <v>34.060465116386197</v>
      </c>
      <c r="AL2294">
        <v>87.768176958441799</v>
      </c>
      <c r="AM2294">
        <v>88.672167854624306</v>
      </c>
      <c r="AN2294">
        <v>0.99999998453017802</v>
      </c>
    </row>
    <row r="2295" spans="1:40" x14ac:dyDescent="0.25">
      <c r="A2295" t="str">
        <f>"20190312154555441"</f>
        <v>20190312154555441</v>
      </c>
      <c r="B2295" t="str">
        <f>"1552376755429263"</f>
        <v>1552376755429263</v>
      </c>
      <c r="C2295" t="s">
        <v>40</v>
      </c>
      <c r="D2295">
        <v>4.3882529999999997</v>
      </c>
      <c r="E2295">
        <v>0.45223809999999898</v>
      </c>
      <c r="F2295" t="s">
        <v>53</v>
      </c>
      <c r="G2295">
        <v>-492.53680000000003</v>
      </c>
      <c r="H2295" s="1">
        <v>5.8565069999999997E-6</v>
      </c>
      <c r="I2295">
        <v>229.2088</v>
      </c>
      <c r="J2295">
        <v>-487.98610000000002</v>
      </c>
      <c r="K2295">
        <v>1.109119</v>
      </c>
      <c r="L2295">
        <v>262.95600000000002</v>
      </c>
      <c r="M2295">
        <v>-0.23909540000000001</v>
      </c>
      <c r="N2295">
        <v>0</v>
      </c>
      <c r="O2295">
        <v>-0.97089429999999999</v>
      </c>
      <c r="P2295">
        <v>-0.2630033</v>
      </c>
      <c r="Q2295">
        <v>2.437626E-2</v>
      </c>
      <c r="R2295">
        <v>-0.96448690000000004</v>
      </c>
      <c r="S2295">
        <v>-0.40686040000000001</v>
      </c>
      <c r="T2295">
        <v>-9.8013160000000002E-2</v>
      </c>
      <c r="U2295">
        <v>-3.001007</v>
      </c>
      <c r="V2295">
        <v>2.4831289999999999E-2</v>
      </c>
      <c r="W2295">
        <v>3.8362449999999999E-2</v>
      </c>
      <c r="X2295">
        <v>0.99895529999999999</v>
      </c>
      <c r="Y2295">
        <v>-0.1065692</v>
      </c>
      <c r="Z2295">
        <v>3.0995729999999999E-2</v>
      </c>
      <c r="AA2295">
        <v>0.99382199999999998</v>
      </c>
      <c r="AB2295">
        <v>27</v>
      </c>
      <c r="AC2295">
        <v>-4.5507</v>
      </c>
      <c r="AD2295">
        <v>-1.1091131434929999</v>
      </c>
      <c r="AE2295">
        <v>-33.7471999999999</v>
      </c>
      <c r="AF2295">
        <v>-3.64704347586098</v>
      </c>
      <c r="AG2295">
        <v>-1.1091131434929999</v>
      </c>
      <c r="AH2295">
        <v>33.820483403942802</v>
      </c>
      <c r="AI2295">
        <v>91.867472977602802</v>
      </c>
      <c r="AJ2295">
        <v>96.154726978715999</v>
      </c>
      <c r="AK2295">
        <v>34.034631711776399</v>
      </c>
      <c r="AL2295">
        <v>87.801453997859298</v>
      </c>
      <c r="AM2295">
        <v>88.576077229075096</v>
      </c>
      <c r="AN2295">
        <v>0.99999998096557796</v>
      </c>
    </row>
    <row r="2296" spans="1:40" x14ac:dyDescent="0.25">
      <c r="A2296" t="str">
        <f>"20190312154555465"</f>
        <v>20190312154555465</v>
      </c>
      <c r="B2296" t="str">
        <f>"1552376755459520"</f>
        <v>1552376755459520</v>
      </c>
      <c r="C2296" t="s">
        <v>40</v>
      </c>
      <c r="D2296">
        <v>4.4250809999999996</v>
      </c>
      <c r="E2296">
        <v>0.4520402</v>
      </c>
      <c r="F2296" t="s">
        <v>53</v>
      </c>
      <c r="G2296">
        <v>-492.60289999999998</v>
      </c>
      <c r="H2296" s="1">
        <v>5.9057169999999999E-6</v>
      </c>
      <c r="I2296">
        <v>229.51079999999999</v>
      </c>
      <c r="J2296">
        <v>-488.05220000000003</v>
      </c>
      <c r="K2296">
        <v>1.109076</v>
      </c>
      <c r="L2296">
        <v>262.69369999999998</v>
      </c>
      <c r="M2296">
        <v>-0.24035709999999999</v>
      </c>
      <c r="N2296">
        <v>0</v>
      </c>
      <c r="O2296">
        <v>-0.97058310000000003</v>
      </c>
      <c r="P2296">
        <v>-0.26593909999999998</v>
      </c>
      <c r="Q2296">
        <v>2.4078169999999999E-2</v>
      </c>
      <c r="R2296">
        <v>-0.96368940000000003</v>
      </c>
      <c r="S2296">
        <v>-0.41412349999999998</v>
      </c>
      <c r="T2296">
        <v>-9.9487419999999993E-2</v>
      </c>
      <c r="U2296">
        <v>-3.0000309999999999</v>
      </c>
      <c r="V2296">
        <v>2.6577159999999999E-2</v>
      </c>
      <c r="W2296">
        <v>3.8047020000000001E-2</v>
      </c>
      <c r="X2296">
        <v>0.99892250000000005</v>
      </c>
      <c r="Y2296">
        <v>-0.1054585</v>
      </c>
      <c r="Z2296">
        <v>3.1453290000000002E-2</v>
      </c>
      <c r="AA2296">
        <v>0.99392619999999998</v>
      </c>
      <c r="AB2296">
        <v>26</v>
      </c>
      <c r="AC2296">
        <v>-4.5506999999999396</v>
      </c>
      <c r="AD2296">
        <v>-1.1090700942830001</v>
      </c>
      <c r="AE2296">
        <v>-33.182899999999897</v>
      </c>
      <c r="AF2296">
        <v>-3.55536519016063</v>
      </c>
      <c r="AG2296">
        <v>-1.1090700942830001</v>
      </c>
      <c r="AH2296">
        <v>33.267357401936799</v>
      </c>
      <c r="AI2296">
        <v>91.898620564656895</v>
      </c>
      <c r="AJ2296">
        <v>96.100187819501201</v>
      </c>
      <c r="AK2296">
        <v>33.4751807555634</v>
      </c>
      <c r="AL2296">
        <v>87.819540141170805</v>
      </c>
      <c r="AM2296">
        <v>88.475957897860994</v>
      </c>
      <c r="AN2296">
        <v>1.00000004108539</v>
      </c>
    </row>
    <row r="2297" spans="1:40" x14ac:dyDescent="0.25">
      <c r="A2297" t="str">
        <f>"20190312154555486"</f>
        <v>20190312154555486</v>
      </c>
      <c r="B2297" t="str">
        <f>"1552376755479039"</f>
        <v>1552376755479039</v>
      </c>
      <c r="C2297" t="s">
        <v>40</v>
      </c>
      <c r="D2297">
        <v>4.374536</v>
      </c>
      <c r="E2297">
        <v>0.45195109999999999</v>
      </c>
      <c r="F2297" t="s">
        <v>53</v>
      </c>
      <c r="G2297">
        <v>-492.78960000000001</v>
      </c>
      <c r="H2297" s="1">
        <v>5.7432039999999996E-6</v>
      </c>
      <c r="I2297">
        <v>229.00049999999999</v>
      </c>
      <c r="J2297">
        <v>-488.11750000000001</v>
      </c>
      <c r="K2297">
        <v>1.1090530000000001</v>
      </c>
      <c r="L2297">
        <v>262.43610000000001</v>
      </c>
      <c r="M2297">
        <v>-0.2416314</v>
      </c>
      <c r="N2297">
        <v>0</v>
      </c>
      <c r="O2297">
        <v>-0.97026679999999998</v>
      </c>
      <c r="P2297">
        <v>-0.26881290000000002</v>
      </c>
      <c r="Q2297">
        <v>2.3515910000000001E-2</v>
      </c>
      <c r="R2297">
        <v>-0.96290549999999997</v>
      </c>
      <c r="S2297">
        <v>-0.42169190000000001</v>
      </c>
      <c r="T2297">
        <v>-9.8721859999999995E-2</v>
      </c>
      <c r="U2297">
        <v>-2.9991460000000001</v>
      </c>
      <c r="V2297">
        <v>2.824339E-2</v>
      </c>
      <c r="W2297">
        <v>3.7469500000000003E-2</v>
      </c>
      <c r="X2297">
        <v>0.99889859999999997</v>
      </c>
      <c r="Y2297">
        <v>-0.10426290000000001</v>
      </c>
      <c r="Z2297">
        <v>3.120202E-2</v>
      </c>
      <c r="AA2297">
        <v>0.99406019999999995</v>
      </c>
      <c r="AB2297">
        <v>26</v>
      </c>
      <c r="AC2297">
        <v>-4.6721000000000004</v>
      </c>
      <c r="AD2297">
        <v>-1.1090472567959999</v>
      </c>
      <c r="AE2297">
        <v>-33.435600000000001</v>
      </c>
      <c r="AF2297">
        <v>-3.5424331083574598</v>
      </c>
      <c r="AG2297">
        <v>-1.1090472567959999</v>
      </c>
      <c r="AH2297">
        <v>33.537487057322899</v>
      </c>
      <c r="AI2297">
        <v>91.883546779133198</v>
      </c>
      <c r="AJ2297">
        <v>96.029570897650999</v>
      </c>
      <c r="AK2297">
        <v>33.742285877887603</v>
      </c>
      <c r="AL2297">
        <v>87.852653193889395</v>
      </c>
      <c r="AM2297">
        <v>88.380420171976496</v>
      </c>
      <c r="AN2297">
        <v>1.0000000327954499</v>
      </c>
    </row>
    <row r="2298" spans="1:40" x14ac:dyDescent="0.25">
      <c r="A2298" t="str">
        <f>"20190312154555509"</f>
        <v>20190312154555509</v>
      </c>
      <c r="B2298" t="str">
        <f>"1552376755499536"</f>
        <v>1552376755499536</v>
      </c>
      <c r="C2298" t="s">
        <v>40</v>
      </c>
      <c r="D2298">
        <v>4.4093839999999904</v>
      </c>
      <c r="E2298">
        <v>0.44863160000000002</v>
      </c>
      <c r="F2298" t="s">
        <v>53</v>
      </c>
      <c r="G2298">
        <v>-492.89359999999999</v>
      </c>
      <c r="H2298" s="1">
        <v>5.742721E-6</v>
      </c>
      <c r="I2298">
        <v>229.12350000000001</v>
      </c>
      <c r="J2298">
        <v>-488.18150000000003</v>
      </c>
      <c r="K2298">
        <v>1.1090469999999999</v>
      </c>
      <c r="L2298">
        <v>262.185</v>
      </c>
      <c r="M2298">
        <v>-0.24288489999999999</v>
      </c>
      <c r="N2298">
        <v>0</v>
      </c>
      <c r="O2298">
        <v>-0.96995370000000003</v>
      </c>
      <c r="P2298">
        <v>-0.27136749999999998</v>
      </c>
      <c r="Q2298">
        <v>2.3080639999999999E-2</v>
      </c>
      <c r="R2298">
        <v>-0.96219920000000003</v>
      </c>
      <c r="S2298">
        <v>-0.4298401</v>
      </c>
      <c r="T2298">
        <v>-9.9811430000000007E-2</v>
      </c>
      <c r="U2298">
        <v>-2.9980470000000001</v>
      </c>
      <c r="V2298">
        <v>2.960107E-2</v>
      </c>
      <c r="W2298">
        <v>3.7021579999999998E-2</v>
      </c>
      <c r="X2298">
        <v>0.99887599999999999</v>
      </c>
      <c r="Y2298">
        <v>-0.102851</v>
      </c>
      <c r="Z2298">
        <v>3.1538650000000001E-2</v>
      </c>
      <c r="AA2298">
        <v>0.99419669999999905</v>
      </c>
      <c r="AB2298">
        <v>26</v>
      </c>
      <c r="AC2298">
        <v>-4.7120999999999604</v>
      </c>
      <c r="AD2298">
        <v>-1.1090412572789901</v>
      </c>
      <c r="AE2298">
        <v>-33.061499999999903</v>
      </c>
      <c r="AF2298">
        <v>-3.4561490576162899</v>
      </c>
      <c r="AG2298">
        <v>-1.1090412572789901</v>
      </c>
      <c r="AH2298">
        <v>33.179298075499801</v>
      </c>
      <c r="AI2298">
        <v>91.904143794851507</v>
      </c>
      <c r="AJ2298">
        <v>95.946815519628899</v>
      </c>
      <c r="AK2298">
        <v>33.377249131731602</v>
      </c>
      <c r="AL2298">
        <v>87.878334957901501</v>
      </c>
      <c r="AM2298">
        <v>88.3025719278412</v>
      </c>
      <c r="AN2298">
        <v>1.0000000420534101</v>
      </c>
    </row>
    <row r="2299" spans="1:40" x14ac:dyDescent="0.25">
      <c r="A2299" t="str">
        <f>"20190312154555530"</f>
        <v>20190312154555530</v>
      </c>
      <c r="B2299" t="str">
        <f>"1552376755519055"</f>
        <v>1552376755519055</v>
      </c>
      <c r="C2299" t="s">
        <v>40</v>
      </c>
      <c r="D2299">
        <v>4.4222299999999999</v>
      </c>
      <c r="E2299">
        <v>0.44891639999999999</v>
      </c>
      <c r="F2299" t="s">
        <v>53</v>
      </c>
      <c r="G2299">
        <v>-493.62479999999999</v>
      </c>
      <c r="H2299" s="1">
        <v>3.8220330000000003E-6</v>
      </c>
      <c r="I2299">
        <v>222.64269999999999</v>
      </c>
      <c r="J2299">
        <v>-488.24509999999998</v>
      </c>
      <c r="K2299">
        <v>1.109057</v>
      </c>
      <c r="L2299">
        <v>261.93720000000002</v>
      </c>
      <c r="M2299">
        <v>-0.24412130000000001</v>
      </c>
      <c r="N2299">
        <v>0</v>
      </c>
      <c r="O2299">
        <v>-0.96964349999999999</v>
      </c>
      <c r="P2299">
        <v>-0.273617</v>
      </c>
      <c r="Q2299">
        <v>2.2946250000000001E-2</v>
      </c>
      <c r="R2299">
        <v>-0.96156529999999996</v>
      </c>
      <c r="S2299">
        <v>-0.4134216</v>
      </c>
      <c r="T2299">
        <v>-8.42334E-2</v>
      </c>
      <c r="U2299">
        <v>-3.0032960000000002</v>
      </c>
      <c r="V2299">
        <v>3.0662379999999999E-2</v>
      </c>
      <c r="W2299">
        <v>3.6877680000000003E-2</v>
      </c>
      <c r="X2299">
        <v>0.99884930000000005</v>
      </c>
      <c r="Y2299">
        <v>-0.1096705</v>
      </c>
      <c r="Z2299">
        <v>2.6561049999999999E-2</v>
      </c>
      <c r="AA2299">
        <v>0.99361310000000003</v>
      </c>
      <c r="AB2299">
        <v>26</v>
      </c>
      <c r="AC2299">
        <v>-5.3797000000000104</v>
      </c>
      <c r="AD2299">
        <v>-1.1090531779670001</v>
      </c>
      <c r="AE2299">
        <v>-39.294499999999999</v>
      </c>
      <c r="AF2299">
        <v>-4.3732431825423896</v>
      </c>
      <c r="AG2299">
        <v>-1.1090531779670001</v>
      </c>
      <c r="AH2299">
        <v>39.3880252218012</v>
      </c>
      <c r="AI2299">
        <v>91.603012534386494</v>
      </c>
      <c r="AJ2299">
        <v>96.335587752487697</v>
      </c>
      <c r="AK2299">
        <v>39.645577127322298</v>
      </c>
      <c r="AL2299">
        <v>87.886585438221601</v>
      </c>
      <c r="AM2299">
        <v>88.241703299779402</v>
      </c>
      <c r="AN2299">
        <v>1.00000003446996</v>
      </c>
    </row>
    <row r="2300" spans="1:40" x14ac:dyDescent="0.25">
      <c r="A2300" t="str">
        <f>"20190312154555552"</f>
        <v>20190312154555552</v>
      </c>
      <c r="B2300" t="str">
        <f>"1552376755549312"</f>
        <v>1552376755549312</v>
      </c>
      <c r="C2300" t="s">
        <v>40</v>
      </c>
      <c r="D2300">
        <v>4.4469479999999999</v>
      </c>
      <c r="E2300">
        <v>0.44864530000000002</v>
      </c>
      <c r="F2300" t="s">
        <v>53</v>
      </c>
      <c r="G2300">
        <v>-492.96460000000002</v>
      </c>
      <c r="H2300" s="1">
        <v>5.5540039999999998E-6</v>
      </c>
      <c r="I2300">
        <v>228.3554</v>
      </c>
      <c r="J2300">
        <v>-488.30889999999999</v>
      </c>
      <c r="K2300">
        <v>1.10907</v>
      </c>
      <c r="L2300">
        <v>261.68950000000001</v>
      </c>
      <c r="M2300">
        <v>-0.24534829999999999</v>
      </c>
      <c r="N2300">
        <v>0</v>
      </c>
      <c r="O2300">
        <v>-0.96933380000000002</v>
      </c>
      <c r="P2300">
        <v>-0.27510069999999998</v>
      </c>
      <c r="Q2300">
        <v>2.2837860000000001E-2</v>
      </c>
      <c r="R2300">
        <v>-0.961144</v>
      </c>
      <c r="S2300">
        <v>-0.42193599999999998</v>
      </c>
      <c r="T2300">
        <v>-9.9150660000000002E-2</v>
      </c>
      <c r="U2300">
        <v>-3.0022579999999999</v>
      </c>
      <c r="V2300">
        <v>3.093825E-2</v>
      </c>
      <c r="W2300">
        <v>3.6761879999999997E-2</v>
      </c>
      <c r="X2300">
        <v>0.99884499999999998</v>
      </c>
      <c r="Y2300">
        <v>-0.108136999999999</v>
      </c>
      <c r="Z2300">
        <v>3.1252700000000001E-2</v>
      </c>
      <c r="AA2300">
        <v>0.99364470000000005</v>
      </c>
      <c r="AB2300">
        <v>26</v>
      </c>
      <c r="AC2300">
        <v>-4.6557000000000199</v>
      </c>
      <c r="AD2300">
        <v>-1.109064445996</v>
      </c>
      <c r="AE2300">
        <v>-33.334099999999999</v>
      </c>
      <c r="AF2300">
        <v>-3.6619209516879798</v>
      </c>
      <c r="AG2300">
        <v>-1.109064445996</v>
      </c>
      <c r="AH2300">
        <v>33.421131836061399</v>
      </c>
      <c r="AI2300">
        <v>91.889336877113195</v>
      </c>
      <c r="AJ2300">
        <v>96.252899720132405</v>
      </c>
      <c r="AK2300">
        <v>33.639437305121199</v>
      </c>
      <c r="AL2300">
        <v>87.893224660815306</v>
      </c>
      <c r="AM2300">
        <v>88.225886303733105</v>
      </c>
      <c r="AN2300">
        <v>0.99999997257959805</v>
      </c>
    </row>
    <row r="2301" spans="1:40" x14ac:dyDescent="0.25">
      <c r="A2301" t="str">
        <f>"20190312154555564"</f>
        <v>20190312154555564</v>
      </c>
      <c r="B2301" t="str">
        <f>"1552376755559072"</f>
        <v>1552376755559072</v>
      </c>
      <c r="C2301" t="s">
        <v>40</v>
      </c>
      <c r="D2301">
        <v>4.4390150000000004</v>
      </c>
      <c r="E2301">
        <v>0.44849050000000001</v>
      </c>
      <c r="F2301" t="s">
        <v>42</v>
      </c>
      <c r="G2301">
        <v>-492.65309999999999</v>
      </c>
      <c r="H2301" s="1">
        <v>-1.2939279999999999E-6</v>
      </c>
      <c r="I2301">
        <v>230.9598</v>
      </c>
      <c r="J2301">
        <v>-488.34690000000001</v>
      </c>
      <c r="K2301">
        <v>1.1090770000000001</v>
      </c>
      <c r="L2301">
        <v>261.54239999999999</v>
      </c>
      <c r="M2301">
        <v>-0.24607200000000001</v>
      </c>
      <c r="N2301">
        <v>0</v>
      </c>
      <c r="O2301">
        <v>-0.96915019999999996</v>
      </c>
      <c r="P2301">
        <v>-0.27587650000000002</v>
      </c>
      <c r="Q2301">
        <v>2.2676580000000002E-2</v>
      </c>
      <c r="R2301">
        <v>-0.96092560000000005</v>
      </c>
      <c r="S2301">
        <v>-0.4244385</v>
      </c>
      <c r="T2301">
        <v>-0.1083596</v>
      </c>
      <c r="U2301">
        <v>-3.00238</v>
      </c>
      <c r="V2301">
        <v>3.099681E-2</v>
      </c>
      <c r="W2301">
        <v>3.6597490000000003E-2</v>
      </c>
      <c r="X2301">
        <v>0.99884930000000005</v>
      </c>
      <c r="Y2301">
        <v>-0.1080864</v>
      </c>
      <c r="Z2301">
        <v>3.4138920000000003E-2</v>
      </c>
      <c r="AA2301">
        <v>0.99355519999999997</v>
      </c>
      <c r="AB2301">
        <v>26</v>
      </c>
      <c r="AC2301">
        <v>-4.3061999999999898</v>
      </c>
      <c r="AD2301">
        <v>-1.1090782939279999</v>
      </c>
      <c r="AE2301">
        <v>-30.5825999999999</v>
      </c>
      <c r="AF2301">
        <v>-3.3481785334765801</v>
      </c>
      <c r="AG2301">
        <v>-1.1090782939279999</v>
      </c>
      <c r="AH2301">
        <v>30.6622426281704</v>
      </c>
      <c r="AI2301">
        <v>92.059301732573402</v>
      </c>
      <c r="AJ2301">
        <v>96.231750432601601</v>
      </c>
      <c r="AK2301">
        <v>30.864437094217202</v>
      </c>
      <c r="AL2301">
        <v>87.902650021932402</v>
      </c>
      <c r="AM2301">
        <v>88.222538055826902</v>
      </c>
      <c r="AN2301">
        <v>1.00000005130748</v>
      </c>
    </row>
    <row r="2302" spans="1:40" x14ac:dyDescent="0.25">
      <c r="A2302" t="str">
        <f>"20190312154555585"</f>
        <v>20190312154555585</v>
      </c>
      <c r="B2302" t="str">
        <f>"1552376755579567"</f>
        <v>1552376755579567</v>
      </c>
      <c r="C2302" t="s">
        <v>40</v>
      </c>
      <c r="D2302">
        <v>4.4420270000000004</v>
      </c>
      <c r="E2302">
        <v>0.4480634</v>
      </c>
      <c r="F2302" t="s">
        <v>42</v>
      </c>
      <c r="G2302">
        <v>-492.60579999999999</v>
      </c>
      <c r="H2302" s="1">
        <v>-1.519814E-6</v>
      </c>
      <c r="I2302">
        <v>231.51560000000001</v>
      </c>
      <c r="J2302">
        <v>-488.40750000000003</v>
      </c>
      <c r="K2302">
        <v>1.1090869999999999</v>
      </c>
      <c r="L2302">
        <v>261.30930000000001</v>
      </c>
      <c r="M2302">
        <v>-0.2472097</v>
      </c>
      <c r="N2302">
        <v>0</v>
      </c>
      <c r="O2302">
        <v>-0.96886110000000003</v>
      </c>
      <c r="P2302">
        <v>-0.27626679999999998</v>
      </c>
      <c r="Q2302">
        <v>2.3045670000000001E-2</v>
      </c>
      <c r="R2302">
        <v>-0.96080509999999997</v>
      </c>
      <c r="S2302">
        <v>-0.42584230000000001</v>
      </c>
      <c r="T2302">
        <v>-0.1108956</v>
      </c>
      <c r="U2302">
        <v>-3.0023499999999999</v>
      </c>
      <c r="V2302">
        <v>3.0231640000000001E-2</v>
      </c>
      <c r="W2302">
        <v>3.6963929999999999E-2</v>
      </c>
      <c r="X2302">
        <v>0.99885919999999895</v>
      </c>
      <c r="Y2302">
        <v>-0.1088006</v>
      </c>
      <c r="Z2302">
        <v>3.4918869999999998E-2</v>
      </c>
      <c r="AA2302">
        <v>0.9934501</v>
      </c>
      <c r="AB2302">
        <v>26</v>
      </c>
      <c r="AC2302">
        <v>-4.1982999999999597</v>
      </c>
      <c r="AD2302">
        <v>-1.1090885198139999</v>
      </c>
      <c r="AE2302">
        <v>-29.793700000000001</v>
      </c>
      <c r="AF2302">
        <v>-3.2935693480972601</v>
      </c>
      <c r="AG2302">
        <v>-1.1090885198139999</v>
      </c>
      <c r="AH2302">
        <v>29.8661603479853</v>
      </c>
      <c r="AI2302">
        <v>92.113914885184698</v>
      </c>
      <c r="AJ2302">
        <v>96.293014807135407</v>
      </c>
      <c r="AK2302">
        <v>30.067677168798301</v>
      </c>
      <c r="AL2302">
        <v>87.881640217480694</v>
      </c>
      <c r="AM2302">
        <v>88.266405550523601</v>
      </c>
      <c r="AN2302">
        <v>0.99999999280138696</v>
      </c>
    </row>
    <row r="2303" spans="1:40" x14ac:dyDescent="0.25">
      <c r="A2303" t="str">
        <f>"20190312154555599"</f>
        <v>20190312154555599</v>
      </c>
      <c r="B2303" t="str">
        <f>"1552376755589328"</f>
        <v>1552376755589328</v>
      </c>
      <c r="C2303" t="s">
        <v>40</v>
      </c>
      <c r="D2303">
        <v>4.4673080000000001</v>
      </c>
      <c r="E2303">
        <v>0.44797300000000001</v>
      </c>
      <c r="F2303" t="s">
        <v>42</v>
      </c>
      <c r="G2303">
        <v>-492.61649999999997</v>
      </c>
      <c r="H2303" s="1">
        <v>-1.5018799999999901E-6</v>
      </c>
      <c r="I2303">
        <v>231.46719999999999</v>
      </c>
      <c r="J2303">
        <v>-488.44690000000003</v>
      </c>
      <c r="K2303">
        <v>1.1090949999999999</v>
      </c>
      <c r="L2303">
        <v>261.1583</v>
      </c>
      <c r="M2303">
        <v>-0.2479413</v>
      </c>
      <c r="N2303">
        <v>0</v>
      </c>
      <c r="O2303">
        <v>-0.96867420000000004</v>
      </c>
      <c r="P2303">
        <v>-0.27675179999999999</v>
      </c>
      <c r="Q2303">
        <v>2.305834E-2</v>
      </c>
      <c r="R2303">
        <v>-0.96066499999999999</v>
      </c>
      <c r="S2303">
        <v>-0.42358400000000002</v>
      </c>
      <c r="T2303">
        <v>-0.11161600000000001</v>
      </c>
      <c r="U2303">
        <v>-3.0032350000000001</v>
      </c>
      <c r="V2303">
        <v>2.9981109999999998E-2</v>
      </c>
      <c r="W2303">
        <v>3.6973930000000002E-2</v>
      </c>
      <c r="X2303">
        <v>0.99886640000000004</v>
      </c>
      <c r="Y2303">
        <v>-0.1103252</v>
      </c>
      <c r="Z2303">
        <v>3.512357E-2</v>
      </c>
      <c r="AA2303">
        <v>0.99327469999999995</v>
      </c>
      <c r="AB2303">
        <v>26</v>
      </c>
      <c r="AC2303">
        <v>-4.1695999999999396</v>
      </c>
      <c r="AD2303">
        <v>-1.1090965018799901</v>
      </c>
      <c r="AE2303">
        <v>-29.691099999999999</v>
      </c>
      <c r="AF2303">
        <v>-3.3184497920498499</v>
      </c>
      <c r="AG2303">
        <v>-1.1090965018799901</v>
      </c>
      <c r="AH2303">
        <v>29.757011354249599</v>
      </c>
      <c r="AI2303">
        <v>92.121388851443697</v>
      </c>
      <c r="AJ2303">
        <v>96.363233500331006</v>
      </c>
      <c r="AK2303">
        <v>29.9620080904097</v>
      </c>
      <c r="AL2303">
        <v>87.881066907923298</v>
      </c>
      <c r="AM2303">
        <v>88.280775597867802</v>
      </c>
      <c r="AN2303">
        <v>1.0000000117527099</v>
      </c>
    </row>
    <row r="2304" spans="1:40" x14ac:dyDescent="0.25">
      <c r="A2304" t="str">
        <f>"20190312154555612"</f>
        <v>20190312154555612</v>
      </c>
      <c r="B2304" t="str">
        <f>"1552376755608847"</f>
        <v>1552376755608847</v>
      </c>
      <c r="C2304" t="s">
        <v>40</v>
      </c>
      <c r="D2304">
        <v>4.4990509999999997</v>
      </c>
      <c r="E2304">
        <v>0.44762859999999999</v>
      </c>
      <c r="F2304" t="s">
        <v>42</v>
      </c>
      <c r="G2304">
        <v>-492.61840000000001</v>
      </c>
      <c r="H2304" s="1">
        <v>-1.5816959999999999E-6</v>
      </c>
      <c r="I2304">
        <v>231.65209999999999</v>
      </c>
      <c r="J2304">
        <v>-488.48660000000001</v>
      </c>
      <c r="K2304">
        <v>1.109102</v>
      </c>
      <c r="L2304">
        <v>261.00650000000002</v>
      </c>
      <c r="M2304">
        <v>-0.2486738</v>
      </c>
      <c r="N2304">
        <v>0</v>
      </c>
      <c r="O2304">
        <v>-0.96848619999999996</v>
      </c>
      <c r="P2304">
        <v>-0.27703090000000002</v>
      </c>
      <c r="Q2304">
        <v>2.336506E-2</v>
      </c>
      <c r="R2304">
        <v>-0.96057680000000001</v>
      </c>
      <c r="S2304">
        <v>-0.4245911</v>
      </c>
      <c r="T2304">
        <v>-0.11288860000000001</v>
      </c>
      <c r="U2304">
        <v>-3.0032649999999999</v>
      </c>
      <c r="V2304">
        <v>2.951784E-2</v>
      </c>
      <c r="W2304">
        <v>3.7278890000000002E-2</v>
      </c>
      <c r="X2304">
        <v>0.9988688</v>
      </c>
      <c r="Y2304">
        <v>-0.1107537</v>
      </c>
      <c r="Z2304">
        <v>3.5510989999999999E-2</v>
      </c>
      <c r="AA2304">
        <v>0.99321320000000002</v>
      </c>
      <c r="AB2304">
        <v>26</v>
      </c>
      <c r="AC2304">
        <v>-4.1317999999999904</v>
      </c>
      <c r="AD2304">
        <v>-1.109103581696</v>
      </c>
      <c r="AE2304">
        <v>-29.354399999999998</v>
      </c>
      <c r="AF2304">
        <v>-3.2937911064102599</v>
      </c>
      <c r="AG2304">
        <v>-1.109103581696</v>
      </c>
      <c r="AH2304">
        <v>29.418505153691601</v>
      </c>
      <c r="AI2304">
        <v>92.145684485738698</v>
      </c>
      <c r="AJ2304">
        <v>96.388415116564403</v>
      </c>
      <c r="AK2304">
        <v>29.623092615143602</v>
      </c>
      <c r="AL2304">
        <v>87.863581798611804</v>
      </c>
      <c r="AM2304">
        <v>88.307329650652306</v>
      </c>
      <c r="AN2304">
        <v>0.99999994906566703</v>
      </c>
    </row>
    <row r="2305" spans="1:40" x14ac:dyDescent="0.25">
      <c r="A2305" t="str">
        <f>"20190312154555630"</f>
        <v>20190312154555630</v>
      </c>
      <c r="B2305" t="str">
        <f>"1552376755618608"</f>
        <v>1552376755618608</v>
      </c>
      <c r="C2305" t="s">
        <v>40</v>
      </c>
      <c r="D2305">
        <v>4.4910519999999998</v>
      </c>
      <c r="E2305">
        <v>0.4474861</v>
      </c>
      <c r="F2305" t="s">
        <v>42</v>
      </c>
      <c r="G2305">
        <v>-492.56360000000001</v>
      </c>
      <c r="H2305" s="1">
        <v>-1.7291760000000001E-6</v>
      </c>
      <c r="I2305">
        <v>232.02979999999999</v>
      </c>
      <c r="J2305">
        <v>-488.53989999999999</v>
      </c>
      <c r="K2305">
        <v>1.1091</v>
      </c>
      <c r="L2305">
        <v>260.8032</v>
      </c>
      <c r="M2305">
        <v>-0.24965219999999999</v>
      </c>
      <c r="N2305">
        <v>0</v>
      </c>
      <c r="O2305">
        <v>-0.96823479999999995</v>
      </c>
      <c r="P2305">
        <v>-0.27721370000000001</v>
      </c>
      <c r="Q2305">
        <v>2.4245869999999999E-2</v>
      </c>
      <c r="R2305">
        <v>-0.96050250000000004</v>
      </c>
      <c r="S2305">
        <v>-0.4226685</v>
      </c>
      <c r="T2305">
        <v>-0.11498129999999999</v>
      </c>
      <c r="U2305">
        <v>-3.0040279999999999</v>
      </c>
      <c r="V2305">
        <v>2.8705100000000001E-2</v>
      </c>
      <c r="W2305">
        <v>3.815756E-2</v>
      </c>
      <c r="X2305">
        <v>0.99885930000000001</v>
      </c>
      <c r="Y2305">
        <v>-0.1124192</v>
      </c>
      <c r="Z2305">
        <v>3.6143050000000003E-2</v>
      </c>
      <c r="AA2305">
        <v>0.99300330000000003</v>
      </c>
      <c r="AB2305">
        <v>26</v>
      </c>
      <c r="AC2305">
        <v>-4.0237000000000096</v>
      </c>
      <c r="AD2305">
        <v>-1.1091017291759999</v>
      </c>
      <c r="AE2305">
        <v>-28.773399999999999</v>
      </c>
      <c r="AF2305">
        <v>-3.2829927574800299</v>
      </c>
      <c r="AG2305">
        <v>-1.1091017291759999</v>
      </c>
      <c r="AH2305">
        <v>28.824743225093702</v>
      </c>
      <c r="AI2305">
        <v>92.189366087166107</v>
      </c>
      <c r="AJ2305">
        <v>96.497700429077696</v>
      </c>
      <c r="AK2305">
        <v>29.032291850350202</v>
      </c>
      <c r="AL2305">
        <v>87.8132018460296</v>
      </c>
      <c r="AM2305">
        <v>88.353893743836394</v>
      </c>
      <c r="AN2305">
        <v>0.999999941673825</v>
      </c>
    </row>
    <row r="2306" spans="1:40" x14ac:dyDescent="0.25">
      <c r="A2306" t="str">
        <f>"20190312154555643"</f>
        <v>20190312154555643</v>
      </c>
      <c r="B2306" t="str">
        <f>"1552376755639104"</f>
        <v>1552376755639104</v>
      </c>
      <c r="C2306" t="s">
        <v>40</v>
      </c>
      <c r="D2306">
        <v>4.5213049999999999</v>
      </c>
      <c r="E2306">
        <v>0.44713750000000002</v>
      </c>
      <c r="F2306" t="s">
        <v>42</v>
      </c>
      <c r="G2306">
        <v>-492.65249999999997</v>
      </c>
      <c r="H2306" s="1">
        <v>-1.5320830000000001E-6</v>
      </c>
      <c r="I2306">
        <v>231.5153</v>
      </c>
      <c r="J2306">
        <v>-488.5788</v>
      </c>
      <c r="K2306">
        <v>1.1091070000000001</v>
      </c>
      <c r="L2306">
        <v>260.65559999999999</v>
      </c>
      <c r="M2306">
        <v>-0.25036140000000001</v>
      </c>
      <c r="N2306">
        <v>0</v>
      </c>
      <c r="O2306">
        <v>-0.96805169999999996</v>
      </c>
      <c r="P2306">
        <v>-0.27757270000000001</v>
      </c>
      <c r="Q2306">
        <v>2.455572E-2</v>
      </c>
      <c r="R2306">
        <v>-0.96039090000000005</v>
      </c>
      <c r="S2306">
        <v>-0.421875</v>
      </c>
      <c r="T2306">
        <v>-0.1137755</v>
      </c>
      <c r="U2306">
        <v>-3.0044559999999998</v>
      </c>
      <c r="V2306">
        <v>2.834892E-2</v>
      </c>
      <c r="W2306">
        <v>3.8465850000000003E-2</v>
      </c>
      <c r="X2306">
        <v>0.99885769999999996</v>
      </c>
      <c r="Y2306">
        <v>-0.1134216</v>
      </c>
      <c r="Z2306">
        <v>3.574774E-2</v>
      </c>
      <c r="AA2306">
        <v>0.9929036</v>
      </c>
      <c r="AB2306">
        <v>26</v>
      </c>
      <c r="AC2306">
        <v>-4.0736999999999703</v>
      </c>
      <c r="AD2306">
        <v>-1.1091085320829901</v>
      </c>
      <c r="AE2306">
        <v>-29.1403</v>
      </c>
      <c r="AF2306">
        <v>-3.3476245524796</v>
      </c>
      <c r="AG2306">
        <v>-1.1091085320829901</v>
      </c>
      <c r="AH2306">
        <v>29.1905895072194</v>
      </c>
      <c r="AI2306">
        <v>92.161774483567996</v>
      </c>
      <c r="AJ2306">
        <v>96.542192908930204</v>
      </c>
      <c r="AK2306">
        <v>29.402843870266899</v>
      </c>
      <c r="AL2306">
        <v>87.795525266600293</v>
      </c>
      <c r="AM2306">
        <v>88.374305406332894</v>
      </c>
      <c r="AN2306">
        <v>0.999999993865339</v>
      </c>
    </row>
    <row r="2307" spans="1:40" x14ac:dyDescent="0.25">
      <c r="A2307" t="str">
        <f>"20190312154555657"</f>
        <v>20190312154555657</v>
      </c>
      <c r="B2307" t="str">
        <f>"1552376755648865"</f>
        <v>1552376755648865</v>
      </c>
      <c r="C2307" t="s">
        <v>40</v>
      </c>
      <c r="D2307">
        <v>4.5018539999999998</v>
      </c>
      <c r="E2307">
        <v>0.44703749999999998</v>
      </c>
      <c r="F2307" t="s">
        <v>42</v>
      </c>
      <c r="G2307">
        <v>-492.62810000000002</v>
      </c>
      <c r="H2307" s="1">
        <v>-1.6055060000000001E-6</v>
      </c>
      <c r="I2307">
        <v>231.70160000000001</v>
      </c>
      <c r="J2307">
        <v>-488.62180000000001</v>
      </c>
      <c r="K2307">
        <v>1.109116</v>
      </c>
      <c r="L2307">
        <v>260.49310000000003</v>
      </c>
      <c r="M2307">
        <v>-0.25114110000000001</v>
      </c>
      <c r="N2307">
        <v>0</v>
      </c>
      <c r="O2307">
        <v>-0.96784970000000003</v>
      </c>
      <c r="P2307">
        <v>-0.27808620000000001</v>
      </c>
      <c r="Q2307">
        <v>2.486652E-2</v>
      </c>
      <c r="R2307">
        <v>-0.96023420000000004</v>
      </c>
      <c r="S2307">
        <v>-0.4202881</v>
      </c>
      <c r="T2307">
        <v>-0.1151187</v>
      </c>
      <c r="U2307">
        <v>-3.0052490000000001</v>
      </c>
      <c r="V2307">
        <v>2.8080549999999999E-2</v>
      </c>
      <c r="W2307">
        <v>3.8774129999999997E-2</v>
      </c>
      <c r="X2307">
        <v>0.9988534</v>
      </c>
      <c r="Y2307">
        <v>-0.11477420000000001</v>
      </c>
      <c r="Z2307">
        <v>3.6146629999999999E-2</v>
      </c>
      <c r="AA2307">
        <v>0.9927338</v>
      </c>
      <c r="AB2307">
        <v>26</v>
      </c>
      <c r="AC2307">
        <v>-4.0063000000000004</v>
      </c>
      <c r="AD2307">
        <v>-1.1091176055059999</v>
      </c>
      <c r="AE2307">
        <v>-28.791499999999999</v>
      </c>
      <c r="AF2307">
        <v>-3.3486849194613502</v>
      </c>
      <c r="AG2307">
        <v>-1.1091176055059999</v>
      </c>
      <c r="AH2307">
        <v>28.832833707269401</v>
      </c>
      <c r="AI2307">
        <v>92.188226112067895</v>
      </c>
      <c r="AJ2307">
        <v>96.624730346746006</v>
      </c>
      <c r="AK2307">
        <v>29.0478249124392</v>
      </c>
      <c r="AL2307">
        <v>87.777849022486393</v>
      </c>
      <c r="AM2307">
        <v>88.389680257555696</v>
      </c>
      <c r="AN2307">
        <v>1.0000000325685501</v>
      </c>
    </row>
    <row r="2308" spans="1:40" x14ac:dyDescent="0.25">
      <c r="A2308" t="str">
        <f>"20190312154555676"</f>
        <v>20190312154555676</v>
      </c>
      <c r="B2308" t="str">
        <f>"1552376755669360"</f>
        <v>1552376755669360</v>
      </c>
      <c r="C2308" t="s">
        <v>40</v>
      </c>
      <c r="D2308">
        <v>4.5091409999999996</v>
      </c>
      <c r="E2308">
        <v>0.44683820000000002</v>
      </c>
      <c r="F2308" t="s">
        <v>42</v>
      </c>
      <c r="G2308">
        <v>-492.70339999999999</v>
      </c>
      <c r="H2308" s="1">
        <v>-1.4736050000000001E-6</v>
      </c>
      <c r="I2308">
        <v>231.34739999999999</v>
      </c>
      <c r="J2308">
        <v>-488.67540000000002</v>
      </c>
      <c r="K2308">
        <v>1.1091230000000001</v>
      </c>
      <c r="L2308">
        <v>260.291</v>
      </c>
      <c r="M2308">
        <v>-0.25210909999999997</v>
      </c>
      <c r="N2308">
        <v>0</v>
      </c>
      <c r="O2308">
        <v>-0.96759799999999996</v>
      </c>
      <c r="P2308">
        <v>-0.2783159</v>
      </c>
      <c r="Q2308">
        <v>2.5159279999999999E-2</v>
      </c>
      <c r="R2308">
        <v>-0.96016040000000002</v>
      </c>
      <c r="S2308">
        <v>-0.42086790000000002</v>
      </c>
      <c r="T2308">
        <v>-0.1143637</v>
      </c>
      <c r="U2308">
        <v>-3.00528</v>
      </c>
      <c r="V2308">
        <v>2.7322140000000002E-2</v>
      </c>
      <c r="W2308">
        <v>3.9065259999999997E-2</v>
      </c>
      <c r="X2308">
        <v>0.99886299999999995</v>
      </c>
      <c r="Y2308">
        <v>-0.11558</v>
      </c>
      <c r="Z2308">
        <v>3.5893130000000002E-2</v>
      </c>
      <c r="AA2308">
        <v>0.99264940000000002</v>
      </c>
      <c r="AB2308">
        <v>26</v>
      </c>
      <c r="AC2308">
        <v>-4.0279999999999596</v>
      </c>
      <c r="AD2308">
        <v>-1.1091244736050001</v>
      </c>
      <c r="AE2308">
        <v>-28.9436</v>
      </c>
      <c r="AF2308">
        <v>-3.3949014050031798</v>
      </c>
      <c r="AG2308">
        <v>-1.1091244736050001</v>
      </c>
      <c r="AH2308">
        <v>28.982346373017201</v>
      </c>
      <c r="AI2308">
        <v>92.176712829470006</v>
      </c>
      <c r="AJ2308">
        <v>96.681002631848003</v>
      </c>
      <c r="AK2308">
        <v>29.2015738263058</v>
      </c>
      <c r="AL2308">
        <v>87.7611556550507</v>
      </c>
      <c r="AM2308">
        <v>88.433165446115297</v>
      </c>
      <c r="AN2308">
        <v>0.99999994332102105</v>
      </c>
    </row>
    <row r="2309" spans="1:40" x14ac:dyDescent="0.25">
      <c r="A2309" t="str">
        <f>"20190312154555697"</f>
        <v>20190312154555697</v>
      </c>
      <c r="B2309" t="str">
        <f>"1552376755688880"</f>
        <v>1552376755688880</v>
      </c>
      <c r="C2309" t="s">
        <v>40</v>
      </c>
      <c r="D2309">
        <v>4.5364750000000003</v>
      </c>
      <c r="E2309">
        <v>0.44129669999999999</v>
      </c>
      <c r="F2309" t="s">
        <v>42</v>
      </c>
      <c r="G2309">
        <v>-492.74200000000002</v>
      </c>
      <c r="H2309" s="1">
        <v>-1.4224200000000001E-6</v>
      </c>
      <c r="I2309">
        <v>231.20410000000001</v>
      </c>
      <c r="J2309">
        <v>-488.74220000000003</v>
      </c>
      <c r="K2309">
        <v>1.109135</v>
      </c>
      <c r="L2309">
        <v>260.0403</v>
      </c>
      <c r="M2309">
        <v>-0.2533067</v>
      </c>
      <c r="N2309">
        <v>0</v>
      </c>
      <c r="O2309">
        <v>-0.96728499999999995</v>
      </c>
      <c r="P2309">
        <v>-0.27882230000000002</v>
      </c>
      <c r="Q2309">
        <v>2.4877630000000001E-2</v>
      </c>
      <c r="R2309">
        <v>-0.96002030000000005</v>
      </c>
      <c r="S2309">
        <v>-0.42022710000000002</v>
      </c>
      <c r="T2309">
        <v>-0.11461200000000001</v>
      </c>
      <c r="U2309">
        <v>-3.0057070000000001</v>
      </c>
      <c r="V2309">
        <v>2.6608860000000002E-2</v>
      </c>
      <c r="W2309">
        <v>3.8781759999999998E-2</v>
      </c>
      <c r="X2309">
        <v>0.99889340000000004</v>
      </c>
      <c r="Y2309">
        <v>-0.1170368</v>
      </c>
      <c r="Z2309">
        <v>3.5945530000000003E-2</v>
      </c>
      <c r="AA2309">
        <v>0.99247680000000005</v>
      </c>
      <c r="AB2309">
        <v>26</v>
      </c>
      <c r="AC2309">
        <v>-3.9997999999999299</v>
      </c>
      <c r="AD2309">
        <v>-1.10913642242</v>
      </c>
      <c r="AE2309">
        <v>-28.836199999999899</v>
      </c>
      <c r="AF2309">
        <v>-3.4308120602613799</v>
      </c>
      <c r="AG2309">
        <v>-1.10913642242</v>
      </c>
      <c r="AH2309">
        <v>28.866924643470298</v>
      </c>
      <c r="AI2309">
        <v>92.184996281257</v>
      </c>
      <c r="AJ2309">
        <v>96.777766877383996</v>
      </c>
      <c r="AK2309">
        <v>29.0912356796367</v>
      </c>
      <c r="AL2309">
        <v>87.777411544170704</v>
      </c>
      <c r="AM2309">
        <v>88.474096519526199</v>
      </c>
      <c r="AN2309">
        <v>1.00000004045137</v>
      </c>
    </row>
    <row r="2310" spans="1:40" x14ac:dyDescent="0.25">
      <c r="A2310" t="str">
        <f>"20190312154555720"</f>
        <v>20190312154555720</v>
      </c>
      <c r="B2310" t="str">
        <f>"1552376755709375"</f>
        <v>1552376755709375</v>
      </c>
      <c r="C2310" t="s">
        <v>40</v>
      </c>
      <c r="D2310">
        <v>4.5129359999999998</v>
      </c>
      <c r="E2310">
        <v>0.41656929999999998</v>
      </c>
      <c r="F2310" t="s">
        <v>42</v>
      </c>
      <c r="G2310">
        <v>-492.21730000000002</v>
      </c>
      <c r="H2310" s="1">
        <v>-1.8067269999999999E-6</v>
      </c>
      <c r="I2310">
        <v>232.4254</v>
      </c>
      <c r="J2310">
        <v>-488.81060000000002</v>
      </c>
      <c r="K2310">
        <v>1.1091420000000001</v>
      </c>
      <c r="L2310">
        <v>259.78469999999999</v>
      </c>
      <c r="M2310">
        <v>-0.25452049999999998</v>
      </c>
      <c r="N2310">
        <v>0</v>
      </c>
      <c r="O2310">
        <v>-0.96696669999999996</v>
      </c>
      <c r="P2310">
        <v>-0.27884399999999998</v>
      </c>
      <c r="Q2310">
        <v>2.4730599999999998E-2</v>
      </c>
      <c r="R2310">
        <v>-0.96001809999999999</v>
      </c>
      <c r="S2310">
        <v>-0.37976070000000001</v>
      </c>
      <c r="T2310">
        <v>-0.12120690000000001</v>
      </c>
      <c r="U2310">
        <v>-3.0177610000000001</v>
      </c>
      <c r="V2310">
        <v>2.537507E-2</v>
      </c>
      <c r="W2310">
        <v>3.8634519999999999E-2</v>
      </c>
      <c r="X2310">
        <v>0.99893120000000002</v>
      </c>
      <c r="Y2310">
        <v>-0.13190060000000001</v>
      </c>
      <c r="Z2310">
        <v>3.7836370000000001E-2</v>
      </c>
      <c r="AA2310">
        <v>0.99054059999999999</v>
      </c>
      <c r="AB2310">
        <v>26</v>
      </c>
      <c r="AC2310">
        <v>-3.4066999999999998</v>
      </c>
      <c r="AD2310">
        <v>-1.1091438067270001</v>
      </c>
      <c r="AE2310">
        <v>-27.359299999999902</v>
      </c>
      <c r="AF2310">
        <v>-3.6637651399678699</v>
      </c>
      <c r="AG2310">
        <v>-1.1091438067270001</v>
      </c>
      <c r="AH2310">
        <v>27.2811159300444</v>
      </c>
      <c r="AI2310">
        <v>92.307448377027001</v>
      </c>
      <c r="AJ2310">
        <v>97.648871894191302</v>
      </c>
      <c r="AK2310">
        <v>27.548369486656899</v>
      </c>
      <c r="AL2310">
        <v>87.785854081388806</v>
      </c>
      <c r="AM2310">
        <v>88.544872940676996</v>
      </c>
      <c r="AN2310">
        <v>1.00000003132328</v>
      </c>
    </row>
    <row r="2311" spans="1:40" x14ac:dyDescent="0.25">
      <c r="A2311" t="str">
        <f>"20190312154555741"</f>
        <v>20190312154555741</v>
      </c>
      <c r="B2311" t="str">
        <f>"1552376755738656"</f>
        <v>1552376755738656</v>
      </c>
      <c r="C2311" t="s">
        <v>40</v>
      </c>
      <c r="D2311">
        <v>4.6205350000000003</v>
      </c>
      <c r="E2311">
        <v>0.40102139999999997</v>
      </c>
      <c r="F2311" t="s">
        <v>53</v>
      </c>
      <c r="G2311">
        <v>-492.51310000000001</v>
      </c>
      <c r="H2311" s="1">
        <v>3.3581720000000001E-7</v>
      </c>
      <c r="I2311">
        <v>200.7003</v>
      </c>
      <c r="J2311">
        <v>-488.87479999999999</v>
      </c>
      <c r="K2311">
        <v>1.1091489999999999</v>
      </c>
      <c r="L2311">
        <v>259.54599999999999</v>
      </c>
      <c r="M2311">
        <v>-0.25563910000000001</v>
      </c>
      <c r="N2311">
        <v>0</v>
      </c>
      <c r="O2311">
        <v>-0.96667139999999996</v>
      </c>
      <c r="P2311">
        <v>-0.27848329999999999</v>
      </c>
      <c r="Q2311">
        <v>2.4180750000000001E-2</v>
      </c>
      <c r="R2311">
        <v>-0.96013660000000001</v>
      </c>
      <c r="S2311">
        <v>-0.19241330000000001</v>
      </c>
      <c r="T2311">
        <v>-5.7641030000000003E-2</v>
      </c>
      <c r="U2311">
        <v>-3.070557</v>
      </c>
      <c r="V2311">
        <v>2.3837270000000001E-2</v>
      </c>
      <c r="W2311">
        <v>3.8085609999999999E-2</v>
      </c>
      <c r="X2311">
        <v>0.99899009999999999</v>
      </c>
      <c r="Y2311">
        <v>-0.19471040000000001</v>
      </c>
      <c r="Z2311">
        <v>1.7638899999999999E-2</v>
      </c>
      <c r="AA2311">
        <v>0.98070219999999997</v>
      </c>
      <c r="AB2311">
        <v>26</v>
      </c>
      <c r="AC2311">
        <v>-3.6383000000000099</v>
      </c>
      <c r="AD2311">
        <v>-1.1091486641827999</v>
      </c>
      <c r="AE2311">
        <v>-58.845700000000001</v>
      </c>
      <c r="AF2311">
        <v>-11.523267318530401</v>
      </c>
      <c r="AG2311">
        <v>-1.1091486641827999</v>
      </c>
      <c r="AH2311">
        <v>57.799730360127299</v>
      </c>
      <c r="AI2311">
        <v>91.078131090907902</v>
      </c>
      <c r="AJ2311">
        <v>101.274967678135</v>
      </c>
      <c r="AK2311">
        <v>58.947643974606699</v>
      </c>
      <c r="AL2311">
        <v>87.817327348063003</v>
      </c>
      <c r="AM2311">
        <v>88.633103724915898</v>
      </c>
      <c r="AN2311">
        <v>0.99999997451406697</v>
      </c>
    </row>
    <row r="2312" spans="1:40" x14ac:dyDescent="0.25">
      <c r="A2312" t="str">
        <f>"20190312154555756"</f>
        <v>20190312154555756</v>
      </c>
      <c r="B2312" t="str">
        <f>"1552376755749392"</f>
        <v>1552376755749392</v>
      </c>
      <c r="C2312" t="s">
        <v>40</v>
      </c>
      <c r="D2312">
        <v>4.6398129999999904</v>
      </c>
      <c r="E2312">
        <v>0.39776270000000002</v>
      </c>
      <c r="F2312" t="s">
        <v>42</v>
      </c>
      <c r="G2312">
        <v>-489.47320000000002</v>
      </c>
      <c r="H2312" s="1">
        <v>-1.5647930000000001E-6</v>
      </c>
      <c r="I2312">
        <v>233.0625</v>
      </c>
      <c r="J2312">
        <v>-488.91820000000001</v>
      </c>
      <c r="K2312">
        <v>1.1091599999999999</v>
      </c>
      <c r="L2312">
        <v>259.38490000000002</v>
      </c>
      <c r="M2312">
        <v>-0.25637769999999999</v>
      </c>
      <c r="N2312">
        <v>0</v>
      </c>
      <c r="O2312">
        <v>-0.966476</v>
      </c>
      <c r="P2312">
        <v>-0.27860289999999999</v>
      </c>
      <c r="Q2312">
        <v>2.395833E-2</v>
      </c>
      <c r="R2312">
        <v>-0.96010779999999996</v>
      </c>
      <c r="S2312">
        <v>-7.0220950000000004E-2</v>
      </c>
      <c r="T2312">
        <v>-0.13014529999999999</v>
      </c>
      <c r="U2312">
        <v>-3.107513</v>
      </c>
      <c r="V2312">
        <v>2.319479E-2</v>
      </c>
      <c r="W2312">
        <v>3.7863090000000002E-2</v>
      </c>
      <c r="X2312">
        <v>0.9990137</v>
      </c>
      <c r="Y2312">
        <v>-0.2345158</v>
      </c>
      <c r="Z2312">
        <v>3.9160140000000003E-2</v>
      </c>
      <c r="AA2312">
        <v>0.9713233</v>
      </c>
      <c r="AB2312">
        <v>26</v>
      </c>
      <c r="AC2312">
        <v>-0.55500000000000604</v>
      </c>
      <c r="AD2312">
        <v>-1.109161564793</v>
      </c>
      <c r="AE2312">
        <v>-26.322399999999998</v>
      </c>
      <c r="AF2312">
        <v>-6.2016801194504501</v>
      </c>
      <c r="AG2312">
        <v>-1.109161564793</v>
      </c>
      <c r="AH2312">
        <v>25.539420245292899</v>
      </c>
      <c r="AI2312">
        <v>92.416617414486794</v>
      </c>
      <c r="AJ2312">
        <v>103.648829181656</v>
      </c>
      <c r="AK2312">
        <v>26.305000706072601</v>
      </c>
      <c r="AL2312">
        <v>87.830086046584</v>
      </c>
      <c r="AM2312">
        <v>88.6699633314621</v>
      </c>
      <c r="AN2312">
        <v>0.99999999232759096</v>
      </c>
    </row>
    <row r="2313" spans="1:40" x14ac:dyDescent="0.25">
      <c r="A2313" t="str">
        <f>"20190312154555775"</f>
        <v>20190312154555775</v>
      </c>
      <c r="B2313" t="str">
        <f>"1552376755768918"</f>
        <v>1552376755768918</v>
      </c>
      <c r="C2313" t="s">
        <v>40</v>
      </c>
      <c r="D2313">
        <v>4.6361359999999996</v>
      </c>
      <c r="E2313">
        <v>0.39383629999999997</v>
      </c>
      <c r="F2313" t="s">
        <v>42</v>
      </c>
      <c r="G2313">
        <v>-489.28059999999999</v>
      </c>
      <c r="H2313" s="1">
        <v>-2.2553950000000001E-6</v>
      </c>
      <c r="I2313">
        <v>234.59270000000001</v>
      </c>
      <c r="J2313">
        <v>-488.9769</v>
      </c>
      <c r="K2313">
        <v>1.1091819999999999</v>
      </c>
      <c r="L2313">
        <v>259.16849999999999</v>
      </c>
      <c r="M2313">
        <v>-0.2573434</v>
      </c>
      <c r="N2313">
        <v>0</v>
      </c>
      <c r="O2313">
        <v>-0.9662193</v>
      </c>
      <c r="P2313">
        <v>-0.27854699999999999</v>
      </c>
      <c r="Q2313">
        <v>2.4236669999999998E-2</v>
      </c>
      <c r="R2313">
        <v>-0.96011679999999999</v>
      </c>
      <c r="S2313">
        <v>-4.553223E-2</v>
      </c>
      <c r="T2313">
        <v>-0.13935839999999999</v>
      </c>
      <c r="U2313">
        <v>-3.11496</v>
      </c>
      <c r="V2313">
        <v>2.2137819999999999E-2</v>
      </c>
      <c r="W2313">
        <v>3.8142309999999999E-2</v>
      </c>
      <c r="X2313">
        <v>0.99902709999999995</v>
      </c>
      <c r="Y2313">
        <v>-0.2432269</v>
      </c>
      <c r="Z2313">
        <v>4.1764259999999997E-2</v>
      </c>
      <c r="AA2313">
        <v>0.96906990000000004</v>
      </c>
      <c r="AB2313">
        <v>26</v>
      </c>
      <c r="AC2313">
        <v>-0.30369999999999198</v>
      </c>
      <c r="AD2313">
        <v>-1.109184255395</v>
      </c>
      <c r="AE2313">
        <v>-24.575799999999902</v>
      </c>
      <c r="AF2313">
        <v>-6.0193066605006198</v>
      </c>
      <c r="AG2313">
        <v>-1.109184255395</v>
      </c>
      <c r="AH2313">
        <v>23.777658506267802</v>
      </c>
      <c r="AI2313">
        <v>92.589246212186794</v>
      </c>
      <c r="AJ2313">
        <v>104.20596511055</v>
      </c>
      <c r="AK2313">
        <v>24.552787752641301</v>
      </c>
      <c r="AL2313">
        <v>87.814076442352203</v>
      </c>
      <c r="AM2313">
        <v>88.7305688671795</v>
      </c>
      <c r="AN2313">
        <v>1.0000000327104399</v>
      </c>
    </row>
    <row r="2314" spans="1:40" x14ac:dyDescent="0.25">
      <c r="A2314" t="str">
        <f>"20190312154555797"</f>
        <v>20190312154555797</v>
      </c>
      <c r="B2314" t="str">
        <f>"1552376755789411"</f>
        <v>1552376755789411</v>
      </c>
      <c r="C2314" t="s">
        <v>40</v>
      </c>
      <c r="D2314">
        <v>4.6870479999999999</v>
      </c>
      <c r="E2314">
        <v>0.3921056</v>
      </c>
      <c r="F2314" t="s">
        <v>42</v>
      </c>
      <c r="G2314">
        <v>-489.08269999999999</v>
      </c>
      <c r="H2314" s="1">
        <v>-3.245779E-6</v>
      </c>
      <c r="I2314">
        <v>236.81950000000001</v>
      </c>
      <c r="J2314">
        <v>-489.04430000000002</v>
      </c>
      <c r="K2314">
        <v>1.1092249999999999</v>
      </c>
      <c r="L2314">
        <v>258.92039999999997</v>
      </c>
      <c r="M2314">
        <v>-0.25839960000000001</v>
      </c>
      <c r="N2314">
        <v>0</v>
      </c>
      <c r="O2314">
        <v>-0.9659375</v>
      </c>
      <c r="P2314">
        <v>-0.27865830000000003</v>
      </c>
      <c r="Q2314">
        <v>2.4490169999999999E-2</v>
      </c>
      <c r="R2314">
        <v>-0.96007830000000005</v>
      </c>
      <c r="S2314">
        <v>-1.480103E-2</v>
      </c>
      <c r="T2314">
        <v>-0.15505829999999901</v>
      </c>
      <c r="U2314">
        <v>-3.1242679999999998</v>
      </c>
      <c r="V2314">
        <v>2.115933E-2</v>
      </c>
      <c r="W2314">
        <v>3.8396279999999998E-2</v>
      </c>
      <c r="X2314">
        <v>0.99903850000000005</v>
      </c>
      <c r="Y2314">
        <v>-0.2538453</v>
      </c>
      <c r="Z2314">
        <v>4.6233040000000003E-2</v>
      </c>
      <c r="AA2314">
        <v>0.96613930000000003</v>
      </c>
      <c r="AB2314">
        <v>26</v>
      </c>
      <c r="AC2314">
        <v>-3.8399999999967301E-2</v>
      </c>
      <c r="AD2314">
        <v>-1.1092282457789999</v>
      </c>
      <c r="AE2314">
        <v>-22.1008999999999</v>
      </c>
      <c r="AF2314">
        <v>-5.6600658126030696</v>
      </c>
      <c r="AG2314">
        <v>-1.1092282457789999</v>
      </c>
      <c r="AH2314">
        <v>21.306416932691398</v>
      </c>
      <c r="AI2314">
        <v>92.880444000676604</v>
      </c>
      <c r="AJ2314">
        <v>104.877060561551</v>
      </c>
      <c r="AK2314">
        <v>22.073290076785302</v>
      </c>
      <c r="AL2314">
        <v>87.799514201966502</v>
      </c>
      <c r="AM2314">
        <v>88.7866743092316</v>
      </c>
      <c r="AN2314">
        <v>0.99999995802306696</v>
      </c>
    </row>
    <row r="2315" spans="1:40" x14ac:dyDescent="0.25">
      <c r="A2315" t="str">
        <f>"20190312154555820"</f>
        <v>20190312154555820</v>
      </c>
      <c r="B2315" t="str">
        <f>"1552376755808928"</f>
        <v>1552376755808928</v>
      </c>
      <c r="C2315" t="s">
        <v>40</v>
      </c>
      <c r="D2315">
        <v>4.6496440000000003</v>
      </c>
      <c r="E2315">
        <v>0.3908856</v>
      </c>
      <c r="F2315" t="s">
        <v>42</v>
      </c>
      <c r="G2315">
        <v>-489.05669999999998</v>
      </c>
      <c r="H2315" s="1">
        <v>-3.9277270000000002E-6</v>
      </c>
      <c r="I2315">
        <v>238.39830000000001</v>
      </c>
      <c r="J2315">
        <v>-489.11189999999999</v>
      </c>
      <c r="K2315">
        <v>1.1092799999999901</v>
      </c>
      <c r="L2315">
        <v>258.6721</v>
      </c>
      <c r="M2315">
        <v>-0.25938670000000003</v>
      </c>
      <c r="N2315">
        <v>0</v>
      </c>
      <c r="O2315">
        <v>-0.965673</v>
      </c>
      <c r="P2315">
        <v>-0.2795337</v>
      </c>
      <c r="Q2315">
        <v>2.4453820000000001E-2</v>
      </c>
      <c r="R2315">
        <v>-0.95982480000000003</v>
      </c>
      <c r="S2315">
        <v>-1.8920899999999999E-3</v>
      </c>
      <c r="T2315">
        <v>-0.16909849999999901</v>
      </c>
      <c r="U2315">
        <v>-3.1285249999999998</v>
      </c>
      <c r="V2315">
        <v>2.1043929999999999E-2</v>
      </c>
      <c r="W2315">
        <v>3.8358160000000002E-2</v>
      </c>
      <c r="X2315">
        <v>0.99904250000000006</v>
      </c>
      <c r="Y2315">
        <v>-0.2588221</v>
      </c>
      <c r="Z2315">
        <v>5.0282189999999997E-2</v>
      </c>
      <c r="AA2315">
        <v>0.96461540000000001</v>
      </c>
      <c r="AB2315">
        <v>26</v>
      </c>
      <c r="AC2315">
        <v>5.5200000000013398E-2</v>
      </c>
      <c r="AD2315">
        <v>-1.1092839277269999</v>
      </c>
      <c r="AE2315">
        <v>-20.273799999999898</v>
      </c>
      <c r="AF2315">
        <v>-5.2967181783086801</v>
      </c>
      <c r="AG2315">
        <v>-1.1092839277269999</v>
      </c>
      <c r="AH2315">
        <v>19.507044261992501</v>
      </c>
      <c r="AI2315">
        <v>93.141169590545701</v>
      </c>
      <c r="AJ2315">
        <v>105.191168948593</v>
      </c>
      <c r="AK2315">
        <v>20.2437770717837</v>
      </c>
      <c r="AL2315">
        <v>87.8017001430932</v>
      </c>
      <c r="AM2315">
        <v>88.793294484365404</v>
      </c>
      <c r="AN2315">
        <v>1.0000000561173299</v>
      </c>
    </row>
    <row r="2316" spans="1:40" x14ac:dyDescent="0.25">
      <c r="A2316" t="str">
        <f>"20190312154555841"</f>
        <v>20190312154555841</v>
      </c>
      <c r="B2316" t="str">
        <f>"1552376755838957"</f>
        <v>1552376755838957</v>
      </c>
      <c r="C2316" t="s">
        <v>40</v>
      </c>
      <c r="D2316">
        <v>4.6774060000000004</v>
      </c>
      <c r="E2316">
        <v>0.38940229999999998</v>
      </c>
      <c r="F2316" t="s">
        <v>42</v>
      </c>
      <c r="G2316">
        <v>-489.07740000000001</v>
      </c>
      <c r="H2316" s="1">
        <v>-4.2320710000000004E-6</v>
      </c>
      <c r="I2316">
        <v>239.1163</v>
      </c>
      <c r="J2316">
        <v>-489.17829999999998</v>
      </c>
      <c r="K2316">
        <v>1.1093519999999999</v>
      </c>
      <c r="L2316">
        <v>258.42930000000001</v>
      </c>
      <c r="M2316">
        <v>-0.26025700000000002</v>
      </c>
      <c r="N2316">
        <v>0</v>
      </c>
      <c r="O2316">
        <v>-0.96543900000000005</v>
      </c>
      <c r="P2316">
        <v>-0.280520099999999</v>
      </c>
      <c r="Q2316">
        <v>2.473332E-2</v>
      </c>
      <c r="R2316">
        <v>-0.95952990000000005</v>
      </c>
      <c r="S2316">
        <v>5.5236819999999898E-3</v>
      </c>
      <c r="T2316">
        <v>-0.17764349999999901</v>
      </c>
      <c r="U2316">
        <v>-3.1317140000000001</v>
      </c>
      <c r="V2316">
        <v>2.1166239999999999E-2</v>
      </c>
      <c r="W2316">
        <v>3.8637379999999999E-2</v>
      </c>
      <c r="X2316">
        <v>0.9990291</v>
      </c>
      <c r="Y2316">
        <v>-0.26197480000000001</v>
      </c>
      <c r="Z2316">
        <v>5.2717340000000001E-2</v>
      </c>
      <c r="AA2316">
        <v>0.96363379999999998</v>
      </c>
      <c r="AB2316">
        <v>26</v>
      </c>
      <c r="AC2316">
        <v>0.100899999999967</v>
      </c>
      <c r="AD2316">
        <v>-1.109356232071</v>
      </c>
      <c r="AE2316">
        <v>-19.312999999999999</v>
      </c>
      <c r="AF2316">
        <v>-5.1074016840774599</v>
      </c>
      <c r="AG2316">
        <v>-1.109356232071</v>
      </c>
      <c r="AH2316">
        <v>18.5598325232693</v>
      </c>
      <c r="AI2316">
        <v>93.298286917389603</v>
      </c>
      <c r="AJ2316">
        <v>105.38614592514401</v>
      </c>
      <c r="AK2316">
        <v>19.2816909658867</v>
      </c>
      <c r="AL2316">
        <v>87.7856900230706</v>
      </c>
      <c r="AM2316">
        <v>88.786266775448993</v>
      </c>
      <c r="AN2316">
        <v>0.99999999974790599</v>
      </c>
    </row>
    <row r="2317" spans="1:40" x14ac:dyDescent="0.25">
      <c r="A2317" t="str">
        <f>"20190312154555866"</f>
        <v>20190312154555866</v>
      </c>
      <c r="B2317" t="str">
        <f>"1552376755859453"</f>
        <v>1552376755859453</v>
      </c>
      <c r="C2317" t="s">
        <v>40</v>
      </c>
      <c r="D2317">
        <v>4.6486710000000002</v>
      </c>
      <c r="E2317">
        <v>0.38865460000000002</v>
      </c>
      <c r="F2317" t="s">
        <v>42</v>
      </c>
      <c r="G2317">
        <v>-489.09399999999999</v>
      </c>
      <c r="H2317" s="1">
        <v>-4.4067160000000001E-6</v>
      </c>
      <c r="I2317">
        <v>239.53030000000001</v>
      </c>
      <c r="J2317">
        <v>-489.24979999999999</v>
      </c>
      <c r="K2317">
        <v>1.109459</v>
      </c>
      <c r="L2317">
        <v>258.16770000000002</v>
      </c>
      <c r="M2317">
        <v>-0.26104759999999999</v>
      </c>
      <c r="N2317">
        <v>0</v>
      </c>
      <c r="O2317">
        <v>-0.96522520000000001</v>
      </c>
      <c r="P2317">
        <v>-0.28168130000000002</v>
      </c>
      <c r="Q2317">
        <v>2.4975540000000001E-2</v>
      </c>
      <c r="R2317">
        <v>-0.95918300000000001</v>
      </c>
      <c r="S2317">
        <v>1.397705E-2</v>
      </c>
      <c r="T2317">
        <v>-0.18404380000000001</v>
      </c>
      <c r="U2317">
        <v>-3.1353610000000001</v>
      </c>
      <c r="V2317">
        <v>2.1550070000000001E-2</v>
      </c>
      <c r="W2317">
        <v>3.8878950000000002E-2</v>
      </c>
      <c r="X2317">
        <v>0.99901150000000005</v>
      </c>
      <c r="Y2317">
        <v>-0.2653585</v>
      </c>
      <c r="Z2317">
        <v>5.450058E-2</v>
      </c>
      <c r="AA2317">
        <v>0.96260820000000002</v>
      </c>
      <c r="AB2317">
        <v>26</v>
      </c>
      <c r="AC2317">
        <v>0.15579999999999899</v>
      </c>
      <c r="AD2317">
        <v>-1.1094634067160001</v>
      </c>
      <c r="AE2317">
        <v>-18.6374</v>
      </c>
      <c r="AF2317">
        <v>-4.99840682704935</v>
      </c>
      <c r="AG2317">
        <v>-1.1094634067160001</v>
      </c>
      <c r="AH2317">
        <v>17.886980932924899</v>
      </c>
      <c r="AI2317">
        <v>93.418656615287702</v>
      </c>
      <c r="AJ2317">
        <v>105.612693773573</v>
      </c>
      <c r="AK2317">
        <v>18.605350487275299</v>
      </c>
      <c r="AL2317">
        <v>87.771838624801603</v>
      </c>
      <c r="AM2317">
        <v>88.764241857026903</v>
      </c>
      <c r="AN2317">
        <v>0.99999997770117799</v>
      </c>
    </row>
    <row r="2318" spans="1:40" x14ac:dyDescent="0.25">
      <c r="A2318" t="str">
        <f>"20190312154555889"</f>
        <v>20190312154555889</v>
      </c>
      <c r="B2318" t="str">
        <f>"1552376755878972"</f>
        <v>1552376755878972</v>
      </c>
      <c r="C2318" t="s">
        <v>40</v>
      </c>
      <c r="D2318">
        <v>4.6626099999999999</v>
      </c>
      <c r="E2318">
        <v>0.38817059999999998</v>
      </c>
      <c r="F2318" t="s">
        <v>42</v>
      </c>
      <c r="G2318">
        <v>-489.15480000000002</v>
      </c>
      <c r="H2318" s="1">
        <v>-2.4114530000000001E-7</v>
      </c>
      <c r="I2318">
        <v>239.69579999999999</v>
      </c>
      <c r="J2318">
        <v>-489.32380000000001</v>
      </c>
      <c r="K2318">
        <v>1.1095919999999999</v>
      </c>
      <c r="L2318">
        <v>257.89749999999998</v>
      </c>
      <c r="M2318">
        <v>-0.26166620000000002</v>
      </c>
      <c r="N2318">
        <v>0</v>
      </c>
      <c r="O2318">
        <v>-0.96505810000000003</v>
      </c>
      <c r="P2318">
        <v>-0.28259440000000002</v>
      </c>
      <c r="Q2318">
        <v>2.5154340000000001E-2</v>
      </c>
      <c r="R2318">
        <v>-0.95890989999999998</v>
      </c>
      <c r="S2318">
        <v>1.61438E-2</v>
      </c>
      <c r="T2318">
        <v>-0.1884335</v>
      </c>
      <c r="U2318">
        <v>-3.1373139999999999</v>
      </c>
      <c r="V2318">
        <v>2.1850359999999999E-2</v>
      </c>
      <c r="W2318">
        <v>3.9059070000000001E-2</v>
      </c>
      <c r="X2318">
        <v>0.99899800000000005</v>
      </c>
      <c r="Y2318">
        <v>-0.26663740000000002</v>
      </c>
      <c r="Z2318">
        <v>5.5735529999999998E-2</v>
      </c>
      <c r="AA2318">
        <v>0.96218400000000004</v>
      </c>
      <c r="AB2318">
        <v>26</v>
      </c>
      <c r="AC2318">
        <v>0.168999999999982</v>
      </c>
      <c r="AD2318">
        <v>-1.1095922411453001</v>
      </c>
      <c r="AE2318">
        <v>-18.201699999999899</v>
      </c>
      <c r="AF2318">
        <v>-4.9081034575273996</v>
      </c>
      <c r="AG2318">
        <v>-1.1095922411453001</v>
      </c>
      <c r="AH2318">
        <v>17.458299797177101</v>
      </c>
      <c r="AI2318">
        <v>93.501266111399403</v>
      </c>
      <c r="AJ2318">
        <v>105.702423180238</v>
      </c>
      <c r="AK2318">
        <v>18.169009502433401</v>
      </c>
      <c r="AL2318">
        <v>87.761510773333896</v>
      </c>
      <c r="AM2318">
        <v>88.747010678743493</v>
      </c>
      <c r="AN2318">
        <v>1.0000000265926901</v>
      </c>
    </row>
    <row r="2319" spans="1:40" x14ac:dyDescent="0.25">
      <c r="A2319" t="str">
        <f>"20190312154555909"</f>
        <v>20190312154555909</v>
      </c>
      <c r="B2319" t="str">
        <f>"1552376755899469"</f>
        <v>1552376755899469</v>
      </c>
      <c r="C2319" t="s">
        <v>40</v>
      </c>
      <c r="D2319">
        <v>4.6285819999999998</v>
      </c>
      <c r="E2319">
        <v>0.41303099999999998</v>
      </c>
      <c r="F2319" t="s">
        <v>42</v>
      </c>
      <c r="G2319">
        <v>-489.22460000000001</v>
      </c>
      <c r="H2319" s="1">
        <v>-4.4081080000000004E-6</v>
      </c>
      <c r="I2319">
        <v>239.58760000000001</v>
      </c>
      <c r="J2319">
        <v>-489.38420000000002</v>
      </c>
      <c r="K2319">
        <v>1.1096999999999999</v>
      </c>
      <c r="L2319">
        <v>257.67660000000001</v>
      </c>
      <c r="M2319">
        <v>-0.26204539999999998</v>
      </c>
      <c r="N2319">
        <v>0</v>
      </c>
      <c r="O2319">
        <v>-0.96495500000000001</v>
      </c>
      <c r="P2319">
        <v>-0.2836283</v>
      </c>
      <c r="Q2319">
        <v>2.5660820000000001E-2</v>
      </c>
      <c r="R2319">
        <v>-0.95859110000000003</v>
      </c>
      <c r="S2319">
        <v>1.6998289999999999E-2</v>
      </c>
      <c r="T2319">
        <v>-0.1901987</v>
      </c>
      <c r="U2319">
        <v>-3.13855</v>
      </c>
      <c r="V2319">
        <v>2.2529070000000002E-2</v>
      </c>
      <c r="W2319">
        <v>3.9566980000000002E-2</v>
      </c>
      <c r="X2319">
        <v>0.99896289999999999</v>
      </c>
      <c r="Y2319">
        <v>-0.26727580000000001</v>
      </c>
      <c r="Z2319">
        <v>5.6218919999999999E-2</v>
      </c>
      <c r="AA2319">
        <v>0.96197869999999996</v>
      </c>
      <c r="AB2319">
        <v>26</v>
      </c>
      <c r="AC2319">
        <v>0.15960000000001101</v>
      </c>
      <c r="AD2319">
        <v>-1.1097044081080001</v>
      </c>
      <c r="AE2319">
        <v>-18.088999999999999</v>
      </c>
      <c r="AF2319">
        <v>-4.8762708519276901</v>
      </c>
      <c r="AG2319">
        <v>-1.1097044081080001</v>
      </c>
      <c r="AH2319">
        <v>17.349649013525799</v>
      </c>
      <c r="AI2319">
        <v>93.5235606385979</v>
      </c>
      <c r="AJ2319">
        <v>105.698483320951</v>
      </c>
      <c r="AK2319">
        <v>18.0560178939674</v>
      </c>
      <c r="AL2319">
        <v>87.732387077764997</v>
      </c>
      <c r="AM2319">
        <v>88.708058276019003</v>
      </c>
      <c r="AN2319">
        <v>0.99999999023889696</v>
      </c>
    </row>
    <row r="2320" spans="1:40" x14ac:dyDescent="0.25">
      <c r="A2320" t="str">
        <f>"20190312154555931"</f>
        <v>20190312154555931</v>
      </c>
      <c r="B2320" t="str">
        <f>"1552376755928749"</f>
        <v>1552376755928749</v>
      </c>
      <c r="C2320" t="s">
        <v>40</v>
      </c>
      <c r="D2320">
        <v>4.55701</v>
      </c>
      <c r="E2320">
        <v>0.42013650000000002</v>
      </c>
      <c r="F2320" t="s">
        <v>53</v>
      </c>
      <c r="G2320">
        <v>-491.05470000000003</v>
      </c>
      <c r="H2320" s="1">
        <v>6.1824689999999999E-6</v>
      </c>
      <c r="I2320">
        <v>228.94759999999999</v>
      </c>
      <c r="J2320">
        <v>-489.45119999999997</v>
      </c>
      <c r="K2320">
        <v>1.109818</v>
      </c>
      <c r="L2320">
        <v>257.43130000000002</v>
      </c>
      <c r="M2320">
        <v>-0.26230389999999998</v>
      </c>
      <c r="N2320">
        <v>0</v>
      </c>
      <c r="O2320">
        <v>-0.96488510000000005</v>
      </c>
      <c r="P2320">
        <v>-0.28399150000000001</v>
      </c>
      <c r="Q2320">
        <v>2.6564750000000002E-2</v>
      </c>
      <c r="R2320">
        <v>-0.95845899999999995</v>
      </c>
      <c r="S2320">
        <v>-0.17907709999999999</v>
      </c>
      <c r="T2320">
        <v>-0.11895940000000001</v>
      </c>
      <c r="U2320">
        <v>-3.079758</v>
      </c>
      <c r="V2320">
        <v>2.2635160000000001E-2</v>
      </c>
      <c r="W2320">
        <v>4.0473200000000001E-2</v>
      </c>
      <c r="X2320">
        <v>0.99892420000000004</v>
      </c>
      <c r="Y2320">
        <v>-0.2059087</v>
      </c>
      <c r="Z2320">
        <v>3.6131629999999998E-2</v>
      </c>
      <c r="AA2320">
        <v>0.977904</v>
      </c>
      <c r="AB2320">
        <v>26</v>
      </c>
      <c r="AC2320">
        <v>-1.6035000000000501</v>
      </c>
      <c r="AD2320">
        <v>-1.1098118175309999</v>
      </c>
      <c r="AE2320">
        <v>-28.483699999999999</v>
      </c>
      <c r="AF2320">
        <v>-5.9158127772208404</v>
      </c>
      <c r="AG2320">
        <v>-1.1098118175309999</v>
      </c>
      <c r="AH2320">
        <v>27.864632657239198</v>
      </c>
      <c r="AI2320">
        <v>92.231133837030796</v>
      </c>
      <c r="AJ2320">
        <v>101.98623241983</v>
      </c>
      <c r="AK2320">
        <v>28.507302155909802</v>
      </c>
      <c r="AL2320">
        <v>87.680422872761994</v>
      </c>
      <c r="AM2320">
        <v>88.701926293632297</v>
      </c>
      <c r="AN2320">
        <v>0.99999999386605198</v>
      </c>
    </row>
    <row r="2321" spans="1:40" x14ac:dyDescent="0.25">
      <c r="A2321" t="str">
        <f>"20190312154555954"</f>
        <v>20190312154555954</v>
      </c>
      <c r="B2321" t="str">
        <f>"1552376755949245"</f>
        <v>1552376755949245</v>
      </c>
      <c r="C2321" t="s">
        <v>40</v>
      </c>
      <c r="D2321">
        <v>4.6117549999999996</v>
      </c>
      <c r="E2321">
        <v>0.4207842</v>
      </c>
      <c r="F2321" t="s">
        <v>53</v>
      </c>
      <c r="G2321">
        <v>-492.81299999999999</v>
      </c>
      <c r="H2321" s="1">
        <v>2.779437E-6</v>
      </c>
      <c r="I2321">
        <v>213.91810000000001</v>
      </c>
      <c r="J2321">
        <v>-489.51940000000002</v>
      </c>
      <c r="K2321">
        <v>1.1099619999999999</v>
      </c>
      <c r="L2321">
        <v>257.18130000000002</v>
      </c>
      <c r="M2321">
        <v>-0.26237240000000001</v>
      </c>
      <c r="N2321">
        <v>0</v>
      </c>
      <c r="O2321">
        <v>-0.96486629999999995</v>
      </c>
      <c r="P2321">
        <v>-0.28379710000000002</v>
      </c>
      <c r="Q2321">
        <v>2.723925E-2</v>
      </c>
      <c r="R2321">
        <v>-0.9584975</v>
      </c>
      <c r="S2321">
        <v>-0.23657230000000001</v>
      </c>
      <c r="T2321">
        <v>-7.8100089999999997E-2</v>
      </c>
      <c r="U2321">
        <v>-3.062119</v>
      </c>
      <c r="V2321">
        <v>2.2353439999999999E-2</v>
      </c>
      <c r="W2321">
        <v>4.1151170000000001E-2</v>
      </c>
      <c r="X2321">
        <v>0.99890290000000004</v>
      </c>
      <c r="Y2321">
        <v>-0.18731110000000001</v>
      </c>
      <c r="Z2321">
        <v>2.3900350000000001E-2</v>
      </c>
      <c r="AA2321">
        <v>0.98200980000000004</v>
      </c>
      <c r="AB2321">
        <v>26</v>
      </c>
      <c r="AC2321">
        <v>-3.2936000000000201</v>
      </c>
      <c r="AD2321">
        <v>-1.109959220563</v>
      </c>
      <c r="AE2321">
        <v>-43.263199999999998</v>
      </c>
      <c r="AF2321">
        <v>-8.1686320049134302</v>
      </c>
      <c r="AG2321">
        <v>-1.109959220563</v>
      </c>
      <c r="AH2321">
        <v>42.583613328718897</v>
      </c>
      <c r="AI2321">
        <v>91.466376262952906</v>
      </c>
      <c r="AJ2321">
        <v>100.858894173333</v>
      </c>
      <c r="AK2321">
        <v>43.374216793307603</v>
      </c>
      <c r="AL2321">
        <v>87.641545791963907</v>
      </c>
      <c r="AM2321">
        <v>88.718049528592601</v>
      </c>
      <c r="AN2321">
        <v>1.0000000493503001</v>
      </c>
    </row>
    <row r="2322" spans="1:40" x14ac:dyDescent="0.25">
      <c r="A2322" t="str">
        <f>"20190312154555976"</f>
        <v>20190312154555976</v>
      </c>
      <c r="B2322" t="str">
        <f>"1552376755968765"</f>
        <v>1552376755968765</v>
      </c>
      <c r="C2322" t="s">
        <v>40</v>
      </c>
      <c r="D2322">
        <v>4.6158070000000002</v>
      </c>
      <c r="E2322">
        <v>0.42090759999999999</v>
      </c>
      <c r="F2322" t="s">
        <v>53</v>
      </c>
      <c r="G2322">
        <v>-493.8304</v>
      </c>
      <c r="H2322" s="1">
        <v>8.3889530000000002E-7</v>
      </c>
      <c r="I2322">
        <v>202.32429999999999</v>
      </c>
      <c r="J2322">
        <v>-489.58670000000001</v>
      </c>
      <c r="K2322">
        <v>1.1101240000000001</v>
      </c>
      <c r="L2322">
        <v>256.93400000000003</v>
      </c>
      <c r="M2322">
        <v>-0.26221409999999901</v>
      </c>
      <c r="N2322">
        <v>0</v>
      </c>
      <c r="O2322">
        <v>-0.96490960000000003</v>
      </c>
      <c r="P2322">
        <v>-0.28370079999999998</v>
      </c>
      <c r="Q2322">
        <v>2.8008000000000002E-2</v>
      </c>
      <c r="R2322">
        <v>-0.95850389999999996</v>
      </c>
      <c r="S2322">
        <v>-0.240509</v>
      </c>
      <c r="T2322">
        <v>-6.1924340000000001E-2</v>
      </c>
      <c r="U2322">
        <v>-3.0604550000000001</v>
      </c>
      <c r="V2322">
        <v>2.2407440000000001E-2</v>
      </c>
      <c r="W2322">
        <v>4.1924410000000002E-2</v>
      </c>
      <c r="X2322">
        <v>0.99886949999999997</v>
      </c>
      <c r="Y2322">
        <v>-0.18584490000000001</v>
      </c>
      <c r="Z2322">
        <v>1.8965940000000001E-2</v>
      </c>
      <c r="AA2322">
        <v>0.98239600000000005</v>
      </c>
      <c r="AB2322">
        <v>26</v>
      </c>
      <c r="AC2322">
        <v>-4.2436999999999898</v>
      </c>
      <c r="AD2322">
        <v>-1.1101231611047</v>
      </c>
      <c r="AE2322">
        <v>-54.609699999999997</v>
      </c>
      <c r="AF2322">
        <v>-10.2214359067433</v>
      </c>
      <c r="AG2322">
        <v>-1.1101231611047</v>
      </c>
      <c r="AH2322">
        <v>53.7892865049918</v>
      </c>
      <c r="AI2322">
        <v>91.161543543213696</v>
      </c>
      <c r="AJ2322">
        <v>100.75947986445</v>
      </c>
      <c r="AK2322">
        <v>54.763103163942198</v>
      </c>
      <c r="AL2322">
        <v>87.597204049167104</v>
      </c>
      <c r="AM2322">
        <v>88.714910757714307</v>
      </c>
      <c r="AN2322">
        <v>1.0000000137757199</v>
      </c>
    </row>
    <row r="2323" spans="1:40" x14ac:dyDescent="0.25">
      <c r="A2323" t="str">
        <f>"20190312154555999"</f>
        <v>20190312154555999</v>
      </c>
      <c r="B2323" t="str">
        <f>"1552376755989261"</f>
        <v>1552376755989261</v>
      </c>
      <c r="C2323" t="s">
        <v>40</v>
      </c>
      <c r="D2323">
        <v>4.618398</v>
      </c>
      <c r="E2323">
        <v>0.4209715</v>
      </c>
      <c r="F2323" t="s">
        <v>42</v>
      </c>
      <c r="G2323">
        <v>-494.62759999999997</v>
      </c>
      <c r="H2323" s="1">
        <v>-2.748093E-6</v>
      </c>
      <c r="I2323">
        <v>193.12479999999999</v>
      </c>
      <c r="J2323">
        <v>-489.65190000000001</v>
      </c>
      <c r="K2323">
        <v>1.1103099999999999</v>
      </c>
      <c r="L2323">
        <v>256.69279999999998</v>
      </c>
      <c r="M2323">
        <v>-0.2618105</v>
      </c>
      <c r="N2323">
        <v>0</v>
      </c>
      <c r="O2323">
        <v>-0.96501899999999996</v>
      </c>
      <c r="P2323">
        <v>-0.282887</v>
      </c>
      <c r="Q2323">
        <v>2.808242E-2</v>
      </c>
      <c r="R2323">
        <v>-0.95874210000000004</v>
      </c>
      <c r="S2323">
        <v>-0.24172969999999999</v>
      </c>
      <c r="T2323">
        <v>-5.3234820000000002E-2</v>
      </c>
      <c r="U2323">
        <v>-3.0598909999999999</v>
      </c>
      <c r="V2323">
        <v>2.195954E-2</v>
      </c>
      <c r="W2323">
        <v>4.200636E-2</v>
      </c>
      <c r="X2323">
        <v>0.99887599999999999</v>
      </c>
      <c r="Y2323">
        <v>-0.18502650000000001</v>
      </c>
      <c r="Z2323">
        <v>1.631233E-2</v>
      </c>
      <c r="AA2323">
        <v>0.98259810000000003</v>
      </c>
      <c r="AB2323">
        <v>26</v>
      </c>
      <c r="AC2323">
        <v>-4.9756999999999598</v>
      </c>
      <c r="AD2323">
        <v>-1.110312748093</v>
      </c>
      <c r="AE2323">
        <v>-63.567999999999898</v>
      </c>
      <c r="AF2323">
        <v>-11.8386814141904</v>
      </c>
      <c r="AG2323">
        <v>-1.110312748093</v>
      </c>
      <c r="AH2323">
        <v>62.634091108951601</v>
      </c>
      <c r="AI2323">
        <v>90.997908703812499</v>
      </c>
      <c r="AJ2323">
        <v>100.70339780292601</v>
      </c>
      <c r="AK2323">
        <v>63.752776732231197</v>
      </c>
      <c r="AL2323">
        <v>87.592504509885401</v>
      </c>
      <c r="AM2323">
        <v>88.740598108753801</v>
      </c>
      <c r="AN2323">
        <v>1.0000000095267301</v>
      </c>
    </row>
    <row r="2324" spans="1:40" x14ac:dyDescent="0.25">
      <c r="A2324" t="str">
        <f>"20190312154556021"</f>
        <v>20190312154556021</v>
      </c>
      <c r="B2324" t="str">
        <f>"1552376756008781"</f>
        <v>1552376756008781</v>
      </c>
      <c r="C2324" t="s">
        <v>40</v>
      </c>
      <c r="D2324">
        <v>4.5906520000000004</v>
      </c>
      <c r="E2324">
        <v>0.42109669999999999</v>
      </c>
      <c r="F2324" t="s">
        <v>42</v>
      </c>
      <c r="G2324">
        <v>-494.30990000000003</v>
      </c>
      <c r="H2324" s="1">
        <v>-4.2327589999999999E-6</v>
      </c>
      <c r="I2324">
        <v>197.17840000000001</v>
      </c>
      <c r="J2324">
        <v>-489.7183</v>
      </c>
      <c r="K2324">
        <v>1.110533</v>
      </c>
      <c r="L2324">
        <v>256.4461</v>
      </c>
      <c r="M2324">
        <v>-0.26111980000000001</v>
      </c>
      <c r="N2324">
        <v>0</v>
      </c>
      <c r="O2324">
        <v>-0.96520609999999996</v>
      </c>
      <c r="P2324">
        <v>-0.28111779999999997</v>
      </c>
      <c r="Q2324">
        <v>2.8526699999999999E-2</v>
      </c>
      <c r="R2324">
        <v>-0.95924929999999997</v>
      </c>
      <c r="S2324">
        <v>-0.23950199999999999</v>
      </c>
      <c r="T2324">
        <v>-5.7089689999999998E-2</v>
      </c>
      <c r="U2324">
        <v>-3.0600890000000001</v>
      </c>
      <c r="V2324">
        <v>2.0811880000000001E-2</v>
      </c>
      <c r="W2324">
        <v>4.2459900000000002E-2</v>
      </c>
      <c r="X2324">
        <v>0.99888140000000003</v>
      </c>
      <c r="Y2324">
        <v>-0.18504080000000001</v>
      </c>
      <c r="Z2324">
        <v>1.7497680000000002E-2</v>
      </c>
      <c r="AA2324">
        <v>0.98257510000000003</v>
      </c>
      <c r="AB2324">
        <v>26</v>
      </c>
      <c r="AC2324">
        <v>-4.5916000000000201</v>
      </c>
      <c r="AD2324">
        <v>-1.110537232759</v>
      </c>
      <c r="AE2324">
        <v>-59.267699999999898</v>
      </c>
      <c r="AF2324">
        <v>-11.0413455781256</v>
      </c>
      <c r="AG2324">
        <v>-1.110537232759</v>
      </c>
      <c r="AH2324">
        <v>58.3897803254834</v>
      </c>
      <c r="AI2324">
        <v>91.070629646840601</v>
      </c>
      <c r="AJ2324">
        <v>100.70803599933301</v>
      </c>
      <c r="AK2324">
        <v>59.434931240636097</v>
      </c>
      <c r="AL2324">
        <v>87.566495388058996</v>
      </c>
      <c r="AM2324">
        <v>88.806404458386695</v>
      </c>
      <c r="AN2324">
        <v>1.0000000143615499</v>
      </c>
    </row>
    <row r="2325" spans="1:40" x14ac:dyDescent="0.25">
      <c r="A2325" t="str">
        <f>"20190312154556042"</f>
        <v>20190312154556042</v>
      </c>
      <c r="B2325" t="str">
        <f>"1552376756039037"</f>
        <v>1552376756039037</v>
      </c>
      <c r="C2325" t="s">
        <v>40</v>
      </c>
      <c r="D2325">
        <v>4.6004889999999996</v>
      </c>
      <c r="E2325">
        <v>0.42107319999999998</v>
      </c>
      <c r="F2325" t="s">
        <v>42</v>
      </c>
      <c r="G2325">
        <v>-494.31180000000001</v>
      </c>
      <c r="H2325" s="1">
        <v>-4.0282779999999999E-6</v>
      </c>
      <c r="I2325">
        <v>196.57660000000001</v>
      </c>
      <c r="J2325">
        <v>-489.78160000000003</v>
      </c>
      <c r="K2325">
        <v>1.1107689999999999</v>
      </c>
      <c r="L2325">
        <v>256.20830000000001</v>
      </c>
      <c r="M2325">
        <v>-0.26015569999999999</v>
      </c>
      <c r="N2325">
        <v>0</v>
      </c>
      <c r="O2325">
        <v>-0.96546639999999995</v>
      </c>
      <c r="P2325">
        <v>-0.27908810000000001</v>
      </c>
      <c r="Q2325">
        <v>2.9369619999999999E-2</v>
      </c>
      <c r="R2325">
        <v>-0.95981629999999996</v>
      </c>
      <c r="S2325">
        <v>-0.23480219999999999</v>
      </c>
      <c r="T2325">
        <v>-5.676639E-2</v>
      </c>
      <c r="U2325">
        <v>-3.0603030000000002</v>
      </c>
      <c r="V2325">
        <v>1.9677050000000001E-2</v>
      </c>
      <c r="W2325">
        <v>4.3313129999999998E-2</v>
      </c>
      <c r="X2325">
        <v>0.99886779999999997</v>
      </c>
      <c r="Y2325">
        <v>-0.18556439999999999</v>
      </c>
      <c r="Z2325">
        <v>1.7404659999999999E-2</v>
      </c>
      <c r="AA2325">
        <v>0.98247799999999996</v>
      </c>
      <c r="AB2325">
        <v>26</v>
      </c>
      <c r="AC2325">
        <v>-4.5301999999999696</v>
      </c>
      <c r="AD2325">
        <v>-1.110773028278</v>
      </c>
      <c r="AE2325">
        <v>-59.631700000000002</v>
      </c>
      <c r="AF2325">
        <v>-11.137007420071001</v>
      </c>
      <c r="AG2325">
        <v>-1.110773028278</v>
      </c>
      <c r="AH2325">
        <v>58.736386214703302</v>
      </c>
      <c r="AI2325">
        <v>91.064439442279905</v>
      </c>
      <c r="AJ2325">
        <v>100.736399912189</v>
      </c>
      <c r="AK2325">
        <v>59.793225507224903</v>
      </c>
      <c r="AL2325">
        <v>87.517563972715294</v>
      </c>
      <c r="AM2325">
        <v>88.871456146627395</v>
      </c>
      <c r="AN2325">
        <v>1.0000000477019599</v>
      </c>
    </row>
    <row r="2326" spans="1:40" x14ac:dyDescent="0.25">
      <c r="A2326" t="str">
        <f>"20190312154556067"</f>
        <v>20190312154556067</v>
      </c>
      <c r="B2326" t="str">
        <f>"1552376756059533"</f>
        <v>1552376756059533</v>
      </c>
      <c r="C2326" t="s">
        <v>40</v>
      </c>
      <c r="D2326">
        <v>4.5809829999999998</v>
      </c>
      <c r="E2326">
        <v>0.42092309999999999</v>
      </c>
      <c r="F2326" t="s">
        <v>42</v>
      </c>
      <c r="G2326">
        <v>-494.38029999999998</v>
      </c>
      <c r="H2326" s="1">
        <v>-3.2728860000000001E-6</v>
      </c>
      <c r="I2326">
        <v>194.50149999999999</v>
      </c>
      <c r="J2326">
        <v>-489.85199999999998</v>
      </c>
      <c r="K2326">
        <v>1.111059</v>
      </c>
      <c r="L2326">
        <v>255.941</v>
      </c>
      <c r="M2326">
        <v>-0.25866470000000003</v>
      </c>
      <c r="N2326">
        <v>0</v>
      </c>
      <c r="O2326">
        <v>-0.96586700000000003</v>
      </c>
      <c r="P2326">
        <v>-0.2767192</v>
      </c>
      <c r="Q2326">
        <v>3.071807E-2</v>
      </c>
      <c r="R2326">
        <v>-0.96045979999999997</v>
      </c>
      <c r="S2326">
        <v>-0.22811890000000001</v>
      </c>
      <c r="T2326">
        <v>-5.5100320000000001E-2</v>
      </c>
      <c r="U2326">
        <v>-3.0609890000000002</v>
      </c>
      <c r="V2326">
        <v>1.8732559999999999E-2</v>
      </c>
      <c r="W2326">
        <v>4.4674609999999997E-2</v>
      </c>
      <c r="X2326">
        <v>0.99882599999999999</v>
      </c>
      <c r="Y2326">
        <v>-0.18619630000000001</v>
      </c>
      <c r="Z2326">
        <v>1.6901200000000002E-2</v>
      </c>
      <c r="AA2326">
        <v>0.9823672</v>
      </c>
      <c r="AB2326">
        <v>26</v>
      </c>
      <c r="AC2326">
        <v>-4.5282999999999998</v>
      </c>
      <c r="AD2326">
        <v>-1.111062272886</v>
      </c>
      <c r="AE2326">
        <v>-61.439499999999903</v>
      </c>
      <c r="AF2326">
        <v>-11.515863308078799</v>
      </c>
      <c r="AG2326">
        <v>-1.111062272886</v>
      </c>
      <c r="AH2326">
        <v>60.499874699822698</v>
      </c>
      <c r="AI2326">
        <v>91.033549051404705</v>
      </c>
      <c r="AJ2326">
        <v>100.777057594102</v>
      </c>
      <c r="AK2326">
        <v>61.596139536490703</v>
      </c>
      <c r="AL2326">
        <v>87.439481328883204</v>
      </c>
      <c r="AM2326">
        <v>88.925567800946098</v>
      </c>
      <c r="AN2326">
        <v>1.0000000539294001</v>
      </c>
    </row>
    <row r="2327" spans="1:40" x14ac:dyDescent="0.25">
      <c r="A2327" t="str">
        <f>"20190312154556090"</f>
        <v>20190312154556090</v>
      </c>
      <c r="B2327" t="str">
        <f>"1552376756079054"</f>
        <v>1552376756079054</v>
      </c>
      <c r="C2327" t="s">
        <v>40</v>
      </c>
      <c r="D2327">
        <v>4.6343310000000004</v>
      </c>
      <c r="E2327">
        <v>0.42095470000000001</v>
      </c>
      <c r="F2327" t="s">
        <v>42</v>
      </c>
      <c r="G2327">
        <v>-494.83890000000002</v>
      </c>
      <c r="H2327" s="1">
        <v>-4.0292280000000002E-6</v>
      </c>
      <c r="I2327">
        <v>186.30459999999999</v>
      </c>
      <c r="J2327">
        <v>-489.91759999999999</v>
      </c>
      <c r="K2327">
        <v>1.111318</v>
      </c>
      <c r="L2327">
        <v>255.68879999999999</v>
      </c>
      <c r="M2327">
        <v>-0.25688689999999997</v>
      </c>
      <c r="N2327">
        <v>0</v>
      </c>
      <c r="O2327">
        <v>-0.96634140000000002</v>
      </c>
      <c r="P2327">
        <v>-0.27428730000000001</v>
      </c>
      <c r="Q2327">
        <v>3.2511579999999998E-2</v>
      </c>
      <c r="R2327">
        <v>-0.96109849999999997</v>
      </c>
      <c r="S2327">
        <v>-0.21926880000000001</v>
      </c>
      <c r="T2327">
        <v>-4.8852319999999998E-2</v>
      </c>
      <c r="U2327">
        <v>-3.0618439999999998</v>
      </c>
      <c r="V2327">
        <v>1.8023959999999999E-2</v>
      </c>
      <c r="W2327">
        <v>4.6480420000000001E-2</v>
      </c>
      <c r="X2327">
        <v>0.99875659999999999</v>
      </c>
      <c r="Y2327">
        <v>-0.1872306</v>
      </c>
      <c r="Z2327">
        <v>1.499224E-2</v>
      </c>
      <c r="AA2327">
        <v>0.98220160000000001</v>
      </c>
      <c r="AB2327">
        <v>25</v>
      </c>
      <c r="AC2327">
        <v>-4.9213000000000298</v>
      </c>
      <c r="AD2327">
        <v>-1.1113220292279999</v>
      </c>
      <c r="AE2327">
        <v>-69.384199999999893</v>
      </c>
      <c r="AF2327">
        <v>-13.066164880150099</v>
      </c>
      <c r="AG2327">
        <v>-1.1113220292279999</v>
      </c>
      <c r="AH2327">
        <v>68.302215269978404</v>
      </c>
      <c r="AI2327">
        <v>90.915558622297098</v>
      </c>
      <c r="AJ2327">
        <v>100.829799653351</v>
      </c>
      <c r="AK2327">
        <v>69.549639194710295</v>
      </c>
      <c r="AL2327">
        <v>87.335908303938993</v>
      </c>
      <c r="AM2327">
        <v>88.966129732687406</v>
      </c>
      <c r="AN2327">
        <v>1.0000000193105001</v>
      </c>
    </row>
    <row r="2328" spans="1:40" x14ac:dyDescent="0.25">
      <c r="A2328" t="str">
        <f>"20190312154556111"</f>
        <v>20190312154556111</v>
      </c>
      <c r="B2328" t="str">
        <f>"1552376756099548"</f>
        <v>1552376756099548</v>
      </c>
      <c r="C2328" t="s">
        <v>40</v>
      </c>
      <c r="D2328">
        <v>4.6142279999999998</v>
      </c>
      <c r="E2328">
        <v>0.42103210000000002</v>
      </c>
      <c r="F2328" t="s">
        <v>42</v>
      </c>
      <c r="G2328">
        <v>-495.26069999999999</v>
      </c>
      <c r="H2328" s="1">
        <v>-4.7446329999999997E-6</v>
      </c>
      <c r="I2328">
        <v>178.18700000000001</v>
      </c>
      <c r="J2328">
        <v>-489.976</v>
      </c>
      <c r="K2328">
        <v>1.1115189999999999</v>
      </c>
      <c r="L2328">
        <v>255.4607</v>
      </c>
      <c r="M2328">
        <v>-0.25501990000000002</v>
      </c>
      <c r="N2328">
        <v>0</v>
      </c>
      <c r="O2328">
        <v>-0.96683540000000001</v>
      </c>
      <c r="P2328">
        <v>-0.27268369999999997</v>
      </c>
      <c r="Q2328">
        <v>3.3248819999999998E-2</v>
      </c>
      <c r="R2328">
        <v>-0.96152899999999997</v>
      </c>
      <c r="S2328">
        <v>-0.21115110000000001</v>
      </c>
      <c r="T2328">
        <v>-4.391718E-2</v>
      </c>
      <c r="U2328">
        <v>-3.0627140000000002</v>
      </c>
      <c r="V2328">
        <v>1.8268329999999999E-2</v>
      </c>
      <c r="W2328">
        <v>4.7230609999999999E-2</v>
      </c>
      <c r="X2328">
        <v>0.99871699999999997</v>
      </c>
      <c r="Y2328">
        <v>-0.18794230000000001</v>
      </c>
      <c r="Z2328">
        <v>1.3484970000000001E-2</v>
      </c>
      <c r="AA2328">
        <v>0.9820875</v>
      </c>
      <c r="AB2328">
        <v>25</v>
      </c>
      <c r="AC2328">
        <v>-5.2846999999999804</v>
      </c>
      <c r="AD2328">
        <v>-1.111523744633</v>
      </c>
      <c r="AE2328">
        <v>-77.273699999999906</v>
      </c>
      <c r="AF2328">
        <v>-14.5953076755306</v>
      </c>
      <c r="AG2328">
        <v>-1.111523744633</v>
      </c>
      <c r="AH2328">
        <v>76.050375098855994</v>
      </c>
      <c r="AI2328">
        <v>90.822348726678499</v>
      </c>
      <c r="AJ2328">
        <v>100.863900893096</v>
      </c>
      <c r="AK2328">
        <v>77.446226789011405</v>
      </c>
      <c r="AL2328">
        <v>87.292878416754604</v>
      </c>
      <c r="AM2328">
        <v>88.952074017994804</v>
      </c>
      <c r="AN2328">
        <v>1.0000000542454699</v>
      </c>
    </row>
    <row r="2329" spans="1:40" x14ac:dyDescent="0.25">
      <c r="A2329" t="str">
        <f>"20190312154556132"</f>
        <v>20190312154556132</v>
      </c>
      <c r="B2329" t="str">
        <f>"1552376756128829"</f>
        <v>1552376756128829</v>
      </c>
      <c r="C2329" t="s">
        <v>40</v>
      </c>
      <c r="D2329">
        <v>4.6440530000000004</v>
      </c>
      <c r="E2329">
        <v>0.42109479999999999</v>
      </c>
      <c r="F2329" t="s">
        <v>42</v>
      </c>
      <c r="G2329">
        <v>-495.31189999999998</v>
      </c>
      <c r="H2329" s="1">
        <v>-4.1872490000000002E-6</v>
      </c>
      <c r="I2329">
        <v>176.5224</v>
      </c>
      <c r="J2329">
        <v>-490.03530000000001</v>
      </c>
      <c r="K2329">
        <v>1.1116980000000001</v>
      </c>
      <c r="L2329">
        <v>255.22659999999999</v>
      </c>
      <c r="M2329">
        <v>-0.25285479999999999</v>
      </c>
      <c r="N2329">
        <v>0</v>
      </c>
      <c r="O2329">
        <v>-0.96740389999999998</v>
      </c>
      <c r="P2329">
        <v>-0.27088459999999998</v>
      </c>
      <c r="Q2329">
        <v>3.3124849999999997E-2</v>
      </c>
      <c r="R2329">
        <v>-0.96204190000000001</v>
      </c>
      <c r="S2329">
        <v>-0.2070313</v>
      </c>
      <c r="T2329">
        <v>-4.3127539999999999E-2</v>
      </c>
      <c r="U2329">
        <v>-3.0628359999999999</v>
      </c>
      <c r="V2329">
        <v>1.861515E-2</v>
      </c>
      <c r="W2329">
        <v>4.7119639999999997E-2</v>
      </c>
      <c r="X2329">
        <v>0.99871580000000004</v>
      </c>
      <c r="Y2329">
        <v>-0.1870607</v>
      </c>
      <c r="Z2329">
        <v>1.325572E-2</v>
      </c>
      <c r="AA2329">
        <v>0.98225890000000005</v>
      </c>
      <c r="AB2329">
        <v>25</v>
      </c>
      <c r="AC2329">
        <v>-5.27659999999997</v>
      </c>
      <c r="AD2329">
        <v>-1.1117021872489901</v>
      </c>
      <c r="AE2329">
        <v>-78.704199999999901</v>
      </c>
      <c r="AF2329">
        <v>-14.794629253690999</v>
      </c>
      <c r="AG2329">
        <v>-1.1117021872489901</v>
      </c>
      <c r="AH2329">
        <v>77.465098742432005</v>
      </c>
      <c r="AI2329">
        <v>90.807600952891406</v>
      </c>
      <c r="AJ2329">
        <v>100.812396790853</v>
      </c>
      <c r="AK2329">
        <v>78.873052810716302</v>
      </c>
      <c r="AL2329">
        <v>87.299243514456194</v>
      </c>
      <c r="AM2329">
        <v>88.932182667514496</v>
      </c>
      <c r="AN2329">
        <v>1.00000001672644</v>
      </c>
    </row>
    <row r="2330" spans="1:40" x14ac:dyDescent="0.25">
      <c r="A2330" t="str">
        <f>"20190312154556155"</f>
        <v>20190312154556155</v>
      </c>
      <c r="B2330" t="str">
        <f>"1552376756149326"</f>
        <v>1552376756149326</v>
      </c>
      <c r="C2330" t="s">
        <v>40</v>
      </c>
      <c r="D2330">
        <v>4.6131260000000003</v>
      </c>
      <c r="E2330">
        <v>0.42111530000000003</v>
      </c>
      <c r="F2330" t="s">
        <v>42</v>
      </c>
      <c r="G2330">
        <v>-494.82760000000002</v>
      </c>
      <c r="H2330" s="1">
        <v>-2.5239909999999999E-6</v>
      </c>
      <c r="I2330">
        <v>182.47839999999999</v>
      </c>
      <c r="J2330">
        <v>-490.09879999999998</v>
      </c>
      <c r="K2330">
        <v>1.111874</v>
      </c>
      <c r="L2330">
        <v>254.97219999999999</v>
      </c>
      <c r="M2330">
        <v>-0.2502355</v>
      </c>
      <c r="N2330">
        <v>0</v>
      </c>
      <c r="O2330">
        <v>-0.96808479999999997</v>
      </c>
      <c r="P2330">
        <v>-0.26830270000000001</v>
      </c>
      <c r="Q2330">
        <v>3.2697810000000001E-2</v>
      </c>
      <c r="R2330">
        <v>-0.96277979999999996</v>
      </c>
      <c r="S2330">
        <v>-0.20178219999999999</v>
      </c>
      <c r="T2330">
        <v>-4.6809320000000001E-2</v>
      </c>
      <c r="U2330">
        <v>-3.0631409999999999</v>
      </c>
      <c r="V2330">
        <v>1.861753E-2</v>
      </c>
      <c r="W2330">
        <v>4.670382E-2</v>
      </c>
      <c r="X2330">
        <v>0.99873520000000005</v>
      </c>
      <c r="Y2330">
        <v>-0.18608520000000001</v>
      </c>
      <c r="Z2330">
        <v>1.440338E-2</v>
      </c>
      <c r="AA2330">
        <v>0.98242799999999997</v>
      </c>
      <c r="AB2330">
        <v>25</v>
      </c>
      <c r="AC2330">
        <v>-4.7288000000000299</v>
      </c>
      <c r="AD2330">
        <v>-1.111876523991</v>
      </c>
      <c r="AE2330">
        <v>-72.493799999999993</v>
      </c>
      <c r="AF2330">
        <v>-13.560782230255301</v>
      </c>
      <c r="AG2330">
        <v>-1.111876523991</v>
      </c>
      <c r="AH2330">
        <v>71.353669161908002</v>
      </c>
      <c r="AI2330">
        <v>90.877049532174098</v>
      </c>
      <c r="AJ2330">
        <v>100.760745525991</v>
      </c>
      <c r="AK2330">
        <v>72.639363894296494</v>
      </c>
      <c r="AL2330">
        <v>87.323094270542299</v>
      </c>
      <c r="AM2330">
        <v>88.932066915378499</v>
      </c>
      <c r="AN2330">
        <v>0.99999992947246397</v>
      </c>
    </row>
    <row r="2331" spans="1:40" x14ac:dyDescent="0.25">
      <c r="A2331" t="str">
        <f>"20190312154556177"</f>
        <v>20190312154556177</v>
      </c>
      <c r="B2331" t="str">
        <f>"1552376756168845"</f>
        <v>1552376756168845</v>
      </c>
      <c r="C2331" t="s">
        <v>40</v>
      </c>
      <c r="D2331">
        <v>4.6225019999999999</v>
      </c>
      <c r="E2331">
        <v>0.42125050000000003</v>
      </c>
      <c r="F2331" t="s">
        <v>42</v>
      </c>
      <c r="G2331">
        <v>-494.32839999999999</v>
      </c>
      <c r="H2331" s="1">
        <v>-4.6021420000000003E-6</v>
      </c>
      <c r="I2331">
        <v>188.2542</v>
      </c>
      <c r="J2331">
        <v>-490.15730000000002</v>
      </c>
      <c r="K2331">
        <v>1.1120209999999999</v>
      </c>
      <c r="L2331">
        <v>254.73400000000001</v>
      </c>
      <c r="M2331">
        <v>-0.24756829999999999</v>
      </c>
      <c r="N2331">
        <v>0</v>
      </c>
      <c r="O2331">
        <v>-0.96877009999999997</v>
      </c>
      <c r="P2331">
        <v>-0.26546779999999998</v>
      </c>
      <c r="Q2331">
        <v>3.3315900000000002E-2</v>
      </c>
      <c r="R2331">
        <v>-0.96354439999999997</v>
      </c>
      <c r="S2331">
        <v>-0.19421389999999999</v>
      </c>
      <c r="T2331">
        <v>-5.1055429999999999E-2</v>
      </c>
      <c r="U2331">
        <v>-3.0635680000000001</v>
      </c>
      <c r="V2331">
        <v>1.8414509999999999E-2</v>
      </c>
      <c r="W2331">
        <v>4.733159E-2</v>
      </c>
      <c r="X2331">
        <v>0.99870950000000003</v>
      </c>
      <c r="Y2331">
        <v>-0.18580630000000001</v>
      </c>
      <c r="Z2331">
        <v>1.5726049999999998E-2</v>
      </c>
      <c r="AA2331">
        <v>0.98246060000000002</v>
      </c>
      <c r="AB2331">
        <v>25</v>
      </c>
      <c r="AC2331">
        <v>-4.1710999999999601</v>
      </c>
      <c r="AD2331">
        <v>-1.1120256021420001</v>
      </c>
      <c r="AE2331">
        <v>-66.479799999999997</v>
      </c>
      <c r="AF2331">
        <v>-12.4152012746009</v>
      </c>
      <c r="AG2331">
        <v>-1.1120256021420001</v>
      </c>
      <c r="AH2331">
        <v>65.424402880239597</v>
      </c>
      <c r="AI2331">
        <v>90.956698798033401</v>
      </c>
      <c r="AJ2331">
        <v>100.744919979755</v>
      </c>
      <c r="AK2331">
        <v>66.601248605897595</v>
      </c>
      <c r="AL2331">
        <v>87.287086117026405</v>
      </c>
      <c r="AM2331">
        <v>88.943682658133795</v>
      </c>
      <c r="AN2331">
        <v>1.00000001949035</v>
      </c>
    </row>
    <row r="2332" spans="1:40" x14ac:dyDescent="0.25">
      <c r="A2332" t="str">
        <f>"20190312154556199"</f>
        <v>20190312154556199</v>
      </c>
      <c r="B2332" t="str">
        <f>"1552376756189340"</f>
        <v>1552376756189340</v>
      </c>
      <c r="C2332" t="s">
        <v>40</v>
      </c>
      <c r="D2332">
        <v>4.5876809999999999</v>
      </c>
      <c r="E2332">
        <v>0.42122330000000002</v>
      </c>
      <c r="F2332" t="s">
        <v>42</v>
      </c>
      <c r="G2332">
        <v>-494.08949999999999</v>
      </c>
      <c r="H2332" s="1">
        <v>-1.348549E-6</v>
      </c>
      <c r="I2332">
        <v>190.1962</v>
      </c>
      <c r="J2332">
        <v>-490.2158</v>
      </c>
      <c r="K2332">
        <v>1.1121559999999999</v>
      </c>
      <c r="L2332">
        <v>254.49250000000001</v>
      </c>
      <c r="M2332">
        <v>-0.24469659999999999</v>
      </c>
      <c r="N2332">
        <v>0</v>
      </c>
      <c r="O2332">
        <v>-0.96949949999999996</v>
      </c>
      <c r="P2332">
        <v>-0.26207419999999998</v>
      </c>
      <c r="Q2332">
        <v>3.358506E-2</v>
      </c>
      <c r="R2332">
        <v>-0.96446359999999998</v>
      </c>
      <c r="S2332">
        <v>-0.18667600000000001</v>
      </c>
      <c r="T2332">
        <v>-5.2791949999999997E-2</v>
      </c>
      <c r="U2332">
        <v>-3.0638580000000002</v>
      </c>
      <c r="V2332">
        <v>1.784386E-2</v>
      </c>
      <c r="W2332">
        <v>4.7607839999999998E-2</v>
      </c>
      <c r="X2332">
        <v>0.99870669999999995</v>
      </c>
      <c r="Y2332">
        <v>-0.185309</v>
      </c>
      <c r="Z2332">
        <v>1.6279970000000001E-2</v>
      </c>
      <c r="AA2332">
        <v>0.98254540000000001</v>
      </c>
      <c r="AB2332">
        <v>25</v>
      </c>
      <c r="AC2332">
        <v>-3.8736999999999799</v>
      </c>
      <c r="AD2332">
        <v>-1.1121573485489999</v>
      </c>
      <c r="AE2332">
        <v>-64.296300000000002</v>
      </c>
      <c r="AF2332">
        <v>-11.975129545812299</v>
      </c>
      <c r="AG2332">
        <v>-1.1121573485489999</v>
      </c>
      <c r="AH2332">
        <v>63.270398572978301</v>
      </c>
      <c r="AI2332">
        <v>90.989469454143006</v>
      </c>
      <c r="AJ2332">
        <v>100.717541679067</v>
      </c>
      <c r="AK2332">
        <v>64.403291508978498</v>
      </c>
      <c r="AL2332">
        <v>87.271240217580697</v>
      </c>
      <c r="AM2332">
        <v>88.976407088958396</v>
      </c>
      <c r="AN2332">
        <v>0.99999999119702698</v>
      </c>
    </row>
    <row r="2333" spans="1:40" x14ac:dyDescent="0.25">
      <c r="A2333" t="str">
        <f>"20190312154556222"</f>
        <v>20190312154556222</v>
      </c>
      <c r="B2333" t="str">
        <f>"1552376756219597"</f>
        <v>1552376756219597</v>
      </c>
      <c r="C2333" t="s">
        <v>40</v>
      </c>
      <c r="D2333">
        <v>4.6602800000000002</v>
      </c>
      <c r="E2333">
        <v>0.4214135</v>
      </c>
      <c r="F2333" t="s">
        <v>42</v>
      </c>
      <c r="G2333">
        <v>-493.83120000000002</v>
      </c>
      <c r="H2333" s="1">
        <v>-1.821553E-6</v>
      </c>
      <c r="I2333">
        <v>191.459</v>
      </c>
      <c r="J2333">
        <v>-490.27539999999999</v>
      </c>
      <c r="K2333">
        <v>1.112268</v>
      </c>
      <c r="L2333">
        <v>254.24189999999999</v>
      </c>
      <c r="M2333">
        <v>-0.24158019999999999</v>
      </c>
      <c r="N2333">
        <v>0</v>
      </c>
      <c r="O2333">
        <v>-0.97028060000000005</v>
      </c>
      <c r="P2333">
        <v>-0.25791419999999998</v>
      </c>
      <c r="Q2333">
        <v>3.3653530000000001E-2</v>
      </c>
      <c r="R2333">
        <v>-0.96558169999999999</v>
      </c>
      <c r="S2333">
        <v>-0.175781299999999</v>
      </c>
      <c r="T2333">
        <v>-5.4071899999999999E-2</v>
      </c>
      <c r="U2333">
        <v>-3.0646209999999998</v>
      </c>
      <c r="V2333">
        <v>1.6734780000000001E-2</v>
      </c>
      <c r="W2333">
        <v>4.7679279999999997E-2</v>
      </c>
      <c r="X2333">
        <v>0.99872249999999996</v>
      </c>
      <c r="Y2333">
        <v>-0.18564749999999999</v>
      </c>
      <c r="Z2333">
        <v>1.669207E-2</v>
      </c>
      <c r="AA2333">
        <v>0.98247459999999998</v>
      </c>
      <c r="AB2333">
        <v>25</v>
      </c>
      <c r="AC2333">
        <v>-3.5558000000000298</v>
      </c>
      <c r="AD2333">
        <v>-1.112269821553</v>
      </c>
      <c r="AE2333">
        <v>-62.782899999999898</v>
      </c>
      <c r="AF2333">
        <v>-11.7144568433581</v>
      </c>
      <c r="AG2333">
        <v>-1.112269821553</v>
      </c>
      <c r="AH2333">
        <v>61.762728398840203</v>
      </c>
      <c r="AI2333">
        <v>91.013646503611994</v>
      </c>
      <c r="AJ2333">
        <v>100.739645655468</v>
      </c>
      <c r="AK2333">
        <v>62.873684976782897</v>
      </c>
      <c r="AL2333">
        <v>87.267142375697901</v>
      </c>
      <c r="AM2333">
        <v>89.040031096569905</v>
      </c>
      <c r="AN2333">
        <v>0.99999999930460803</v>
      </c>
    </row>
    <row r="2334" spans="1:40" x14ac:dyDescent="0.25">
      <c r="A2334" t="str">
        <f>"20190312154556244"</f>
        <v>20190312154556244</v>
      </c>
      <c r="B2334" t="str">
        <f>"1552376756239118"</f>
        <v>1552376756239118</v>
      </c>
      <c r="C2334" t="s">
        <v>40</v>
      </c>
      <c r="D2334">
        <v>4.6603459999999997</v>
      </c>
      <c r="E2334">
        <v>0.42159940000000001</v>
      </c>
      <c r="F2334" t="s">
        <v>42</v>
      </c>
      <c r="G2334">
        <v>-493.47770000000003</v>
      </c>
      <c r="H2334" s="1">
        <v>-3.0006979999999999E-6</v>
      </c>
      <c r="I2334">
        <v>194.42679999999999</v>
      </c>
      <c r="J2334">
        <v>-490.33159999999998</v>
      </c>
      <c r="K2334">
        <v>1.112339</v>
      </c>
      <c r="L2334">
        <v>254.00139999999999</v>
      </c>
      <c r="M2334">
        <v>-0.2384868</v>
      </c>
      <c r="N2334">
        <v>0</v>
      </c>
      <c r="O2334">
        <v>-0.97104559999999995</v>
      </c>
      <c r="P2334">
        <v>-0.25321719999999998</v>
      </c>
      <c r="Q2334">
        <v>3.3985309999999998E-2</v>
      </c>
      <c r="R2334">
        <v>-0.96681260000000002</v>
      </c>
      <c r="S2334">
        <v>-0.16409299999999999</v>
      </c>
      <c r="T2334">
        <v>-5.6995629999999999E-2</v>
      </c>
      <c r="U2334">
        <v>-3.0650789999999999</v>
      </c>
      <c r="V2334">
        <v>1.5054140000000001E-2</v>
      </c>
      <c r="W2334">
        <v>4.8007929999999997E-2</v>
      </c>
      <c r="X2334">
        <v>0.99873350000000005</v>
      </c>
      <c r="Y2334">
        <v>-0.18626019999999999</v>
      </c>
      <c r="Z2334">
        <v>1.7613609999999998E-2</v>
      </c>
      <c r="AA2334">
        <v>0.98234250000000001</v>
      </c>
      <c r="AB2334">
        <v>25</v>
      </c>
      <c r="AC2334">
        <v>-3.1461000000000401</v>
      </c>
      <c r="AD2334">
        <v>-1.112342000698</v>
      </c>
      <c r="AE2334">
        <v>-59.574599999999997</v>
      </c>
      <c r="AF2334">
        <v>-11.1499575479135</v>
      </c>
      <c r="AG2334">
        <v>-1.112342000698</v>
      </c>
      <c r="AH2334">
        <v>58.585288575321499</v>
      </c>
      <c r="AI2334">
        <v>91.068552071047407</v>
      </c>
      <c r="AJ2334">
        <v>100.775667000769</v>
      </c>
      <c r="AK2334">
        <v>59.647253880631297</v>
      </c>
      <c r="AL2334">
        <v>87.248290520846595</v>
      </c>
      <c r="AM2334">
        <v>89.136432920773998</v>
      </c>
      <c r="AN2334">
        <v>0.99999999624813696</v>
      </c>
    </row>
    <row r="2335" spans="1:40" x14ac:dyDescent="0.25">
      <c r="A2335" t="str">
        <f>"20190312154556268"</f>
        <v>20190312154556268</v>
      </c>
      <c r="B2335" t="str">
        <f>"1552376756258637"</f>
        <v>1552376756258637</v>
      </c>
      <c r="C2335" t="s">
        <v>40</v>
      </c>
      <c r="D2335">
        <v>4.7430399999999997</v>
      </c>
      <c r="E2335">
        <v>0.4218074</v>
      </c>
      <c r="F2335" t="s">
        <v>42</v>
      </c>
      <c r="G2335">
        <v>-493.24090000000001</v>
      </c>
      <c r="H2335" s="1">
        <v>-3.0903709999999999E-6</v>
      </c>
      <c r="I2335">
        <v>194.78270000000001</v>
      </c>
      <c r="J2335">
        <v>-490.38940000000002</v>
      </c>
      <c r="K2335">
        <v>1.1123769999999999</v>
      </c>
      <c r="L2335">
        <v>253.74969999999999</v>
      </c>
      <c r="M2335">
        <v>-0.23518420000000001</v>
      </c>
      <c r="N2335">
        <v>0</v>
      </c>
      <c r="O2335">
        <v>-0.97185060000000001</v>
      </c>
      <c r="P2335">
        <v>-0.24811839999999999</v>
      </c>
      <c r="Q2335">
        <v>3.402049E-2</v>
      </c>
      <c r="R2335">
        <v>-0.9681322</v>
      </c>
      <c r="S2335">
        <v>-0.15060419999999999</v>
      </c>
      <c r="T2335">
        <v>-5.7582260000000003E-2</v>
      </c>
      <c r="U2335">
        <v>-3.0655519999999998</v>
      </c>
      <c r="V2335">
        <v>1.318045E-2</v>
      </c>
      <c r="W2335">
        <v>4.8035550000000003E-2</v>
      </c>
      <c r="X2335">
        <v>0.9987587</v>
      </c>
      <c r="Y2335">
        <v>-0.18723919999999999</v>
      </c>
      <c r="Z2335">
        <v>1.781481E-2</v>
      </c>
      <c r="AA2335">
        <v>0.98215280000000005</v>
      </c>
      <c r="AB2335">
        <v>25</v>
      </c>
      <c r="AC2335">
        <v>-2.8514999999999802</v>
      </c>
      <c r="AD2335">
        <v>-1.1123800903709999</v>
      </c>
      <c r="AE2335">
        <v>-58.966999999999899</v>
      </c>
      <c r="AF2335">
        <v>-11.0940169580365</v>
      </c>
      <c r="AG2335">
        <v>-1.1123800903709999</v>
      </c>
      <c r="AH2335">
        <v>57.962811072173103</v>
      </c>
      <c r="AI2335">
        <v>91.079847304054198</v>
      </c>
      <c r="AJ2335">
        <v>100.835304367799</v>
      </c>
      <c r="AK2335">
        <v>59.025435780848603</v>
      </c>
      <c r="AL2335">
        <v>87.246706302931599</v>
      </c>
      <c r="AM2335">
        <v>89.243921157709295</v>
      </c>
      <c r="AN2335">
        <v>1.0000000395758399</v>
      </c>
    </row>
    <row r="2336" spans="1:40" x14ac:dyDescent="0.25">
      <c r="A2336" t="str">
        <f>"20190312154556290"</f>
        <v>20190312154556290</v>
      </c>
      <c r="B2336" t="str">
        <f>"1552376756279133"</f>
        <v>1552376756279133</v>
      </c>
      <c r="C2336" t="s">
        <v>40</v>
      </c>
      <c r="D2336">
        <v>4.8030350000000004</v>
      </c>
      <c r="E2336">
        <v>0.46739039999999998</v>
      </c>
      <c r="F2336" t="s">
        <v>42</v>
      </c>
      <c r="G2336">
        <v>-492.94830000000002</v>
      </c>
      <c r="H2336" s="1">
        <v>-3.6873249999999999E-6</v>
      </c>
      <c r="I2336">
        <v>196.35570000000001</v>
      </c>
      <c r="J2336">
        <v>-490.44499999999999</v>
      </c>
      <c r="K2336">
        <v>1.112376</v>
      </c>
      <c r="L2336">
        <v>253.50399999999999</v>
      </c>
      <c r="M2336">
        <v>-0.23193030000000001</v>
      </c>
      <c r="N2336">
        <v>0</v>
      </c>
      <c r="O2336">
        <v>-0.97263239999999995</v>
      </c>
      <c r="P2336">
        <v>-0.2416604</v>
      </c>
      <c r="Q2336">
        <v>3.2629779999999997E-2</v>
      </c>
      <c r="R2336">
        <v>-0.96981249999999997</v>
      </c>
      <c r="S2336">
        <v>-0.13668820000000001</v>
      </c>
      <c r="T2336">
        <v>-5.9419039999999999E-2</v>
      </c>
      <c r="U2336">
        <v>-3.0657649999999999</v>
      </c>
      <c r="V2336">
        <v>9.8600830000000004E-3</v>
      </c>
      <c r="W2336">
        <v>4.6629030000000002E-2</v>
      </c>
      <c r="X2336">
        <v>0.99886359999999996</v>
      </c>
      <c r="Y2336">
        <v>-0.18840370000000001</v>
      </c>
      <c r="Z2336">
        <v>1.8403880000000001E-2</v>
      </c>
      <c r="AA2336">
        <v>0.98191919999999999</v>
      </c>
      <c r="AB2336">
        <v>25</v>
      </c>
      <c r="AC2336">
        <v>-2.5033000000000198</v>
      </c>
      <c r="AD2336">
        <v>-1.112379687325</v>
      </c>
      <c r="AE2336">
        <v>-57.148299999999999</v>
      </c>
      <c r="AF2336">
        <v>-10.816593990136299</v>
      </c>
      <c r="AG2336">
        <v>-1.112379687325</v>
      </c>
      <c r="AH2336">
        <v>56.149110626547298</v>
      </c>
      <c r="AI2336">
        <v>91.114462696851206</v>
      </c>
      <c r="AJ2336">
        <v>100.903915574286</v>
      </c>
      <c r="AK2336">
        <v>57.192295969548802</v>
      </c>
      <c r="AL2336">
        <v>87.3273842564912</v>
      </c>
      <c r="AM2336">
        <v>89.434434498516495</v>
      </c>
      <c r="AN2336">
        <v>0.99999998954023295</v>
      </c>
    </row>
    <row r="2337" spans="1:40" x14ac:dyDescent="0.25">
      <c r="A2337" t="str">
        <f>"20190312154556311"</f>
        <v>20190312154556311</v>
      </c>
      <c r="B2337" t="str">
        <f>"1552376756298653"</f>
        <v>1552376756298653</v>
      </c>
      <c r="C2337" t="s">
        <v>40</v>
      </c>
      <c r="D2337">
        <v>4.8552619999999997</v>
      </c>
      <c r="E2337">
        <v>0.47446440000000001</v>
      </c>
      <c r="F2337" t="s">
        <v>42</v>
      </c>
      <c r="G2337">
        <v>-494.05149999999998</v>
      </c>
      <c r="H2337" s="1">
        <v>-1.4731659999999901E-6</v>
      </c>
      <c r="I2337">
        <v>230.5102</v>
      </c>
      <c r="J2337">
        <v>-490.49630000000002</v>
      </c>
      <c r="K2337">
        <v>1.112355</v>
      </c>
      <c r="L2337">
        <v>253.27330000000001</v>
      </c>
      <c r="M2337">
        <v>-0.2288712</v>
      </c>
      <c r="N2337">
        <v>0</v>
      </c>
      <c r="O2337">
        <v>-0.97335680000000002</v>
      </c>
      <c r="P2337">
        <v>-0.2359204</v>
      </c>
      <c r="Q2337">
        <v>3.0200709999999999E-2</v>
      </c>
      <c r="R2337">
        <v>-0.97130300000000003</v>
      </c>
      <c r="S2337">
        <v>-0.46768189999999998</v>
      </c>
      <c r="T2337">
        <v>-0.14424819999999999</v>
      </c>
      <c r="U2337">
        <v>-2.981735</v>
      </c>
      <c r="V2337">
        <v>7.0878709999999999E-3</v>
      </c>
      <c r="W2337">
        <v>4.4185380000000003E-2</v>
      </c>
      <c r="X2337">
        <v>0.99899819999999995</v>
      </c>
      <c r="Y2337">
        <v>-7.5456750000000003E-2</v>
      </c>
      <c r="Z2337">
        <v>4.60594E-2</v>
      </c>
      <c r="AA2337">
        <v>0.99608470000000005</v>
      </c>
      <c r="AB2337">
        <v>25</v>
      </c>
      <c r="AC2337">
        <v>-3.55519999999995</v>
      </c>
      <c r="AD2337">
        <v>-1.1123564731660001</v>
      </c>
      <c r="AE2337">
        <v>-22.763100000000001</v>
      </c>
      <c r="AF2337">
        <v>-1.7454413012515499</v>
      </c>
      <c r="AG2337">
        <v>-1.1123564731660001</v>
      </c>
      <c r="AH2337">
        <v>22.919108963312301</v>
      </c>
      <c r="AI2337">
        <v>92.7706037659527</v>
      </c>
      <c r="AJ2337">
        <v>94.355044960963298</v>
      </c>
      <c r="AK2337">
        <v>23.012376190469599</v>
      </c>
      <c r="AL2337">
        <v>87.4675396994555</v>
      </c>
      <c r="AM2337">
        <v>89.593494482804502</v>
      </c>
      <c r="AN2337">
        <v>0.99999999466214795</v>
      </c>
    </row>
    <row r="2338" spans="1:40" x14ac:dyDescent="0.25">
      <c r="A2338" t="str">
        <f>"20190312154556325"</f>
        <v>20190312154556325</v>
      </c>
      <c r="B2338" t="str">
        <f>"1552376756319149"</f>
        <v>1552376756319149</v>
      </c>
      <c r="C2338" t="s">
        <v>40</v>
      </c>
      <c r="D2338">
        <v>4.8363930000000002</v>
      </c>
      <c r="E2338">
        <v>0.47758139999999999</v>
      </c>
      <c r="F2338" t="s">
        <v>42</v>
      </c>
      <c r="G2338">
        <v>-493.71199999999999</v>
      </c>
      <c r="H2338" s="1">
        <v>-3.0204680000000001E-6</v>
      </c>
      <c r="I2338">
        <v>234.32759999999999</v>
      </c>
      <c r="J2338">
        <v>-490.5301</v>
      </c>
      <c r="K2338">
        <v>1.112339</v>
      </c>
      <c r="L2338">
        <v>253.12</v>
      </c>
      <c r="M2338">
        <v>-0.22684119999999999</v>
      </c>
      <c r="N2338">
        <v>0</v>
      </c>
      <c r="O2338">
        <v>-0.97383180000000003</v>
      </c>
      <c r="P2338">
        <v>-0.23273070000000001</v>
      </c>
      <c r="Q2338">
        <v>2.968047E-2</v>
      </c>
      <c r="R2338">
        <v>-0.97208830000000002</v>
      </c>
      <c r="S2338">
        <v>-0.50436400000000003</v>
      </c>
      <c r="T2338">
        <v>-0.1744685</v>
      </c>
      <c r="U2338">
        <v>-2.9715579999999999</v>
      </c>
      <c r="V2338">
        <v>5.8912890000000001E-3</v>
      </c>
      <c r="W2338">
        <v>4.365898E-2</v>
      </c>
      <c r="X2338">
        <v>0.9990291</v>
      </c>
      <c r="Y2338">
        <v>-6.0958360000000003E-2</v>
      </c>
      <c r="Z2338">
        <v>5.5883620000000002E-2</v>
      </c>
      <c r="AA2338">
        <v>0.99657470000000004</v>
      </c>
      <c r="AB2338">
        <v>25</v>
      </c>
      <c r="AC2338">
        <v>-3.1818999999999802</v>
      </c>
      <c r="AD2338">
        <v>-1.1123420204679999</v>
      </c>
      <c r="AE2338">
        <v>-18.792400000000001</v>
      </c>
      <c r="AF2338">
        <v>-1.1604162116363601</v>
      </c>
      <c r="AG2338">
        <v>-1.1123420204679999</v>
      </c>
      <c r="AH2338">
        <v>18.959699243993899</v>
      </c>
      <c r="AI2338">
        <v>93.351366591232903</v>
      </c>
      <c r="AJ2338">
        <v>93.502382458499497</v>
      </c>
      <c r="AK2338">
        <v>19.0277183597359</v>
      </c>
      <c r="AL2338">
        <v>87.497729291511604</v>
      </c>
      <c r="AM2338">
        <v>89.662129878921704</v>
      </c>
      <c r="AN2338">
        <v>0.99999997823376496</v>
      </c>
    </row>
    <row r="2339" spans="1:40" x14ac:dyDescent="0.25">
      <c r="A2339" t="str">
        <f>"20190312154556344"</f>
        <v>20190312154556344</v>
      </c>
      <c r="B2339" t="str">
        <f>"1552376756338669"</f>
        <v>1552376756338669</v>
      </c>
      <c r="C2339" t="s">
        <v>40</v>
      </c>
      <c r="D2339">
        <v>4.7569949999999999</v>
      </c>
      <c r="E2339">
        <v>0.48067169999999998</v>
      </c>
      <c r="F2339" t="s">
        <v>42</v>
      </c>
      <c r="G2339">
        <v>-493.32139999999998</v>
      </c>
      <c r="H2339" s="1">
        <v>-4.0380829999999997E-6</v>
      </c>
      <c r="I2339">
        <v>237.1216</v>
      </c>
      <c r="J2339">
        <v>-490.57530000000003</v>
      </c>
      <c r="K2339">
        <v>1.1123149999999999</v>
      </c>
      <c r="L2339">
        <v>252.91200000000001</v>
      </c>
      <c r="M2339">
        <v>-0.2241012</v>
      </c>
      <c r="N2339">
        <v>0</v>
      </c>
      <c r="O2339">
        <v>-0.9744661</v>
      </c>
      <c r="P2339">
        <v>-0.2275953</v>
      </c>
      <c r="Q2339">
        <v>2.896089E-2</v>
      </c>
      <c r="R2339">
        <v>-0.97332549999999995</v>
      </c>
      <c r="S2339">
        <v>-0.51791379999999998</v>
      </c>
      <c r="T2339">
        <v>-0.20639160000000001</v>
      </c>
      <c r="U2339">
        <v>-2.968445</v>
      </c>
      <c r="V2339">
        <v>3.426452E-3</v>
      </c>
      <c r="W2339">
        <v>4.2924869999999997E-2</v>
      </c>
      <c r="X2339">
        <v>0.99907239999999997</v>
      </c>
      <c r="Y2339">
        <v>-5.3669809999999998E-2</v>
      </c>
      <c r="Z2339">
        <v>6.6187540000000003E-2</v>
      </c>
      <c r="AA2339">
        <v>0.99636270000000005</v>
      </c>
      <c r="AB2339">
        <v>25</v>
      </c>
      <c r="AC2339">
        <v>-2.74609999999995</v>
      </c>
      <c r="AD2339">
        <v>-1.1123190380829999</v>
      </c>
      <c r="AE2339">
        <v>-15.7904</v>
      </c>
      <c r="AF2339">
        <v>-0.85861460274592905</v>
      </c>
      <c r="AG2339">
        <v>-1.1123190380829999</v>
      </c>
      <c r="AH2339">
        <v>15.9274553726226</v>
      </c>
      <c r="AI2339">
        <v>93.989082010391499</v>
      </c>
      <c r="AJ2339">
        <v>93.085704545571502</v>
      </c>
      <c r="AK2339">
        <v>15.989318538493601</v>
      </c>
      <c r="AL2339">
        <v>87.539830155595197</v>
      </c>
      <c r="AM2339">
        <v>89.803497255479897</v>
      </c>
      <c r="AN2339">
        <v>0.99999997273979202</v>
      </c>
    </row>
    <row r="2340" spans="1:40" x14ac:dyDescent="0.25">
      <c r="A2340" t="str">
        <f>"20190312154556367"</f>
        <v>20190312154556367</v>
      </c>
      <c r="B2340" t="str">
        <f>"1552376756359168"</f>
        <v>1552376756359168</v>
      </c>
      <c r="C2340" t="s">
        <v>40</v>
      </c>
      <c r="D2340">
        <v>4.8027319999999998</v>
      </c>
      <c r="E2340">
        <v>0.48226429999999998</v>
      </c>
      <c r="F2340" t="s">
        <v>42</v>
      </c>
      <c r="G2340">
        <v>-493.41570000000002</v>
      </c>
      <c r="H2340" s="1">
        <v>-3.9840000000000003E-6</v>
      </c>
      <c r="I2340">
        <v>236.9135</v>
      </c>
      <c r="J2340">
        <v>-490.62990000000002</v>
      </c>
      <c r="K2340">
        <v>1.112295</v>
      </c>
      <c r="L2340">
        <v>252.6568</v>
      </c>
      <c r="M2340">
        <v>-0.2207633</v>
      </c>
      <c r="N2340">
        <v>0</v>
      </c>
      <c r="O2340">
        <v>-0.97522759999999997</v>
      </c>
      <c r="P2340">
        <v>-0.22244449999999999</v>
      </c>
      <c r="Q2340">
        <v>2.8292000000000001E-2</v>
      </c>
      <c r="R2340">
        <v>-0.97453489999999998</v>
      </c>
      <c r="S2340">
        <v>-0.52645869999999995</v>
      </c>
      <c r="T2340">
        <v>-0.2061656</v>
      </c>
      <c r="U2340">
        <v>-2.965271</v>
      </c>
      <c r="V2340">
        <v>1.564321E-3</v>
      </c>
      <c r="W2340">
        <v>4.224456E-2</v>
      </c>
      <c r="X2340">
        <v>0.99910600000000005</v>
      </c>
      <c r="Y2340">
        <v>-4.728479E-2</v>
      </c>
      <c r="Z2340">
        <v>6.6257659999999996E-2</v>
      </c>
      <c r="AA2340">
        <v>0.9966815</v>
      </c>
      <c r="AB2340">
        <v>25</v>
      </c>
      <c r="AC2340">
        <v>-2.7857999999999898</v>
      </c>
      <c r="AD2340">
        <v>-1.1122989839999999</v>
      </c>
      <c r="AE2340">
        <v>-15.7433</v>
      </c>
      <c r="AF2340">
        <v>-0.75517251468804303</v>
      </c>
      <c r="AG2340">
        <v>-1.1122989839999999</v>
      </c>
      <c r="AH2340">
        <v>15.8929331039677</v>
      </c>
      <c r="AI2340">
        <v>93.998935535337495</v>
      </c>
      <c r="AJ2340">
        <v>92.720434176723401</v>
      </c>
      <c r="AK2340">
        <v>15.9496964611851</v>
      </c>
      <c r="AL2340">
        <v>87.578844323972007</v>
      </c>
      <c r="AM2340">
        <v>89.910290882186104</v>
      </c>
      <c r="AN2340">
        <v>0.999999924592889</v>
      </c>
    </row>
    <row r="2341" spans="1:40" x14ac:dyDescent="0.25">
      <c r="A2341" t="str">
        <f>"20190312154556389"</f>
        <v>20190312154556389</v>
      </c>
      <c r="B2341" t="str">
        <f>"1552376756378958"</f>
        <v>1552376756378958</v>
      </c>
      <c r="C2341" t="s">
        <v>40</v>
      </c>
      <c r="D2341">
        <v>4.8373489999999997</v>
      </c>
      <c r="E2341">
        <v>0.4833961</v>
      </c>
      <c r="F2341" t="s">
        <v>42</v>
      </c>
      <c r="G2341">
        <v>-493.42759999999998</v>
      </c>
      <c r="H2341" s="1">
        <v>-3.9463830000000002E-6</v>
      </c>
      <c r="I2341">
        <v>236.79679999999999</v>
      </c>
      <c r="J2341">
        <v>-490.68020000000001</v>
      </c>
      <c r="K2341">
        <v>1.1122829999999999</v>
      </c>
      <c r="L2341">
        <v>252.41829999999999</v>
      </c>
      <c r="M2341">
        <v>-0.21765599999999999</v>
      </c>
      <c r="N2341">
        <v>0</v>
      </c>
      <c r="O2341">
        <v>-0.97592570000000001</v>
      </c>
      <c r="P2341">
        <v>-0.21865570000000001</v>
      </c>
      <c r="Q2341">
        <v>2.9007290000000002E-2</v>
      </c>
      <c r="R2341">
        <v>-0.97537090000000004</v>
      </c>
      <c r="S2341">
        <v>-0.52304079999999997</v>
      </c>
      <c r="T2341">
        <v>-0.2079481</v>
      </c>
      <c r="U2341">
        <v>-2.9650880000000002</v>
      </c>
      <c r="V2341">
        <v>8.6603229999999997E-4</v>
      </c>
      <c r="W2341">
        <v>4.2954409999999998E-2</v>
      </c>
      <c r="X2341">
        <v>0.99907670000000004</v>
      </c>
      <c r="Y2341">
        <v>-4.5214119999999997E-2</v>
      </c>
      <c r="Z2341">
        <v>6.691366E-2</v>
      </c>
      <c r="AA2341">
        <v>0.9967338</v>
      </c>
      <c r="AB2341">
        <v>25</v>
      </c>
      <c r="AC2341">
        <v>-2.7473999999999701</v>
      </c>
      <c r="AD2341">
        <v>-1.1122869463830001</v>
      </c>
      <c r="AE2341">
        <v>-15.6214999999999</v>
      </c>
      <c r="AF2341">
        <v>-0.71540686859935398</v>
      </c>
      <c r="AG2341">
        <v>-1.1122869463830001</v>
      </c>
      <c r="AH2341">
        <v>15.767416741462201</v>
      </c>
      <c r="AI2341">
        <v>94.031020180190097</v>
      </c>
      <c r="AJ2341">
        <v>92.597870121739305</v>
      </c>
      <c r="AK2341">
        <v>15.8227816750935</v>
      </c>
      <c r="AL2341">
        <v>87.538136246127394</v>
      </c>
      <c r="AM2341">
        <v>89.9503341602462</v>
      </c>
      <c r="AN2341">
        <v>1.0000000419166399</v>
      </c>
    </row>
    <row r="2342" spans="1:40" x14ac:dyDescent="0.25">
      <c r="A2342" t="str">
        <f>"20190312154556402"</f>
        <v>20190312154556402</v>
      </c>
      <c r="B2342" t="str">
        <f>"1552376756399453"</f>
        <v>1552376756399453</v>
      </c>
      <c r="C2342" t="s">
        <v>40</v>
      </c>
      <c r="D2342">
        <v>4.811464</v>
      </c>
      <c r="E2342">
        <v>0.48482029999999898</v>
      </c>
      <c r="F2342" t="s">
        <v>42</v>
      </c>
      <c r="G2342">
        <v>-493.50380000000001</v>
      </c>
      <c r="H2342" s="1">
        <v>-3.8029980000000002E-6</v>
      </c>
      <c r="I2342">
        <v>236.3357</v>
      </c>
      <c r="J2342">
        <v>-490.70859999999999</v>
      </c>
      <c r="K2342">
        <v>1.1122799999999999</v>
      </c>
      <c r="L2342">
        <v>252.28190000000001</v>
      </c>
      <c r="M2342">
        <v>-0.21587970000000001</v>
      </c>
      <c r="N2342">
        <v>0</v>
      </c>
      <c r="O2342">
        <v>-0.97632039999999998</v>
      </c>
      <c r="P2342">
        <v>-0.2172297</v>
      </c>
      <c r="Q2342">
        <v>2.9128560000000001E-2</v>
      </c>
      <c r="R2342">
        <v>-0.97568589999999999</v>
      </c>
      <c r="S2342">
        <v>-0.52059940000000005</v>
      </c>
      <c r="T2342">
        <v>-0.20507230000000001</v>
      </c>
      <c r="U2342">
        <v>-2.9651489999999998</v>
      </c>
      <c r="V2342">
        <v>1.2245419999999999E-3</v>
      </c>
      <c r="W2342">
        <v>4.3076360000000001E-2</v>
      </c>
      <c r="X2342">
        <v>0.99907109999999999</v>
      </c>
      <c r="Y2342">
        <v>-4.4185219999999997E-2</v>
      </c>
      <c r="Z2342">
        <v>6.6037499999999999E-2</v>
      </c>
      <c r="AA2342">
        <v>0.99683829999999995</v>
      </c>
      <c r="AB2342">
        <v>25</v>
      </c>
      <c r="AC2342">
        <v>-2.7952000000000199</v>
      </c>
      <c r="AD2342">
        <v>-1.112283802998</v>
      </c>
      <c r="AE2342">
        <v>-15.946199999999999</v>
      </c>
      <c r="AF2342">
        <v>-0.71016722696685597</v>
      </c>
      <c r="AG2342">
        <v>-1.112283802998</v>
      </c>
      <c r="AH2342">
        <v>16.097613472935301</v>
      </c>
      <c r="AI2342">
        <v>93.948809228546196</v>
      </c>
      <c r="AJ2342">
        <v>92.526040171025898</v>
      </c>
      <c r="AK2342">
        <v>16.151615159874801</v>
      </c>
      <c r="AL2342">
        <v>87.531142616197101</v>
      </c>
      <c r="AM2342">
        <v>89.929773713500097</v>
      </c>
      <c r="AN2342">
        <v>1.0000000675745799</v>
      </c>
    </row>
    <row r="2343" spans="1:40" x14ac:dyDescent="0.25">
      <c r="A2343" t="str">
        <f>"20190312154556415"</f>
        <v>20190312154556415</v>
      </c>
      <c r="B2343" t="str">
        <f>"1552376756409213"</f>
        <v>1552376756409213</v>
      </c>
      <c r="C2343" t="s">
        <v>40</v>
      </c>
      <c r="D2343">
        <v>4.7989189999999997</v>
      </c>
      <c r="E2343">
        <v>0.48548079999999999</v>
      </c>
      <c r="F2343" t="s">
        <v>42</v>
      </c>
      <c r="G2343">
        <v>-493.5727</v>
      </c>
      <c r="H2343" s="1">
        <v>-3.7689769999999998E-6</v>
      </c>
      <c r="I2343">
        <v>236.19980000000001</v>
      </c>
      <c r="J2343">
        <v>-490.73559999999998</v>
      </c>
      <c r="K2343">
        <v>1.1122840000000001</v>
      </c>
      <c r="L2343">
        <v>252.15090000000001</v>
      </c>
      <c r="M2343">
        <v>-0.21416450000000001</v>
      </c>
      <c r="N2343">
        <v>0</v>
      </c>
      <c r="O2343">
        <v>-0.97669810000000001</v>
      </c>
      <c r="P2343">
        <v>-0.21606</v>
      </c>
      <c r="Q2343">
        <v>2.9695559999999999E-2</v>
      </c>
      <c r="R2343">
        <v>-0.97592860000000003</v>
      </c>
      <c r="S2343">
        <v>-0.52774049999999995</v>
      </c>
      <c r="T2343">
        <v>-0.2049532</v>
      </c>
      <c r="U2343">
        <v>-2.963333</v>
      </c>
      <c r="V2343">
        <v>1.7826000000000001E-3</v>
      </c>
      <c r="W2343">
        <v>4.3645169999999997E-2</v>
      </c>
      <c r="X2343">
        <v>0.99904550000000003</v>
      </c>
      <c r="Y2343">
        <v>-3.9996999999999998E-2</v>
      </c>
      <c r="Z2343">
        <v>6.6069920000000004E-2</v>
      </c>
      <c r="AA2343">
        <v>0.99701300000000004</v>
      </c>
      <c r="AB2343">
        <v>25</v>
      </c>
      <c r="AC2343">
        <v>-2.8371000000000199</v>
      </c>
      <c r="AD2343">
        <v>-1.1122877689769901</v>
      </c>
      <c r="AE2343">
        <v>-15.951099999999901</v>
      </c>
      <c r="AF2343">
        <v>-0.64220497439674096</v>
      </c>
      <c r="AG2343">
        <v>-1.1122877689769901</v>
      </c>
      <c r="AH2343">
        <v>16.112644620612699</v>
      </c>
      <c r="AI2343">
        <v>93.945853215896904</v>
      </c>
      <c r="AJ2343">
        <v>92.282441495890097</v>
      </c>
      <c r="AK2343">
        <v>16.163753523866799</v>
      </c>
      <c r="AL2343">
        <v>87.498521342655494</v>
      </c>
      <c r="AM2343">
        <v>89.897767070499398</v>
      </c>
      <c r="AN2343">
        <v>0.99999999479866897</v>
      </c>
    </row>
    <row r="2344" spans="1:40" x14ac:dyDescent="0.25">
      <c r="A2344" t="str">
        <f>"20190312154556434"</f>
        <v>20190312154556434</v>
      </c>
      <c r="B2344" t="str">
        <f>"1552376756428733"</f>
        <v>1552376756428733</v>
      </c>
      <c r="C2344" t="s">
        <v>40</v>
      </c>
      <c r="D2344">
        <v>4.8621639999999999</v>
      </c>
      <c r="E2344">
        <v>0.48644199999999999</v>
      </c>
      <c r="F2344" t="s">
        <v>42</v>
      </c>
      <c r="G2344">
        <v>-493.64389999999997</v>
      </c>
      <c r="H2344" s="1">
        <v>-3.6582610000000002E-6</v>
      </c>
      <c r="I2344">
        <v>235.85659999999999</v>
      </c>
      <c r="J2344">
        <v>-490.77879999999999</v>
      </c>
      <c r="K2344">
        <v>1.112296</v>
      </c>
      <c r="L2344">
        <v>251.93879999999999</v>
      </c>
      <c r="M2344">
        <v>-0.21136099999999999</v>
      </c>
      <c r="N2344">
        <v>0</v>
      </c>
      <c r="O2344">
        <v>-0.97730850000000002</v>
      </c>
      <c r="P2344">
        <v>-0.2151344</v>
      </c>
      <c r="Q2344">
        <v>3.0550170000000001E-2</v>
      </c>
      <c r="R2344">
        <v>-0.97610649999999999</v>
      </c>
      <c r="S2344">
        <v>-0.52886959999999905</v>
      </c>
      <c r="T2344">
        <v>-0.20226630000000001</v>
      </c>
      <c r="U2344">
        <v>-2.9630890000000001</v>
      </c>
      <c r="V2344">
        <v>3.702763E-3</v>
      </c>
      <c r="W2344">
        <v>4.4508829999999999E-2</v>
      </c>
      <c r="X2344">
        <v>0.99900219999999995</v>
      </c>
      <c r="Y2344">
        <v>-3.6737499999999999E-2</v>
      </c>
      <c r="Z2344">
        <v>6.5276280000000006E-2</v>
      </c>
      <c r="AA2344">
        <v>0.99719069999999999</v>
      </c>
      <c r="AB2344">
        <v>25</v>
      </c>
      <c r="AC2344">
        <v>-2.86509999999998</v>
      </c>
      <c r="AD2344">
        <v>-1.1122996582610001</v>
      </c>
      <c r="AE2344">
        <v>-16.0822</v>
      </c>
      <c r="AF2344">
        <v>-0.59635663407626904</v>
      </c>
      <c r="AG2344">
        <v>-1.1122996582610001</v>
      </c>
      <c r="AH2344">
        <v>16.2490921431822</v>
      </c>
      <c r="AI2344">
        <v>93.913334611842899</v>
      </c>
      <c r="AJ2344">
        <v>92.101864463062697</v>
      </c>
      <c r="AK2344">
        <v>16.298032005196202</v>
      </c>
      <c r="AL2344">
        <v>87.448989323904399</v>
      </c>
      <c r="AM2344">
        <v>89.787636382645005</v>
      </c>
      <c r="AN2344">
        <v>1.0000000710033099</v>
      </c>
    </row>
    <row r="2345" spans="1:40" x14ac:dyDescent="0.25">
      <c r="A2345" t="str">
        <f>"20190312154556448"</f>
        <v>20190312154556448</v>
      </c>
      <c r="B2345" t="str">
        <f>"1552376756439469"</f>
        <v>1552376756439469</v>
      </c>
      <c r="C2345" t="s">
        <v>40</v>
      </c>
      <c r="D2345">
        <v>4.8130800000000002</v>
      </c>
      <c r="E2345">
        <v>0.48702319999999999</v>
      </c>
      <c r="F2345" t="s">
        <v>42</v>
      </c>
      <c r="G2345">
        <v>-493.72750000000002</v>
      </c>
      <c r="H2345" s="1">
        <v>-3.5582000000000001E-6</v>
      </c>
      <c r="I2345">
        <v>235.57140000000001</v>
      </c>
      <c r="J2345">
        <v>-490.80880000000002</v>
      </c>
      <c r="K2345">
        <v>1.112314</v>
      </c>
      <c r="L2345">
        <v>251.7894</v>
      </c>
      <c r="M2345">
        <v>-0.20936089999999999</v>
      </c>
      <c r="N2345">
        <v>0</v>
      </c>
      <c r="O2345">
        <v>-0.97773900000000002</v>
      </c>
      <c r="P2345">
        <v>-0.21486359999999999</v>
      </c>
      <c r="Q2345">
        <v>3.1020059999999999E-2</v>
      </c>
      <c r="R2345">
        <v>-0.9761512</v>
      </c>
      <c r="S2345">
        <v>-0.53366089999999999</v>
      </c>
      <c r="T2345">
        <v>-0.2013026</v>
      </c>
      <c r="U2345">
        <v>-2.9621430000000002</v>
      </c>
      <c r="V2345">
        <v>5.4693299999999997E-3</v>
      </c>
      <c r="W2345">
        <v>4.4988050000000002E-2</v>
      </c>
      <c r="X2345">
        <v>0.99897250000000004</v>
      </c>
      <c r="Y2345">
        <v>-3.3071629999999998E-2</v>
      </c>
      <c r="Z2345">
        <v>6.5025260000000001E-2</v>
      </c>
      <c r="AA2345">
        <v>0.99733539999999998</v>
      </c>
      <c r="AB2345">
        <v>25</v>
      </c>
      <c r="AC2345">
        <v>-2.9186999999999999</v>
      </c>
      <c r="AD2345">
        <v>-1.1123175582</v>
      </c>
      <c r="AE2345">
        <v>-16.2179999999999</v>
      </c>
      <c r="AF2345">
        <v>-0.53928375104205595</v>
      </c>
      <c r="AG2345">
        <v>-1.1123175582</v>
      </c>
      <c r="AH2345">
        <v>16.394932632226901</v>
      </c>
      <c r="AI2345">
        <v>93.8792043942709</v>
      </c>
      <c r="AJ2345">
        <v>91.883969089462695</v>
      </c>
      <c r="AK2345">
        <v>16.441468709628001</v>
      </c>
      <c r="AL2345">
        <v>87.421504190238196</v>
      </c>
      <c r="AM2345">
        <v>89.686311290128202</v>
      </c>
      <c r="AN2345">
        <v>0.99999994698484895</v>
      </c>
    </row>
    <row r="2346" spans="1:40" x14ac:dyDescent="0.25">
      <c r="A2346" t="str">
        <f>"20190312154556470"</f>
        <v>20190312154556470</v>
      </c>
      <c r="B2346" t="str">
        <f>"1552376756458989"</f>
        <v>1552376756458989</v>
      </c>
      <c r="C2346" t="s">
        <v>40</v>
      </c>
      <c r="D2346">
        <v>4.8251869999999997</v>
      </c>
      <c r="E2346">
        <v>0.48818220000000001</v>
      </c>
      <c r="F2346" t="s">
        <v>42</v>
      </c>
      <c r="G2346">
        <v>-493.8116</v>
      </c>
      <c r="H2346" s="1">
        <v>-3.4422549999999999E-6</v>
      </c>
      <c r="I2346">
        <v>235.2491</v>
      </c>
      <c r="J2346">
        <v>-490.85509999999999</v>
      </c>
      <c r="K2346">
        <v>1.1123590000000001</v>
      </c>
      <c r="L2346">
        <v>251.55549999999999</v>
      </c>
      <c r="M2346">
        <v>-0.20617179999999999</v>
      </c>
      <c r="N2346">
        <v>0</v>
      </c>
      <c r="O2346">
        <v>-0.97841639999999996</v>
      </c>
      <c r="P2346">
        <v>-0.2153323</v>
      </c>
      <c r="Q2346">
        <v>3.2213079999999998E-2</v>
      </c>
      <c r="R2346">
        <v>-0.97600949999999997</v>
      </c>
      <c r="S2346">
        <v>-0.53759769999999996</v>
      </c>
      <c r="T2346">
        <v>-0.1991436</v>
      </c>
      <c r="U2346">
        <v>-2.9613040000000002</v>
      </c>
      <c r="V2346">
        <v>9.2052760000000001E-3</v>
      </c>
      <c r="W2346">
        <v>4.6201289999999999E-2</v>
      </c>
      <c r="X2346">
        <v>0.99888969999999999</v>
      </c>
      <c r="Y2346">
        <v>-2.8471799999999998E-2</v>
      </c>
      <c r="Z2346">
        <v>6.4412999999999998E-2</v>
      </c>
      <c r="AA2346">
        <v>0.99751710000000005</v>
      </c>
      <c r="AB2346">
        <v>25</v>
      </c>
      <c r="AC2346">
        <v>-2.9565000000000001</v>
      </c>
      <c r="AD2346">
        <v>-1.112362442255</v>
      </c>
      <c r="AE2346">
        <v>-16.306399999999901</v>
      </c>
      <c r="AF2346">
        <v>-0.46717262014144401</v>
      </c>
      <c r="AG2346">
        <v>-1.112362442255</v>
      </c>
      <c r="AH2346">
        <v>16.491308218896801</v>
      </c>
      <c r="AI2346">
        <v>93.857294829427303</v>
      </c>
      <c r="AJ2346">
        <v>91.6226646400075</v>
      </c>
      <c r="AK2346">
        <v>16.535381677802398</v>
      </c>
      <c r="AL2346">
        <v>87.351918329422304</v>
      </c>
      <c r="AM2346">
        <v>89.472005233179004</v>
      </c>
      <c r="AN2346">
        <v>0.99999996453499396</v>
      </c>
    </row>
    <row r="2347" spans="1:40" x14ac:dyDescent="0.25">
      <c r="A2347" t="str">
        <f>"20190312154556492"</f>
        <v>20190312154556492</v>
      </c>
      <c r="B2347" t="str">
        <f>"1552376756479484"</f>
        <v>1552376756479484</v>
      </c>
      <c r="C2347" t="s">
        <v>40</v>
      </c>
      <c r="D2347">
        <v>4.7908520000000001</v>
      </c>
      <c r="E2347">
        <v>0.48900260000000001</v>
      </c>
      <c r="F2347" t="s">
        <v>42</v>
      </c>
      <c r="G2347">
        <v>-493.9837</v>
      </c>
      <c r="H2347" s="1">
        <v>-3.2345600000000001E-6</v>
      </c>
      <c r="I2347">
        <v>234.65819999999999</v>
      </c>
      <c r="J2347">
        <v>-490.90089999999998</v>
      </c>
      <c r="K2347">
        <v>1.1124240000000001</v>
      </c>
      <c r="L2347">
        <v>251.31979999999999</v>
      </c>
      <c r="M2347">
        <v>-0.20288300000000001</v>
      </c>
      <c r="N2347">
        <v>0</v>
      </c>
      <c r="O2347">
        <v>-0.97910379999999997</v>
      </c>
      <c r="P2347">
        <v>-0.21547830000000001</v>
      </c>
      <c r="Q2347">
        <v>3.5055120000000002E-2</v>
      </c>
      <c r="R2347">
        <v>-0.97587970000000002</v>
      </c>
      <c r="S2347">
        <v>-0.54791259999999997</v>
      </c>
      <c r="T2347">
        <v>-0.19480929999999999</v>
      </c>
      <c r="U2347">
        <v>-2.9592589999999999</v>
      </c>
      <c r="V2347">
        <v>1.271128E-2</v>
      </c>
      <c r="W2347">
        <v>4.9062880000000003E-2</v>
      </c>
      <c r="X2347">
        <v>0.99871480000000001</v>
      </c>
      <c r="Y2347">
        <v>-2.1611709999999999E-2</v>
      </c>
      <c r="Z2347">
        <v>6.3112379999999996E-2</v>
      </c>
      <c r="AA2347">
        <v>0.9977724</v>
      </c>
      <c r="AB2347">
        <v>25</v>
      </c>
      <c r="AC2347">
        <v>-3.0828000000000202</v>
      </c>
      <c r="AD2347">
        <v>-1.1124272345599999</v>
      </c>
      <c r="AE2347">
        <v>-16.6615999999999</v>
      </c>
      <c r="AF2347">
        <v>-0.36045574425940702</v>
      </c>
      <c r="AG2347">
        <v>-1.1124272345599999</v>
      </c>
      <c r="AH2347">
        <v>16.8678262735997</v>
      </c>
      <c r="AI2347">
        <v>93.772313897617195</v>
      </c>
      <c r="AJ2347">
        <v>91.224191528218299</v>
      </c>
      <c r="AK2347">
        <v>16.908311148429402</v>
      </c>
      <c r="AL2347">
        <v>87.187775018336794</v>
      </c>
      <c r="AM2347">
        <v>89.270799458019894</v>
      </c>
      <c r="AN2347">
        <v>0.99999999728608602</v>
      </c>
    </row>
    <row r="2348" spans="1:40" x14ac:dyDescent="0.25">
      <c r="A2348" t="str">
        <f>"20190312154556514"</f>
        <v>20190312154556514</v>
      </c>
      <c r="B2348" t="str">
        <f>"1552376756508764"</f>
        <v>1552376756508764</v>
      </c>
      <c r="C2348" t="s">
        <v>40</v>
      </c>
      <c r="D2348">
        <v>4.8030369999999998</v>
      </c>
      <c r="E2348">
        <v>0.49033349999999998</v>
      </c>
      <c r="F2348" t="s">
        <v>42</v>
      </c>
      <c r="G2348">
        <v>-494.17079999999999</v>
      </c>
      <c r="H2348" s="1">
        <v>-2.9562440000000001E-6</v>
      </c>
      <c r="I2348">
        <v>233.89330000000001</v>
      </c>
      <c r="J2348">
        <v>-490.94670000000002</v>
      </c>
      <c r="K2348">
        <v>1.112492</v>
      </c>
      <c r="L2348">
        <v>251.07929999999999</v>
      </c>
      <c r="M2348">
        <v>-0.19944229999999999</v>
      </c>
      <c r="N2348">
        <v>0</v>
      </c>
      <c r="O2348">
        <v>-0.97981050000000003</v>
      </c>
      <c r="P2348">
        <v>-0.21459210000000001</v>
      </c>
      <c r="Q2348">
        <v>3.7816580000000002E-2</v>
      </c>
      <c r="R2348">
        <v>-0.9759717</v>
      </c>
      <c r="S2348">
        <v>-0.55511469999999996</v>
      </c>
      <c r="T2348">
        <v>-0.18884790000000001</v>
      </c>
      <c r="U2348">
        <v>-2.9583590000000002</v>
      </c>
      <c r="V2348">
        <v>1.531272E-2</v>
      </c>
      <c r="W2348">
        <v>5.1839780000000002E-2</v>
      </c>
      <c r="X2348">
        <v>0.99853800000000004</v>
      </c>
      <c r="Y2348">
        <v>-1.567557E-2</v>
      </c>
      <c r="Z2348">
        <v>6.1263419999999999E-2</v>
      </c>
      <c r="AA2348">
        <v>0.99799850000000001</v>
      </c>
      <c r="AB2348">
        <v>25</v>
      </c>
      <c r="AC2348">
        <v>-3.22409999999996</v>
      </c>
      <c r="AD2348">
        <v>-1.1124949562440001</v>
      </c>
      <c r="AE2348">
        <v>-17.1859999999999</v>
      </c>
      <c r="AF2348">
        <v>-0.26755140523003601</v>
      </c>
      <c r="AG2348">
        <v>-1.1124949562440001</v>
      </c>
      <c r="AH2348">
        <v>17.413256206406999</v>
      </c>
      <c r="AI2348">
        <v>93.655103988302002</v>
      </c>
      <c r="AJ2348">
        <v>90.880269605524504</v>
      </c>
      <c r="AK2348">
        <v>17.4508085913541</v>
      </c>
      <c r="AL2348">
        <v>87.028467419018298</v>
      </c>
      <c r="AM2348">
        <v>89.121430066969495</v>
      </c>
      <c r="AN2348">
        <v>0.99999998981412297</v>
      </c>
    </row>
    <row r="2349" spans="1:40" x14ac:dyDescent="0.25">
      <c r="A2349" t="str">
        <f>"20190312154556535"</f>
        <v>20190312154556535</v>
      </c>
      <c r="B2349" t="str">
        <f>"1552376756529261"</f>
        <v>1552376756529261</v>
      </c>
      <c r="C2349" t="s">
        <v>40</v>
      </c>
      <c r="D2349">
        <v>4.7753500000000004</v>
      </c>
      <c r="E2349">
        <v>0.49105910000000003</v>
      </c>
      <c r="F2349" t="s">
        <v>42</v>
      </c>
      <c r="G2349">
        <v>-494.42579999999998</v>
      </c>
      <c r="H2349" s="1">
        <v>-2.5568600000000002E-6</v>
      </c>
      <c r="I2349">
        <v>232.80420000000001</v>
      </c>
      <c r="J2349">
        <v>-490.98939999999999</v>
      </c>
      <c r="K2349">
        <v>1.112552</v>
      </c>
      <c r="L2349">
        <v>250.84970000000001</v>
      </c>
      <c r="M2349">
        <v>-0.19607379999999999</v>
      </c>
      <c r="N2349">
        <v>0</v>
      </c>
      <c r="O2349">
        <v>-0.98048999999999997</v>
      </c>
      <c r="P2349">
        <v>-0.21254580000000001</v>
      </c>
      <c r="Q2349">
        <v>3.9250760000000003E-2</v>
      </c>
      <c r="R2349">
        <v>-0.97636270000000003</v>
      </c>
      <c r="S2349">
        <v>-0.56295779999999995</v>
      </c>
      <c r="T2349">
        <v>-0.18001229999999999</v>
      </c>
      <c r="U2349">
        <v>-2.957077</v>
      </c>
      <c r="V2349">
        <v>1.6648739999999999E-2</v>
      </c>
      <c r="W2349">
        <v>5.3283079999999997E-2</v>
      </c>
      <c r="X2349">
        <v>0.99844060000000001</v>
      </c>
      <c r="Y2349">
        <v>-9.5728549999999999E-3</v>
      </c>
      <c r="Z2349">
        <v>5.8481400000000003E-2</v>
      </c>
      <c r="AA2349">
        <v>0.99824259999999998</v>
      </c>
      <c r="AB2349">
        <v>25</v>
      </c>
      <c r="AC2349">
        <v>-3.4363999999999901</v>
      </c>
      <c r="AD2349">
        <v>-1.1125545568599999</v>
      </c>
      <c r="AE2349">
        <v>-18.045500000000001</v>
      </c>
      <c r="AF2349">
        <v>-0.16829303653324901</v>
      </c>
      <c r="AG2349">
        <v>-1.1125545568599999</v>
      </c>
      <c r="AH2349">
        <v>18.3018739952898</v>
      </c>
      <c r="AI2349">
        <v>93.478531785883902</v>
      </c>
      <c r="AJ2349">
        <v>90.526842713296503</v>
      </c>
      <c r="AK2349">
        <v>18.3364307303139</v>
      </c>
      <c r="AL2349">
        <v>86.945657820775594</v>
      </c>
      <c r="AM2349">
        <v>89.044696158157706</v>
      </c>
      <c r="AN2349">
        <v>0.99999994944311499</v>
      </c>
    </row>
    <row r="2350" spans="1:40" x14ac:dyDescent="0.25">
      <c r="A2350" t="str">
        <f>"20190312154556558"</f>
        <v>20190312154556558</v>
      </c>
      <c r="B2350" t="str">
        <f>"1552376756548781"</f>
        <v>1552376756548781</v>
      </c>
      <c r="C2350" t="s">
        <v>40</v>
      </c>
      <c r="D2350">
        <v>4.7614850000000004</v>
      </c>
      <c r="E2350">
        <v>0.49176999999999998</v>
      </c>
      <c r="F2350" t="s">
        <v>42</v>
      </c>
      <c r="G2350">
        <v>-494.54689999999999</v>
      </c>
      <c r="H2350" s="1">
        <v>-2.308399E-6</v>
      </c>
      <c r="I2350">
        <v>232.1499</v>
      </c>
      <c r="J2350">
        <v>-491.03429999999997</v>
      </c>
      <c r="K2350">
        <v>1.112603</v>
      </c>
      <c r="L2350">
        <v>250.6037</v>
      </c>
      <c r="M2350">
        <v>-0.19237899999999999</v>
      </c>
      <c r="N2350">
        <v>0</v>
      </c>
      <c r="O2350">
        <v>-0.98122160000000003</v>
      </c>
      <c r="P2350">
        <v>-0.2097559</v>
      </c>
      <c r="Q2350">
        <v>4.0027380000000001E-2</v>
      </c>
      <c r="R2350">
        <v>-0.97693410000000003</v>
      </c>
      <c r="S2350">
        <v>-0.56259159999999997</v>
      </c>
      <c r="T2350">
        <v>-0.175942299999999</v>
      </c>
      <c r="U2350">
        <v>-2.95723</v>
      </c>
      <c r="V2350">
        <v>1.7553510000000001E-2</v>
      </c>
      <c r="W2350">
        <v>5.4067759999999999E-2</v>
      </c>
      <c r="X2350">
        <v>0.99838300000000002</v>
      </c>
      <c r="Y2350">
        <v>-5.9207599999999997E-3</v>
      </c>
      <c r="Z2350">
        <v>5.7226239999999998E-2</v>
      </c>
      <c r="AA2350">
        <v>0.99834369999999995</v>
      </c>
      <c r="AB2350">
        <v>25</v>
      </c>
      <c r="AC2350">
        <v>-3.5126000000000199</v>
      </c>
      <c r="AD2350">
        <v>-1.112605308399</v>
      </c>
      <c r="AE2350">
        <v>-18.453800000000001</v>
      </c>
      <c r="AF2350">
        <v>-0.103132877604076</v>
      </c>
      <c r="AG2350">
        <v>-1.112605308399</v>
      </c>
      <c r="AH2350">
        <v>18.719178464538601</v>
      </c>
      <c r="AI2350">
        <v>93.401416137035895</v>
      </c>
      <c r="AJ2350">
        <v>90.315666568344398</v>
      </c>
      <c r="AK2350">
        <v>18.7524976829745</v>
      </c>
      <c r="AL2350">
        <v>86.900634315097406</v>
      </c>
      <c r="AM2350">
        <v>88.9927328243256</v>
      </c>
      <c r="AN2350">
        <v>1.00000003153686</v>
      </c>
    </row>
    <row r="2351" spans="1:40" x14ac:dyDescent="0.25">
      <c r="A2351" t="str">
        <f>"20190312154556580"</f>
        <v>20190312154556580</v>
      </c>
      <c r="B2351" t="str">
        <f>"1552376756569281"</f>
        <v>1552376756569281</v>
      </c>
      <c r="C2351" t="s">
        <v>40</v>
      </c>
      <c r="D2351">
        <v>4.7263909999999996</v>
      </c>
      <c r="E2351">
        <v>0.49237999999999998</v>
      </c>
      <c r="F2351" t="s">
        <v>42</v>
      </c>
      <c r="G2351">
        <v>-494.59679999999997</v>
      </c>
      <c r="H2351" s="1">
        <v>-2.1533289999999999E-6</v>
      </c>
      <c r="I2351">
        <v>231.75749999999999</v>
      </c>
      <c r="J2351">
        <v>-491.07650000000001</v>
      </c>
      <c r="K2351">
        <v>1.112644</v>
      </c>
      <c r="L2351">
        <v>250.3664</v>
      </c>
      <c r="M2351">
        <v>-0.18874250000000001</v>
      </c>
      <c r="N2351">
        <v>0</v>
      </c>
      <c r="O2351">
        <v>-0.98192760000000001</v>
      </c>
      <c r="P2351">
        <v>-0.20633190000000001</v>
      </c>
      <c r="Q2351">
        <v>4.0524690000000002E-2</v>
      </c>
      <c r="R2351">
        <v>-0.97764249999999997</v>
      </c>
      <c r="S2351">
        <v>-0.5591431</v>
      </c>
      <c r="T2351">
        <v>-0.17462440000000001</v>
      </c>
      <c r="U2351">
        <v>-2.957932</v>
      </c>
      <c r="V2351">
        <v>1.7750200000000001E-2</v>
      </c>
      <c r="W2351">
        <v>5.4568659999999998E-2</v>
      </c>
      <c r="X2351">
        <v>0.99835220000000002</v>
      </c>
      <c r="Y2351">
        <v>-3.3788440000000002E-3</v>
      </c>
      <c r="Z2351">
        <v>5.6853470000000003E-2</v>
      </c>
      <c r="AA2351">
        <v>0.99837679999999995</v>
      </c>
      <c r="AB2351">
        <v>25</v>
      </c>
      <c r="AC2351">
        <v>-3.5202999999999598</v>
      </c>
      <c r="AD2351">
        <v>-1.112646153329</v>
      </c>
      <c r="AE2351">
        <v>-18.608899999999998</v>
      </c>
      <c r="AF2351">
        <v>-5.5424689729868602E-2</v>
      </c>
      <c r="AG2351">
        <v>-1.112646153329</v>
      </c>
      <c r="AH2351">
        <v>18.8737223743341</v>
      </c>
      <c r="AI2351">
        <v>93.373789013052004</v>
      </c>
      <c r="AJ2351">
        <v>90.168254656446507</v>
      </c>
      <c r="AK2351">
        <v>18.906571598843399</v>
      </c>
      <c r="AL2351">
        <v>86.871892208893101</v>
      </c>
      <c r="AM2351">
        <v>88.981417176070295</v>
      </c>
      <c r="AN2351">
        <v>0.99999996174953698</v>
      </c>
    </row>
    <row r="2352" spans="1:40" x14ac:dyDescent="0.25">
      <c r="A2352" t="str">
        <f>"20190312154556602"</f>
        <v>20190312154556602</v>
      </c>
      <c r="B2352" t="str">
        <f>"1552376756588797"</f>
        <v>1552376756588797</v>
      </c>
      <c r="C2352" t="s">
        <v>40</v>
      </c>
      <c r="D2352">
        <v>4.7026370000000002</v>
      </c>
      <c r="E2352">
        <v>0.49295990000000001</v>
      </c>
      <c r="F2352" t="s">
        <v>42</v>
      </c>
      <c r="G2352">
        <v>-494.61189999999999</v>
      </c>
      <c r="H2352" s="1">
        <v>-2.0426519999999999E-6</v>
      </c>
      <c r="I2352">
        <v>231.49019999999999</v>
      </c>
      <c r="J2352">
        <v>-491.1189</v>
      </c>
      <c r="K2352">
        <v>1.1126670000000001</v>
      </c>
      <c r="L2352">
        <v>250.12299999999999</v>
      </c>
      <c r="M2352">
        <v>-0.18495980000000001</v>
      </c>
      <c r="N2352">
        <v>0</v>
      </c>
      <c r="O2352">
        <v>-0.9826471</v>
      </c>
      <c r="P2352">
        <v>-0.2013943</v>
      </c>
      <c r="Q2352">
        <v>4.0313309999999998E-2</v>
      </c>
      <c r="R2352">
        <v>-0.97868100000000002</v>
      </c>
      <c r="S2352">
        <v>-0.55416869999999996</v>
      </c>
      <c r="T2352">
        <v>-0.17440829999999999</v>
      </c>
      <c r="U2352">
        <v>-2.9588619999999999</v>
      </c>
      <c r="V2352">
        <v>1.6549950000000001E-2</v>
      </c>
      <c r="W2352">
        <v>5.435297E-2</v>
      </c>
      <c r="X2352">
        <v>0.99838459999999996</v>
      </c>
      <c r="Y2352">
        <v>-1.2059429999999999E-3</v>
      </c>
      <c r="Z2352">
        <v>5.6836999999999999E-2</v>
      </c>
      <c r="AA2352">
        <v>0.99838269999999996</v>
      </c>
      <c r="AB2352">
        <v>25</v>
      </c>
      <c r="AC2352">
        <v>-3.4929999999999901</v>
      </c>
      <c r="AD2352">
        <v>-1.1126690426520001</v>
      </c>
      <c r="AE2352">
        <v>-18.6328</v>
      </c>
      <c r="AF2352">
        <v>-1.3886160336892901E-2</v>
      </c>
      <c r="AG2352">
        <v>-1.1126690426520001</v>
      </c>
      <c r="AH2352">
        <v>18.8922937558477</v>
      </c>
      <c r="AI2352">
        <v>93.370562951043496</v>
      </c>
      <c r="AJ2352">
        <v>90.042113374265199</v>
      </c>
      <c r="AK2352">
        <v>18.9250360258883</v>
      </c>
      <c r="AL2352">
        <v>86.884268754154903</v>
      </c>
      <c r="AM2352">
        <v>89.050310426165495</v>
      </c>
      <c r="AN2352">
        <v>0.99999997785499095</v>
      </c>
    </row>
    <row r="2353" spans="1:40" x14ac:dyDescent="0.25">
      <c r="A2353" t="str">
        <f>"20190312154556624"</f>
        <v>20190312154556624</v>
      </c>
      <c r="B2353" t="str">
        <f>"1552376756619053"</f>
        <v>1552376756619053</v>
      </c>
      <c r="C2353" t="s">
        <v>40</v>
      </c>
      <c r="D2353">
        <v>4.71265</v>
      </c>
      <c r="E2353">
        <v>0.49384420000000001</v>
      </c>
      <c r="F2353" t="s">
        <v>42</v>
      </c>
      <c r="G2353">
        <v>-494.55349999999999</v>
      </c>
      <c r="H2353" s="1">
        <v>-2.0103539999999998E-6</v>
      </c>
      <c r="I2353">
        <v>231.4511</v>
      </c>
      <c r="J2353">
        <v>-491.15769999999998</v>
      </c>
      <c r="K2353">
        <v>1.1126780000000001</v>
      </c>
      <c r="L2353">
        <v>249.89449999999999</v>
      </c>
      <c r="M2353">
        <v>-0.18137729999999999</v>
      </c>
      <c r="N2353">
        <v>0</v>
      </c>
      <c r="O2353">
        <v>-0.98331480000000004</v>
      </c>
      <c r="P2353">
        <v>-0.19603139999999999</v>
      </c>
      <c r="Q2353">
        <v>3.997817E-2</v>
      </c>
      <c r="R2353">
        <v>-0.97978270000000001</v>
      </c>
      <c r="S2353">
        <v>-0.54458619999999902</v>
      </c>
      <c r="T2353">
        <v>-0.1764222</v>
      </c>
      <c r="U2353">
        <v>-2.9605709999999998</v>
      </c>
      <c r="V2353">
        <v>1.471694E-2</v>
      </c>
      <c r="W2353">
        <v>5.4008250000000001E-2</v>
      </c>
      <c r="X2353">
        <v>0.99843199999999999</v>
      </c>
      <c r="Y2353">
        <v>-7.9673149999999904E-4</v>
      </c>
      <c r="Z2353">
        <v>5.7533719999999997E-2</v>
      </c>
      <c r="AA2353">
        <v>0.99834319999999999</v>
      </c>
      <c r="AB2353">
        <v>25</v>
      </c>
      <c r="AC2353">
        <v>-3.3957999999999999</v>
      </c>
      <c r="AD2353">
        <v>-1.112680010354</v>
      </c>
      <c r="AE2353">
        <v>-18.4434</v>
      </c>
      <c r="AF2353">
        <v>-6.0529787461649498E-3</v>
      </c>
      <c r="AG2353">
        <v>-1.112680010354</v>
      </c>
      <c r="AH2353">
        <v>18.6876249120164</v>
      </c>
      <c r="AI2353">
        <v>93.407425453869195</v>
      </c>
      <c r="AJ2353">
        <v>90.018558277209706</v>
      </c>
      <c r="AK2353">
        <v>18.720721628618101</v>
      </c>
      <c r="AL2353">
        <v>86.904048782283397</v>
      </c>
      <c r="AM2353">
        <v>89.155518363945305</v>
      </c>
      <c r="AN2353">
        <v>0.99999996900751198</v>
      </c>
    </row>
    <row r="2354" spans="1:40" x14ac:dyDescent="0.25">
      <c r="A2354" t="str">
        <f>"20190312154556647"</f>
        <v>20190312154556647</v>
      </c>
      <c r="B2354" t="str">
        <f>"1552376756639548"</f>
        <v>1552376756639548</v>
      </c>
      <c r="C2354" t="s">
        <v>40</v>
      </c>
      <c r="D2354">
        <v>4.6972769999999997</v>
      </c>
      <c r="E2354">
        <v>0.4943767</v>
      </c>
      <c r="F2354" t="s">
        <v>42</v>
      </c>
      <c r="G2354">
        <v>-494.49259999999998</v>
      </c>
      <c r="H2354" s="1">
        <v>-1.9896119999999999E-6</v>
      </c>
      <c r="I2354">
        <v>231.44049999999999</v>
      </c>
      <c r="J2354">
        <v>-491.19850000000002</v>
      </c>
      <c r="K2354">
        <v>1.112681</v>
      </c>
      <c r="L2354">
        <v>249.64840000000001</v>
      </c>
      <c r="M2354">
        <v>-0.17750170000000001</v>
      </c>
      <c r="N2354">
        <v>0</v>
      </c>
      <c r="O2354">
        <v>-0.9840217</v>
      </c>
      <c r="P2354">
        <v>-0.18984390000000001</v>
      </c>
      <c r="Q2354">
        <v>3.8848880000000002E-2</v>
      </c>
      <c r="R2354">
        <v>-0.98104539999999996</v>
      </c>
      <c r="S2354">
        <v>-0.53527829999999998</v>
      </c>
      <c r="T2354">
        <v>-0.1785989</v>
      </c>
      <c r="U2354">
        <v>-2.9620820000000001</v>
      </c>
      <c r="V2354">
        <v>1.234613E-2</v>
      </c>
      <c r="W2354">
        <v>5.2864519999999998E-2</v>
      </c>
      <c r="X2354">
        <v>0.99852540000000001</v>
      </c>
      <c r="Y2354" s="1">
        <v>8.6756190000000007E-6</v>
      </c>
      <c r="Z2354">
        <v>5.8290790000000002E-2</v>
      </c>
      <c r="AA2354">
        <v>0.99829970000000001</v>
      </c>
      <c r="AB2354">
        <v>25</v>
      </c>
      <c r="AC2354">
        <v>-3.2940999999999501</v>
      </c>
      <c r="AD2354">
        <v>-1.1126829896120001</v>
      </c>
      <c r="AE2354">
        <v>-18.207899999999999</v>
      </c>
      <c r="AF2354">
        <v>9.4992555259656407E-3</v>
      </c>
      <c r="AG2354">
        <v>-1.1126829896120001</v>
      </c>
      <c r="AH2354">
        <v>18.436807380897001</v>
      </c>
      <c r="AI2354">
        <v>93.453678156440603</v>
      </c>
      <c r="AJ2354">
        <v>89.970479313975105</v>
      </c>
      <c r="AK2354">
        <v>18.470355169068199</v>
      </c>
      <c r="AL2354">
        <v>86.969673633954301</v>
      </c>
      <c r="AM2354">
        <v>89.291610310481801</v>
      </c>
      <c r="AN2354">
        <v>1.0000000294229801</v>
      </c>
    </row>
    <row r="2355" spans="1:40" x14ac:dyDescent="0.25">
      <c r="A2355" t="str">
        <f>"20190312154556670"</f>
        <v>20190312154556670</v>
      </c>
      <c r="B2355" t="str">
        <f>"1552376756659073"</f>
        <v>1552376756659073</v>
      </c>
      <c r="C2355" t="s">
        <v>40</v>
      </c>
      <c r="D2355">
        <v>4.7125149999999998</v>
      </c>
      <c r="E2355">
        <v>0.47294180000000002</v>
      </c>
      <c r="F2355" t="s">
        <v>42</v>
      </c>
      <c r="G2355">
        <v>-494.36219999999997</v>
      </c>
      <c r="H2355" s="1">
        <v>-2.037185E-6</v>
      </c>
      <c r="I2355">
        <v>231.63229999999999</v>
      </c>
      <c r="J2355">
        <v>-491.23899999999998</v>
      </c>
      <c r="K2355">
        <v>1.1126739999999999</v>
      </c>
      <c r="L2355">
        <v>249.39760000000001</v>
      </c>
      <c r="M2355">
        <v>-0.173545899999999</v>
      </c>
      <c r="N2355">
        <v>0</v>
      </c>
      <c r="O2355">
        <v>-0.98472680000000001</v>
      </c>
      <c r="P2355">
        <v>-0.18288740000000001</v>
      </c>
      <c r="Q2355">
        <v>3.7734879999999998E-2</v>
      </c>
      <c r="R2355">
        <v>-0.98240919999999998</v>
      </c>
      <c r="S2355">
        <v>-0.52056880000000005</v>
      </c>
      <c r="T2355">
        <v>-0.18308630000000001</v>
      </c>
      <c r="U2355">
        <v>-2.9644620000000002</v>
      </c>
      <c r="V2355">
        <v>9.2809520000000003E-3</v>
      </c>
      <c r="W2355">
        <v>5.1731680000000002E-2</v>
      </c>
      <c r="X2355">
        <v>0.99861789999999995</v>
      </c>
      <c r="Y2355">
        <v>-9.2970870000000003E-4</v>
      </c>
      <c r="Z2355">
        <v>5.9792610000000003E-2</v>
      </c>
      <c r="AA2355">
        <v>0.99821040000000005</v>
      </c>
      <c r="AB2355">
        <v>25</v>
      </c>
      <c r="AC2355">
        <v>-3.1231999999999398</v>
      </c>
      <c r="AD2355">
        <v>-1.112676037185</v>
      </c>
      <c r="AE2355">
        <v>-17.7653</v>
      </c>
      <c r="AF2355">
        <v>-7.5681779307825697E-3</v>
      </c>
      <c r="AG2355">
        <v>-1.112676037185</v>
      </c>
      <c r="AH2355">
        <v>17.9693675646567</v>
      </c>
      <c r="AI2355">
        <v>93.543271272975801</v>
      </c>
      <c r="AJ2355">
        <v>90.024131323867493</v>
      </c>
      <c r="AK2355">
        <v>18.003785044117201</v>
      </c>
      <c r="AL2355">
        <v>87.034669464073005</v>
      </c>
      <c r="AM2355">
        <v>89.467519989299106</v>
      </c>
      <c r="AN2355">
        <v>1.0000000064930199</v>
      </c>
    </row>
    <row r="2356" spans="1:40" x14ac:dyDescent="0.25">
      <c r="A2356" t="str">
        <f>"20190312154556693"</f>
        <v>20190312154556693</v>
      </c>
      <c r="B2356" t="str">
        <f>"1552376756689325"</f>
        <v>1552376756689325</v>
      </c>
      <c r="C2356" t="s">
        <v>40</v>
      </c>
      <c r="D2356">
        <v>4.6779590000000004</v>
      </c>
      <c r="E2356">
        <v>0.41066009999999997</v>
      </c>
      <c r="F2356" t="s">
        <v>53</v>
      </c>
      <c r="G2356">
        <v>-493.65910000000002</v>
      </c>
      <c r="H2356" s="1">
        <v>5.1616900000000002E-6</v>
      </c>
      <c r="I2356">
        <v>227.51660000000001</v>
      </c>
      <c r="J2356">
        <v>-491.27699999999999</v>
      </c>
      <c r="K2356">
        <v>1.112665</v>
      </c>
      <c r="L2356">
        <v>249.15700000000001</v>
      </c>
      <c r="M2356">
        <v>-0.16975489999999999</v>
      </c>
      <c r="N2356">
        <v>0</v>
      </c>
      <c r="O2356">
        <v>-0.98538760000000003</v>
      </c>
      <c r="P2356">
        <v>-0.1764211</v>
      </c>
      <c r="Q2356">
        <v>3.7258810000000003E-2</v>
      </c>
      <c r="R2356">
        <v>-0.98360939999999997</v>
      </c>
      <c r="S2356">
        <v>-0.33157350000000002</v>
      </c>
      <c r="T2356">
        <v>-0.1524442</v>
      </c>
      <c r="U2356">
        <v>-2.9978639999999999</v>
      </c>
      <c r="V2356">
        <v>6.5545600000000001E-3</v>
      </c>
      <c r="W2356">
        <v>5.1238329999999999E-2</v>
      </c>
      <c r="X2356">
        <v>0.99866489999999997</v>
      </c>
      <c r="Y2356">
        <v>-6.0541900000000003E-2</v>
      </c>
      <c r="Z2356">
        <v>4.948665E-2</v>
      </c>
      <c r="AA2356">
        <v>0.9969382</v>
      </c>
      <c r="AB2356">
        <v>24</v>
      </c>
      <c r="AC2356">
        <v>-2.3821000000000301</v>
      </c>
      <c r="AD2356">
        <v>-1.1126598383099999</v>
      </c>
      <c r="AE2356">
        <v>-21.6404</v>
      </c>
      <c r="AF2356">
        <v>-1.32294571099668</v>
      </c>
      <c r="AG2356">
        <v>-1.1126598383099999</v>
      </c>
      <c r="AH2356">
        <v>21.674057547162899</v>
      </c>
      <c r="AI2356">
        <v>92.933307853682805</v>
      </c>
      <c r="AJ2356">
        <v>93.492898427687507</v>
      </c>
      <c r="AK2356">
        <v>21.742883153523199</v>
      </c>
      <c r="AL2356">
        <v>87.0629737256357</v>
      </c>
      <c r="AM2356">
        <v>89.623954709756703</v>
      </c>
      <c r="AN2356">
        <v>0.99999995560499499</v>
      </c>
    </row>
    <row r="2357" spans="1:40" x14ac:dyDescent="0.25">
      <c r="A2357" t="str">
        <f>"20190312154556714"</f>
        <v>20190312154556714</v>
      </c>
      <c r="B2357" t="str">
        <f>"1552376756708844"</f>
        <v>1552376756708844</v>
      </c>
      <c r="C2357" t="s">
        <v>40</v>
      </c>
      <c r="D2357">
        <v>4.7306629999999998</v>
      </c>
      <c r="E2357">
        <v>0.40475250000000002</v>
      </c>
      <c r="F2357" t="s">
        <v>53</v>
      </c>
      <c r="G2357">
        <v>-489.66410000000002</v>
      </c>
      <c r="H2357" s="1">
        <v>3.8759469999999998E-6</v>
      </c>
      <c r="I2357">
        <v>220.9272</v>
      </c>
      <c r="J2357">
        <v>-491.31310000000002</v>
      </c>
      <c r="K2357">
        <v>1.1126549999999999</v>
      </c>
      <c r="L2357">
        <v>248.9221</v>
      </c>
      <c r="M2357">
        <v>-0.16606460000000001</v>
      </c>
      <c r="N2357">
        <v>0</v>
      </c>
      <c r="O2357">
        <v>-0.98601629999999996</v>
      </c>
      <c r="P2357">
        <v>-0.1698675</v>
      </c>
      <c r="Q2357">
        <v>3.701463E-2</v>
      </c>
      <c r="R2357">
        <v>-0.98477170000000003</v>
      </c>
      <c r="S2357">
        <v>0.1763306</v>
      </c>
      <c r="T2357">
        <v>-0.121641</v>
      </c>
      <c r="U2357">
        <v>-3.0862120000000002</v>
      </c>
      <c r="V2357">
        <v>3.6432180000000002E-3</v>
      </c>
      <c r="W2357">
        <v>5.0974510000000001E-2</v>
      </c>
      <c r="X2357">
        <v>0.99869330000000001</v>
      </c>
      <c r="Y2357">
        <v>-0.22201660000000001</v>
      </c>
      <c r="Z2357">
        <v>3.8039749999999997E-2</v>
      </c>
      <c r="AA2357">
        <v>0.97430059999999996</v>
      </c>
      <c r="AB2357">
        <v>24</v>
      </c>
      <c r="AC2357">
        <v>1.649</v>
      </c>
      <c r="AD2357">
        <v>-1.1126511240529999</v>
      </c>
      <c r="AE2357">
        <v>-27.994900000000001</v>
      </c>
      <c r="AF2357">
        <v>-6.2656494782251997</v>
      </c>
      <c r="AG2357">
        <v>-1.1126511240529999</v>
      </c>
      <c r="AH2357">
        <v>27.289285678106101</v>
      </c>
      <c r="AI2357">
        <v>92.275649017847101</v>
      </c>
      <c r="AJ2357">
        <v>102.931054575511</v>
      </c>
      <c r="AK2357">
        <v>28.021446585234099</v>
      </c>
      <c r="AL2357">
        <v>87.078109380145193</v>
      </c>
      <c r="AM2357">
        <v>89.790986793149798</v>
      </c>
      <c r="AN2357">
        <v>0.99999999058601197</v>
      </c>
    </row>
    <row r="2358" spans="1:40" x14ac:dyDescent="0.25">
      <c r="A2358" t="str">
        <f>"20190312154556747"</f>
        <v>20190312154556747</v>
      </c>
      <c r="B2358" t="str">
        <f>"1552376756739107"</f>
        <v>1552376756739107</v>
      </c>
      <c r="C2358" t="s">
        <v>40</v>
      </c>
      <c r="D2358">
        <v>4.821008</v>
      </c>
      <c r="E2358">
        <v>0.40326099999999998</v>
      </c>
      <c r="F2358" t="s">
        <v>53</v>
      </c>
      <c r="G2358">
        <v>-489.58519999999999</v>
      </c>
      <c r="H2358" s="1">
        <v>5.7232779999999997E-6</v>
      </c>
      <c r="I2358">
        <v>227.00020000000001</v>
      </c>
      <c r="J2358">
        <v>-491.3655</v>
      </c>
      <c r="K2358">
        <v>1.112635</v>
      </c>
      <c r="L2358">
        <v>248.57089999999999</v>
      </c>
      <c r="M2358">
        <v>-0.160581</v>
      </c>
      <c r="N2358">
        <v>0</v>
      </c>
      <c r="O2358">
        <v>-0.98692420000000003</v>
      </c>
      <c r="P2358">
        <v>-0.16145319999999999</v>
      </c>
      <c r="Q2358">
        <v>3.9027550000000001E-2</v>
      </c>
      <c r="R2358">
        <v>-0.98610850000000005</v>
      </c>
      <c r="S2358">
        <v>0.24389649999999999</v>
      </c>
      <c r="T2358">
        <v>-0.1570532</v>
      </c>
      <c r="U2358">
        <v>-3.0943299999999998</v>
      </c>
      <c r="V2358">
        <v>6.6930880000000002E-4</v>
      </c>
      <c r="W2358">
        <v>5.2964039999999997E-2</v>
      </c>
      <c r="X2358">
        <v>0.99859620000000004</v>
      </c>
      <c r="Y2358">
        <v>-0.23755870000000001</v>
      </c>
      <c r="Z2358">
        <v>4.8899930000000001E-2</v>
      </c>
      <c r="AA2358">
        <v>0.97014160000000005</v>
      </c>
      <c r="AB2358">
        <v>24</v>
      </c>
      <c r="AC2358">
        <v>1.78030000000001</v>
      </c>
      <c r="AD2358">
        <v>-1.1126292767219901</v>
      </c>
      <c r="AE2358">
        <v>-21.570699999999899</v>
      </c>
      <c r="AF2358">
        <v>-5.2076117766796903</v>
      </c>
      <c r="AG2358">
        <v>-1.1126292767219901</v>
      </c>
      <c r="AH2358">
        <v>20.9494448110778</v>
      </c>
      <c r="AI2358">
        <v>92.950507644364706</v>
      </c>
      <c r="AJ2358">
        <v>103.959640667906</v>
      </c>
      <c r="AK2358">
        <v>21.615651787915802</v>
      </c>
      <c r="AL2358">
        <v>86.963963481648193</v>
      </c>
      <c r="AM2358">
        <v>89.961597526919803</v>
      </c>
      <c r="AN2358">
        <v>1.0000000040809101</v>
      </c>
    </row>
    <row r="2359" spans="1:40" x14ac:dyDescent="0.25">
      <c r="A2359" t="str">
        <f>"20190312154556769"</f>
        <v>20190312154556769</v>
      </c>
      <c r="B2359" t="str">
        <f>"1552376756759597"</f>
        <v>1552376756759597</v>
      </c>
      <c r="C2359" t="s">
        <v>40</v>
      </c>
      <c r="D2359">
        <v>4.5509599999999999</v>
      </c>
      <c r="E2359">
        <v>0.4035359</v>
      </c>
      <c r="F2359" t="s">
        <v>53</v>
      </c>
      <c r="G2359">
        <v>-489.60610000000003</v>
      </c>
      <c r="H2359" s="1">
        <v>6.4449839999999997E-6</v>
      </c>
      <c r="I2359">
        <v>229.31200000000001</v>
      </c>
      <c r="J2359">
        <v>-491.39980000000003</v>
      </c>
      <c r="K2359">
        <v>1.112617</v>
      </c>
      <c r="L2359">
        <v>248.33330000000001</v>
      </c>
      <c r="M2359">
        <v>-0.1569007</v>
      </c>
      <c r="N2359">
        <v>0</v>
      </c>
      <c r="O2359">
        <v>-0.98751599999999995</v>
      </c>
      <c r="P2359">
        <v>-0.15570120000000001</v>
      </c>
      <c r="Q2359">
        <v>3.970042E-2</v>
      </c>
      <c r="R2359">
        <v>-0.98700619999999994</v>
      </c>
      <c r="S2359">
        <v>0.28280640000000001</v>
      </c>
      <c r="T2359">
        <v>-0.1788428</v>
      </c>
      <c r="U2359">
        <v>-3.0956570000000001</v>
      </c>
      <c r="V2359">
        <v>-1.4282779999999901E-3</v>
      </c>
      <c r="W2359">
        <v>5.3621620000000002E-2</v>
      </c>
      <c r="X2359">
        <v>0.99856029999999996</v>
      </c>
      <c r="Y2359">
        <v>-0.24596870000000001</v>
      </c>
      <c r="Z2359">
        <v>5.5600570000000002E-2</v>
      </c>
      <c r="AA2359">
        <v>0.96768180000000004</v>
      </c>
      <c r="AB2359">
        <v>24</v>
      </c>
      <c r="AC2359">
        <v>1.7937000000000001</v>
      </c>
      <c r="AD2359">
        <v>-1.1126105550159999</v>
      </c>
      <c r="AE2359">
        <v>-19.0213</v>
      </c>
      <c r="AF2359">
        <v>-4.7401497904181298</v>
      </c>
      <c r="AG2359">
        <v>-1.1126105550159999</v>
      </c>
      <c r="AH2359">
        <v>18.441662785377702</v>
      </c>
      <c r="AI2359">
        <v>93.344105418667198</v>
      </c>
      <c r="AJ2359">
        <v>104.41496774168</v>
      </c>
      <c r="AK2359">
        <v>19.0735903429931</v>
      </c>
      <c r="AL2359">
        <v>86.926233278465205</v>
      </c>
      <c r="AM2359">
        <v>90.081952232192805</v>
      </c>
      <c r="AN2359">
        <v>0.99999999542277895</v>
      </c>
    </row>
    <row r="2360" spans="1:40" x14ac:dyDescent="0.25">
      <c r="A2360" t="str">
        <f>"20190312154556791"</f>
        <v>20190312154556791</v>
      </c>
      <c r="B2360" t="str">
        <f>"1552376756779117"</f>
        <v>1552376756779117</v>
      </c>
      <c r="C2360" t="s">
        <v>40</v>
      </c>
      <c r="D2360">
        <v>4.7336989999999997</v>
      </c>
      <c r="E2360">
        <v>0.40397060000000001</v>
      </c>
      <c r="F2360" t="s">
        <v>53</v>
      </c>
      <c r="G2360">
        <v>-489.58019999999999</v>
      </c>
      <c r="H2360" s="1">
        <v>6.4750469999999899E-6</v>
      </c>
      <c r="I2360">
        <v>229.43119999999999</v>
      </c>
      <c r="J2360">
        <v>-491.43329999999997</v>
      </c>
      <c r="K2360">
        <v>1.1125860000000001</v>
      </c>
      <c r="L2360">
        <v>248.09450000000001</v>
      </c>
      <c r="M2360">
        <v>-0.15322639999999901</v>
      </c>
      <c r="N2360">
        <v>0</v>
      </c>
      <c r="O2360">
        <v>-0.98809279999999999</v>
      </c>
      <c r="P2360">
        <v>-0.1497849</v>
      </c>
      <c r="Q2360">
        <v>3.9850320000000002E-2</v>
      </c>
      <c r="R2360">
        <v>-0.98791519999999999</v>
      </c>
      <c r="S2360">
        <v>0.297821</v>
      </c>
      <c r="T2360">
        <v>-0.18210789999999999</v>
      </c>
      <c r="U2360">
        <v>-3.0938110000000001</v>
      </c>
      <c r="V2360">
        <v>-3.6947239999999999E-3</v>
      </c>
      <c r="W2360">
        <v>5.3754459999999997E-2</v>
      </c>
      <c r="X2360">
        <v>0.99854739999999997</v>
      </c>
      <c r="Y2360">
        <v>-0.24706510000000001</v>
      </c>
      <c r="Z2360">
        <v>5.6675549999999998E-2</v>
      </c>
      <c r="AA2360">
        <v>0.96734010000000004</v>
      </c>
      <c r="AB2360">
        <v>24</v>
      </c>
      <c r="AC2360">
        <v>1.85309999999998</v>
      </c>
      <c r="AD2360">
        <v>-1.1125795249529999</v>
      </c>
      <c r="AE2360">
        <v>-18.6633</v>
      </c>
      <c r="AF2360">
        <v>-4.6747501362734996</v>
      </c>
      <c r="AG2360">
        <v>-1.1125795249529999</v>
      </c>
      <c r="AH2360">
        <v>18.095214786901298</v>
      </c>
      <c r="AI2360">
        <v>93.406813238107603</v>
      </c>
      <c r="AJ2360">
        <v>104.485187652636</v>
      </c>
      <c r="AK2360">
        <v>18.722390878838802</v>
      </c>
      <c r="AL2360">
        <v>86.918611287027701</v>
      </c>
      <c r="AM2360">
        <v>90.211999075457399</v>
      </c>
      <c r="AN2360">
        <v>1.0000000515010401</v>
      </c>
    </row>
    <row r="2361" spans="1:40" x14ac:dyDescent="0.25">
      <c r="A2361" t="str">
        <f>"20190312154556814"</f>
        <v>20190312154556814</v>
      </c>
      <c r="B2361" t="str">
        <f>"1552376756809374"</f>
        <v>1552376756809374</v>
      </c>
      <c r="C2361" t="s">
        <v>40</v>
      </c>
      <c r="D2361">
        <v>4.7577629999999997</v>
      </c>
      <c r="E2361">
        <v>0.40491929999999998</v>
      </c>
      <c r="F2361" t="s">
        <v>53</v>
      </c>
      <c r="G2361">
        <v>-489.529</v>
      </c>
      <c r="H2361" s="1">
        <v>6.4121540000000002E-6</v>
      </c>
      <c r="I2361">
        <v>229.2722</v>
      </c>
      <c r="J2361">
        <v>-491.46559999999999</v>
      </c>
      <c r="K2361">
        <v>1.1125499999999999</v>
      </c>
      <c r="L2361">
        <v>247.85849999999999</v>
      </c>
      <c r="M2361">
        <v>-0.14962129999999901</v>
      </c>
      <c r="N2361">
        <v>0</v>
      </c>
      <c r="O2361">
        <v>-0.98864529999999995</v>
      </c>
      <c r="P2361">
        <v>-0.14378099999999999</v>
      </c>
      <c r="Q2361">
        <v>3.9434869999999997E-2</v>
      </c>
      <c r="R2361">
        <v>-0.98882369999999997</v>
      </c>
      <c r="S2361">
        <v>0.31277470000000002</v>
      </c>
      <c r="T2361">
        <v>-0.1827366</v>
      </c>
      <c r="U2361">
        <v>-3.0914920000000001</v>
      </c>
      <c r="V2361">
        <v>-6.1160479999999998E-3</v>
      </c>
      <c r="W2361">
        <v>5.3321639999999997E-2</v>
      </c>
      <c r="X2361">
        <v>0.99855859999999996</v>
      </c>
      <c r="Y2361">
        <v>-0.24823219999999999</v>
      </c>
      <c r="Z2361">
        <v>5.6939419999999998E-2</v>
      </c>
      <c r="AA2361">
        <v>0.96702569999999999</v>
      </c>
      <c r="AB2361">
        <v>24</v>
      </c>
      <c r="AC2361">
        <v>1.9365999999999901</v>
      </c>
      <c r="AD2361">
        <v>-1.1125435878459999</v>
      </c>
      <c r="AE2361">
        <v>-18.586299999999898</v>
      </c>
      <c r="AF2361">
        <v>-4.67938601732547</v>
      </c>
      <c r="AG2361">
        <v>-1.1125435878459999</v>
      </c>
      <c r="AH2361">
        <v>18.023371136173601</v>
      </c>
      <c r="AI2361">
        <v>93.419185214371296</v>
      </c>
      <c r="AJ2361">
        <v>104.554292294072</v>
      </c>
      <c r="AK2361">
        <v>18.6541232398163</v>
      </c>
      <c r="AL2361">
        <v>86.943445322790893</v>
      </c>
      <c r="AM2361">
        <v>90.350925179406602</v>
      </c>
      <c r="AN2361">
        <v>0.99999994048469198</v>
      </c>
    </row>
    <row r="2362" spans="1:40" x14ac:dyDescent="0.25">
      <c r="A2362" t="str">
        <f>"20190312154556836"</f>
        <v>20190312154556836</v>
      </c>
      <c r="B2362" t="str">
        <f>"1552376756828893"</f>
        <v>1552376756828893</v>
      </c>
      <c r="C2362" t="s">
        <v>40</v>
      </c>
      <c r="D2362">
        <v>4.5064690000000001</v>
      </c>
      <c r="E2362">
        <v>0.40542329999999999</v>
      </c>
      <c r="F2362" t="s">
        <v>53</v>
      </c>
      <c r="G2362">
        <v>-489.5147</v>
      </c>
      <c r="H2362" s="1">
        <v>6.4064250000000002E-6</v>
      </c>
      <c r="I2362">
        <v>229.26599999999999</v>
      </c>
      <c r="J2362">
        <v>-491.49810000000002</v>
      </c>
      <c r="K2362">
        <v>1.112517</v>
      </c>
      <c r="L2362">
        <v>247.61519999999999</v>
      </c>
      <c r="M2362">
        <v>-0.1459367</v>
      </c>
      <c r="N2362">
        <v>0</v>
      </c>
      <c r="O2362">
        <v>-0.98919590000000002</v>
      </c>
      <c r="P2362">
        <v>-0.1374956</v>
      </c>
      <c r="Q2362">
        <v>3.8239500000000003E-2</v>
      </c>
      <c r="R2362">
        <v>-0.98976419999999998</v>
      </c>
      <c r="S2362">
        <v>0.32406620000000003</v>
      </c>
      <c r="T2362">
        <v>-0.18480469999999999</v>
      </c>
      <c r="U2362">
        <v>-3.088409</v>
      </c>
      <c r="V2362">
        <v>-8.7377889999999993E-3</v>
      </c>
      <c r="W2362">
        <v>5.2108340000000003E-2</v>
      </c>
      <c r="X2362">
        <v>0.99860320000000002</v>
      </c>
      <c r="Y2362">
        <v>-0.24821370000000001</v>
      </c>
      <c r="Z2362">
        <v>5.7677190000000003E-2</v>
      </c>
      <c r="AA2362">
        <v>0.96698669999999998</v>
      </c>
      <c r="AB2362">
        <v>24</v>
      </c>
      <c r="AC2362">
        <v>1.98340000000001</v>
      </c>
      <c r="AD2362">
        <v>-1.1125105935749999</v>
      </c>
      <c r="AE2362">
        <v>-18.3492</v>
      </c>
      <c r="AF2362">
        <v>-4.6234434169015097</v>
      </c>
      <c r="AG2362">
        <v>-1.1125105935749999</v>
      </c>
      <c r="AH2362">
        <v>17.7985632542999</v>
      </c>
      <c r="AI2362">
        <v>93.462050569264605</v>
      </c>
      <c r="AJ2362">
        <v>104.56160242913801</v>
      </c>
      <c r="AK2362">
        <v>18.4228869281506</v>
      </c>
      <c r="AL2362">
        <v>87.013059238331394</v>
      </c>
      <c r="AM2362">
        <v>90.501325907848596</v>
      </c>
      <c r="AN2362">
        <v>0.99999998955220204</v>
      </c>
    </row>
    <row r="2363" spans="1:40" x14ac:dyDescent="0.25">
      <c r="A2363" t="str">
        <f>"20190312154556858"</f>
        <v>20190312154556858</v>
      </c>
      <c r="B2363" t="str">
        <f>"1552376756849389"</f>
        <v>1552376756849389</v>
      </c>
      <c r="C2363" t="s">
        <v>40</v>
      </c>
      <c r="D2363">
        <v>4.5061080000000002</v>
      </c>
      <c r="E2363">
        <v>0.40592070000000002</v>
      </c>
      <c r="F2363" t="s">
        <v>53</v>
      </c>
      <c r="G2363">
        <v>-489.49959999999999</v>
      </c>
      <c r="H2363" s="1">
        <v>6.4655509999999997E-6</v>
      </c>
      <c r="I2363">
        <v>229.46979999999999</v>
      </c>
      <c r="J2363">
        <v>-491.5283</v>
      </c>
      <c r="K2363">
        <v>1.112484</v>
      </c>
      <c r="L2363">
        <v>247.3828</v>
      </c>
      <c r="M2363">
        <v>-0.14244970000000001</v>
      </c>
      <c r="N2363">
        <v>0</v>
      </c>
      <c r="O2363">
        <v>-0.98970409999999998</v>
      </c>
      <c r="P2363">
        <v>-0.13231029999999999</v>
      </c>
      <c r="Q2363">
        <v>3.8024910000000002E-2</v>
      </c>
      <c r="R2363">
        <v>-0.990479</v>
      </c>
      <c r="S2363">
        <v>0.33984379999999997</v>
      </c>
      <c r="T2363">
        <v>-0.18917790000000001</v>
      </c>
      <c r="U2363">
        <v>-3.0855410000000001</v>
      </c>
      <c r="V2363">
        <v>-1.044497E-2</v>
      </c>
      <c r="W2363">
        <v>5.188073E-2</v>
      </c>
      <c r="X2363">
        <v>0.9985986</v>
      </c>
      <c r="Y2363">
        <v>-0.24977170000000001</v>
      </c>
      <c r="Z2363">
        <v>5.9109689999999999E-2</v>
      </c>
      <c r="AA2363">
        <v>0.96649890000000005</v>
      </c>
      <c r="AB2363">
        <v>24</v>
      </c>
      <c r="AC2363">
        <v>2.0287000000000099</v>
      </c>
      <c r="AD2363">
        <v>-1.1124775344490001</v>
      </c>
      <c r="AE2363">
        <v>-17.913</v>
      </c>
      <c r="AF2363">
        <v>-4.54265724630707</v>
      </c>
      <c r="AG2363">
        <v>-1.1124775344490001</v>
      </c>
      <c r="AH2363">
        <v>17.3751061211745</v>
      </c>
      <c r="AI2363">
        <v>93.544657059782296</v>
      </c>
      <c r="AJ2363">
        <v>104.651808728456</v>
      </c>
      <c r="AK2363">
        <v>17.993544782620098</v>
      </c>
      <c r="AL2363">
        <v>87.026117834348696</v>
      </c>
      <c r="AM2363">
        <v>90.599270693185503</v>
      </c>
      <c r="AN2363">
        <v>0.999999935732794</v>
      </c>
    </row>
    <row r="2364" spans="1:40" x14ac:dyDescent="0.25">
      <c r="A2364" t="str">
        <f>"20190312154556883"</f>
        <v>20190312154556883</v>
      </c>
      <c r="B2364" t="str">
        <f>"1552376756879645"</f>
        <v>1552376756879645</v>
      </c>
      <c r="C2364" t="s">
        <v>40</v>
      </c>
      <c r="D2364">
        <v>4.685651</v>
      </c>
      <c r="E2364">
        <v>0.40552589999999999</v>
      </c>
      <c r="F2364" t="s">
        <v>53</v>
      </c>
      <c r="G2364">
        <v>-489.48289999999997</v>
      </c>
      <c r="H2364" s="1">
        <v>6.4601559999999899E-6</v>
      </c>
      <c r="I2364">
        <v>229.4667</v>
      </c>
      <c r="J2364">
        <v>-491.56139999999999</v>
      </c>
      <c r="K2364">
        <v>1.112455</v>
      </c>
      <c r="L2364">
        <v>247.12100000000001</v>
      </c>
      <c r="M2364">
        <v>-0.13855429999999999</v>
      </c>
      <c r="N2364">
        <v>0</v>
      </c>
      <c r="O2364">
        <v>-0.99025700000000005</v>
      </c>
      <c r="P2364">
        <v>-0.12688859999999999</v>
      </c>
      <c r="Q2364">
        <v>3.8154809999999997E-2</v>
      </c>
      <c r="R2364">
        <v>-0.99118280000000003</v>
      </c>
      <c r="S2364">
        <v>0.35198970000000002</v>
      </c>
      <c r="T2364">
        <v>-0.19144700000000001</v>
      </c>
      <c r="U2364">
        <v>-3.0831909999999998</v>
      </c>
      <c r="V2364">
        <v>-1.197672E-2</v>
      </c>
      <c r="W2364">
        <v>5.1998339999999997E-2</v>
      </c>
      <c r="X2364">
        <v>0.99857530000000005</v>
      </c>
      <c r="Y2364">
        <v>-0.24979670000000001</v>
      </c>
      <c r="Z2364">
        <v>5.9899220000000003E-2</v>
      </c>
      <c r="AA2364">
        <v>0.96644379999999996</v>
      </c>
      <c r="AB2364">
        <v>24</v>
      </c>
      <c r="AC2364">
        <v>2.07850000000002</v>
      </c>
      <c r="AD2364">
        <v>-1.1124485398440001</v>
      </c>
      <c r="AE2364">
        <v>-17.6542999999999</v>
      </c>
      <c r="AF2364">
        <v>-4.4871914735775302</v>
      </c>
      <c r="AG2364">
        <v>-1.1124485398440001</v>
      </c>
      <c r="AH2364">
        <v>17.128892674658399</v>
      </c>
      <c r="AI2364">
        <v>93.594925720089194</v>
      </c>
      <c r="AJ2364">
        <v>104.679688989612</v>
      </c>
      <c r="AK2364">
        <v>17.741797917187402</v>
      </c>
      <c r="AL2364">
        <v>87.019370210500597</v>
      </c>
      <c r="AM2364">
        <v>90.687161606031196</v>
      </c>
      <c r="AN2364">
        <v>0.99999994947740001</v>
      </c>
    </row>
    <row r="2365" spans="1:40" x14ac:dyDescent="0.25">
      <c r="A2365" t="str">
        <f>"20190312154556905"</f>
        <v>20190312154556905</v>
      </c>
      <c r="B2365" t="str">
        <f>"1552376756899165"</f>
        <v>1552376756899165</v>
      </c>
      <c r="C2365" t="s">
        <v>40</v>
      </c>
      <c r="D2365">
        <v>4.8586239999999998</v>
      </c>
      <c r="E2365">
        <v>0.40559849999999997</v>
      </c>
      <c r="F2365" t="s">
        <v>53</v>
      </c>
      <c r="G2365">
        <v>-489.27190000000002</v>
      </c>
      <c r="H2365" s="1">
        <v>6.0056050000000001E-6</v>
      </c>
      <c r="I2365">
        <v>228.1806</v>
      </c>
      <c r="J2365">
        <v>-491.5899</v>
      </c>
      <c r="K2365">
        <v>1.112428</v>
      </c>
      <c r="L2365">
        <v>246.88839999999999</v>
      </c>
      <c r="M2365">
        <v>-0.13511860000000001</v>
      </c>
      <c r="N2365">
        <v>0</v>
      </c>
      <c r="O2365">
        <v>-0.99073180000000005</v>
      </c>
      <c r="P2365">
        <v>-0.1218508</v>
      </c>
      <c r="Q2365">
        <v>3.7767639999999998E-2</v>
      </c>
      <c r="R2365">
        <v>-0.99182950000000003</v>
      </c>
      <c r="S2365">
        <v>0.37246699999999999</v>
      </c>
      <c r="T2365">
        <v>-0.18098040000000001</v>
      </c>
      <c r="U2365">
        <v>-3.0813449999999998</v>
      </c>
      <c r="V2365">
        <v>-1.3584499999999999E-2</v>
      </c>
      <c r="W2365">
        <v>5.1598819999999997E-2</v>
      </c>
      <c r="X2365">
        <v>0.99857549999999995</v>
      </c>
      <c r="Y2365">
        <v>-0.25286069999999999</v>
      </c>
      <c r="Z2365">
        <v>5.6666099999999997E-2</v>
      </c>
      <c r="AA2365">
        <v>0.96584179999999997</v>
      </c>
      <c r="AB2365">
        <v>24</v>
      </c>
      <c r="AC2365">
        <v>2.3179999999999801</v>
      </c>
      <c r="AD2365">
        <v>-1.112421994395</v>
      </c>
      <c r="AE2365">
        <v>-18.707799999999899</v>
      </c>
      <c r="AF2365">
        <v>-4.8080114408874897</v>
      </c>
      <c r="AG2365">
        <v>-1.112421994395</v>
      </c>
      <c r="AH2365">
        <v>18.159731106049499</v>
      </c>
      <c r="AI2365">
        <v>93.388940323585203</v>
      </c>
      <c r="AJ2365">
        <v>104.829498589846</v>
      </c>
      <c r="AK2365">
        <v>18.8183498360866</v>
      </c>
      <c r="AL2365">
        <v>87.042291951208895</v>
      </c>
      <c r="AM2365">
        <v>90.779396758515603</v>
      </c>
      <c r="AN2365">
        <v>1.0000000030329399</v>
      </c>
    </row>
    <row r="2366" spans="1:40" x14ac:dyDescent="0.25">
      <c r="A2366" t="str">
        <f>"20190312154556925"</f>
        <v>20190312154556925</v>
      </c>
      <c r="B2366" t="str">
        <f>"1552376756919661"</f>
        <v>1552376756919661</v>
      </c>
      <c r="C2366" t="s">
        <v>40</v>
      </c>
      <c r="D2366">
        <v>4.5203620000000004</v>
      </c>
      <c r="E2366">
        <v>0.40587669999999998</v>
      </c>
      <c r="F2366" t="s">
        <v>53</v>
      </c>
      <c r="G2366">
        <v>-489.15550000000002</v>
      </c>
      <c r="H2366" s="1">
        <v>5.7751640000000001E-6</v>
      </c>
      <c r="I2366">
        <v>227.5367</v>
      </c>
      <c r="J2366">
        <v>-491.61649999999997</v>
      </c>
      <c r="K2366">
        <v>1.1124050000000001</v>
      </c>
      <c r="L2366">
        <v>246.6652</v>
      </c>
      <c r="M2366">
        <v>-0.1318357</v>
      </c>
      <c r="N2366">
        <v>0</v>
      </c>
      <c r="O2366">
        <v>-0.991174</v>
      </c>
      <c r="P2366">
        <v>-0.1176915</v>
      </c>
      <c r="Q2366">
        <v>3.6868900000000003E-2</v>
      </c>
      <c r="R2366">
        <v>-0.99236570000000002</v>
      </c>
      <c r="S2366">
        <v>0.38732909999999998</v>
      </c>
      <c r="T2366">
        <v>-0.17699709999999999</v>
      </c>
      <c r="U2366">
        <v>-3.0790410000000001</v>
      </c>
      <c r="V2366">
        <v>-1.446034E-2</v>
      </c>
      <c r="W2366">
        <v>5.0692580000000001E-2</v>
      </c>
      <c r="X2366">
        <v>0.99860959999999999</v>
      </c>
      <c r="Y2366">
        <v>-0.25434210000000002</v>
      </c>
      <c r="Z2366">
        <v>5.5474620000000002E-2</v>
      </c>
      <c r="AA2366">
        <v>0.96552190000000004</v>
      </c>
      <c r="AB2366">
        <v>24</v>
      </c>
      <c r="AC2366">
        <v>2.4609999999999501</v>
      </c>
      <c r="AD2366">
        <v>-1.112399224836</v>
      </c>
      <c r="AE2366">
        <v>-19.128499999999999</v>
      </c>
      <c r="AF2366">
        <v>-4.9451267696947401</v>
      </c>
      <c r="AG2366">
        <v>-1.112399224836</v>
      </c>
      <c r="AH2366">
        <v>18.5752304429557</v>
      </c>
      <c r="AI2366">
        <v>93.312041841095507</v>
      </c>
      <c r="AJ2366">
        <v>104.907604773009</v>
      </c>
      <c r="AK2366">
        <v>19.254373446380299</v>
      </c>
      <c r="AL2366">
        <v>87.094283677711999</v>
      </c>
      <c r="AM2366">
        <v>90.829612043279994</v>
      </c>
      <c r="AN2366">
        <v>0.999999986156065</v>
      </c>
    </row>
    <row r="2367" spans="1:40" x14ac:dyDescent="0.25">
      <c r="A2367" t="str">
        <f>"20190312154556948"</f>
        <v>20190312154556948</v>
      </c>
      <c r="B2367" t="str">
        <f>"1552376756939185"</f>
        <v>1552376756939185</v>
      </c>
      <c r="C2367" t="s">
        <v>40</v>
      </c>
      <c r="D2367">
        <v>4.6514980000000001</v>
      </c>
      <c r="E2367">
        <v>0.40596009999999999</v>
      </c>
      <c r="F2367" t="s">
        <v>53</v>
      </c>
      <c r="G2367">
        <v>-489.06470000000002</v>
      </c>
      <c r="H2367" s="1">
        <v>5.56706699999999E-6</v>
      </c>
      <c r="I2367">
        <v>226.94300000000001</v>
      </c>
      <c r="J2367">
        <v>-491.64490000000001</v>
      </c>
      <c r="K2367">
        <v>1.112393</v>
      </c>
      <c r="L2367">
        <v>246.4196</v>
      </c>
      <c r="M2367">
        <v>-0.1282343</v>
      </c>
      <c r="N2367">
        <v>0</v>
      </c>
      <c r="O2367">
        <v>-0.99164640000000004</v>
      </c>
      <c r="P2367">
        <v>-0.1139063</v>
      </c>
      <c r="Q2367">
        <v>3.5931360000000002E-2</v>
      </c>
      <c r="R2367">
        <v>-0.9928418</v>
      </c>
      <c r="S2367">
        <v>0.39810180000000001</v>
      </c>
      <c r="T2367">
        <v>-0.17354149999999999</v>
      </c>
      <c r="U2367">
        <v>-3.0767820000000001</v>
      </c>
      <c r="V2367">
        <v>-1.463865E-2</v>
      </c>
      <c r="W2367">
        <v>4.9750599999999999E-2</v>
      </c>
      <c r="X2367">
        <v>0.99865440000000005</v>
      </c>
      <c r="Y2367">
        <v>-0.2542509</v>
      </c>
      <c r="Z2367">
        <v>5.4463030000000003E-2</v>
      </c>
      <c r="AA2367">
        <v>0.96560360000000001</v>
      </c>
      <c r="AB2367">
        <v>24</v>
      </c>
      <c r="AC2367">
        <v>2.5801999999999898</v>
      </c>
      <c r="AD2367">
        <v>-1.1123874329329999</v>
      </c>
      <c r="AE2367">
        <v>-19.476600000000001</v>
      </c>
      <c r="AF2367">
        <v>-5.0405444293175101</v>
      </c>
      <c r="AG2367">
        <v>-1.1123874329329999</v>
      </c>
      <c r="AH2367">
        <v>18.924199577322401</v>
      </c>
      <c r="AI2367">
        <v>93.250957248172</v>
      </c>
      <c r="AJ2367">
        <v>104.914713850951</v>
      </c>
      <c r="AK2367">
        <v>19.615550555291598</v>
      </c>
      <c r="AL2367">
        <v>87.148323423749204</v>
      </c>
      <c r="AM2367">
        <v>90.839802836943207</v>
      </c>
      <c r="AN2367">
        <v>1.00000001145677</v>
      </c>
    </row>
    <row r="2368" spans="1:40" x14ac:dyDescent="0.25">
      <c r="A2368" t="str">
        <f>"20190312154556971"</f>
        <v>20190312154556971</v>
      </c>
      <c r="B2368" t="str">
        <f>"1552376756958702"</f>
        <v>1552376756958702</v>
      </c>
      <c r="C2368" t="s">
        <v>40</v>
      </c>
      <c r="D2368">
        <v>4.633483</v>
      </c>
      <c r="E2368">
        <v>0.39680929999999998</v>
      </c>
      <c r="F2368" t="s">
        <v>53</v>
      </c>
      <c r="G2368">
        <v>-489.02800000000002</v>
      </c>
      <c r="H2368" s="1">
        <v>5.4974749999999901E-6</v>
      </c>
      <c r="I2368">
        <v>226.7499</v>
      </c>
      <c r="J2368">
        <v>-491.67160000000001</v>
      </c>
      <c r="K2368">
        <v>1.1123879999999999</v>
      </c>
      <c r="L2368">
        <v>246.18109999999999</v>
      </c>
      <c r="M2368">
        <v>-0.12473910000000001</v>
      </c>
      <c r="N2368">
        <v>0</v>
      </c>
      <c r="O2368">
        <v>-0.99209199999999997</v>
      </c>
      <c r="P2368">
        <v>-0.1101834</v>
      </c>
      <c r="Q2368">
        <v>3.5171309999999997E-2</v>
      </c>
      <c r="R2368">
        <v>-0.99328879999999997</v>
      </c>
      <c r="S2368">
        <v>0.40908810000000001</v>
      </c>
      <c r="T2368">
        <v>-0.1738933</v>
      </c>
      <c r="U2368">
        <v>-3.0748600000000001</v>
      </c>
      <c r="V2368">
        <v>-1.486255E-2</v>
      </c>
      <c r="W2368">
        <v>4.8986679999999998E-2</v>
      </c>
      <c r="X2368">
        <v>0.99868880000000004</v>
      </c>
      <c r="Y2368">
        <v>-0.25431039999999999</v>
      </c>
      <c r="Z2368">
        <v>5.463146E-2</v>
      </c>
      <c r="AA2368">
        <v>0.96557839999999995</v>
      </c>
      <c r="AB2368">
        <v>24</v>
      </c>
      <c r="AC2368">
        <v>2.64359999999999</v>
      </c>
      <c r="AD2368">
        <v>-1.112382502525</v>
      </c>
      <c r="AE2368">
        <v>-19.431199999999901</v>
      </c>
      <c r="AF2368">
        <v>-5.0308258063843398</v>
      </c>
      <c r="AG2368">
        <v>-1.112382502525</v>
      </c>
      <c r="AH2368">
        <v>18.888834004658001</v>
      </c>
      <c r="AI2368">
        <v>93.257029308049795</v>
      </c>
      <c r="AJ2368">
        <v>104.913867404527</v>
      </c>
      <c r="AK2368">
        <v>19.578933913306699</v>
      </c>
      <c r="AL2368">
        <v>87.192146093243096</v>
      </c>
      <c r="AM2368">
        <v>90.852616480134301</v>
      </c>
      <c r="AN2368">
        <v>0.999999954727681</v>
      </c>
    </row>
    <row r="2369" spans="1:40" x14ac:dyDescent="0.25">
      <c r="A2369" t="str">
        <f>"20190312154556994"</f>
        <v>20190312154556994</v>
      </c>
      <c r="B2369" t="str">
        <f>"1552376756988958"</f>
        <v>1552376756988958</v>
      </c>
      <c r="C2369" t="s">
        <v>40</v>
      </c>
      <c r="D2369">
        <v>4.5226389999999999</v>
      </c>
      <c r="E2369">
        <v>0.39689190000000002</v>
      </c>
      <c r="F2369" t="s">
        <v>42</v>
      </c>
      <c r="G2369">
        <v>-489.51920000000001</v>
      </c>
      <c r="H2369" s="1">
        <v>-1.4264879999999999E-6</v>
      </c>
      <c r="I2369">
        <v>232.75919999999999</v>
      </c>
      <c r="J2369">
        <v>-491.69779999999997</v>
      </c>
      <c r="K2369">
        <v>1.1123799999999999</v>
      </c>
      <c r="L2369">
        <v>245.94</v>
      </c>
      <c r="M2369">
        <v>-0.1212054</v>
      </c>
      <c r="N2369">
        <v>0</v>
      </c>
      <c r="O2369">
        <v>-0.99253009999999997</v>
      </c>
      <c r="P2369">
        <v>-0.1068008</v>
      </c>
      <c r="Q2369">
        <v>3.5813209999999998E-2</v>
      </c>
      <c r="R2369">
        <v>-0.9936355</v>
      </c>
      <c r="S2369">
        <v>0.49459839999999999</v>
      </c>
      <c r="T2369">
        <v>-0.25561210000000001</v>
      </c>
      <c r="U2369">
        <v>-3.0841829999999999</v>
      </c>
      <c r="V2369">
        <v>-1.4705879999999999E-2</v>
      </c>
      <c r="W2369">
        <v>4.9626290000000003E-2</v>
      </c>
      <c r="X2369">
        <v>0.99865959999999998</v>
      </c>
      <c r="Y2369">
        <v>-0.27634959999999997</v>
      </c>
      <c r="Z2369">
        <v>7.9565250000000004E-2</v>
      </c>
      <c r="AA2369">
        <v>0.95775790000000005</v>
      </c>
      <c r="AB2369">
        <v>24</v>
      </c>
      <c r="AC2369">
        <v>2.1785999999999599</v>
      </c>
      <c r="AD2369">
        <v>-1.1123814264880001</v>
      </c>
      <c r="AE2369">
        <v>-13.1808</v>
      </c>
      <c r="AF2369">
        <v>-3.7343832558385999</v>
      </c>
      <c r="AG2369">
        <v>-1.1123814264880001</v>
      </c>
      <c r="AH2369">
        <v>12.731256180062701</v>
      </c>
      <c r="AI2369">
        <v>94.792563443972597</v>
      </c>
      <c r="AJ2369">
        <v>106.347680264057</v>
      </c>
      <c r="AK2369">
        <v>13.314198986866201</v>
      </c>
      <c r="AL2369">
        <v>87.155454678358794</v>
      </c>
      <c r="AM2369">
        <v>90.843654797729499</v>
      </c>
      <c r="AN2369">
        <v>1.00000001411894</v>
      </c>
    </row>
    <row r="2370" spans="1:40" x14ac:dyDescent="0.25">
      <c r="A2370" t="str">
        <f>"20190312154557015"</f>
        <v>20190312154557015</v>
      </c>
      <c r="B2370" t="str">
        <f>"1552376757009453"</f>
        <v>1552376757009453</v>
      </c>
      <c r="C2370" t="s">
        <v>40</v>
      </c>
      <c r="D2370">
        <v>4.5217499999999999</v>
      </c>
      <c r="E2370">
        <v>0.3968102</v>
      </c>
      <c r="F2370" t="s">
        <v>42</v>
      </c>
      <c r="G2370">
        <v>-489.4178</v>
      </c>
      <c r="H2370" s="1">
        <v>-1.12164E-6</v>
      </c>
      <c r="I2370">
        <v>232.00659999999999</v>
      </c>
      <c r="J2370">
        <v>-491.72160000000002</v>
      </c>
      <c r="K2370">
        <v>1.1123829999999999</v>
      </c>
      <c r="L2370">
        <v>245.7131</v>
      </c>
      <c r="M2370">
        <v>-0.11787300000000001</v>
      </c>
      <c r="N2370">
        <v>0</v>
      </c>
      <c r="O2370">
        <v>-0.99293140000000002</v>
      </c>
      <c r="P2370">
        <v>-0.1042256</v>
      </c>
      <c r="Q2370">
        <v>3.5862619999999998E-2</v>
      </c>
      <c r="R2370">
        <v>-0.99390699999999998</v>
      </c>
      <c r="S2370">
        <v>0.50436400000000003</v>
      </c>
      <c r="T2370">
        <v>-0.24607709999999999</v>
      </c>
      <c r="U2370">
        <v>-3.082306</v>
      </c>
      <c r="V2370">
        <v>-1.394107E-2</v>
      </c>
      <c r="W2370">
        <v>4.9676770000000002E-2</v>
      </c>
      <c r="X2370">
        <v>0.99866809999999995</v>
      </c>
      <c r="Y2370">
        <v>-0.2762097</v>
      </c>
      <c r="Z2370">
        <v>7.6692070000000001E-2</v>
      </c>
      <c r="AA2370">
        <v>0.95803269999999996</v>
      </c>
      <c r="AB2370">
        <v>24</v>
      </c>
      <c r="AC2370">
        <v>2.3038000000000198</v>
      </c>
      <c r="AD2370">
        <v>-1.1123841216399999</v>
      </c>
      <c r="AE2370">
        <v>-13.7065</v>
      </c>
      <c r="AF2370">
        <v>-3.8786736311732701</v>
      </c>
      <c r="AG2370">
        <v>-1.1123841216399999</v>
      </c>
      <c r="AH2370">
        <v>13.254444835831</v>
      </c>
      <c r="AI2370">
        <v>94.605085285219999</v>
      </c>
      <c r="AJ2370">
        <v>106.311160470068</v>
      </c>
      <c r="AK2370">
        <v>13.8550285267596</v>
      </c>
      <c r="AL2370">
        <v>87.1525589305881</v>
      </c>
      <c r="AM2370">
        <v>90.799777817377105</v>
      </c>
      <c r="AN2370">
        <v>1.00000005443399</v>
      </c>
    </row>
    <row r="2371" spans="1:40" x14ac:dyDescent="0.25">
      <c r="A2371" t="str">
        <f>"20190312154557038"</f>
        <v>20190312154557038</v>
      </c>
      <c r="B2371" t="str">
        <f>"1552376757029122"</f>
        <v>1552376757029122</v>
      </c>
      <c r="C2371" t="s">
        <v>40</v>
      </c>
      <c r="D2371">
        <v>4.5423739999999997</v>
      </c>
      <c r="E2371">
        <v>0.3975513</v>
      </c>
      <c r="F2371" t="s">
        <v>42</v>
      </c>
      <c r="G2371">
        <v>-489.43669999999997</v>
      </c>
      <c r="H2371" s="1">
        <v>-1.1163490000000001E-6</v>
      </c>
      <c r="I2371">
        <v>232.00210000000001</v>
      </c>
      <c r="J2371">
        <v>-491.74599999999998</v>
      </c>
      <c r="K2371">
        <v>1.112379</v>
      </c>
      <c r="L2371">
        <v>245.47280000000001</v>
      </c>
      <c r="M2371">
        <v>-0.1143392</v>
      </c>
      <c r="N2371">
        <v>0</v>
      </c>
      <c r="O2371">
        <v>-0.99334460000000002</v>
      </c>
      <c r="P2371">
        <v>-0.1015008</v>
      </c>
      <c r="Q2371">
        <v>3.5994119999999998E-2</v>
      </c>
      <c r="R2371">
        <v>-0.99418439999999997</v>
      </c>
      <c r="S2371">
        <v>0.51348879999999997</v>
      </c>
      <c r="T2371">
        <v>-0.2499856</v>
      </c>
      <c r="U2371">
        <v>-3.0812680000000001</v>
      </c>
      <c r="V2371">
        <v>-1.312381E-2</v>
      </c>
      <c r="W2371">
        <v>4.9809649999999997E-2</v>
      </c>
      <c r="X2371">
        <v>0.99867249999999996</v>
      </c>
      <c r="Y2371">
        <v>-0.27558729999999998</v>
      </c>
      <c r="Z2371">
        <v>7.7966659999999993E-2</v>
      </c>
      <c r="AA2371">
        <v>0.95810899999999999</v>
      </c>
      <c r="AB2371">
        <v>24</v>
      </c>
      <c r="AC2371">
        <v>2.3092999999999999</v>
      </c>
      <c r="AD2371">
        <v>-1.1123801163489999</v>
      </c>
      <c r="AE2371">
        <v>-13.4706999999999</v>
      </c>
      <c r="AF2371">
        <v>-3.8092955907663399</v>
      </c>
      <c r="AG2371">
        <v>-1.1123801163489999</v>
      </c>
      <c r="AH2371">
        <v>13.0319410879031</v>
      </c>
      <c r="AI2371">
        <v>94.683758868312097</v>
      </c>
      <c r="AJ2371">
        <v>106.293881245417</v>
      </c>
      <c r="AK2371">
        <v>13.622760767908201</v>
      </c>
      <c r="AL2371">
        <v>87.144935872400794</v>
      </c>
      <c r="AM2371">
        <v>90.752895112118793</v>
      </c>
      <c r="AN2371">
        <v>0.99999999893914404</v>
      </c>
    </row>
    <row r="2372" spans="1:40" x14ac:dyDescent="0.25">
      <c r="A2372" t="str">
        <f>"20190312154557060"</f>
        <v>20190312154557060</v>
      </c>
      <c r="B2372" t="str">
        <f>"1552376757048639"</f>
        <v>1552376757048639</v>
      </c>
      <c r="C2372" t="s">
        <v>40</v>
      </c>
      <c r="D2372">
        <v>4.5290359999999996</v>
      </c>
      <c r="E2372">
        <v>0.39832600000000001</v>
      </c>
      <c r="F2372" t="s">
        <v>42</v>
      </c>
      <c r="G2372">
        <v>-489.41520000000003</v>
      </c>
      <c r="H2372" s="1">
        <v>-9.3128510000000004E-7</v>
      </c>
      <c r="I2372">
        <v>231.56180000000001</v>
      </c>
      <c r="J2372">
        <v>-491.76859999999999</v>
      </c>
      <c r="K2372">
        <v>1.112376</v>
      </c>
      <c r="L2372">
        <v>245.2422</v>
      </c>
      <c r="M2372">
        <v>-0.110946699999999</v>
      </c>
      <c r="N2372">
        <v>0</v>
      </c>
      <c r="O2372">
        <v>-0.99372930000000004</v>
      </c>
      <c r="P2372">
        <v>-9.8485829999999996E-2</v>
      </c>
      <c r="Q2372">
        <v>3.649823E-2</v>
      </c>
      <c r="R2372">
        <v>-0.99446920000000005</v>
      </c>
      <c r="S2372">
        <v>0.51593020000000001</v>
      </c>
      <c r="T2372">
        <v>-0.24622269999999999</v>
      </c>
      <c r="U2372">
        <v>-3.0791629999999999</v>
      </c>
      <c r="V2372">
        <v>-1.2741580000000001E-2</v>
      </c>
      <c r="W2372">
        <v>5.0313030000000002E-2</v>
      </c>
      <c r="X2372">
        <v>0.99865219999999999</v>
      </c>
      <c r="Y2372">
        <v>-0.27316410000000002</v>
      </c>
      <c r="Z2372">
        <v>7.6920260000000004E-2</v>
      </c>
      <c r="AA2372">
        <v>0.95888720000000005</v>
      </c>
      <c r="AB2372">
        <v>24</v>
      </c>
      <c r="AC2372">
        <v>2.3533999999999602</v>
      </c>
      <c r="AD2372">
        <v>-1.1123769312851</v>
      </c>
      <c r="AE2372">
        <v>-13.680399999999899</v>
      </c>
      <c r="AF2372">
        <v>-3.8322010779503999</v>
      </c>
      <c r="AG2372">
        <v>-1.1123769312851</v>
      </c>
      <c r="AH2372">
        <v>13.2497147535314</v>
      </c>
      <c r="AI2372">
        <v>94.610881183921407</v>
      </c>
      <c r="AJ2372">
        <v>106.13139981281201</v>
      </c>
      <c r="AK2372">
        <v>13.837560788991899</v>
      </c>
      <c r="AL2372">
        <v>87.116058067197898</v>
      </c>
      <c r="AM2372">
        <v>90.730984369476403</v>
      </c>
      <c r="AN2372">
        <v>0.99999998270675805</v>
      </c>
    </row>
    <row r="2373" spans="1:40" x14ac:dyDescent="0.25">
      <c r="A2373" t="str">
        <f>"20190312154557083"</f>
        <v>20190312154557083</v>
      </c>
      <c r="B2373" t="str">
        <f>"1552376757078895"</f>
        <v>1552376757078895</v>
      </c>
      <c r="C2373" t="s">
        <v>40</v>
      </c>
      <c r="D2373">
        <v>4.5104480000000002</v>
      </c>
      <c r="E2373">
        <v>0.39911960000000002</v>
      </c>
      <c r="F2373" t="s">
        <v>42</v>
      </c>
      <c r="G2373">
        <v>-489.40660000000003</v>
      </c>
      <c r="H2373" s="1">
        <v>-7.8809519999999902E-7</v>
      </c>
      <c r="I2373">
        <v>231.22450000000001</v>
      </c>
      <c r="J2373">
        <v>-491.79160000000002</v>
      </c>
      <c r="K2373">
        <v>1.1123700000000001</v>
      </c>
      <c r="L2373">
        <v>244.9991</v>
      </c>
      <c r="M2373">
        <v>-0.107373</v>
      </c>
      <c r="N2373">
        <v>0</v>
      </c>
      <c r="O2373">
        <v>-0.99412180000000006</v>
      </c>
      <c r="P2373">
        <v>-9.4861890000000004E-2</v>
      </c>
      <c r="Q2373">
        <v>3.7635710000000003E-2</v>
      </c>
      <c r="R2373">
        <v>-0.99477890000000002</v>
      </c>
      <c r="S2373">
        <v>0.51849369999999995</v>
      </c>
      <c r="T2373">
        <v>-0.24417659999999999</v>
      </c>
      <c r="U2373">
        <v>-3.0770110000000002</v>
      </c>
      <c r="V2373">
        <v>-1.2790360000000001E-2</v>
      </c>
      <c r="W2373">
        <v>5.1446430000000001E-2</v>
      </c>
      <c r="X2373">
        <v>0.99859390000000003</v>
      </c>
      <c r="Y2373">
        <v>-0.27059820000000001</v>
      </c>
      <c r="Z2373">
        <v>7.6407000000000003E-2</v>
      </c>
      <c r="AA2373">
        <v>0.95965549999999999</v>
      </c>
      <c r="AB2373">
        <v>24</v>
      </c>
      <c r="AC2373">
        <v>2.38499999999999</v>
      </c>
      <c r="AD2373">
        <v>-1.1123707880951901</v>
      </c>
      <c r="AE2373">
        <v>-13.7745999999999</v>
      </c>
      <c r="AF2373">
        <v>-3.8261463896587902</v>
      </c>
      <c r="AG2373">
        <v>-1.1123707880951901</v>
      </c>
      <c r="AH2373">
        <v>13.3542878168859</v>
      </c>
      <c r="AI2373">
        <v>94.578196640098994</v>
      </c>
      <c r="AJ2373">
        <v>105.98757449054</v>
      </c>
      <c r="AK2373">
        <v>13.936059990597499</v>
      </c>
      <c r="AL2373">
        <v>87.0510350140013</v>
      </c>
      <c r="AM2373">
        <v>90.733825407456294</v>
      </c>
      <c r="AN2373">
        <v>1.00000005279294</v>
      </c>
    </row>
    <row r="2374" spans="1:40" x14ac:dyDescent="0.25">
      <c r="A2374" t="str">
        <f>"20190312154557107"</f>
        <v>20190312154557107</v>
      </c>
      <c r="B2374" t="str">
        <f>"1552376757099391"</f>
        <v>1552376757099391</v>
      </c>
      <c r="C2374" t="s">
        <v>40</v>
      </c>
      <c r="D2374">
        <v>4.5063029999999999</v>
      </c>
      <c r="E2374">
        <v>0.39961570000000002</v>
      </c>
      <c r="F2374" t="s">
        <v>42</v>
      </c>
      <c r="G2374">
        <v>-489.30079999999998</v>
      </c>
      <c r="H2374" s="1">
        <v>-4.3741429999999998E-7</v>
      </c>
      <c r="I2374">
        <v>230.36330000000001</v>
      </c>
      <c r="J2374">
        <v>-491.81360000000001</v>
      </c>
      <c r="K2374">
        <v>1.112355</v>
      </c>
      <c r="L2374">
        <v>244.7567</v>
      </c>
      <c r="M2374">
        <v>-0.1038186</v>
      </c>
      <c r="N2374">
        <v>0</v>
      </c>
      <c r="O2374">
        <v>-0.99449929999999997</v>
      </c>
      <c r="P2374">
        <v>-9.029073E-2</v>
      </c>
      <c r="Q2374">
        <v>3.8093019999999998E-2</v>
      </c>
      <c r="R2374">
        <v>-0.99518669999999998</v>
      </c>
      <c r="S2374">
        <v>0.52325440000000001</v>
      </c>
      <c r="T2374">
        <v>-0.23367309999999999</v>
      </c>
      <c r="U2374">
        <v>-3.0745089999999999</v>
      </c>
      <c r="V2374">
        <v>-1.380808E-2</v>
      </c>
      <c r="W2374">
        <v>5.1895009999999998E-2</v>
      </c>
      <c r="X2374">
        <v>0.99855709999999998</v>
      </c>
      <c r="Y2374">
        <v>-0.26877030000000002</v>
      </c>
      <c r="Z2374">
        <v>7.3250350000000006E-2</v>
      </c>
      <c r="AA2374">
        <v>0.96041489999999996</v>
      </c>
      <c r="AB2374">
        <v>24</v>
      </c>
      <c r="AC2374">
        <v>2.5128000000000199</v>
      </c>
      <c r="AD2374">
        <v>-1.1123554374143001</v>
      </c>
      <c r="AE2374">
        <v>-14.3933999999999</v>
      </c>
      <c r="AF2374">
        <v>-3.9706520286222999</v>
      </c>
      <c r="AG2374">
        <v>-1.1123554374143001</v>
      </c>
      <c r="AH2374">
        <v>13.973715683449599</v>
      </c>
      <c r="AI2374">
        <v>94.378714556212898</v>
      </c>
      <c r="AJ2374">
        <v>105.862577634733</v>
      </c>
      <c r="AK2374">
        <v>14.569424908122899</v>
      </c>
      <c r="AL2374">
        <v>87.025298793489497</v>
      </c>
      <c r="AM2374">
        <v>90.7922374062085</v>
      </c>
      <c r="AN2374">
        <v>1.00000001854829</v>
      </c>
    </row>
    <row r="2375" spans="1:40" x14ac:dyDescent="0.25">
      <c r="A2375" t="str">
        <f>"20190312154557127"</f>
        <v>20190312154557127</v>
      </c>
      <c r="B2375" t="str">
        <f>"1552376757118912"</f>
        <v>1552376757118912</v>
      </c>
      <c r="C2375" t="s">
        <v>40</v>
      </c>
      <c r="D2375">
        <v>4.5462829999999999</v>
      </c>
      <c r="E2375">
        <v>0.40001150000000002</v>
      </c>
      <c r="F2375" t="s">
        <v>42</v>
      </c>
      <c r="G2375">
        <v>-489.26249999999999</v>
      </c>
      <c r="H2375" s="1">
        <v>-3.3603810000000003E-7</v>
      </c>
      <c r="I2375">
        <v>230.05889999999999</v>
      </c>
      <c r="J2375">
        <v>-491.83359999999999</v>
      </c>
      <c r="K2375">
        <v>1.1123430000000001</v>
      </c>
      <c r="L2375">
        <v>244.52809999999999</v>
      </c>
      <c r="M2375">
        <v>-0.1004753</v>
      </c>
      <c r="N2375">
        <v>0</v>
      </c>
      <c r="O2375">
        <v>-0.99484269999999997</v>
      </c>
      <c r="P2375">
        <v>-8.5934280000000002E-2</v>
      </c>
      <c r="Q2375">
        <v>3.746389E-2</v>
      </c>
      <c r="R2375">
        <v>-0.99559620000000004</v>
      </c>
      <c r="S2375">
        <v>0.5331726</v>
      </c>
      <c r="T2375">
        <v>-0.23247680000000001</v>
      </c>
      <c r="U2375">
        <v>-3.071777</v>
      </c>
      <c r="V2375">
        <v>-1.4820379999999999E-2</v>
      </c>
      <c r="W2375">
        <v>5.1257860000000002E-2</v>
      </c>
      <c r="X2375">
        <v>0.99857549999999995</v>
      </c>
      <c r="Y2375">
        <v>-0.26869029999999999</v>
      </c>
      <c r="Z2375">
        <v>7.2960810000000001E-2</v>
      </c>
      <c r="AA2375">
        <v>0.96045939999999996</v>
      </c>
      <c r="AB2375">
        <v>24</v>
      </c>
      <c r="AC2375">
        <v>2.5710999999999999</v>
      </c>
      <c r="AD2375">
        <v>-1.1123433360381001</v>
      </c>
      <c r="AE2375">
        <v>-14.469200000000001</v>
      </c>
      <c r="AF2375">
        <v>-3.9891694677380398</v>
      </c>
      <c r="AG2375">
        <v>-1.1123433360381001</v>
      </c>
      <c r="AH2375">
        <v>14.0570736699732</v>
      </c>
      <c r="AI2375">
        <v>94.353220831974198</v>
      </c>
      <c r="AJ2375">
        <v>105.843081788549</v>
      </c>
      <c r="AK2375">
        <v>14.6544225714498</v>
      </c>
      <c r="AL2375">
        <v>87.061853457625503</v>
      </c>
      <c r="AM2375">
        <v>90.850294129716303</v>
      </c>
      <c r="AN2375">
        <v>1.00000002053768</v>
      </c>
    </row>
    <row r="2376" spans="1:40" x14ac:dyDescent="0.25">
      <c r="A2376" t="str">
        <f>"20190312154557150"</f>
        <v>20190312154557150</v>
      </c>
      <c r="B2376" t="str">
        <f>"1552376757139407"</f>
        <v>1552376757139407</v>
      </c>
      <c r="C2376" t="s">
        <v>40</v>
      </c>
      <c r="D2376">
        <v>4.5127649999999999</v>
      </c>
      <c r="E2376">
        <v>0.40054109999999998</v>
      </c>
      <c r="F2376" t="s">
        <v>42</v>
      </c>
      <c r="G2376">
        <v>-489.24950000000001</v>
      </c>
      <c r="H2376" s="1">
        <v>-2.9894639999999998E-7</v>
      </c>
      <c r="I2376">
        <v>229.93979999999999</v>
      </c>
      <c r="J2376">
        <v>-491.85300000000001</v>
      </c>
      <c r="K2376">
        <v>1.11232999999999</v>
      </c>
      <c r="L2376">
        <v>244.29570000000001</v>
      </c>
      <c r="M2376">
        <v>-9.7087240000000005E-2</v>
      </c>
      <c r="N2376">
        <v>0</v>
      </c>
      <c r="O2376">
        <v>-0.99517909999999998</v>
      </c>
      <c r="P2376">
        <v>-8.1722219999999998E-2</v>
      </c>
      <c r="Q2376">
        <v>3.79303E-2</v>
      </c>
      <c r="R2376">
        <v>-0.99593319999999996</v>
      </c>
      <c r="S2376">
        <v>0.54360959999999903</v>
      </c>
      <c r="T2376">
        <v>-0.23400650000000001</v>
      </c>
      <c r="U2376">
        <v>-3.0689850000000001</v>
      </c>
      <c r="V2376">
        <v>-1.5643279999999999E-2</v>
      </c>
      <c r="W2376">
        <v>5.1716440000000002E-2</v>
      </c>
      <c r="X2376">
        <v>0.99853930000000002</v>
      </c>
      <c r="Y2376">
        <v>-0.26872010000000002</v>
      </c>
      <c r="Z2376">
        <v>7.3520180000000004E-2</v>
      </c>
      <c r="AA2376">
        <v>0.96040840000000005</v>
      </c>
      <c r="AB2376">
        <v>24</v>
      </c>
      <c r="AC2376">
        <v>2.6034999999999902</v>
      </c>
      <c r="AD2376">
        <v>-1.1123302989463999</v>
      </c>
      <c r="AE2376">
        <v>-14.3559</v>
      </c>
      <c r="AF2376">
        <v>-3.9620782860165198</v>
      </c>
      <c r="AG2376">
        <v>-1.1123302989463999</v>
      </c>
      <c r="AH2376">
        <v>13.9541701252016</v>
      </c>
      <c r="AI2376">
        <v>94.384973638465098</v>
      </c>
      <c r="AJ2376">
        <v>105.85110387713701</v>
      </c>
      <c r="AK2376">
        <v>14.5483403493851</v>
      </c>
      <c r="AL2376">
        <v>87.035543856321794</v>
      </c>
      <c r="AM2376">
        <v>90.897531631579795</v>
      </c>
      <c r="AN2376">
        <v>1.00000001800996</v>
      </c>
    </row>
    <row r="2377" spans="1:40" x14ac:dyDescent="0.25">
      <c r="A2377" t="str">
        <f>"20190312154557171"</f>
        <v>20190312154557171</v>
      </c>
      <c r="B2377" t="str">
        <f>"1552376757158927"</f>
        <v>1552376757158927</v>
      </c>
      <c r="C2377" t="s">
        <v>40</v>
      </c>
      <c r="D2377">
        <v>4.534618</v>
      </c>
      <c r="E2377">
        <v>0.40095530000000001</v>
      </c>
      <c r="F2377" t="s">
        <v>53</v>
      </c>
      <c r="G2377">
        <v>-489.2</v>
      </c>
      <c r="H2377" s="1">
        <v>6.4179900000000004E-6</v>
      </c>
      <c r="I2377">
        <v>229.5737</v>
      </c>
      <c r="J2377">
        <v>-491.8716</v>
      </c>
      <c r="K2377">
        <v>1.1123149999999999</v>
      </c>
      <c r="L2377">
        <v>244.0659</v>
      </c>
      <c r="M2377">
        <v>-9.3747559999999994E-2</v>
      </c>
      <c r="N2377">
        <v>0</v>
      </c>
      <c r="O2377">
        <v>-0.99549929999999998</v>
      </c>
      <c r="P2377">
        <v>-7.8002600000000005E-2</v>
      </c>
      <c r="Q2377">
        <v>3.787455E-2</v>
      </c>
      <c r="R2377">
        <v>-0.99623360000000005</v>
      </c>
      <c r="S2377">
        <v>0.55261229999999995</v>
      </c>
      <c r="T2377">
        <v>-0.23168559999999999</v>
      </c>
      <c r="U2377">
        <v>-3.066452</v>
      </c>
      <c r="V2377">
        <v>-1.6020429999999999E-2</v>
      </c>
      <c r="W2377">
        <v>5.1655489999999998E-2</v>
      </c>
      <c r="X2377">
        <v>0.99853650000000005</v>
      </c>
      <c r="Y2377">
        <v>-0.26836599999999999</v>
      </c>
      <c r="Z2377">
        <v>7.2875099999999998E-2</v>
      </c>
      <c r="AA2377">
        <v>0.96055659999999998</v>
      </c>
      <c r="AB2377">
        <v>24</v>
      </c>
      <c r="AC2377">
        <v>2.67160000000001</v>
      </c>
      <c r="AD2377">
        <v>-1.11230858201</v>
      </c>
      <c r="AE2377">
        <v>-14.492199999999899</v>
      </c>
      <c r="AF2377">
        <v>-3.9958059478585199</v>
      </c>
      <c r="AG2377">
        <v>-1.11230858201</v>
      </c>
      <c r="AH2377">
        <v>14.0975660499894</v>
      </c>
      <c r="AI2377">
        <v>94.341020728183395</v>
      </c>
      <c r="AJ2377">
        <v>105.824820428398</v>
      </c>
      <c r="AK2377">
        <v>14.695069380182201</v>
      </c>
      <c r="AL2377">
        <v>87.039040781508902</v>
      </c>
      <c r="AM2377">
        <v>90.919169483446694</v>
      </c>
      <c r="AN2377">
        <v>1.00000004282838</v>
      </c>
    </row>
    <row r="2378" spans="1:40" x14ac:dyDescent="0.25">
      <c r="A2378" t="str">
        <f>"20190312154557194"</f>
        <v>20190312154557194</v>
      </c>
      <c r="B2378" t="str">
        <f>"1552376757189183"</f>
        <v>1552376757189183</v>
      </c>
      <c r="C2378" t="s">
        <v>40</v>
      </c>
      <c r="D2378">
        <v>4.5450629999999999</v>
      </c>
      <c r="E2378">
        <v>0.40152640000000001</v>
      </c>
      <c r="F2378" t="s">
        <v>53</v>
      </c>
      <c r="G2378">
        <v>-489.18740000000003</v>
      </c>
      <c r="H2378" s="1">
        <v>6.3580179999999899E-6</v>
      </c>
      <c r="I2378">
        <v>229.39080000000001</v>
      </c>
      <c r="J2378">
        <v>-491.88959999999997</v>
      </c>
      <c r="K2378">
        <v>1.1123019999999999</v>
      </c>
      <c r="L2378">
        <v>243.8329</v>
      </c>
      <c r="M2378">
        <v>-9.0372339999999995E-2</v>
      </c>
      <c r="N2378">
        <v>0</v>
      </c>
      <c r="O2378">
        <v>-0.99581149999999996</v>
      </c>
      <c r="P2378">
        <v>-7.489846E-2</v>
      </c>
      <c r="Q2378">
        <v>3.7028480000000003E-2</v>
      </c>
      <c r="R2378">
        <v>-0.99650340000000004</v>
      </c>
      <c r="S2378">
        <v>0.56042479999999995</v>
      </c>
      <c r="T2378">
        <v>-0.23224339999999999</v>
      </c>
      <c r="U2378">
        <v>-3.0640719999999999</v>
      </c>
      <c r="V2378">
        <v>-1.5743050000000001E-2</v>
      </c>
      <c r="W2378">
        <v>5.0808779999999998E-2</v>
      </c>
      <c r="X2378">
        <v>0.99858429999999998</v>
      </c>
      <c r="Y2378">
        <v>-0.26759889999999997</v>
      </c>
      <c r="Z2378">
        <v>7.3131879999999996E-2</v>
      </c>
      <c r="AA2378">
        <v>0.96075109999999997</v>
      </c>
      <c r="AB2378">
        <v>24</v>
      </c>
      <c r="AC2378">
        <v>2.70219999999994</v>
      </c>
      <c r="AD2378">
        <v>-1.112295641982</v>
      </c>
      <c r="AE2378">
        <v>-14.4420999999999</v>
      </c>
      <c r="AF2378">
        <v>-3.97365915050873</v>
      </c>
      <c r="AG2378">
        <v>-1.112295641982</v>
      </c>
      <c r="AH2378">
        <v>14.058196082712101</v>
      </c>
      <c r="AI2378">
        <v>94.353968899944505</v>
      </c>
      <c r="AJ2378">
        <v>105.783360072568</v>
      </c>
      <c r="AK2378">
        <v>14.651281368521101</v>
      </c>
      <c r="AL2378">
        <v>87.087617328596295</v>
      </c>
      <c r="AM2378">
        <v>90.903214282654503</v>
      </c>
      <c r="AN2378">
        <v>0.99999998997744</v>
      </c>
    </row>
    <row r="2379" spans="1:40" x14ac:dyDescent="0.25">
      <c r="A2379" t="str">
        <f>"20190312154557216"</f>
        <v>20190312154557216</v>
      </c>
      <c r="B2379" t="str">
        <f>"1552376757208724"</f>
        <v>1552376757208724</v>
      </c>
      <c r="C2379" t="s">
        <v>40</v>
      </c>
      <c r="D2379">
        <v>4.5474519999999998</v>
      </c>
      <c r="E2379">
        <v>0.40199889999999999</v>
      </c>
      <c r="F2379" t="s">
        <v>53</v>
      </c>
      <c r="G2379">
        <v>-489.19310000000002</v>
      </c>
      <c r="H2379" s="1">
        <v>6.3094799999999998E-6</v>
      </c>
      <c r="I2379">
        <v>229.22919999999999</v>
      </c>
      <c r="J2379">
        <v>-491.90699999999998</v>
      </c>
      <c r="K2379">
        <v>1.1122920000000001</v>
      </c>
      <c r="L2379">
        <v>243.59649999999999</v>
      </c>
      <c r="M2379">
        <v>-8.6954359999999994E-2</v>
      </c>
      <c r="N2379">
        <v>0</v>
      </c>
      <c r="O2379">
        <v>-0.9961158</v>
      </c>
      <c r="P2379">
        <v>-7.2536980000000001E-2</v>
      </c>
      <c r="Q2379">
        <v>3.6983509999999997E-2</v>
      </c>
      <c r="R2379">
        <v>-0.99668000000000001</v>
      </c>
      <c r="S2379">
        <v>0.56530760000000002</v>
      </c>
      <c r="T2379">
        <v>-0.23319239999999999</v>
      </c>
      <c r="U2379">
        <v>-3.061661</v>
      </c>
      <c r="V2379">
        <v>-1.468028E-2</v>
      </c>
      <c r="W2379">
        <v>5.0767350000000003E-2</v>
      </c>
      <c r="X2379">
        <v>0.99860260000000001</v>
      </c>
      <c r="Y2379">
        <v>-0.26590340000000001</v>
      </c>
      <c r="Z2379">
        <v>7.3527309999999999E-2</v>
      </c>
      <c r="AA2379">
        <v>0.96119149999999998</v>
      </c>
      <c r="AB2379">
        <v>24</v>
      </c>
      <c r="AC2379">
        <v>2.7138999999999598</v>
      </c>
      <c r="AD2379">
        <v>-1.11228569052</v>
      </c>
      <c r="AE2379">
        <v>-14.3673</v>
      </c>
      <c r="AF2379">
        <v>-3.9302932966259001</v>
      </c>
      <c r="AG2379">
        <v>-1.11228569052</v>
      </c>
      <c r="AH2379">
        <v>13.995867692344399</v>
      </c>
      <c r="AI2379">
        <v>94.375336954376493</v>
      </c>
      <c r="AJ2379">
        <v>105.68570439219801</v>
      </c>
      <c r="AK2379">
        <v>14.579735845221901</v>
      </c>
      <c r="AL2379">
        <v>87.089994170689707</v>
      </c>
      <c r="AM2379">
        <v>90.842234439812898</v>
      </c>
      <c r="AN2379">
        <v>0.99999999358683</v>
      </c>
    </row>
    <row r="2380" spans="1:40" x14ac:dyDescent="0.25">
      <c r="A2380" t="str">
        <f>"20190312154557237"</f>
        <v>20190312154557237</v>
      </c>
      <c r="B2380" t="str">
        <f>"1552376757229203"</f>
        <v>1552376757229203</v>
      </c>
      <c r="C2380" t="s">
        <v>40</v>
      </c>
      <c r="D2380">
        <v>4.5017370000000003</v>
      </c>
      <c r="E2380">
        <v>0.40243279999999998</v>
      </c>
      <c r="F2380" t="s">
        <v>53</v>
      </c>
      <c r="G2380">
        <v>-489.21350000000001</v>
      </c>
      <c r="H2380" s="1">
        <v>6.2718120000000002E-6</v>
      </c>
      <c r="I2380">
        <v>229.09020000000001</v>
      </c>
      <c r="J2380">
        <v>-491.92309999999998</v>
      </c>
      <c r="K2380">
        <v>1.1122840000000001</v>
      </c>
      <c r="L2380">
        <v>243.36869999999999</v>
      </c>
      <c r="M2380">
        <v>-8.3665809999999993E-2</v>
      </c>
      <c r="N2380">
        <v>0</v>
      </c>
      <c r="O2380">
        <v>-0.99639739999999999</v>
      </c>
      <c r="P2380">
        <v>-6.9951239999999998E-2</v>
      </c>
      <c r="Q2380">
        <v>3.701902E-2</v>
      </c>
      <c r="R2380">
        <v>-0.99686339999999996</v>
      </c>
      <c r="S2380">
        <v>0.56820680000000001</v>
      </c>
      <c r="T2380">
        <v>-0.2346348</v>
      </c>
      <c r="U2380">
        <v>-3.0600740000000002</v>
      </c>
      <c r="V2380">
        <v>-1.397266E-2</v>
      </c>
      <c r="W2380">
        <v>5.0803550000000003E-2</v>
      </c>
      <c r="X2380">
        <v>0.99861089999999997</v>
      </c>
      <c r="Y2380">
        <v>-0.26368350000000002</v>
      </c>
      <c r="Z2380">
        <v>7.4065919999999993E-2</v>
      </c>
      <c r="AA2380">
        <v>0.96176150000000005</v>
      </c>
      <c r="AB2380">
        <v>24</v>
      </c>
      <c r="AC2380">
        <v>2.70959999999996</v>
      </c>
      <c r="AD2380">
        <v>-1.1122777281880001</v>
      </c>
      <c r="AE2380">
        <v>-14.2784999999999</v>
      </c>
      <c r="AF2380">
        <v>-3.8721547525110198</v>
      </c>
      <c r="AG2380">
        <v>-1.1122777281880001</v>
      </c>
      <c r="AH2380">
        <v>13.9201709468381</v>
      </c>
      <c r="AI2380">
        <v>94.402015839931593</v>
      </c>
      <c r="AJ2380">
        <v>105.544898422141</v>
      </c>
      <c r="AK2380">
        <v>14.491442418241601</v>
      </c>
      <c r="AL2380">
        <v>87.087917351986206</v>
      </c>
      <c r="AM2380">
        <v>90.801635759783295</v>
      </c>
      <c r="AN2380">
        <v>0.99999998275944302</v>
      </c>
    </row>
    <row r="2381" spans="1:40" x14ac:dyDescent="0.25">
      <c r="A2381" t="str">
        <f>"20190312154557261"</f>
        <v>20190312154557261</v>
      </c>
      <c r="B2381" t="str">
        <f>"1552376757248720"</f>
        <v>1552376757248720</v>
      </c>
      <c r="C2381" t="s">
        <v>40</v>
      </c>
      <c r="D2381">
        <v>4.5402670000000001</v>
      </c>
      <c r="E2381">
        <v>0.40285680000000001</v>
      </c>
      <c r="F2381" t="s">
        <v>53</v>
      </c>
      <c r="G2381">
        <v>-489.2099</v>
      </c>
      <c r="H2381" s="1">
        <v>6.2074899999999996E-6</v>
      </c>
      <c r="I2381">
        <v>228.88560000000001</v>
      </c>
      <c r="J2381">
        <v>-491.9393</v>
      </c>
      <c r="K2381">
        <v>1.112282</v>
      </c>
      <c r="L2381">
        <v>243.12780000000001</v>
      </c>
      <c r="M2381">
        <v>-8.0189350000000006E-2</v>
      </c>
      <c r="N2381">
        <v>0</v>
      </c>
      <c r="O2381">
        <v>-0.99668319999999999</v>
      </c>
      <c r="P2381">
        <v>-6.6443119999999994E-2</v>
      </c>
      <c r="Q2381">
        <v>3.6797219999999999E-2</v>
      </c>
      <c r="R2381">
        <v>-0.99711159999999999</v>
      </c>
      <c r="S2381">
        <v>0.57293700000000003</v>
      </c>
      <c r="T2381">
        <v>-0.234875</v>
      </c>
      <c r="U2381">
        <v>-3.0583339999999999</v>
      </c>
      <c r="V2381">
        <v>-1.4001390000000001E-2</v>
      </c>
      <c r="W2381">
        <v>5.0579239999999998E-2</v>
      </c>
      <c r="X2381">
        <v>0.99862189999999995</v>
      </c>
      <c r="Y2381">
        <v>-0.26185229999999998</v>
      </c>
      <c r="Z2381">
        <v>7.4223739999999996E-2</v>
      </c>
      <c r="AA2381">
        <v>0.96224960000000004</v>
      </c>
      <c r="AB2381">
        <v>24</v>
      </c>
      <c r="AC2381">
        <v>2.7293999999999898</v>
      </c>
      <c r="AD2381">
        <v>-1.11227579251</v>
      </c>
      <c r="AE2381">
        <v>-14.242199999999899</v>
      </c>
      <c r="AF2381">
        <v>-3.8401989551053299</v>
      </c>
      <c r="AG2381">
        <v>-1.11227579251</v>
      </c>
      <c r="AH2381">
        <v>13.8956866423639</v>
      </c>
      <c r="AI2381">
        <v>94.411780909609504</v>
      </c>
      <c r="AJ2381">
        <v>105.44861991512001</v>
      </c>
      <c r="AK2381">
        <v>14.4594049917749</v>
      </c>
      <c r="AL2381">
        <v>87.100785959358305</v>
      </c>
      <c r="AM2381">
        <v>90.803274986839298</v>
      </c>
      <c r="AN2381">
        <v>0.99999999880025903</v>
      </c>
    </row>
    <row r="2382" spans="1:40" x14ac:dyDescent="0.25">
      <c r="A2382" t="str">
        <f>"20190312154557274"</f>
        <v>20190312154557274</v>
      </c>
      <c r="B2382" t="str">
        <f>"1552376757269215"</f>
        <v>1552376757269215</v>
      </c>
      <c r="C2382" t="s">
        <v>40</v>
      </c>
      <c r="D2382">
        <v>4.5312400000000004</v>
      </c>
      <c r="E2382">
        <v>0.40333350000000001</v>
      </c>
      <c r="F2382" t="s">
        <v>53</v>
      </c>
      <c r="G2382">
        <v>-489.22300000000001</v>
      </c>
      <c r="H2382" s="1">
        <v>6.1865540000000002E-6</v>
      </c>
      <c r="I2382">
        <v>228.80680000000001</v>
      </c>
      <c r="J2382">
        <v>-491.94760000000002</v>
      </c>
      <c r="K2382">
        <v>1.1122780000000001</v>
      </c>
      <c r="L2382">
        <v>242.9984</v>
      </c>
      <c r="M2382">
        <v>-7.8321829999999995E-2</v>
      </c>
      <c r="N2382">
        <v>0</v>
      </c>
      <c r="O2382">
        <v>-0.99683180000000005</v>
      </c>
      <c r="P2382">
        <v>-6.4276219999999995E-2</v>
      </c>
      <c r="Q2382">
        <v>3.6758409999999998E-2</v>
      </c>
      <c r="R2382">
        <v>-0.99725509999999995</v>
      </c>
      <c r="S2382">
        <v>0.57965089999999997</v>
      </c>
      <c r="T2382">
        <v>-0.23735629999999999</v>
      </c>
      <c r="U2382">
        <v>-3.0560610000000001</v>
      </c>
      <c r="V2382">
        <v>-1.4300459999999999E-2</v>
      </c>
      <c r="W2382">
        <v>5.0536860000000003E-2</v>
      </c>
      <c r="X2382">
        <v>0.99861979999999995</v>
      </c>
      <c r="Y2382">
        <v>-0.26220369999999998</v>
      </c>
      <c r="Z2382">
        <v>7.5056230000000002E-2</v>
      </c>
      <c r="AA2382">
        <v>0.96208930000000004</v>
      </c>
      <c r="AB2382">
        <v>24</v>
      </c>
      <c r="AC2382">
        <v>2.7246000000000001</v>
      </c>
      <c r="AD2382">
        <v>-1.1122718134459999</v>
      </c>
      <c r="AE2382">
        <v>-14.1915999999999</v>
      </c>
      <c r="AF2382">
        <v>-3.8053037116877899</v>
      </c>
      <c r="AG2382">
        <v>-1.1122718134459999</v>
      </c>
      <c r="AH2382">
        <v>13.852513766149601</v>
      </c>
      <c r="AI2382">
        <v>94.427332077775702</v>
      </c>
      <c r="AJ2382">
        <v>105.360339713644</v>
      </c>
      <c r="AK2382">
        <v>14.408664843299499</v>
      </c>
      <c r="AL2382">
        <v>87.103217241693002</v>
      </c>
      <c r="AM2382">
        <v>90.820432362605104</v>
      </c>
      <c r="AN2382">
        <v>0.99999999116345495</v>
      </c>
    </row>
    <row r="2383" spans="1:40" x14ac:dyDescent="0.25">
      <c r="A2383" t="str">
        <f>"20190312154557295"</f>
        <v>20190312154557295</v>
      </c>
      <c r="B2383" t="str">
        <f>"1552376757288736"</f>
        <v>1552376757288736</v>
      </c>
      <c r="C2383" t="s">
        <v>40</v>
      </c>
      <c r="D2383">
        <v>4.5055180000000004</v>
      </c>
      <c r="E2383">
        <v>0.40368359999999998</v>
      </c>
      <c r="F2383" t="s">
        <v>53</v>
      </c>
      <c r="G2383">
        <v>-489.21339999999998</v>
      </c>
      <c r="H2383" s="1">
        <v>6.1408359999999999E-6</v>
      </c>
      <c r="I2383">
        <v>228.66739999999999</v>
      </c>
      <c r="J2383">
        <v>-491.96159999999998</v>
      </c>
      <c r="K2383">
        <v>1.1122780000000001</v>
      </c>
      <c r="L2383">
        <v>242.77080000000001</v>
      </c>
      <c r="M2383">
        <v>-7.5033539999999996E-2</v>
      </c>
      <c r="N2383">
        <v>0</v>
      </c>
      <c r="O2383">
        <v>-0.99708470000000005</v>
      </c>
      <c r="P2383">
        <v>-5.9615500000000002E-2</v>
      </c>
      <c r="Q2383">
        <v>3.678E-2</v>
      </c>
      <c r="R2383">
        <v>-0.99754379999999998</v>
      </c>
      <c r="S2383">
        <v>0.5827637</v>
      </c>
      <c r="T2383">
        <v>-0.2370729</v>
      </c>
      <c r="U2383">
        <v>-3.0545499999999999</v>
      </c>
      <c r="V2383">
        <v>-1.5673260000000001E-2</v>
      </c>
      <c r="W2383">
        <v>5.0548290000000003E-2</v>
      </c>
      <c r="X2383">
        <v>0.9985986</v>
      </c>
      <c r="Y2383">
        <v>-0.26005440000000002</v>
      </c>
      <c r="Z2383">
        <v>7.5047840000000005E-2</v>
      </c>
      <c r="AA2383">
        <v>0.96267309999999995</v>
      </c>
      <c r="AB2383">
        <v>24</v>
      </c>
      <c r="AC2383">
        <v>2.74819999999999</v>
      </c>
      <c r="AD2383">
        <v>-1.112271859164</v>
      </c>
      <c r="AE2383">
        <v>-14.103400000000001</v>
      </c>
      <c r="AF2383">
        <v>-3.7761534173568498</v>
      </c>
      <c r="AG2383">
        <v>-1.112271859164</v>
      </c>
      <c r="AH2383">
        <v>13.774865745133599</v>
      </c>
      <c r="AI2383">
        <v>94.452831278158897</v>
      </c>
      <c r="AJ2383">
        <v>105.33008967240001</v>
      </c>
      <c r="AK2383">
        <v>14.3263187740801</v>
      </c>
      <c r="AL2383">
        <v>87.102561458175998</v>
      </c>
      <c r="AM2383">
        <v>90.899198057224396</v>
      </c>
      <c r="AN2383">
        <v>0.99999997231145499</v>
      </c>
    </row>
    <row r="2384" spans="1:40" x14ac:dyDescent="0.25">
      <c r="A2384" t="str">
        <f>"20190312154557319"</f>
        <v>20190312154557319</v>
      </c>
      <c r="B2384" t="str">
        <f>"1552376757309232"</f>
        <v>1552376757309232</v>
      </c>
      <c r="C2384" t="s">
        <v>40</v>
      </c>
      <c r="D2384">
        <v>4.4520739999999996</v>
      </c>
      <c r="E2384">
        <v>0.4036207</v>
      </c>
      <c r="F2384" t="s">
        <v>53</v>
      </c>
      <c r="G2384">
        <v>-489.18310000000002</v>
      </c>
      <c r="H2384" s="1">
        <v>6.0801800000000001E-6</v>
      </c>
      <c r="I2384">
        <v>228.49770000000001</v>
      </c>
      <c r="J2384">
        <v>-491.976</v>
      </c>
      <c r="K2384">
        <v>1.112276</v>
      </c>
      <c r="L2384">
        <v>242.52449999999999</v>
      </c>
      <c r="M2384">
        <v>-7.1473990000000001E-2</v>
      </c>
      <c r="N2384">
        <v>0</v>
      </c>
      <c r="O2384">
        <v>-0.99734630000000002</v>
      </c>
      <c r="P2384">
        <v>-5.4538780000000002E-2</v>
      </c>
      <c r="Q2384">
        <v>3.7341560000000003E-2</v>
      </c>
      <c r="R2384">
        <v>-0.99781350000000002</v>
      </c>
      <c r="S2384">
        <v>0.59405520000000001</v>
      </c>
      <c r="T2384">
        <v>-0.23780870000000001</v>
      </c>
      <c r="U2384">
        <v>-3.0516510000000001</v>
      </c>
      <c r="V2384">
        <v>-1.719174E-2</v>
      </c>
      <c r="W2384">
        <v>5.1098320000000003E-2</v>
      </c>
      <c r="X2384">
        <v>0.99854560000000003</v>
      </c>
      <c r="Y2384">
        <v>-0.26020680000000002</v>
      </c>
      <c r="Z2384">
        <v>7.5351909999999994E-2</v>
      </c>
      <c r="AA2384">
        <v>0.96260820000000002</v>
      </c>
      <c r="AB2384">
        <v>24</v>
      </c>
      <c r="AC2384">
        <v>2.7928999999999702</v>
      </c>
      <c r="AD2384">
        <v>-1.1122699198199999</v>
      </c>
      <c r="AE2384">
        <v>-14.0267999999999</v>
      </c>
      <c r="AF2384">
        <v>-3.76562837817584</v>
      </c>
      <c r="AG2384">
        <v>-1.1122699198199999</v>
      </c>
      <c r="AH2384">
        <v>13.708370808582499</v>
      </c>
      <c r="AI2384">
        <v>94.473696268859399</v>
      </c>
      <c r="AJ2384">
        <v>105.36003240415801</v>
      </c>
      <c r="AK2384">
        <v>14.2596119050505</v>
      </c>
      <c r="AL2384">
        <v>87.071006227831404</v>
      </c>
      <c r="AM2384">
        <v>90.986351386099003</v>
      </c>
      <c r="AN2384">
        <v>0.99999995475520398</v>
      </c>
    </row>
    <row r="2385" spans="1:40" x14ac:dyDescent="0.25">
      <c r="A2385" t="str">
        <f>"20190312154557339"</f>
        <v>20190312154557339</v>
      </c>
      <c r="B2385" t="str">
        <f>"1552376757328751"</f>
        <v>1552376757328751</v>
      </c>
      <c r="C2385" t="s">
        <v>40</v>
      </c>
      <c r="D2385">
        <v>4.4917759999999998</v>
      </c>
      <c r="E2385">
        <v>0.37787510000000002</v>
      </c>
      <c r="F2385" t="s">
        <v>53</v>
      </c>
      <c r="G2385">
        <v>-489.09870000000001</v>
      </c>
      <c r="H2385" s="1">
        <v>5.9483380000000001E-6</v>
      </c>
      <c r="I2385">
        <v>228.1446</v>
      </c>
      <c r="J2385">
        <v>-491.98790000000002</v>
      </c>
      <c r="K2385">
        <v>1.1122780000000001</v>
      </c>
      <c r="L2385">
        <v>242.30840000000001</v>
      </c>
      <c r="M2385">
        <v>-6.8343409999999993E-2</v>
      </c>
      <c r="N2385">
        <v>0</v>
      </c>
      <c r="O2385">
        <v>-0.99756560000000005</v>
      </c>
      <c r="P2385">
        <v>-5.0567639999999997E-2</v>
      </c>
      <c r="Q2385">
        <v>3.7155290000000001E-2</v>
      </c>
      <c r="R2385">
        <v>-0.99802939999999996</v>
      </c>
      <c r="S2385">
        <v>0.61001590000000006</v>
      </c>
      <c r="T2385">
        <v>-0.23581650000000001</v>
      </c>
      <c r="U2385">
        <v>-3.0487519999999999</v>
      </c>
      <c r="V2385">
        <v>-1.8030870000000001E-2</v>
      </c>
      <c r="W2385">
        <v>5.0904980000000002E-2</v>
      </c>
      <c r="X2385">
        <v>0.99854069999999995</v>
      </c>
      <c r="Y2385">
        <v>-0.26220719999999997</v>
      </c>
      <c r="Z2385">
        <v>7.4760869999999993E-2</v>
      </c>
      <c r="AA2385">
        <v>0.9621113</v>
      </c>
      <c r="AB2385">
        <v>24</v>
      </c>
      <c r="AC2385">
        <v>2.88920000000001</v>
      </c>
      <c r="AD2385">
        <v>-1.1122720516619999</v>
      </c>
      <c r="AE2385">
        <v>-14.1638</v>
      </c>
      <c r="AF2385">
        <v>-3.8278758033437899</v>
      </c>
      <c r="AG2385">
        <v>-1.1122720516619999</v>
      </c>
      <c r="AH2385">
        <v>13.851194066620801</v>
      </c>
      <c r="AI2385">
        <v>94.425883540141101</v>
      </c>
      <c r="AJ2385">
        <v>105.448515288325</v>
      </c>
      <c r="AK2385">
        <v>14.4133743222718</v>
      </c>
      <c r="AL2385">
        <v>87.082098301837803</v>
      </c>
      <c r="AM2385">
        <v>91.034490120825595</v>
      </c>
      <c r="AN2385">
        <v>0.999999979409123</v>
      </c>
    </row>
    <row r="2386" spans="1:40" x14ac:dyDescent="0.25">
      <c r="A2386" t="str">
        <f>"20190312154557362"</f>
        <v>20190312154557362</v>
      </c>
      <c r="B2386" t="str">
        <f>"1552376757359007"</f>
        <v>1552376757359007</v>
      </c>
      <c r="C2386" t="s">
        <v>40</v>
      </c>
      <c r="D2386">
        <v>4.4582610000000003</v>
      </c>
      <c r="E2386">
        <v>0.37526900000000002</v>
      </c>
      <c r="F2386" t="s">
        <v>42</v>
      </c>
      <c r="G2386">
        <v>-488.59300000000002</v>
      </c>
      <c r="H2386" s="1">
        <v>-4.1750490000000001E-7</v>
      </c>
      <c r="I2386">
        <v>229.7749</v>
      </c>
      <c r="J2386">
        <v>-492.00029999999998</v>
      </c>
      <c r="K2386">
        <v>1.112285</v>
      </c>
      <c r="L2386">
        <v>242.06720000000001</v>
      </c>
      <c r="M2386">
        <v>-6.4836249999999998E-2</v>
      </c>
      <c r="N2386">
        <v>0</v>
      </c>
      <c r="O2386">
        <v>-0.99780000000000002</v>
      </c>
      <c r="P2386">
        <v>-4.7514389999999997E-2</v>
      </c>
      <c r="Q2386">
        <v>3.7421379999999997E-2</v>
      </c>
      <c r="R2386">
        <v>-0.99816970000000005</v>
      </c>
      <c r="S2386">
        <v>0.82827759999999995</v>
      </c>
      <c r="T2386">
        <v>-0.27137889999999998</v>
      </c>
      <c r="U2386">
        <v>-3.0579990000000001</v>
      </c>
      <c r="V2386">
        <v>-1.7575919999999998E-2</v>
      </c>
      <c r="W2386">
        <v>5.1170710000000001E-2</v>
      </c>
      <c r="X2386">
        <v>0.99853530000000001</v>
      </c>
      <c r="Y2386">
        <v>-0.32253540000000003</v>
      </c>
      <c r="Z2386">
        <v>8.4247340000000004E-2</v>
      </c>
      <c r="AA2386">
        <v>0.94280079999999999</v>
      </c>
      <c r="AB2386">
        <v>23</v>
      </c>
      <c r="AC2386">
        <v>3.4072999999999598</v>
      </c>
      <c r="AD2386">
        <v>-1.1122854175049</v>
      </c>
      <c r="AE2386">
        <v>-12.292299999999999</v>
      </c>
      <c r="AF2386">
        <v>-4.1655195048450402</v>
      </c>
      <c r="AG2386">
        <v>-1.1122854175049</v>
      </c>
      <c r="AH2386">
        <v>11.9545957538785</v>
      </c>
      <c r="AI2386">
        <v>95.021196238056604</v>
      </c>
      <c r="AJ2386">
        <v>109.210637541487</v>
      </c>
      <c r="AK2386">
        <v>12.7083079610894</v>
      </c>
      <c r="AL2386">
        <v>87.066853432430094</v>
      </c>
      <c r="AM2386">
        <v>91.008399059593202</v>
      </c>
      <c r="AN2386">
        <v>1.0000000499359101</v>
      </c>
    </row>
    <row r="2387" spans="1:40" x14ac:dyDescent="0.25">
      <c r="A2387" t="str">
        <f>"20190312154557384"</f>
        <v>20190312154557384</v>
      </c>
      <c r="B2387" t="str">
        <f>"1552376757379503"</f>
        <v>1552376757379503</v>
      </c>
      <c r="C2387" t="s">
        <v>40</v>
      </c>
      <c r="D2387">
        <v>4.4153399999999996</v>
      </c>
      <c r="E2387">
        <v>0.3748512</v>
      </c>
      <c r="F2387" t="s">
        <v>42</v>
      </c>
      <c r="G2387">
        <v>-488.52640000000002</v>
      </c>
      <c r="H2387" s="1">
        <v>-4.0715170000000002E-7</v>
      </c>
      <c r="I2387">
        <v>229.69229999999999</v>
      </c>
      <c r="J2387">
        <v>-492.01089999999999</v>
      </c>
      <c r="K2387">
        <v>1.1122920000000001</v>
      </c>
      <c r="L2387">
        <v>241.8468</v>
      </c>
      <c r="M2387">
        <v>-6.161552E-2</v>
      </c>
      <c r="N2387">
        <v>0</v>
      </c>
      <c r="O2387">
        <v>-0.99800390000000005</v>
      </c>
      <c r="P2387">
        <v>-4.4780170000000001E-2</v>
      </c>
      <c r="Q2387">
        <v>3.8139550000000001E-2</v>
      </c>
      <c r="R2387">
        <v>-0.99826870000000001</v>
      </c>
      <c r="S2387">
        <v>0.85806269999999996</v>
      </c>
      <c r="T2387">
        <v>-0.27473589999999998</v>
      </c>
      <c r="U2387">
        <v>-3.05661</v>
      </c>
      <c r="V2387">
        <v>-1.7090580000000001E-2</v>
      </c>
      <c r="W2387">
        <v>5.1888820000000002E-2</v>
      </c>
      <c r="X2387">
        <v>0.99850660000000002</v>
      </c>
      <c r="Y2387">
        <v>-0.32810060000000002</v>
      </c>
      <c r="Z2387">
        <v>8.515383E-2</v>
      </c>
      <c r="AA2387">
        <v>0.94079690000000005</v>
      </c>
      <c r="AB2387">
        <v>23</v>
      </c>
      <c r="AC2387">
        <v>3.4844999999999602</v>
      </c>
      <c r="AD2387">
        <v>-1.1122924071517</v>
      </c>
      <c r="AE2387">
        <v>-12.154500000000001</v>
      </c>
      <c r="AF2387">
        <v>-4.1943970141037799</v>
      </c>
      <c r="AG2387">
        <v>-1.1122924071517</v>
      </c>
      <c r="AH2387">
        <v>11.825171637059301</v>
      </c>
      <c r="AI2387">
        <v>95.066024363966307</v>
      </c>
      <c r="AJ2387">
        <v>109.529633077277</v>
      </c>
      <c r="AK2387">
        <v>12.5962234402555</v>
      </c>
      <c r="AL2387">
        <v>87.025653829699905</v>
      </c>
      <c r="AM2387">
        <v>90.980586904058597</v>
      </c>
      <c r="AN2387">
        <v>0.99999998390464395</v>
      </c>
    </row>
    <row r="2388" spans="1:40" x14ac:dyDescent="0.25">
      <c r="A2388" t="str">
        <f>"20190312154557406"</f>
        <v>20190312154557406</v>
      </c>
      <c r="B2388" t="str">
        <f>"1552376757399026"</f>
        <v>1552376757399026</v>
      </c>
      <c r="C2388" t="s">
        <v>40</v>
      </c>
      <c r="D2388">
        <v>4.4382089999999996</v>
      </c>
      <c r="E2388">
        <v>0.37502540000000001</v>
      </c>
      <c r="F2388" t="s">
        <v>53</v>
      </c>
      <c r="G2388">
        <v>-488.48509999999999</v>
      </c>
      <c r="H2388" s="1">
        <v>6.1987639999999997E-6</v>
      </c>
      <c r="I2388">
        <v>229.47989999999999</v>
      </c>
      <c r="J2388">
        <v>-492.0213</v>
      </c>
      <c r="K2388">
        <v>1.112303</v>
      </c>
      <c r="L2388">
        <v>241.61410000000001</v>
      </c>
      <c r="M2388">
        <v>-5.8190680000000002E-2</v>
      </c>
      <c r="N2388">
        <v>0</v>
      </c>
      <c r="O2388">
        <v>-0.99820949999999997</v>
      </c>
      <c r="P2388">
        <v>-4.2782199999999902E-2</v>
      </c>
      <c r="Q2388">
        <v>3.883085E-2</v>
      </c>
      <c r="R2388">
        <v>-0.99832989999999999</v>
      </c>
      <c r="S2388">
        <v>0.87091059999999998</v>
      </c>
      <c r="T2388">
        <v>-0.27474680000000001</v>
      </c>
      <c r="U2388">
        <v>-3.0547490000000002</v>
      </c>
      <c r="V2388">
        <v>-1.5665419999999999E-2</v>
      </c>
      <c r="W2388">
        <v>5.2585010000000001E-2</v>
      </c>
      <c r="X2388">
        <v>0.99849359999999998</v>
      </c>
      <c r="Y2388">
        <v>-0.32867299999999999</v>
      </c>
      <c r="Z2388">
        <v>8.5177749999999997E-2</v>
      </c>
      <c r="AA2388">
        <v>0.94059499999999996</v>
      </c>
      <c r="AB2388">
        <v>23</v>
      </c>
      <c r="AC2388">
        <v>3.5362</v>
      </c>
      <c r="AD2388">
        <v>-1.1122968012359999</v>
      </c>
      <c r="AE2388">
        <v>-12.1342</v>
      </c>
      <c r="AF2388">
        <v>-4.2038134413305999</v>
      </c>
      <c r="AG2388">
        <v>-1.1122968012359999</v>
      </c>
      <c r="AH2388">
        <v>11.8163241534854</v>
      </c>
      <c r="AI2388">
        <v>95.068127768317794</v>
      </c>
      <c r="AJ2388">
        <v>109.58368769170499</v>
      </c>
      <c r="AK2388">
        <v>12.5910590548927</v>
      </c>
      <c r="AL2388">
        <v>86.985710681657594</v>
      </c>
      <c r="AM2388">
        <v>90.898842834093003</v>
      </c>
      <c r="AN2388">
        <v>1.0000000289507101</v>
      </c>
    </row>
    <row r="2389" spans="1:40" x14ac:dyDescent="0.25">
      <c r="A2389" t="str">
        <f>"20190312154557419"</f>
        <v>20190312154557419</v>
      </c>
      <c r="B2389" t="str">
        <f>"1552376757408784"</f>
        <v>1552376757408784</v>
      </c>
      <c r="C2389" t="s">
        <v>40</v>
      </c>
      <c r="D2389">
        <v>4.6031630000000003</v>
      </c>
      <c r="E2389">
        <v>0.3753977</v>
      </c>
      <c r="F2389" t="s">
        <v>53</v>
      </c>
      <c r="G2389">
        <v>-488.48579999999998</v>
      </c>
      <c r="H2389" s="1">
        <v>6.1397919999999998E-6</v>
      </c>
      <c r="I2389">
        <v>229.28899999999999</v>
      </c>
      <c r="J2389">
        <v>-492.02690000000001</v>
      </c>
      <c r="K2389">
        <v>1.112306</v>
      </c>
      <c r="L2389">
        <v>241.47989999999999</v>
      </c>
      <c r="M2389">
        <v>-5.6206300000000001E-2</v>
      </c>
      <c r="N2389">
        <v>0</v>
      </c>
      <c r="O2389">
        <v>-0.99832330000000002</v>
      </c>
      <c r="P2389">
        <v>-4.100612E-2</v>
      </c>
      <c r="Q2389">
        <v>3.8899459999999997E-2</v>
      </c>
      <c r="R2389">
        <v>-0.99840169999999995</v>
      </c>
      <c r="S2389">
        <v>0.87585449999999998</v>
      </c>
      <c r="T2389">
        <v>-0.2755475</v>
      </c>
      <c r="U2389">
        <v>-3.0532680000000001</v>
      </c>
      <c r="V2389">
        <v>-1.54572999999999E-2</v>
      </c>
      <c r="W2389">
        <v>5.2653569999999997E-2</v>
      </c>
      <c r="X2389">
        <v>0.99849319999999997</v>
      </c>
      <c r="Y2389">
        <v>-0.32831779999999999</v>
      </c>
      <c r="Z2389">
        <v>8.5465620000000006E-2</v>
      </c>
      <c r="AA2389">
        <v>0.94069290000000005</v>
      </c>
      <c r="AB2389">
        <v>23</v>
      </c>
      <c r="AC2389">
        <v>3.5411000000000201</v>
      </c>
      <c r="AD2389">
        <v>-1.1122998602079901</v>
      </c>
      <c r="AE2389">
        <v>-12.1908999999999</v>
      </c>
      <c r="AF2389">
        <v>-4.1886159090380204</v>
      </c>
      <c r="AG2389">
        <v>-1.1122998602079901</v>
      </c>
      <c r="AH2389">
        <v>11.881359865877601</v>
      </c>
      <c r="AI2389">
        <v>95.045637041107696</v>
      </c>
      <c r="AJ2389">
        <v>109.41942666148999</v>
      </c>
      <c r="AK2389">
        <v>12.647071853790999</v>
      </c>
      <c r="AL2389">
        <v>86.981776941643503</v>
      </c>
      <c r="AM2389">
        <v>90.886903701679103</v>
      </c>
      <c r="AN2389">
        <v>0.99999999850163701</v>
      </c>
    </row>
    <row r="2390" spans="1:40" x14ac:dyDescent="0.25">
      <c r="A2390" t="str">
        <f>"20190312154557432"</f>
        <v>20190312154557432</v>
      </c>
      <c r="B2390" t="str">
        <f>"1552376757428865"</f>
        <v>1552376757428865</v>
      </c>
      <c r="C2390" t="s">
        <v>40</v>
      </c>
      <c r="D2390">
        <v>4.41831</v>
      </c>
      <c r="E2390">
        <v>0.37531599999999998</v>
      </c>
      <c r="F2390" t="s">
        <v>53</v>
      </c>
      <c r="G2390">
        <v>-488.4271</v>
      </c>
      <c r="H2390" s="1">
        <v>6.024512E-6</v>
      </c>
      <c r="I2390">
        <v>228.96729999999999</v>
      </c>
      <c r="J2390">
        <v>-492.03210000000001</v>
      </c>
      <c r="K2390">
        <v>1.112311</v>
      </c>
      <c r="L2390">
        <v>241.3492</v>
      </c>
      <c r="M2390">
        <v>-5.4265769999999998E-2</v>
      </c>
      <c r="N2390">
        <v>0</v>
      </c>
      <c r="O2390">
        <v>-0.99843059999999995</v>
      </c>
      <c r="P2390">
        <v>-3.9476240000000003E-2</v>
      </c>
      <c r="Q2390">
        <v>3.8679360000000003E-2</v>
      </c>
      <c r="R2390">
        <v>-0.99847180000000002</v>
      </c>
      <c r="S2390">
        <v>0.87789919999999999</v>
      </c>
      <c r="T2390">
        <v>-0.27125729999999998</v>
      </c>
      <c r="U2390">
        <v>-3.051437</v>
      </c>
      <c r="V2390">
        <v>-1.504658E-2</v>
      </c>
      <c r="W2390">
        <v>5.243453E-2</v>
      </c>
      <c r="X2390">
        <v>0.99851100000000004</v>
      </c>
      <c r="Y2390">
        <v>-0.32724409999999998</v>
      </c>
      <c r="Z2390">
        <v>8.4215869999999998E-2</v>
      </c>
      <c r="AA2390">
        <v>0.94117960000000001</v>
      </c>
      <c r="AB2390">
        <v>23</v>
      </c>
      <c r="AC2390">
        <v>3.6050000000000102</v>
      </c>
      <c r="AD2390">
        <v>-1.1123049754879999</v>
      </c>
      <c r="AE2390">
        <v>-12.3819</v>
      </c>
      <c r="AF2390">
        <v>-4.2401209998960097</v>
      </c>
      <c r="AG2390">
        <v>-1.1123049754879999</v>
      </c>
      <c r="AH2390">
        <v>12.0781514680755</v>
      </c>
      <c r="AI2390">
        <v>94.966152661309494</v>
      </c>
      <c r="AJ2390">
        <v>109.343986717927</v>
      </c>
      <c r="AK2390">
        <v>12.849030754809</v>
      </c>
      <c r="AL2390">
        <v>86.994344369220002</v>
      </c>
      <c r="AM2390">
        <v>90.863325776787093</v>
      </c>
      <c r="AN2390">
        <v>0.99999999831350805</v>
      </c>
    </row>
    <row r="2391" spans="1:40" x14ac:dyDescent="0.25">
      <c r="A2391" t="str">
        <f>"20190312154557452"</f>
        <v>20190312154557452</v>
      </c>
      <c r="B2391" t="str">
        <f>"1552376757449363"</f>
        <v>1552376757449363</v>
      </c>
      <c r="C2391" t="s">
        <v>40</v>
      </c>
      <c r="D2391">
        <v>4.4334049999999996</v>
      </c>
      <c r="E2391">
        <v>0.37515399999999999</v>
      </c>
      <c r="F2391" t="s">
        <v>53</v>
      </c>
      <c r="G2391">
        <v>-488.44670000000002</v>
      </c>
      <c r="H2391" s="1">
        <v>6.0301309999999999E-6</v>
      </c>
      <c r="I2391">
        <v>228.96860000000001</v>
      </c>
      <c r="J2391">
        <v>-492.03980000000001</v>
      </c>
      <c r="K2391">
        <v>1.112322</v>
      </c>
      <c r="L2391">
        <v>241.14330000000001</v>
      </c>
      <c r="M2391">
        <v>-5.1194490000000002E-2</v>
      </c>
      <c r="N2391">
        <v>0</v>
      </c>
      <c r="O2391">
        <v>-0.99859279999999995</v>
      </c>
      <c r="P2391">
        <v>-3.6822479999999998E-2</v>
      </c>
      <c r="Q2391">
        <v>3.8091270000000003E-2</v>
      </c>
      <c r="R2391">
        <v>-0.99859580000000003</v>
      </c>
      <c r="S2391">
        <v>0.8833008</v>
      </c>
      <c r="T2391">
        <v>-0.27403189999999999</v>
      </c>
      <c r="U2391">
        <v>-3.0501399999999999</v>
      </c>
      <c r="V2391">
        <v>-1.462804E-2</v>
      </c>
      <c r="W2391">
        <v>5.1846440000000001E-2</v>
      </c>
      <c r="X2391">
        <v>0.99854790000000004</v>
      </c>
      <c r="Y2391">
        <v>-0.32596209999999998</v>
      </c>
      <c r="Z2391">
        <v>8.5125709999999993E-2</v>
      </c>
      <c r="AA2391">
        <v>0.94154249999999995</v>
      </c>
      <c r="AB2391">
        <v>23</v>
      </c>
      <c r="AC2391">
        <v>3.59309999999999</v>
      </c>
      <c r="AD2391">
        <v>-1.1123159698689999</v>
      </c>
      <c r="AE2391">
        <v>-12.1747</v>
      </c>
      <c r="AF2391">
        <v>-4.17963190031303</v>
      </c>
      <c r="AG2391">
        <v>-1.1123159698689999</v>
      </c>
      <c r="AH2391">
        <v>11.8835214653877</v>
      </c>
      <c r="AI2391">
        <v>95.046086314210498</v>
      </c>
      <c r="AJ2391">
        <v>109.37762028706</v>
      </c>
      <c r="AK2391">
        <v>12.6461319009913</v>
      </c>
      <c r="AL2391">
        <v>87.028085258562001</v>
      </c>
      <c r="AM2391">
        <v>90.839283731645594</v>
      </c>
      <c r="AN2391">
        <v>0.99999997074466196</v>
      </c>
    </row>
    <row r="2392" spans="1:40" x14ac:dyDescent="0.25">
      <c r="A2392" t="str">
        <f>"20190312154557474"</f>
        <v>20190312154557474</v>
      </c>
      <c r="B2392" t="str">
        <f>"1552376757468883"</f>
        <v>1552376757468883</v>
      </c>
      <c r="C2392" t="s">
        <v>40</v>
      </c>
      <c r="D2392">
        <v>4.3915579999999999</v>
      </c>
      <c r="E2392">
        <v>0.3750906</v>
      </c>
      <c r="F2392" t="s">
        <v>53</v>
      </c>
      <c r="G2392">
        <v>-488.45209999999997</v>
      </c>
      <c r="H2392" s="1">
        <v>6.0072279999999998E-6</v>
      </c>
      <c r="I2392">
        <v>228.89</v>
      </c>
      <c r="J2392">
        <v>-492.04739999999998</v>
      </c>
      <c r="K2392">
        <v>1.1123289999999999</v>
      </c>
      <c r="L2392">
        <v>240.91659999999999</v>
      </c>
      <c r="M2392">
        <v>-4.7791899999999998E-2</v>
      </c>
      <c r="N2392">
        <v>0</v>
      </c>
      <c r="O2392">
        <v>-0.99876140000000002</v>
      </c>
      <c r="P2392">
        <v>-3.3366140000000002E-2</v>
      </c>
      <c r="Q2392">
        <v>3.8357200000000001E-2</v>
      </c>
      <c r="R2392">
        <v>-0.99870669999999995</v>
      </c>
      <c r="S2392">
        <v>0.89233399999999996</v>
      </c>
      <c r="T2392">
        <v>-0.27666030000000003</v>
      </c>
      <c r="U2392">
        <v>-3.0476990000000002</v>
      </c>
      <c r="V2392">
        <v>-1.4684020000000001E-2</v>
      </c>
      <c r="W2392">
        <v>5.210977E-2</v>
      </c>
      <c r="X2392">
        <v>0.99853340000000002</v>
      </c>
      <c r="Y2392">
        <v>-0.32549549999999999</v>
      </c>
      <c r="Z2392">
        <v>8.5996429999999999E-2</v>
      </c>
      <c r="AA2392">
        <v>0.94162480000000004</v>
      </c>
      <c r="AB2392">
        <v>23</v>
      </c>
      <c r="AC2392">
        <v>3.5952999999999999</v>
      </c>
      <c r="AD2392">
        <v>-1.112322992772</v>
      </c>
      <c r="AE2392">
        <v>-12.0266</v>
      </c>
      <c r="AF2392">
        <v>-4.1335617548219696</v>
      </c>
      <c r="AG2392">
        <v>-1.112322992772</v>
      </c>
      <c r="AH2392">
        <v>11.748756366551</v>
      </c>
      <c r="AI2392">
        <v>95.103516193557297</v>
      </c>
      <c r="AJ2392">
        <v>109.383387701082</v>
      </c>
      <c r="AK2392">
        <v>12.504274124544301</v>
      </c>
      <c r="AL2392">
        <v>87.012977224371596</v>
      </c>
      <c r="AM2392">
        <v>90.842507354192804</v>
      </c>
      <c r="AN2392">
        <v>0.99999999974418596</v>
      </c>
    </row>
    <row r="2393" spans="1:40" x14ac:dyDescent="0.25">
      <c r="A2393" t="str">
        <f>"20190312154557497"</f>
        <v>20190312154557497</v>
      </c>
      <c r="B2393" t="str">
        <f>"1552376757489378"</f>
        <v>1552376757489378</v>
      </c>
      <c r="C2393" t="s">
        <v>40</v>
      </c>
      <c r="D2393">
        <v>4.3965630000000004</v>
      </c>
      <c r="E2393">
        <v>0.3750752</v>
      </c>
      <c r="F2393" t="s">
        <v>53</v>
      </c>
      <c r="G2393">
        <v>-488.4391</v>
      </c>
      <c r="H2393" s="1">
        <v>5.9631949999999996E-6</v>
      </c>
      <c r="I2393">
        <v>228.75909999999999</v>
      </c>
      <c r="J2393">
        <v>-492.05459999999999</v>
      </c>
      <c r="K2393">
        <v>1.1123339999999999</v>
      </c>
      <c r="L2393">
        <v>240.67939999999999</v>
      </c>
      <c r="M2393">
        <v>-4.4212920000000003E-2</v>
      </c>
      <c r="N2393">
        <v>0</v>
      </c>
      <c r="O2393">
        <v>-0.99892619999999999</v>
      </c>
      <c r="P2393">
        <v>-2.9089050000000002E-2</v>
      </c>
      <c r="Q2393">
        <v>3.861933E-2</v>
      </c>
      <c r="R2393">
        <v>-0.99883060000000001</v>
      </c>
      <c r="S2393">
        <v>0.90368649999999995</v>
      </c>
      <c r="T2393">
        <v>-0.27857340000000003</v>
      </c>
      <c r="U2393">
        <v>-3.0447690000000001</v>
      </c>
      <c r="V2393">
        <v>-1.5384210000000001E-2</v>
      </c>
      <c r="W2393">
        <v>5.2365960000000003E-2</v>
      </c>
      <c r="X2393">
        <v>0.99850950000000005</v>
      </c>
      <c r="Y2393">
        <v>-0.32556760000000001</v>
      </c>
      <c r="Z2393">
        <v>8.6642330000000004E-2</v>
      </c>
      <c r="AA2393">
        <v>0.94154070000000001</v>
      </c>
      <c r="AB2393">
        <v>23</v>
      </c>
      <c r="AC2393">
        <v>3.6154999999999902</v>
      </c>
      <c r="AD2393">
        <v>-1.1123280368049999</v>
      </c>
      <c r="AE2393">
        <v>-11.9202999999999</v>
      </c>
      <c r="AF2393">
        <v>-4.1063023663437903</v>
      </c>
      <c r="AG2393">
        <v>-1.1123280368049999</v>
      </c>
      <c r="AH2393">
        <v>11.6558316742577</v>
      </c>
      <c r="AI2393">
        <v>95.143261977563796</v>
      </c>
      <c r="AJ2393">
        <v>109.407154742182</v>
      </c>
      <c r="AK2393">
        <v>12.407957317944501</v>
      </c>
      <c r="AL2393">
        <v>86.998278684922099</v>
      </c>
      <c r="AM2393">
        <v>90.882696226275499</v>
      </c>
      <c r="AN2393">
        <v>1.00000004463714</v>
      </c>
    </row>
    <row r="2394" spans="1:40" x14ac:dyDescent="0.25">
      <c r="A2394" t="str">
        <f>"20190312154557520"</f>
        <v>20190312154557520</v>
      </c>
      <c r="B2394" t="str">
        <f>"1552376757508897"</f>
        <v>1552376757508897</v>
      </c>
      <c r="C2394" t="s">
        <v>40</v>
      </c>
      <c r="D2394">
        <v>4.3879049999999999</v>
      </c>
      <c r="E2394">
        <v>0.37506780000000001</v>
      </c>
      <c r="F2394" t="s">
        <v>53</v>
      </c>
      <c r="G2394">
        <v>-488.41669999999999</v>
      </c>
      <c r="H2394" s="1">
        <v>5.908913E-6</v>
      </c>
      <c r="I2394">
        <v>228.60310000000001</v>
      </c>
      <c r="J2394">
        <v>-492.0609</v>
      </c>
      <c r="K2394">
        <v>1.1123270000000001</v>
      </c>
      <c r="L2394">
        <v>240.4425</v>
      </c>
      <c r="M2394">
        <v>-4.0625620000000001E-2</v>
      </c>
      <c r="N2394">
        <v>0</v>
      </c>
      <c r="O2394">
        <v>-0.99907860000000004</v>
      </c>
      <c r="P2394">
        <v>-2.3338330000000001E-2</v>
      </c>
      <c r="Q2394">
        <v>3.7861699999999998E-2</v>
      </c>
      <c r="R2394">
        <v>-0.99901039999999997</v>
      </c>
      <c r="S2394">
        <v>0.91607669999999997</v>
      </c>
      <c r="T2394">
        <v>-0.28010109999999999</v>
      </c>
      <c r="U2394">
        <v>-3.0409999999999999</v>
      </c>
      <c r="V2394">
        <v>-1.7545060000000001E-2</v>
      </c>
      <c r="W2394">
        <v>5.1594540000000001E-2</v>
      </c>
      <c r="X2394">
        <v>0.99851400000000001</v>
      </c>
      <c r="Y2394">
        <v>-0.32599980000000001</v>
      </c>
      <c r="Z2394">
        <v>8.7180820000000006E-2</v>
      </c>
      <c r="AA2394">
        <v>0.94134139999999999</v>
      </c>
      <c r="AB2394">
        <v>23</v>
      </c>
      <c r="AC2394">
        <v>3.6442000000000099</v>
      </c>
      <c r="AD2394">
        <v>-1.1123210910870001</v>
      </c>
      <c r="AE2394">
        <v>-11.8393999999999</v>
      </c>
      <c r="AF2394">
        <v>-4.0892489120394702</v>
      </c>
      <c r="AG2394">
        <v>-1.1123210910870001</v>
      </c>
      <c r="AH2394">
        <v>11.588128490012201</v>
      </c>
      <c r="AI2394">
        <v>95.172170118934602</v>
      </c>
      <c r="AJ2394">
        <v>109.437050356684</v>
      </c>
      <c r="AK2394">
        <v>12.3387169825442</v>
      </c>
      <c r="AL2394">
        <v>87.042537545392506</v>
      </c>
      <c r="AM2394">
        <v>91.006650334396696</v>
      </c>
      <c r="AN2394">
        <v>1.0000000169420999</v>
      </c>
    </row>
    <row r="2395" spans="1:40" x14ac:dyDescent="0.25">
      <c r="A2395" t="str">
        <f>"20190312154557541"</f>
        <v>20190312154557541</v>
      </c>
      <c r="B2395" t="str">
        <f>"1552376757539024"</f>
        <v>1552376757539024</v>
      </c>
      <c r="C2395" t="s">
        <v>40</v>
      </c>
      <c r="D2395">
        <v>4.3670640000000001</v>
      </c>
      <c r="E2395">
        <v>0.37538359999999998</v>
      </c>
      <c r="F2395" t="s">
        <v>53</v>
      </c>
      <c r="G2395">
        <v>-488.40300000000002</v>
      </c>
      <c r="H2395" s="1">
        <v>5.8852449999999998E-6</v>
      </c>
      <c r="I2395">
        <v>228.5384</v>
      </c>
      <c r="J2395">
        <v>-492.06610000000001</v>
      </c>
      <c r="K2395">
        <v>1.1123179999999999</v>
      </c>
      <c r="L2395">
        <v>240.21960000000001</v>
      </c>
      <c r="M2395">
        <v>-3.7244640000000002E-2</v>
      </c>
      <c r="N2395">
        <v>0</v>
      </c>
      <c r="O2395">
        <v>-0.9992103</v>
      </c>
      <c r="P2395">
        <v>-1.7662290000000001E-2</v>
      </c>
      <c r="Q2395">
        <v>3.7467319999999998E-2</v>
      </c>
      <c r="R2395">
        <v>-0.99914159999999996</v>
      </c>
      <c r="S2395">
        <v>0.93276979999999998</v>
      </c>
      <c r="T2395">
        <v>-0.28364230000000001</v>
      </c>
      <c r="U2395">
        <v>-3.0355379999999998</v>
      </c>
      <c r="V2395">
        <v>-1.9838950000000001E-2</v>
      </c>
      <c r="W2395">
        <v>5.1185950000000001E-2</v>
      </c>
      <c r="X2395">
        <v>0.99849209999999999</v>
      </c>
      <c r="Y2395">
        <v>-0.32797670000000001</v>
      </c>
      <c r="Z2395">
        <v>8.8343069999999996E-2</v>
      </c>
      <c r="AA2395">
        <v>0.94054599999999999</v>
      </c>
      <c r="AB2395">
        <v>23</v>
      </c>
      <c r="AC2395">
        <v>3.66309999999998</v>
      </c>
      <c r="AD2395">
        <v>-1.1123121147549999</v>
      </c>
      <c r="AE2395">
        <v>-11.6812</v>
      </c>
      <c r="AF2395">
        <v>-4.0621269439334098</v>
      </c>
      <c r="AG2395">
        <v>-1.1123121147549999</v>
      </c>
      <c r="AH2395">
        <v>11.442189100207599</v>
      </c>
      <c r="AI2395">
        <v>95.234242611109593</v>
      </c>
      <c r="AJ2395">
        <v>109.545528541357</v>
      </c>
      <c r="AK2395">
        <v>12.192694737184601</v>
      </c>
      <c r="AL2395">
        <v>87.0659790392547</v>
      </c>
      <c r="AM2395">
        <v>91.138254936859099</v>
      </c>
      <c r="AN2395">
        <v>1.0000000295884499</v>
      </c>
    </row>
    <row r="2396" spans="1:40" x14ac:dyDescent="0.25">
      <c r="A2396" t="str">
        <f>"20190312154557562"</f>
        <v>20190312154557562</v>
      </c>
      <c r="B2396" t="str">
        <f>"1552376757559521"</f>
        <v>1552376757559521</v>
      </c>
      <c r="C2396" t="s">
        <v>40</v>
      </c>
      <c r="D2396">
        <v>4.3716030000000003</v>
      </c>
      <c r="E2396">
        <v>0.37541150000000001</v>
      </c>
      <c r="F2396" t="s">
        <v>53</v>
      </c>
      <c r="G2396">
        <v>-488.3365</v>
      </c>
      <c r="H2396" s="1">
        <v>5.7924099999999997E-6</v>
      </c>
      <c r="I2396">
        <v>228.29589999999999</v>
      </c>
      <c r="J2396">
        <v>-492.07040000000001</v>
      </c>
      <c r="K2396">
        <v>1.112309</v>
      </c>
      <c r="L2396">
        <v>240.0044</v>
      </c>
      <c r="M2396">
        <v>-3.3979990000000002E-2</v>
      </c>
      <c r="N2396">
        <v>0</v>
      </c>
      <c r="O2396">
        <v>-0.99932679999999996</v>
      </c>
      <c r="P2396">
        <v>-1.257135E-2</v>
      </c>
      <c r="Q2396">
        <v>3.7320890000000002E-2</v>
      </c>
      <c r="R2396">
        <v>-0.99922429999999995</v>
      </c>
      <c r="S2396">
        <v>0.94772339999999999</v>
      </c>
      <c r="T2396">
        <v>-0.2826475</v>
      </c>
      <c r="U2396">
        <v>-3.0299070000000001</v>
      </c>
      <c r="V2396">
        <v>-2.166357E-2</v>
      </c>
      <c r="W2396">
        <v>5.1027370000000002E-2</v>
      </c>
      <c r="X2396">
        <v>0.99846230000000002</v>
      </c>
      <c r="Y2396">
        <v>-0.32962239999999998</v>
      </c>
      <c r="Z2396">
        <v>8.8118299999999997E-2</v>
      </c>
      <c r="AA2396">
        <v>0.93999160000000004</v>
      </c>
      <c r="AB2396">
        <v>23</v>
      </c>
      <c r="AC2396">
        <v>3.7339000000000002</v>
      </c>
      <c r="AD2396">
        <v>-1.1123032075899999</v>
      </c>
      <c r="AE2396">
        <v>-11.708500000000001</v>
      </c>
      <c r="AF2396">
        <v>-4.0960817255650603</v>
      </c>
      <c r="AG2396">
        <v>-1.1123032075899999</v>
      </c>
      <c r="AH2396">
        <v>11.480798560311699</v>
      </c>
      <c r="AI2396">
        <v>95.213806388782899</v>
      </c>
      <c r="AJ2396">
        <v>109.635217197305</v>
      </c>
      <c r="AK2396">
        <v>12.2402548793143</v>
      </c>
      <c r="AL2396">
        <v>87.075076904631999</v>
      </c>
      <c r="AM2396">
        <v>91.242947693136102</v>
      </c>
      <c r="AN2396">
        <v>1.0000000336377699</v>
      </c>
    </row>
    <row r="2397" spans="1:40" x14ac:dyDescent="0.25">
      <c r="A2397" t="str">
        <f>"20190312154557585"</f>
        <v>20190312154557585</v>
      </c>
      <c r="B2397" t="str">
        <f>"1552376757579041"</f>
        <v>1552376757579041</v>
      </c>
      <c r="C2397" t="s">
        <v>40</v>
      </c>
      <c r="D2397">
        <v>4.3118930000000004</v>
      </c>
      <c r="E2397">
        <v>0.37530069999999999</v>
      </c>
      <c r="F2397" t="s">
        <v>53</v>
      </c>
      <c r="G2397">
        <v>-488.2953</v>
      </c>
      <c r="H2397" s="1">
        <v>5.734129E-6</v>
      </c>
      <c r="I2397">
        <v>228.14320000000001</v>
      </c>
      <c r="J2397">
        <v>-492.07420000000002</v>
      </c>
      <c r="K2397">
        <v>1.1123019999999999</v>
      </c>
      <c r="L2397">
        <v>239.77</v>
      </c>
      <c r="M2397">
        <v>-3.0423410000000001E-2</v>
      </c>
      <c r="N2397">
        <v>0</v>
      </c>
      <c r="O2397">
        <v>-0.99944169999999999</v>
      </c>
      <c r="P2397">
        <v>-7.3593840000000001E-3</v>
      </c>
      <c r="Q2397">
        <v>3.657813E-2</v>
      </c>
      <c r="R2397">
        <v>-0.99930419999999998</v>
      </c>
      <c r="S2397">
        <v>0.96279910000000002</v>
      </c>
      <c r="T2397">
        <v>-0.28367710000000002</v>
      </c>
      <c r="U2397">
        <v>-3.0250400000000002</v>
      </c>
      <c r="V2397">
        <v>-2.331509E-2</v>
      </c>
      <c r="W2397">
        <v>5.027446E-2</v>
      </c>
      <c r="X2397">
        <v>0.99846330000000005</v>
      </c>
      <c r="Y2397">
        <v>-0.33094449999999997</v>
      </c>
      <c r="Z2397">
        <v>8.8501659999999996E-2</v>
      </c>
      <c r="AA2397">
        <v>0.93949090000000002</v>
      </c>
      <c r="AB2397">
        <v>23</v>
      </c>
      <c r="AC2397">
        <v>3.7789000000000201</v>
      </c>
      <c r="AD2397">
        <v>-1.1122962658710001</v>
      </c>
      <c r="AE2397">
        <v>-11.626799999999999</v>
      </c>
      <c r="AF2397">
        <v>-4.09699742806347</v>
      </c>
      <c r="AG2397">
        <v>-1.1122962658710001</v>
      </c>
      <c r="AH2397">
        <v>11.411974300883401</v>
      </c>
      <c r="AI2397">
        <v>95.2413508675005</v>
      </c>
      <c r="AJ2397">
        <v>109.748576773587</v>
      </c>
      <c r="AK2397">
        <v>12.176031716148399</v>
      </c>
      <c r="AL2397">
        <v>87.118270925449707</v>
      </c>
      <c r="AM2397">
        <v>91.337669131653797</v>
      </c>
      <c r="AN2397">
        <v>1.00000003809844</v>
      </c>
    </row>
    <row r="2398" spans="1:40" x14ac:dyDescent="0.25">
      <c r="A2398" t="str">
        <f>"20190312154557608"</f>
        <v>20190312154557608</v>
      </c>
      <c r="B2398" t="str">
        <f>"1552376757599537"</f>
        <v>1552376757599537</v>
      </c>
      <c r="C2398" t="s">
        <v>40</v>
      </c>
      <c r="D2398">
        <v>4.2196740000000004</v>
      </c>
      <c r="E2398">
        <v>0.3407888</v>
      </c>
      <c r="F2398" t="s">
        <v>53</v>
      </c>
      <c r="G2398">
        <v>-488.25560000000002</v>
      </c>
      <c r="H2398" s="1">
        <v>5.6792919999999998E-6</v>
      </c>
      <c r="I2398">
        <v>228.00020000000001</v>
      </c>
      <c r="J2398">
        <v>-492.07709999999997</v>
      </c>
      <c r="K2398">
        <v>1.112296</v>
      </c>
      <c r="L2398">
        <v>239.5376</v>
      </c>
      <c r="M2398">
        <v>-2.690188E-2</v>
      </c>
      <c r="N2398">
        <v>0</v>
      </c>
      <c r="O2398">
        <v>-0.9995425</v>
      </c>
      <c r="P2398">
        <v>-2.3127500000000001E-3</v>
      </c>
      <c r="Q2398">
        <v>3.6341690000000003E-2</v>
      </c>
      <c r="R2398">
        <v>-0.99933720000000004</v>
      </c>
      <c r="S2398">
        <v>0.9797363</v>
      </c>
      <c r="T2398">
        <v>-0.28538350000000001</v>
      </c>
      <c r="U2398">
        <v>-3.0197750000000001</v>
      </c>
      <c r="V2398">
        <v>-2.4838900000000001E-2</v>
      </c>
      <c r="W2398">
        <v>5.0027290000000002E-2</v>
      </c>
      <c r="X2398">
        <v>0.99843899999999997</v>
      </c>
      <c r="Y2398">
        <v>-0.33285350000000002</v>
      </c>
      <c r="Z2398">
        <v>8.9085310000000001E-2</v>
      </c>
      <c r="AA2398">
        <v>0.93876110000000001</v>
      </c>
      <c r="AB2398">
        <v>23</v>
      </c>
      <c r="AC2398">
        <v>3.8214999999999502</v>
      </c>
      <c r="AD2398">
        <v>-1.1122903207079999</v>
      </c>
      <c r="AE2398">
        <v>-11.5373999999999</v>
      </c>
      <c r="AF2398">
        <v>-4.0962162333042196</v>
      </c>
      <c r="AG2398">
        <v>-1.1122903207079999</v>
      </c>
      <c r="AH2398">
        <v>11.335468086253</v>
      </c>
      <c r="AI2398">
        <v>95.272562659421297</v>
      </c>
      <c r="AJ2398">
        <v>109.86796937092799</v>
      </c>
      <c r="AK2398">
        <v>12.1040907928677</v>
      </c>
      <c r="AL2398">
        <v>87.132450653525098</v>
      </c>
      <c r="AM2398">
        <v>91.425095220817298</v>
      </c>
      <c r="AN2398">
        <v>1.0000000687094699</v>
      </c>
    </row>
    <row r="2399" spans="1:40" x14ac:dyDescent="0.25">
      <c r="A2399" t="str">
        <f>"20190312154557630"</f>
        <v>20190312154557630</v>
      </c>
      <c r="B2399" t="str">
        <f>"1552376757619060"</f>
        <v>1552376757619060</v>
      </c>
      <c r="C2399" t="s">
        <v>40</v>
      </c>
      <c r="D2399">
        <v>4.1603199999999996</v>
      </c>
      <c r="E2399">
        <v>0.33603329999999998</v>
      </c>
      <c r="F2399" t="s">
        <v>53</v>
      </c>
      <c r="G2399">
        <v>-487.28149999999999</v>
      </c>
      <c r="H2399" s="1">
        <v>5.4663739999999996E-6</v>
      </c>
      <c r="I2399">
        <v>228.14959999999999</v>
      </c>
      <c r="J2399">
        <v>-492.07920000000001</v>
      </c>
      <c r="K2399">
        <v>1.112285</v>
      </c>
      <c r="L2399">
        <v>239.31200000000001</v>
      </c>
      <c r="M2399">
        <v>-2.3486549999999998E-2</v>
      </c>
      <c r="N2399">
        <v>0</v>
      </c>
      <c r="O2399">
        <v>-0.99962870000000004</v>
      </c>
      <c r="P2399">
        <v>2.9617160000000001E-3</v>
      </c>
      <c r="Q2399">
        <v>3.6087929999999997E-2</v>
      </c>
      <c r="R2399">
        <v>-0.99934449999999997</v>
      </c>
      <c r="S2399">
        <v>1.2699279999999999</v>
      </c>
      <c r="T2399">
        <v>-0.2945429</v>
      </c>
      <c r="U2399">
        <v>-3.015625</v>
      </c>
      <c r="V2399">
        <v>-2.6695969999999999E-2</v>
      </c>
      <c r="W2399">
        <v>4.976154E-2</v>
      </c>
      <c r="X2399">
        <v>0.99840430000000002</v>
      </c>
      <c r="Y2399">
        <v>-0.40809640000000003</v>
      </c>
      <c r="Z2399">
        <v>8.9178779999999999E-2</v>
      </c>
      <c r="AA2399">
        <v>0.90857279999999996</v>
      </c>
      <c r="AB2399">
        <v>23</v>
      </c>
      <c r="AC2399">
        <v>4.7977000000000096</v>
      </c>
      <c r="AD2399">
        <v>-1.1122795336260001</v>
      </c>
      <c r="AE2399">
        <v>-11.1624</v>
      </c>
      <c r="AF2399">
        <v>-5.0165245560944403</v>
      </c>
      <c r="AG2399">
        <v>-1.1122795336260001</v>
      </c>
      <c r="AH2399">
        <v>10.954816778347199</v>
      </c>
      <c r="AI2399">
        <v>95.2742864192588</v>
      </c>
      <c r="AJ2399">
        <v>114.604400853652</v>
      </c>
      <c r="AK2399">
        <v>12.100028720213</v>
      </c>
      <c r="AL2399">
        <v>87.147695843469407</v>
      </c>
      <c r="AM2399">
        <v>91.531646091401797</v>
      </c>
      <c r="AN2399">
        <v>1.0000000159679501</v>
      </c>
    </row>
    <row r="2400" spans="1:40" x14ac:dyDescent="0.25">
      <c r="A2400" t="str">
        <f>"20190312154557652"</f>
        <v>20190312154557652</v>
      </c>
      <c r="B2400" t="str">
        <f>"1552376757649166"</f>
        <v>1552376757649166</v>
      </c>
      <c r="C2400" t="s">
        <v>40</v>
      </c>
      <c r="D2400">
        <v>4.1450909999999999</v>
      </c>
      <c r="E2400">
        <v>0.3349664</v>
      </c>
      <c r="F2400" t="s">
        <v>41</v>
      </c>
      <c r="G2400">
        <v>-491.65890000000002</v>
      </c>
      <c r="H2400">
        <v>1.019598</v>
      </c>
      <c r="I2400">
        <v>238.3554</v>
      </c>
      <c r="J2400">
        <v>-492.08049999999997</v>
      </c>
      <c r="K2400">
        <v>1.1122799999999999</v>
      </c>
      <c r="L2400">
        <v>239.0855</v>
      </c>
      <c r="M2400">
        <v>-2.006059E-2</v>
      </c>
      <c r="N2400">
        <v>0</v>
      </c>
      <c r="O2400">
        <v>-0.99970329999999996</v>
      </c>
      <c r="P2400">
        <v>8.1154790000000001E-3</v>
      </c>
      <c r="Q2400">
        <v>3.6358080000000001E-2</v>
      </c>
      <c r="R2400">
        <v>-0.99930629999999998</v>
      </c>
      <c r="S2400">
        <v>1.3233029999999999</v>
      </c>
      <c r="T2400">
        <v>-0.2914716</v>
      </c>
      <c r="U2400">
        <v>-3.008591</v>
      </c>
      <c r="V2400">
        <v>-2.8424669999999999E-2</v>
      </c>
      <c r="W2400">
        <v>5.0020149999999999E-2</v>
      </c>
      <c r="X2400">
        <v>0.9983436</v>
      </c>
      <c r="Y2400">
        <v>-0.41933749999999997</v>
      </c>
      <c r="Z2400">
        <v>8.7925929999999999E-2</v>
      </c>
      <c r="AA2400">
        <v>0.90356239999999999</v>
      </c>
      <c r="AB2400">
        <v>23</v>
      </c>
      <c r="AC2400">
        <v>0.42159999999995501</v>
      </c>
      <c r="AD2400">
        <v>-9.2681999999999903E-2</v>
      </c>
      <c r="AE2400">
        <v>-0.73009999999999298</v>
      </c>
      <c r="AF2400">
        <v>-0.43095467605929699</v>
      </c>
      <c r="AG2400">
        <v>-9.2681999999999903E-2</v>
      </c>
      <c r="AH2400">
        <v>0.71287952497328699</v>
      </c>
      <c r="AI2400">
        <v>96.348645899517706</v>
      </c>
      <c r="AJ2400">
        <v>121.154080405309</v>
      </c>
      <c r="AK2400">
        <v>0.83815816112921804</v>
      </c>
      <c r="AL2400">
        <v>87.132859947566303</v>
      </c>
      <c r="AM2400">
        <v>91.630875144655306</v>
      </c>
      <c r="AN2400">
        <v>0.99999996046579398</v>
      </c>
    </row>
    <row r="2401" spans="1:40" x14ac:dyDescent="0.25">
      <c r="A2401" t="str">
        <f>"20190312154557665"</f>
        <v>20190312154557665</v>
      </c>
      <c r="B2401" t="str">
        <f>"1552376757658926"</f>
        <v>1552376757658926</v>
      </c>
      <c r="C2401" t="s">
        <v>40</v>
      </c>
      <c r="D2401">
        <v>4.1639119999999998</v>
      </c>
      <c r="E2401">
        <v>0.33481689999999997</v>
      </c>
      <c r="F2401" t="s">
        <v>53</v>
      </c>
      <c r="G2401">
        <v>-486.95609999999999</v>
      </c>
      <c r="H2401" s="1">
        <v>5.2294829999999998E-6</v>
      </c>
      <c r="I2401">
        <v>227.6644</v>
      </c>
      <c r="J2401">
        <v>-492.08100000000002</v>
      </c>
      <c r="K2401">
        <v>1.1122730000000001</v>
      </c>
      <c r="L2401">
        <v>238.9495</v>
      </c>
      <c r="M2401">
        <v>-1.8002799999999999E-2</v>
      </c>
      <c r="N2401">
        <v>0</v>
      </c>
      <c r="O2401">
        <v>-0.99974249999999998</v>
      </c>
      <c r="P2401">
        <v>1.1182589999999999E-2</v>
      </c>
      <c r="Q2401">
        <v>3.689771E-2</v>
      </c>
      <c r="R2401">
        <v>-0.99925660000000005</v>
      </c>
      <c r="S2401">
        <v>1.346832</v>
      </c>
      <c r="T2401">
        <v>-0.29233609999999999</v>
      </c>
      <c r="U2401">
        <v>-3.0018009999999999</v>
      </c>
      <c r="V2401">
        <v>-2.9435949999999999E-2</v>
      </c>
      <c r="W2401">
        <v>5.055258E-2</v>
      </c>
      <c r="X2401">
        <v>0.99828749999999999</v>
      </c>
      <c r="Y2401">
        <v>-0.42412309999999998</v>
      </c>
      <c r="Z2401">
        <v>8.8134829999999997E-2</v>
      </c>
      <c r="AA2401">
        <v>0.90130569999999999</v>
      </c>
      <c r="AB2401">
        <v>23</v>
      </c>
      <c r="AC2401">
        <v>5.1248999999999603</v>
      </c>
      <c r="AD2401">
        <v>-1.1122677705169901</v>
      </c>
      <c r="AE2401">
        <v>-11.2851</v>
      </c>
      <c r="AF2401">
        <v>-5.28469260921245</v>
      </c>
      <c r="AG2401">
        <v>-1.1122677705169901</v>
      </c>
      <c r="AH2401">
        <v>11.101594410445299</v>
      </c>
      <c r="AI2401">
        <v>95.169086709802002</v>
      </c>
      <c r="AJ2401">
        <v>115.45585216166199</v>
      </c>
      <c r="AK2401">
        <v>12.345465322183101</v>
      </c>
      <c r="AL2401">
        <v>87.102315383092403</v>
      </c>
      <c r="AM2401">
        <v>91.688959506727599</v>
      </c>
      <c r="AN2401">
        <v>0.99999998557665404</v>
      </c>
    </row>
    <row r="2402" spans="1:40" x14ac:dyDescent="0.25">
      <c r="A2402" t="str">
        <f>"20190312154557686"</f>
        <v>20190312154557686</v>
      </c>
      <c r="B2402" t="str">
        <f>"1552376757679421"</f>
        <v>1552376757679421</v>
      </c>
      <c r="C2402" t="s">
        <v>40</v>
      </c>
      <c r="D2402">
        <v>4.1412509999999996</v>
      </c>
      <c r="E2402">
        <v>0.33445999999999998</v>
      </c>
      <c r="F2402" t="s">
        <v>41</v>
      </c>
      <c r="G2402">
        <v>-491.66559999999998</v>
      </c>
      <c r="H2402">
        <v>1.0220910000000001</v>
      </c>
      <c r="I2402">
        <v>238.0307</v>
      </c>
      <c r="J2402">
        <v>-492.08109999999999</v>
      </c>
      <c r="K2402">
        <v>1.1122609999999999</v>
      </c>
      <c r="L2402">
        <v>238.73820000000001</v>
      </c>
      <c r="M2402">
        <v>-1.4805499999999999E-2</v>
      </c>
      <c r="N2402">
        <v>0</v>
      </c>
      <c r="O2402">
        <v>-0.99979499999999999</v>
      </c>
      <c r="P2402">
        <v>1.6083690000000001E-2</v>
      </c>
      <c r="Q2402">
        <v>3.6909549999999999E-2</v>
      </c>
      <c r="R2402">
        <v>-0.99918929999999995</v>
      </c>
      <c r="S2402">
        <v>1.356506</v>
      </c>
      <c r="T2402">
        <v>-0.29423070000000001</v>
      </c>
      <c r="U2402">
        <v>-2.9979550000000001</v>
      </c>
      <c r="V2402">
        <v>-3.114053E-2</v>
      </c>
      <c r="W2402">
        <v>5.0552569999999998E-2</v>
      </c>
      <c r="X2402">
        <v>0.99823580000000001</v>
      </c>
      <c r="Y2402">
        <v>-0.42405579999999998</v>
      </c>
      <c r="Z2402">
        <v>8.875719E-2</v>
      </c>
      <c r="AA2402">
        <v>0.90127619999999997</v>
      </c>
      <c r="AB2402">
        <v>23</v>
      </c>
      <c r="AC2402">
        <v>0.41550000000000797</v>
      </c>
      <c r="AD2402">
        <v>-9.017E-2</v>
      </c>
      <c r="AE2402">
        <v>-0.70750000000001001</v>
      </c>
      <c r="AF2402">
        <v>-0.42084749292199902</v>
      </c>
      <c r="AG2402">
        <v>-9.017E-2</v>
      </c>
      <c r="AH2402">
        <v>0.69290154641437396</v>
      </c>
      <c r="AI2402">
        <v>96.346674591134004</v>
      </c>
      <c r="AJ2402">
        <v>121.27323259863201</v>
      </c>
      <c r="AK2402">
        <v>0.81569344377784603</v>
      </c>
      <c r="AL2402">
        <v>87.102316009263006</v>
      </c>
      <c r="AM2402">
        <v>91.786794762393896</v>
      </c>
      <c r="AN2402">
        <v>1.0000000036719601</v>
      </c>
    </row>
    <row r="2403" spans="1:40" x14ac:dyDescent="0.25">
      <c r="A2403" t="str">
        <f>"20190312154557710"</f>
        <v>20190312154557710</v>
      </c>
      <c r="B2403" t="str">
        <f>"1552376757698941"</f>
        <v>1552376757698941</v>
      </c>
      <c r="C2403" t="s">
        <v>40</v>
      </c>
      <c r="D2403">
        <v>4.214531</v>
      </c>
      <c r="E2403">
        <v>0.33375949999999999</v>
      </c>
      <c r="F2403" t="s">
        <v>41</v>
      </c>
      <c r="G2403">
        <v>-491.66329999999999</v>
      </c>
      <c r="H2403">
        <v>1.0220400000000001</v>
      </c>
      <c r="I2403">
        <v>237.82810000000001</v>
      </c>
      <c r="J2403">
        <v>-492.0804</v>
      </c>
      <c r="K2403">
        <v>1.11225</v>
      </c>
      <c r="L2403">
        <v>238.49700000000001</v>
      </c>
      <c r="M2403">
        <v>-1.114125E-2</v>
      </c>
      <c r="N2403">
        <v>0</v>
      </c>
      <c r="O2403">
        <v>-0.99984249999999997</v>
      </c>
      <c r="P2403">
        <v>2.1599770000000001E-2</v>
      </c>
      <c r="Q2403">
        <v>3.5812539999999997E-2</v>
      </c>
      <c r="R2403">
        <v>-0.99912509999999999</v>
      </c>
      <c r="S2403">
        <v>1.3736269999999999</v>
      </c>
      <c r="T2403">
        <v>-0.29652879999999998</v>
      </c>
      <c r="U2403">
        <v>-2.9912869999999998</v>
      </c>
      <c r="V2403">
        <v>-3.2988700000000003E-2</v>
      </c>
      <c r="W2403">
        <v>4.9443420000000002E-2</v>
      </c>
      <c r="X2403">
        <v>0.99823200000000001</v>
      </c>
      <c r="Y2403">
        <v>-0.42573559999999999</v>
      </c>
      <c r="Z2403">
        <v>8.9493600000000006E-2</v>
      </c>
      <c r="AA2403">
        <v>0.90041109999999902</v>
      </c>
      <c r="AB2403">
        <v>23</v>
      </c>
      <c r="AC2403">
        <v>0.41710000000000402</v>
      </c>
      <c r="AD2403">
        <v>-9.0209999999999901E-2</v>
      </c>
      <c r="AE2403">
        <v>-0.66890000000000704</v>
      </c>
      <c r="AF2403">
        <v>-0.41903946361133898</v>
      </c>
      <c r="AG2403">
        <v>-9.0209999999999901E-2</v>
      </c>
      <c r="AH2403">
        <v>0.65562495864418902</v>
      </c>
      <c r="AI2403">
        <v>96.613141901393803</v>
      </c>
      <c r="AJ2403">
        <v>122.58447960097899</v>
      </c>
      <c r="AK2403">
        <v>0.78331092329985696</v>
      </c>
      <c r="AL2403">
        <v>87.165945240919797</v>
      </c>
      <c r="AM2403">
        <v>91.892772080990397</v>
      </c>
      <c r="AN2403">
        <v>1.0000000159664899</v>
      </c>
    </row>
    <row r="2404" spans="1:40" x14ac:dyDescent="0.25">
      <c r="A2404" t="str">
        <f>"20190312154557732"</f>
        <v>20190312154557732</v>
      </c>
      <c r="B2404" t="str">
        <f>"1552376757729197"</f>
        <v>1552376757729197</v>
      </c>
      <c r="C2404" t="s">
        <v>40</v>
      </c>
      <c r="D2404">
        <v>4.211436</v>
      </c>
      <c r="E2404">
        <v>0.333345</v>
      </c>
      <c r="F2404" t="s">
        <v>41</v>
      </c>
      <c r="G2404">
        <v>-491.6583</v>
      </c>
      <c r="H2404">
        <v>1.023007</v>
      </c>
      <c r="I2404">
        <v>237.59460000000001</v>
      </c>
      <c r="J2404">
        <v>-492.07889999999998</v>
      </c>
      <c r="K2404">
        <v>1.112263</v>
      </c>
      <c r="L2404">
        <v>238.27340000000001</v>
      </c>
      <c r="M2404">
        <v>-7.7211279999999998E-3</v>
      </c>
      <c r="N2404">
        <v>0</v>
      </c>
      <c r="O2404">
        <v>-0.99987470000000001</v>
      </c>
      <c r="P2404">
        <v>2.662629E-2</v>
      </c>
      <c r="Q2404">
        <v>3.5094319999999998E-2</v>
      </c>
      <c r="R2404">
        <v>-0.99902919999999995</v>
      </c>
      <c r="S2404">
        <v>1.3958440000000001</v>
      </c>
      <c r="T2404">
        <v>-0.2950083</v>
      </c>
      <c r="U2404">
        <v>-2.982971</v>
      </c>
      <c r="V2404">
        <v>-3.4594949999999999E-2</v>
      </c>
      <c r="W2404">
        <v>4.8713779999999998E-2</v>
      </c>
      <c r="X2404">
        <v>0.99821349999999998</v>
      </c>
      <c r="Y2404">
        <v>-0.42912600000000001</v>
      </c>
      <c r="Z2404">
        <v>8.9060009999999995E-2</v>
      </c>
      <c r="AA2404">
        <v>0.89884319999999895</v>
      </c>
      <c r="AB2404">
        <v>23</v>
      </c>
      <c r="AC2404">
        <v>0.42059999999997899</v>
      </c>
      <c r="AD2404">
        <v>-8.9255999999999905E-2</v>
      </c>
      <c r="AE2404">
        <v>-0.67879999999999496</v>
      </c>
      <c r="AF2404">
        <v>-0.42057470733664598</v>
      </c>
      <c r="AG2404">
        <v>-8.9255999999999905E-2</v>
      </c>
      <c r="AH2404">
        <v>0.66719647722501796</v>
      </c>
      <c r="AI2404">
        <v>96.456677029574706</v>
      </c>
      <c r="AJ2404">
        <v>122.22573645123801</v>
      </c>
      <c r="AK2404">
        <v>0.79372593330996799</v>
      </c>
      <c r="AL2404">
        <v>87.207800976882098</v>
      </c>
      <c r="AM2404">
        <v>91.984897635018697</v>
      </c>
      <c r="AN2404">
        <v>1.00000001725482</v>
      </c>
    </row>
    <row r="2405" spans="1:40" x14ac:dyDescent="0.25">
      <c r="A2405" t="str">
        <f>"20190312154557752"</f>
        <v>20190312154557752</v>
      </c>
      <c r="B2405" t="str">
        <f>"1552376757748717"</f>
        <v>1552376757748717</v>
      </c>
      <c r="C2405" t="s">
        <v>40</v>
      </c>
      <c r="D2405">
        <v>4.180669</v>
      </c>
      <c r="E2405">
        <v>0.3335361</v>
      </c>
      <c r="F2405" t="s">
        <v>41</v>
      </c>
      <c r="G2405">
        <v>-491.64940000000001</v>
      </c>
      <c r="H2405">
        <v>1.023512</v>
      </c>
      <c r="I2405">
        <v>237.36940000000001</v>
      </c>
      <c r="J2405">
        <v>-492.07679999999999</v>
      </c>
      <c r="K2405">
        <v>1.112295</v>
      </c>
      <c r="L2405">
        <v>238.06129999999999</v>
      </c>
      <c r="M2405">
        <v>-4.4282059999999996E-3</v>
      </c>
      <c r="N2405">
        <v>0</v>
      </c>
      <c r="O2405">
        <v>-0.99989459999999997</v>
      </c>
      <c r="P2405">
        <v>3.2022700000000001E-2</v>
      </c>
      <c r="Q2405">
        <v>3.5448849999999997E-2</v>
      </c>
      <c r="R2405">
        <v>-0.99885829999999998</v>
      </c>
      <c r="S2405">
        <v>1.4139710000000001</v>
      </c>
      <c r="T2405">
        <v>-0.29208230000000002</v>
      </c>
      <c r="U2405">
        <v>-2.9754640000000001</v>
      </c>
      <c r="V2405">
        <v>-3.6705729999999999E-2</v>
      </c>
      <c r="W2405">
        <v>4.9053359999999997E-2</v>
      </c>
      <c r="X2405">
        <v>0.99812140000000005</v>
      </c>
      <c r="Y2405">
        <v>-0.4315331</v>
      </c>
      <c r="Z2405">
        <v>8.8225540000000005E-2</v>
      </c>
      <c r="AA2405">
        <v>0.89777249999999997</v>
      </c>
      <c r="AB2405">
        <v>23</v>
      </c>
      <c r="AC2405">
        <v>0.42739999999997702</v>
      </c>
      <c r="AD2405">
        <v>-8.8783000000000001E-2</v>
      </c>
      <c r="AE2405">
        <v>-0.69189999999997498</v>
      </c>
      <c r="AF2405">
        <v>-0.425390241348586</v>
      </c>
      <c r="AG2405">
        <v>-8.8783000000000001E-2</v>
      </c>
      <c r="AH2405">
        <v>0.6818739489947</v>
      </c>
      <c r="AI2405">
        <v>96.303901522960004</v>
      </c>
      <c r="AJ2405">
        <v>121.958169279879</v>
      </c>
      <c r="AK2405">
        <v>0.80857365826573602</v>
      </c>
      <c r="AL2405">
        <v>87.188320959096401</v>
      </c>
      <c r="AM2405">
        <v>92.106092626188399</v>
      </c>
      <c r="AN2405">
        <v>0.999999935940039</v>
      </c>
    </row>
    <row r="2406" spans="1:40" x14ac:dyDescent="0.25">
      <c r="A2406" t="str">
        <f>"20190312154557787"</f>
        <v>20190312154557787</v>
      </c>
      <c r="B2406" t="str">
        <f>"1552376757778977"</f>
        <v>1552376757778977</v>
      </c>
      <c r="C2406" t="s">
        <v>40</v>
      </c>
      <c r="D2406">
        <v>4.1806809999999999</v>
      </c>
      <c r="E2406">
        <v>0.3338622</v>
      </c>
      <c r="F2406" t="s">
        <v>41</v>
      </c>
      <c r="G2406">
        <v>-491.64280000000002</v>
      </c>
      <c r="H2406">
        <v>1.025663</v>
      </c>
      <c r="I2406">
        <v>237.15960000000001</v>
      </c>
      <c r="J2406">
        <v>-492.07170000000002</v>
      </c>
      <c r="K2406">
        <v>1.11239</v>
      </c>
      <c r="L2406">
        <v>237.7133</v>
      </c>
      <c r="M2406">
        <v>1.1530850000000001E-3</v>
      </c>
      <c r="N2406">
        <v>0</v>
      </c>
      <c r="O2406">
        <v>-0.99990389999999996</v>
      </c>
      <c r="P2406">
        <v>3.8156490000000001E-2</v>
      </c>
      <c r="Q2406">
        <v>3.8298440000000003E-2</v>
      </c>
      <c r="R2406">
        <v>-0.99853769999999997</v>
      </c>
      <c r="S2406">
        <v>1.429352</v>
      </c>
      <c r="T2406">
        <v>-0.28507660000000001</v>
      </c>
      <c r="U2406">
        <v>-2.9677120000000001</v>
      </c>
      <c r="V2406">
        <v>-3.729006E-2</v>
      </c>
      <c r="W2406">
        <v>5.1890730000000003E-2</v>
      </c>
      <c r="X2406">
        <v>0.99795630000000002</v>
      </c>
      <c r="Y2406">
        <v>-0.43127140000000003</v>
      </c>
      <c r="Z2406">
        <v>8.6244730000000006E-2</v>
      </c>
      <c r="AA2406">
        <v>0.89809069999999902</v>
      </c>
      <c r="AB2406">
        <v>23</v>
      </c>
      <c r="AC2406">
        <v>0.42889999999999801</v>
      </c>
      <c r="AD2406">
        <v>-8.6726999999999999E-2</v>
      </c>
      <c r="AE2406">
        <v>-0.55369999999999198</v>
      </c>
      <c r="AF2406">
        <v>-0.42179370777334102</v>
      </c>
      <c r="AG2406">
        <v>-8.6726999999999999E-2</v>
      </c>
      <c r="AH2406">
        <v>0.54582494795459602</v>
      </c>
      <c r="AI2406">
        <v>97.165987793042405</v>
      </c>
      <c r="AJ2406">
        <v>127.695547356424</v>
      </c>
      <c r="AK2406">
        <v>0.69523836074818302</v>
      </c>
      <c r="AL2406">
        <v>87.025544255073399</v>
      </c>
      <c r="AM2406">
        <v>92.139942897415906</v>
      </c>
      <c r="AN2406">
        <v>0.99999998657221301</v>
      </c>
    </row>
    <row r="2407" spans="1:40" x14ac:dyDescent="0.25">
      <c r="A2407" t="str">
        <f>"20190312154557813"</f>
        <v>20190312154557813</v>
      </c>
      <c r="B2407" t="str">
        <f>"1552376757809229"</f>
        <v>1552376757809229</v>
      </c>
      <c r="C2407" t="s">
        <v>40</v>
      </c>
      <c r="D2407">
        <v>4.2235529999999999</v>
      </c>
      <c r="E2407">
        <v>0.33424700000000002</v>
      </c>
      <c r="F2407" t="s">
        <v>41</v>
      </c>
      <c r="G2407">
        <v>-491.6361</v>
      </c>
      <c r="H2407">
        <v>1.0323230000000001</v>
      </c>
      <c r="I2407">
        <v>236.8219</v>
      </c>
      <c r="J2407">
        <v>-492.06630000000001</v>
      </c>
      <c r="K2407">
        <v>1.1124989999999999</v>
      </c>
      <c r="L2407">
        <v>237.4564</v>
      </c>
      <c r="M2407">
        <v>5.4801199999999998E-3</v>
      </c>
      <c r="N2407">
        <v>0</v>
      </c>
      <c r="O2407">
        <v>-0.99988960000000005</v>
      </c>
      <c r="P2407">
        <v>4.1375460000000003E-2</v>
      </c>
      <c r="Q2407">
        <v>4.019259E-2</v>
      </c>
      <c r="R2407">
        <v>-0.99833499999999997</v>
      </c>
      <c r="S2407">
        <v>1.4469299999999901</v>
      </c>
      <c r="T2407">
        <v>-0.26579360000000002</v>
      </c>
      <c r="U2407">
        <v>-2.9592900000000002</v>
      </c>
      <c r="V2407">
        <v>-3.6212380000000002E-2</v>
      </c>
      <c r="W2407">
        <v>5.3784930000000002E-2</v>
      </c>
      <c r="X2407">
        <v>0.99789570000000005</v>
      </c>
      <c r="Y2407">
        <v>-0.43289499999999997</v>
      </c>
      <c r="Z2407">
        <v>8.052608E-2</v>
      </c>
      <c r="AA2407">
        <v>0.89784039999999998</v>
      </c>
      <c r="AB2407">
        <v>23</v>
      </c>
      <c r="AC2407">
        <v>0.43020000000001302</v>
      </c>
      <c r="AD2407">
        <v>-8.0175999999999997E-2</v>
      </c>
      <c r="AE2407">
        <v>-0.63450000000000195</v>
      </c>
      <c r="AF2407">
        <v>-0.42209890838708097</v>
      </c>
      <c r="AG2407">
        <v>-8.0175999999999997E-2</v>
      </c>
      <c r="AH2407">
        <v>0.629957403603432</v>
      </c>
      <c r="AI2407">
        <v>96.035556354656904</v>
      </c>
      <c r="AJ2407">
        <v>123.823808174973</v>
      </c>
      <c r="AK2407">
        <v>0.762523448683608</v>
      </c>
      <c r="AL2407">
        <v>86.916862770714403</v>
      </c>
      <c r="AM2407">
        <v>92.078279826791302</v>
      </c>
      <c r="AN2407">
        <v>0.99999999161942899</v>
      </c>
    </row>
    <row r="2408" spans="1:40" x14ac:dyDescent="0.25">
      <c r="A2408" t="str">
        <f>"20190312154557830"</f>
        <v>20190312154557830</v>
      </c>
      <c r="B2408" t="str">
        <f>"1552376757818990"</f>
        <v>1552376757818990</v>
      </c>
      <c r="C2408" t="s">
        <v>40</v>
      </c>
      <c r="D2408">
        <v>4.2174809999999896</v>
      </c>
      <c r="E2408">
        <v>0.3344145</v>
      </c>
      <c r="F2408" t="s">
        <v>41</v>
      </c>
      <c r="G2408">
        <v>-491.62240000000003</v>
      </c>
      <c r="H2408">
        <v>1.0341720000000001</v>
      </c>
      <c r="I2408">
        <v>236.55439999999999</v>
      </c>
      <c r="J2408">
        <v>-492.0616</v>
      </c>
      <c r="K2408">
        <v>1.112581</v>
      </c>
      <c r="L2408">
        <v>237.27080000000001</v>
      </c>
      <c r="M2408">
        <v>8.7198929999999994E-3</v>
      </c>
      <c r="N2408">
        <v>0</v>
      </c>
      <c r="O2408">
        <v>-0.99986649999999999</v>
      </c>
      <c r="P2408">
        <v>4.3245020000000002E-2</v>
      </c>
      <c r="Q2408">
        <v>4.099233E-2</v>
      </c>
      <c r="R2408">
        <v>-0.99822319999999998</v>
      </c>
      <c r="S2408">
        <v>1.4543459999999999</v>
      </c>
      <c r="T2408">
        <v>-0.25662580000000002</v>
      </c>
      <c r="U2408">
        <v>-2.955063</v>
      </c>
      <c r="V2408">
        <v>-3.4862320000000002E-2</v>
      </c>
      <c r="W2408">
        <v>5.458913E-2</v>
      </c>
      <c r="X2408">
        <v>0.99790009999999996</v>
      </c>
      <c r="Y2408">
        <v>-0.43239339999999998</v>
      </c>
      <c r="Z2408">
        <v>7.7833429999999995E-2</v>
      </c>
      <c r="AA2408">
        <v>0.89831949999999905</v>
      </c>
      <c r="AB2408">
        <v>23</v>
      </c>
      <c r="AC2408">
        <v>0.439199999999971</v>
      </c>
      <c r="AD2408">
        <v>-7.8409000000000104E-2</v>
      </c>
      <c r="AE2408">
        <v>-0.71640000000002102</v>
      </c>
      <c r="AF2408">
        <v>-0.42919889689111201</v>
      </c>
      <c r="AG2408">
        <v>-7.8409000000000104E-2</v>
      </c>
      <c r="AH2408">
        <v>0.71398648760468397</v>
      </c>
      <c r="AI2408">
        <v>95.376936189942199</v>
      </c>
      <c r="AJ2408">
        <v>121.01135061766701</v>
      </c>
      <c r="AK2408">
        <v>0.83674151854418</v>
      </c>
      <c r="AL2408">
        <v>86.870717676972205</v>
      </c>
      <c r="AM2408">
        <v>92.000853350481705</v>
      </c>
      <c r="AN2408">
        <v>0.99999998202497398</v>
      </c>
    </row>
    <row r="2409" spans="1:40" x14ac:dyDescent="0.25">
      <c r="A2409" t="str">
        <f>"20190312154557853"</f>
        <v>20190312154557853</v>
      </c>
      <c r="B2409" t="str">
        <f>"1552376757849246"</f>
        <v>1552376757849246</v>
      </c>
      <c r="C2409" t="s">
        <v>40</v>
      </c>
      <c r="D2409">
        <v>4.2136329999999997</v>
      </c>
      <c r="E2409">
        <v>0.33488079999999998</v>
      </c>
      <c r="F2409" t="s">
        <v>41</v>
      </c>
      <c r="G2409">
        <v>-491.61779999999999</v>
      </c>
      <c r="H2409">
        <v>1.0354239999999999</v>
      </c>
      <c r="I2409">
        <v>236.37129999999999</v>
      </c>
      <c r="J2409">
        <v>-492.05489999999998</v>
      </c>
      <c r="K2409">
        <v>1.1126910000000001</v>
      </c>
      <c r="L2409">
        <v>237.0444</v>
      </c>
      <c r="M2409">
        <v>1.2853359999999999E-2</v>
      </c>
      <c r="N2409">
        <v>0</v>
      </c>
      <c r="O2409">
        <v>-0.99982179999999998</v>
      </c>
      <c r="P2409">
        <v>4.5966350000000003E-2</v>
      </c>
      <c r="Q2409">
        <v>4.046363E-2</v>
      </c>
      <c r="R2409">
        <v>-0.99812310000000004</v>
      </c>
      <c r="S2409">
        <v>1.4581599999999999</v>
      </c>
      <c r="T2409">
        <v>-0.25324049999999998</v>
      </c>
      <c r="U2409">
        <v>-2.952591</v>
      </c>
      <c r="V2409">
        <v>-3.3468560000000001E-2</v>
      </c>
      <c r="W2409">
        <v>5.406586E-2</v>
      </c>
      <c r="X2409">
        <v>0.99797630000000004</v>
      </c>
      <c r="Y2409">
        <v>-0.4299309</v>
      </c>
      <c r="Z2409">
        <v>7.6892409999999994E-2</v>
      </c>
      <c r="AA2409">
        <v>0.89958159999999898</v>
      </c>
      <c r="AB2409">
        <v>23</v>
      </c>
      <c r="AC2409">
        <v>0.437099999999986</v>
      </c>
      <c r="AD2409">
        <v>-7.7266999999999905E-2</v>
      </c>
      <c r="AE2409">
        <v>-0.67310000000000503</v>
      </c>
      <c r="AF2409">
        <v>-0.424477088322118</v>
      </c>
      <c r="AG2409">
        <v>-7.7266999999999905E-2</v>
      </c>
      <c r="AH2409">
        <v>0.67243053429815203</v>
      </c>
      <c r="AI2409">
        <v>95.549819943383497</v>
      </c>
      <c r="AJ2409">
        <v>122.26249304103099</v>
      </c>
      <c r="AK2409">
        <v>0.79894543697046205</v>
      </c>
      <c r="AL2409">
        <v>86.900743172139201</v>
      </c>
      <c r="AM2409">
        <v>91.920775887456699</v>
      </c>
      <c r="AN2409">
        <v>0.99999997854385103</v>
      </c>
    </row>
    <row r="2410" spans="1:40" x14ac:dyDescent="0.25">
      <c r="A2410" t="str">
        <f>"20190312154557875"</f>
        <v>20190312154557875</v>
      </c>
      <c r="B2410" t="str">
        <f>"1552376757869741"</f>
        <v>1552376757869741</v>
      </c>
      <c r="C2410" t="s">
        <v>40</v>
      </c>
      <c r="D2410">
        <v>4.2238179999999996</v>
      </c>
      <c r="E2410">
        <v>0.3350667</v>
      </c>
      <c r="F2410" t="s">
        <v>53</v>
      </c>
      <c r="G2410">
        <v>-485.72489999999999</v>
      </c>
      <c r="H2410" s="1">
        <v>4.0423360000000004E-6</v>
      </c>
      <c r="I2410">
        <v>224.28370000000001</v>
      </c>
      <c r="J2410">
        <v>-492.0471</v>
      </c>
      <c r="K2410">
        <v>1.112814</v>
      </c>
      <c r="L2410">
        <v>236.81870000000001</v>
      </c>
      <c r="M2410">
        <v>1.720257E-2</v>
      </c>
      <c r="N2410">
        <v>0</v>
      </c>
      <c r="O2410">
        <v>-0.99975639999999999</v>
      </c>
      <c r="P2410">
        <v>4.9549620000000003E-2</v>
      </c>
      <c r="Q2410">
        <v>3.8947330000000002E-2</v>
      </c>
      <c r="R2410">
        <v>-0.99801220000000002</v>
      </c>
      <c r="S2410">
        <v>1.4627079999999999</v>
      </c>
      <c r="T2410">
        <v>-0.25711440000000002</v>
      </c>
      <c r="U2410">
        <v>-2.9486690000000002</v>
      </c>
      <c r="V2410">
        <v>-3.2716460000000003E-2</v>
      </c>
      <c r="W2410">
        <v>5.2552160000000001E-2</v>
      </c>
      <c r="X2410">
        <v>0.99808209999999997</v>
      </c>
      <c r="Y2410">
        <v>-0.42754999999999999</v>
      </c>
      <c r="Z2410">
        <v>7.8166639999999996E-2</v>
      </c>
      <c r="AA2410">
        <v>0.90060589999999996</v>
      </c>
      <c r="AB2410">
        <v>23</v>
      </c>
      <c r="AC2410">
        <v>6.3221999999999996</v>
      </c>
      <c r="AD2410">
        <v>-1.112809957664</v>
      </c>
      <c r="AE2410">
        <v>-12.534999999999901</v>
      </c>
      <c r="AF2410">
        <v>-6.0674877691028701</v>
      </c>
      <c r="AG2410">
        <v>-1.112809957664</v>
      </c>
      <c r="AH2410">
        <v>12.562980751933701</v>
      </c>
      <c r="AI2410">
        <v>94.560430846950297</v>
      </c>
      <c r="AJ2410">
        <v>115.77894530673299</v>
      </c>
      <c r="AK2410">
        <v>13.995757900290601</v>
      </c>
      <c r="AL2410">
        <v>86.987595328444101</v>
      </c>
      <c r="AM2410">
        <v>91.877444883637395</v>
      </c>
      <c r="AN2410">
        <v>0.99999998730800299</v>
      </c>
    </row>
    <row r="2411" spans="1:40" x14ac:dyDescent="0.25">
      <c r="A2411" t="str">
        <f>"20190312154557899"</f>
        <v>20190312154557899</v>
      </c>
      <c r="B2411" t="str">
        <f>"1552376757889261"</f>
        <v>1552376757889261</v>
      </c>
      <c r="C2411" t="s">
        <v>40</v>
      </c>
      <c r="D2411">
        <v>4.2416879999999999</v>
      </c>
      <c r="E2411">
        <v>0.33522289999999999</v>
      </c>
      <c r="F2411" t="s">
        <v>53</v>
      </c>
      <c r="G2411">
        <v>-485.82499999999999</v>
      </c>
      <c r="H2411" s="1">
        <v>4.0931559999999997E-6</v>
      </c>
      <c r="I2411">
        <v>224.37610000000001</v>
      </c>
      <c r="J2411">
        <v>-492.03769999999997</v>
      </c>
      <c r="K2411">
        <v>1.112967</v>
      </c>
      <c r="L2411">
        <v>236.58260000000001</v>
      </c>
      <c r="M2411">
        <v>2.200889E-2</v>
      </c>
      <c r="N2411">
        <v>0</v>
      </c>
      <c r="O2411">
        <v>-0.99966200000000005</v>
      </c>
      <c r="P2411">
        <v>5.4930130000000001E-2</v>
      </c>
      <c r="Q2411">
        <v>3.8228659999999998E-2</v>
      </c>
      <c r="R2411">
        <v>-0.99775840000000005</v>
      </c>
      <c r="S2411">
        <v>1.4717709999999999</v>
      </c>
      <c r="T2411">
        <v>-0.2632234</v>
      </c>
      <c r="U2411">
        <v>-2.9431609999999999</v>
      </c>
      <c r="V2411">
        <v>-3.3313580000000002E-2</v>
      </c>
      <c r="W2411">
        <v>5.1827869999999998E-2</v>
      </c>
      <c r="X2411">
        <v>0.99810019999999999</v>
      </c>
      <c r="Y2411">
        <v>-0.42603020000000003</v>
      </c>
      <c r="Z2411">
        <v>8.0110920000000002E-2</v>
      </c>
      <c r="AA2411">
        <v>0.90115509999999999</v>
      </c>
      <c r="AB2411">
        <v>23</v>
      </c>
      <c r="AC2411">
        <v>6.2126999999999803</v>
      </c>
      <c r="AD2411">
        <v>-1.1129629068439999</v>
      </c>
      <c r="AE2411">
        <v>-12.2065</v>
      </c>
      <c r="AF2411">
        <v>-5.9035369165911504</v>
      </c>
      <c r="AG2411">
        <v>-1.1129629068439999</v>
      </c>
      <c r="AH2411">
        <v>12.2593427720962</v>
      </c>
      <c r="AI2411">
        <v>94.676098592277597</v>
      </c>
      <c r="AJ2411">
        <v>115.713331922373</v>
      </c>
      <c r="AK2411">
        <v>13.652176374531299</v>
      </c>
      <c r="AL2411">
        <v>87.029150659449002</v>
      </c>
      <c r="AM2411">
        <v>91.911650973310202</v>
      </c>
      <c r="AN2411">
        <v>0.99999996598059604</v>
      </c>
    </row>
    <row r="2412" spans="1:40" x14ac:dyDescent="0.25">
      <c r="A2412" t="str">
        <f>"20190312154557922"</f>
        <v>20190312154557922</v>
      </c>
      <c r="B2412" t="str">
        <f>"1552376757919519"</f>
        <v>1552376757919519</v>
      </c>
      <c r="C2412" t="s">
        <v>40</v>
      </c>
      <c r="D2412">
        <v>4.2286979999999996</v>
      </c>
      <c r="E2412">
        <v>0.33548240000000001</v>
      </c>
      <c r="F2412" t="s">
        <v>53</v>
      </c>
      <c r="G2412">
        <v>-485.82339999999999</v>
      </c>
      <c r="H2412" s="1">
        <v>4.0724710000000002E-6</v>
      </c>
      <c r="I2412">
        <v>224.31049999999999</v>
      </c>
      <c r="J2412">
        <v>-492.02730000000003</v>
      </c>
      <c r="K2412">
        <v>1.1131279999999999</v>
      </c>
      <c r="L2412">
        <v>236.35810000000001</v>
      </c>
      <c r="M2412">
        <v>2.6840200000000002E-2</v>
      </c>
      <c r="N2412">
        <v>0</v>
      </c>
      <c r="O2412">
        <v>-0.99954359999999998</v>
      </c>
      <c r="P2412">
        <v>6.0589259999999999E-2</v>
      </c>
      <c r="Q2412">
        <v>3.8392900000000001E-2</v>
      </c>
      <c r="R2412">
        <v>-0.99742419999999998</v>
      </c>
      <c r="S2412">
        <v>1.486267</v>
      </c>
      <c r="T2412">
        <v>-0.2661868</v>
      </c>
      <c r="U2412">
        <v>-2.9351039999999999</v>
      </c>
      <c r="V2412">
        <v>-3.4173299999999997E-2</v>
      </c>
      <c r="W2412">
        <v>5.198502E-2</v>
      </c>
      <c r="X2412">
        <v>0.99806300000000003</v>
      </c>
      <c r="Y2412">
        <v>-0.42616359999999998</v>
      </c>
      <c r="Z2412">
        <v>8.1101679999999995E-2</v>
      </c>
      <c r="AA2412">
        <v>0.90100340000000001</v>
      </c>
      <c r="AB2412">
        <v>23</v>
      </c>
      <c r="AC2412">
        <v>6.2039000000000302</v>
      </c>
      <c r="AD2412">
        <v>-1.1131239275289999</v>
      </c>
      <c r="AE2412">
        <v>-12.047599999999999</v>
      </c>
      <c r="AF2412">
        <v>-5.8388762508411602</v>
      </c>
      <c r="AG2412">
        <v>-1.1131239275289999</v>
      </c>
      <c r="AH2412">
        <v>12.1279566526014</v>
      </c>
      <c r="AI2412">
        <v>94.727419722338993</v>
      </c>
      <c r="AJ2412">
        <v>115.70799670954599</v>
      </c>
      <c r="AK2412">
        <v>13.506252378733899</v>
      </c>
      <c r="AL2412">
        <v>87.020134587577104</v>
      </c>
      <c r="AM2412">
        <v>91.961019745678399</v>
      </c>
      <c r="AN2412">
        <v>1.0000000043531401</v>
      </c>
    </row>
    <row r="2413" spans="1:40" x14ac:dyDescent="0.25">
      <c r="A2413" t="str">
        <f>"20190312154557942"</f>
        <v>20190312154557942</v>
      </c>
      <c r="B2413" t="str">
        <f>"1552376757939038"</f>
        <v>1552376757939038</v>
      </c>
      <c r="C2413" t="s">
        <v>40</v>
      </c>
      <c r="D2413">
        <v>4.2324909999999996</v>
      </c>
      <c r="E2413">
        <v>0.33563150000000003</v>
      </c>
      <c r="F2413" t="s">
        <v>53</v>
      </c>
      <c r="G2413">
        <v>-485.76900000000001</v>
      </c>
      <c r="H2413" s="1">
        <v>4.012772E-6</v>
      </c>
      <c r="I2413">
        <v>224.1567</v>
      </c>
      <c r="J2413">
        <v>-492.01639999999998</v>
      </c>
      <c r="K2413">
        <v>1.1132899999999999</v>
      </c>
      <c r="L2413">
        <v>236.149</v>
      </c>
      <c r="M2413">
        <v>3.158499E-2</v>
      </c>
      <c r="N2413">
        <v>0</v>
      </c>
      <c r="O2413">
        <v>-0.99940499999999999</v>
      </c>
      <c r="P2413">
        <v>6.5936320000000007E-2</v>
      </c>
      <c r="Q2413">
        <v>3.9551950000000002E-2</v>
      </c>
      <c r="R2413">
        <v>-0.99703989999999998</v>
      </c>
      <c r="S2413">
        <v>1.5012209999999999</v>
      </c>
      <c r="T2413">
        <v>-0.2670131</v>
      </c>
      <c r="U2413">
        <v>-2.9268190000000001</v>
      </c>
      <c r="V2413">
        <v>-3.4817460000000001E-2</v>
      </c>
      <c r="W2413">
        <v>5.3137370000000003E-2</v>
      </c>
      <c r="X2413">
        <v>0.99798010000000004</v>
      </c>
      <c r="Y2413">
        <v>-0.42653970000000002</v>
      </c>
      <c r="Z2413">
        <v>8.1441769999999997E-2</v>
      </c>
      <c r="AA2413">
        <v>0.90079469999999995</v>
      </c>
      <c r="AB2413">
        <v>23</v>
      </c>
      <c r="AC2413">
        <v>6.2473999999999696</v>
      </c>
      <c r="AD2413">
        <v>-1.1132859872280001</v>
      </c>
      <c r="AE2413">
        <v>-11.9923</v>
      </c>
      <c r="AF2413">
        <v>-5.8259782893068301</v>
      </c>
      <c r="AG2413">
        <v>-1.1132859872280001</v>
      </c>
      <c r="AH2413">
        <v>12.101628381377401</v>
      </c>
      <c r="AI2413">
        <v>94.738378427430305</v>
      </c>
      <c r="AJ2413">
        <v>115.70714151240399</v>
      </c>
      <c r="AK2413">
        <v>13.4770485714711</v>
      </c>
      <c r="AL2413">
        <v>86.954018563539293</v>
      </c>
      <c r="AM2413">
        <v>91.998120732711001</v>
      </c>
      <c r="AN2413">
        <v>1.0000000578036801</v>
      </c>
    </row>
    <row r="2414" spans="1:40" x14ac:dyDescent="0.25">
      <c r="A2414" t="str">
        <f>"20190312154557966"</f>
        <v>20190312154557966</v>
      </c>
      <c r="B2414" t="str">
        <f>"1552376757959534"</f>
        <v>1552376757959534</v>
      </c>
      <c r="C2414" t="s">
        <v>40</v>
      </c>
      <c r="D2414">
        <v>4.2288940000000004</v>
      </c>
      <c r="E2414">
        <v>0.335804299999999</v>
      </c>
      <c r="F2414" t="s">
        <v>53</v>
      </c>
      <c r="G2414">
        <v>-485.60980000000001</v>
      </c>
      <c r="H2414" s="1">
        <v>3.8712210000000003E-6</v>
      </c>
      <c r="I2414">
        <v>223.81379999999999</v>
      </c>
      <c r="J2414">
        <v>-492.00330000000002</v>
      </c>
      <c r="K2414">
        <v>1.1134630000000001</v>
      </c>
      <c r="L2414">
        <v>235.9254</v>
      </c>
      <c r="M2414">
        <v>3.6947599999999997E-2</v>
      </c>
      <c r="N2414">
        <v>0</v>
      </c>
      <c r="O2414">
        <v>-0.99922080000000002</v>
      </c>
      <c r="P2414">
        <v>7.1985950000000007E-2</v>
      </c>
      <c r="Q2414">
        <v>4.1129609999999997E-2</v>
      </c>
      <c r="R2414">
        <v>-0.99655740000000004</v>
      </c>
      <c r="S2414">
        <v>1.5160830000000001</v>
      </c>
      <c r="T2414">
        <v>-0.26345299999999999</v>
      </c>
      <c r="U2414">
        <v>-2.9190830000000001</v>
      </c>
      <c r="V2414">
        <v>-3.5556789999999998E-2</v>
      </c>
      <c r="W2414">
        <v>5.4709109999999998E-2</v>
      </c>
      <c r="X2414">
        <v>0.99786900000000001</v>
      </c>
      <c r="Y2414">
        <v>-0.42631590000000003</v>
      </c>
      <c r="Z2414">
        <v>8.0445329999999995E-2</v>
      </c>
      <c r="AA2414">
        <v>0.90099010000000002</v>
      </c>
      <c r="AB2414">
        <v>23</v>
      </c>
      <c r="AC2414">
        <v>6.3935000000000102</v>
      </c>
      <c r="AD2414">
        <v>-1.1134591287790001</v>
      </c>
      <c r="AE2414">
        <v>-12.111599999999999</v>
      </c>
      <c r="AF2414">
        <v>-5.9025809601258796</v>
      </c>
      <c r="AG2414">
        <v>-1.1134591287790001</v>
      </c>
      <c r="AH2414">
        <v>12.258548931559901</v>
      </c>
      <c r="AI2414">
        <v>94.678561020259195</v>
      </c>
      <c r="AJ2414">
        <v>115.711155279308</v>
      </c>
      <c r="AK2414">
        <v>13.6510906205237</v>
      </c>
      <c r="AL2414">
        <v>86.863832961130001</v>
      </c>
      <c r="AM2414">
        <v>92.040741248224805</v>
      </c>
      <c r="AN2414">
        <v>0.99999995659654695</v>
      </c>
    </row>
    <row r="2415" spans="1:40" x14ac:dyDescent="0.25">
      <c r="A2415" t="str">
        <f>"20190312154557990"</f>
        <v>20190312154557990</v>
      </c>
      <c r="B2415" t="str">
        <f>"1552376757979053"</f>
        <v>1552376757979053</v>
      </c>
      <c r="C2415" t="s">
        <v>40</v>
      </c>
      <c r="D2415">
        <v>4.21753</v>
      </c>
      <c r="E2415">
        <v>0.33592569999999999</v>
      </c>
      <c r="F2415" t="s">
        <v>41</v>
      </c>
      <c r="G2415">
        <v>-491.53399999999999</v>
      </c>
      <c r="H2415">
        <v>1.0343960000000001</v>
      </c>
      <c r="I2415">
        <v>235.0343</v>
      </c>
      <c r="J2415">
        <v>-491.98680000000002</v>
      </c>
      <c r="K2415">
        <v>1.1136569999999999</v>
      </c>
      <c r="L2415">
        <v>235.67619999999999</v>
      </c>
      <c r="M2415">
        <v>4.3263019999999999E-2</v>
      </c>
      <c r="N2415">
        <v>0</v>
      </c>
      <c r="O2415">
        <v>-0.99896689999999999</v>
      </c>
      <c r="P2415">
        <v>7.8573920000000005E-2</v>
      </c>
      <c r="Q2415">
        <v>4.1554550000000003E-2</v>
      </c>
      <c r="R2415">
        <v>-0.99604230000000005</v>
      </c>
      <c r="S2415">
        <v>1.5332950000000001</v>
      </c>
      <c r="T2415">
        <v>-0.25818350000000001</v>
      </c>
      <c r="U2415">
        <v>-2.9102480000000002</v>
      </c>
      <c r="V2415">
        <v>-3.587713E-2</v>
      </c>
      <c r="W2415">
        <v>5.513477E-2</v>
      </c>
      <c r="X2415">
        <v>0.99783409999999995</v>
      </c>
      <c r="Y2415">
        <v>-0.42595830000000001</v>
      </c>
      <c r="Z2415">
        <v>7.893298E-2</v>
      </c>
      <c r="AA2415">
        <v>0.90129300000000001</v>
      </c>
      <c r="AB2415">
        <v>23</v>
      </c>
      <c r="AC2415">
        <v>0.45280000000002402</v>
      </c>
      <c r="AD2415">
        <v>-7.9260999999999998E-2</v>
      </c>
      <c r="AE2415">
        <v>-0.64189999999999203</v>
      </c>
      <c r="AF2415">
        <v>-0.42032344861062299</v>
      </c>
      <c r="AG2415">
        <v>-7.9260999999999998E-2</v>
      </c>
      <c r="AH2415">
        <v>0.654229580739905</v>
      </c>
      <c r="AI2415">
        <v>95.819948889720195</v>
      </c>
      <c r="AJ2415">
        <v>122.719563514052</v>
      </c>
      <c r="AK2415">
        <v>0.78164598885175596</v>
      </c>
      <c r="AL2415">
        <v>86.839407554936201</v>
      </c>
      <c r="AM2415">
        <v>92.059182996654897</v>
      </c>
      <c r="AN2415">
        <v>0.99999995122139795</v>
      </c>
    </row>
    <row r="2416" spans="1:40" x14ac:dyDescent="0.25">
      <c r="A2416" t="str">
        <f>"20190312154558010"</f>
        <v>20190312154558010</v>
      </c>
      <c r="B2416" t="str">
        <f>"1552376757999549"</f>
        <v>1552376757999549</v>
      </c>
      <c r="C2416" t="s">
        <v>40</v>
      </c>
      <c r="D2416">
        <v>4.2037089999999999</v>
      </c>
      <c r="E2416">
        <v>0.336032</v>
      </c>
      <c r="F2416" t="s">
        <v>41</v>
      </c>
      <c r="G2416">
        <v>-491.50700000000001</v>
      </c>
      <c r="H2416">
        <v>1.033995</v>
      </c>
      <c r="I2416">
        <v>234.779</v>
      </c>
      <c r="J2416">
        <v>-491.97250000000003</v>
      </c>
      <c r="K2416">
        <v>1.1137859999999999</v>
      </c>
      <c r="L2416">
        <v>235.47929999999999</v>
      </c>
      <c r="M2416">
        <v>4.8448310000000001E-2</v>
      </c>
      <c r="N2416">
        <v>0</v>
      </c>
      <c r="O2416">
        <v>-0.99872859999999997</v>
      </c>
      <c r="P2416">
        <v>8.3000089999999999E-2</v>
      </c>
      <c r="Q2416">
        <v>4.042813E-2</v>
      </c>
      <c r="R2416">
        <v>-0.99572910000000003</v>
      </c>
      <c r="S2416">
        <v>1.5515749999999999</v>
      </c>
      <c r="T2416">
        <v>-0.25750650000000003</v>
      </c>
      <c r="U2416">
        <v>-2.9002840000000001</v>
      </c>
      <c r="V2416">
        <v>-3.5136519999999997E-2</v>
      </c>
      <c r="W2416">
        <v>5.402063E-2</v>
      </c>
      <c r="X2416">
        <v>0.99792150000000002</v>
      </c>
      <c r="Y2416">
        <v>-0.42697420000000003</v>
      </c>
      <c r="Z2416">
        <v>7.8807089999999996E-2</v>
      </c>
      <c r="AA2416">
        <v>0.90082320000000005</v>
      </c>
      <c r="AB2416">
        <v>22</v>
      </c>
      <c r="AC2416">
        <v>0.46550000000007602</v>
      </c>
      <c r="AD2416">
        <v>-7.9791000000000098E-2</v>
      </c>
      <c r="AE2416">
        <v>-0.70029999999996995</v>
      </c>
      <c r="AF2416">
        <v>-0.42717545482710201</v>
      </c>
      <c r="AG2416">
        <v>-7.9791000000000098E-2</v>
      </c>
      <c r="AH2416">
        <v>0.71558940095591905</v>
      </c>
      <c r="AI2416">
        <v>95.468949947623003</v>
      </c>
      <c r="AJ2416">
        <v>120.835346896057</v>
      </c>
      <c r="AK2416">
        <v>0.83720586694563603</v>
      </c>
      <c r="AL2416">
        <v>86.903338711225501</v>
      </c>
      <c r="AM2416">
        <v>92.016534361410905</v>
      </c>
      <c r="AN2416">
        <v>1.00000006183277</v>
      </c>
    </row>
    <row r="2417" spans="1:40" x14ac:dyDescent="0.25">
      <c r="A2417" t="str">
        <f>"20190312154558032"</f>
        <v>20190312154558032</v>
      </c>
      <c r="B2417" t="str">
        <f>"1552376758029805"</f>
        <v>1552376758029805</v>
      </c>
      <c r="C2417" t="s">
        <v>40</v>
      </c>
      <c r="D2417">
        <v>4.1633120000000003</v>
      </c>
      <c r="E2417">
        <v>0.3362077</v>
      </c>
      <c r="F2417" t="s">
        <v>41</v>
      </c>
      <c r="G2417">
        <v>-491.48689999999999</v>
      </c>
      <c r="H2417">
        <v>1.032629</v>
      </c>
      <c r="I2417">
        <v>234.58109999999999</v>
      </c>
      <c r="J2417">
        <v>-491.95510000000002</v>
      </c>
      <c r="K2417">
        <v>1.1139079999999999</v>
      </c>
      <c r="L2417">
        <v>235.26159999999999</v>
      </c>
      <c r="M2417">
        <v>5.4403720000000003E-2</v>
      </c>
      <c r="N2417">
        <v>0</v>
      </c>
      <c r="O2417">
        <v>-0.99842180000000003</v>
      </c>
      <c r="P2417">
        <v>8.7521139999999997E-2</v>
      </c>
      <c r="Q2417">
        <v>3.8555819999999998E-2</v>
      </c>
      <c r="R2417">
        <v>-0.99541639999999998</v>
      </c>
      <c r="S2417">
        <v>1.563995</v>
      </c>
      <c r="T2417">
        <v>-0.2613934</v>
      </c>
      <c r="U2417">
        <v>-2.8931269999999998</v>
      </c>
      <c r="V2417">
        <v>-3.3712279999999997E-2</v>
      </c>
      <c r="W2417">
        <v>5.2168340000000001E-2</v>
      </c>
      <c r="X2417">
        <v>0.99806910000000004</v>
      </c>
      <c r="Y2417">
        <v>-0.4254616</v>
      </c>
      <c r="Z2417">
        <v>8.0077419999999996E-2</v>
      </c>
      <c r="AA2417">
        <v>0.90142670000000003</v>
      </c>
      <c r="AB2417">
        <v>22</v>
      </c>
      <c r="AC2417">
        <v>0.46820000000002399</v>
      </c>
      <c r="AD2417">
        <v>-8.1278999999999796E-2</v>
      </c>
      <c r="AE2417">
        <v>-0.680499999999994</v>
      </c>
      <c r="AF2417">
        <v>-0.42635298948162997</v>
      </c>
      <c r="AG2417">
        <v>-8.1278999999999796E-2</v>
      </c>
      <c r="AH2417">
        <v>0.69820592550796801</v>
      </c>
      <c r="AI2417">
        <v>95.673851255093496</v>
      </c>
      <c r="AJ2417">
        <v>121.409939668042</v>
      </c>
      <c r="AK2417">
        <v>0.82211596620875904</v>
      </c>
      <c r="AL2417">
        <v>87.009616813557003</v>
      </c>
      <c r="AM2417">
        <v>91.934572741534197</v>
      </c>
      <c r="AN2417">
        <v>0.99999999094798198</v>
      </c>
    </row>
    <row r="2418" spans="1:40" x14ac:dyDescent="0.25">
      <c r="A2418" t="str">
        <f>"20190312154558054"</f>
        <v>20190312154558054</v>
      </c>
      <c r="B2418" t="str">
        <f>"1552376758049326"</f>
        <v>1552376758049326</v>
      </c>
      <c r="C2418" t="s">
        <v>40</v>
      </c>
      <c r="D2418">
        <v>4.1156389999999998</v>
      </c>
      <c r="E2418">
        <v>0.33630650000000001</v>
      </c>
      <c r="F2418" t="s">
        <v>53</v>
      </c>
      <c r="G2418">
        <v>-485.34309999999999</v>
      </c>
      <c r="H2418" s="1">
        <v>3.609095E-6</v>
      </c>
      <c r="I2418">
        <v>223.1585</v>
      </c>
      <c r="J2418">
        <v>-491.93669999999997</v>
      </c>
      <c r="K2418">
        <v>1.1140270000000001</v>
      </c>
      <c r="L2418">
        <v>235.04859999999999</v>
      </c>
      <c r="M2418">
        <v>6.0464469999999999E-2</v>
      </c>
      <c r="N2418">
        <v>0</v>
      </c>
      <c r="O2418">
        <v>-0.99807290000000004</v>
      </c>
      <c r="P2418">
        <v>9.1984650000000001E-2</v>
      </c>
      <c r="Q2418">
        <v>3.6873749999999997E-2</v>
      </c>
      <c r="R2418">
        <v>-0.99507769999999995</v>
      </c>
      <c r="S2418">
        <v>1.5763849999999999</v>
      </c>
      <c r="T2418">
        <v>-0.26556679999999999</v>
      </c>
      <c r="U2418">
        <v>-2.8854980000000001</v>
      </c>
      <c r="V2418">
        <v>-3.2124470000000002E-2</v>
      </c>
      <c r="W2418">
        <v>5.0509239999999997E-2</v>
      </c>
      <c r="X2418">
        <v>0.99820679999999995</v>
      </c>
      <c r="Y2418">
        <v>-0.42390119999999998</v>
      </c>
      <c r="Z2418">
        <v>8.1443970000000004E-2</v>
      </c>
      <c r="AA2418">
        <v>0.90203920000000004</v>
      </c>
      <c r="AB2418">
        <v>22</v>
      </c>
      <c r="AC2418">
        <v>6.5935999999999799</v>
      </c>
      <c r="AD2418">
        <v>-1.1140233909049999</v>
      </c>
      <c r="AE2418">
        <v>-11.890099999999901</v>
      </c>
      <c r="AF2418">
        <v>-5.8234376815678699</v>
      </c>
      <c r="AG2418">
        <v>-1.1140233909049999</v>
      </c>
      <c r="AH2418">
        <v>12.1852489056987</v>
      </c>
      <c r="AI2418">
        <v>94.715536052417605</v>
      </c>
      <c r="AJ2418">
        <v>115.543545933582</v>
      </c>
      <c r="AK2418">
        <v>13.551153657176901</v>
      </c>
      <c r="AL2418">
        <v>87.104801772053506</v>
      </c>
      <c r="AM2418">
        <v>91.843266860029502</v>
      </c>
      <c r="AN2418">
        <v>0.99999999023219899</v>
      </c>
    </row>
    <row r="2419" spans="1:40" x14ac:dyDescent="0.25">
      <c r="A2419" t="str">
        <f>"20190312154558089"</f>
        <v>20190312154558089</v>
      </c>
      <c r="B2419" t="str">
        <f>"1552376758079584"</f>
        <v>1552376758079584</v>
      </c>
      <c r="C2419" t="s">
        <v>40</v>
      </c>
      <c r="D2419">
        <v>4.1138629999999896</v>
      </c>
      <c r="E2419">
        <v>0.3364973</v>
      </c>
      <c r="F2419" t="s">
        <v>53</v>
      </c>
      <c r="G2419">
        <v>-485.35410000000002</v>
      </c>
      <c r="H2419" s="1">
        <v>3.6006170000000001E-6</v>
      </c>
      <c r="I2419">
        <v>223.1233</v>
      </c>
      <c r="J2419">
        <v>-491.90370000000001</v>
      </c>
      <c r="K2419">
        <v>1.1142369999999999</v>
      </c>
      <c r="L2419">
        <v>234.70580000000001</v>
      </c>
      <c r="M2419">
        <v>7.0725220000000005E-2</v>
      </c>
      <c r="N2419">
        <v>0</v>
      </c>
      <c r="O2419">
        <v>-0.9973978</v>
      </c>
      <c r="P2419">
        <v>9.9920380000000003E-2</v>
      </c>
      <c r="Q2419">
        <v>3.3661280000000002E-2</v>
      </c>
      <c r="R2419">
        <v>-0.99442609999999998</v>
      </c>
      <c r="S2419">
        <v>1.5885929999999999</v>
      </c>
      <c r="T2419">
        <v>-0.26884940000000002</v>
      </c>
      <c r="U2419">
        <v>-2.8779599999999999</v>
      </c>
      <c r="V2419">
        <v>-2.9808129999999999E-2</v>
      </c>
      <c r="W2419">
        <v>4.7338249999999998E-2</v>
      </c>
      <c r="X2419">
        <v>0.99843409999999999</v>
      </c>
      <c r="Y2419">
        <v>-0.4184736</v>
      </c>
      <c r="Z2419">
        <v>8.2575809999999999E-2</v>
      </c>
      <c r="AA2419">
        <v>0.90446729999999997</v>
      </c>
      <c r="AB2419">
        <v>22</v>
      </c>
      <c r="AC2419">
        <v>6.5495999999999901</v>
      </c>
      <c r="AD2419">
        <v>-1.114233399383</v>
      </c>
      <c r="AE2419">
        <v>-11.5825</v>
      </c>
      <c r="AF2419">
        <v>-5.6741524067529401</v>
      </c>
      <c r="AG2419">
        <v>-1.114233399383</v>
      </c>
      <c r="AH2419">
        <v>11.933080233114501</v>
      </c>
      <c r="AI2419">
        <v>94.8201149371924</v>
      </c>
      <c r="AJ2419">
        <v>115.430980997707</v>
      </c>
      <c r="AK2419">
        <v>13.2603139274042</v>
      </c>
      <c r="AL2419">
        <v>87.286704163538602</v>
      </c>
      <c r="AM2419">
        <v>91.710050664658993</v>
      </c>
      <c r="AN2419">
        <v>1.00000004328498</v>
      </c>
    </row>
    <row r="2420" spans="1:40" x14ac:dyDescent="0.25">
      <c r="A2420" t="str">
        <f>"20190312154558114"</f>
        <v>20190312154558114</v>
      </c>
      <c r="B2420" t="str">
        <f>"1552376758108862"</f>
        <v>1552376758108862</v>
      </c>
      <c r="C2420" t="s">
        <v>40</v>
      </c>
      <c r="D2420">
        <v>3.9850099999999999</v>
      </c>
      <c r="E2420">
        <v>0.33671329999999999</v>
      </c>
      <c r="F2420" t="s">
        <v>41</v>
      </c>
      <c r="G2420">
        <v>-491.39299999999997</v>
      </c>
      <c r="H2420">
        <v>1.0266649999999999</v>
      </c>
      <c r="I2420">
        <v>233.79759999999999</v>
      </c>
      <c r="J2420">
        <v>-491.87729999999999</v>
      </c>
      <c r="K2420">
        <v>1.1143959999999999</v>
      </c>
      <c r="L2420">
        <v>234.46010000000001</v>
      </c>
      <c r="M2420">
        <v>7.846728E-2</v>
      </c>
      <c r="N2420">
        <v>0</v>
      </c>
      <c r="O2420">
        <v>-0.99681819999999999</v>
      </c>
      <c r="P2420">
        <v>0.1058994</v>
      </c>
      <c r="Q2420">
        <v>3.165428E-2</v>
      </c>
      <c r="R2420">
        <v>-0.99387309999999995</v>
      </c>
      <c r="S2420">
        <v>1.6109009999999999</v>
      </c>
      <c r="T2420">
        <v>-0.27618680000000001</v>
      </c>
      <c r="U2420">
        <v>-2.8643190000000001</v>
      </c>
      <c r="V2420">
        <v>-2.805436E-2</v>
      </c>
      <c r="W2420">
        <v>4.5365799999999998E-2</v>
      </c>
      <c r="X2420">
        <v>0.99857649999999998</v>
      </c>
      <c r="Y2420">
        <v>-0.41852089999999997</v>
      </c>
      <c r="Z2420">
        <v>8.4935579999999997E-2</v>
      </c>
      <c r="AA2420">
        <v>0.90422689999999994</v>
      </c>
      <c r="AB2420">
        <v>22</v>
      </c>
      <c r="AC2420">
        <v>0.48429999999996198</v>
      </c>
      <c r="AD2420">
        <v>-8.7730999999999906E-2</v>
      </c>
      <c r="AE2420">
        <v>-0.66250000000002196</v>
      </c>
      <c r="AF2420">
        <v>-0.42594871660030498</v>
      </c>
      <c r="AG2420">
        <v>-8.7730999999999906E-2</v>
      </c>
      <c r="AH2420">
        <v>0.69056998315318296</v>
      </c>
      <c r="AI2420">
        <v>96.171254344788096</v>
      </c>
      <c r="AJ2420">
        <v>121.66659506636999</v>
      </c>
      <c r="AK2420">
        <v>0.81609799605600897</v>
      </c>
      <c r="AL2420">
        <v>87.399838893828502</v>
      </c>
      <c r="AM2420">
        <v>91.609264511083893</v>
      </c>
      <c r="AN2420">
        <v>1.0000000646384399</v>
      </c>
    </row>
    <row r="2421" spans="1:40" x14ac:dyDescent="0.25">
      <c r="A2421" t="str">
        <f>"20190312154558135"</f>
        <v>20190312154558135</v>
      </c>
      <c r="B2421" t="str">
        <f>"1552376758129357"</f>
        <v>1552376758129357</v>
      </c>
      <c r="C2421" t="s">
        <v>40</v>
      </c>
      <c r="D2421">
        <v>3.9770180000000002</v>
      </c>
      <c r="E2421">
        <v>0.336833099999999</v>
      </c>
      <c r="F2421" t="s">
        <v>53</v>
      </c>
      <c r="G2421">
        <v>-485.40260000000001</v>
      </c>
      <c r="H2421" s="1">
        <v>3.6030789999999999E-6</v>
      </c>
      <c r="I2421">
        <v>223.09649999999999</v>
      </c>
      <c r="J2421">
        <v>-491.85419999999999</v>
      </c>
      <c r="K2421">
        <v>1.11452</v>
      </c>
      <c r="L2421">
        <v>234.2604</v>
      </c>
      <c r="M2421">
        <v>8.4975629999999996E-2</v>
      </c>
      <c r="N2421">
        <v>0</v>
      </c>
      <c r="O2421">
        <v>-0.99628419999999895</v>
      </c>
      <c r="P2421">
        <v>0.11114019999999999</v>
      </c>
      <c r="Q2421">
        <v>2.9874959999999999E-2</v>
      </c>
      <c r="R2421">
        <v>-0.99335580000000001</v>
      </c>
      <c r="S2421">
        <v>1.6262209999999999</v>
      </c>
      <c r="T2421">
        <v>-0.2798947</v>
      </c>
      <c r="U2421">
        <v>-2.8541259999999999</v>
      </c>
      <c r="V2421">
        <v>-2.678985E-2</v>
      </c>
      <c r="W2421">
        <v>4.3614199999999999E-2</v>
      </c>
      <c r="X2421">
        <v>0.99868920000000005</v>
      </c>
      <c r="Y2421">
        <v>-0.41759309999999999</v>
      </c>
      <c r="Z2421">
        <v>8.6174669999999995E-2</v>
      </c>
      <c r="AA2421">
        <v>0.90453850000000002</v>
      </c>
      <c r="AB2421">
        <v>22</v>
      </c>
      <c r="AC2421">
        <v>6.4515999999999796</v>
      </c>
      <c r="AD2421">
        <v>-1.1145163969209999</v>
      </c>
      <c r="AE2421">
        <v>-11.1639</v>
      </c>
      <c r="AF2421">
        <v>-5.4388718526443496</v>
      </c>
      <c r="AG2421">
        <v>-1.1145163969209999</v>
      </c>
      <c r="AH2421">
        <v>11.5852385262975</v>
      </c>
      <c r="AI2421">
        <v>94.976902752487206</v>
      </c>
      <c r="AJ2421">
        <v>115.148444070648</v>
      </c>
      <c r="AK2421">
        <v>12.846837180399699</v>
      </c>
      <c r="AL2421">
        <v>87.500297513143096</v>
      </c>
      <c r="AM2421">
        <v>91.536591489144598</v>
      </c>
      <c r="AN2421">
        <v>1.00000000635065</v>
      </c>
    </row>
    <row r="2422" spans="1:40" x14ac:dyDescent="0.25">
      <c r="A2422" t="str">
        <f>"20190312154558155"</f>
        <v>20190312154558155</v>
      </c>
      <c r="B2422" t="str">
        <f>"1552376758148877"</f>
        <v>1552376758148877</v>
      </c>
      <c r="C2422" t="s">
        <v>40</v>
      </c>
      <c r="D2422">
        <v>4.0302360000000004</v>
      </c>
      <c r="E2422">
        <v>0.33690879999999901</v>
      </c>
      <c r="F2422" t="s">
        <v>53</v>
      </c>
      <c r="G2422">
        <v>-485.41669999999999</v>
      </c>
      <c r="H2422" s="1">
        <v>3.6052939999999999E-6</v>
      </c>
      <c r="I2422">
        <v>223.09360000000001</v>
      </c>
      <c r="J2422">
        <v>-491.82850000000002</v>
      </c>
      <c r="K2422">
        <v>1.1146529999999999</v>
      </c>
      <c r="L2422">
        <v>234.05269999999999</v>
      </c>
      <c r="M2422">
        <v>9.1982560000000005E-2</v>
      </c>
      <c r="N2422">
        <v>0</v>
      </c>
      <c r="O2422">
        <v>-0.99566140000000003</v>
      </c>
      <c r="P2422">
        <v>0.1170245</v>
      </c>
      <c r="Q2422">
        <v>2.872721E-2</v>
      </c>
      <c r="R2422">
        <v>-0.99271370000000003</v>
      </c>
      <c r="S2422">
        <v>1.6401669999999999</v>
      </c>
      <c r="T2422">
        <v>-0.28395860000000001</v>
      </c>
      <c r="U2422">
        <v>-2.8450929999999999</v>
      </c>
      <c r="V2422">
        <v>-2.568055E-2</v>
      </c>
      <c r="W2422">
        <v>4.2493250000000003E-2</v>
      </c>
      <c r="X2422">
        <v>0.99876670000000001</v>
      </c>
      <c r="Y2422">
        <v>-0.41571710000000001</v>
      </c>
      <c r="Z2422">
        <v>8.7511019999999995E-2</v>
      </c>
      <c r="AA2422">
        <v>0.90527400000000002</v>
      </c>
      <c r="AB2422">
        <v>22</v>
      </c>
      <c r="AC2422">
        <v>6.4118000000000199</v>
      </c>
      <c r="AD2422">
        <v>-1.1146493947059899</v>
      </c>
      <c r="AE2422">
        <v>-10.9590999999999</v>
      </c>
      <c r="AF2422">
        <v>-5.33534819525158</v>
      </c>
      <c r="AG2422">
        <v>-1.1146493947059899</v>
      </c>
      <c r="AH2422">
        <v>11.414493362012999</v>
      </c>
      <c r="AI2422">
        <v>95.055520839566697</v>
      </c>
      <c r="AJ2422">
        <v>115.05226829001001</v>
      </c>
      <c r="AK2422">
        <v>12.6490727861426</v>
      </c>
      <c r="AL2422">
        <v>87.564582919893496</v>
      </c>
      <c r="AM2422">
        <v>91.472879506768194</v>
      </c>
      <c r="AN2422">
        <v>1.0000000439863701</v>
      </c>
    </row>
    <row r="2423" spans="1:40" x14ac:dyDescent="0.25">
      <c r="A2423" t="str">
        <f>"20190312154558179"</f>
        <v>20190312154558179</v>
      </c>
      <c r="B2423" t="str">
        <f>"1552376758169377"</f>
        <v>1552376758169377</v>
      </c>
      <c r="C2423" t="s">
        <v>40</v>
      </c>
      <c r="D2423">
        <v>3.9975589999999999</v>
      </c>
      <c r="E2423">
        <v>0.35213670000000002</v>
      </c>
      <c r="F2423" t="s">
        <v>53</v>
      </c>
      <c r="G2423">
        <v>-485.35449999999997</v>
      </c>
      <c r="H2423" s="1">
        <v>3.5550159999999999E-6</v>
      </c>
      <c r="I2423">
        <v>222.97579999999999</v>
      </c>
      <c r="J2423">
        <v>-491.798</v>
      </c>
      <c r="K2423">
        <v>1.1148009999999999</v>
      </c>
      <c r="L2423">
        <v>233.82239999999999</v>
      </c>
      <c r="M2423">
        <v>0.1000528</v>
      </c>
      <c r="N2423">
        <v>0</v>
      </c>
      <c r="O2423">
        <v>-0.9948823</v>
      </c>
      <c r="P2423">
        <v>0.1244029</v>
      </c>
      <c r="Q2423">
        <v>2.6930920000000001E-2</v>
      </c>
      <c r="R2423">
        <v>-0.99186620000000003</v>
      </c>
      <c r="S2423">
        <v>1.6569210000000001</v>
      </c>
      <c r="T2423">
        <v>-0.28527609999999998</v>
      </c>
      <c r="U2423">
        <v>-2.834946</v>
      </c>
      <c r="V2423">
        <v>-2.4999449999999999E-2</v>
      </c>
      <c r="W2423">
        <v>4.0723330000000002E-2</v>
      </c>
      <c r="X2423">
        <v>0.99885769999999996</v>
      </c>
      <c r="Y2423">
        <v>-0.41372540000000002</v>
      </c>
      <c r="Z2423">
        <v>8.799912E-2</v>
      </c>
      <c r="AA2423">
        <v>0.90613869999999996</v>
      </c>
      <c r="AB2423">
        <v>22</v>
      </c>
      <c r="AC2423">
        <v>6.4435000000000198</v>
      </c>
      <c r="AD2423">
        <v>-1.1147974449839999</v>
      </c>
      <c r="AE2423">
        <v>-10.846599999999899</v>
      </c>
      <c r="AF2423">
        <v>-5.2845587643718703</v>
      </c>
      <c r="AG2423">
        <v>-1.1147974449839999</v>
      </c>
      <c r="AH2423">
        <v>11.3483094003024</v>
      </c>
      <c r="AI2423">
        <v>95.088914765395799</v>
      </c>
      <c r="AJ2423">
        <v>114.969947789526</v>
      </c>
      <c r="AK2423">
        <v>12.5679537285286</v>
      </c>
      <c r="AL2423">
        <v>87.666079746550594</v>
      </c>
      <c r="AM2423">
        <v>91.433701726277903</v>
      </c>
      <c r="AN2423">
        <v>1.00000003347794</v>
      </c>
    </row>
    <row r="2424" spans="1:40" x14ac:dyDescent="0.25">
      <c r="A2424" t="str">
        <f>"20190312154558201"</f>
        <v>20190312154558201</v>
      </c>
      <c r="B2424" t="str">
        <f>"1552376758188893"</f>
        <v>1552376758188893</v>
      </c>
      <c r="C2424" t="s">
        <v>40</v>
      </c>
      <c r="D2424">
        <v>4.0141900000000001</v>
      </c>
      <c r="E2424">
        <v>0.35438019999999998</v>
      </c>
      <c r="F2424" t="s">
        <v>53</v>
      </c>
      <c r="G2424">
        <v>-484.81029999999998</v>
      </c>
      <c r="H2424" s="1">
        <v>2.9455130000000002E-6</v>
      </c>
      <c r="I2424">
        <v>221.08</v>
      </c>
      <c r="J2424">
        <v>-491.76830000000001</v>
      </c>
      <c r="K2424">
        <v>1.11494</v>
      </c>
      <c r="L2424">
        <v>233.6131</v>
      </c>
      <c r="M2424">
        <v>0.10766390000000001</v>
      </c>
      <c r="N2424">
        <v>0</v>
      </c>
      <c r="O2424">
        <v>-0.99408700000000005</v>
      </c>
      <c r="P2424">
        <v>0.13189500000000001</v>
      </c>
      <c r="Q2424">
        <v>2.479574E-2</v>
      </c>
      <c r="R2424">
        <v>-0.99095359999999999</v>
      </c>
      <c r="S2424">
        <v>1.5553589999999999</v>
      </c>
      <c r="T2424">
        <v>-0.2481372</v>
      </c>
      <c r="U2424">
        <v>-2.8362579999999999</v>
      </c>
      <c r="V2424">
        <v>-2.4886749999999999E-2</v>
      </c>
      <c r="W2424">
        <v>3.8609270000000001E-2</v>
      </c>
      <c r="X2424">
        <v>0.99894439999999995</v>
      </c>
      <c r="Y2424">
        <v>-0.38217479999999998</v>
      </c>
      <c r="Z2424">
        <v>7.7680890000000002E-2</v>
      </c>
      <c r="AA2424">
        <v>0.92081919999999995</v>
      </c>
      <c r="AB2424">
        <v>22</v>
      </c>
      <c r="AC2424">
        <v>6.9580000000000197</v>
      </c>
      <c r="AD2424">
        <v>-1.1149370544869901</v>
      </c>
      <c r="AE2424">
        <v>-12.5330999999999</v>
      </c>
      <c r="AF2424">
        <v>-5.5345701530351104</v>
      </c>
      <c r="AG2424">
        <v>-1.1149370544869901</v>
      </c>
      <c r="AH2424">
        <v>13.130007705201299</v>
      </c>
      <c r="AI2424">
        <v>94.474148503674598</v>
      </c>
      <c r="AJ2424">
        <v>112.856430604639</v>
      </c>
      <c r="AK2424">
        <v>14.292363476800499</v>
      </c>
      <c r="AL2424">
        <v>87.787301744610602</v>
      </c>
      <c r="AM2424">
        <v>91.427117314770996</v>
      </c>
      <c r="AN2424">
        <v>0.99999997017342701</v>
      </c>
    </row>
    <row r="2425" spans="1:40" x14ac:dyDescent="0.25">
      <c r="A2425" t="str">
        <f>"20190312154558224"</f>
        <v>20190312154558224</v>
      </c>
      <c r="B2425" t="str">
        <f>"1552376758219150"</f>
        <v>1552376758219150</v>
      </c>
      <c r="C2425" t="s">
        <v>40</v>
      </c>
      <c r="D2425">
        <v>4.0051040000000002</v>
      </c>
      <c r="E2425">
        <v>0.3558269</v>
      </c>
      <c r="F2425" t="s">
        <v>53</v>
      </c>
      <c r="G2425">
        <v>-484.58499999999998</v>
      </c>
      <c r="H2425" s="1">
        <v>2.7979790000000002E-6</v>
      </c>
      <c r="I2425">
        <v>220.59350000000001</v>
      </c>
      <c r="J2425">
        <v>-491.73540000000003</v>
      </c>
      <c r="K2425">
        <v>1.115089</v>
      </c>
      <c r="L2425">
        <v>233.39570000000001</v>
      </c>
      <c r="M2425">
        <v>0.1158372</v>
      </c>
      <c r="N2425">
        <v>0</v>
      </c>
      <c r="O2425">
        <v>-0.99316760000000004</v>
      </c>
      <c r="P2425">
        <v>0.1409502</v>
      </c>
      <c r="Q2425">
        <v>2.4034219999999999E-2</v>
      </c>
      <c r="R2425">
        <v>-0.98972519999999997</v>
      </c>
      <c r="S2425">
        <v>1.5591429999999999</v>
      </c>
      <c r="T2425">
        <v>-0.2419982</v>
      </c>
      <c r="U2425">
        <v>-2.8259280000000002</v>
      </c>
      <c r="V2425">
        <v>-2.5806329999999999E-2</v>
      </c>
      <c r="W2425">
        <v>3.7858330000000003E-2</v>
      </c>
      <c r="X2425">
        <v>0.9989498</v>
      </c>
      <c r="Y2425">
        <v>-0.37699899999999997</v>
      </c>
      <c r="Z2425">
        <v>7.5966249999999999E-2</v>
      </c>
      <c r="AA2425">
        <v>0.9230931</v>
      </c>
      <c r="AB2425">
        <v>22</v>
      </c>
      <c r="AC2425">
        <v>7.1504000000000403</v>
      </c>
      <c r="AD2425">
        <v>-1.115086202021</v>
      </c>
      <c r="AE2425">
        <v>-12.802199999999999</v>
      </c>
      <c r="AF2425">
        <v>-5.5868293345614299</v>
      </c>
      <c r="AG2425">
        <v>-1.115086202021</v>
      </c>
      <c r="AH2425">
        <v>13.466493761358601</v>
      </c>
      <c r="AI2425">
        <v>94.373674994513905</v>
      </c>
      <c r="AJ2425">
        <v>112.53204143159</v>
      </c>
      <c r="AK2425">
        <v>14.6219880138155</v>
      </c>
      <c r="AL2425">
        <v>87.830358902974993</v>
      </c>
      <c r="AM2425">
        <v>91.479819109496106</v>
      </c>
      <c r="AN2425">
        <v>0.99999996136924796</v>
      </c>
    </row>
    <row r="2426" spans="1:40" x14ac:dyDescent="0.25">
      <c r="A2426" t="str">
        <f>"20190312154558244"</f>
        <v>20190312154558244</v>
      </c>
      <c r="B2426" t="str">
        <f>"1552376758239645"</f>
        <v>1552376758239645</v>
      </c>
      <c r="C2426" t="s">
        <v>40</v>
      </c>
      <c r="D2426">
        <v>4.0173870000000003</v>
      </c>
      <c r="E2426">
        <v>0.35654229999999998</v>
      </c>
      <c r="F2426" t="s">
        <v>53</v>
      </c>
      <c r="G2426">
        <v>-484.1028</v>
      </c>
      <c r="H2426" s="1">
        <v>2.5269030000000002E-6</v>
      </c>
      <c r="I2426">
        <v>219.7543</v>
      </c>
      <c r="J2426">
        <v>-491.70299999999997</v>
      </c>
      <c r="K2426">
        <v>1.115219</v>
      </c>
      <c r="L2426">
        <v>233.1953</v>
      </c>
      <c r="M2426">
        <v>0.1236199</v>
      </c>
      <c r="N2426">
        <v>0</v>
      </c>
      <c r="O2426">
        <v>-0.99222849999999996</v>
      </c>
      <c r="P2426">
        <v>0.14943000000000001</v>
      </c>
      <c r="Q2426">
        <v>2.484915E-2</v>
      </c>
      <c r="R2426">
        <v>-0.98845989999999995</v>
      </c>
      <c r="S2426">
        <v>1.5737000000000001</v>
      </c>
      <c r="T2426">
        <v>-0.22991010000000001</v>
      </c>
      <c r="U2426">
        <v>-2.8126069999999999</v>
      </c>
      <c r="V2426">
        <v>-2.656476E-2</v>
      </c>
      <c r="W2426">
        <v>3.8683599999999999E-2</v>
      </c>
      <c r="X2426">
        <v>0.99889830000000002</v>
      </c>
      <c r="Y2426">
        <v>-0.37536629999999999</v>
      </c>
      <c r="Z2426">
        <v>7.2326760000000004E-2</v>
      </c>
      <c r="AA2426">
        <v>0.92405029999999999</v>
      </c>
      <c r="AB2426">
        <v>22</v>
      </c>
      <c r="AC2426">
        <v>7.6002000000000196</v>
      </c>
      <c r="AD2426">
        <v>-1.115216473097</v>
      </c>
      <c r="AE2426">
        <v>-13.441000000000001</v>
      </c>
      <c r="AF2426">
        <v>-5.8496362156761998</v>
      </c>
      <c r="AG2426">
        <v>-1.115216473097</v>
      </c>
      <c r="AH2426">
        <v>14.203421773928801</v>
      </c>
      <c r="AI2426">
        <v>94.152460467794199</v>
      </c>
      <c r="AJ2426">
        <v>112.384165001215</v>
      </c>
      <c r="AK2426">
        <v>15.4012707828196</v>
      </c>
      <c r="AL2426">
        <v>87.783039743951903</v>
      </c>
      <c r="AM2426">
        <v>91.5233682588769</v>
      </c>
      <c r="AN2426">
        <v>0.99999996056285301</v>
      </c>
    </row>
    <row r="2427" spans="1:40" x14ac:dyDescent="0.25">
      <c r="A2427" t="str">
        <f>"20190312154558267"</f>
        <v>20190312154558267</v>
      </c>
      <c r="B2427" t="str">
        <f>"1552376758259169"</f>
        <v>1552376758259169</v>
      </c>
      <c r="C2427" t="s">
        <v>40</v>
      </c>
      <c r="D2427">
        <v>3.9934789999999998</v>
      </c>
      <c r="E2427">
        <v>0.35739789999999999</v>
      </c>
      <c r="F2427" t="s">
        <v>53</v>
      </c>
      <c r="G2427">
        <v>-483.92720000000003</v>
      </c>
      <c r="H2427" s="1">
        <v>2.4611570000000001E-6</v>
      </c>
      <c r="I2427">
        <v>219.5223</v>
      </c>
      <c r="J2427">
        <v>-491.66419999999999</v>
      </c>
      <c r="K2427">
        <v>1.1153390000000001</v>
      </c>
      <c r="L2427">
        <v>232.96889999999999</v>
      </c>
      <c r="M2427">
        <v>0.13263929999999999</v>
      </c>
      <c r="N2427">
        <v>0</v>
      </c>
      <c r="O2427">
        <v>-0.99106260000000002</v>
      </c>
      <c r="P2427">
        <v>0.1597015</v>
      </c>
      <c r="Q2427">
        <v>2.5479959999999999E-2</v>
      </c>
      <c r="R2427">
        <v>-0.98683659999999995</v>
      </c>
      <c r="S2427">
        <v>1.5923769999999999</v>
      </c>
      <c r="T2427">
        <v>-0.22838220000000001</v>
      </c>
      <c r="U2427">
        <v>-2.800049</v>
      </c>
      <c r="V2427">
        <v>-2.7890100000000001E-2</v>
      </c>
      <c r="W2427">
        <v>3.931875E-2</v>
      </c>
      <c r="X2427">
        <v>0.99883739999999999</v>
      </c>
      <c r="Y2427">
        <v>-0.37338840000000001</v>
      </c>
      <c r="Z2427">
        <v>7.1919399999999994E-2</v>
      </c>
      <c r="AA2427">
        <v>0.92488309999999996</v>
      </c>
      <c r="AB2427">
        <v>22</v>
      </c>
      <c r="AC2427">
        <v>7.7369999999999601</v>
      </c>
      <c r="AD2427">
        <v>-1.1153365388430001</v>
      </c>
      <c r="AE2427">
        <v>-13.446599999999901</v>
      </c>
      <c r="AF2427">
        <v>-5.8546361849059396</v>
      </c>
      <c r="AG2427">
        <v>-1.1153365388430001</v>
      </c>
      <c r="AH2427">
        <v>14.280289277281399</v>
      </c>
      <c r="AI2427">
        <v>94.133331678747695</v>
      </c>
      <c r="AJ2427">
        <v>112.292659091668</v>
      </c>
      <c r="AK2427">
        <v>15.4740880925283</v>
      </c>
      <c r="AL2427">
        <v>87.746620677534594</v>
      </c>
      <c r="AM2427">
        <v>91.599429410934107</v>
      </c>
      <c r="AN2427">
        <v>0.99999998670916601</v>
      </c>
    </row>
    <row r="2428" spans="1:40" x14ac:dyDescent="0.25">
      <c r="A2428" t="str">
        <f>"20190312154558291"</f>
        <v>20190312154558291</v>
      </c>
      <c r="B2428" t="str">
        <f>"1552376758289422"</f>
        <v>1552376758289422</v>
      </c>
      <c r="C2428" t="s">
        <v>40</v>
      </c>
      <c r="D2428">
        <v>4.0693210000000004</v>
      </c>
      <c r="E2428">
        <v>0.35863420000000001</v>
      </c>
      <c r="F2428" t="s">
        <v>53</v>
      </c>
      <c r="G2428">
        <v>-483.43689999999998</v>
      </c>
      <c r="H2428" s="1">
        <v>2.3419649999999999E-6</v>
      </c>
      <c r="I2428">
        <v>218.78559999999999</v>
      </c>
      <c r="J2428">
        <v>-491.62349999999998</v>
      </c>
      <c r="K2428">
        <v>1.1154269999999999</v>
      </c>
      <c r="L2428">
        <v>232.74510000000001</v>
      </c>
      <c r="M2428">
        <v>0.1417736</v>
      </c>
      <c r="N2428">
        <v>0</v>
      </c>
      <c r="O2428">
        <v>-0.98979689999999998</v>
      </c>
      <c r="P2428">
        <v>0.16936470000000001</v>
      </c>
      <c r="Q2428">
        <v>2.3915800000000001E-2</v>
      </c>
      <c r="R2428">
        <v>-0.98526340000000001</v>
      </c>
      <c r="S2428">
        <v>1.6150819999999999</v>
      </c>
      <c r="T2428">
        <v>-0.21894849999999999</v>
      </c>
      <c r="U2428">
        <v>-2.7843019999999998</v>
      </c>
      <c r="V2428">
        <v>-2.8450949999999999E-2</v>
      </c>
      <c r="W2428">
        <v>3.7767790000000002E-2</v>
      </c>
      <c r="X2428">
        <v>0.99888149999999998</v>
      </c>
      <c r="Y2428">
        <v>-0.37284669999999998</v>
      </c>
      <c r="Z2428">
        <v>6.9043960000000001E-2</v>
      </c>
      <c r="AA2428">
        <v>0.92532060000000005</v>
      </c>
      <c r="AB2428">
        <v>22</v>
      </c>
      <c r="AC2428">
        <v>8.1865999999999897</v>
      </c>
      <c r="AD2428">
        <v>-1.115424658035</v>
      </c>
      <c r="AE2428">
        <v>-13.9595</v>
      </c>
      <c r="AF2428">
        <v>-6.0956433477370897</v>
      </c>
      <c r="AG2428">
        <v>-1.115424658035</v>
      </c>
      <c r="AH2428">
        <v>14.9084026089582</v>
      </c>
      <c r="AI2428">
        <v>93.961599047023398</v>
      </c>
      <c r="AJ2428">
        <v>112.238327650548</v>
      </c>
      <c r="AK2428">
        <v>16.145014968756001</v>
      </c>
      <c r="AL2428">
        <v>87.835550382304106</v>
      </c>
      <c r="AM2428">
        <v>91.631503586848794</v>
      </c>
      <c r="AN2428">
        <v>1.00000005677981</v>
      </c>
    </row>
    <row r="2429" spans="1:40" x14ac:dyDescent="0.25">
      <c r="A2429" t="str">
        <f>"20190312154558314"</f>
        <v>20190312154558314</v>
      </c>
      <c r="B2429" t="str">
        <f>"1552376758308941"</f>
        <v>1552376758308941</v>
      </c>
      <c r="C2429" t="s">
        <v>40</v>
      </c>
      <c r="D2429">
        <v>4.031657</v>
      </c>
      <c r="E2429">
        <v>0.35902399999999901</v>
      </c>
      <c r="F2429" t="s">
        <v>53</v>
      </c>
      <c r="G2429">
        <v>-483.39519999999999</v>
      </c>
      <c r="H2429" s="1">
        <v>2.3345779999999999E-6</v>
      </c>
      <c r="I2429">
        <v>218.78569999999999</v>
      </c>
      <c r="J2429">
        <v>-491.5831</v>
      </c>
      <c r="K2429">
        <v>1.1154959999999901</v>
      </c>
      <c r="L2429">
        <v>232.53489999999999</v>
      </c>
      <c r="M2429">
        <v>0.1505358</v>
      </c>
      <c r="N2429">
        <v>0</v>
      </c>
      <c r="O2429">
        <v>-0.98850179999999999</v>
      </c>
      <c r="P2429">
        <v>0.1774984</v>
      </c>
      <c r="Q2429">
        <v>2.237192E-2</v>
      </c>
      <c r="R2429">
        <v>-0.98386669999999998</v>
      </c>
      <c r="S2429">
        <v>1.6325379999999901</v>
      </c>
      <c r="T2429">
        <v>-0.22130630000000001</v>
      </c>
      <c r="U2429">
        <v>-2.7696230000000002</v>
      </c>
      <c r="V2429">
        <v>-2.783569E-2</v>
      </c>
      <c r="W2429">
        <v>3.6251529999999997E-2</v>
      </c>
      <c r="X2429">
        <v>0.99895500000000004</v>
      </c>
      <c r="Y2429">
        <v>-0.3710659</v>
      </c>
      <c r="Z2429">
        <v>6.9885059999999999E-2</v>
      </c>
      <c r="AA2429">
        <v>0.92597309999999999</v>
      </c>
      <c r="AB2429">
        <v>22</v>
      </c>
      <c r="AC2429">
        <v>8.1879000000000097</v>
      </c>
      <c r="AD2429">
        <v>-1.11549366542199</v>
      </c>
      <c r="AE2429">
        <v>-13.7492</v>
      </c>
      <c r="AF2429">
        <v>-5.9954864920470596</v>
      </c>
      <c r="AG2429">
        <v>-1.11549366542199</v>
      </c>
      <c r="AH2429">
        <v>14.753498520778701</v>
      </c>
      <c r="AI2429">
        <v>94.006788618728805</v>
      </c>
      <c r="AJ2429">
        <v>112.115707246703</v>
      </c>
      <c r="AK2429">
        <v>15.9642069329026</v>
      </c>
      <c r="AL2429">
        <v>87.922485219416004</v>
      </c>
      <c r="AM2429">
        <v>91.596122920469099</v>
      </c>
      <c r="AN2429">
        <v>1.00000004554505</v>
      </c>
    </row>
    <row r="2430" spans="1:40" x14ac:dyDescent="0.25">
      <c r="A2430" t="str">
        <f>"20190312154558337"</f>
        <v>20190312154558337</v>
      </c>
      <c r="B2430" t="str">
        <f>"1552376758329437"</f>
        <v>1552376758329437</v>
      </c>
      <c r="C2430" t="s">
        <v>40</v>
      </c>
      <c r="D2430">
        <v>4.0457159999999996</v>
      </c>
      <c r="E2430">
        <v>0.36659000000000003</v>
      </c>
      <c r="F2430" t="s">
        <v>53</v>
      </c>
      <c r="G2430">
        <v>-483.37479999999999</v>
      </c>
      <c r="H2430" s="1">
        <v>2.3333300000000002E-6</v>
      </c>
      <c r="I2430">
        <v>218.8398</v>
      </c>
      <c r="J2430">
        <v>-491.53899999999999</v>
      </c>
      <c r="K2430">
        <v>1.115572</v>
      </c>
      <c r="L2430">
        <v>232.3168</v>
      </c>
      <c r="M2430">
        <v>0.15981219999999999</v>
      </c>
      <c r="N2430">
        <v>0</v>
      </c>
      <c r="O2430">
        <v>-0.98704420000000004</v>
      </c>
      <c r="P2430">
        <v>0.18608259999999999</v>
      </c>
      <c r="Q2430">
        <v>2.0625109999999999E-2</v>
      </c>
      <c r="R2430">
        <v>-0.98231769999999996</v>
      </c>
      <c r="S2430">
        <v>1.6520079999999999</v>
      </c>
      <c r="T2430">
        <v>-0.22450490000000001</v>
      </c>
      <c r="U2430">
        <v>-2.7563019999999998</v>
      </c>
      <c r="V2430">
        <v>-2.7154270000000001E-2</v>
      </c>
      <c r="W2430">
        <v>3.4534570000000001E-2</v>
      </c>
      <c r="X2430">
        <v>0.99903450000000005</v>
      </c>
      <c r="Y2430">
        <v>-0.36909209999999998</v>
      </c>
      <c r="Z2430">
        <v>7.0934380000000005E-2</v>
      </c>
      <c r="AA2430">
        <v>0.92668189999999995</v>
      </c>
      <c r="AB2430">
        <v>22</v>
      </c>
      <c r="AC2430">
        <v>8.1641999999999904</v>
      </c>
      <c r="AD2430">
        <v>-1.1155696666699999</v>
      </c>
      <c r="AE2430">
        <v>-13.477</v>
      </c>
      <c r="AF2430">
        <v>-5.8757872754336802</v>
      </c>
      <c r="AG2430">
        <v>-1.1155696666699999</v>
      </c>
      <c r="AH2430">
        <v>14.535763226990699</v>
      </c>
      <c r="AI2430">
        <v>94.069915035582397</v>
      </c>
      <c r="AJ2430">
        <v>112.010021731359</v>
      </c>
      <c r="AK2430">
        <v>15.718071903973399</v>
      </c>
      <c r="AL2430">
        <v>88.020921295647597</v>
      </c>
      <c r="AM2430">
        <v>91.556945329593802</v>
      </c>
      <c r="AN2430">
        <v>0.99999996154728299</v>
      </c>
    </row>
    <row r="2431" spans="1:40" x14ac:dyDescent="0.25">
      <c r="A2431" t="str">
        <f>"20190312154558357"</f>
        <v>20190312154558357</v>
      </c>
      <c r="B2431" t="str">
        <f>"1552376758348958"</f>
        <v>1552376758348958</v>
      </c>
      <c r="C2431" t="s">
        <v>40</v>
      </c>
      <c r="D2431">
        <v>4.2796130000000003</v>
      </c>
      <c r="E2431">
        <v>0.36804520000000002</v>
      </c>
      <c r="F2431" t="s">
        <v>53</v>
      </c>
      <c r="G2431">
        <v>-482.72120000000001</v>
      </c>
      <c r="H2431" s="1">
        <v>2.1500729999999999E-6</v>
      </c>
      <c r="I2431">
        <v>217.2997</v>
      </c>
      <c r="J2431">
        <v>-491.49770000000001</v>
      </c>
      <c r="K2431">
        <v>1.1156379999999999</v>
      </c>
      <c r="L2431">
        <v>232.12260000000001</v>
      </c>
      <c r="M2431">
        <v>0.16822129999999999</v>
      </c>
      <c r="N2431">
        <v>0</v>
      </c>
      <c r="O2431">
        <v>-0.98564560000000001</v>
      </c>
      <c r="P2431">
        <v>0.1936331</v>
      </c>
      <c r="Q2431">
        <v>2.0650459999999999E-2</v>
      </c>
      <c r="R2431">
        <v>-0.98085679999999997</v>
      </c>
      <c r="S2431">
        <v>1.616028</v>
      </c>
      <c r="T2431">
        <v>-0.2044494</v>
      </c>
      <c r="U2431">
        <v>-2.752167</v>
      </c>
      <c r="V2431">
        <v>-2.6327219999999998E-2</v>
      </c>
      <c r="W2431">
        <v>3.4589370000000001E-2</v>
      </c>
      <c r="X2431">
        <v>0.99905480000000002</v>
      </c>
      <c r="Y2431">
        <v>-0.35297709999999999</v>
      </c>
      <c r="Z2431">
        <v>6.4983029999999997E-2</v>
      </c>
      <c r="AA2431">
        <v>0.9333726</v>
      </c>
      <c r="AB2431">
        <v>22</v>
      </c>
      <c r="AC2431">
        <v>8.7764999999999898</v>
      </c>
      <c r="AD2431">
        <v>-1.1156358499269901</v>
      </c>
      <c r="AE2431">
        <v>-14.822900000000001</v>
      </c>
      <c r="AF2431">
        <v>-6.1319011482340704</v>
      </c>
      <c r="AG2431">
        <v>-1.1156358499269901</v>
      </c>
      <c r="AH2431">
        <v>16.020967274808001</v>
      </c>
      <c r="AI2431">
        <v>93.721000611639994</v>
      </c>
      <c r="AJ2431">
        <v>110.943960203289</v>
      </c>
      <c r="AK2431">
        <v>17.190586012752</v>
      </c>
      <c r="AL2431">
        <v>88.017779726171398</v>
      </c>
      <c r="AM2431">
        <v>91.509516361915104</v>
      </c>
      <c r="AN2431">
        <v>1.00000002021648</v>
      </c>
    </row>
    <row r="2432" spans="1:40" x14ac:dyDescent="0.25">
      <c r="A2432" t="str">
        <f>"20190312154558380"</f>
        <v>20190312154558380</v>
      </c>
      <c r="B2432" t="str">
        <f>"1552376758369458"</f>
        <v>1552376758369458</v>
      </c>
      <c r="C2432" t="s">
        <v>40</v>
      </c>
      <c r="D2432">
        <v>4.082128</v>
      </c>
      <c r="E2432">
        <v>0.36913240000000003</v>
      </c>
      <c r="F2432" t="s">
        <v>53</v>
      </c>
      <c r="G2432">
        <v>-482.72219999999999</v>
      </c>
      <c r="H2432" s="1">
        <v>2.1507739999999999E-6</v>
      </c>
      <c r="I2432">
        <v>217.31180000000001</v>
      </c>
      <c r="J2432">
        <v>-491.45119999999997</v>
      </c>
      <c r="K2432">
        <v>1.1157029999999999</v>
      </c>
      <c r="L2432">
        <v>231.91309999999999</v>
      </c>
      <c r="M2432">
        <v>0.17742349999999901</v>
      </c>
      <c r="N2432">
        <v>0</v>
      </c>
      <c r="O2432">
        <v>-0.98403050000000003</v>
      </c>
      <c r="P2432">
        <v>0.20238900000000001</v>
      </c>
      <c r="Q2432">
        <v>2.028284E-2</v>
      </c>
      <c r="R2432">
        <v>-0.97909539999999995</v>
      </c>
      <c r="S2432">
        <v>1.6247560000000001</v>
      </c>
      <c r="T2432">
        <v>-0.20655499999999999</v>
      </c>
      <c r="U2432">
        <v>-2.7421419999999999</v>
      </c>
      <c r="V2432">
        <v>-2.591831E-2</v>
      </c>
      <c r="W2432">
        <v>3.4246249999999999E-2</v>
      </c>
      <c r="X2432">
        <v>0.99907729999999995</v>
      </c>
      <c r="Y2432">
        <v>-0.34789809999999999</v>
      </c>
      <c r="Z2432">
        <v>6.5708030000000001E-2</v>
      </c>
      <c r="AA2432">
        <v>0.93522689999999997</v>
      </c>
      <c r="AB2432">
        <v>22</v>
      </c>
      <c r="AC2432">
        <v>8.7289999999999797</v>
      </c>
      <c r="AD2432">
        <v>-1.1157008492260001</v>
      </c>
      <c r="AE2432">
        <v>-14.601299999999901</v>
      </c>
      <c r="AF2432">
        <v>-5.9739071142117899</v>
      </c>
      <c r="AG2432">
        <v>-1.1157008492260001</v>
      </c>
      <c r="AH2432">
        <v>15.850306967698399</v>
      </c>
      <c r="AI2432">
        <v>93.768454365625701</v>
      </c>
      <c r="AJ2432">
        <v>110.651193291532</v>
      </c>
      <c r="AK2432">
        <v>16.975411204576499</v>
      </c>
      <c r="AL2432">
        <v>88.037450683997093</v>
      </c>
      <c r="AM2432">
        <v>91.4860479487308</v>
      </c>
      <c r="AN2432">
        <v>1.0000000079038001</v>
      </c>
    </row>
    <row r="2433" spans="1:40" x14ac:dyDescent="0.25">
      <c r="A2433" t="str">
        <f>"20190312154558402"</f>
        <v>20190312154558402</v>
      </c>
      <c r="B2433" t="str">
        <f>"1552376758399710"</f>
        <v>1552376758399710</v>
      </c>
      <c r="C2433" t="s">
        <v>40</v>
      </c>
      <c r="D2433">
        <v>4.1194839999999999</v>
      </c>
      <c r="E2433">
        <v>0.37019479999999999</v>
      </c>
      <c r="F2433" t="s">
        <v>53</v>
      </c>
      <c r="G2433">
        <v>-482.72579999999999</v>
      </c>
      <c r="H2433" s="1">
        <v>2.155332E-6</v>
      </c>
      <c r="I2433">
        <v>217.40119999999999</v>
      </c>
      <c r="J2433">
        <v>-491.40170000000001</v>
      </c>
      <c r="K2433">
        <v>1.1157629999999901</v>
      </c>
      <c r="L2433">
        <v>231.70089999999999</v>
      </c>
      <c r="M2433">
        <v>0.18688279999999999</v>
      </c>
      <c r="N2433">
        <v>0</v>
      </c>
      <c r="O2433">
        <v>-0.98227750000000003</v>
      </c>
      <c r="P2433">
        <v>0.2115069</v>
      </c>
      <c r="Q2433">
        <v>1.915232E-2</v>
      </c>
      <c r="R2433">
        <v>-0.97718910000000003</v>
      </c>
      <c r="S2433">
        <v>1.6409609999999999</v>
      </c>
      <c r="T2433">
        <v>-0.2098285</v>
      </c>
      <c r="U2433">
        <v>-2.7292329999999998</v>
      </c>
      <c r="V2433">
        <v>-2.5604370000000001E-2</v>
      </c>
      <c r="W2433">
        <v>3.3138710000000002E-2</v>
      </c>
      <c r="X2433">
        <v>0.99912270000000003</v>
      </c>
      <c r="Y2433">
        <v>-0.34486830000000002</v>
      </c>
      <c r="Z2433">
        <v>6.6779400000000003E-2</v>
      </c>
      <c r="AA2433">
        <v>0.93627260000000001</v>
      </c>
      <c r="AB2433">
        <v>22</v>
      </c>
      <c r="AC2433">
        <v>8.6759000000000093</v>
      </c>
      <c r="AD2433">
        <v>-1.1157608446680001</v>
      </c>
      <c r="AE2433">
        <v>-14.2997</v>
      </c>
      <c r="AF2433">
        <v>-5.8244559168570396</v>
      </c>
      <c r="AG2433">
        <v>-1.1157608446680001</v>
      </c>
      <c r="AH2433">
        <v>15.5998413965503</v>
      </c>
      <c r="AI2433">
        <v>93.8334190253005</v>
      </c>
      <c r="AJ2433">
        <v>110.473940046378</v>
      </c>
      <c r="AK2433">
        <v>16.689046125750501</v>
      </c>
      <c r="AL2433">
        <v>88.100944019096502</v>
      </c>
      <c r="AM2433">
        <v>91.467989182906194</v>
      </c>
      <c r="AN2433">
        <v>0.99999996375942402</v>
      </c>
    </row>
    <row r="2434" spans="1:40" x14ac:dyDescent="0.25">
      <c r="A2434" t="str">
        <f>"20190312154558424"</f>
        <v>20190312154558424</v>
      </c>
      <c r="B2434" t="str">
        <f>"1552376758419230"</f>
        <v>1552376758419230</v>
      </c>
      <c r="C2434" t="s">
        <v>40</v>
      </c>
      <c r="D2434">
        <v>4.1316360000000003</v>
      </c>
      <c r="E2434">
        <v>0.34846300000000002</v>
      </c>
      <c r="F2434" t="s">
        <v>53</v>
      </c>
      <c r="G2434">
        <v>-482.81610000000001</v>
      </c>
      <c r="H2434" s="1">
        <v>2.181899E-6</v>
      </c>
      <c r="I2434">
        <v>217.64269999999999</v>
      </c>
      <c r="J2434">
        <v>-491.3535</v>
      </c>
      <c r="K2434">
        <v>1.1158079999999999</v>
      </c>
      <c r="L2434">
        <v>231.5035</v>
      </c>
      <c r="M2434">
        <v>0.19580510000000001</v>
      </c>
      <c r="N2434">
        <v>0</v>
      </c>
      <c r="O2434">
        <v>-0.98053769999999996</v>
      </c>
      <c r="P2434">
        <v>0.22017339999999999</v>
      </c>
      <c r="Q2434">
        <v>1.8257490000000001E-2</v>
      </c>
      <c r="R2434">
        <v>-0.97529030000000005</v>
      </c>
      <c r="S2434">
        <v>1.6582950000000001</v>
      </c>
      <c r="T2434">
        <v>-0.2155068</v>
      </c>
      <c r="U2434">
        <v>-2.7153170000000002</v>
      </c>
      <c r="V2434">
        <v>-2.53788E-2</v>
      </c>
      <c r="W2434">
        <v>3.2262279999999997E-2</v>
      </c>
      <c r="X2434">
        <v>0.99915719999999997</v>
      </c>
      <c r="Y2434">
        <v>-0.34275250000000002</v>
      </c>
      <c r="Z2434">
        <v>6.8616079999999996E-2</v>
      </c>
      <c r="AA2434">
        <v>0.93691650000000004</v>
      </c>
      <c r="AB2434">
        <v>22</v>
      </c>
      <c r="AC2434">
        <v>8.5373999999999892</v>
      </c>
      <c r="AD2434">
        <v>-1.115805818101</v>
      </c>
      <c r="AE2434">
        <v>-13.860799999999999</v>
      </c>
      <c r="AF2434">
        <v>-5.6313542041787796</v>
      </c>
      <c r="AG2434">
        <v>-1.115805818101</v>
      </c>
      <c r="AH2434">
        <v>15.192900256348301</v>
      </c>
      <c r="AI2434">
        <v>93.939412038532296</v>
      </c>
      <c r="AJ2434">
        <v>110.337575051806</v>
      </c>
      <c r="AK2434">
        <v>16.241348188989001</v>
      </c>
      <c r="AL2434">
        <v>88.151186744417203</v>
      </c>
      <c r="AM2434">
        <v>91.455011820311398</v>
      </c>
      <c r="AN2434">
        <v>1.0000000242560301</v>
      </c>
    </row>
    <row r="2435" spans="1:40" x14ac:dyDescent="0.25">
      <c r="A2435" t="str">
        <f>"20190312154558451"</f>
        <v>20190312154558451</v>
      </c>
      <c r="B2435" t="str">
        <f>"1552376758449486"</f>
        <v>1552376758449486</v>
      </c>
      <c r="C2435" t="s">
        <v>40</v>
      </c>
      <c r="D2435">
        <v>4.0317460000000001</v>
      </c>
      <c r="E2435">
        <v>0.333403</v>
      </c>
      <c r="F2435" t="s">
        <v>53</v>
      </c>
      <c r="G2435">
        <v>-482.93549999999999</v>
      </c>
      <c r="H2435" s="1">
        <v>2.2802190000000001E-6</v>
      </c>
      <c r="I2435">
        <v>219.40770000000001</v>
      </c>
      <c r="J2435">
        <v>-491.28739999999999</v>
      </c>
      <c r="K2435">
        <v>1.11585499999999</v>
      </c>
      <c r="L2435">
        <v>231.2458</v>
      </c>
      <c r="M2435">
        <v>0.2076248</v>
      </c>
      <c r="N2435">
        <v>0</v>
      </c>
      <c r="O2435">
        <v>-0.9781029</v>
      </c>
      <c r="P2435">
        <v>0.231708</v>
      </c>
      <c r="Q2435">
        <v>1.7664780000000001E-2</v>
      </c>
      <c r="R2435">
        <v>-0.97262510000000002</v>
      </c>
      <c r="S2435">
        <v>1.8528439999999999</v>
      </c>
      <c r="T2435">
        <v>-0.2455918</v>
      </c>
      <c r="U2435">
        <v>-2.6623230000000002</v>
      </c>
      <c r="V2435">
        <v>-2.5146760000000001E-2</v>
      </c>
      <c r="W2435">
        <v>3.1692749999999999E-2</v>
      </c>
      <c r="X2435">
        <v>0.99918130000000005</v>
      </c>
      <c r="Y2435">
        <v>-0.3866329</v>
      </c>
      <c r="Z2435">
        <v>7.701761E-2</v>
      </c>
      <c r="AA2435">
        <v>0.9190121</v>
      </c>
      <c r="AB2435">
        <v>22</v>
      </c>
      <c r="AC2435">
        <v>8.3519000000000005</v>
      </c>
      <c r="AD2435">
        <v>-1.11585271978099</v>
      </c>
      <c r="AE2435">
        <v>-11.838099999999899</v>
      </c>
      <c r="AF2435">
        <v>-5.6780417031336503</v>
      </c>
      <c r="AG2435">
        <v>-1.11585271978099</v>
      </c>
      <c r="AH2435">
        <v>13.235800614834501</v>
      </c>
      <c r="AI2435">
        <v>94.430273897024506</v>
      </c>
      <c r="AJ2435">
        <v>113.21890544007699</v>
      </c>
      <c r="AK2435">
        <v>14.445473436008299</v>
      </c>
      <c r="AL2435">
        <v>88.183835116748398</v>
      </c>
      <c r="AM2435">
        <v>91.441679435158605</v>
      </c>
      <c r="AN2435">
        <v>1.00000003010537</v>
      </c>
    </row>
    <row r="2436" spans="1:40" x14ac:dyDescent="0.25">
      <c r="A2436" t="str">
        <f>"20190312154558474"</f>
        <v>20190312154558474</v>
      </c>
      <c r="B2436" t="str">
        <f>"1552376758469006"</f>
        <v>1552376758469006</v>
      </c>
      <c r="C2436" t="s">
        <v>40</v>
      </c>
      <c r="D2436">
        <v>4.0724280000000004</v>
      </c>
      <c r="E2436">
        <v>0.33136700000000002</v>
      </c>
      <c r="F2436" t="s">
        <v>53</v>
      </c>
      <c r="G2436">
        <v>-481.60329999999999</v>
      </c>
      <c r="H2436" s="1">
        <v>2.0086250000000002E-6</v>
      </c>
      <c r="I2436">
        <v>218.60040000000001</v>
      </c>
      <c r="J2436">
        <v>-491.23259999999999</v>
      </c>
      <c r="K2436">
        <v>1.1158729999999999</v>
      </c>
      <c r="L2436">
        <v>231.04179999999999</v>
      </c>
      <c r="M2436">
        <v>0.21707419999999999</v>
      </c>
      <c r="N2436">
        <v>0</v>
      </c>
      <c r="O2436">
        <v>-0.97604880000000005</v>
      </c>
      <c r="P2436">
        <v>0.24138299999999999</v>
      </c>
      <c r="Q2436">
        <v>1.7092860000000001E-2</v>
      </c>
      <c r="R2436">
        <v>-0.97027949999999996</v>
      </c>
      <c r="S2436">
        <v>2.0003660000000001</v>
      </c>
      <c r="T2436">
        <v>-0.23049320000000001</v>
      </c>
      <c r="U2436">
        <v>-2.6120610000000002</v>
      </c>
      <c r="V2436">
        <v>-2.5425920000000001E-2</v>
      </c>
      <c r="W2436">
        <v>3.1131309999999999E-2</v>
      </c>
      <c r="X2436">
        <v>0.99919190000000002</v>
      </c>
      <c r="Y2436">
        <v>-0.4195738</v>
      </c>
      <c r="Z2436">
        <v>7.1566279999999996E-2</v>
      </c>
      <c r="AA2436">
        <v>0.90489560000000002</v>
      </c>
      <c r="AB2436">
        <v>22</v>
      </c>
      <c r="AC2436">
        <v>9.6293000000000006</v>
      </c>
      <c r="AD2436">
        <v>-1.11587099137499</v>
      </c>
      <c r="AE2436">
        <v>-12.4413999999999</v>
      </c>
      <c r="AF2436">
        <v>-6.66512437003058</v>
      </c>
      <c r="AG2436">
        <v>-1.11587099137499</v>
      </c>
      <c r="AH2436">
        <v>14.163908377753</v>
      </c>
      <c r="AI2436">
        <v>94.077406022778007</v>
      </c>
      <c r="AJ2436">
        <v>115.20031464183</v>
      </c>
      <c r="AK2436">
        <v>15.693481177570201</v>
      </c>
      <c r="AL2436">
        <v>88.216019166406596</v>
      </c>
      <c r="AM2436">
        <v>91.457661527658701</v>
      </c>
      <c r="AN2436">
        <v>1.00000004444788</v>
      </c>
    </row>
    <row r="2437" spans="1:40" x14ac:dyDescent="0.25">
      <c r="A2437" t="str">
        <f>"20190312154558493"</f>
        <v>20190312154558493</v>
      </c>
      <c r="B2437" t="str">
        <f>"1552376758489502"</f>
        <v>1552376758489502</v>
      </c>
      <c r="C2437" t="s">
        <v>40</v>
      </c>
      <c r="D2437">
        <v>4.0975780000000004</v>
      </c>
      <c r="E2437">
        <v>0.33167760000000002</v>
      </c>
      <c r="F2437" t="s">
        <v>53</v>
      </c>
      <c r="G2437">
        <v>-480.89229999999998</v>
      </c>
      <c r="H2437" s="1">
        <v>1.8534239999999999E-6</v>
      </c>
      <c r="I2437">
        <v>217.9349</v>
      </c>
      <c r="J2437">
        <v>-491.18400000000003</v>
      </c>
      <c r="K2437">
        <v>1.115874</v>
      </c>
      <c r="L2437">
        <v>230.8672</v>
      </c>
      <c r="M2437">
        <v>0.22523080000000001</v>
      </c>
      <c r="N2437">
        <v>0</v>
      </c>
      <c r="O2437">
        <v>-0.97419889999999998</v>
      </c>
      <c r="P2437">
        <v>0.24940999999999999</v>
      </c>
      <c r="Q2437">
        <v>1.6561670000000001E-2</v>
      </c>
      <c r="R2437">
        <v>-0.96825649999999996</v>
      </c>
      <c r="S2437">
        <v>2.0416259999999999</v>
      </c>
      <c r="T2437">
        <v>-0.22032180000000001</v>
      </c>
      <c r="U2437">
        <v>-2.5878749999999999</v>
      </c>
      <c r="V2437">
        <v>-2.5334369999999998E-2</v>
      </c>
      <c r="W2437">
        <v>3.0612759999999999E-2</v>
      </c>
      <c r="X2437">
        <v>0.99921020000000005</v>
      </c>
      <c r="Y2437">
        <v>-0.42514980000000002</v>
      </c>
      <c r="Z2437">
        <v>6.8338380000000004E-2</v>
      </c>
      <c r="AA2437">
        <v>0.90253950000000005</v>
      </c>
      <c r="AB2437">
        <v>22</v>
      </c>
      <c r="AC2437">
        <v>10.291700000000001</v>
      </c>
      <c r="AD2437">
        <v>-1.115872146576</v>
      </c>
      <c r="AE2437">
        <v>-12.9322999999999</v>
      </c>
      <c r="AF2437">
        <v>-7.0818674704309901</v>
      </c>
      <c r="AG2437">
        <v>-1.115872146576</v>
      </c>
      <c r="AH2437">
        <v>14.8504952384514</v>
      </c>
      <c r="AI2437">
        <v>93.880041103130196</v>
      </c>
      <c r="AJ2437">
        <v>115.49542533687099</v>
      </c>
      <c r="AK2437">
        <v>16.4904586456387</v>
      </c>
      <c r="AL2437">
        <v>88.245743978158899</v>
      </c>
      <c r="AM2437">
        <v>91.452388652847603</v>
      </c>
      <c r="AN2437">
        <v>0.99999999758107705</v>
      </c>
    </row>
    <row r="2438" spans="1:40" x14ac:dyDescent="0.25">
      <c r="A2438" t="str">
        <f>"20190312154558516"</f>
        <v>20190312154558516</v>
      </c>
      <c r="B2438" t="str">
        <f>"1552376758509023"</f>
        <v>1552376758509023</v>
      </c>
      <c r="C2438" t="s">
        <v>40</v>
      </c>
      <c r="D2438">
        <v>4.0753719999999998</v>
      </c>
      <c r="E2438">
        <v>0.33216560000000001</v>
      </c>
      <c r="F2438" t="s">
        <v>53</v>
      </c>
      <c r="G2438">
        <v>-481.01249999999999</v>
      </c>
      <c r="H2438" s="1">
        <v>1.8852740000000001E-6</v>
      </c>
      <c r="I2438">
        <v>218.1756</v>
      </c>
      <c r="J2438">
        <v>-491.12270000000001</v>
      </c>
      <c r="K2438">
        <v>1.115882</v>
      </c>
      <c r="L2438">
        <v>230.65469999999999</v>
      </c>
      <c r="M2438">
        <v>0.2352262</v>
      </c>
      <c r="N2438">
        <v>0</v>
      </c>
      <c r="O2438">
        <v>-0.97183370000000002</v>
      </c>
      <c r="P2438">
        <v>0.25933020000000001</v>
      </c>
      <c r="Q2438">
        <v>1.6208340000000002E-2</v>
      </c>
      <c r="R2438">
        <v>-0.96565279999999998</v>
      </c>
      <c r="S2438">
        <v>2.060791</v>
      </c>
      <c r="T2438">
        <v>-0.2260827</v>
      </c>
      <c r="U2438">
        <v>-2.5713810000000001</v>
      </c>
      <c r="V2438">
        <v>-2.5315580000000001E-2</v>
      </c>
      <c r="W2438">
        <v>3.02715E-2</v>
      </c>
      <c r="X2438">
        <v>0.99922109999999997</v>
      </c>
      <c r="Y2438">
        <v>-0.42269640000000003</v>
      </c>
      <c r="Z2438">
        <v>7.0106799999999997E-2</v>
      </c>
      <c r="AA2438">
        <v>0.90355560000000001</v>
      </c>
      <c r="AB2438">
        <v>22</v>
      </c>
      <c r="AC2438">
        <v>10.110200000000001</v>
      </c>
      <c r="AD2438">
        <v>-1.115880114726</v>
      </c>
      <c r="AE2438">
        <v>-12.479099999999899</v>
      </c>
      <c r="AF2438">
        <v>-6.8576338575264097</v>
      </c>
      <c r="AG2438">
        <v>-1.115880114726</v>
      </c>
      <c r="AH2438">
        <v>14.4376064291924</v>
      </c>
      <c r="AI2438">
        <v>93.993601524328795</v>
      </c>
      <c r="AJ2438">
        <v>115.406975978632</v>
      </c>
      <c r="AK2438">
        <v>16.022384652684899</v>
      </c>
      <c r="AL2438">
        <v>88.265305849018105</v>
      </c>
      <c r="AM2438">
        <v>91.451296080997906</v>
      </c>
      <c r="AN2438">
        <v>1.0000000244940901</v>
      </c>
    </row>
    <row r="2439" spans="1:40" x14ac:dyDescent="0.25">
      <c r="A2439" t="str">
        <f>"20190312154558538"</f>
        <v>20190312154558538</v>
      </c>
      <c r="B2439" t="str">
        <f>"1552376758529518"</f>
        <v>1552376758529518</v>
      </c>
      <c r="C2439" t="s">
        <v>40</v>
      </c>
      <c r="D2439">
        <v>4.0802529999999999</v>
      </c>
      <c r="E2439">
        <v>0.3327947</v>
      </c>
      <c r="F2439" t="s">
        <v>53</v>
      </c>
      <c r="G2439">
        <v>-481.02030000000002</v>
      </c>
      <c r="H2439" s="1">
        <v>1.891493E-6</v>
      </c>
      <c r="I2439">
        <v>218.2867</v>
      </c>
      <c r="J2439">
        <v>-491.06290000000001</v>
      </c>
      <c r="K2439">
        <v>1.1158920000000001</v>
      </c>
      <c r="L2439">
        <v>230.45570000000001</v>
      </c>
      <c r="M2439">
        <v>0.24465870000000001</v>
      </c>
      <c r="N2439">
        <v>0</v>
      </c>
      <c r="O2439">
        <v>-0.96950199999999997</v>
      </c>
      <c r="P2439">
        <v>0.26897520000000003</v>
      </c>
      <c r="Q2439">
        <v>1.6496420000000001E-2</v>
      </c>
      <c r="R2439">
        <v>-0.96300609999999998</v>
      </c>
      <c r="S2439">
        <v>2.0836790000000001</v>
      </c>
      <c r="T2439">
        <v>-0.23015679999999999</v>
      </c>
      <c r="U2439">
        <v>-2.55098</v>
      </c>
      <c r="V2439">
        <v>-2.5605989999999999E-2</v>
      </c>
      <c r="W2439">
        <v>3.056557E-2</v>
      </c>
      <c r="X2439">
        <v>0.99920469999999895</v>
      </c>
      <c r="Y2439">
        <v>-0.42223569999999999</v>
      </c>
      <c r="Z2439">
        <v>7.1375350000000004E-2</v>
      </c>
      <c r="AA2439">
        <v>0.90367169999999997</v>
      </c>
      <c r="AB2439">
        <v>22</v>
      </c>
      <c r="AC2439">
        <v>10.042599999999901</v>
      </c>
      <c r="AD2439">
        <v>-1.1158901085070001</v>
      </c>
      <c r="AE2439">
        <v>-12.169</v>
      </c>
      <c r="AF2439">
        <v>-6.7261274361765597</v>
      </c>
      <c r="AG2439">
        <v>-1.1158901085070001</v>
      </c>
      <c r="AH2439">
        <v>14.1854053907721</v>
      </c>
      <c r="AI2439">
        <v>94.065699768328699</v>
      </c>
      <c r="AJ2439">
        <v>115.368356417671</v>
      </c>
      <c r="AK2439">
        <v>15.7388604137179</v>
      </c>
      <c r="AL2439">
        <v>88.248448995175096</v>
      </c>
      <c r="AM2439">
        <v>91.4679615967719</v>
      </c>
      <c r="AN2439">
        <v>0.99999997664769702</v>
      </c>
    </row>
    <row r="2440" spans="1:40" x14ac:dyDescent="0.25">
      <c r="A2440" t="str">
        <f>"20190312154558563"</f>
        <v>20190312154558563</v>
      </c>
      <c r="B2440" t="str">
        <f>"1552376758559776"</f>
        <v>1552376758559776</v>
      </c>
      <c r="C2440" t="s">
        <v>40</v>
      </c>
      <c r="D2440">
        <v>4.0469429999999997</v>
      </c>
      <c r="E2440">
        <v>0.33413159999999997</v>
      </c>
      <c r="F2440" t="s">
        <v>53</v>
      </c>
      <c r="G2440">
        <v>-480.779</v>
      </c>
      <c r="H2440" s="1">
        <v>1.839802E-6</v>
      </c>
      <c r="I2440">
        <v>218.083</v>
      </c>
      <c r="J2440">
        <v>-490.99279999999999</v>
      </c>
      <c r="K2440">
        <v>1.1159110000000001</v>
      </c>
      <c r="L2440">
        <v>230.2302</v>
      </c>
      <c r="M2440">
        <v>0.2554207</v>
      </c>
      <c r="N2440">
        <v>0</v>
      </c>
      <c r="O2440">
        <v>-0.96672210000000003</v>
      </c>
      <c r="P2440">
        <v>0.28044229999999998</v>
      </c>
      <c r="Q2440">
        <v>1.7019320000000001E-2</v>
      </c>
      <c r="R2440">
        <v>-0.95972049999999998</v>
      </c>
      <c r="S2440">
        <v>2.104095</v>
      </c>
      <c r="T2440">
        <v>-0.2283123</v>
      </c>
      <c r="U2440">
        <v>-2.5314640000000002</v>
      </c>
      <c r="V2440">
        <v>-2.6427920000000001E-2</v>
      </c>
      <c r="W2440">
        <v>3.108698E-2</v>
      </c>
      <c r="X2440">
        <v>0.99916729999999998</v>
      </c>
      <c r="Y2440">
        <v>-0.41991899999999999</v>
      </c>
      <c r="Z2440">
        <v>7.0800020000000005E-2</v>
      </c>
      <c r="AA2440">
        <v>0.90479580000000004</v>
      </c>
      <c r="AB2440">
        <v>22</v>
      </c>
      <c r="AC2440">
        <v>10.2137999999999</v>
      </c>
      <c r="AD2440">
        <v>-1.115909160198</v>
      </c>
      <c r="AE2440">
        <v>-12.1471999999999</v>
      </c>
      <c r="AF2440">
        <v>-6.7386510842420604</v>
      </c>
      <c r="AG2440">
        <v>-1.115909160198</v>
      </c>
      <c r="AH2440">
        <v>14.2826678740171</v>
      </c>
      <c r="AI2440">
        <v>94.041834353041907</v>
      </c>
      <c r="AJ2440">
        <v>115.258228405856</v>
      </c>
      <c r="AK2440">
        <v>15.831906811513599</v>
      </c>
      <c r="AL2440">
        <v>88.218560353573196</v>
      </c>
      <c r="AM2440">
        <v>91.515116950182303</v>
      </c>
      <c r="AN2440">
        <v>1.0000000643351601</v>
      </c>
    </row>
    <row r="2441" spans="1:40" x14ac:dyDescent="0.25">
      <c r="A2441" t="str">
        <f>"20190312154558582"</f>
        <v>20190312154558582</v>
      </c>
      <c r="B2441" t="str">
        <f>"1552376758579295"</f>
        <v>1552376758579295</v>
      </c>
      <c r="C2441" t="s">
        <v>40</v>
      </c>
      <c r="D2441">
        <v>4.0480589999999896</v>
      </c>
      <c r="E2441">
        <v>0.33515719999999999</v>
      </c>
      <c r="F2441" t="s">
        <v>53</v>
      </c>
      <c r="G2441">
        <v>-480.56869999999998</v>
      </c>
      <c r="H2441" s="1">
        <v>1.7950059999999999E-6</v>
      </c>
      <c r="I2441">
        <v>217.9117</v>
      </c>
      <c r="J2441">
        <v>-490.93849999999998</v>
      </c>
      <c r="K2441">
        <v>1.1159250000000001</v>
      </c>
      <c r="L2441">
        <v>230.06229999999999</v>
      </c>
      <c r="M2441">
        <v>0.26348890000000003</v>
      </c>
      <c r="N2441">
        <v>0</v>
      </c>
      <c r="O2441">
        <v>-0.96455429999999998</v>
      </c>
      <c r="P2441">
        <v>0.28905700000000001</v>
      </c>
      <c r="Q2441">
        <v>1.724179E-2</v>
      </c>
      <c r="R2441">
        <v>-0.95715689999999998</v>
      </c>
      <c r="S2441">
        <v>2.123535</v>
      </c>
      <c r="T2441">
        <v>-0.227327</v>
      </c>
      <c r="U2441">
        <v>-2.5094449999999999</v>
      </c>
      <c r="V2441">
        <v>-2.706569E-2</v>
      </c>
      <c r="W2441">
        <v>3.1307179999999997E-2</v>
      </c>
      <c r="X2441">
        <v>0.99914329999999996</v>
      </c>
      <c r="Y2441">
        <v>-0.42033930000000003</v>
      </c>
      <c r="Z2441">
        <v>7.0567279999999996E-2</v>
      </c>
      <c r="AA2441">
        <v>0.90461879999999995</v>
      </c>
      <c r="AB2441">
        <v>22</v>
      </c>
      <c r="AC2441">
        <v>10.3697999999999</v>
      </c>
      <c r="AD2441">
        <v>-1.115923204994</v>
      </c>
      <c r="AE2441">
        <v>-12.150599999999899</v>
      </c>
      <c r="AF2441">
        <v>-6.7683652778914398</v>
      </c>
      <c r="AG2441">
        <v>-1.115923204994</v>
      </c>
      <c r="AH2441">
        <v>14.3835534043541</v>
      </c>
      <c r="AI2441">
        <v>94.015546841622907</v>
      </c>
      <c r="AJ2441">
        <v>115.19993088990699</v>
      </c>
      <c r="AK2441">
        <v>15.9355784855875</v>
      </c>
      <c r="AL2441">
        <v>88.205937586658706</v>
      </c>
      <c r="AM2441">
        <v>91.551699997201695</v>
      </c>
      <c r="AN2441">
        <v>1.0000000125148001</v>
      </c>
    </row>
    <row r="2442" spans="1:40" x14ac:dyDescent="0.25">
      <c r="A2442" t="str">
        <f>"20190312154558605"</f>
        <v>20190312154558605</v>
      </c>
      <c r="B2442" t="str">
        <f>"1552376758599790"</f>
        <v>1552376758599790</v>
      </c>
      <c r="C2442" t="s">
        <v>40</v>
      </c>
      <c r="D2442">
        <v>4.0595460000000001</v>
      </c>
      <c r="E2442">
        <v>0.33611289999999999</v>
      </c>
      <c r="F2442" t="s">
        <v>53</v>
      </c>
      <c r="G2442">
        <v>-480.2704</v>
      </c>
      <c r="H2442" s="1">
        <v>1.729803E-6</v>
      </c>
      <c r="I2442">
        <v>217.63050000000001</v>
      </c>
      <c r="J2442">
        <v>-490.86799999999999</v>
      </c>
      <c r="K2442">
        <v>1.115937</v>
      </c>
      <c r="L2442">
        <v>229.85130000000001</v>
      </c>
      <c r="M2442">
        <v>0.27369130000000003</v>
      </c>
      <c r="N2442">
        <v>0</v>
      </c>
      <c r="O2442">
        <v>-0.96170869999999997</v>
      </c>
      <c r="P2442">
        <v>0.2992244</v>
      </c>
      <c r="Q2442">
        <v>1.684739E-2</v>
      </c>
      <c r="R2442">
        <v>-0.95403389999999999</v>
      </c>
      <c r="S2442">
        <v>2.1387939999999999</v>
      </c>
      <c r="T2442">
        <v>-0.22372690000000001</v>
      </c>
      <c r="U2442">
        <v>-2.4924010000000001</v>
      </c>
      <c r="V2442">
        <v>-2.710651E-2</v>
      </c>
      <c r="W2442">
        <v>3.092017E-2</v>
      </c>
      <c r="X2442">
        <v>0.99915419999999999</v>
      </c>
      <c r="Y2442">
        <v>-0.41702210000000001</v>
      </c>
      <c r="Z2442">
        <v>6.9443740000000004E-2</v>
      </c>
      <c r="AA2442">
        <v>0.90623960000000003</v>
      </c>
      <c r="AB2442">
        <v>22</v>
      </c>
      <c r="AC2442">
        <v>10.5976</v>
      </c>
      <c r="AD2442">
        <v>-1.115935270197</v>
      </c>
      <c r="AE2442">
        <v>-12.220799999999899</v>
      </c>
      <c r="AF2442">
        <v>-6.8153581321704699</v>
      </c>
      <c r="AG2442">
        <v>-1.115935270197</v>
      </c>
      <c r="AH2442">
        <v>14.585438534556101</v>
      </c>
      <c r="AI2442">
        <v>93.965183824343399</v>
      </c>
      <c r="AJ2442">
        <v>115.045338768416</v>
      </c>
      <c r="AK2442">
        <v>16.137826224195301</v>
      </c>
      <c r="AL2442">
        <v>88.228122287225801</v>
      </c>
      <c r="AM2442">
        <v>91.554022152207907</v>
      </c>
      <c r="AN2442">
        <v>0.99999996758742304</v>
      </c>
    </row>
    <row r="2443" spans="1:40" x14ac:dyDescent="0.25">
      <c r="A2443" t="str">
        <f>"20190312154558626"</f>
        <v>20190312154558626</v>
      </c>
      <c r="B2443" t="str">
        <f>"1552376758619311"</f>
        <v>1552376758619311</v>
      </c>
      <c r="C2443" t="s">
        <v>40</v>
      </c>
      <c r="D2443">
        <v>4.0853590000000004</v>
      </c>
      <c r="E2443">
        <v>0.336955</v>
      </c>
      <c r="F2443" t="s">
        <v>41</v>
      </c>
      <c r="G2443">
        <v>-490.17399999999998</v>
      </c>
      <c r="H2443">
        <v>1.0437620000000001</v>
      </c>
      <c r="I2443">
        <v>229.0565</v>
      </c>
      <c r="J2443">
        <v>-490.80290000000002</v>
      </c>
      <c r="K2443">
        <v>1.115945</v>
      </c>
      <c r="L2443">
        <v>229.66290000000001</v>
      </c>
      <c r="M2443">
        <v>0.28286109999999998</v>
      </c>
      <c r="N2443">
        <v>0</v>
      </c>
      <c r="O2443">
        <v>-0.95905169999999995</v>
      </c>
      <c r="P2443">
        <v>0.30834549999999999</v>
      </c>
      <c r="Q2443">
        <v>1.62781E-2</v>
      </c>
      <c r="R2443">
        <v>-0.95113530000000002</v>
      </c>
      <c r="S2443">
        <v>2.1582949999999999</v>
      </c>
      <c r="T2443">
        <v>-0.22446350000000001</v>
      </c>
      <c r="U2443">
        <v>-2.4715880000000001</v>
      </c>
      <c r="V2443">
        <v>-2.7123649999999999E-2</v>
      </c>
      <c r="W2443">
        <v>3.0357769999999999E-2</v>
      </c>
      <c r="X2443">
        <v>0.99917100000000003</v>
      </c>
      <c r="Y2443">
        <v>-0.41616700000000001</v>
      </c>
      <c r="Z2443">
        <v>6.9680740000000005E-2</v>
      </c>
      <c r="AA2443">
        <v>0.90661440000000004</v>
      </c>
      <c r="AB2443">
        <v>21</v>
      </c>
      <c r="AC2443">
        <v>0.62889999999998702</v>
      </c>
      <c r="AD2443">
        <v>-7.2182999999999803E-2</v>
      </c>
      <c r="AE2443">
        <v>-0.60640000000000704</v>
      </c>
      <c r="AF2443">
        <v>-0.42873897539308697</v>
      </c>
      <c r="AG2443">
        <v>-7.2182999999999803E-2</v>
      </c>
      <c r="AH2443">
        <v>0.75438984362511996</v>
      </c>
      <c r="AI2443">
        <v>94.755366556512996</v>
      </c>
      <c r="AJ2443">
        <v>119.610673098847</v>
      </c>
      <c r="AK2443">
        <v>0.87070748858319003</v>
      </c>
      <c r="AL2443">
        <v>88.260360604069007</v>
      </c>
      <c r="AM2443">
        <v>91.554978176946506</v>
      </c>
      <c r="AN2443">
        <v>0.99999998691484704</v>
      </c>
    </row>
    <row r="2444" spans="1:40" x14ac:dyDescent="0.25">
      <c r="A2444" t="str">
        <f>"20190312154558651"</f>
        <v>20190312154558651</v>
      </c>
      <c r="B2444" t="str">
        <f>"1552376758649566"</f>
        <v>1552376758649566</v>
      </c>
      <c r="C2444" t="s">
        <v>40</v>
      </c>
      <c r="D2444">
        <v>4.1317629999999896</v>
      </c>
      <c r="E2444">
        <v>0.35082930000000001</v>
      </c>
      <c r="F2444" t="s">
        <v>41</v>
      </c>
      <c r="G2444">
        <v>-490.0926</v>
      </c>
      <c r="H2444">
        <v>1.043266</v>
      </c>
      <c r="I2444">
        <v>228.86170000000001</v>
      </c>
      <c r="J2444">
        <v>-490.72340000000003</v>
      </c>
      <c r="K2444">
        <v>1.1159520000000001</v>
      </c>
      <c r="L2444">
        <v>229.441</v>
      </c>
      <c r="M2444">
        <v>0.29372140000000002</v>
      </c>
      <c r="N2444">
        <v>0</v>
      </c>
      <c r="O2444">
        <v>-0.9557814</v>
      </c>
      <c r="P2444">
        <v>0.31877290000000003</v>
      </c>
      <c r="Q2444">
        <v>1.586912E-2</v>
      </c>
      <c r="R2444">
        <v>-0.9476985</v>
      </c>
      <c r="S2444">
        <v>2.1758730000000002</v>
      </c>
      <c r="T2444">
        <v>-0.2224815</v>
      </c>
      <c r="U2444">
        <v>-2.4525450000000002</v>
      </c>
      <c r="V2444">
        <v>-2.675568E-2</v>
      </c>
      <c r="W2444">
        <v>2.996074E-2</v>
      </c>
      <c r="X2444">
        <v>0.99919290000000005</v>
      </c>
      <c r="Y2444">
        <v>-0.41300989999999999</v>
      </c>
      <c r="Z2444">
        <v>6.9027710000000006E-2</v>
      </c>
      <c r="AA2444">
        <v>0.90810690000000005</v>
      </c>
      <c r="AB2444">
        <v>21</v>
      </c>
      <c r="AC2444">
        <v>0.63080000000002201</v>
      </c>
      <c r="AD2444">
        <v>-7.2686000000000001E-2</v>
      </c>
      <c r="AE2444">
        <v>-0.57929999999995996</v>
      </c>
      <c r="AF2444">
        <v>-0.42970438436116698</v>
      </c>
      <c r="AG2444">
        <v>-7.2686000000000001E-2</v>
      </c>
      <c r="AH2444">
        <v>0.73375598082828697</v>
      </c>
      <c r="AI2444">
        <v>94.885811110034595</v>
      </c>
      <c r="AJ2444">
        <v>120.35422132726799</v>
      </c>
      <c r="AK2444">
        <v>0.85342073559088705</v>
      </c>
      <c r="AL2444">
        <v>88.283119091912496</v>
      </c>
      <c r="AM2444">
        <v>91.533859281415005</v>
      </c>
      <c r="AN2444">
        <v>0.999999981882009</v>
      </c>
    </row>
    <row r="2445" spans="1:40" x14ac:dyDescent="0.25">
      <c r="A2445" t="str">
        <f>"20190312154558671"</f>
        <v>20190312154558671</v>
      </c>
      <c r="B2445" t="str">
        <f>"1552376758659330"</f>
        <v>1552376758659330</v>
      </c>
      <c r="C2445" t="s">
        <v>40</v>
      </c>
      <c r="D2445">
        <v>4.1368809999999998</v>
      </c>
      <c r="E2445">
        <v>0.34989229999999999</v>
      </c>
      <c r="F2445" t="s">
        <v>53</v>
      </c>
      <c r="G2445">
        <v>-479.75850000000003</v>
      </c>
      <c r="H2445" s="1">
        <v>1.716164E-6</v>
      </c>
      <c r="I2445">
        <v>216.56559999999999</v>
      </c>
      <c r="J2445">
        <v>-490.65980000000002</v>
      </c>
      <c r="K2445">
        <v>1.115955</v>
      </c>
      <c r="L2445">
        <v>229.26859999999999</v>
      </c>
      <c r="M2445">
        <v>0.30219580000000001</v>
      </c>
      <c r="N2445">
        <v>0</v>
      </c>
      <c r="O2445">
        <v>-0.95313599999999998</v>
      </c>
      <c r="P2445">
        <v>0.32733469999999998</v>
      </c>
      <c r="Q2445">
        <v>1.559429E-2</v>
      </c>
      <c r="R2445">
        <v>-0.94478019999999996</v>
      </c>
      <c r="S2445">
        <v>2.0979610000000002</v>
      </c>
      <c r="T2445">
        <v>-0.2135185</v>
      </c>
      <c r="U2445">
        <v>-2.4634860000000001</v>
      </c>
      <c r="V2445">
        <v>-2.6919800000000001E-2</v>
      </c>
      <c r="W2445">
        <v>2.9689070000000001E-2</v>
      </c>
      <c r="X2445">
        <v>0.99919659999999999</v>
      </c>
      <c r="Y2445">
        <v>-0.38645819999999997</v>
      </c>
      <c r="Z2445">
        <v>6.6777450000000002E-2</v>
      </c>
      <c r="AA2445">
        <v>0.91988630000000005</v>
      </c>
      <c r="AB2445">
        <v>21</v>
      </c>
      <c r="AC2445">
        <v>10.9012999999999</v>
      </c>
      <c r="AD2445">
        <v>-1.115953283836</v>
      </c>
      <c r="AE2445">
        <v>-12.702999999999999</v>
      </c>
      <c r="AF2445">
        <v>-6.5233220025296896</v>
      </c>
      <c r="AG2445">
        <v>-1.115953283836</v>
      </c>
      <c r="AH2445">
        <v>15.3354694772993</v>
      </c>
      <c r="AI2445">
        <v>93.830973084891596</v>
      </c>
      <c r="AJ2445">
        <v>113.043677793206</v>
      </c>
      <c r="AK2445">
        <v>16.7025658438927</v>
      </c>
      <c r="AL2445">
        <v>88.298691562721302</v>
      </c>
      <c r="AM2445">
        <v>91.543257763973699</v>
      </c>
      <c r="AN2445">
        <v>0.999999980980532</v>
      </c>
    </row>
    <row r="2446" spans="1:40" x14ac:dyDescent="0.25">
      <c r="A2446" t="str">
        <f>"20190312154558693"</f>
        <v>20190312154558693</v>
      </c>
      <c r="B2446" t="str">
        <f>"1552376758689582"</f>
        <v>1552376758689582</v>
      </c>
      <c r="C2446" t="s">
        <v>40</v>
      </c>
      <c r="D2446">
        <v>4.1207399999999996</v>
      </c>
      <c r="E2446">
        <v>0.32660830000000002</v>
      </c>
      <c r="F2446" t="s">
        <v>53</v>
      </c>
      <c r="G2446">
        <v>-479.96640000000002</v>
      </c>
      <c r="H2446" s="1">
        <v>1.6484430000000001E-6</v>
      </c>
      <c r="I2446">
        <v>217.00309999999999</v>
      </c>
      <c r="J2446">
        <v>-490.58510000000001</v>
      </c>
      <c r="K2446">
        <v>1.115958</v>
      </c>
      <c r="L2446">
        <v>229.07220000000001</v>
      </c>
      <c r="M2446">
        <v>0.31189499999999998</v>
      </c>
      <c r="N2446">
        <v>0</v>
      </c>
      <c r="O2446">
        <v>-0.95000609999999996</v>
      </c>
      <c r="P2446">
        <v>0.33800550000000001</v>
      </c>
      <c r="Q2446">
        <v>1.6727849999999999E-2</v>
      </c>
      <c r="R2446">
        <v>-0.94099569999999999</v>
      </c>
      <c r="S2446">
        <v>2.128571</v>
      </c>
      <c r="T2446">
        <v>-0.22213530000000001</v>
      </c>
      <c r="U2446">
        <v>-2.441513</v>
      </c>
      <c r="V2446">
        <v>-2.8065659999999999E-2</v>
      </c>
      <c r="W2446">
        <v>3.0809599999999999E-2</v>
      </c>
      <c r="X2446">
        <v>0.99913110000000005</v>
      </c>
      <c r="Y2446">
        <v>-0.3876058</v>
      </c>
      <c r="Z2446">
        <v>6.9323579999999996E-2</v>
      </c>
      <c r="AA2446">
        <v>0.91921489999999995</v>
      </c>
      <c r="AB2446">
        <v>21</v>
      </c>
      <c r="AC2446">
        <v>10.618699999999899</v>
      </c>
      <c r="AD2446">
        <v>-1.1159563515569999</v>
      </c>
      <c r="AE2446">
        <v>-12.069100000000001</v>
      </c>
      <c r="AF2446">
        <v>-6.2938706882966802</v>
      </c>
      <c r="AG2446">
        <v>-1.1159563515569999</v>
      </c>
      <c r="AH2446">
        <v>14.7083081531737</v>
      </c>
      <c r="AI2446">
        <v>93.990173713752</v>
      </c>
      <c r="AJ2446">
        <v>113.166693278396</v>
      </c>
      <c r="AK2446">
        <v>16.0372221892788</v>
      </c>
      <c r="AL2446">
        <v>88.234460441942204</v>
      </c>
      <c r="AM2446">
        <v>91.609019200803601</v>
      </c>
      <c r="AN2446">
        <v>0.99999993385529995</v>
      </c>
    </row>
    <row r="2447" spans="1:40" x14ac:dyDescent="0.25">
      <c r="A2447" t="str">
        <f>"20190312154558715"</f>
        <v>20190312154558715</v>
      </c>
      <c r="B2447" t="str">
        <f>"1552376758709102"</f>
        <v>1552376758709102</v>
      </c>
      <c r="C2447" t="s">
        <v>40</v>
      </c>
      <c r="D2447">
        <v>4.1932150000000004</v>
      </c>
      <c r="E2447">
        <v>0.32551550000000001</v>
      </c>
      <c r="F2447" t="s">
        <v>41</v>
      </c>
      <c r="G2447">
        <v>-489.88409999999999</v>
      </c>
      <c r="H2447">
        <v>1.0407409999999999</v>
      </c>
      <c r="I2447">
        <v>228.3648</v>
      </c>
      <c r="J2447">
        <v>-490.50850000000003</v>
      </c>
      <c r="K2447">
        <v>1.11596299999999</v>
      </c>
      <c r="L2447">
        <v>228.87719999999999</v>
      </c>
      <c r="M2447">
        <v>0.32155620000000001</v>
      </c>
      <c r="N2447">
        <v>0</v>
      </c>
      <c r="O2447">
        <v>-0.9467797</v>
      </c>
      <c r="P2447">
        <v>0.34924909999999998</v>
      </c>
      <c r="Q2447">
        <v>1.904844E-2</v>
      </c>
      <c r="R2447">
        <v>-0.93683640000000001</v>
      </c>
      <c r="S2447">
        <v>2.3329770000000001</v>
      </c>
      <c r="T2447">
        <v>-0.25034020000000001</v>
      </c>
      <c r="U2447">
        <v>-2.3545530000000001</v>
      </c>
      <c r="V2447">
        <v>-2.989907E-2</v>
      </c>
      <c r="W2447">
        <v>3.3106780000000002E-2</v>
      </c>
      <c r="X2447">
        <v>0.99900449999999996</v>
      </c>
      <c r="Y2447">
        <v>-0.43585839999999998</v>
      </c>
      <c r="Z2447">
        <v>7.6889040000000006E-2</v>
      </c>
      <c r="AA2447">
        <v>0.89672489999999905</v>
      </c>
      <c r="AB2447">
        <v>21</v>
      </c>
      <c r="AC2447">
        <v>0.62440000000003604</v>
      </c>
      <c r="AD2447">
        <v>-7.52219999999999E-2</v>
      </c>
      <c r="AE2447">
        <v>-0.51239999999998498</v>
      </c>
      <c r="AF2447">
        <v>-0.42278190839800001</v>
      </c>
      <c r="AG2447">
        <v>-7.52219999999999E-2</v>
      </c>
      <c r="AH2447">
        <v>0.68008338858680595</v>
      </c>
      <c r="AI2447">
        <v>95.366345164780697</v>
      </c>
      <c r="AJ2447">
        <v>121.867640828492</v>
      </c>
      <c r="AK2447">
        <v>0.80431107588069894</v>
      </c>
      <c r="AL2447">
        <v>88.102774550643204</v>
      </c>
      <c r="AM2447">
        <v>91.714285875873202</v>
      </c>
      <c r="AN2447">
        <v>1.0000000021445401</v>
      </c>
    </row>
    <row r="2448" spans="1:40" x14ac:dyDescent="0.25">
      <c r="A2448" t="str">
        <f>"20190312154558745"</f>
        <v>20190312154558745</v>
      </c>
      <c r="B2448" t="str">
        <f>"1552376758739358"</f>
        <v>1552376758739358</v>
      </c>
      <c r="C2448" t="s">
        <v>40</v>
      </c>
      <c r="D2448">
        <v>4.2209629999999896</v>
      </c>
      <c r="E2448">
        <v>0.32674710000000001</v>
      </c>
      <c r="F2448" t="s">
        <v>41</v>
      </c>
      <c r="G2448">
        <v>-489.8014</v>
      </c>
      <c r="H2448">
        <v>1.0229760000000001</v>
      </c>
      <c r="I2448">
        <v>228.1842</v>
      </c>
      <c r="J2448">
        <v>-490.40679999999998</v>
      </c>
      <c r="K2448">
        <v>1.115947</v>
      </c>
      <c r="L2448">
        <v>228.62639999999999</v>
      </c>
      <c r="M2448">
        <v>0.33401599999999998</v>
      </c>
      <c r="N2448">
        <v>0</v>
      </c>
      <c r="O2448">
        <v>-0.94245599999999996</v>
      </c>
      <c r="P2448">
        <v>0.36285529999999999</v>
      </c>
      <c r="Q2448">
        <v>1.9778E-2</v>
      </c>
      <c r="R2448">
        <v>-0.93163580000000001</v>
      </c>
      <c r="S2448">
        <v>2.3727109999999998</v>
      </c>
      <c r="T2448">
        <v>-0.31183870000000002</v>
      </c>
      <c r="U2448">
        <v>-2.3240970000000001</v>
      </c>
      <c r="V2448">
        <v>-3.1285460000000001E-2</v>
      </c>
      <c r="W2448">
        <v>3.3819250000000002E-2</v>
      </c>
      <c r="X2448">
        <v>0.9989382</v>
      </c>
      <c r="Y2448">
        <v>-0.43621969999999999</v>
      </c>
      <c r="Z2448">
        <v>9.5323900000000003E-2</v>
      </c>
      <c r="AA2448">
        <v>0.89477689999999999</v>
      </c>
      <c r="AB2448">
        <v>21</v>
      </c>
      <c r="AC2448">
        <v>0.60539999999997396</v>
      </c>
      <c r="AD2448">
        <v>-9.2970999999999901E-2</v>
      </c>
      <c r="AE2448">
        <v>-0.44219999999998499</v>
      </c>
      <c r="AF2448">
        <v>-0.41650015728520901</v>
      </c>
      <c r="AG2448">
        <v>-9.2970999999999901E-2</v>
      </c>
      <c r="AH2448">
        <v>0.60965659622526702</v>
      </c>
      <c r="AI2448">
        <v>97.176803141624902</v>
      </c>
      <c r="AJ2448">
        <v>124.339785404498</v>
      </c>
      <c r="AK2448">
        <v>0.74417548547407897</v>
      </c>
      <c r="AL2448">
        <v>88.061930194630193</v>
      </c>
      <c r="AM2448">
        <v>91.793843793061697</v>
      </c>
      <c r="AN2448">
        <v>1.0000000245486</v>
      </c>
    </row>
    <row r="2449" spans="1:40" x14ac:dyDescent="0.25">
      <c r="A2449" t="str">
        <f>"20190312154558762"</f>
        <v>20190312154558762</v>
      </c>
      <c r="B2449" t="str">
        <f>"1552376758758878"</f>
        <v>1552376758758878</v>
      </c>
      <c r="C2449" t="s">
        <v>40</v>
      </c>
      <c r="D2449">
        <v>3.9799660000000001</v>
      </c>
      <c r="E2449">
        <v>0.3253779</v>
      </c>
      <c r="F2449" t="s">
        <v>41</v>
      </c>
      <c r="G2449">
        <v>-489.68020000000001</v>
      </c>
      <c r="H2449">
        <v>1.0117750000000001</v>
      </c>
      <c r="I2449">
        <v>227.9314</v>
      </c>
      <c r="J2449">
        <v>-490.3415</v>
      </c>
      <c r="K2449">
        <v>1.1159289999999999</v>
      </c>
      <c r="L2449">
        <v>228.47030000000001</v>
      </c>
      <c r="M2449">
        <v>0.34178249999999999</v>
      </c>
      <c r="N2449">
        <v>0</v>
      </c>
      <c r="O2449">
        <v>-0.93966729999999998</v>
      </c>
      <c r="P2449">
        <v>0.3708379</v>
      </c>
      <c r="Q2449">
        <v>1.8043989999999999E-2</v>
      </c>
      <c r="R2449">
        <v>-0.92852230000000002</v>
      </c>
      <c r="S2449">
        <v>2.3987120000000002</v>
      </c>
      <c r="T2449">
        <v>-0.3437113</v>
      </c>
      <c r="U2449">
        <v>-2.2931520000000001</v>
      </c>
      <c r="V2449">
        <v>-3.1577349999999997E-2</v>
      </c>
      <c r="W2449">
        <v>3.208308E-2</v>
      </c>
      <c r="X2449">
        <v>0.99898620000000005</v>
      </c>
      <c r="Y2449">
        <v>-0.43892930000000002</v>
      </c>
      <c r="Z2449">
        <v>0.1050225</v>
      </c>
      <c r="AA2449">
        <v>0.89236280000000001</v>
      </c>
      <c r="AB2449">
        <v>21</v>
      </c>
      <c r="AC2449">
        <v>0.66129999999998201</v>
      </c>
      <c r="AD2449">
        <v>-0.104154</v>
      </c>
      <c r="AE2449">
        <v>-0.53890000000001204</v>
      </c>
      <c r="AF2449">
        <v>-0.43083894957420799</v>
      </c>
      <c r="AG2449">
        <v>-0.104154</v>
      </c>
      <c r="AH2449">
        <v>0.72172588156270101</v>
      </c>
      <c r="AI2449">
        <v>97.063682394097199</v>
      </c>
      <c r="AJ2449">
        <v>120.83536359127901</v>
      </c>
      <c r="AK2449">
        <v>0.84697019091799497</v>
      </c>
      <c r="AL2449">
        <v>88.161459311614394</v>
      </c>
      <c r="AM2449">
        <v>91.8104821382924</v>
      </c>
      <c r="AN2449">
        <v>0.99999994042287199</v>
      </c>
    </row>
    <row r="2450" spans="1:40" x14ac:dyDescent="0.25">
      <c r="A2450" t="str">
        <f>"20190312154558784"</f>
        <v>20190312154558784</v>
      </c>
      <c r="B2450" t="str">
        <f>"1552376758779374"</f>
        <v>1552376758779374</v>
      </c>
      <c r="C2450" t="s">
        <v>40</v>
      </c>
      <c r="D2450">
        <v>4.0136620000000001</v>
      </c>
      <c r="E2450">
        <v>0.32524649999999999</v>
      </c>
      <c r="F2450" t="s">
        <v>53</v>
      </c>
      <c r="G2450">
        <v>-482.47089999999997</v>
      </c>
      <c r="H2450" s="1">
        <v>2.5384760000000001E-6</v>
      </c>
      <c r="I2450">
        <v>221.11580000000001</v>
      </c>
      <c r="J2450">
        <v>-490.26389999999998</v>
      </c>
      <c r="K2450">
        <v>1.115896</v>
      </c>
      <c r="L2450">
        <v>228.28960000000001</v>
      </c>
      <c r="M2450">
        <v>0.35077930000000002</v>
      </c>
      <c r="N2450">
        <v>0</v>
      </c>
      <c r="O2450">
        <v>-0.93634620000000002</v>
      </c>
      <c r="P2450">
        <v>0.3795441</v>
      </c>
      <c r="Q2450">
        <v>1.559172E-2</v>
      </c>
      <c r="R2450">
        <v>-0.9250427</v>
      </c>
      <c r="S2450">
        <v>2.4273989999999999</v>
      </c>
      <c r="T2450">
        <v>-0.34416760000000002</v>
      </c>
      <c r="U2450">
        <v>-2.2682039999999999</v>
      </c>
      <c r="V2450">
        <v>-3.1328210000000002E-2</v>
      </c>
      <c r="W2450">
        <v>2.9636160000000002E-2</v>
      </c>
      <c r="X2450">
        <v>0.99906969999999995</v>
      </c>
      <c r="Y2450">
        <v>-0.44049379999999999</v>
      </c>
      <c r="Z2450">
        <v>0.1049522</v>
      </c>
      <c r="AA2450">
        <v>0.89159979999999905</v>
      </c>
      <c r="AB2450">
        <v>21</v>
      </c>
      <c r="AC2450">
        <v>7.7930000000000001</v>
      </c>
      <c r="AD2450">
        <v>-1.1158934615239999</v>
      </c>
      <c r="AE2450">
        <v>-7.1738</v>
      </c>
      <c r="AF2450">
        <v>-4.7285456154339096</v>
      </c>
      <c r="AG2450">
        <v>-1.1158934615239999</v>
      </c>
      <c r="AH2450">
        <v>9.3480228595082409</v>
      </c>
      <c r="AI2450">
        <v>96.080217051038204</v>
      </c>
      <c r="AJ2450">
        <v>116.83182689617701</v>
      </c>
      <c r="AK2450">
        <v>10.535174096169399</v>
      </c>
      <c r="AL2450">
        <v>88.301724469874301</v>
      </c>
      <c r="AM2450">
        <v>91.796057107503401</v>
      </c>
      <c r="AN2450">
        <v>1.0000000120897099</v>
      </c>
    </row>
    <row r="2451" spans="1:40" x14ac:dyDescent="0.25">
      <c r="A2451" t="str">
        <f>"20190312154558806"</f>
        <v>20190312154558806</v>
      </c>
      <c r="B2451" t="str">
        <f>"1552376758798895"</f>
        <v>1552376758798895</v>
      </c>
      <c r="C2451" t="s">
        <v>40</v>
      </c>
      <c r="D2451">
        <v>4.0395909999999997</v>
      </c>
      <c r="E2451">
        <v>0.32518449999999999</v>
      </c>
      <c r="F2451" t="s">
        <v>41</v>
      </c>
      <c r="G2451">
        <v>-489.51740000000001</v>
      </c>
      <c r="H2451">
        <v>1.0071270000000001</v>
      </c>
      <c r="I2451">
        <v>227.60509999999999</v>
      </c>
      <c r="J2451">
        <v>-490.17829999999998</v>
      </c>
      <c r="K2451">
        <v>1.1158600000000001</v>
      </c>
      <c r="L2451">
        <v>228.0959</v>
      </c>
      <c r="M2451">
        <v>0.36042049999999998</v>
      </c>
      <c r="N2451">
        <v>0</v>
      </c>
      <c r="O2451">
        <v>-0.9326776</v>
      </c>
      <c r="P2451">
        <v>0.38848120000000003</v>
      </c>
      <c r="Q2451">
        <v>1.4669299999999901E-2</v>
      </c>
      <c r="R2451">
        <v>-0.9213401</v>
      </c>
      <c r="S2451">
        <v>2.4485779999999999</v>
      </c>
      <c r="T2451">
        <v>-0.35666819999999999</v>
      </c>
      <c r="U2451">
        <v>-2.2444609999999998</v>
      </c>
      <c r="V2451">
        <v>-3.0671589999999999E-2</v>
      </c>
      <c r="W2451">
        <v>2.8723410000000001E-2</v>
      </c>
      <c r="X2451">
        <v>0.99911669999999997</v>
      </c>
      <c r="Y2451">
        <v>-0.43947760000000002</v>
      </c>
      <c r="Z2451">
        <v>0.108572699999999</v>
      </c>
      <c r="AA2451">
        <v>0.89166780000000001</v>
      </c>
      <c r="AB2451">
        <v>21</v>
      </c>
      <c r="AC2451">
        <v>0.66089999999996896</v>
      </c>
      <c r="AD2451">
        <v>-0.108732999999999</v>
      </c>
      <c r="AE2451">
        <v>-0.49080000000000701</v>
      </c>
      <c r="AF2451">
        <v>-0.43202115114529799</v>
      </c>
      <c r="AG2451">
        <v>-0.108732999999999</v>
      </c>
      <c r="AH2451">
        <v>0.68409805722871797</v>
      </c>
      <c r="AI2451">
        <v>97.654044553942299</v>
      </c>
      <c r="AJ2451">
        <v>122.27320270512701</v>
      </c>
      <c r="AK2451">
        <v>0.81636713078737799</v>
      </c>
      <c r="AL2451">
        <v>88.354043420258193</v>
      </c>
      <c r="AM2451">
        <v>91.758354074819806</v>
      </c>
      <c r="AN2451">
        <v>0.99999998046702299</v>
      </c>
    </row>
    <row r="2452" spans="1:40" x14ac:dyDescent="0.25">
      <c r="A2452" t="str">
        <f>"20190312154558828"</f>
        <v>20190312154558828</v>
      </c>
      <c r="B2452" t="str">
        <f>"1552376758819390"</f>
        <v>1552376758819390</v>
      </c>
      <c r="C2452" t="s">
        <v>40</v>
      </c>
      <c r="D2452">
        <v>3.9629629999999998</v>
      </c>
      <c r="E2452">
        <v>0.32528639999999998</v>
      </c>
      <c r="F2452" t="s">
        <v>41</v>
      </c>
      <c r="G2452">
        <v>-489.44450000000001</v>
      </c>
      <c r="H2452">
        <v>1.0097910000000001</v>
      </c>
      <c r="I2452">
        <v>227.43639999999999</v>
      </c>
      <c r="J2452">
        <v>-490.0967</v>
      </c>
      <c r="K2452">
        <v>1.1158159999999999</v>
      </c>
      <c r="L2452">
        <v>227.91560000000001</v>
      </c>
      <c r="M2452">
        <v>0.36938130000000002</v>
      </c>
      <c r="N2452">
        <v>0</v>
      </c>
      <c r="O2452">
        <v>-0.92916489999999996</v>
      </c>
      <c r="P2452">
        <v>0.39705259999999998</v>
      </c>
      <c r="Q2452">
        <v>1.3323130000000001E-2</v>
      </c>
      <c r="R2452">
        <v>-0.9176993</v>
      </c>
      <c r="S2452">
        <v>2.4698180000000001</v>
      </c>
      <c r="T2452">
        <v>-0.35711720000000002</v>
      </c>
      <c r="U2452">
        <v>-2.2204130000000002</v>
      </c>
      <c r="V2452">
        <v>-3.033924E-2</v>
      </c>
      <c r="W2452">
        <v>2.738117E-2</v>
      </c>
      <c r="X2452">
        <v>0.99916459999999996</v>
      </c>
      <c r="Y2452">
        <v>-0.43945210000000001</v>
      </c>
      <c r="Z2452">
        <v>0.10857070000000001</v>
      </c>
      <c r="AA2452">
        <v>0.89168060000000005</v>
      </c>
      <c r="AB2452">
        <v>21</v>
      </c>
      <c r="AC2452">
        <v>0.65219999999999301</v>
      </c>
      <c r="AD2452">
        <v>-0.10602499999999999</v>
      </c>
      <c r="AE2452">
        <v>-0.47920000000002</v>
      </c>
      <c r="AF2452">
        <v>-0.42179981071044098</v>
      </c>
      <c r="AG2452">
        <v>-0.10602499999999999</v>
      </c>
      <c r="AH2452">
        <v>0.67465962835383797</v>
      </c>
      <c r="AI2452">
        <v>97.590151198936397</v>
      </c>
      <c r="AJ2452">
        <v>122.013782187974</v>
      </c>
      <c r="AK2452">
        <v>0.80269670179396102</v>
      </c>
      <c r="AL2452">
        <v>88.430978497727693</v>
      </c>
      <c r="AM2452">
        <v>91.739229407095095</v>
      </c>
      <c r="AN2452">
        <v>1.0000000479237501</v>
      </c>
    </row>
    <row r="2453" spans="1:40" x14ac:dyDescent="0.25">
      <c r="A2453" t="str">
        <f>"20190312154558862"</f>
        <v>20190312154558862</v>
      </c>
      <c r="B2453" t="str">
        <f>"1552376758859407"</f>
        <v>1552376758859407</v>
      </c>
      <c r="C2453" t="s">
        <v>40</v>
      </c>
      <c r="D2453">
        <v>4.037261</v>
      </c>
      <c r="E2453">
        <v>0.32604889999999997</v>
      </c>
      <c r="F2453" t="s">
        <v>41</v>
      </c>
      <c r="G2453">
        <v>-489.36610000000002</v>
      </c>
      <c r="H2453">
        <v>1.012675</v>
      </c>
      <c r="I2453">
        <v>227.27</v>
      </c>
      <c r="J2453">
        <v>-489.96510000000001</v>
      </c>
      <c r="K2453">
        <v>1.1157360000000001</v>
      </c>
      <c r="L2453">
        <v>227.63419999999999</v>
      </c>
      <c r="M2453">
        <v>0.38332719999999998</v>
      </c>
      <c r="N2453">
        <v>0</v>
      </c>
      <c r="O2453">
        <v>-0.92349939999999997</v>
      </c>
      <c r="P2453">
        <v>0.4109758</v>
      </c>
      <c r="Q2453">
        <v>9.9352069999999997E-3</v>
      </c>
      <c r="R2453">
        <v>-0.91159250000000003</v>
      </c>
      <c r="S2453">
        <v>2.4874879999999999</v>
      </c>
      <c r="T2453">
        <v>-0.35113850000000002</v>
      </c>
      <c r="U2453">
        <v>-2.1978759999999999</v>
      </c>
      <c r="V2453">
        <v>-3.0438610000000001E-2</v>
      </c>
      <c r="W2453">
        <v>2.398863E-2</v>
      </c>
      <c r="X2453">
        <v>0.99924869999999999</v>
      </c>
      <c r="Y2453">
        <v>-0.43378630000000001</v>
      </c>
      <c r="Z2453">
        <v>0.10644149999999999</v>
      </c>
      <c r="AA2453">
        <v>0.89470640000000001</v>
      </c>
      <c r="AB2453">
        <v>21</v>
      </c>
      <c r="AC2453">
        <v>0.59899999999998899</v>
      </c>
      <c r="AD2453">
        <v>-0.103061</v>
      </c>
      <c r="AE2453">
        <v>-0.36419999999998198</v>
      </c>
      <c r="AF2453">
        <v>-0.40486133847505601</v>
      </c>
      <c r="AG2453">
        <v>-0.103061</v>
      </c>
      <c r="AH2453">
        <v>0.55403625033831205</v>
      </c>
      <c r="AI2453">
        <v>98.541476780150006</v>
      </c>
      <c r="AJ2453">
        <v>126.15742324548999</v>
      </c>
      <c r="AK2453">
        <v>0.69389512161547195</v>
      </c>
      <c r="AL2453">
        <v>88.625420838973</v>
      </c>
      <c r="AM2453">
        <v>91.744775615299702</v>
      </c>
      <c r="AN2453">
        <v>0.99999996389984802</v>
      </c>
    </row>
    <row r="2454" spans="1:40" x14ac:dyDescent="0.25">
      <c r="A2454" t="str">
        <f>"20190312154558885"</f>
        <v>20190312154558885</v>
      </c>
      <c r="B2454" t="str">
        <f>"1552376758878927"</f>
        <v>1552376758878927</v>
      </c>
      <c r="C2454" t="s">
        <v>40</v>
      </c>
      <c r="D2454">
        <v>4.1060480000000004</v>
      </c>
      <c r="E2454">
        <v>0.32697270000000001</v>
      </c>
      <c r="F2454" t="s">
        <v>53</v>
      </c>
      <c r="G2454">
        <v>-481.95679999999999</v>
      </c>
      <c r="H2454" s="1">
        <v>2.3645520000000001E-6</v>
      </c>
      <c r="I2454">
        <v>220.74170000000001</v>
      </c>
      <c r="J2454">
        <v>-489.87040000000002</v>
      </c>
      <c r="K2454">
        <v>1.1156889999999999</v>
      </c>
      <c r="L2454">
        <v>227.43819999999999</v>
      </c>
      <c r="M2454">
        <v>0.39299689999999998</v>
      </c>
      <c r="N2454">
        <v>0</v>
      </c>
      <c r="O2454">
        <v>-0.91942579999999996</v>
      </c>
      <c r="P2454">
        <v>0.42144520000000002</v>
      </c>
      <c r="Q2454">
        <v>8.3760099999999997E-3</v>
      </c>
      <c r="R2454">
        <v>-0.90681540000000005</v>
      </c>
      <c r="S2454">
        <v>2.5121769999999999</v>
      </c>
      <c r="T2454">
        <v>-0.35000219999999999</v>
      </c>
      <c r="U2454">
        <v>-2.1621549999999998</v>
      </c>
      <c r="V2454">
        <v>-3.1428909999999997E-2</v>
      </c>
      <c r="W2454">
        <v>2.2411199999999999E-2</v>
      </c>
      <c r="X2454">
        <v>0.99925469999999905</v>
      </c>
      <c r="Y2454">
        <v>-0.43600480000000003</v>
      </c>
      <c r="Z2454">
        <v>0.1061156</v>
      </c>
      <c r="AA2454">
        <v>0.89366630000000002</v>
      </c>
      <c r="AB2454">
        <v>21</v>
      </c>
      <c r="AC2454">
        <v>7.9136000000000299</v>
      </c>
      <c r="AD2454">
        <v>-1.115686635448</v>
      </c>
      <c r="AE2454">
        <v>-6.6964999999999799</v>
      </c>
      <c r="AF2454">
        <v>-4.5915690203379498</v>
      </c>
      <c r="AG2454">
        <v>-1.115686635448</v>
      </c>
      <c r="AH2454">
        <v>9.1618094166108204</v>
      </c>
      <c r="AI2454">
        <v>96.213255172675005</v>
      </c>
      <c r="AJ2454">
        <v>116.618379990992</v>
      </c>
      <c r="AK2454">
        <v>10.308540853260601</v>
      </c>
      <c r="AL2454">
        <v>88.715825308188599</v>
      </c>
      <c r="AM2454">
        <v>91.801493107160894</v>
      </c>
      <c r="AN2454">
        <v>0.99999999687065799</v>
      </c>
    </row>
    <row r="2455" spans="1:40" x14ac:dyDescent="0.25">
      <c r="A2455" t="str">
        <f>"20190312154558906"</f>
        <v>20190312154558906</v>
      </c>
      <c r="B2455" t="str">
        <f>"1552376758899422"</f>
        <v>1552376758899422</v>
      </c>
      <c r="C2455" t="s">
        <v>40</v>
      </c>
      <c r="D2455">
        <v>4.1025580000000001</v>
      </c>
      <c r="E2455">
        <v>0.32792700000000002</v>
      </c>
      <c r="F2455" t="s">
        <v>41</v>
      </c>
      <c r="G2455">
        <v>-489.10640000000001</v>
      </c>
      <c r="H2455">
        <v>1.0088889999999999</v>
      </c>
      <c r="I2455">
        <v>226.7929</v>
      </c>
      <c r="J2455">
        <v>-489.78280000000001</v>
      </c>
      <c r="K2455">
        <v>1.1156440000000001</v>
      </c>
      <c r="L2455">
        <v>227.26169999999999</v>
      </c>
      <c r="M2455">
        <v>0.40167540000000002</v>
      </c>
      <c r="N2455">
        <v>0</v>
      </c>
      <c r="O2455">
        <v>-0.91566800000000004</v>
      </c>
      <c r="P2455">
        <v>0.43103049999999998</v>
      </c>
      <c r="Q2455">
        <v>7.5606459999999999E-3</v>
      </c>
      <c r="R2455">
        <v>-0.90230600000000005</v>
      </c>
      <c r="S2455">
        <v>2.5291139999999999</v>
      </c>
      <c r="T2455">
        <v>-0.3535237</v>
      </c>
      <c r="U2455">
        <v>-2.1361240000000001</v>
      </c>
      <c r="V2455">
        <v>-3.2549710000000003E-2</v>
      </c>
      <c r="W2455">
        <v>2.157599E-2</v>
      </c>
      <c r="X2455">
        <v>0.99923720000000005</v>
      </c>
      <c r="Y2455">
        <v>-0.43572060000000001</v>
      </c>
      <c r="Z2455">
        <v>0.1071093</v>
      </c>
      <c r="AA2455">
        <v>0.89368630000000004</v>
      </c>
      <c r="AB2455">
        <v>21</v>
      </c>
      <c r="AC2455">
        <v>0.676400000000001</v>
      </c>
      <c r="AD2455">
        <v>-0.106755</v>
      </c>
      <c r="AE2455">
        <v>-0.468799999999987</v>
      </c>
      <c r="AF2455">
        <v>-0.42396350777122299</v>
      </c>
      <c r="AG2455">
        <v>-0.106755</v>
      </c>
      <c r="AH2455">
        <v>0.68943074282835404</v>
      </c>
      <c r="AI2455">
        <v>97.513989313161701</v>
      </c>
      <c r="AJ2455">
        <v>121.589320813055</v>
      </c>
      <c r="AK2455">
        <v>0.81636783076229602</v>
      </c>
      <c r="AL2455">
        <v>88.763690892831093</v>
      </c>
      <c r="AM2455">
        <v>91.865724964185006</v>
      </c>
      <c r="AN2455">
        <v>0.999999994414702</v>
      </c>
    </row>
    <row r="2456" spans="1:40" x14ac:dyDescent="0.25">
      <c r="A2456" t="str">
        <f>"20190312154558929"</f>
        <v>20190312154558929</v>
      </c>
      <c r="B2456" t="str">
        <f>"1552376758919918"</f>
        <v>1552376758919918</v>
      </c>
      <c r="C2456" t="s">
        <v>40</v>
      </c>
      <c r="D2456">
        <v>4.0315849999999998</v>
      </c>
      <c r="E2456">
        <v>0.32895970000000002</v>
      </c>
      <c r="F2456" t="s">
        <v>41</v>
      </c>
      <c r="G2456">
        <v>-489.02330000000001</v>
      </c>
      <c r="H2456">
        <v>1.0104869999999999</v>
      </c>
      <c r="I2456">
        <v>226.6309</v>
      </c>
      <c r="J2456">
        <v>-489.68490000000003</v>
      </c>
      <c r="K2456">
        <v>1.115602</v>
      </c>
      <c r="L2456">
        <v>227.06890000000001</v>
      </c>
      <c r="M2456">
        <v>0.41112870000000001</v>
      </c>
      <c r="N2456">
        <v>0</v>
      </c>
      <c r="O2456">
        <v>-0.91146260000000001</v>
      </c>
      <c r="P2456">
        <v>0.44121080000000001</v>
      </c>
      <c r="Q2456">
        <v>7.6166269999999999E-3</v>
      </c>
      <c r="R2456">
        <v>-0.89737140000000004</v>
      </c>
      <c r="S2456">
        <v>2.5443120000000001</v>
      </c>
      <c r="T2456">
        <v>-0.35212080000000001</v>
      </c>
      <c r="U2456">
        <v>-2.1123660000000002</v>
      </c>
      <c r="V2456">
        <v>-3.3513099999999997E-2</v>
      </c>
      <c r="W2456">
        <v>2.1612699999999999E-2</v>
      </c>
      <c r="X2456">
        <v>0.9992046</v>
      </c>
      <c r="Y2456">
        <v>-0.43401600000000001</v>
      </c>
      <c r="Z2456">
        <v>0.10654710000000001</v>
      </c>
      <c r="AA2456">
        <v>0.89458249999999995</v>
      </c>
      <c r="AB2456">
        <v>21</v>
      </c>
      <c r="AC2456">
        <v>0.66160000000002095</v>
      </c>
      <c r="AD2456">
        <v>-0.105114999999999</v>
      </c>
      <c r="AE2456">
        <v>-0.43800000000001599</v>
      </c>
      <c r="AF2456">
        <v>-0.41569774969328399</v>
      </c>
      <c r="AG2456">
        <v>-0.105114999999999</v>
      </c>
      <c r="AH2456">
        <v>0.65971513042660701</v>
      </c>
      <c r="AI2456">
        <v>97.677416519032604</v>
      </c>
      <c r="AJ2456">
        <v>122.215728304864</v>
      </c>
      <c r="AK2456">
        <v>0.78681499454373305</v>
      </c>
      <c r="AL2456">
        <v>88.761587124030996</v>
      </c>
      <c r="AM2456">
        <v>91.920967605246503</v>
      </c>
      <c r="AN2456">
        <v>1.0000000346670199</v>
      </c>
    </row>
    <row r="2457" spans="1:40" x14ac:dyDescent="0.25">
      <c r="A2457" t="str">
        <f>"20190312154558953"</f>
        <v>20190312154558953</v>
      </c>
      <c r="B2457" t="str">
        <f>"1552376758949199"</f>
        <v>1552376758949199</v>
      </c>
      <c r="C2457" t="s">
        <v>40</v>
      </c>
      <c r="D2457">
        <v>4.1837099999999996</v>
      </c>
      <c r="E2457">
        <v>0.33045629999999998</v>
      </c>
      <c r="F2457" t="s">
        <v>41</v>
      </c>
      <c r="G2457">
        <v>-488.92309999999998</v>
      </c>
      <c r="H2457">
        <v>1.0132139999999901</v>
      </c>
      <c r="I2457">
        <v>226.44829999999999</v>
      </c>
      <c r="J2457">
        <v>-489.58589999999998</v>
      </c>
      <c r="K2457">
        <v>1.115577</v>
      </c>
      <c r="L2457">
        <v>226.87880000000001</v>
      </c>
      <c r="M2457">
        <v>0.42042750000000001</v>
      </c>
      <c r="N2457">
        <v>0</v>
      </c>
      <c r="O2457">
        <v>-0.9072112</v>
      </c>
      <c r="P2457">
        <v>0.45026110000000003</v>
      </c>
      <c r="Q2457">
        <v>8.7519889999999999E-3</v>
      </c>
      <c r="R2457">
        <v>-0.8928545</v>
      </c>
      <c r="S2457">
        <v>2.5613100000000002</v>
      </c>
      <c r="T2457">
        <v>-0.34426899999999999</v>
      </c>
      <c r="U2457">
        <v>-2.086716</v>
      </c>
      <c r="V2457">
        <v>-3.3416010000000003E-2</v>
      </c>
      <c r="W2457">
        <v>2.274348E-2</v>
      </c>
      <c r="X2457">
        <v>0.99918269999999998</v>
      </c>
      <c r="Y2457">
        <v>-0.43331190000000003</v>
      </c>
      <c r="Z2457">
        <v>0.1040563</v>
      </c>
      <c r="AA2457">
        <v>0.89521679999999904</v>
      </c>
      <c r="AB2457">
        <v>21</v>
      </c>
      <c r="AC2457">
        <v>0.66280000000000405</v>
      </c>
      <c r="AD2457">
        <v>-0.102363</v>
      </c>
      <c r="AE2457">
        <v>-0.43050000000002298</v>
      </c>
      <c r="AF2457">
        <v>-0.41341438882000198</v>
      </c>
      <c r="AG2457">
        <v>-0.102363</v>
      </c>
      <c r="AH2457">
        <v>0.65824161656593605</v>
      </c>
      <c r="AI2457">
        <v>97.502149505524997</v>
      </c>
      <c r="AJ2457">
        <v>122.13123383014199</v>
      </c>
      <c r="AK2457">
        <v>0.78400999128311699</v>
      </c>
      <c r="AL2457">
        <v>88.696782192674704</v>
      </c>
      <c r="AM2457">
        <v>91.915448517844098</v>
      </c>
      <c r="AN2457">
        <v>0.99999998179306004</v>
      </c>
    </row>
    <row r="2458" spans="1:40" x14ac:dyDescent="0.25">
      <c r="A2458" t="str">
        <f>"20190312154558975"</f>
        <v>20190312154558975</v>
      </c>
      <c r="B2458" t="str">
        <f>"1552376758969694"</f>
        <v>1552376758969694</v>
      </c>
      <c r="C2458" t="s">
        <v>40</v>
      </c>
      <c r="D2458">
        <v>4.1572500000000003</v>
      </c>
      <c r="E2458">
        <v>0.3314145</v>
      </c>
      <c r="F2458" t="s">
        <v>41</v>
      </c>
      <c r="G2458">
        <v>-488.7978</v>
      </c>
      <c r="H2458">
        <v>1.01312</v>
      </c>
      <c r="I2458">
        <v>226.24539999999999</v>
      </c>
      <c r="J2458">
        <v>-489.48759999999999</v>
      </c>
      <c r="K2458">
        <v>1.115559</v>
      </c>
      <c r="L2458">
        <v>226.6942</v>
      </c>
      <c r="M2458">
        <v>0.4294442</v>
      </c>
      <c r="N2458">
        <v>0</v>
      </c>
      <c r="O2458">
        <v>-0.90297810000000001</v>
      </c>
      <c r="P2458">
        <v>0.45864690000000002</v>
      </c>
      <c r="Q2458">
        <v>1.0305689999999999E-2</v>
      </c>
      <c r="R2458">
        <v>-0.88855899999999999</v>
      </c>
      <c r="S2458">
        <v>2.5716860000000001</v>
      </c>
      <c r="T2458">
        <v>-0.33424229999999999</v>
      </c>
      <c r="U2458">
        <v>-2.0664060000000002</v>
      </c>
      <c r="V2458">
        <v>-3.289595E-2</v>
      </c>
      <c r="W2458">
        <v>2.4299439999999999E-2</v>
      </c>
      <c r="X2458">
        <v>0.99916329999999998</v>
      </c>
      <c r="Y2458">
        <v>-0.43065789999999998</v>
      </c>
      <c r="Z2458">
        <v>0.1009106</v>
      </c>
      <c r="AA2458">
        <v>0.89685609999999905</v>
      </c>
      <c r="AB2458">
        <v>21</v>
      </c>
      <c r="AC2458">
        <v>0.68979999999999098</v>
      </c>
      <c r="AD2458">
        <v>-0.102438999999999</v>
      </c>
      <c r="AE2458">
        <v>-0.44880000000000497</v>
      </c>
      <c r="AF2458">
        <v>-0.42362063205233602</v>
      </c>
      <c r="AG2458">
        <v>-0.102438999999999</v>
      </c>
      <c r="AH2458">
        <v>0.69085559317973</v>
      </c>
      <c r="AI2458">
        <v>97.204358284520296</v>
      </c>
      <c r="AJ2458">
        <v>121.515901387217</v>
      </c>
      <c r="AK2458">
        <v>0.81684125706843302</v>
      </c>
      <c r="AL2458">
        <v>88.607607529362298</v>
      </c>
      <c r="AM2458">
        <v>91.885696289217293</v>
      </c>
      <c r="AN2458">
        <v>0.99999995318880097</v>
      </c>
    </row>
    <row r="2459" spans="1:40" x14ac:dyDescent="0.25">
      <c r="A2459" t="str">
        <f>"20190312154558997"</f>
        <v>20190312154558997</v>
      </c>
      <c r="B2459" t="str">
        <f>"1552376758989215"</f>
        <v>1552376758989215</v>
      </c>
      <c r="C2459" t="s">
        <v>40</v>
      </c>
      <c r="D2459">
        <v>4.0794169999999896</v>
      </c>
      <c r="E2459">
        <v>0.33157829999999999</v>
      </c>
      <c r="F2459" t="s">
        <v>53</v>
      </c>
      <c r="G2459">
        <v>-480.7088</v>
      </c>
      <c r="H2459" s="1">
        <v>1.9227479999999999E-6</v>
      </c>
      <c r="I2459">
        <v>219.74469999999999</v>
      </c>
      <c r="J2459">
        <v>-489.38900000000001</v>
      </c>
      <c r="K2459">
        <v>1.115548</v>
      </c>
      <c r="L2459">
        <v>226.5136</v>
      </c>
      <c r="M2459">
        <v>0.43826619999999999</v>
      </c>
      <c r="N2459">
        <v>0</v>
      </c>
      <c r="O2459">
        <v>-0.89872929999999995</v>
      </c>
      <c r="P2459">
        <v>0.4659161</v>
      </c>
      <c r="Q2459">
        <v>1.091665E-2</v>
      </c>
      <c r="R2459">
        <v>-0.88476169999999998</v>
      </c>
      <c r="S2459">
        <v>2.5845639999999999</v>
      </c>
      <c r="T2459">
        <v>-0.32843020000000001</v>
      </c>
      <c r="U2459">
        <v>-2.0460050000000001</v>
      </c>
      <c r="V2459">
        <v>-3.1312689999999997E-2</v>
      </c>
      <c r="W2459">
        <v>2.4927250000000001E-2</v>
      </c>
      <c r="X2459">
        <v>0.9991987</v>
      </c>
      <c r="Y2459">
        <v>-0.42850719999999998</v>
      </c>
      <c r="Z2459">
        <v>9.8974019999999996E-2</v>
      </c>
      <c r="AA2459">
        <v>0.89810119999999904</v>
      </c>
      <c r="AB2459">
        <v>21</v>
      </c>
      <c r="AC2459">
        <v>8.6802000000000099</v>
      </c>
      <c r="AD2459">
        <v>-1.1155460772520001</v>
      </c>
      <c r="AE2459">
        <v>-6.7689000000000004</v>
      </c>
      <c r="AF2459">
        <v>-4.7859188472061698</v>
      </c>
      <c r="AG2459">
        <v>-1.1155460772520001</v>
      </c>
      <c r="AH2459">
        <v>9.78814586957618</v>
      </c>
      <c r="AI2459">
        <v>95.845890087023804</v>
      </c>
      <c r="AJ2459">
        <v>116.05634447307099</v>
      </c>
      <c r="AK2459">
        <v>10.952500254581899</v>
      </c>
      <c r="AL2459">
        <v>88.571625754384399</v>
      </c>
      <c r="AM2459">
        <v>91.794936312116604</v>
      </c>
      <c r="AN2459">
        <v>0.99999994721464203</v>
      </c>
    </row>
    <row r="2460" spans="1:40" x14ac:dyDescent="0.25">
      <c r="A2460" t="str">
        <f>"20190312154559019"</f>
        <v>20190312154559019</v>
      </c>
      <c r="B2460" t="str">
        <f>"1552376759008734"</f>
        <v>1552376759008734</v>
      </c>
      <c r="C2460" t="s">
        <v>40</v>
      </c>
      <c r="D2460">
        <v>4.2686019999999996</v>
      </c>
      <c r="E2460">
        <v>0.33113619999999999</v>
      </c>
      <c r="F2460" t="s">
        <v>53</v>
      </c>
      <c r="G2460">
        <v>-480.44709999999998</v>
      </c>
      <c r="H2460" s="1">
        <v>1.8450220000000001E-6</v>
      </c>
      <c r="I2460">
        <v>219.54929999999999</v>
      </c>
      <c r="J2460">
        <v>-489.29469999999998</v>
      </c>
      <c r="K2460">
        <v>1.1155360000000001</v>
      </c>
      <c r="L2460">
        <v>226.34460000000001</v>
      </c>
      <c r="M2460">
        <v>0.44652409999999998</v>
      </c>
      <c r="N2460">
        <v>0</v>
      </c>
      <c r="O2460">
        <v>-0.89465530000000004</v>
      </c>
      <c r="P2460">
        <v>0.47219040000000001</v>
      </c>
      <c r="Q2460">
        <v>1.1802180000000001E-2</v>
      </c>
      <c r="R2460">
        <v>-0.88141789999999998</v>
      </c>
      <c r="S2460">
        <v>2.6004330000000002</v>
      </c>
      <c r="T2460">
        <v>-0.32441809999999899</v>
      </c>
      <c r="U2460">
        <v>-2.0253299999999999</v>
      </c>
      <c r="V2460">
        <v>-2.9225560000000001E-2</v>
      </c>
      <c r="W2460">
        <v>2.583676E-2</v>
      </c>
      <c r="X2460">
        <v>0.99923879999999998</v>
      </c>
      <c r="Y2460">
        <v>-0.42741040000000002</v>
      </c>
      <c r="Z2460">
        <v>9.7540299999999996E-2</v>
      </c>
      <c r="AA2460">
        <v>0.89878040000000003</v>
      </c>
      <c r="AB2460">
        <v>21</v>
      </c>
      <c r="AC2460">
        <v>8.8475999999999999</v>
      </c>
      <c r="AD2460">
        <v>-1.115534154978</v>
      </c>
      <c r="AE2460">
        <v>-6.7953000000000197</v>
      </c>
      <c r="AF2460">
        <v>-4.83346601170288</v>
      </c>
      <c r="AG2460">
        <v>-1.115534154978</v>
      </c>
      <c r="AH2460">
        <v>9.9318547062709595</v>
      </c>
      <c r="AI2460">
        <v>95.766976083286906</v>
      </c>
      <c r="AJ2460">
        <v>115.95047201101499</v>
      </c>
      <c r="AK2460">
        <v>11.101736262571</v>
      </c>
      <c r="AL2460">
        <v>88.519497838913395</v>
      </c>
      <c r="AM2460">
        <v>91.675299248859702</v>
      </c>
      <c r="AN2460">
        <v>0.99999992547502203</v>
      </c>
    </row>
    <row r="2461" spans="1:40" x14ac:dyDescent="0.25">
      <c r="A2461" t="str">
        <f>"20190312154559041"</f>
        <v>20190312154559041</v>
      </c>
      <c r="B2461" t="str">
        <f>"1552376759038990"</f>
        <v>1552376759038990</v>
      </c>
      <c r="C2461" t="s">
        <v>40</v>
      </c>
      <c r="D2461">
        <v>4.2168609999999997</v>
      </c>
      <c r="E2461">
        <v>0.33031519999999998</v>
      </c>
      <c r="F2461" t="s">
        <v>53</v>
      </c>
      <c r="G2461">
        <v>-480.4151</v>
      </c>
      <c r="H2461" s="1">
        <v>1.8391169999999999E-6</v>
      </c>
      <c r="I2461">
        <v>219.54409999999999</v>
      </c>
      <c r="J2461">
        <v>-489.19060000000002</v>
      </c>
      <c r="K2461">
        <v>1.115529</v>
      </c>
      <c r="L2461">
        <v>226.16210000000001</v>
      </c>
      <c r="M2461">
        <v>0.45545190000000002</v>
      </c>
      <c r="N2461">
        <v>0</v>
      </c>
      <c r="O2461">
        <v>-0.89014359999999904</v>
      </c>
      <c r="P2461">
        <v>0.47870230000000003</v>
      </c>
      <c r="Q2461">
        <v>1.2197390000000001E-2</v>
      </c>
      <c r="R2461">
        <v>-0.87789289999999998</v>
      </c>
      <c r="S2461">
        <v>2.6184080000000001</v>
      </c>
      <c r="T2461">
        <v>-0.32894839999999997</v>
      </c>
      <c r="U2461">
        <v>-2.005325</v>
      </c>
      <c r="V2461">
        <v>-2.663219E-2</v>
      </c>
      <c r="W2461">
        <v>2.626291E-2</v>
      </c>
      <c r="X2461">
        <v>0.99930019999999997</v>
      </c>
      <c r="Y2461">
        <v>-0.42559190000000002</v>
      </c>
      <c r="Z2461">
        <v>9.8537429999999995E-2</v>
      </c>
      <c r="AA2461">
        <v>0.89953430000000001</v>
      </c>
      <c r="AB2461">
        <v>21</v>
      </c>
      <c r="AC2461">
        <v>8.7755000000000205</v>
      </c>
      <c r="AD2461">
        <v>-1.115527160883</v>
      </c>
      <c r="AE2461">
        <v>-6.6180000000000199</v>
      </c>
      <c r="AF2461">
        <v>-4.7488567517937499</v>
      </c>
      <c r="AG2461">
        <v>-1.115527160883</v>
      </c>
      <c r="AH2461">
        <v>9.7879934258191703</v>
      </c>
      <c r="AI2461">
        <v>95.854524626528203</v>
      </c>
      <c r="AJ2461">
        <v>115.88134585672201</v>
      </c>
      <c r="AK2461">
        <v>10.9362176550946</v>
      </c>
      <c r="AL2461">
        <v>88.495072991477599</v>
      </c>
      <c r="AM2461">
        <v>91.526619299777806</v>
      </c>
      <c r="AN2461">
        <v>0.99999995185295099</v>
      </c>
    </row>
    <row r="2462" spans="1:40" x14ac:dyDescent="0.25">
      <c r="A2462" t="str">
        <f>"20190312154559064"</f>
        <v>20190312154559064</v>
      </c>
      <c r="B2462" t="str">
        <f>"1552376759059488"</f>
        <v>1552376759059488</v>
      </c>
      <c r="C2462" t="s">
        <v>40</v>
      </c>
      <c r="D2462">
        <v>4.2439260000000001</v>
      </c>
      <c r="E2462">
        <v>0.32997530000000003</v>
      </c>
      <c r="F2462" t="s">
        <v>53</v>
      </c>
      <c r="G2462">
        <v>-480.34050000000002</v>
      </c>
      <c r="H2462" s="1">
        <v>1.8245479999999999E-6</v>
      </c>
      <c r="I2462">
        <v>219.5136</v>
      </c>
      <c r="J2462">
        <v>-489.09089999999998</v>
      </c>
      <c r="K2462">
        <v>1.1155139999999999</v>
      </c>
      <c r="L2462">
        <v>225.9913</v>
      </c>
      <c r="M2462">
        <v>0.46382050000000002</v>
      </c>
      <c r="N2462">
        <v>0</v>
      </c>
      <c r="O2462">
        <v>-0.88581189999999999</v>
      </c>
      <c r="P2462">
        <v>0.48497489999999999</v>
      </c>
      <c r="Q2462">
        <v>1.159059E-2</v>
      </c>
      <c r="R2462">
        <v>-0.87445169999999905</v>
      </c>
      <c r="S2462">
        <v>2.639313</v>
      </c>
      <c r="T2462">
        <v>-0.33267920000000001</v>
      </c>
      <c r="U2462">
        <v>-1.982742</v>
      </c>
      <c r="V2462">
        <v>-2.435528E-2</v>
      </c>
      <c r="W2462">
        <v>2.568279E-2</v>
      </c>
      <c r="X2462">
        <v>0.99937339999999997</v>
      </c>
      <c r="Y2462">
        <v>-0.42534729999999998</v>
      </c>
      <c r="Z2462">
        <v>9.9304539999999997E-2</v>
      </c>
      <c r="AA2462">
        <v>0.89956559999999897</v>
      </c>
      <c r="AB2462">
        <v>21</v>
      </c>
      <c r="AC2462">
        <v>8.7503999999999493</v>
      </c>
      <c r="AD2462">
        <v>-1.1155121754520001</v>
      </c>
      <c r="AE2462">
        <v>-6.4776999999999898</v>
      </c>
      <c r="AF2462">
        <v>-4.6978917178774804</v>
      </c>
      <c r="AG2462">
        <v>-1.1155121754520001</v>
      </c>
      <c r="AH2462">
        <v>9.6958664319837204</v>
      </c>
      <c r="AI2462">
        <v>95.911170960234301</v>
      </c>
      <c r="AJ2462">
        <v>115.85135803185101</v>
      </c>
      <c r="AK2462">
        <v>10.8316379127698</v>
      </c>
      <c r="AL2462">
        <v>88.528322692647095</v>
      </c>
      <c r="AM2462">
        <v>91.396053353730395</v>
      </c>
      <c r="AN2462">
        <v>0.99999998899681097</v>
      </c>
    </row>
    <row r="2463" spans="1:40" x14ac:dyDescent="0.25">
      <c r="A2463" t="str">
        <f>"20190312154559086"</f>
        <v>20190312154559086</v>
      </c>
      <c r="B2463" t="str">
        <f>"1552376759079006"</f>
        <v>1552376759079006</v>
      </c>
      <c r="C2463" t="s">
        <v>40</v>
      </c>
      <c r="D2463">
        <v>4.2179710000000004</v>
      </c>
      <c r="E2463">
        <v>0.32972760000000001</v>
      </c>
      <c r="F2463" t="s">
        <v>41</v>
      </c>
      <c r="G2463">
        <v>-488.28199999999998</v>
      </c>
      <c r="H2463">
        <v>1.011709</v>
      </c>
      <c r="I2463">
        <v>225.39330000000001</v>
      </c>
      <c r="J2463">
        <v>-488.98570000000001</v>
      </c>
      <c r="K2463">
        <v>1.1154869999999999</v>
      </c>
      <c r="L2463">
        <v>225.81540000000001</v>
      </c>
      <c r="M2463">
        <v>0.47245280000000001</v>
      </c>
      <c r="N2463">
        <v>0</v>
      </c>
      <c r="O2463">
        <v>-0.88123799999999997</v>
      </c>
      <c r="P2463">
        <v>0.49145620000000001</v>
      </c>
      <c r="Q2463">
        <v>1.046002E-2</v>
      </c>
      <c r="R2463">
        <v>-0.87083949999999999</v>
      </c>
      <c r="S2463">
        <v>2.6555789999999999</v>
      </c>
      <c r="T2463">
        <v>-0.34069050000000001</v>
      </c>
      <c r="U2463">
        <v>-1.962494</v>
      </c>
      <c r="V2463">
        <v>-2.1990289999999999E-2</v>
      </c>
      <c r="W2463">
        <v>2.4580210000000002E-2</v>
      </c>
      <c r="X2463">
        <v>0.99945600000000001</v>
      </c>
      <c r="Y2463">
        <v>-0.42339539999999998</v>
      </c>
      <c r="Z2463">
        <v>0.10132240000000001</v>
      </c>
      <c r="AA2463">
        <v>0.90026119999999898</v>
      </c>
      <c r="AB2463">
        <v>21</v>
      </c>
      <c r="AC2463">
        <v>0.70370000000002597</v>
      </c>
      <c r="AD2463">
        <v>-0.103778</v>
      </c>
      <c r="AE2463">
        <v>-0.42209999999999998</v>
      </c>
      <c r="AF2463">
        <v>-0.41412501188969802</v>
      </c>
      <c r="AG2463">
        <v>-0.103778</v>
      </c>
      <c r="AH2463">
        <v>0.69341819244925595</v>
      </c>
      <c r="AI2463">
        <v>97.3218645402699</v>
      </c>
      <c r="AJ2463">
        <v>120.846603129603</v>
      </c>
      <c r="AK2463">
        <v>0.81430841109264995</v>
      </c>
      <c r="AL2463">
        <v>88.591515891033595</v>
      </c>
      <c r="AM2463">
        <v>91.260433228164203</v>
      </c>
      <c r="AN2463">
        <v>1.0000000277569601</v>
      </c>
    </row>
    <row r="2464" spans="1:40" x14ac:dyDescent="0.25">
      <c r="A2464" t="str">
        <f>"20190312154559108"</f>
        <v>20190312154559108</v>
      </c>
      <c r="B2464" t="str">
        <f>"1552376759099503"</f>
        <v>1552376759099503</v>
      </c>
      <c r="C2464" t="s">
        <v>40</v>
      </c>
      <c r="D2464">
        <v>4.1841390000000001</v>
      </c>
      <c r="E2464">
        <v>0.32949289999999998</v>
      </c>
      <c r="F2464" t="s">
        <v>41</v>
      </c>
      <c r="G2464">
        <v>-488.15879999999999</v>
      </c>
      <c r="H2464">
        <v>1.008003</v>
      </c>
      <c r="I2464">
        <v>225.21459999999999</v>
      </c>
      <c r="J2464">
        <v>-488.88200000000001</v>
      </c>
      <c r="K2464">
        <v>1.1154630000000001</v>
      </c>
      <c r="L2464">
        <v>225.6454</v>
      </c>
      <c r="M2464">
        <v>0.48080210000000001</v>
      </c>
      <c r="N2464">
        <v>0</v>
      </c>
      <c r="O2464">
        <v>-0.87671080000000001</v>
      </c>
      <c r="P2464">
        <v>0.49762129999999999</v>
      </c>
      <c r="Q2464">
        <v>1.005846E-2</v>
      </c>
      <c r="R2464">
        <v>-0.867336199999999</v>
      </c>
      <c r="S2464">
        <v>2.671875</v>
      </c>
      <c r="T2464">
        <v>-0.34731250000000002</v>
      </c>
      <c r="U2464">
        <v>-1.941238</v>
      </c>
      <c r="V2464">
        <v>-1.957797E-2</v>
      </c>
      <c r="W2464">
        <v>2.420744E-2</v>
      </c>
      <c r="X2464">
        <v>0.99951520000000005</v>
      </c>
      <c r="Y2464">
        <v>-0.42194019999999999</v>
      </c>
      <c r="Z2464">
        <v>0.1029369</v>
      </c>
      <c r="AA2464">
        <v>0.90076109999999998</v>
      </c>
      <c r="AB2464">
        <v>21</v>
      </c>
      <c r="AC2464">
        <v>0.72319999999996298</v>
      </c>
      <c r="AD2464">
        <v>-0.107459999999999</v>
      </c>
      <c r="AE2464">
        <v>-0.43080000000000401</v>
      </c>
      <c r="AF2464">
        <v>-0.42010584755699598</v>
      </c>
      <c r="AG2464">
        <v>-0.107459999999999</v>
      </c>
      <c r="AH2464">
        <v>0.713845349519033</v>
      </c>
      <c r="AI2464">
        <v>97.392103974232995</v>
      </c>
      <c r="AJ2464">
        <v>120.47727984034699</v>
      </c>
      <c r="AK2464">
        <v>0.83523155937831595</v>
      </c>
      <c r="AL2464">
        <v>88.612880310189098</v>
      </c>
      <c r="AM2464">
        <v>91.122135638550205</v>
      </c>
      <c r="AN2464">
        <v>0.99999996604585595</v>
      </c>
    </row>
    <row r="2465" spans="1:40" x14ac:dyDescent="0.25">
      <c r="A2465" t="str">
        <f>"20190312154559133"</f>
        <v>20190312154559133</v>
      </c>
      <c r="B2465" t="str">
        <f>"1552376759129758"</f>
        <v>1552376759129758</v>
      </c>
      <c r="C2465" t="s">
        <v>40</v>
      </c>
      <c r="D2465">
        <v>4.2178089999999999</v>
      </c>
      <c r="E2465">
        <v>0.32922249999999997</v>
      </c>
      <c r="F2465" t="s">
        <v>41</v>
      </c>
      <c r="G2465">
        <v>-488.03539999999998</v>
      </c>
      <c r="H2465">
        <v>1.0040560000000001</v>
      </c>
      <c r="I2465">
        <v>225.03970000000001</v>
      </c>
      <c r="J2465">
        <v>-488.7611</v>
      </c>
      <c r="K2465">
        <v>1.115435</v>
      </c>
      <c r="L2465">
        <v>225.45189999999999</v>
      </c>
      <c r="M2465">
        <v>0.49031079999999999</v>
      </c>
      <c r="N2465">
        <v>0</v>
      </c>
      <c r="O2465">
        <v>-0.8714286</v>
      </c>
      <c r="P2465">
        <v>0.50549829999999996</v>
      </c>
      <c r="Q2465">
        <v>9.8202819999999996E-3</v>
      </c>
      <c r="R2465">
        <v>-0.86277159999999997</v>
      </c>
      <c r="S2465">
        <v>2.6869809999999998</v>
      </c>
      <c r="T2465">
        <v>-0.35345389999999999</v>
      </c>
      <c r="U2465">
        <v>-1.9213709999999999</v>
      </c>
      <c r="V2465">
        <v>-1.7799809999999999E-2</v>
      </c>
      <c r="W2465">
        <v>2.3988160000000001E-2</v>
      </c>
      <c r="X2465">
        <v>0.99955369999999999</v>
      </c>
      <c r="Y2465">
        <v>-0.41874879999999998</v>
      </c>
      <c r="Z2465">
        <v>0.1042887</v>
      </c>
      <c r="AA2465">
        <v>0.90209379999999995</v>
      </c>
      <c r="AB2465">
        <v>21</v>
      </c>
      <c r="AC2465">
        <v>0.725700000000017</v>
      </c>
      <c r="AD2465">
        <v>-0.11137899999999901</v>
      </c>
      <c r="AE2465">
        <v>-0.41219999999998402</v>
      </c>
      <c r="AF2465">
        <v>-0.42280429045470003</v>
      </c>
      <c r="AG2465">
        <v>-0.11137899999999901</v>
      </c>
      <c r="AH2465">
        <v>0.702582879792225</v>
      </c>
      <c r="AI2465">
        <v>97.735115740137701</v>
      </c>
      <c r="AJ2465">
        <v>121.03892509472099</v>
      </c>
      <c r="AK2465">
        <v>0.82752127020701904</v>
      </c>
      <c r="AL2465">
        <v>88.625447732050304</v>
      </c>
      <c r="AM2465">
        <v>91.020201521496602</v>
      </c>
      <c r="AN2465">
        <v>0.99999993211995297</v>
      </c>
    </row>
    <row r="2466" spans="1:40" x14ac:dyDescent="0.25">
      <c r="A2466" t="str">
        <f>"20190312154559155"</f>
        <v>20190312154559155</v>
      </c>
      <c r="B2466" t="str">
        <f>"1552376759148856"</f>
        <v>1552376759148856</v>
      </c>
      <c r="C2466" t="s">
        <v>40</v>
      </c>
      <c r="D2466">
        <v>4.2433009999999998</v>
      </c>
      <c r="E2466">
        <v>0.32910129999999999</v>
      </c>
      <c r="F2466" t="s">
        <v>53</v>
      </c>
      <c r="G2466">
        <v>-480.30630000000002</v>
      </c>
      <c r="H2466" s="1">
        <v>1.8191789999999999E-6</v>
      </c>
      <c r="I2466">
        <v>219.52969999999999</v>
      </c>
      <c r="J2466">
        <v>-488.65550000000002</v>
      </c>
      <c r="K2466">
        <v>1.1154219999999999</v>
      </c>
      <c r="L2466">
        <v>225.28649999999999</v>
      </c>
      <c r="M2466">
        <v>0.49843670000000001</v>
      </c>
      <c r="N2466">
        <v>0</v>
      </c>
      <c r="O2466">
        <v>-0.86680659999999898</v>
      </c>
      <c r="P2466">
        <v>0.51200219999999996</v>
      </c>
      <c r="Q2466">
        <v>9.4153210000000008E-3</v>
      </c>
      <c r="R2466">
        <v>-0.85893259999999905</v>
      </c>
      <c r="S2466">
        <v>2.7063290000000002</v>
      </c>
      <c r="T2466">
        <v>-0.35704029999999998</v>
      </c>
      <c r="U2466">
        <v>-1.8956299999999999</v>
      </c>
      <c r="V2466">
        <v>-1.5996860000000002E-2</v>
      </c>
      <c r="W2466">
        <v>2.3602499999999998E-2</v>
      </c>
      <c r="X2466">
        <v>0.99959339999999997</v>
      </c>
      <c r="Y2466">
        <v>-0.41897689999999999</v>
      </c>
      <c r="Z2466">
        <v>0.10501290000000001</v>
      </c>
      <c r="AA2466">
        <v>0.90190389999999998</v>
      </c>
      <c r="AB2466">
        <v>21</v>
      </c>
      <c r="AC2466">
        <v>8.3491999999999909</v>
      </c>
      <c r="AD2466">
        <v>-1.11542018082099</v>
      </c>
      <c r="AE2466">
        <v>-5.7567999999999904</v>
      </c>
      <c r="AF2466">
        <v>-4.3159838668925898</v>
      </c>
      <c r="AG2466">
        <v>-1.11542018082099</v>
      </c>
      <c r="AH2466">
        <v>9.0431344014237993</v>
      </c>
      <c r="AI2466">
        <v>96.351803260435105</v>
      </c>
      <c r="AJ2466">
        <v>115.513573438046</v>
      </c>
      <c r="AK2466">
        <v>10.0821703378426</v>
      </c>
      <c r="AL2466">
        <v>88.647550735617003</v>
      </c>
      <c r="AM2466">
        <v>90.916847120115804</v>
      </c>
      <c r="AN2466">
        <v>0.99999997142983399</v>
      </c>
    </row>
    <row r="2467" spans="1:40" x14ac:dyDescent="0.25">
      <c r="A2467" t="str">
        <f>"20190312154559178"</f>
        <v>20190312154559178</v>
      </c>
      <c r="B2467" t="str">
        <f>"1552376759169351"</f>
        <v>1552376759169351</v>
      </c>
      <c r="C2467" t="s">
        <v>40</v>
      </c>
      <c r="D2467">
        <v>4.2067690000000004</v>
      </c>
      <c r="E2467">
        <v>0.32901150000000001</v>
      </c>
      <c r="F2467" t="s">
        <v>53</v>
      </c>
      <c r="G2467">
        <v>-480.21809999999999</v>
      </c>
      <c r="H2467" s="1">
        <v>1.8012419999999999E-6</v>
      </c>
      <c r="I2467">
        <v>219.47730000000001</v>
      </c>
      <c r="J2467">
        <v>-488.54059999999998</v>
      </c>
      <c r="K2467">
        <v>1.115402</v>
      </c>
      <c r="L2467">
        <v>225.11019999999999</v>
      </c>
      <c r="M2467">
        <v>0.50709799999999905</v>
      </c>
      <c r="N2467">
        <v>0</v>
      </c>
      <c r="O2467">
        <v>-0.86176839999999999</v>
      </c>
      <c r="P2467">
        <v>0.5196944</v>
      </c>
      <c r="Q2467">
        <v>9.7557879999999996E-3</v>
      </c>
      <c r="R2467">
        <v>-0.85429679999999997</v>
      </c>
      <c r="S2467">
        <v>2.7219850000000001</v>
      </c>
      <c r="T2467">
        <v>-0.35984159999999998</v>
      </c>
      <c r="U2467">
        <v>-1.8740840000000001</v>
      </c>
      <c r="V2467">
        <v>-1.496051E-2</v>
      </c>
      <c r="W2467">
        <v>2.395193E-2</v>
      </c>
      <c r="X2467">
        <v>0.99960119999999997</v>
      </c>
      <c r="Y2467">
        <v>-0.41710160000000002</v>
      </c>
      <c r="Z2467">
        <v>0.1054148</v>
      </c>
      <c r="AA2467">
        <v>0.90272589999999997</v>
      </c>
      <c r="AB2467">
        <v>21</v>
      </c>
      <c r="AC2467">
        <v>8.3224999999999891</v>
      </c>
      <c r="AD2467">
        <v>-1.115400198758</v>
      </c>
      <c r="AE2467">
        <v>-5.63289999999997</v>
      </c>
      <c r="AF2467">
        <v>-4.2635597274605699</v>
      </c>
      <c r="AG2467">
        <v>-1.115400198758</v>
      </c>
      <c r="AH2467">
        <v>8.9650781483941309</v>
      </c>
      <c r="AI2467">
        <v>96.410710599790306</v>
      </c>
      <c r="AJ2467">
        <v>115.434554224796</v>
      </c>
      <c r="AK2467">
        <v>9.9897289933124291</v>
      </c>
      <c r="AL2467">
        <v>88.627524296698695</v>
      </c>
      <c r="AM2467">
        <v>90.857452041796904</v>
      </c>
      <c r="AN2467">
        <v>1.0000000354258101</v>
      </c>
    </row>
    <row r="2468" spans="1:40" x14ac:dyDescent="0.25">
      <c r="A2468" t="str">
        <f>"20190312154559198"</f>
        <v>20190312154559198</v>
      </c>
      <c r="B2468" t="str">
        <f>"1552376759188872"</f>
        <v>1552376759188872</v>
      </c>
      <c r="C2468" t="s">
        <v>40</v>
      </c>
      <c r="D2468">
        <v>4.1868660000000002</v>
      </c>
      <c r="E2468">
        <v>0.32906459999999998</v>
      </c>
      <c r="F2468" t="s">
        <v>53</v>
      </c>
      <c r="G2468">
        <v>-480.084</v>
      </c>
      <c r="H2468" s="1">
        <v>1.774105E-6</v>
      </c>
      <c r="I2468">
        <v>219.4008</v>
      </c>
      <c r="J2468">
        <v>-488.44009999999997</v>
      </c>
      <c r="K2468">
        <v>1.1153930000000001</v>
      </c>
      <c r="L2468">
        <v>224.95910000000001</v>
      </c>
      <c r="M2468">
        <v>0.51452569999999997</v>
      </c>
      <c r="N2468">
        <v>0</v>
      </c>
      <c r="O2468">
        <v>-0.85735439999999996</v>
      </c>
      <c r="P2468">
        <v>0.52743300000000004</v>
      </c>
      <c r="Q2468">
        <v>1.099319E-2</v>
      </c>
      <c r="R2468">
        <v>-0.8495258</v>
      </c>
      <c r="S2468">
        <v>2.7392880000000002</v>
      </c>
      <c r="T2468">
        <v>-0.36129929999999999</v>
      </c>
      <c r="U2468">
        <v>-1.849396</v>
      </c>
      <c r="V2468">
        <v>-1.5426199999999999E-2</v>
      </c>
      <c r="W2468">
        <v>2.5177979999999999E-2</v>
      </c>
      <c r="X2468">
        <v>0.99956389999999995</v>
      </c>
      <c r="Y2468">
        <v>-0.41746810000000001</v>
      </c>
      <c r="Z2468">
        <v>0.1055368</v>
      </c>
      <c r="AA2468">
        <v>0.90254219999999996</v>
      </c>
      <c r="AB2468">
        <v>21</v>
      </c>
      <c r="AC2468">
        <v>8.3560999999999694</v>
      </c>
      <c r="AD2468">
        <v>-1.1153912258950001</v>
      </c>
      <c r="AE2468">
        <v>-5.5583</v>
      </c>
      <c r="AF2468">
        <v>-4.2521724211777503</v>
      </c>
      <c r="AG2468">
        <v>-1.1153912258950001</v>
      </c>
      <c r="AH2468">
        <v>8.9551825635293305</v>
      </c>
      <c r="AI2468">
        <v>96.419525162983206</v>
      </c>
      <c r="AJ2468">
        <v>115.399682074525</v>
      </c>
      <c r="AK2468">
        <v>9.9759893059469498</v>
      </c>
      <c r="AL2468">
        <v>88.557255468174006</v>
      </c>
      <c r="AM2468">
        <v>90.884171580264294</v>
      </c>
      <c r="AN2468">
        <v>0.999999944253263</v>
      </c>
    </row>
    <row r="2469" spans="1:40" x14ac:dyDescent="0.25">
      <c r="A2469" t="str">
        <f>"20190312154559222"</f>
        <v>20190312154559222</v>
      </c>
      <c r="B2469" t="str">
        <f>"1552376759219128"</f>
        <v>1552376759219128</v>
      </c>
      <c r="C2469" t="s">
        <v>40</v>
      </c>
      <c r="D2469">
        <v>4.2193809999999896</v>
      </c>
      <c r="E2469">
        <v>0.32911829999999997</v>
      </c>
      <c r="F2469" t="s">
        <v>53</v>
      </c>
      <c r="G2469">
        <v>-479.8997</v>
      </c>
      <c r="H2469" s="1">
        <v>1.773259E-6</v>
      </c>
      <c r="I2469">
        <v>219.3049</v>
      </c>
      <c r="J2469">
        <v>-488.322</v>
      </c>
      <c r="K2469">
        <v>1.1153770000000001</v>
      </c>
      <c r="L2469">
        <v>224.785</v>
      </c>
      <c r="M2469">
        <v>0.5230783</v>
      </c>
      <c r="N2469">
        <v>0</v>
      </c>
      <c r="O2469">
        <v>-0.85216329999999996</v>
      </c>
      <c r="P2469">
        <v>0.53636809999999902</v>
      </c>
      <c r="Q2469">
        <v>1.1649090000000001E-2</v>
      </c>
      <c r="R2469">
        <v>-0.84390399999999999</v>
      </c>
      <c r="S2469">
        <v>2.7562869999999999</v>
      </c>
      <c r="T2469">
        <v>-0.359979299999999</v>
      </c>
      <c r="U2469">
        <v>-1.824829</v>
      </c>
      <c r="V2469">
        <v>-1.598455E-2</v>
      </c>
      <c r="W2469">
        <v>2.5821509999999999E-2</v>
      </c>
      <c r="X2469">
        <v>0.99953879999999995</v>
      </c>
      <c r="Y2469">
        <v>-0.41660639999999999</v>
      </c>
      <c r="Z2469">
        <v>0.104755</v>
      </c>
      <c r="AA2469">
        <v>0.90303129999999998</v>
      </c>
      <c r="AB2469">
        <v>21</v>
      </c>
      <c r="AC2469">
        <v>8.4222999999999502</v>
      </c>
      <c r="AD2469">
        <v>-1.115375226741</v>
      </c>
      <c r="AE2469">
        <v>-5.4800999999999904</v>
      </c>
      <c r="AF2469">
        <v>-4.25862663288384</v>
      </c>
      <c r="AG2469">
        <v>-1.115375226741</v>
      </c>
      <c r="AH2469">
        <v>8.9659272172469908</v>
      </c>
      <c r="AI2469">
        <v>96.411433357143807</v>
      </c>
      <c r="AJ2469">
        <v>115.406733724929</v>
      </c>
      <c r="AK2469">
        <v>9.9883839313327094</v>
      </c>
      <c r="AL2469">
        <v>88.520372052519406</v>
      </c>
      <c r="AM2469">
        <v>90.916191738584999</v>
      </c>
      <c r="AN2469">
        <v>1.0000000344614099</v>
      </c>
    </row>
    <row r="2470" spans="1:40" x14ac:dyDescent="0.25">
      <c r="A2470" t="str">
        <f>"20190312154559243"</f>
        <v>20190312154559243</v>
      </c>
      <c r="B2470" t="str">
        <f>"1552376759239165"</f>
        <v>1552376759239165</v>
      </c>
      <c r="C2470" t="s">
        <v>40</v>
      </c>
      <c r="D2470">
        <v>4.2808229999999998</v>
      </c>
      <c r="E2470">
        <v>0.32903290000000002</v>
      </c>
      <c r="F2470" t="s">
        <v>53</v>
      </c>
      <c r="G2470">
        <v>-479.77109999999999</v>
      </c>
      <c r="H2470" s="1">
        <v>1.82801E-6</v>
      </c>
      <c r="I2470">
        <v>219.2517</v>
      </c>
      <c r="J2470">
        <v>-488.21039999999999</v>
      </c>
      <c r="K2470">
        <v>1.115361</v>
      </c>
      <c r="L2470">
        <v>224.62389999999999</v>
      </c>
      <c r="M2470">
        <v>0.53100019999999903</v>
      </c>
      <c r="N2470">
        <v>0</v>
      </c>
      <c r="O2470">
        <v>-0.8472499</v>
      </c>
      <c r="P2470">
        <v>0.54440739999999999</v>
      </c>
      <c r="Q2470">
        <v>1.21841E-2</v>
      </c>
      <c r="R2470">
        <v>-0.83873240000000004</v>
      </c>
      <c r="S2470">
        <v>2.7753299999999999</v>
      </c>
      <c r="T2470">
        <v>-0.36201179999999999</v>
      </c>
      <c r="U2470">
        <v>-1.795914</v>
      </c>
      <c r="V2470">
        <v>-1.6227399999999999E-2</v>
      </c>
      <c r="W2470">
        <v>2.634823E-2</v>
      </c>
      <c r="X2470">
        <v>0.99952110000000005</v>
      </c>
      <c r="Y2470">
        <v>-0.4175585</v>
      </c>
      <c r="Z2470">
        <v>0.1050261</v>
      </c>
      <c r="AA2470">
        <v>0.90255989999999997</v>
      </c>
      <c r="AB2470">
        <v>21</v>
      </c>
      <c r="AC2470">
        <v>8.4392999999999994</v>
      </c>
      <c r="AD2470">
        <v>-1.11535917199</v>
      </c>
      <c r="AE2470">
        <v>-5.3721999999999897</v>
      </c>
      <c r="AF2470">
        <v>-4.2452320154103296</v>
      </c>
      <c r="AG2470">
        <v>-1.11535917199</v>
      </c>
      <c r="AH2470">
        <v>8.9228864766014002</v>
      </c>
      <c r="AI2470">
        <v>96.440052066576499</v>
      </c>
      <c r="AJ2470">
        <v>115.44365278686401</v>
      </c>
      <c r="AK2470">
        <v>9.9440396228858301</v>
      </c>
      <c r="AL2470">
        <v>88.490182886037502</v>
      </c>
      <c r="AM2470">
        <v>90.930125293260403</v>
      </c>
      <c r="AN2470">
        <v>0.99999999354005098</v>
      </c>
    </row>
    <row r="2471" spans="1:40" x14ac:dyDescent="0.25">
      <c r="A2471" t="str">
        <f>"20190312154559266"</f>
        <v>20190312154559266</v>
      </c>
      <c r="B2471" t="str">
        <f>"1552376759259661"</f>
        <v>1552376759259661</v>
      </c>
      <c r="C2471" t="s">
        <v>40</v>
      </c>
      <c r="D2471">
        <v>4.2824269999999904</v>
      </c>
      <c r="E2471">
        <v>0.30705159999999998</v>
      </c>
      <c r="F2471" t="s">
        <v>53</v>
      </c>
      <c r="G2471">
        <v>-479.55470000000003</v>
      </c>
      <c r="H2471" s="1">
        <v>1.9192190000000001E-6</v>
      </c>
      <c r="I2471">
        <v>219.14330000000001</v>
      </c>
      <c r="J2471">
        <v>-488.09219999999999</v>
      </c>
      <c r="K2471">
        <v>1.1153470000000001</v>
      </c>
      <c r="L2471">
        <v>224.45689999999999</v>
      </c>
      <c r="M2471">
        <v>0.53921589999999997</v>
      </c>
      <c r="N2471">
        <v>0</v>
      </c>
      <c r="O2471">
        <v>-0.84204509999999899</v>
      </c>
      <c r="P2471">
        <v>0.55276719999999901</v>
      </c>
      <c r="Q2471">
        <v>1.2435740000000001E-2</v>
      </c>
      <c r="R2471">
        <v>-0.83324290000000001</v>
      </c>
      <c r="S2471">
        <v>2.7935789999999998</v>
      </c>
      <c r="T2471">
        <v>-0.3599755</v>
      </c>
      <c r="U2471">
        <v>-1.768829</v>
      </c>
      <c r="V2471">
        <v>-1.6504669999999999E-2</v>
      </c>
      <c r="W2471">
        <v>2.6591799999999999E-2</v>
      </c>
      <c r="X2471">
        <v>0.99951009999999996</v>
      </c>
      <c r="Y2471">
        <v>-0.41772860000000001</v>
      </c>
      <c r="Z2471">
        <v>0.1040565</v>
      </c>
      <c r="AA2471">
        <v>0.9025936</v>
      </c>
      <c r="AB2471">
        <v>21</v>
      </c>
      <c r="AC2471">
        <v>8.5374999999999606</v>
      </c>
      <c r="AD2471">
        <v>-1.1153450807809999</v>
      </c>
      <c r="AE2471">
        <v>-5.3135999999999797</v>
      </c>
      <c r="AF2471">
        <v>-4.2716792202472398</v>
      </c>
      <c r="AG2471">
        <v>-1.1153450807809999</v>
      </c>
      <c r="AH2471">
        <v>8.9684551025148096</v>
      </c>
      <c r="AI2471">
        <v>96.406212138224106</v>
      </c>
      <c r="AJ2471">
        <v>115.46848127577699</v>
      </c>
      <c r="AK2471">
        <v>9.9962205325682092</v>
      </c>
      <c r="AL2471">
        <v>88.476222446702195</v>
      </c>
      <c r="AM2471">
        <v>90.946025454857207</v>
      </c>
      <c r="AN2471">
        <v>0.99999998398052903</v>
      </c>
    </row>
    <row r="2472" spans="1:40" x14ac:dyDescent="0.25">
      <c r="A2472" t="str">
        <f>"20190312154559287"</f>
        <v>20190312154559287</v>
      </c>
      <c r="B2472" t="str">
        <f>"1552376759279181"</f>
        <v>1552376759279181</v>
      </c>
      <c r="C2472" t="s">
        <v>40</v>
      </c>
      <c r="D2472">
        <v>4.2836460000000001</v>
      </c>
      <c r="E2472">
        <v>0.3047164</v>
      </c>
      <c r="F2472" t="s">
        <v>41</v>
      </c>
      <c r="G2472">
        <v>-487.22160000000002</v>
      </c>
      <c r="H2472">
        <v>0.97425720000000005</v>
      </c>
      <c r="I2472">
        <v>223.97389999999999</v>
      </c>
      <c r="J2472">
        <v>-487.97899999999998</v>
      </c>
      <c r="K2472">
        <v>1.115337</v>
      </c>
      <c r="L2472">
        <v>224.30019999999999</v>
      </c>
      <c r="M2472">
        <v>0.54693349999999996</v>
      </c>
      <c r="N2472">
        <v>0</v>
      </c>
      <c r="O2472">
        <v>-0.83705280000000004</v>
      </c>
      <c r="P2472">
        <v>0.56027839999999995</v>
      </c>
      <c r="Q2472">
        <v>1.311651E-2</v>
      </c>
      <c r="R2472">
        <v>-0.82820059999999995</v>
      </c>
      <c r="S2472">
        <v>2.9620669999999998</v>
      </c>
      <c r="T2472">
        <v>-0.47986869999999998</v>
      </c>
      <c r="U2472">
        <v>-1.6425320000000001</v>
      </c>
      <c r="V2472">
        <v>-1.6366639999999998E-2</v>
      </c>
      <c r="W2472">
        <v>2.7269620000000001E-2</v>
      </c>
      <c r="X2472">
        <v>0.99949410000000005</v>
      </c>
      <c r="Y2472">
        <v>-0.45742769999999999</v>
      </c>
      <c r="Z2472">
        <v>0.13634289999999999</v>
      </c>
      <c r="AA2472">
        <v>0.87873230000000002</v>
      </c>
      <c r="AB2472">
        <v>21</v>
      </c>
      <c r="AC2472">
        <v>0.75740000000001795</v>
      </c>
      <c r="AD2472">
        <v>-0.14107979999999901</v>
      </c>
      <c r="AE2472">
        <v>-0.32630000000000298</v>
      </c>
      <c r="AF2472">
        <v>-0.44261356487268599</v>
      </c>
      <c r="AG2472">
        <v>-0.14107979999999901</v>
      </c>
      <c r="AH2472">
        <v>0.66790290018133103</v>
      </c>
      <c r="AI2472">
        <v>99.985980825026104</v>
      </c>
      <c r="AJ2472">
        <v>123.53209732069401</v>
      </c>
      <c r="AK2472">
        <v>0.81357517283160796</v>
      </c>
      <c r="AL2472">
        <v>88.437372119039694</v>
      </c>
      <c r="AM2472">
        <v>90.938130195792397</v>
      </c>
      <c r="AN2472">
        <v>0.99999997750732095</v>
      </c>
    </row>
    <row r="2473" spans="1:40" x14ac:dyDescent="0.25">
      <c r="A2473" t="str">
        <f>"20190312154559310"</f>
        <v>20190312154559310</v>
      </c>
      <c r="B2473" t="str">
        <f>"1552376759299677"</f>
        <v>1552376759299677</v>
      </c>
      <c r="C2473" t="s">
        <v>40</v>
      </c>
      <c r="D2473">
        <v>4.2973100000000004</v>
      </c>
      <c r="E2473">
        <v>0.30400149999999998</v>
      </c>
      <c r="F2473" t="s">
        <v>41</v>
      </c>
      <c r="G2473">
        <v>-487.11259999999999</v>
      </c>
      <c r="H2473">
        <v>0.97859479999999999</v>
      </c>
      <c r="I2473">
        <v>223.83529999999999</v>
      </c>
      <c r="J2473">
        <v>-487.8553</v>
      </c>
      <c r="K2473">
        <v>1.1153219999999999</v>
      </c>
      <c r="L2473">
        <v>224.13229999999999</v>
      </c>
      <c r="M2473">
        <v>0.55521209999999999</v>
      </c>
      <c r="N2473">
        <v>0</v>
      </c>
      <c r="O2473">
        <v>-0.83158500000000002</v>
      </c>
      <c r="P2473">
        <v>0.56787929999999998</v>
      </c>
      <c r="Q2473">
        <v>1.3288110000000001E-2</v>
      </c>
      <c r="R2473">
        <v>-0.82300499999999899</v>
      </c>
      <c r="S2473">
        <v>2.9920040000000001</v>
      </c>
      <c r="T2473">
        <v>-0.47224250000000001</v>
      </c>
      <c r="U2473">
        <v>-1.6057129999999999</v>
      </c>
      <c r="V2473">
        <v>-1.5653569999999999E-2</v>
      </c>
      <c r="W2473">
        <v>2.7446459999999999E-2</v>
      </c>
      <c r="X2473">
        <v>0.99950070000000002</v>
      </c>
      <c r="Y2473">
        <v>-0.46107930000000003</v>
      </c>
      <c r="Z2473">
        <v>0.13356870000000001</v>
      </c>
      <c r="AA2473">
        <v>0.87724869999999899</v>
      </c>
      <c r="AB2473">
        <v>20</v>
      </c>
      <c r="AC2473">
        <v>0.74270000000001302</v>
      </c>
      <c r="AD2473">
        <v>-0.13672719999999899</v>
      </c>
      <c r="AE2473">
        <v>-0.29699999999999699</v>
      </c>
      <c r="AF2473">
        <v>-0.439913218217095</v>
      </c>
      <c r="AG2473">
        <v>-0.13672719999999899</v>
      </c>
      <c r="AH2473">
        <v>0.64068484289399696</v>
      </c>
      <c r="AI2473">
        <v>99.977855599489104</v>
      </c>
      <c r="AJ2473">
        <v>124.474647560031</v>
      </c>
      <c r="AK2473">
        <v>0.78911028043998199</v>
      </c>
      <c r="AL2473">
        <v>88.427236168111904</v>
      </c>
      <c r="AM2473">
        <v>90.897258178176699</v>
      </c>
      <c r="AN2473">
        <v>0.99999999586038302</v>
      </c>
    </row>
    <row r="2474" spans="1:40" x14ac:dyDescent="0.25">
      <c r="A2474" t="str">
        <f>"20190312154559333"</f>
        <v>20190312154559333</v>
      </c>
      <c r="B2474" t="str">
        <f>"1552376759328957"</f>
        <v>1552376759328957</v>
      </c>
      <c r="C2474" t="s">
        <v>40</v>
      </c>
      <c r="D2474">
        <v>4.432442</v>
      </c>
      <c r="E2474">
        <v>0.3064617</v>
      </c>
      <c r="F2474" t="s">
        <v>41</v>
      </c>
      <c r="G2474">
        <v>-487.01029999999997</v>
      </c>
      <c r="H2474">
        <v>0.98611910000000003</v>
      </c>
      <c r="I2474">
        <v>223.68979999999999</v>
      </c>
      <c r="J2474">
        <v>-487.73309999999998</v>
      </c>
      <c r="K2474">
        <v>1.1153040000000001</v>
      </c>
      <c r="L2474">
        <v>223.96979999999999</v>
      </c>
      <c r="M2474">
        <v>0.56322850000000002</v>
      </c>
      <c r="N2474">
        <v>0</v>
      </c>
      <c r="O2474">
        <v>-0.82617659999999904</v>
      </c>
      <c r="P2474">
        <v>0.57496809999999998</v>
      </c>
      <c r="Q2474">
        <v>1.354781E-2</v>
      </c>
      <c r="R2474">
        <v>-0.8180636</v>
      </c>
      <c r="S2474">
        <v>3.0103759999999999</v>
      </c>
      <c r="T2474">
        <v>-0.46011020000000002</v>
      </c>
      <c r="U2474">
        <v>-1.575439</v>
      </c>
      <c r="V2474">
        <v>-1.462686E-2</v>
      </c>
      <c r="W2474">
        <v>2.7715299999999998E-2</v>
      </c>
      <c r="X2474">
        <v>0.99950890000000003</v>
      </c>
      <c r="Y2474">
        <v>-0.46215640000000002</v>
      </c>
      <c r="Z2474">
        <v>0.12969839999999999</v>
      </c>
      <c r="AA2474">
        <v>0.87726269999999995</v>
      </c>
      <c r="AB2474">
        <v>20</v>
      </c>
      <c r="AC2474">
        <v>0.72280000000000599</v>
      </c>
      <c r="AD2474">
        <v>-0.12918489999999999</v>
      </c>
      <c r="AE2474">
        <v>-0.28000000000000103</v>
      </c>
      <c r="AF2474">
        <v>-0.42762415756104399</v>
      </c>
      <c r="AG2474">
        <v>-0.12918489999999999</v>
      </c>
      <c r="AH2474">
        <v>0.62124133491103695</v>
      </c>
      <c r="AI2474">
        <v>99.719837428808901</v>
      </c>
      <c r="AJ2474">
        <v>124.54112254641601</v>
      </c>
      <c r="AK2474">
        <v>0.76517446031598002</v>
      </c>
      <c r="AL2474">
        <v>88.411827013693397</v>
      </c>
      <c r="AM2474">
        <v>90.8384092711932</v>
      </c>
      <c r="AN2474">
        <v>1.00000006203337</v>
      </c>
    </row>
    <row r="2475" spans="1:40" x14ac:dyDescent="0.25">
      <c r="A2475" t="str">
        <f>"20190312154559377"</f>
        <v>20190312154559377</v>
      </c>
      <c r="B2475" t="str">
        <f>"1552376759368810"</f>
        <v>1552376759368810</v>
      </c>
      <c r="C2475" t="s">
        <v>40</v>
      </c>
      <c r="D2475">
        <v>4.4930349999999999</v>
      </c>
      <c r="E2475">
        <v>0.31081239999999999</v>
      </c>
      <c r="F2475" t="s">
        <v>41</v>
      </c>
      <c r="G2475">
        <v>-486.90960000000001</v>
      </c>
      <c r="H2475">
        <v>0.98696260000000002</v>
      </c>
      <c r="I2475">
        <v>223.54239999999999</v>
      </c>
      <c r="J2475">
        <v>-487.49380000000002</v>
      </c>
      <c r="K2475">
        <v>1.1152869999999999</v>
      </c>
      <c r="L2475">
        <v>223.66069999999999</v>
      </c>
      <c r="M2475">
        <v>0.57850469999999998</v>
      </c>
      <c r="N2475">
        <v>0</v>
      </c>
      <c r="O2475">
        <v>-0.81555279999999997</v>
      </c>
      <c r="P2475">
        <v>0.58962479999999995</v>
      </c>
      <c r="Q2475">
        <v>1.661313E-2</v>
      </c>
      <c r="R2475">
        <v>-0.80750639999999996</v>
      </c>
      <c r="S2475">
        <v>3.007355</v>
      </c>
      <c r="T2475">
        <v>-0.46871580000000002</v>
      </c>
      <c r="U2475">
        <v>-1.561218</v>
      </c>
      <c r="V2475">
        <v>-1.411944E-2</v>
      </c>
      <c r="W2475">
        <v>3.0778139999999999E-2</v>
      </c>
      <c r="X2475">
        <v>0.9994265</v>
      </c>
      <c r="Y2475">
        <v>-0.44830740000000002</v>
      </c>
      <c r="Z2475">
        <v>0.13085469999999999</v>
      </c>
      <c r="AA2475">
        <v>0.88424969999999903</v>
      </c>
      <c r="AB2475">
        <v>20</v>
      </c>
      <c r="AC2475">
        <v>0.58420000000000905</v>
      </c>
      <c r="AD2475">
        <v>-0.12832440000000001</v>
      </c>
      <c r="AE2475">
        <v>-0.118300000000004</v>
      </c>
      <c r="AF2475">
        <v>-0.38997579558179102</v>
      </c>
      <c r="AG2475">
        <v>-0.12832440000000001</v>
      </c>
      <c r="AH2475">
        <v>0.41524099833689598</v>
      </c>
      <c r="AI2475">
        <v>102.694948080873</v>
      </c>
      <c r="AJ2475">
        <v>133.202825968681</v>
      </c>
      <c r="AK2475">
        <v>0.58392924183914097</v>
      </c>
      <c r="AL2475">
        <v>88.236263922808803</v>
      </c>
      <c r="AM2475">
        <v>90.809394694351198</v>
      </c>
      <c r="AN2475">
        <v>0.999999990695011</v>
      </c>
    </row>
    <row r="2476" spans="1:40" x14ac:dyDescent="0.25">
      <c r="A2476" t="str">
        <f>"20190312154559399"</f>
        <v>20190312154559399</v>
      </c>
      <c r="B2476" t="str">
        <f>"1552376759389306"</f>
        <v>1552376759389306</v>
      </c>
      <c r="C2476" t="s">
        <v>40</v>
      </c>
      <c r="D2476">
        <v>4.2878769999999999</v>
      </c>
      <c r="E2476">
        <v>0.31093779999999999</v>
      </c>
      <c r="F2476" t="s">
        <v>41</v>
      </c>
      <c r="G2476">
        <v>-486.6524</v>
      </c>
      <c r="H2476">
        <v>0.98267439999999995</v>
      </c>
      <c r="I2476">
        <v>223.2328</v>
      </c>
      <c r="J2476">
        <v>-487.37029999999999</v>
      </c>
      <c r="K2476">
        <v>1.115286</v>
      </c>
      <c r="L2476">
        <v>223.50569999999999</v>
      </c>
      <c r="M2476">
        <v>0.58617750000000002</v>
      </c>
      <c r="N2476">
        <v>0</v>
      </c>
      <c r="O2476">
        <v>-0.81005579999999999</v>
      </c>
      <c r="P2476">
        <v>0.5972866</v>
      </c>
      <c r="Q2476">
        <v>1.8561870000000001E-2</v>
      </c>
      <c r="R2476">
        <v>-0.8018132</v>
      </c>
      <c r="S2476">
        <v>3.00705</v>
      </c>
      <c r="T2476">
        <v>-0.47388829999999998</v>
      </c>
      <c r="U2476">
        <v>-1.5291440000000001</v>
      </c>
      <c r="V2476">
        <v>-1.4249619999999999E-2</v>
      </c>
      <c r="W2476">
        <v>3.272075E-2</v>
      </c>
      <c r="X2476">
        <v>0.99936290000000005</v>
      </c>
      <c r="Y2476">
        <v>-0.44708059999999999</v>
      </c>
      <c r="Z2476">
        <v>0.13228970000000001</v>
      </c>
      <c r="AA2476">
        <v>0.88465720000000003</v>
      </c>
      <c r="AB2476">
        <v>20</v>
      </c>
      <c r="AC2476">
        <v>0.71789999999998599</v>
      </c>
      <c r="AD2476">
        <v>-0.132611599999999</v>
      </c>
      <c r="AE2476">
        <v>-0.27289999999999198</v>
      </c>
      <c r="AF2476">
        <v>-0.40940851118227101</v>
      </c>
      <c r="AG2476">
        <v>-0.132611599999999</v>
      </c>
      <c r="AH2476">
        <v>0.623362210760117</v>
      </c>
      <c r="AI2476">
        <v>100.082648898339</v>
      </c>
      <c r="AJ2476">
        <v>123.295895171301</v>
      </c>
      <c r="AK2476">
        <v>0.75748373664837498</v>
      </c>
      <c r="AL2476">
        <v>88.124904337495494</v>
      </c>
      <c r="AM2476">
        <v>90.816908214113198</v>
      </c>
      <c r="AN2476">
        <v>0.999999952523557</v>
      </c>
    </row>
    <row r="2477" spans="1:40" x14ac:dyDescent="0.25">
      <c r="A2477" t="str">
        <f>"20190312154559423"</f>
        <v>20190312154559423</v>
      </c>
      <c r="B2477" t="str">
        <f>"1552376759419562"</f>
        <v>1552376759419562</v>
      </c>
      <c r="C2477" t="s">
        <v>40</v>
      </c>
      <c r="D2477">
        <v>4.3020820000000004</v>
      </c>
      <c r="E2477">
        <v>0.31157770000000001</v>
      </c>
      <c r="F2477" t="s">
        <v>41</v>
      </c>
      <c r="G2477">
        <v>-486.51479999999998</v>
      </c>
      <c r="H2477">
        <v>0.98262530000000003</v>
      </c>
      <c r="I2477">
        <v>223.07980000000001</v>
      </c>
      <c r="J2477">
        <v>-487.23809999999997</v>
      </c>
      <c r="K2477">
        <v>1.1152770000000001</v>
      </c>
      <c r="L2477">
        <v>223.34289999999999</v>
      </c>
      <c r="M2477">
        <v>0.59424200000000005</v>
      </c>
      <c r="N2477">
        <v>0</v>
      </c>
      <c r="O2477">
        <v>-0.80415859999999995</v>
      </c>
      <c r="P2477">
        <v>0.60548089999999999</v>
      </c>
      <c r="Q2477">
        <v>1.950342E-2</v>
      </c>
      <c r="R2477">
        <v>-0.79562109999999997</v>
      </c>
      <c r="S2477">
        <v>3.0202640000000001</v>
      </c>
      <c r="T2477">
        <v>-0.46814050000000001</v>
      </c>
      <c r="U2477">
        <v>-1.5024869999999999</v>
      </c>
      <c r="V2477">
        <v>-1.45408E-2</v>
      </c>
      <c r="W2477">
        <v>3.3653889999999999E-2</v>
      </c>
      <c r="X2477">
        <v>0.99932779999999999</v>
      </c>
      <c r="Y2477">
        <v>-0.44623879999999999</v>
      </c>
      <c r="Z2477">
        <v>0.13013</v>
      </c>
      <c r="AA2477">
        <v>0.88540219999999903</v>
      </c>
      <c r="AB2477">
        <v>20</v>
      </c>
      <c r="AC2477">
        <v>0.72329999999999395</v>
      </c>
      <c r="AD2477">
        <v>-0.13265170000000001</v>
      </c>
      <c r="AE2477">
        <v>-0.26309999999998002</v>
      </c>
      <c r="AF2477">
        <v>-0.41307631167521802</v>
      </c>
      <c r="AG2477">
        <v>-0.13265170000000001</v>
      </c>
      <c r="AH2477">
        <v>0.62295081437849997</v>
      </c>
      <c r="AI2477">
        <v>100.063471869583</v>
      </c>
      <c r="AJ2477">
        <v>123.548206416958</v>
      </c>
      <c r="AK2477">
        <v>0.759141771947065</v>
      </c>
      <c r="AL2477">
        <v>88.071410041962906</v>
      </c>
      <c r="AM2477">
        <v>90.833628046637799</v>
      </c>
      <c r="AN2477">
        <v>1.0000000355148</v>
      </c>
    </row>
    <row r="2478" spans="1:40" x14ac:dyDescent="0.25">
      <c r="A2478" t="str">
        <f>"20190312154559444"</f>
        <v>20190312154559444</v>
      </c>
      <c r="B2478" t="str">
        <f>"1552376759439087"</f>
        <v>1552376759439087</v>
      </c>
      <c r="C2478" t="s">
        <v>40</v>
      </c>
      <c r="D2478">
        <v>4.3290059999999997</v>
      </c>
      <c r="E2478">
        <v>0.31219910000000001</v>
      </c>
      <c r="F2478" t="s">
        <v>53</v>
      </c>
      <c r="G2478">
        <v>-479.8886</v>
      </c>
      <c r="H2478" s="1">
        <v>1.819152E-6</v>
      </c>
      <c r="I2478">
        <v>219.76769999999999</v>
      </c>
      <c r="J2478">
        <v>-487.11540000000002</v>
      </c>
      <c r="K2478">
        <v>1.115265</v>
      </c>
      <c r="L2478">
        <v>223.19489999999999</v>
      </c>
      <c r="M2478">
        <v>0.60158129999999999</v>
      </c>
      <c r="N2478">
        <v>0</v>
      </c>
      <c r="O2478">
        <v>-0.79868319999999904</v>
      </c>
      <c r="P2478">
        <v>0.61315850000000005</v>
      </c>
      <c r="Q2478">
        <v>1.9761310000000001E-2</v>
      </c>
      <c r="R2478">
        <v>-0.78971309999999995</v>
      </c>
      <c r="S2478">
        <v>3.031647</v>
      </c>
      <c r="T2478">
        <v>-0.4600494</v>
      </c>
      <c r="U2478">
        <v>-1.474747</v>
      </c>
      <c r="V2478">
        <v>-1.507437E-2</v>
      </c>
      <c r="W2478">
        <v>3.3900739999999999E-2</v>
      </c>
      <c r="X2478">
        <v>0.99931150000000002</v>
      </c>
      <c r="Y2478">
        <v>-0.44625880000000001</v>
      </c>
      <c r="Z2478">
        <v>0.1274864</v>
      </c>
      <c r="AA2478">
        <v>0.88577669999999997</v>
      </c>
      <c r="AB2478">
        <v>20</v>
      </c>
      <c r="AC2478">
        <v>7.2268000000000203</v>
      </c>
      <c r="AD2478">
        <v>-1.115263180848</v>
      </c>
      <c r="AE2478">
        <v>-3.4271999999999898</v>
      </c>
      <c r="AF2478">
        <v>-3.6397963937555602</v>
      </c>
      <c r="AG2478">
        <v>-1.115263180848</v>
      </c>
      <c r="AH2478">
        <v>6.9503460651910904</v>
      </c>
      <c r="AI2478">
        <v>98.090343231180299</v>
      </c>
      <c r="AJ2478">
        <v>117.64040506448499</v>
      </c>
      <c r="AK2478">
        <v>7.9245971617785402</v>
      </c>
      <c r="AL2478">
        <v>88.057258406795896</v>
      </c>
      <c r="AM2478">
        <v>90.864227297819895</v>
      </c>
      <c r="AN2478">
        <v>0.99999998541784696</v>
      </c>
    </row>
    <row r="2479" spans="1:40" x14ac:dyDescent="0.25">
      <c r="A2479" t="str">
        <f>"20190312154559469"</f>
        <v>20190312154559469</v>
      </c>
      <c r="B2479" t="str">
        <f>"1552376759459585"</f>
        <v>1552376759459585</v>
      </c>
      <c r="C2479" t="s">
        <v>40</v>
      </c>
      <c r="D2479">
        <v>4.3334830000000002</v>
      </c>
      <c r="E2479">
        <v>0.31299779999999999</v>
      </c>
      <c r="F2479" t="s">
        <v>41</v>
      </c>
      <c r="G2479">
        <v>-486.20870000000002</v>
      </c>
      <c r="H2479">
        <v>0.98027900000000001</v>
      </c>
      <c r="I2479">
        <v>222.76300000000001</v>
      </c>
      <c r="J2479">
        <v>-486.97390000000001</v>
      </c>
      <c r="K2479">
        <v>1.1152329999999999</v>
      </c>
      <c r="L2479">
        <v>223.02789999999999</v>
      </c>
      <c r="M2479">
        <v>0.60988419999999999</v>
      </c>
      <c r="N2479">
        <v>0</v>
      </c>
      <c r="O2479">
        <v>-0.79236110000000004</v>
      </c>
      <c r="P2479">
        <v>0.62240299999999904</v>
      </c>
      <c r="Q2479">
        <v>1.90414E-2</v>
      </c>
      <c r="R2479">
        <v>-0.78246579999999999</v>
      </c>
      <c r="S2479">
        <v>3.0418400000000001</v>
      </c>
      <c r="T2479">
        <v>-0.4528008</v>
      </c>
      <c r="U2479">
        <v>-1.4484250000000001</v>
      </c>
      <c r="V2479">
        <v>-1.637564E-2</v>
      </c>
      <c r="W2479">
        <v>3.3160630000000003E-2</v>
      </c>
      <c r="X2479">
        <v>0.99931590000000003</v>
      </c>
      <c r="Y2479">
        <v>-0.44465290000000002</v>
      </c>
      <c r="Z2479">
        <v>0.1249316</v>
      </c>
      <c r="AA2479">
        <v>0.88694759999999995</v>
      </c>
      <c r="AB2479">
        <v>20</v>
      </c>
      <c r="AC2479">
        <v>0.765199999999992</v>
      </c>
      <c r="AD2479">
        <v>-0.13495399999999899</v>
      </c>
      <c r="AE2479">
        <v>-0.26489999999998298</v>
      </c>
      <c r="AF2479">
        <v>-0.432781234467918</v>
      </c>
      <c r="AG2479">
        <v>-0.13495399999999899</v>
      </c>
      <c r="AH2479">
        <v>0.65836279766758099</v>
      </c>
      <c r="AI2479">
        <v>99.719832039213799</v>
      </c>
      <c r="AJ2479">
        <v>123.31931090080801</v>
      </c>
      <c r="AK2479">
        <v>0.79934582777184704</v>
      </c>
      <c r="AL2479">
        <v>88.099687527961706</v>
      </c>
      <c r="AM2479">
        <v>90.938813331700203</v>
      </c>
      <c r="AN2479">
        <v>1.0000000284801001</v>
      </c>
    </row>
    <row r="2480" spans="1:40" x14ac:dyDescent="0.25">
      <c r="A2480" t="str">
        <f>"20190312154559490"</f>
        <v>20190312154559490</v>
      </c>
      <c r="B2480" t="str">
        <f>"1552376759479103"</f>
        <v>1552376759479103</v>
      </c>
      <c r="C2480" t="s">
        <v>40</v>
      </c>
      <c r="D2480">
        <v>4.3104100000000001</v>
      </c>
      <c r="E2480">
        <v>0.31365759999999998</v>
      </c>
      <c r="F2480" t="s">
        <v>41</v>
      </c>
      <c r="G2480">
        <v>-486.10109999999997</v>
      </c>
      <c r="H2480">
        <v>0.98482349999999996</v>
      </c>
      <c r="I2480">
        <v>222.62260000000001</v>
      </c>
      <c r="J2480">
        <v>-486.84640000000002</v>
      </c>
      <c r="K2480">
        <v>1.1151879999999901</v>
      </c>
      <c r="L2480">
        <v>222.8801</v>
      </c>
      <c r="M2480">
        <v>0.61723739999999905</v>
      </c>
      <c r="N2480">
        <v>0</v>
      </c>
      <c r="O2480">
        <v>-0.78664669999999903</v>
      </c>
      <c r="P2480">
        <v>0.63080639999999999</v>
      </c>
      <c r="Q2480">
        <v>1.455857E-2</v>
      </c>
      <c r="R2480">
        <v>-0.77580400000000005</v>
      </c>
      <c r="S2480">
        <v>3.0524290000000001</v>
      </c>
      <c r="T2480">
        <v>-0.45605299999999999</v>
      </c>
      <c r="U2480">
        <v>-1.41716</v>
      </c>
      <c r="V2480">
        <v>-1.7729950000000001E-2</v>
      </c>
      <c r="W2480">
        <v>2.865763E-2</v>
      </c>
      <c r="X2480">
        <v>0.99943199999999999</v>
      </c>
      <c r="Y2480">
        <v>-0.4448666</v>
      </c>
      <c r="Z2480">
        <v>0.1254345</v>
      </c>
      <c r="AA2480">
        <v>0.88676939999999904</v>
      </c>
      <c r="AB2480">
        <v>20</v>
      </c>
      <c r="AC2480">
        <v>0.74530000000004204</v>
      </c>
      <c r="AD2480">
        <v>-0.130364499999999</v>
      </c>
      <c r="AE2480">
        <v>-0.25749999999999301</v>
      </c>
      <c r="AF2480">
        <v>-0.41602193919331798</v>
      </c>
      <c r="AG2480">
        <v>-0.130364499999999</v>
      </c>
      <c r="AH2480">
        <v>0.64502614353256604</v>
      </c>
      <c r="AI2480">
        <v>99.639411720979695</v>
      </c>
      <c r="AJ2480">
        <v>122.820766267268</v>
      </c>
      <c r="AK2480">
        <v>0.77854215209641298</v>
      </c>
      <c r="AL2480">
        <v>88.357813866325998</v>
      </c>
      <c r="AM2480">
        <v>91.0163220313176</v>
      </c>
      <c r="AN2480">
        <v>0.99999996675410896</v>
      </c>
    </row>
    <row r="2481" spans="1:40" x14ac:dyDescent="0.25">
      <c r="A2481" t="str">
        <f>"20190312154559514"</f>
        <v>20190312154559514</v>
      </c>
      <c r="B2481" t="str">
        <f>"1552376759509359"</f>
        <v>1552376759509359</v>
      </c>
      <c r="C2481" t="s">
        <v>40</v>
      </c>
      <c r="D2481">
        <v>4.3537150000000002</v>
      </c>
      <c r="E2481">
        <v>0.31470589999999998</v>
      </c>
      <c r="F2481" t="s">
        <v>41</v>
      </c>
      <c r="G2481">
        <v>-485.98540000000003</v>
      </c>
      <c r="H2481">
        <v>0.98354940000000002</v>
      </c>
      <c r="I2481">
        <v>222.49010000000001</v>
      </c>
      <c r="J2481">
        <v>-486.7122</v>
      </c>
      <c r="K2481">
        <v>1.115154</v>
      </c>
      <c r="L2481">
        <v>222.7276</v>
      </c>
      <c r="M2481">
        <v>0.62484189999999995</v>
      </c>
      <c r="N2481">
        <v>0</v>
      </c>
      <c r="O2481">
        <v>-0.78061990000000003</v>
      </c>
      <c r="P2481">
        <v>0.63940439999999998</v>
      </c>
      <c r="Q2481">
        <v>7.7890659999999999E-3</v>
      </c>
      <c r="R2481">
        <v>-0.76883140000000005</v>
      </c>
      <c r="S2481">
        <v>3.061401</v>
      </c>
      <c r="T2481">
        <v>-0.46806249999999999</v>
      </c>
      <c r="U2481">
        <v>-1.3864749999999999</v>
      </c>
      <c r="V2481">
        <v>-1.901183E-2</v>
      </c>
      <c r="W2481">
        <v>2.1869650000000001E-2</v>
      </c>
      <c r="X2481">
        <v>0.99958000000000002</v>
      </c>
      <c r="Y2481">
        <v>-0.44409559999999998</v>
      </c>
      <c r="Z2481">
        <v>0.1282498</v>
      </c>
      <c r="AA2481">
        <v>0.88675309999999896</v>
      </c>
      <c r="AB2481">
        <v>20</v>
      </c>
      <c r="AC2481">
        <v>0.72679999999996803</v>
      </c>
      <c r="AD2481">
        <v>-0.13160459999999899</v>
      </c>
      <c r="AE2481">
        <v>-0.237499999999982</v>
      </c>
      <c r="AF2481">
        <v>-0.40694214089915698</v>
      </c>
      <c r="AG2481">
        <v>-0.13160459999999899</v>
      </c>
      <c r="AH2481">
        <v>0.62119536594971703</v>
      </c>
      <c r="AI2481">
        <v>100.049417523624</v>
      </c>
      <c r="AJ2481">
        <v>123.22861809199</v>
      </c>
      <c r="AK2481">
        <v>0.75419185852019899</v>
      </c>
      <c r="AL2481">
        <v>88.746861391988702</v>
      </c>
      <c r="AM2481">
        <v>91.089623937972206</v>
      </c>
      <c r="AN2481">
        <v>0.99999995383553397</v>
      </c>
    </row>
    <row r="2482" spans="1:40" x14ac:dyDescent="0.25">
      <c r="A2482" t="str">
        <f>"20190312154559535"</f>
        <v>20190312154559535</v>
      </c>
      <c r="B2482" t="str">
        <f>"1552376759528878"</f>
        <v>1552376759528878</v>
      </c>
      <c r="C2482" t="s">
        <v>40</v>
      </c>
      <c r="D2482">
        <v>4.4093650000000002</v>
      </c>
      <c r="E2482">
        <v>0.31563580000000002</v>
      </c>
      <c r="F2482" t="s">
        <v>41</v>
      </c>
      <c r="G2482">
        <v>-485.84589999999997</v>
      </c>
      <c r="H2482">
        <v>0.97819440000000002</v>
      </c>
      <c r="I2482">
        <v>222.3443</v>
      </c>
      <c r="J2482">
        <v>-486.58659999999998</v>
      </c>
      <c r="K2482">
        <v>1.1151530000000001</v>
      </c>
      <c r="L2482">
        <v>222.58760000000001</v>
      </c>
      <c r="M2482">
        <v>0.63184689999999999</v>
      </c>
      <c r="N2482">
        <v>0</v>
      </c>
      <c r="O2482">
        <v>-0.77496089999999995</v>
      </c>
      <c r="P2482">
        <v>0.64725140000000003</v>
      </c>
      <c r="Q2482">
        <v>7.5647379999999997E-3</v>
      </c>
      <c r="R2482">
        <v>-0.76223949999999996</v>
      </c>
      <c r="S2482">
        <v>3.0668329999999999</v>
      </c>
      <c r="T2482">
        <v>-0.48476330000000001</v>
      </c>
      <c r="U2482">
        <v>-1.3563689999999999</v>
      </c>
      <c r="V2482">
        <v>-2.0251180000000001E-2</v>
      </c>
      <c r="W2482">
        <v>2.1627E-2</v>
      </c>
      <c r="X2482">
        <v>0.99956100000000003</v>
      </c>
      <c r="Y2482">
        <v>-0.44322899999999998</v>
      </c>
      <c r="Z2482">
        <v>0.1324321</v>
      </c>
      <c r="AA2482">
        <v>0.88657189999999997</v>
      </c>
      <c r="AB2482">
        <v>20</v>
      </c>
      <c r="AC2482">
        <v>0.74070000000000302</v>
      </c>
      <c r="AD2482">
        <v>-0.13695860000000001</v>
      </c>
      <c r="AE2482">
        <v>-0.24330000000000401</v>
      </c>
      <c r="AF2482">
        <v>-0.40774528710506902</v>
      </c>
      <c r="AG2482">
        <v>-0.13695860000000001</v>
      </c>
      <c r="AH2482">
        <v>0.63696752683332303</v>
      </c>
      <c r="AI2482">
        <v>100.26452303260599</v>
      </c>
      <c r="AJ2482">
        <v>122.624735118418</v>
      </c>
      <c r="AK2482">
        <v>0.76859710350125299</v>
      </c>
      <c r="AL2482">
        <v>88.760767578572398</v>
      </c>
      <c r="AM2482">
        <v>91.160657954764204</v>
      </c>
      <c r="AN2482">
        <v>1.00000001507069</v>
      </c>
    </row>
    <row r="2483" spans="1:40" x14ac:dyDescent="0.25">
      <c r="A2483" t="str">
        <f>"20190312154559559"</f>
        <v>20190312154559559</v>
      </c>
      <c r="B2483" t="str">
        <f>"1552376759549374"</f>
        <v>1552376759549374</v>
      </c>
      <c r="C2483" t="s">
        <v>40</v>
      </c>
      <c r="D2483">
        <v>4.3869410000000002</v>
      </c>
      <c r="E2483">
        <v>0.33396720000000002</v>
      </c>
      <c r="F2483" t="s">
        <v>41</v>
      </c>
      <c r="G2483">
        <v>-485.71080000000001</v>
      </c>
      <c r="H2483">
        <v>0.97802880000000003</v>
      </c>
      <c r="I2483">
        <v>222.209</v>
      </c>
      <c r="J2483">
        <v>-486.44619999999998</v>
      </c>
      <c r="K2483">
        <v>1.1151819999999999</v>
      </c>
      <c r="L2483">
        <v>222.43389999999999</v>
      </c>
      <c r="M2483">
        <v>0.63957180000000002</v>
      </c>
      <c r="N2483">
        <v>0</v>
      </c>
      <c r="O2483">
        <v>-0.76859829999999996</v>
      </c>
      <c r="P2483">
        <v>0.65526960000000001</v>
      </c>
      <c r="Q2483">
        <v>1.246133E-2</v>
      </c>
      <c r="R2483">
        <v>-0.75529250000000003</v>
      </c>
      <c r="S2483">
        <v>3.075745</v>
      </c>
      <c r="T2483">
        <v>-0.48145369999999998</v>
      </c>
      <c r="U2483">
        <v>-1.3287659999999999</v>
      </c>
      <c r="V2483">
        <v>-2.0911699999999998E-2</v>
      </c>
      <c r="W2483">
        <v>2.65122E-2</v>
      </c>
      <c r="X2483">
        <v>0.99942980000000003</v>
      </c>
      <c r="Y2483">
        <v>-0.44209280000000001</v>
      </c>
      <c r="Z2483">
        <v>0.1309488</v>
      </c>
      <c r="AA2483">
        <v>0.88735919999999902</v>
      </c>
      <c r="AB2483">
        <v>20</v>
      </c>
      <c r="AC2483">
        <v>0.73539999999996997</v>
      </c>
      <c r="AD2483">
        <v>-0.137153199999999</v>
      </c>
      <c r="AE2483">
        <v>-0.224899999999991</v>
      </c>
      <c r="AF2483">
        <v>-0.40843899507200498</v>
      </c>
      <c r="AG2483">
        <v>-0.137153199999999</v>
      </c>
      <c r="AH2483">
        <v>0.62343448903488496</v>
      </c>
      <c r="AI2483">
        <v>100.42695525896499</v>
      </c>
      <c r="AJ2483">
        <v>123.23054822137399</v>
      </c>
      <c r="AK2483">
        <v>0.75782846019653904</v>
      </c>
      <c r="AL2483">
        <v>88.480784915691302</v>
      </c>
      <c r="AM2483">
        <v>91.198660825094706</v>
      </c>
      <c r="AN2483">
        <v>1.00000006053688</v>
      </c>
    </row>
    <row r="2484" spans="1:40" x14ac:dyDescent="0.25">
      <c r="A2484" t="str">
        <f>"20190312154559582"</f>
        <v>20190312154559582</v>
      </c>
      <c r="B2484" t="str">
        <f>"1552376759579631"</f>
        <v>1552376759579631</v>
      </c>
      <c r="C2484" t="s">
        <v>40</v>
      </c>
      <c r="D2484">
        <v>4.4668599999999996</v>
      </c>
      <c r="E2484">
        <v>0.3735482</v>
      </c>
      <c r="F2484" t="s">
        <v>53</v>
      </c>
      <c r="G2484">
        <v>-476.9864</v>
      </c>
      <c r="H2484" s="1">
        <v>3.0084400000000001E-6</v>
      </c>
      <c r="I2484">
        <v>218.0059</v>
      </c>
      <c r="J2484">
        <v>-486.30829999999997</v>
      </c>
      <c r="K2484">
        <v>1.115211</v>
      </c>
      <c r="L2484">
        <v>222.2861</v>
      </c>
      <c r="M2484">
        <v>0.64705000000000001</v>
      </c>
      <c r="N2484">
        <v>0</v>
      </c>
      <c r="O2484">
        <v>-0.76231329999999997</v>
      </c>
      <c r="P2484">
        <v>0.66174750000000004</v>
      </c>
      <c r="Q2484">
        <v>1.486879E-2</v>
      </c>
      <c r="R2484">
        <v>-0.74957959999999901</v>
      </c>
      <c r="S2484">
        <v>2.97818</v>
      </c>
      <c r="T2484">
        <v>-0.35108640000000002</v>
      </c>
      <c r="U2484">
        <v>-1.394028</v>
      </c>
      <c r="V2484">
        <v>-1.9811869999999999E-2</v>
      </c>
      <c r="W2484">
        <v>2.8933609999999998E-2</v>
      </c>
      <c r="X2484">
        <v>0.99938499999999997</v>
      </c>
      <c r="Y2484">
        <v>-0.4108832</v>
      </c>
      <c r="Z2484">
        <v>9.5869300000000005E-2</v>
      </c>
      <c r="AA2484">
        <v>0.90663340000000003</v>
      </c>
      <c r="AB2484">
        <v>20</v>
      </c>
      <c r="AC2484">
        <v>9.3218999999999692</v>
      </c>
      <c r="AD2484">
        <v>-1.1152079915599999</v>
      </c>
      <c r="AE2484">
        <v>-4.2801999999999998</v>
      </c>
      <c r="AF2484">
        <v>-4.2864821910225297</v>
      </c>
      <c r="AG2484">
        <v>-1.1152079915599999</v>
      </c>
      <c r="AH2484">
        <v>9.1869494985278308</v>
      </c>
      <c r="AI2484">
        <v>96.277608496311998</v>
      </c>
      <c r="AJ2484">
        <v>115.01299648749701</v>
      </c>
      <c r="AK2484">
        <v>10.198904819974199</v>
      </c>
      <c r="AL2484">
        <v>88.341994906813895</v>
      </c>
      <c r="AM2484">
        <v>91.135686317001202</v>
      </c>
      <c r="AN2484">
        <v>1.00000002110276</v>
      </c>
    </row>
    <row r="2485" spans="1:40" x14ac:dyDescent="0.25">
      <c r="A2485" t="str">
        <f>"20190312154559624"</f>
        <v>20190312154559624</v>
      </c>
      <c r="B2485" t="str">
        <f>"1552376759619646"</f>
        <v>1552376759619646</v>
      </c>
      <c r="C2485" t="s">
        <v>40</v>
      </c>
      <c r="D2485">
        <v>4.4495079999999998</v>
      </c>
      <c r="E2485">
        <v>0.37865739999999998</v>
      </c>
      <c r="F2485" t="s">
        <v>53</v>
      </c>
      <c r="G2485">
        <v>-474.55619999999999</v>
      </c>
      <c r="H2485" s="1">
        <v>3.9786259999999998E-6</v>
      </c>
      <c r="I2485">
        <v>215.54689999999999</v>
      </c>
      <c r="J2485">
        <v>-486.05220000000003</v>
      </c>
      <c r="K2485">
        <v>1.1152770000000001</v>
      </c>
      <c r="L2485">
        <v>222.01939999999999</v>
      </c>
      <c r="M2485">
        <v>0.66072909999999996</v>
      </c>
      <c r="N2485">
        <v>0</v>
      </c>
      <c r="O2485">
        <v>-0.75048789999999999</v>
      </c>
      <c r="P2485">
        <v>0.67213259999999997</v>
      </c>
      <c r="Q2485">
        <v>1.56945E-2</v>
      </c>
      <c r="R2485">
        <v>-0.7402647</v>
      </c>
      <c r="S2485">
        <v>2.7518310000000001</v>
      </c>
      <c r="T2485">
        <v>-0.26113380000000003</v>
      </c>
      <c r="U2485">
        <v>-1.5780179999999999</v>
      </c>
      <c r="V2485">
        <v>-1.5696350000000001E-2</v>
      </c>
      <c r="W2485">
        <v>2.9816329999999999E-2</v>
      </c>
      <c r="X2485">
        <v>0.99943210000000005</v>
      </c>
      <c r="Y2485">
        <v>-0.31958520000000001</v>
      </c>
      <c r="Z2485">
        <v>7.0541279999999998E-2</v>
      </c>
      <c r="AA2485">
        <v>0.9449282</v>
      </c>
      <c r="AB2485">
        <v>20</v>
      </c>
      <c r="AC2485">
        <v>11.496</v>
      </c>
      <c r="AD2485">
        <v>-1.1152730213740001</v>
      </c>
      <c r="AE2485">
        <v>-6.4724999999999904</v>
      </c>
      <c r="AF2485">
        <v>-4.3206091303022296</v>
      </c>
      <c r="AG2485">
        <v>-1.1152730213740001</v>
      </c>
      <c r="AH2485">
        <v>12.3661779058622</v>
      </c>
      <c r="AI2485">
        <v>94.866443861205198</v>
      </c>
      <c r="AJ2485">
        <v>109.25886372750401</v>
      </c>
      <c r="AK2485">
        <v>13.146628965955101</v>
      </c>
      <c r="AL2485">
        <v>88.291396829081606</v>
      </c>
      <c r="AM2485">
        <v>90.8997716580907</v>
      </c>
      <c r="AN2485">
        <v>0.99999995572419897</v>
      </c>
    </row>
    <row r="2486" spans="1:40" x14ac:dyDescent="0.25">
      <c r="A2486" t="str">
        <f>"20190312154559646"</f>
        <v>20190312154559646</v>
      </c>
      <c r="B2486" t="str">
        <f>"1552376759639675"</f>
        <v>1552376759639675</v>
      </c>
      <c r="C2486" t="s">
        <v>40</v>
      </c>
      <c r="D2486">
        <v>4.4179950000000003</v>
      </c>
      <c r="E2486">
        <v>0.38011729999999999</v>
      </c>
      <c r="F2486" t="s">
        <v>53</v>
      </c>
      <c r="G2486">
        <v>-474.0043</v>
      </c>
      <c r="H2486" s="1">
        <v>4.2059470000000001E-6</v>
      </c>
      <c r="I2486">
        <v>215.1482</v>
      </c>
      <c r="J2486">
        <v>-485.91399999999999</v>
      </c>
      <c r="K2486">
        <v>1.1153200000000001</v>
      </c>
      <c r="L2486">
        <v>221.87970000000001</v>
      </c>
      <c r="M2486">
        <v>0.6680104</v>
      </c>
      <c r="N2486">
        <v>0</v>
      </c>
      <c r="O2486">
        <v>-0.74401410000000001</v>
      </c>
      <c r="P2486">
        <v>0.67711969999999899</v>
      </c>
      <c r="Q2486">
        <v>1.6183300000000001E-2</v>
      </c>
      <c r="R2486">
        <v>-0.73569510000000005</v>
      </c>
      <c r="S2486">
        <v>2.7450559999999999</v>
      </c>
      <c r="T2486">
        <v>-0.25410880000000002</v>
      </c>
      <c r="U2486">
        <v>-1.5655669999999999</v>
      </c>
      <c r="V2486">
        <v>-1.2727550000000001E-2</v>
      </c>
      <c r="W2486">
        <v>3.0348710000000001E-2</v>
      </c>
      <c r="X2486">
        <v>0.99945830000000002</v>
      </c>
      <c r="Y2486">
        <v>-0.31272739999999999</v>
      </c>
      <c r="Z2486">
        <v>6.8291599999999994E-2</v>
      </c>
      <c r="AA2486">
        <v>0.94738469999999997</v>
      </c>
      <c r="AB2486">
        <v>20</v>
      </c>
      <c r="AC2486">
        <v>11.9096999999999</v>
      </c>
      <c r="AD2486">
        <v>-1.1153157940530001</v>
      </c>
      <c r="AE2486">
        <v>-6.7315000000000103</v>
      </c>
      <c r="AF2486">
        <v>-4.3359015971414898</v>
      </c>
      <c r="AG2486">
        <v>-1.1153157940530001</v>
      </c>
      <c r="AH2486">
        <v>12.879857552288801</v>
      </c>
      <c r="AI2486">
        <v>94.691651003088893</v>
      </c>
      <c r="AJ2486">
        <v>108.605396869003</v>
      </c>
      <c r="AK2486">
        <v>13.635787566099999</v>
      </c>
      <c r="AL2486">
        <v>88.260879903412899</v>
      </c>
      <c r="AM2486">
        <v>90.729590702582897</v>
      </c>
      <c r="AN2486">
        <v>0.99999996408327696</v>
      </c>
    </row>
    <row r="2487" spans="1:40" x14ac:dyDescent="0.25">
      <c r="A2487" t="str">
        <f>"20190312154559667"</f>
        <v>20190312154559667</v>
      </c>
      <c r="B2487" t="str">
        <f>"1552376759659195"</f>
        <v>1552376759659195</v>
      </c>
      <c r="C2487" t="s">
        <v>40</v>
      </c>
      <c r="D2487">
        <v>4.4240300000000001</v>
      </c>
      <c r="E2487">
        <v>0.38130609999999998</v>
      </c>
      <c r="F2487" t="s">
        <v>53</v>
      </c>
      <c r="G2487">
        <v>-473.541</v>
      </c>
      <c r="H2487" s="1">
        <v>4.3998050000000001E-6</v>
      </c>
      <c r="I2487">
        <v>214.8828</v>
      </c>
      <c r="J2487">
        <v>-485.77850000000001</v>
      </c>
      <c r="K2487">
        <v>1.1153569999999999</v>
      </c>
      <c r="L2487">
        <v>221.7457</v>
      </c>
      <c r="M2487">
        <v>0.67506319999999997</v>
      </c>
      <c r="N2487">
        <v>0</v>
      </c>
      <c r="O2487">
        <v>-0.73762050000000001</v>
      </c>
      <c r="P2487">
        <v>0.68132819999999905</v>
      </c>
      <c r="Q2487">
        <v>1.6753279999999999E-2</v>
      </c>
      <c r="R2487">
        <v>-0.73178639999999995</v>
      </c>
      <c r="S2487">
        <v>2.7480470000000001</v>
      </c>
      <c r="T2487">
        <v>-0.2477125</v>
      </c>
      <c r="U2487">
        <v>-1.5540309999999999</v>
      </c>
      <c r="V2487">
        <v>-8.9618500000000004E-3</v>
      </c>
      <c r="W2487">
        <v>3.0972599999999999E-2</v>
      </c>
      <c r="X2487">
        <v>0.99948009999999998</v>
      </c>
      <c r="Y2487">
        <v>-0.30728689999999997</v>
      </c>
      <c r="Z2487">
        <v>6.6078869999999998E-2</v>
      </c>
      <c r="AA2487">
        <v>0.94931989999999999</v>
      </c>
      <c r="AB2487">
        <v>20</v>
      </c>
      <c r="AC2487">
        <v>12.237500000000001</v>
      </c>
      <c r="AD2487">
        <v>-1.1153526001949901</v>
      </c>
      <c r="AE2487">
        <v>-6.86289999999999</v>
      </c>
      <c r="AF2487">
        <v>-4.3665972483478503</v>
      </c>
      <c r="AG2487">
        <v>-1.1153526001949901</v>
      </c>
      <c r="AH2487">
        <v>13.240996766070101</v>
      </c>
      <c r="AI2487">
        <v>94.573752773303397</v>
      </c>
      <c r="AJ2487">
        <v>108.25144916825199</v>
      </c>
      <c r="AK2487">
        <v>13.986964585324399</v>
      </c>
      <c r="AL2487">
        <v>88.225116964713095</v>
      </c>
      <c r="AM2487">
        <v>90.513729509388796</v>
      </c>
      <c r="AN2487">
        <v>1.0000000435010901</v>
      </c>
    </row>
    <row r="2488" spans="1:40" x14ac:dyDescent="0.25">
      <c r="A2488" t="str">
        <f>"20190312154559691"</f>
        <v>20190312154559691</v>
      </c>
      <c r="B2488" t="str">
        <f>"1552376759679691"</f>
        <v>1552376759679691</v>
      </c>
      <c r="C2488" t="s">
        <v>40</v>
      </c>
      <c r="D2488">
        <v>4.4122560000000002</v>
      </c>
      <c r="E2488">
        <v>0.38238329999999998</v>
      </c>
      <c r="F2488" t="s">
        <v>53</v>
      </c>
      <c r="G2488">
        <v>-473.2004</v>
      </c>
      <c r="H2488" s="1">
        <v>4.542326E-6</v>
      </c>
      <c r="I2488">
        <v>214.6884</v>
      </c>
      <c r="J2488">
        <v>-485.63420000000002</v>
      </c>
      <c r="K2488">
        <v>1.115394</v>
      </c>
      <c r="L2488">
        <v>221.60570000000001</v>
      </c>
      <c r="M2488">
        <v>0.68251700000000004</v>
      </c>
      <c r="N2488">
        <v>0</v>
      </c>
      <c r="O2488">
        <v>-0.73072899999999996</v>
      </c>
      <c r="P2488">
        <v>0.68581159999999997</v>
      </c>
      <c r="Q2488">
        <v>1.666639E-2</v>
      </c>
      <c r="R2488">
        <v>-0.72758869999999998</v>
      </c>
      <c r="S2488">
        <v>2.7512819999999998</v>
      </c>
      <c r="T2488">
        <v>-0.2439685</v>
      </c>
      <c r="U2488">
        <v>-1.5436859999999999</v>
      </c>
      <c r="V2488">
        <v>-4.9546310000000001E-3</v>
      </c>
      <c r="W2488">
        <v>3.0944010000000001E-2</v>
      </c>
      <c r="X2488">
        <v>0.99950890000000003</v>
      </c>
      <c r="Y2488">
        <v>-0.30091079999999998</v>
      </c>
      <c r="Z2488">
        <v>6.4509650000000002E-2</v>
      </c>
      <c r="AA2488">
        <v>0.95146790000000003</v>
      </c>
      <c r="AB2488">
        <v>20</v>
      </c>
      <c r="AC2488">
        <v>12.4338</v>
      </c>
      <c r="AD2488">
        <v>-1.115389457674</v>
      </c>
      <c r="AE2488">
        <v>-6.9173000000000098</v>
      </c>
      <c r="AF2488">
        <v>-4.3383520981598602</v>
      </c>
      <c r="AG2488">
        <v>-1.115389457674</v>
      </c>
      <c r="AH2488">
        <v>13.4596316731241</v>
      </c>
      <c r="AI2488">
        <v>94.509770930205093</v>
      </c>
      <c r="AJ2488">
        <v>107.865337424168</v>
      </c>
      <c r="AK2488">
        <v>14.1854530187112</v>
      </c>
      <c r="AL2488">
        <v>88.226755866948395</v>
      </c>
      <c r="AM2488">
        <v>90.284016600722495</v>
      </c>
      <c r="AN2488">
        <v>1.0000000606512101</v>
      </c>
    </row>
    <row r="2489" spans="1:40" x14ac:dyDescent="0.25">
      <c r="A2489" t="str">
        <f>"20190312154559712"</f>
        <v>20190312154559712</v>
      </c>
      <c r="B2489" t="str">
        <f>"1552376759708971"</f>
        <v>1552376759708971</v>
      </c>
      <c r="C2489" t="s">
        <v>40</v>
      </c>
      <c r="D2489">
        <v>4.417681</v>
      </c>
      <c r="E2489">
        <v>0.38413890000000001</v>
      </c>
      <c r="F2489" t="s">
        <v>53</v>
      </c>
      <c r="G2489">
        <v>-473.05189999999999</v>
      </c>
      <c r="H2489" s="1">
        <v>4.6046410000000004E-6</v>
      </c>
      <c r="I2489">
        <v>214.60730000000001</v>
      </c>
      <c r="J2489">
        <v>-485.49579999999997</v>
      </c>
      <c r="K2489">
        <v>1.1154309999999901</v>
      </c>
      <c r="L2489">
        <v>221.4742</v>
      </c>
      <c r="M2489">
        <v>0.68959999999999999</v>
      </c>
      <c r="N2489">
        <v>0</v>
      </c>
      <c r="O2489">
        <v>-0.72404849999999998</v>
      </c>
      <c r="P2489">
        <v>0.69039879999999998</v>
      </c>
      <c r="Q2489">
        <v>1.6611359999999999E-2</v>
      </c>
      <c r="R2489">
        <v>-0.72323870000000001</v>
      </c>
      <c r="S2489">
        <v>2.7547609999999998</v>
      </c>
      <c r="T2489">
        <v>-0.24420420000000001</v>
      </c>
      <c r="U2489">
        <v>-1.532227</v>
      </c>
      <c r="V2489">
        <v>-1.5430839999999999E-3</v>
      </c>
      <c r="W2489">
        <v>3.094162E-2</v>
      </c>
      <c r="X2489">
        <v>0.99951999999999996</v>
      </c>
      <c r="Y2489">
        <v>-0.2951705</v>
      </c>
      <c r="Z2489">
        <v>6.4028249999999995E-2</v>
      </c>
      <c r="AA2489">
        <v>0.95329680000000006</v>
      </c>
      <c r="AB2489">
        <v>20</v>
      </c>
      <c r="AC2489">
        <v>12.4438999999999</v>
      </c>
      <c r="AD2489">
        <v>-1.11542639535899</v>
      </c>
      <c r="AE2489">
        <v>-6.8668999999999798</v>
      </c>
      <c r="AF2489">
        <v>-4.2488432004258403</v>
      </c>
      <c r="AG2489">
        <v>-1.11542639535899</v>
      </c>
      <c r="AH2489">
        <v>13.471701599705099</v>
      </c>
      <c r="AI2489">
        <v>94.514908896501694</v>
      </c>
      <c r="AJ2489">
        <v>107.50476583680999</v>
      </c>
      <c r="AK2489">
        <v>14.1698125808624</v>
      </c>
      <c r="AL2489">
        <v>88.2268927577624</v>
      </c>
      <c r="AM2489">
        <v>90.088454588596306</v>
      </c>
      <c r="AN2489">
        <v>0.999999997678227</v>
      </c>
    </row>
    <row r="2490" spans="1:40" x14ac:dyDescent="0.25">
      <c r="A2490" t="str">
        <f>"20190312154559736"</f>
        <v>20190312154559736</v>
      </c>
      <c r="B2490" t="str">
        <f>"1552376759729467"</f>
        <v>1552376759729467</v>
      </c>
      <c r="C2490" t="s">
        <v>40</v>
      </c>
      <c r="D2490">
        <v>4.4079899999999999</v>
      </c>
      <c r="E2490">
        <v>0.38463639999999999</v>
      </c>
      <c r="F2490" t="s">
        <v>53</v>
      </c>
      <c r="G2490">
        <v>-473.11720000000003</v>
      </c>
      <c r="H2490" s="1">
        <v>4.5762789999999998E-6</v>
      </c>
      <c r="I2490">
        <v>214.62010000000001</v>
      </c>
      <c r="J2490">
        <v>-485.34809999999999</v>
      </c>
      <c r="K2490">
        <v>1.1154710000000001</v>
      </c>
      <c r="L2490">
        <v>221.33680000000001</v>
      </c>
      <c r="M2490">
        <v>0.69709299999999996</v>
      </c>
      <c r="N2490">
        <v>0</v>
      </c>
      <c r="O2490">
        <v>-0.7168369</v>
      </c>
      <c r="P2490">
        <v>0.6960925</v>
      </c>
      <c r="Q2490">
        <v>1.6279579999999998E-2</v>
      </c>
      <c r="R2490">
        <v>-0.71776759999999995</v>
      </c>
      <c r="S2490">
        <v>2.753876</v>
      </c>
      <c r="T2490">
        <v>-0.24814900000000001</v>
      </c>
      <c r="U2490">
        <v>-1.5248409999999999</v>
      </c>
      <c r="V2490">
        <v>9.6092620000000004E-4</v>
      </c>
      <c r="W2490">
        <v>3.065375E-2</v>
      </c>
      <c r="X2490">
        <v>0.99952960000000002</v>
      </c>
      <c r="Y2490">
        <v>-0.28699799999999998</v>
      </c>
      <c r="Z2490">
        <v>6.4430689999999999E-2</v>
      </c>
      <c r="AA2490">
        <v>0.95576190000000005</v>
      </c>
      <c r="AB2490">
        <v>20</v>
      </c>
      <c r="AC2490">
        <v>12.230899999999901</v>
      </c>
      <c r="AD2490">
        <v>-1.1154664237209999</v>
      </c>
      <c r="AE2490">
        <v>-6.7167000000000003</v>
      </c>
      <c r="AF2490">
        <v>-4.0598730207913203</v>
      </c>
      <c r="AG2490">
        <v>-1.1154664237209999</v>
      </c>
      <c r="AH2490">
        <v>13.257508304256501</v>
      </c>
      <c r="AI2490">
        <v>94.599581123893302</v>
      </c>
      <c r="AJ2490">
        <v>107.026263402982</v>
      </c>
      <c r="AK2490">
        <v>13.910009371845399</v>
      </c>
      <c r="AL2490">
        <v>88.243394323091096</v>
      </c>
      <c r="AM2490">
        <v>89.944917090277798</v>
      </c>
      <c r="AN2490">
        <v>0.99999999852219201</v>
      </c>
    </row>
    <row r="2491" spans="1:40" x14ac:dyDescent="0.25">
      <c r="A2491" t="str">
        <f>"20190312154559784"</f>
        <v>20190312154559784</v>
      </c>
      <c r="B2491" t="str">
        <f>"1552376759779244"</f>
        <v>1552376759779244</v>
      </c>
      <c r="C2491" t="s">
        <v>40</v>
      </c>
      <c r="D2491">
        <v>4.3995309999999996</v>
      </c>
      <c r="E2491">
        <v>0.39561869999999999</v>
      </c>
      <c r="F2491" t="s">
        <v>53</v>
      </c>
      <c r="G2491">
        <v>-472.9778</v>
      </c>
      <c r="H2491" s="1">
        <v>4.6369130000000002E-6</v>
      </c>
      <c r="I2491">
        <v>214.59379999999999</v>
      </c>
      <c r="J2491">
        <v>-485.04430000000002</v>
      </c>
      <c r="K2491">
        <v>1.115553</v>
      </c>
      <c r="L2491">
        <v>221.0634</v>
      </c>
      <c r="M2491">
        <v>0.71222669999999999</v>
      </c>
      <c r="N2491">
        <v>0</v>
      </c>
      <c r="O2491">
        <v>-0.70180240000000005</v>
      </c>
      <c r="P2491">
        <v>0.70898409999999901</v>
      </c>
      <c r="Q2491">
        <v>1.536099E-2</v>
      </c>
      <c r="R2491">
        <v>-0.70505739999999995</v>
      </c>
      <c r="S2491">
        <v>2.762756</v>
      </c>
      <c r="T2491">
        <v>-0.2491275</v>
      </c>
      <c r="U2491">
        <v>-1.5059659999999999</v>
      </c>
      <c r="V2491">
        <v>4.1957089999999997E-3</v>
      </c>
      <c r="W2491">
        <v>2.979917E-2</v>
      </c>
      <c r="X2491">
        <v>0.99954710000000002</v>
      </c>
      <c r="Y2491">
        <v>-0.27290300000000001</v>
      </c>
      <c r="Z2491">
        <v>6.3277689999999998E-2</v>
      </c>
      <c r="AA2491">
        <v>0.95995830000000004</v>
      </c>
      <c r="AB2491">
        <v>20</v>
      </c>
      <c r="AC2491">
        <v>12.0665</v>
      </c>
      <c r="AD2491">
        <v>-1.115548363087</v>
      </c>
      <c r="AE2491">
        <v>-6.4696000000000096</v>
      </c>
      <c r="AF2491">
        <v>-3.8354136806353201</v>
      </c>
      <c r="AG2491">
        <v>-1.115548363087</v>
      </c>
      <c r="AH2491">
        <v>13.049192260541099</v>
      </c>
      <c r="AI2491">
        <v>94.688822200567898</v>
      </c>
      <c r="AJ2491">
        <v>106.379097215231</v>
      </c>
      <c r="AK2491">
        <v>13.646840839716599</v>
      </c>
      <c r="AL2491">
        <v>88.292380537086899</v>
      </c>
      <c r="AM2491">
        <v>89.759496069912799</v>
      </c>
      <c r="AN2491">
        <v>0.99999999981255505</v>
      </c>
    </row>
    <row r="2492" spans="1:40" x14ac:dyDescent="0.25">
      <c r="A2492" t="str">
        <f>"20190312154559803"</f>
        <v>20190312154559803</v>
      </c>
      <c r="B2492" t="str">
        <f>"1552376759799739"</f>
        <v>1552376759799739</v>
      </c>
      <c r="C2492" t="s">
        <v>40</v>
      </c>
      <c r="D2492">
        <v>4.3850519999999999</v>
      </c>
      <c r="E2492">
        <v>0.39628429999999998</v>
      </c>
      <c r="F2492" t="s">
        <v>53</v>
      </c>
      <c r="G2492">
        <v>-473.53309999999999</v>
      </c>
      <c r="H2492" s="1">
        <v>4.3936639999999998E-6</v>
      </c>
      <c r="I2492">
        <v>214.66239999999999</v>
      </c>
      <c r="J2492">
        <v>-484.91329999999999</v>
      </c>
      <c r="K2492">
        <v>1.115569</v>
      </c>
      <c r="L2492">
        <v>220.94929999999999</v>
      </c>
      <c r="M2492">
        <v>0.71863169999999899</v>
      </c>
      <c r="N2492">
        <v>0</v>
      </c>
      <c r="O2492">
        <v>-0.69524219999999903</v>
      </c>
      <c r="P2492">
        <v>0.71537890000000004</v>
      </c>
      <c r="Q2492">
        <v>1.600884E-2</v>
      </c>
      <c r="R2492">
        <v>-0.69855369999999894</v>
      </c>
      <c r="S2492">
        <v>2.7283629999999999</v>
      </c>
      <c r="T2492">
        <v>-0.2644049</v>
      </c>
      <c r="U2492">
        <v>-1.5171509999999999</v>
      </c>
      <c r="V2492">
        <v>4.2328690000000002E-3</v>
      </c>
      <c r="W2492">
        <v>3.045405E-2</v>
      </c>
      <c r="X2492">
        <v>0.99952719999999995</v>
      </c>
      <c r="Y2492">
        <v>-0.25566699999999998</v>
      </c>
      <c r="Z2492">
        <v>6.6637689999999999E-2</v>
      </c>
      <c r="AA2492">
        <v>0.96446560000000003</v>
      </c>
      <c r="AB2492">
        <v>20</v>
      </c>
      <c r="AC2492">
        <v>11.3802</v>
      </c>
      <c r="AD2492">
        <v>-1.1155646063360001</v>
      </c>
      <c r="AE2492">
        <v>-6.2869000000000002</v>
      </c>
      <c r="AF2492">
        <v>-3.36957268145499</v>
      </c>
      <c r="AG2492">
        <v>-1.1155646063360001</v>
      </c>
      <c r="AH2492">
        <v>12.4586634259466</v>
      </c>
      <c r="AI2492">
        <v>94.9401243079907</v>
      </c>
      <c r="AJ2492">
        <v>105.134148548124</v>
      </c>
      <c r="AK2492">
        <v>12.954412329686701</v>
      </c>
      <c r="AL2492">
        <v>88.254841628557401</v>
      </c>
      <c r="AM2492">
        <v>89.757361201256998</v>
      </c>
      <c r="AN2492">
        <v>0.99999999494060599</v>
      </c>
    </row>
    <row r="2493" spans="1:40" x14ac:dyDescent="0.25">
      <c r="A2493" t="str">
        <f>"20190312154559825"</f>
        <v>20190312154559825</v>
      </c>
      <c r="B2493" t="str">
        <f>"1552376759819259"</f>
        <v>1552376759819259</v>
      </c>
      <c r="C2493" t="s">
        <v>40</v>
      </c>
      <c r="D2493">
        <v>4.3899929999999996</v>
      </c>
      <c r="E2493">
        <v>0.39698670000000003</v>
      </c>
      <c r="F2493" t="s">
        <v>53</v>
      </c>
      <c r="G2493">
        <v>-473.19779999999997</v>
      </c>
      <c r="H2493" s="1">
        <v>4.5372969999999999E-6</v>
      </c>
      <c r="I2493">
        <v>214.547</v>
      </c>
      <c r="J2493">
        <v>-484.77350000000001</v>
      </c>
      <c r="K2493">
        <v>1.115585</v>
      </c>
      <c r="L2493">
        <v>220.83</v>
      </c>
      <c r="M2493">
        <v>0.72538519999999995</v>
      </c>
      <c r="N2493">
        <v>0</v>
      </c>
      <c r="O2493">
        <v>-0.68819280000000005</v>
      </c>
      <c r="P2493">
        <v>0.72233429999999998</v>
      </c>
      <c r="Q2493">
        <v>1.6215980000000001E-2</v>
      </c>
      <c r="R2493">
        <v>-0.69135449999999998</v>
      </c>
      <c r="S2493">
        <v>2.7382200000000001</v>
      </c>
      <c r="T2493">
        <v>-0.2607372</v>
      </c>
      <c r="U2493">
        <v>-1.496399</v>
      </c>
      <c r="V2493">
        <v>3.9807489999999996E-3</v>
      </c>
      <c r="W2493">
        <v>3.0664710000000001E-2</v>
      </c>
      <c r="X2493">
        <v>0.99952180000000002</v>
      </c>
      <c r="Y2493">
        <v>-0.253415</v>
      </c>
      <c r="Z2493">
        <v>6.5161800000000006E-2</v>
      </c>
      <c r="AA2493">
        <v>0.96516049999999998</v>
      </c>
      <c r="AB2493">
        <v>20</v>
      </c>
      <c r="AC2493">
        <v>11.575699999999999</v>
      </c>
      <c r="AD2493">
        <v>-1.1155804627029999</v>
      </c>
      <c r="AE2493">
        <v>-6.2830000000000101</v>
      </c>
      <c r="AF2493">
        <v>-3.38478805104661</v>
      </c>
      <c r="AG2493">
        <v>-1.1155804627029999</v>
      </c>
      <c r="AH2493">
        <v>12.631453636061201</v>
      </c>
      <c r="AI2493">
        <v>94.875981458074904</v>
      </c>
      <c r="AJ2493">
        <v>105.00084747663</v>
      </c>
      <c r="AK2493">
        <v>13.124592598600399</v>
      </c>
      <c r="AL2493">
        <v>88.242766068138295</v>
      </c>
      <c r="AM2493">
        <v>89.7718119693711</v>
      </c>
      <c r="AN2493">
        <v>0.99999999973861198</v>
      </c>
    </row>
    <row r="2494" spans="1:40" x14ac:dyDescent="0.25">
      <c r="A2494" t="str">
        <f>"20190312154559848"</f>
        <v>20190312154559848</v>
      </c>
      <c r="B2494" t="str">
        <f>"1552376759839755"</f>
        <v>1552376759839755</v>
      </c>
      <c r="C2494" t="s">
        <v>40</v>
      </c>
      <c r="D2494">
        <v>4.3878750000000002</v>
      </c>
      <c r="E2494">
        <v>0.39783279999999999</v>
      </c>
      <c r="F2494" t="s">
        <v>53</v>
      </c>
      <c r="G2494">
        <v>-472.60149999999999</v>
      </c>
      <c r="H2494" s="1">
        <v>4.7913409999999998E-6</v>
      </c>
      <c r="I2494">
        <v>214.30840000000001</v>
      </c>
      <c r="J2494">
        <v>-484.61840000000001</v>
      </c>
      <c r="K2494">
        <v>1.1155999999999999</v>
      </c>
      <c r="L2494">
        <v>220.70060000000001</v>
      </c>
      <c r="M2494">
        <v>0.73278049999999995</v>
      </c>
      <c r="N2494">
        <v>0</v>
      </c>
      <c r="O2494">
        <v>-0.68031280000000005</v>
      </c>
      <c r="P2494">
        <v>0.72996219999999901</v>
      </c>
      <c r="Q2494">
        <v>1.6588329999999998E-2</v>
      </c>
      <c r="R2494">
        <v>-0.68328669999999903</v>
      </c>
      <c r="S2494">
        <v>2.7490839999999999</v>
      </c>
      <c r="T2494">
        <v>-0.25195659999999998</v>
      </c>
      <c r="U2494">
        <v>-1.4729159999999999</v>
      </c>
      <c r="V2494">
        <v>3.6782080000000001E-3</v>
      </c>
      <c r="W2494">
        <v>3.1040749999999999E-2</v>
      </c>
      <c r="X2494">
        <v>0.99951140000000005</v>
      </c>
      <c r="Y2494">
        <v>-0.25115169999999998</v>
      </c>
      <c r="Z2494">
        <v>6.238233E-2</v>
      </c>
      <c r="AA2494">
        <v>0.96593549999999995</v>
      </c>
      <c r="AB2494">
        <v>20</v>
      </c>
      <c r="AC2494">
        <v>12.0169</v>
      </c>
      <c r="AD2494">
        <v>-1.115595208659</v>
      </c>
      <c r="AE2494">
        <v>-6.3921999999999999</v>
      </c>
      <c r="AF2494">
        <v>-3.4682347895010199</v>
      </c>
      <c r="AG2494">
        <v>-1.115595208659</v>
      </c>
      <c r="AH2494">
        <v>13.068022313271999</v>
      </c>
      <c r="AI2494">
        <v>94.716895717156405</v>
      </c>
      <c r="AJ2494">
        <v>104.863564327825</v>
      </c>
      <c r="AK2494">
        <v>13.5663706423222</v>
      </c>
      <c r="AL2494">
        <v>88.221210387232404</v>
      </c>
      <c r="AM2494">
        <v>89.789152136492604</v>
      </c>
      <c r="AN2494">
        <v>1.0000000480522999</v>
      </c>
    </row>
    <row r="2495" spans="1:40" x14ac:dyDescent="0.25">
      <c r="A2495" t="str">
        <f>"20190312154559869"</f>
        <v>20190312154559869</v>
      </c>
      <c r="B2495" t="str">
        <f>"1552376759859275"</f>
        <v>1552376759859275</v>
      </c>
      <c r="C2495" t="s">
        <v>40</v>
      </c>
      <c r="D2495">
        <v>4.450285</v>
      </c>
      <c r="E2495">
        <v>0.39725120000000003</v>
      </c>
      <c r="F2495" t="s">
        <v>53</v>
      </c>
      <c r="G2495">
        <v>-472.1438</v>
      </c>
      <c r="H2495" s="1">
        <v>4.9879140000000001E-6</v>
      </c>
      <c r="I2495">
        <v>214.1626</v>
      </c>
      <c r="J2495">
        <v>-484.48289999999997</v>
      </c>
      <c r="K2495">
        <v>1.1156109999999999</v>
      </c>
      <c r="L2495">
        <v>220.5898</v>
      </c>
      <c r="M2495">
        <v>0.73914769999999996</v>
      </c>
      <c r="N2495">
        <v>0</v>
      </c>
      <c r="O2495">
        <v>-0.67338909999999996</v>
      </c>
      <c r="P2495">
        <v>0.73664859999999999</v>
      </c>
      <c r="Q2495">
        <v>1.7215790000000002E-2</v>
      </c>
      <c r="R2495">
        <v>-0.6760564</v>
      </c>
      <c r="S2495">
        <v>2.7609859999999999</v>
      </c>
      <c r="T2495">
        <v>-0.24691340000000001</v>
      </c>
      <c r="U2495">
        <v>-1.4470369999999999</v>
      </c>
      <c r="V2495">
        <v>3.2269349999999998E-3</v>
      </c>
      <c r="W2495">
        <v>3.1668920000000003E-2</v>
      </c>
      <c r="X2495">
        <v>0.99949319999999997</v>
      </c>
      <c r="Y2495">
        <v>-0.25097329999999901</v>
      </c>
      <c r="Z2495">
        <v>6.0682729999999997E-2</v>
      </c>
      <c r="AA2495">
        <v>0.96609009999999995</v>
      </c>
      <c r="AB2495">
        <v>20</v>
      </c>
      <c r="AC2495">
        <v>12.339099999999901</v>
      </c>
      <c r="AD2495">
        <v>-1.1156060120860001</v>
      </c>
      <c r="AE2495">
        <v>-6.4271999999999903</v>
      </c>
      <c r="AF2495">
        <v>-3.5359991642925301</v>
      </c>
      <c r="AG2495">
        <v>-1.1156060120860001</v>
      </c>
      <c r="AH2495">
        <v>13.363893450889501</v>
      </c>
      <c r="AI2495">
        <v>94.613881534717507</v>
      </c>
      <c r="AJ2495">
        <v>104.820461691771</v>
      </c>
      <c r="AK2495">
        <v>13.8687243476394</v>
      </c>
      <c r="AL2495">
        <v>88.185201097515204</v>
      </c>
      <c r="AM2495">
        <v>89.815017136827905</v>
      </c>
      <c r="AN2495">
        <v>0.99999999522484995</v>
      </c>
    </row>
    <row r="2496" spans="1:40" x14ac:dyDescent="0.25">
      <c r="A2496" t="str">
        <f>"20190312154559891"</f>
        <v>20190312154559891</v>
      </c>
      <c r="B2496" t="str">
        <f>"1552376759889531"</f>
        <v>1552376759889531</v>
      </c>
      <c r="C2496" t="s">
        <v>40</v>
      </c>
      <c r="D2496">
        <v>4.2829249999999996</v>
      </c>
      <c r="E2496">
        <v>0.35273149999999998</v>
      </c>
      <c r="F2496" t="s">
        <v>53</v>
      </c>
      <c r="G2496">
        <v>-471.90440000000001</v>
      </c>
      <c r="H2496" s="1">
        <v>5.0948669999999999E-6</v>
      </c>
      <c r="I2496">
        <v>214.18039999999999</v>
      </c>
      <c r="J2496">
        <v>-484.32569999999998</v>
      </c>
      <c r="K2496">
        <v>1.115615</v>
      </c>
      <c r="L2496">
        <v>220.4641</v>
      </c>
      <c r="M2496">
        <v>0.74642529999999996</v>
      </c>
      <c r="N2496">
        <v>0</v>
      </c>
      <c r="O2496">
        <v>-0.66531300000000004</v>
      </c>
      <c r="P2496">
        <v>0.74439180000000005</v>
      </c>
      <c r="Q2496">
        <v>1.8315910000000001E-2</v>
      </c>
      <c r="R2496">
        <v>-0.66749199999999997</v>
      </c>
      <c r="S2496">
        <v>2.778778</v>
      </c>
      <c r="T2496">
        <v>-0.24645349999999999</v>
      </c>
      <c r="U2496">
        <v>-1.4159389999999901</v>
      </c>
      <c r="V2496">
        <v>2.5362190000000001E-3</v>
      </c>
      <c r="W2496">
        <v>3.2766030000000002E-2</v>
      </c>
      <c r="X2496">
        <v>0.99945980000000001</v>
      </c>
      <c r="Y2496">
        <v>-0.25157360000000001</v>
      </c>
      <c r="Z2496">
        <v>5.9996519999999998E-2</v>
      </c>
      <c r="AA2496">
        <v>0.96597679999999997</v>
      </c>
      <c r="AB2496">
        <v>20</v>
      </c>
      <c r="AC2496">
        <v>12.421299999999899</v>
      </c>
      <c r="AD2496">
        <v>-1.115609905133</v>
      </c>
      <c r="AE2496">
        <v>-6.2836999999999996</v>
      </c>
      <c r="AF2496">
        <v>-3.5513016253190899</v>
      </c>
      <c r="AG2496">
        <v>-1.115609905133</v>
      </c>
      <c r="AH2496">
        <v>13.3677388879458</v>
      </c>
      <c r="AI2496">
        <v>94.611360456145107</v>
      </c>
      <c r="AJ2496">
        <v>104.877667721612</v>
      </c>
      <c r="AK2496">
        <v>13.876338554198</v>
      </c>
      <c r="AL2496">
        <v>88.122308622572803</v>
      </c>
      <c r="AM2496">
        <v>89.854607126058596</v>
      </c>
      <c r="AN2496">
        <v>0.99999996847240802</v>
      </c>
    </row>
    <row r="2497" spans="1:40" x14ac:dyDescent="0.25">
      <c r="A2497" t="str">
        <f>"20190312154559913"</f>
        <v>20190312154559913</v>
      </c>
      <c r="B2497" t="str">
        <f>"1552376759909051"</f>
        <v>1552376759909051</v>
      </c>
      <c r="C2497" t="s">
        <v>40</v>
      </c>
      <c r="D2497">
        <v>4.2718619999999996</v>
      </c>
      <c r="E2497">
        <v>0.34188229999999997</v>
      </c>
      <c r="F2497" t="s">
        <v>53</v>
      </c>
      <c r="G2497">
        <v>-470.75810000000001</v>
      </c>
      <c r="H2497" s="1">
        <v>5.6589610000000003E-6</v>
      </c>
      <c r="I2497">
        <v>215.45599999999999</v>
      </c>
      <c r="J2497">
        <v>-484.17790000000002</v>
      </c>
      <c r="K2497">
        <v>1.1156170000000001</v>
      </c>
      <c r="L2497">
        <v>220.3484</v>
      </c>
      <c r="M2497">
        <v>0.75316470000000002</v>
      </c>
      <c r="N2497">
        <v>0</v>
      </c>
      <c r="O2497">
        <v>-0.65767390000000003</v>
      </c>
      <c r="P2497">
        <v>0.75124380000000002</v>
      </c>
      <c r="Q2497">
        <v>1.8286340000000002E-2</v>
      </c>
      <c r="R2497">
        <v>-0.65977149999999996</v>
      </c>
      <c r="S2497">
        <v>3.0325319999999998</v>
      </c>
      <c r="T2497">
        <v>-0.2493522</v>
      </c>
      <c r="U2497">
        <v>-1.119354</v>
      </c>
      <c r="V2497">
        <v>2.3998259999999999E-3</v>
      </c>
      <c r="W2497">
        <v>3.2739810000000001E-2</v>
      </c>
      <c r="X2497">
        <v>0.99946109999999999</v>
      </c>
      <c r="Y2497">
        <v>-0.35364449999999997</v>
      </c>
      <c r="Z2497">
        <v>6.123874E-2</v>
      </c>
      <c r="AA2497">
        <v>0.93337320000000001</v>
      </c>
      <c r="AB2497">
        <v>20</v>
      </c>
      <c r="AC2497">
        <v>13.4198</v>
      </c>
      <c r="AD2497">
        <v>-1.1156113410390001</v>
      </c>
      <c r="AE2497">
        <v>-4.8924000000000003</v>
      </c>
      <c r="AF2497">
        <v>-5.1104296370189299</v>
      </c>
      <c r="AG2497">
        <v>-1.1156113410390001</v>
      </c>
      <c r="AH2497">
        <v>13.245509956250499</v>
      </c>
      <c r="AI2497">
        <v>94.493056119176401</v>
      </c>
      <c r="AJ2497">
        <v>111.09778878426999</v>
      </c>
      <c r="AK2497">
        <v>14.2409484845746</v>
      </c>
      <c r="AL2497">
        <v>88.123811919402698</v>
      </c>
      <c r="AM2497">
        <v>89.862426224371802</v>
      </c>
      <c r="AN2497">
        <v>1.0000000723684299</v>
      </c>
    </row>
    <row r="2498" spans="1:40" x14ac:dyDescent="0.25">
      <c r="A2498" t="str">
        <f>"20190312154559937"</f>
        <v>20190312154559937</v>
      </c>
      <c r="B2498" t="str">
        <f>"1552376759929548"</f>
        <v>1552376759929548</v>
      </c>
      <c r="C2498" t="s">
        <v>40</v>
      </c>
      <c r="D2498">
        <v>4.3903689999999997</v>
      </c>
      <c r="E2498">
        <v>0.3372464</v>
      </c>
      <c r="F2498" t="s">
        <v>54</v>
      </c>
      <c r="G2498">
        <v>-469.04329999999999</v>
      </c>
      <c r="H2498" s="1">
        <v>3.2435890000000001E-6</v>
      </c>
      <c r="I2498">
        <v>215.34909999999999</v>
      </c>
      <c r="J2498">
        <v>-484.01670000000001</v>
      </c>
      <c r="K2498">
        <v>1.115626</v>
      </c>
      <c r="L2498">
        <v>220.22499999999999</v>
      </c>
      <c r="M2498">
        <v>0.76039909999999999</v>
      </c>
      <c r="N2498">
        <v>0</v>
      </c>
      <c r="O2498">
        <v>-0.64929590000000004</v>
      </c>
      <c r="P2498">
        <v>0.75865280000000002</v>
      </c>
      <c r="Q2498">
        <v>1.7351459999999999E-2</v>
      </c>
      <c r="R2498">
        <v>-0.65126410000000001</v>
      </c>
      <c r="S2498">
        <v>3.0997309999999998</v>
      </c>
      <c r="T2498">
        <v>-0.2284901</v>
      </c>
      <c r="U2498">
        <v>-1.023911</v>
      </c>
      <c r="V2498">
        <v>2.199407E-3</v>
      </c>
      <c r="W2498">
        <v>3.180761E-2</v>
      </c>
      <c r="X2498">
        <v>0.99949160000000004</v>
      </c>
      <c r="Y2498">
        <v>-0.37589400000000001</v>
      </c>
      <c r="Z2498">
        <v>5.5751090000000003E-2</v>
      </c>
      <c r="AA2498">
        <v>0.92498400000000003</v>
      </c>
      <c r="AB2498">
        <v>20</v>
      </c>
      <c r="AC2498">
        <v>14.9734</v>
      </c>
      <c r="AD2498">
        <v>-1.1156227564109999</v>
      </c>
      <c r="AE2498">
        <v>-4.8758999999999997</v>
      </c>
      <c r="AF2498">
        <v>-5.9851232515046897</v>
      </c>
      <c r="AG2498">
        <v>-1.1156227564109999</v>
      </c>
      <c r="AH2498">
        <v>14.4804970752397</v>
      </c>
      <c r="AI2498">
        <v>94.072641794193501</v>
      </c>
      <c r="AJ2498">
        <v>112.456435896523</v>
      </c>
      <c r="AK2498">
        <v>15.708313404575</v>
      </c>
      <c r="AL2498">
        <v>88.177250767398107</v>
      </c>
      <c r="AM2498">
        <v>89.873919365477406</v>
      </c>
      <c r="AN2498">
        <v>1.0000000099578099</v>
      </c>
    </row>
    <row r="2499" spans="1:40" x14ac:dyDescent="0.25">
      <c r="A2499" t="str">
        <f>"20190312154559961"</f>
        <v>20190312154559961</v>
      </c>
      <c r="B2499" t="str">
        <f>"1552376759949067"</f>
        <v>1552376759949067</v>
      </c>
      <c r="C2499" t="s">
        <v>40</v>
      </c>
      <c r="D2499">
        <v>4.1503759999999996</v>
      </c>
      <c r="E2499">
        <v>0.33653670000000002</v>
      </c>
      <c r="F2499" t="s">
        <v>54</v>
      </c>
      <c r="G2499">
        <v>-469.51889999999997</v>
      </c>
      <c r="H2499" s="1">
        <v>3.4775939999999998E-6</v>
      </c>
      <c r="I2499">
        <v>215.78469999999999</v>
      </c>
      <c r="J2499">
        <v>-483.85640000000001</v>
      </c>
      <c r="K2499">
        <v>1.1156280000000001</v>
      </c>
      <c r="L2499">
        <v>220.10509999999999</v>
      </c>
      <c r="M2499">
        <v>0.76747690000000002</v>
      </c>
      <c r="N2499">
        <v>0</v>
      </c>
      <c r="O2499">
        <v>-0.64091430000000005</v>
      </c>
      <c r="P2499">
        <v>0.7658933</v>
      </c>
      <c r="Q2499">
        <v>1.6743060000000001E-2</v>
      </c>
      <c r="R2499">
        <v>-0.64274969999999998</v>
      </c>
      <c r="S2499">
        <v>3.1355590000000002</v>
      </c>
      <c r="T2499">
        <v>-0.24128369999999999</v>
      </c>
      <c r="U2499">
        <v>-0.96032709999999999</v>
      </c>
      <c r="V2499">
        <v>2.000136E-3</v>
      </c>
      <c r="W2499">
        <v>3.1202319999999999E-2</v>
      </c>
      <c r="X2499">
        <v>0.99951109999999999</v>
      </c>
      <c r="Y2499">
        <v>-0.38568029999999998</v>
      </c>
      <c r="Z2499">
        <v>5.8393920000000002E-2</v>
      </c>
      <c r="AA2499">
        <v>0.92078269999999995</v>
      </c>
      <c r="AB2499">
        <v>20</v>
      </c>
      <c r="AC2499">
        <v>14.3375</v>
      </c>
      <c r="AD2499">
        <v>-1.115624522406</v>
      </c>
      <c r="AE2499">
        <v>-4.3204000000000002</v>
      </c>
      <c r="AF2499">
        <v>-5.8414887110594798</v>
      </c>
      <c r="AG2499">
        <v>-1.115624522406</v>
      </c>
      <c r="AH2499">
        <v>13.6981060311837</v>
      </c>
      <c r="AI2499">
        <v>94.284375119873303</v>
      </c>
      <c r="AJ2499">
        <v>113.095581015801</v>
      </c>
      <c r="AK2499">
        <v>14.9333759504668</v>
      </c>
      <c r="AL2499">
        <v>88.211948558064293</v>
      </c>
      <c r="AM2499">
        <v>89.885344746763593</v>
      </c>
      <c r="AN2499">
        <v>1.0000000121703001</v>
      </c>
    </row>
    <row r="2500" spans="1:40" x14ac:dyDescent="0.25">
      <c r="A2500" t="str">
        <f>"20190312154559985"</f>
        <v>20190312154559985</v>
      </c>
      <c r="B2500" t="str">
        <f>"1552376759979322"</f>
        <v>1552376759979322</v>
      </c>
      <c r="C2500" t="s">
        <v>40</v>
      </c>
      <c r="D2500">
        <v>4.192482</v>
      </c>
      <c r="E2500">
        <v>0.33656839999999999</v>
      </c>
      <c r="F2500" t="s">
        <v>54</v>
      </c>
      <c r="G2500">
        <v>-469.5308</v>
      </c>
      <c r="H2500" s="1">
        <v>3.4781889999999999E-6</v>
      </c>
      <c r="I2500">
        <v>215.9169</v>
      </c>
      <c r="J2500">
        <v>-483.69749999999999</v>
      </c>
      <c r="K2500">
        <v>1.1156280000000001</v>
      </c>
      <c r="L2500">
        <v>219.989</v>
      </c>
      <c r="M2500">
        <v>0.77437619999999996</v>
      </c>
      <c r="N2500">
        <v>0</v>
      </c>
      <c r="O2500">
        <v>-0.63256080000000003</v>
      </c>
      <c r="P2500">
        <v>0.77319629999999995</v>
      </c>
      <c r="Q2500">
        <v>1.6887320000000001E-2</v>
      </c>
      <c r="R2500">
        <v>-0.63394240000000002</v>
      </c>
      <c r="S2500">
        <v>3.1496279999999999</v>
      </c>
      <c r="T2500">
        <v>-0.24528179999999999</v>
      </c>
      <c r="U2500">
        <v>-0.92082209999999998</v>
      </c>
      <c r="V2500">
        <v>1.3902039999999999E-3</v>
      </c>
      <c r="W2500">
        <v>3.1343389999999999E-2</v>
      </c>
      <c r="X2500">
        <v>0.9995077</v>
      </c>
      <c r="Y2500">
        <v>-0.38738270000000002</v>
      </c>
      <c r="Z2500">
        <v>5.8855949999999997E-2</v>
      </c>
      <c r="AA2500">
        <v>0.92003840000000003</v>
      </c>
      <c r="AB2500">
        <v>20</v>
      </c>
      <c r="AC2500">
        <v>14.166699999999899</v>
      </c>
      <c r="AD2500">
        <v>-1.1156245218109999</v>
      </c>
      <c r="AE2500">
        <v>-4.0720999999999998</v>
      </c>
      <c r="AF2500">
        <v>-5.7754834738248002</v>
      </c>
      <c r="AG2500">
        <v>-1.1156245218109999</v>
      </c>
      <c r="AH2500">
        <v>13.4704553758059</v>
      </c>
      <c r="AI2500">
        <v>94.3528869541353</v>
      </c>
      <c r="AJ2500">
        <v>113.20732616657099</v>
      </c>
      <c r="AK2500">
        <v>14.6987753048227</v>
      </c>
      <c r="AL2500">
        <v>88.2038618501971</v>
      </c>
      <c r="AM2500">
        <v>89.920307997129399</v>
      </c>
      <c r="AN2500">
        <v>0.99999999156157104</v>
      </c>
    </row>
    <row r="2501" spans="1:40" x14ac:dyDescent="0.25">
      <c r="A2501" t="str">
        <f>"20190312154600029"</f>
        <v>20190312154600029</v>
      </c>
      <c r="B2501" t="str">
        <f>"1552376760019339"</f>
        <v>1552376760019339</v>
      </c>
      <c r="C2501" t="s">
        <v>40</v>
      </c>
      <c r="D2501">
        <v>4.2167940000000002</v>
      </c>
      <c r="E2501">
        <v>0.33761449999999998</v>
      </c>
      <c r="F2501" t="s">
        <v>54</v>
      </c>
      <c r="G2501">
        <v>-469.01350000000002</v>
      </c>
      <c r="H2501" s="1">
        <v>3.2047329999999998E-6</v>
      </c>
      <c r="I2501">
        <v>215.87479999999999</v>
      </c>
      <c r="J2501">
        <v>-483.38959999999997</v>
      </c>
      <c r="K2501">
        <v>1.1156219999999999</v>
      </c>
      <c r="L2501">
        <v>219.77199999999999</v>
      </c>
      <c r="M2501">
        <v>0.78740330000000003</v>
      </c>
      <c r="N2501">
        <v>0</v>
      </c>
      <c r="O2501">
        <v>-0.61626899999999996</v>
      </c>
      <c r="P2501">
        <v>0.78582069999999904</v>
      </c>
      <c r="Q2501">
        <v>1.4984610000000001E-2</v>
      </c>
      <c r="R2501">
        <v>-0.61827299999999996</v>
      </c>
      <c r="S2501">
        <v>3.1594540000000002</v>
      </c>
      <c r="T2501">
        <v>-0.2400409</v>
      </c>
      <c r="U2501">
        <v>-0.88522339999999999</v>
      </c>
      <c r="V2501">
        <v>2.1535119999999998E-3</v>
      </c>
      <c r="W2501">
        <v>2.945886E-2</v>
      </c>
      <c r="X2501">
        <v>0.99956369999999894</v>
      </c>
      <c r="Y2501">
        <v>-0.37866090000000002</v>
      </c>
      <c r="Z2501">
        <v>5.6329110000000002E-2</v>
      </c>
      <c r="AA2501">
        <v>0.92381979999999997</v>
      </c>
      <c r="AB2501">
        <v>19</v>
      </c>
      <c r="AC2501">
        <v>14.3760999999999</v>
      </c>
      <c r="AD2501">
        <v>-1.11561879526699</v>
      </c>
      <c r="AE2501">
        <v>-3.8972000000000202</v>
      </c>
      <c r="AF2501">
        <v>-5.7591724694558399</v>
      </c>
      <c r="AG2501">
        <v>-1.11561879526699</v>
      </c>
      <c r="AH2501">
        <v>13.6463889552019</v>
      </c>
      <c r="AI2501">
        <v>94.307336752835795</v>
      </c>
      <c r="AJ2501">
        <v>112.88115727941501</v>
      </c>
      <c r="AK2501">
        <v>14.853841400322899</v>
      </c>
      <c r="AL2501">
        <v>88.311887472692902</v>
      </c>
      <c r="AM2501">
        <v>89.876559184948206</v>
      </c>
      <c r="AN2501">
        <v>1.0000000262020601</v>
      </c>
    </row>
    <row r="2502" spans="1:40" x14ac:dyDescent="0.25">
      <c r="A2502" t="str">
        <f>"20190312154600050"</f>
        <v>20190312154600050</v>
      </c>
      <c r="B2502" t="str">
        <f>"1552376760039835"</f>
        <v>1552376760039835</v>
      </c>
      <c r="C2502" t="s">
        <v>40</v>
      </c>
      <c r="D2502">
        <v>4.2758710000000004</v>
      </c>
      <c r="E2502">
        <v>0.33835460000000001</v>
      </c>
      <c r="F2502" t="s">
        <v>54</v>
      </c>
      <c r="G2502">
        <v>-468.73739999999998</v>
      </c>
      <c r="H2502" s="1">
        <v>3.0545149999999999E-6</v>
      </c>
      <c r="I2502">
        <v>215.94970000000001</v>
      </c>
      <c r="J2502">
        <v>-483.23349999999999</v>
      </c>
      <c r="K2502">
        <v>1.1156189999999999</v>
      </c>
      <c r="L2502">
        <v>219.66560000000001</v>
      </c>
      <c r="M2502">
        <v>0.79383249999999905</v>
      </c>
      <c r="N2502">
        <v>0</v>
      </c>
      <c r="O2502">
        <v>-0.60796499999999998</v>
      </c>
      <c r="P2502">
        <v>0.79184790000000005</v>
      </c>
      <c r="Q2502">
        <v>1.489096E-2</v>
      </c>
      <c r="R2502">
        <v>-0.610537199999999</v>
      </c>
      <c r="S2502">
        <v>3.1713260000000001</v>
      </c>
      <c r="T2502">
        <v>-0.24146339999999999</v>
      </c>
      <c r="U2502">
        <v>-0.82730099999999995</v>
      </c>
      <c r="V2502">
        <v>2.8507649999999999E-3</v>
      </c>
      <c r="W2502">
        <v>2.93764E-2</v>
      </c>
      <c r="X2502">
        <v>0.99956429999999996</v>
      </c>
      <c r="Y2502">
        <v>-0.38553110000000002</v>
      </c>
      <c r="Z2502">
        <v>5.6434070000000003E-2</v>
      </c>
      <c r="AA2502">
        <v>0.92096739999999999</v>
      </c>
      <c r="AB2502">
        <v>19</v>
      </c>
      <c r="AC2502">
        <v>14.4961</v>
      </c>
      <c r="AD2502">
        <v>-1.1156159454850001</v>
      </c>
      <c r="AE2502">
        <v>-3.7159</v>
      </c>
      <c r="AF2502">
        <v>-5.8315213119702296</v>
      </c>
      <c r="AG2502">
        <v>-1.1156159454850001</v>
      </c>
      <c r="AH2502">
        <v>13.6919533897596</v>
      </c>
      <c r="AI2502">
        <v>94.287086491166207</v>
      </c>
      <c r="AJ2502">
        <v>113.069574146877</v>
      </c>
      <c r="AK2502">
        <v>14.923834204959901</v>
      </c>
      <c r="AL2502">
        <v>88.316613991114593</v>
      </c>
      <c r="AM2502">
        <v>89.836592443299395</v>
      </c>
      <c r="AN2502">
        <v>0.99999994478626597</v>
      </c>
    </row>
    <row r="2503" spans="1:40" x14ac:dyDescent="0.25">
      <c r="A2503" t="str">
        <f>"20190312154600072"</f>
        <v>20190312154600072</v>
      </c>
      <c r="B2503" t="str">
        <f>"1552376760069114"</f>
        <v>1552376760069114</v>
      </c>
      <c r="C2503" t="s">
        <v>40</v>
      </c>
      <c r="D2503">
        <v>4.2136319999999996</v>
      </c>
      <c r="E2503">
        <v>0.34008579999999999</v>
      </c>
      <c r="F2503" t="s">
        <v>54</v>
      </c>
      <c r="G2503">
        <v>-468.69170000000003</v>
      </c>
      <c r="H2503" s="1">
        <v>3.0280839999999998E-6</v>
      </c>
      <c r="I2503">
        <v>215.99770000000001</v>
      </c>
      <c r="J2503">
        <v>-483.08019999999999</v>
      </c>
      <c r="K2503">
        <v>1.115607</v>
      </c>
      <c r="L2503">
        <v>219.5635</v>
      </c>
      <c r="M2503">
        <v>0.80002580000000001</v>
      </c>
      <c r="N2503">
        <v>0</v>
      </c>
      <c r="O2503">
        <v>-0.59979189999999905</v>
      </c>
      <c r="P2503">
        <v>0.79778890000000002</v>
      </c>
      <c r="Q2503">
        <v>1.5828709999999999E-2</v>
      </c>
      <c r="R2503">
        <v>-0.60272930000000002</v>
      </c>
      <c r="S2503">
        <v>3.1756289999999998</v>
      </c>
      <c r="T2503">
        <v>-0.2436265</v>
      </c>
      <c r="U2503">
        <v>-0.80099489999999995</v>
      </c>
      <c r="V2503">
        <v>3.2824519999999999E-3</v>
      </c>
      <c r="W2503">
        <v>3.0319639999999998E-2</v>
      </c>
      <c r="X2503">
        <v>0.99953479999999995</v>
      </c>
      <c r="Y2503">
        <v>-0.38351429999999997</v>
      </c>
      <c r="Z2503">
        <v>5.6397370000000002E-2</v>
      </c>
      <c r="AA2503">
        <v>0.9218113</v>
      </c>
      <c r="AB2503">
        <v>19</v>
      </c>
      <c r="AC2503">
        <v>14.388499999999899</v>
      </c>
      <c r="AD2503">
        <v>-1.115603971916</v>
      </c>
      <c r="AE2503">
        <v>-3.5657999999999901</v>
      </c>
      <c r="AF2503">
        <v>-5.7454351862227604</v>
      </c>
      <c r="AG2503">
        <v>-1.115603971916</v>
      </c>
      <c r="AH2503">
        <v>13.5744495357532</v>
      </c>
      <c r="AI2503">
        <v>94.328126309799501</v>
      </c>
      <c r="AJ2503">
        <v>112.940687868861</v>
      </c>
      <c r="AK2503">
        <v>14.782431393378801</v>
      </c>
      <c r="AL2503">
        <v>88.262546209350901</v>
      </c>
      <c r="AM2503">
        <v>89.811842499156</v>
      </c>
      <c r="AN2503">
        <v>0.99999993573594803</v>
      </c>
    </row>
    <row r="2504" spans="1:40" x14ac:dyDescent="0.25">
      <c r="A2504" t="str">
        <f>"20190312154600115"</f>
        <v>20190312154600115</v>
      </c>
      <c r="B2504" t="str">
        <f>"1552376760109131"</f>
        <v>1552376760109131</v>
      </c>
      <c r="C2504" t="s">
        <v>40</v>
      </c>
      <c r="D2504">
        <v>4.2576159999999996</v>
      </c>
      <c r="E2504">
        <v>0.34231650000000002</v>
      </c>
      <c r="F2504" t="s">
        <v>54</v>
      </c>
      <c r="G2504">
        <v>-468.53879999999998</v>
      </c>
      <c r="H2504" s="1">
        <v>2.9472969999999998E-6</v>
      </c>
      <c r="I2504">
        <v>215.98599999999999</v>
      </c>
      <c r="J2504">
        <v>-482.77569999999997</v>
      </c>
      <c r="K2504">
        <v>1.1155809999999999</v>
      </c>
      <c r="L2504">
        <v>219.3673</v>
      </c>
      <c r="M2504">
        <v>0.81197989999999998</v>
      </c>
      <c r="N2504">
        <v>0</v>
      </c>
      <c r="O2504">
        <v>-0.58350679999999999</v>
      </c>
      <c r="P2504">
        <v>0.80928639999999996</v>
      </c>
      <c r="Q2504">
        <v>1.6283840000000001E-2</v>
      </c>
      <c r="R2504">
        <v>-0.58718870000000001</v>
      </c>
      <c r="S2504">
        <v>3.1751100000000001</v>
      </c>
      <c r="T2504">
        <v>-0.2435927</v>
      </c>
      <c r="U2504">
        <v>-0.78115840000000003</v>
      </c>
      <c r="V2504">
        <v>4.1489109999999999E-3</v>
      </c>
      <c r="W2504">
        <v>3.078529E-2</v>
      </c>
      <c r="X2504">
        <v>0.9995174</v>
      </c>
      <c r="Y2504">
        <v>-0.37027779999999999</v>
      </c>
      <c r="Z2504">
        <v>5.4999199999999998E-2</v>
      </c>
      <c r="AA2504">
        <v>0.92729150000000005</v>
      </c>
      <c r="AB2504">
        <v>19</v>
      </c>
      <c r="AC2504">
        <v>14.236899999999901</v>
      </c>
      <c r="AD2504">
        <v>-1.1155780527029999</v>
      </c>
      <c r="AE2504">
        <v>-3.3813</v>
      </c>
      <c r="AF2504">
        <v>-5.5302175979052999</v>
      </c>
      <c r="AG2504">
        <v>-1.1155780527029999</v>
      </c>
      <c r="AH2504">
        <v>13.456288821102801</v>
      </c>
      <c r="AI2504">
        <v>94.384895698318601</v>
      </c>
      <c r="AJ2504">
        <v>112.341507236</v>
      </c>
      <c r="AK2504">
        <v>14.591077064726599</v>
      </c>
      <c r="AL2504">
        <v>88.235854062928595</v>
      </c>
      <c r="AM2504">
        <v>89.762171499360093</v>
      </c>
      <c r="AN2504">
        <v>0.99999999022281405</v>
      </c>
    </row>
    <row r="2505" spans="1:40" x14ac:dyDescent="0.25">
      <c r="A2505" t="str">
        <f>"20190312154600138"</f>
        <v>20190312154600138</v>
      </c>
      <c r="B2505" t="str">
        <f>"1552376760129627"</f>
        <v>1552376760129627</v>
      </c>
      <c r="C2505" t="s">
        <v>40</v>
      </c>
      <c r="D2505">
        <v>4.2398290000000003</v>
      </c>
      <c r="E2505">
        <v>0.343508799999999</v>
      </c>
      <c r="F2505" t="s">
        <v>54</v>
      </c>
      <c r="G2505">
        <v>-468.08870000000002</v>
      </c>
      <c r="H2505" s="1">
        <v>2.7081119999999999E-6</v>
      </c>
      <c r="I2505">
        <v>215.977</v>
      </c>
      <c r="J2505">
        <v>-482.6112</v>
      </c>
      <c r="K2505">
        <v>1.115558</v>
      </c>
      <c r="L2505">
        <v>219.26480000000001</v>
      </c>
      <c r="M2505">
        <v>0.81824249999999998</v>
      </c>
      <c r="N2505">
        <v>0</v>
      </c>
      <c r="O2505">
        <v>-0.57469179999999997</v>
      </c>
      <c r="P2505">
        <v>0.8156639</v>
      </c>
      <c r="Q2505">
        <v>1.6282789999999998E-2</v>
      </c>
      <c r="R2505">
        <v>-0.57829699999999995</v>
      </c>
      <c r="S2505">
        <v>3.1793209999999998</v>
      </c>
      <c r="T2505">
        <v>-0.2414906</v>
      </c>
      <c r="U2505">
        <v>-0.73390200000000005</v>
      </c>
      <c r="V2505">
        <v>4.0208479999999996E-3</v>
      </c>
      <c r="W2505">
        <v>3.078005E-2</v>
      </c>
      <c r="X2505">
        <v>0.99951809999999996</v>
      </c>
      <c r="Y2505">
        <v>-0.3736083</v>
      </c>
      <c r="Z2505">
        <v>5.4191320000000001E-2</v>
      </c>
      <c r="AA2505">
        <v>0.9260022</v>
      </c>
      <c r="AB2505">
        <v>19</v>
      </c>
      <c r="AC2505">
        <v>14.5224999999999</v>
      </c>
      <c r="AD2505">
        <v>-1.1155552918880001</v>
      </c>
      <c r="AE2505">
        <v>-3.2877999999999998</v>
      </c>
      <c r="AF2505">
        <v>-5.6247622564533399</v>
      </c>
      <c r="AG2505">
        <v>-1.1155552918880001</v>
      </c>
      <c r="AH2505">
        <v>13.696954298613701</v>
      </c>
      <c r="AI2505">
        <v>94.308535542908004</v>
      </c>
      <c r="AJ2505">
        <v>112.325891137182</v>
      </c>
      <c r="AK2505">
        <v>14.8488710382034</v>
      </c>
      <c r="AL2505">
        <v>88.236154462050493</v>
      </c>
      <c r="AM2505">
        <v>89.769512550341503</v>
      </c>
      <c r="AN2505">
        <v>1.0000000054621201</v>
      </c>
    </row>
    <row r="2506" spans="1:40" x14ac:dyDescent="0.25">
      <c r="A2506" t="str">
        <f>"20190312154600161"</f>
        <v>20190312154600161</v>
      </c>
      <c r="B2506" t="str">
        <f>"1552376760159883"</f>
        <v>1552376760159883</v>
      </c>
      <c r="C2506" t="s">
        <v>40</v>
      </c>
      <c r="D2506">
        <v>4.2506589999999997</v>
      </c>
      <c r="E2506">
        <v>0.36098019999999997</v>
      </c>
      <c r="F2506" t="s">
        <v>54</v>
      </c>
      <c r="G2506">
        <v>-467.95159999999998</v>
      </c>
      <c r="H2506" s="1">
        <v>2.633881E-6</v>
      </c>
      <c r="I2506">
        <v>216.00710000000001</v>
      </c>
      <c r="J2506">
        <v>-482.44029999999998</v>
      </c>
      <c r="K2506">
        <v>1.1155349999999999</v>
      </c>
      <c r="L2506">
        <v>219.1609</v>
      </c>
      <c r="M2506">
        <v>0.82460990000000001</v>
      </c>
      <c r="N2506">
        <v>0</v>
      </c>
      <c r="O2506">
        <v>-0.56551759999999995</v>
      </c>
      <c r="P2506">
        <v>0.82230349999999997</v>
      </c>
      <c r="Q2506">
        <v>1.638212E-2</v>
      </c>
      <c r="R2506">
        <v>-0.56881369999999998</v>
      </c>
      <c r="S2506">
        <v>3.181549</v>
      </c>
      <c r="T2506">
        <v>-0.24210770000000001</v>
      </c>
      <c r="U2506">
        <v>-0.70701599999999998</v>
      </c>
      <c r="V2506">
        <v>3.6115700000000001E-3</v>
      </c>
      <c r="W2506">
        <v>3.0871079999999999E-2</v>
      </c>
      <c r="X2506">
        <v>0.99951679999999998</v>
      </c>
      <c r="Y2506">
        <v>-0.37085040000000002</v>
      </c>
      <c r="Z2506">
        <v>5.3709380000000001E-2</v>
      </c>
      <c r="AA2506">
        <v>0.92713820000000002</v>
      </c>
      <c r="AB2506">
        <v>19</v>
      </c>
      <c r="AC2506">
        <v>14.4886999999999</v>
      </c>
      <c r="AD2506">
        <v>-1.115532366119</v>
      </c>
      <c r="AE2506">
        <v>-3.15379999999998</v>
      </c>
      <c r="AF2506">
        <v>-5.5620627790126198</v>
      </c>
      <c r="AG2506">
        <v>-1.115532366119</v>
      </c>
      <c r="AH2506">
        <v>13.655199957349</v>
      </c>
      <c r="AI2506">
        <v>94.326606708116699</v>
      </c>
      <c r="AJ2506">
        <v>112.162146734529</v>
      </c>
      <c r="AK2506">
        <v>14.786664285521599</v>
      </c>
      <c r="AL2506">
        <v>88.230936249807996</v>
      </c>
      <c r="AM2506">
        <v>89.792973146754406</v>
      </c>
      <c r="AN2506">
        <v>0.99999995025023403</v>
      </c>
    </row>
    <row r="2507" spans="1:40" x14ac:dyDescent="0.25">
      <c r="A2507" t="str">
        <f>"20190312154600185"</f>
        <v>20190312154600185</v>
      </c>
      <c r="B2507" t="str">
        <f>"1552376760179404"</f>
        <v>1552376760179404</v>
      </c>
      <c r="C2507" t="s">
        <v>40</v>
      </c>
      <c r="D2507">
        <v>4.2152710000000004</v>
      </c>
      <c r="E2507">
        <v>0.3624291</v>
      </c>
      <c r="F2507" t="s">
        <v>54</v>
      </c>
      <c r="G2507">
        <v>-467.67230000000001</v>
      </c>
      <c r="H2507" s="1">
        <v>2.5104149999999999E-6</v>
      </c>
      <c r="I2507">
        <v>215.4306</v>
      </c>
      <c r="J2507">
        <v>-482.27780000000001</v>
      </c>
      <c r="K2507">
        <v>1.115518</v>
      </c>
      <c r="L2507">
        <v>219.06460000000001</v>
      </c>
      <c r="M2507">
        <v>0.83052499999999996</v>
      </c>
      <c r="N2507">
        <v>0</v>
      </c>
      <c r="O2507">
        <v>-0.55679460000000003</v>
      </c>
      <c r="P2507">
        <v>0.82834419999999898</v>
      </c>
      <c r="Q2507">
        <v>1.6076190000000001E-2</v>
      </c>
      <c r="R2507">
        <v>-0.55998919999999996</v>
      </c>
      <c r="S2507">
        <v>3.1095890000000002</v>
      </c>
      <c r="T2507">
        <v>-0.2348893</v>
      </c>
      <c r="U2507">
        <v>-0.78546139999999998</v>
      </c>
      <c r="V2507">
        <v>3.4624790000000001E-3</v>
      </c>
      <c r="W2507">
        <v>3.055985E-2</v>
      </c>
      <c r="X2507">
        <v>0.9995269</v>
      </c>
      <c r="Y2507">
        <v>-0.33430609999999999</v>
      </c>
      <c r="Z2507">
        <v>5.117207E-2</v>
      </c>
      <c r="AA2507">
        <v>0.94107430000000003</v>
      </c>
      <c r="AB2507">
        <v>19</v>
      </c>
      <c r="AC2507">
        <v>14.605499999999999</v>
      </c>
      <c r="AD2507">
        <v>-1.1155154895849999</v>
      </c>
      <c r="AE2507">
        <v>-3.6340000000000101</v>
      </c>
      <c r="AF2507">
        <v>-5.0867248051928398</v>
      </c>
      <c r="AG2507">
        <v>-1.1155154895849999</v>
      </c>
      <c r="AH2507">
        <v>14.0777635058132</v>
      </c>
      <c r="AI2507">
        <v>94.262022662204501</v>
      </c>
      <c r="AJ2507">
        <v>109.86633170962099</v>
      </c>
      <c r="AK2507">
        <v>15.010082257498601</v>
      </c>
      <c r="AL2507">
        <v>88.248776848436506</v>
      </c>
      <c r="AM2507">
        <v>89.801521459993495</v>
      </c>
      <c r="AN2507">
        <v>0.99999995850822798</v>
      </c>
    </row>
    <row r="2508" spans="1:40" x14ac:dyDescent="0.25">
      <c r="A2508" t="str">
        <f>"20190312154600228"</f>
        <v>20190312154600228</v>
      </c>
      <c r="B2508" t="str">
        <f>"1552376760219420"</f>
        <v>1552376760219420</v>
      </c>
      <c r="C2508" t="s">
        <v>40</v>
      </c>
      <c r="D2508">
        <v>4.2466239999999997</v>
      </c>
      <c r="E2508">
        <v>0.3669212</v>
      </c>
      <c r="F2508" t="s">
        <v>54</v>
      </c>
      <c r="G2508">
        <v>-465.71069999999997</v>
      </c>
      <c r="H2508" s="1">
        <v>1.4851650000000001E-6</v>
      </c>
      <c r="I2508">
        <v>215.0051</v>
      </c>
      <c r="J2508">
        <v>-481.96350000000001</v>
      </c>
      <c r="K2508">
        <v>1.115472</v>
      </c>
      <c r="L2508">
        <v>218.88499999999999</v>
      </c>
      <c r="M2508">
        <v>0.84159989999999996</v>
      </c>
      <c r="N2508">
        <v>0</v>
      </c>
      <c r="O2508">
        <v>-0.53990879999999997</v>
      </c>
      <c r="P2508">
        <v>0.83884409999999898</v>
      </c>
      <c r="Q2508">
        <v>1.6346679999999999E-2</v>
      </c>
      <c r="R2508">
        <v>-0.54412640000000001</v>
      </c>
      <c r="S2508">
        <v>3.1105040000000002</v>
      </c>
      <c r="T2508">
        <v>-0.20944070000000001</v>
      </c>
      <c r="U2508">
        <v>-0.76217650000000003</v>
      </c>
      <c r="V2508">
        <v>4.6320040000000003E-3</v>
      </c>
      <c r="W2508">
        <v>3.0837719999999999E-2</v>
      </c>
      <c r="X2508">
        <v>0.99951369999999895</v>
      </c>
      <c r="Y2508">
        <v>-0.32244820000000002</v>
      </c>
      <c r="Z2508">
        <v>4.4376680000000002E-2</v>
      </c>
      <c r="AA2508">
        <v>0.94554629999999995</v>
      </c>
      <c r="AB2508">
        <v>19</v>
      </c>
      <c r="AC2508">
        <v>16.252800000000001</v>
      </c>
      <c r="AD2508">
        <v>-1.1154705148349999</v>
      </c>
      <c r="AE2508">
        <v>-3.8798999999999899</v>
      </c>
      <c r="AF2508">
        <v>-5.4858322824852097</v>
      </c>
      <c r="AG2508">
        <v>-1.1154705148349999</v>
      </c>
      <c r="AH2508">
        <v>15.704800665643001</v>
      </c>
      <c r="AI2508">
        <v>93.836179782943404</v>
      </c>
      <c r="AJ2508">
        <v>109.254781125623</v>
      </c>
      <c r="AK2508">
        <v>16.6727140636612</v>
      </c>
      <c r="AL2508">
        <v>88.232848685828003</v>
      </c>
      <c r="AM2508">
        <v>89.734478496880399</v>
      </c>
      <c r="AN2508">
        <v>1.0000000284617701</v>
      </c>
    </row>
    <row r="2509" spans="1:40" x14ac:dyDescent="0.25">
      <c r="A2509" t="str">
        <f>"20190312154600250"</f>
        <v>20190312154600250</v>
      </c>
      <c r="B2509" t="str">
        <f>"1552376760239915"</f>
        <v>1552376760239915</v>
      </c>
      <c r="C2509" t="s">
        <v>40</v>
      </c>
      <c r="D2509">
        <v>4.256424</v>
      </c>
      <c r="E2509">
        <v>0.3686044</v>
      </c>
      <c r="F2509" t="s">
        <v>54</v>
      </c>
      <c r="G2509">
        <v>-464.96050000000002</v>
      </c>
      <c r="H2509" s="1">
        <v>1.091775E-6</v>
      </c>
      <c r="I2509">
        <v>214.87190000000001</v>
      </c>
      <c r="J2509">
        <v>-481.79050000000001</v>
      </c>
      <c r="K2509">
        <v>1.1154489999999999</v>
      </c>
      <c r="L2509">
        <v>218.78970000000001</v>
      </c>
      <c r="M2509">
        <v>0.84750309999999995</v>
      </c>
      <c r="N2509">
        <v>0</v>
      </c>
      <c r="O2509">
        <v>-0.53059440000000002</v>
      </c>
      <c r="P2509">
        <v>0.84455979999999997</v>
      </c>
      <c r="Q2509">
        <v>1.705655E-2</v>
      </c>
      <c r="R2509">
        <v>-0.53518959999999904</v>
      </c>
      <c r="S2509">
        <v>3.1049500000000001</v>
      </c>
      <c r="T2509">
        <v>-0.2036984</v>
      </c>
      <c r="U2509">
        <v>-0.73284910000000003</v>
      </c>
      <c r="V2509">
        <v>5.0432369999999999E-3</v>
      </c>
      <c r="W2509">
        <v>3.1547859999999997E-2</v>
      </c>
      <c r="X2509">
        <v>0.99948950000000003</v>
      </c>
      <c r="Y2509">
        <v>-0.32016240000000001</v>
      </c>
      <c r="Z2509">
        <v>4.2729940000000001E-2</v>
      </c>
      <c r="AA2509">
        <v>0.94639859999999998</v>
      </c>
      <c r="AB2509">
        <v>19</v>
      </c>
      <c r="AC2509">
        <v>16.829999999999899</v>
      </c>
      <c r="AD2509">
        <v>-1.115447908225</v>
      </c>
      <c r="AE2509">
        <v>-3.9178000000000002</v>
      </c>
      <c r="AF2509">
        <v>-5.5868600027937401</v>
      </c>
      <c r="AG2509">
        <v>-1.115447908225</v>
      </c>
      <c r="AH2509">
        <v>16.2761196767038</v>
      </c>
      <c r="AI2509">
        <v>93.708746773093793</v>
      </c>
      <c r="AJ2509">
        <v>108.94504139416</v>
      </c>
      <c r="AK2509">
        <v>17.2443991039747</v>
      </c>
      <c r="AL2509">
        <v>88.192140766742199</v>
      </c>
      <c r="AM2509">
        <v>89.710898670846603</v>
      </c>
      <c r="AN2509">
        <v>0.999999981160133</v>
      </c>
    </row>
    <row r="2510" spans="1:40" x14ac:dyDescent="0.25">
      <c r="A2510" t="str">
        <f>"20190312154600272"</f>
        <v>20190312154600272</v>
      </c>
      <c r="B2510" t="str">
        <f>"1552376760269196"</f>
        <v>1552376760269196</v>
      </c>
      <c r="C2510" t="s">
        <v>40</v>
      </c>
      <c r="D2510">
        <v>4.2464680000000001</v>
      </c>
      <c r="E2510">
        <v>0.3709866</v>
      </c>
      <c r="F2510" t="s">
        <v>54</v>
      </c>
      <c r="G2510">
        <v>-464.62880000000001</v>
      </c>
      <c r="H2510" s="1">
        <v>9.1575369999999995E-7</v>
      </c>
      <c r="I2510">
        <v>214.85990000000001</v>
      </c>
      <c r="J2510">
        <v>-481.63440000000003</v>
      </c>
      <c r="K2510">
        <v>1.1154309999999901</v>
      </c>
      <c r="L2510">
        <v>218.70580000000001</v>
      </c>
      <c r="M2510">
        <v>0.85270630000000003</v>
      </c>
      <c r="N2510">
        <v>0</v>
      </c>
      <c r="O2510">
        <v>-0.52219170000000004</v>
      </c>
      <c r="P2510">
        <v>0.84938060000000004</v>
      </c>
      <c r="Q2510">
        <v>1.738031E-2</v>
      </c>
      <c r="R2510">
        <v>-0.52749460000000004</v>
      </c>
      <c r="S2510">
        <v>3.105591</v>
      </c>
      <c r="T2510">
        <v>-0.201852</v>
      </c>
      <c r="U2510">
        <v>-0.71113590000000004</v>
      </c>
      <c r="V2510">
        <v>5.8430160000000004E-3</v>
      </c>
      <c r="W2510">
        <v>3.1877669999999997E-2</v>
      </c>
      <c r="X2510">
        <v>0.99947470000000005</v>
      </c>
      <c r="Y2510">
        <v>-0.31716620000000001</v>
      </c>
      <c r="Z2510">
        <v>4.1835450000000003E-2</v>
      </c>
      <c r="AA2510">
        <v>0.94744680000000003</v>
      </c>
      <c r="AB2510">
        <v>19</v>
      </c>
      <c r="AC2510">
        <v>17.005600000000001</v>
      </c>
      <c r="AD2510">
        <v>-1.1154300842463001</v>
      </c>
      <c r="AE2510">
        <v>-3.8458999999999999</v>
      </c>
      <c r="AF2510">
        <v>-5.5785093806064303</v>
      </c>
      <c r="AG2510">
        <v>-1.1154300842463001</v>
      </c>
      <c r="AH2510">
        <v>16.443492237497999</v>
      </c>
      <c r="AI2510">
        <v>93.675522685903601</v>
      </c>
      <c r="AJ2510">
        <v>108.739676121812</v>
      </c>
      <c r="AK2510">
        <v>17.399781267217499</v>
      </c>
      <c r="AL2510">
        <v>88.173234572696202</v>
      </c>
      <c r="AM2510">
        <v>89.665047706952095</v>
      </c>
      <c r="AN2510">
        <v>1.0000000013103401</v>
      </c>
    </row>
    <row r="2511" spans="1:40" x14ac:dyDescent="0.25">
      <c r="A2511" t="str">
        <f>"20190312154600295"</f>
        <v>20190312154600295</v>
      </c>
      <c r="B2511" t="str">
        <f>"1552376760289691"</f>
        <v>1552376760289691</v>
      </c>
      <c r="C2511" t="s">
        <v>40</v>
      </c>
      <c r="D2511">
        <v>4.2404809999999999</v>
      </c>
      <c r="E2511">
        <v>0.37159449999999999</v>
      </c>
      <c r="F2511" t="s">
        <v>54</v>
      </c>
      <c r="G2511">
        <v>-464.7149</v>
      </c>
      <c r="H2511" s="1">
        <v>9.6006339999999993E-7</v>
      </c>
      <c r="I2511">
        <v>214.8955</v>
      </c>
      <c r="J2511">
        <v>-481.46480000000003</v>
      </c>
      <c r="K2511">
        <v>1.1154120000000001</v>
      </c>
      <c r="L2511">
        <v>218.61680000000001</v>
      </c>
      <c r="M2511">
        <v>0.85823819999999995</v>
      </c>
      <c r="N2511">
        <v>0</v>
      </c>
      <c r="O2511">
        <v>-0.51304890000000003</v>
      </c>
      <c r="P2511">
        <v>0.85429820000000001</v>
      </c>
      <c r="Q2511">
        <v>1.7517910000000001E-2</v>
      </c>
      <c r="R2511">
        <v>-0.5194879</v>
      </c>
      <c r="S2511">
        <v>3.102325</v>
      </c>
      <c r="T2511">
        <v>-0.20452339999999999</v>
      </c>
      <c r="U2511">
        <v>-0.698654199999999</v>
      </c>
      <c r="V2511">
        <v>7.1318299999999996E-3</v>
      </c>
      <c r="W2511">
        <v>3.2026829999999999E-2</v>
      </c>
      <c r="X2511">
        <v>0.99946159999999995</v>
      </c>
      <c r="Y2511">
        <v>-0.31041580000000002</v>
      </c>
      <c r="Z2511">
        <v>4.1736540000000003E-2</v>
      </c>
      <c r="AA2511">
        <v>0.94968419999999998</v>
      </c>
      <c r="AB2511">
        <v>19</v>
      </c>
      <c r="AC2511">
        <v>16.7499</v>
      </c>
      <c r="AD2511">
        <v>-1.1154110399366</v>
      </c>
      <c r="AE2511">
        <v>-3.72130000000001</v>
      </c>
      <c r="AF2511">
        <v>-5.3775923852704199</v>
      </c>
      <c r="AG2511">
        <v>-1.1154110399366</v>
      </c>
      <c r="AH2511">
        <v>16.217771881229599</v>
      </c>
      <c r="AI2511">
        <v>93.735071824623603</v>
      </c>
      <c r="AJ2511">
        <v>108.34481828082799</v>
      </c>
      <c r="AK2511">
        <v>17.122463795894902</v>
      </c>
      <c r="AL2511">
        <v>88.164684030766097</v>
      </c>
      <c r="AM2511">
        <v>89.591163058183199</v>
      </c>
      <c r="AN2511">
        <v>1.00000003535677</v>
      </c>
    </row>
    <row r="2512" spans="1:40" x14ac:dyDescent="0.25">
      <c r="A2512" t="str">
        <f>"20190312154600317"</f>
        <v>20190312154600317</v>
      </c>
      <c r="B2512" t="str">
        <f>"1552376760309211"</f>
        <v>1552376760309211</v>
      </c>
      <c r="C2512" t="s">
        <v>40</v>
      </c>
      <c r="D2512">
        <v>4.2827419999999998</v>
      </c>
      <c r="E2512">
        <v>0.38496629999999998</v>
      </c>
      <c r="F2512" t="s">
        <v>54</v>
      </c>
      <c r="G2512">
        <v>-464.4864</v>
      </c>
      <c r="H2512" s="1">
        <v>8.3663379999999996E-7</v>
      </c>
      <c r="I2512">
        <v>214.9367</v>
      </c>
      <c r="J2512">
        <v>-481.3023</v>
      </c>
      <c r="K2512">
        <v>1.1153949999999999</v>
      </c>
      <c r="L2512">
        <v>218.53380000000001</v>
      </c>
      <c r="M2512">
        <v>0.86341789999999996</v>
      </c>
      <c r="N2512">
        <v>0</v>
      </c>
      <c r="O2512">
        <v>-0.5042835</v>
      </c>
      <c r="P2512">
        <v>0.85910759999999897</v>
      </c>
      <c r="Q2512">
        <v>1.8037270000000001E-2</v>
      </c>
      <c r="R2512">
        <v>-0.51147749999999903</v>
      </c>
      <c r="S2512">
        <v>3.1063540000000001</v>
      </c>
      <c r="T2512">
        <v>-0.20407429999999999</v>
      </c>
      <c r="U2512">
        <v>-0.6733093</v>
      </c>
      <c r="V2512">
        <v>7.9639629999999993E-3</v>
      </c>
      <c r="W2512">
        <v>3.2552039999999997E-2</v>
      </c>
      <c r="X2512">
        <v>0.9994383</v>
      </c>
      <c r="Y2512">
        <v>-0.30841649999999998</v>
      </c>
      <c r="Z2512">
        <v>4.1096470000000003E-2</v>
      </c>
      <c r="AA2512">
        <v>0.95036330000000002</v>
      </c>
      <c r="AB2512">
        <v>19</v>
      </c>
      <c r="AC2512">
        <v>16.815899999999999</v>
      </c>
      <c r="AD2512">
        <v>-1.1153941633661999</v>
      </c>
      <c r="AE2512">
        <v>-3.59710000000001</v>
      </c>
      <c r="AF2512">
        <v>-5.3522210631396199</v>
      </c>
      <c r="AG2512">
        <v>-1.1153941633661999</v>
      </c>
      <c r="AH2512">
        <v>16.266368903823398</v>
      </c>
      <c r="AI2512">
        <v>93.726709845163001</v>
      </c>
      <c r="AJ2512">
        <v>108.213067055558</v>
      </c>
      <c r="AK2512">
        <v>17.160569097895898</v>
      </c>
      <c r="AL2512">
        <v>88.134575926791797</v>
      </c>
      <c r="AM2512">
        <v>89.543451746154901</v>
      </c>
      <c r="AN2512">
        <v>0.99999998776085797</v>
      </c>
    </row>
    <row r="2513" spans="1:40" x14ac:dyDescent="0.25">
      <c r="A2513" t="str">
        <f>"20190312154600340"</f>
        <v>20190312154600340</v>
      </c>
      <c r="B2513" t="str">
        <f>"1552376760329707"</f>
        <v>1552376760329707</v>
      </c>
      <c r="C2513" t="s">
        <v>40</v>
      </c>
      <c r="D2513">
        <v>4.2422409999999999</v>
      </c>
      <c r="E2513">
        <v>0.38721129999999998</v>
      </c>
      <c r="F2513" t="s">
        <v>54</v>
      </c>
      <c r="G2513">
        <v>-465.79669999999999</v>
      </c>
      <c r="H2513" s="1">
        <v>1.5396449999999901E-6</v>
      </c>
      <c r="I2513">
        <v>214.8057</v>
      </c>
      <c r="J2513">
        <v>-481.12909999999999</v>
      </c>
      <c r="K2513">
        <v>1.115372</v>
      </c>
      <c r="L2513">
        <v>218.44739999999999</v>
      </c>
      <c r="M2513">
        <v>0.86881569999999997</v>
      </c>
      <c r="N2513">
        <v>0</v>
      </c>
      <c r="O2513">
        <v>-0.49492609999999898</v>
      </c>
      <c r="P2513">
        <v>0.86406550000000004</v>
      </c>
      <c r="Q2513">
        <v>1.8124189999999998E-2</v>
      </c>
      <c r="R2513">
        <v>-0.50305310000000003</v>
      </c>
      <c r="S2513">
        <v>3.0587770000000001</v>
      </c>
      <c r="T2513">
        <v>-0.22003259999999999</v>
      </c>
      <c r="U2513">
        <v>-0.73542790000000002</v>
      </c>
      <c r="V2513">
        <v>8.9912780000000001E-3</v>
      </c>
      <c r="W2513">
        <v>3.2646880000000003E-2</v>
      </c>
      <c r="X2513">
        <v>0.9994265</v>
      </c>
      <c r="Y2513">
        <v>-0.27639140000000001</v>
      </c>
      <c r="Z2513">
        <v>4.3125169999999997E-2</v>
      </c>
      <c r="AA2513">
        <v>0.96007710000000002</v>
      </c>
      <c r="AB2513">
        <v>19</v>
      </c>
      <c r="AC2513">
        <v>15.3324</v>
      </c>
      <c r="AD2513">
        <v>-1.1153704603550001</v>
      </c>
      <c r="AE2513">
        <v>-3.6416999999999802</v>
      </c>
      <c r="AF2513">
        <v>-4.4028422638058604</v>
      </c>
      <c r="AG2513">
        <v>-1.1153704603550001</v>
      </c>
      <c r="AH2513">
        <v>15.0495819807623</v>
      </c>
      <c r="AI2513">
        <v>94.068682256100203</v>
      </c>
      <c r="AJ2513">
        <v>106.307142275285</v>
      </c>
      <c r="AK2513">
        <v>15.720018735977201</v>
      </c>
      <c r="AL2513">
        <v>88.129139119559397</v>
      </c>
      <c r="AM2513">
        <v>89.484556008739304</v>
      </c>
      <c r="AN2513">
        <v>0.99999999537802797</v>
      </c>
    </row>
    <row r="2514" spans="1:40" x14ac:dyDescent="0.25">
      <c r="A2514" t="str">
        <f>"20190312154600365"</f>
        <v>20190312154600365</v>
      </c>
      <c r="B2514" t="str">
        <f>"1552376760358987"</f>
        <v>1552376760358987</v>
      </c>
      <c r="C2514" t="s">
        <v>40</v>
      </c>
      <c r="D2514">
        <v>4.292027</v>
      </c>
      <c r="E2514">
        <v>0.38868809999999998</v>
      </c>
      <c r="F2514" t="s">
        <v>54</v>
      </c>
      <c r="G2514">
        <v>-465.60879999999997</v>
      </c>
      <c r="H2514" s="1">
        <v>1.4405710000000001E-6</v>
      </c>
      <c r="I2514">
        <v>214.7852</v>
      </c>
      <c r="J2514">
        <v>-480.9495</v>
      </c>
      <c r="K2514">
        <v>1.1153569999999999</v>
      </c>
      <c r="L2514">
        <v>218.3604</v>
      </c>
      <c r="M2514">
        <v>0.87427379999999999</v>
      </c>
      <c r="N2514">
        <v>0</v>
      </c>
      <c r="O2514">
        <v>-0.48521950000000003</v>
      </c>
      <c r="P2514">
        <v>0.86890999999999996</v>
      </c>
      <c r="Q2514">
        <v>1.7688010000000001E-2</v>
      </c>
      <c r="R2514">
        <v>-0.49465429999999999</v>
      </c>
      <c r="S2514">
        <v>3.0566409999999999</v>
      </c>
      <c r="T2514">
        <v>-0.219667</v>
      </c>
      <c r="U2514">
        <v>-0.72123719999999902</v>
      </c>
      <c r="V2514">
        <v>1.043788E-2</v>
      </c>
      <c r="W2514">
        <v>3.2223679999999998E-2</v>
      </c>
      <c r="X2514">
        <v>0.99942620000000004</v>
      </c>
      <c r="Y2514">
        <v>-0.26978580000000002</v>
      </c>
      <c r="Z2514">
        <v>4.2289269999999997E-2</v>
      </c>
      <c r="AA2514">
        <v>0.96199129999999999</v>
      </c>
      <c r="AB2514">
        <v>19</v>
      </c>
      <c r="AC2514">
        <v>15.3407</v>
      </c>
      <c r="AD2514">
        <v>-1.1153555594290001</v>
      </c>
      <c r="AE2514">
        <v>-3.5751999999999899</v>
      </c>
      <c r="AF2514">
        <v>-4.2968075379574602</v>
      </c>
      <c r="AG2514">
        <v>-1.1153555594290001</v>
      </c>
      <c r="AH2514">
        <v>15.0727279515517</v>
      </c>
      <c r="AI2514">
        <v>94.070486804896206</v>
      </c>
      <c r="AJ2514">
        <v>105.911349092319</v>
      </c>
      <c r="AK2514">
        <v>15.7128514580799</v>
      </c>
      <c r="AL2514">
        <v>88.153399507919303</v>
      </c>
      <c r="AM2514">
        <v>89.401631927781807</v>
      </c>
      <c r="AN2514">
        <v>1.0000000220690299</v>
      </c>
    </row>
    <row r="2515" spans="1:40" x14ac:dyDescent="0.25">
      <c r="A2515" t="str">
        <f>"20190312154600408"</f>
        <v>20190312154600408</v>
      </c>
      <c r="B2515" t="str">
        <f>"1552376760399003"</f>
        <v>1552376760399003</v>
      </c>
      <c r="C2515" t="s">
        <v>40</v>
      </c>
      <c r="D2515">
        <v>4.3037830000000001</v>
      </c>
      <c r="E2515">
        <v>0.37326009999999998</v>
      </c>
      <c r="F2515" t="s">
        <v>54</v>
      </c>
      <c r="G2515">
        <v>-465.26400000000001</v>
      </c>
      <c r="H2515" s="1">
        <v>1.258053E-6</v>
      </c>
      <c r="I2515">
        <v>214.76230000000001</v>
      </c>
      <c r="J2515">
        <v>-480.62090000000001</v>
      </c>
      <c r="K2515">
        <v>1.1153280000000001</v>
      </c>
      <c r="L2515">
        <v>218.20760000000001</v>
      </c>
      <c r="M2515">
        <v>0.88391229999999998</v>
      </c>
      <c r="N2515">
        <v>0</v>
      </c>
      <c r="O2515">
        <v>-0.46743119999999999</v>
      </c>
      <c r="P2515">
        <v>0.87740810000000002</v>
      </c>
      <c r="Q2515">
        <v>1.8083889999999998E-2</v>
      </c>
      <c r="R2515">
        <v>-0.47940379999999999</v>
      </c>
      <c r="S2515">
        <v>3.0577999999999999</v>
      </c>
      <c r="T2515">
        <v>-0.2174315</v>
      </c>
      <c r="U2515">
        <v>-0.70141600000000004</v>
      </c>
      <c r="V2515">
        <v>1.320733E-2</v>
      </c>
      <c r="W2515">
        <v>3.2643539999999999E-2</v>
      </c>
      <c r="X2515">
        <v>0.99937980000000004</v>
      </c>
      <c r="Y2515">
        <v>-0.25637759999999998</v>
      </c>
      <c r="Z2515">
        <v>4.0332809999999997E-2</v>
      </c>
      <c r="AA2515">
        <v>0.9657348</v>
      </c>
      <c r="AB2515">
        <v>19</v>
      </c>
      <c r="AC2515">
        <v>15.3568999999999</v>
      </c>
      <c r="AD2515">
        <v>-1.1153267419470001</v>
      </c>
      <c r="AE2515">
        <v>-3.4453</v>
      </c>
      <c r="AF2515">
        <v>-4.1127254148834096</v>
      </c>
      <c r="AG2515">
        <v>-1.1153267419470001</v>
      </c>
      <c r="AH2515">
        <v>15.1102835283682</v>
      </c>
      <c r="AI2515">
        <v>94.073808908997407</v>
      </c>
      <c r="AJ2515">
        <v>105.22595887224</v>
      </c>
      <c r="AK2515">
        <v>15.699653893866699</v>
      </c>
      <c r="AL2515">
        <v>88.129330615866493</v>
      </c>
      <c r="AM2515">
        <v>89.2428501974385</v>
      </c>
      <c r="AN2515">
        <v>1.00000000945875</v>
      </c>
    </row>
    <row r="2516" spans="1:40" x14ac:dyDescent="0.25">
      <c r="A2516" t="str">
        <f>"20190312154600430"</f>
        <v>20190312154600430</v>
      </c>
      <c r="B2516" t="str">
        <f>"1552376760419501"</f>
        <v>1552376760419501</v>
      </c>
      <c r="C2516" t="s">
        <v>40</v>
      </c>
      <c r="D2516">
        <v>4.3666080000000003</v>
      </c>
      <c r="E2516">
        <v>0.37353229999999998</v>
      </c>
      <c r="F2516" t="s">
        <v>54</v>
      </c>
      <c r="G2516">
        <v>-464.9821</v>
      </c>
      <c r="H2516" s="1">
        <v>1.0753009999999999E-6</v>
      </c>
      <c r="I2516">
        <v>215.51169999999999</v>
      </c>
      <c r="J2516">
        <v>-480.46120000000002</v>
      </c>
      <c r="K2516">
        <v>1.1153120000000001</v>
      </c>
      <c r="L2516">
        <v>218.13630000000001</v>
      </c>
      <c r="M2516">
        <v>0.88843510000000003</v>
      </c>
      <c r="N2516">
        <v>0</v>
      </c>
      <c r="O2516">
        <v>-0.45877709999999999</v>
      </c>
      <c r="P2516">
        <v>0.88179050000000003</v>
      </c>
      <c r="Q2516">
        <v>1.8674679999999999E-2</v>
      </c>
      <c r="R2516">
        <v>-0.47127200000000002</v>
      </c>
      <c r="S2516">
        <v>3.1290279999999999</v>
      </c>
      <c r="T2516">
        <v>-0.22315560000000001</v>
      </c>
      <c r="U2516">
        <v>-0.53941349999999999</v>
      </c>
      <c r="V2516">
        <v>1.372757E-2</v>
      </c>
      <c r="W2516">
        <v>3.3235929999999997E-2</v>
      </c>
      <c r="X2516">
        <v>0.99935320000000005</v>
      </c>
      <c r="Y2516">
        <v>-0.29944019999999999</v>
      </c>
      <c r="Z2516">
        <v>4.1759900000000003E-2</v>
      </c>
      <c r="AA2516">
        <v>0.95320079999999996</v>
      </c>
      <c r="AB2516">
        <v>19</v>
      </c>
      <c r="AC2516">
        <v>15.479100000000001</v>
      </c>
      <c r="AD2516">
        <v>-1.1153109246990001</v>
      </c>
      <c r="AE2516">
        <v>-2.6246000000000098</v>
      </c>
      <c r="AF2516">
        <v>-4.7462109582815897</v>
      </c>
      <c r="AG2516">
        <v>-1.1153109246990001</v>
      </c>
      <c r="AH2516">
        <v>14.8827219618375</v>
      </c>
      <c r="AI2516">
        <v>94.083831690323194</v>
      </c>
      <c r="AJ2516">
        <v>107.687869959704</v>
      </c>
      <c r="AK2516">
        <v>15.6609658039543</v>
      </c>
      <c r="AL2516">
        <v>88.095370618868699</v>
      </c>
      <c r="AM2516">
        <v>89.213008614681002</v>
      </c>
      <c r="AN2516">
        <v>0.99999994578565299</v>
      </c>
    </row>
    <row r="2517" spans="1:40" x14ac:dyDescent="0.25">
      <c r="A2517" t="str">
        <f>"20190312154600452"</f>
        <v>20190312154600452</v>
      </c>
      <c r="B2517" t="str">
        <f>"1552376760449756"</f>
        <v>1552376760449756</v>
      </c>
      <c r="C2517" t="s">
        <v>40</v>
      </c>
      <c r="D2517">
        <v>4.3465999999999996</v>
      </c>
      <c r="E2517">
        <v>0.37484679999999998</v>
      </c>
      <c r="F2517" t="s">
        <v>54</v>
      </c>
      <c r="G2517">
        <v>-464.5908</v>
      </c>
      <c r="H2517" s="1">
        <v>8.6584360000000001E-7</v>
      </c>
      <c r="I2517">
        <v>215.53970000000001</v>
      </c>
      <c r="J2517">
        <v>-480.29050000000001</v>
      </c>
      <c r="K2517">
        <v>1.1152949999999999</v>
      </c>
      <c r="L2517">
        <v>218.06200000000001</v>
      </c>
      <c r="M2517">
        <v>0.89315959999999905</v>
      </c>
      <c r="N2517">
        <v>0</v>
      </c>
      <c r="O2517">
        <v>-0.44951010000000002</v>
      </c>
      <c r="P2517">
        <v>0.88647260000000005</v>
      </c>
      <c r="Q2517">
        <v>1.8820429999999999E-2</v>
      </c>
      <c r="R2517">
        <v>-0.46239859999999999</v>
      </c>
      <c r="S2517">
        <v>3.1328740000000002</v>
      </c>
      <c r="T2517">
        <v>-0.22016569999999999</v>
      </c>
      <c r="U2517">
        <v>-0.51257319999999995</v>
      </c>
      <c r="V2517">
        <v>1.4095079999999999E-2</v>
      </c>
      <c r="W2517">
        <v>3.3380809999999997E-2</v>
      </c>
      <c r="X2517">
        <v>0.99934330000000005</v>
      </c>
      <c r="Y2517">
        <v>-0.29772690000000002</v>
      </c>
      <c r="Z2517">
        <v>4.0562040000000001E-2</v>
      </c>
      <c r="AA2517">
        <v>0.953789</v>
      </c>
      <c r="AB2517">
        <v>19</v>
      </c>
      <c r="AC2517">
        <v>15.6997</v>
      </c>
      <c r="AD2517">
        <v>-1.1152941341564</v>
      </c>
      <c r="AE2517">
        <v>-2.5223</v>
      </c>
      <c r="AF2517">
        <v>-4.7813314472615502</v>
      </c>
      <c r="AG2517">
        <v>-1.1152941341564</v>
      </c>
      <c r="AH2517">
        <v>15.083498381299201</v>
      </c>
      <c r="AI2517">
        <v>94.031814971393899</v>
      </c>
      <c r="AJ2517">
        <v>107.588140338118</v>
      </c>
      <c r="AK2517">
        <v>15.862437859071701</v>
      </c>
      <c r="AL2517">
        <v>88.087065082849094</v>
      </c>
      <c r="AM2517">
        <v>89.191934292825096</v>
      </c>
      <c r="AN2517">
        <v>0.99999999050567601</v>
      </c>
    </row>
    <row r="2518" spans="1:40" x14ac:dyDescent="0.25">
      <c r="A2518" t="str">
        <f>"20190312154600477"</f>
        <v>20190312154600477</v>
      </c>
      <c r="B2518" t="str">
        <f>"1552376760469276"</f>
        <v>1552376760469276</v>
      </c>
      <c r="C2518" t="s">
        <v>40</v>
      </c>
      <c r="D2518">
        <v>4.368792</v>
      </c>
      <c r="E2518">
        <v>0.37625409999999998</v>
      </c>
      <c r="F2518" t="s">
        <v>54</v>
      </c>
      <c r="G2518">
        <v>-464.1875</v>
      </c>
      <c r="H2518" s="1">
        <v>6.5112499999999995E-7</v>
      </c>
      <c r="I2518">
        <v>215.54169999999999</v>
      </c>
      <c r="J2518">
        <v>-480.11</v>
      </c>
      <c r="K2518">
        <v>1.115283</v>
      </c>
      <c r="L2518">
        <v>217.98589999999999</v>
      </c>
      <c r="M2518">
        <v>0.8980245</v>
      </c>
      <c r="N2518">
        <v>0</v>
      </c>
      <c r="O2518">
        <v>-0.43971070000000001</v>
      </c>
      <c r="P2518">
        <v>0.89119649999999995</v>
      </c>
      <c r="Q2518">
        <v>1.8613290000000001E-2</v>
      </c>
      <c r="R2518">
        <v>-0.45323550000000001</v>
      </c>
      <c r="S2518">
        <v>3.1330260000000001</v>
      </c>
      <c r="T2518">
        <v>-0.21699360000000001</v>
      </c>
      <c r="U2518">
        <v>-0.49037170000000002</v>
      </c>
      <c r="V2518">
        <v>1.472998E-2</v>
      </c>
      <c r="W2518">
        <v>3.3175400000000001E-2</v>
      </c>
      <c r="X2518">
        <v>0.99934100000000003</v>
      </c>
      <c r="Y2518">
        <v>-0.29395490000000002</v>
      </c>
      <c r="Z2518">
        <v>3.9278519999999997E-2</v>
      </c>
      <c r="AA2518">
        <v>0.95501190000000002</v>
      </c>
      <c r="AB2518">
        <v>19</v>
      </c>
      <c r="AC2518">
        <v>15.922499999999999</v>
      </c>
      <c r="AD2518">
        <v>-1.1152823488750001</v>
      </c>
      <c r="AE2518">
        <v>-2.4441999999999902</v>
      </c>
      <c r="AF2518">
        <v>-4.7839078911960904</v>
      </c>
      <c r="AG2518">
        <v>-1.1152823488750001</v>
      </c>
      <c r="AH2518">
        <v>15.3017779527221</v>
      </c>
      <c r="AI2518">
        <v>93.979388109052394</v>
      </c>
      <c r="AJ2518">
        <v>107.36119577545701</v>
      </c>
      <c r="AK2518">
        <v>16.070906568814699</v>
      </c>
      <c r="AL2518">
        <v>88.098840762362997</v>
      </c>
      <c r="AM2518">
        <v>89.155538925464498</v>
      </c>
      <c r="AN2518">
        <v>1.00000000687848</v>
      </c>
    </row>
    <row r="2519" spans="1:40" x14ac:dyDescent="0.25">
      <c r="A2519" t="str">
        <f>"20190312154600498"</f>
        <v>20190312154600498</v>
      </c>
      <c r="B2519" t="str">
        <f>"1552376760489772"</f>
        <v>1552376760489772</v>
      </c>
      <c r="C2519" t="s">
        <v>40</v>
      </c>
      <c r="D2519">
        <v>4.3009649999999997</v>
      </c>
      <c r="E2519">
        <v>0.38481300000000002</v>
      </c>
      <c r="F2519" t="s">
        <v>54</v>
      </c>
      <c r="G2519">
        <v>-464.22719999999998</v>
      </c>
      <c r="H2519" s="1">
        <v>6.6906049999999899E-7</v>
      </c>
      <c r="I2519">
        <v>215.61539999999999</v>
      </c>
      <c r="J2519">
        <v>-479.9391</v>
      </c>
      <c r="K2519">
        <v>1.1152770000000001</v>
      </c>
      <c r="L2519">
        <v>217.91579999999999</v>
      </c>
      <c r="M2519">
        <v>0.90251479999999995</v>
      </c>
      <c r="N2519">
        <v>0</v>
      </c>
      <c r="O2519">
        <v>-0.430419</v>
      </c>
      <c r="P2519">
        <v>0.89573469999999999</v>
      </c>
      <c r="Q2519">
        <v>1.9033359999999999E-2</v>
      </c>
      <c r="R2519">
        <v>-0.44418160000000001</v>
      </c>
      <c r="S2519">
        <v>3.133057</v>
      </c>
      <c r="T2519">
        <v>-0.22000230000000001</v>
      </c>
      <c r="U2519">
        <v>-0.46760560000000001</v>
      </c>
      <c r="V2519">
        <v>1.491719E-2</v>
      </c>
      <c r="W2519">
        <v>3.3592400000000001E-2</v>
      </c>
      <c r="X2519">
        <v>0.99932430000000005</v>
      </c>
      <c r="Y2519">
        <v>-0.29085280000000002</v>
      </c>
      <c r="Z2519">
        <v>3.9163219999999999E-2</v>
      </c>
      <c r="AA2519">
        <v>0.95596590000000004</v>
      </c>
      <c r="AB2519">
        <v>19</v>
      </c>
      <c r="AC2519">
        <v>15.7119</v>
      </c>
      <c r="AD2519">
        <v>-1.1152763309395</v>
      </c>
      <c r="AE2519">
        <v>-2.30039999999999</v>
      </c>
      <c r="AF2519">
        <v>-4.6640323635670997</v>
      </c>
      <c r="AG2519">
        <v>-1.1152763309395</v>
      </c>
      <c r="AH2519">
        <v>15.0974517038097</v>
      </c>
      <c r="AI2519">
        <v>94.037273741875197</v>
      </c>
      <c r="AJ2519">
        <v>107.16740677064099</v>
      </c>
      <c r="AK2519">
        <v>15.8407729335289</v>
      </c>
      <c r="AL2519">
        <v>88.074935111496103</v>
      </c>
      <c r="AM2519">
        <v>89.144793581187997</v>
      </c>
      <c r="AN2519">
        <v>1.00000001423287</v>
      </c>
    </row>
    <row r="2520" spans="1:40" x14ac:dyDescent="0.25">
      <c r="A2520" t="str">
        <f>"20190312154600521"</f>
        <v>20190312154600521</v>
      </c>
      <c r="B2520" t="str">
        <f>"1552376760509292"</f>
        <v>1552376760509292</v>
      </c>
      <c r="C2520" t="s">
        <v>40</v>
      </c>
      <c r="D2520">
        <v>4.3123779999999998</v>
      </c>
      <c r="E2520">
        <v>0.3854977</v>
      </c>
      <c r="F2520" t="s">
        <v>54</v>
      </c>
      <c r="G2520">
        <v>-462.67880000000002</v>
      </c>
      <c r="H2520" s="1">
        <v>-1.3458540000000001E-7</v>
      </c>
      <c r="I2520">
        <v>215.14940000000001</v>
      </c>
      <c r="J2520">
        <v>-479.77289999999999</v>
      </c>
      <c r="K2520">
        <v>1.115267</v>
      </c>
      <c r="L2520">
        <v>217.84960000000001</v>
      </c>
      <c r="M2520">
        <v>0.90677300000000005</v>
      </c>
      <c r="N2520">
        <v>0</v>
      </c>
      <c r="O2520">
        <v>-0.42137439999999998</v>
      </c>
      <c r="P2520">
        <v>0.90033439999999998</v>
      </c>
      <c r="Q2520">
        <v>2.0106720000000002E-2</v>
      </c>
      <c r="R2520">
        <v>-0.43473400000000001</v>
      </c>
      <c r="S2520">
        <v>3.1065670000000001</v>
      </c>
      <c r="T2520">
        <v>-0.20073099999999999</v>
      </c>
      <c r="U2520">
        <v>-0.4979095</v>
      </c>
      <c r="V2520">
        <v>1.4393130000000001E-2</v>
      </c>
      <c r="W2520">
        <v>3.4653219999999998E-2</v>
      </c>
      <c r="X2520">
        <v>0.99929579999999996</v>
      </c>
      <c r="Y2520">
        <v>-0.27124599999999999</v>
      </c>
      <c r="Z2520">
        <v>3.4845670000000002E-2</v>
      </c>
      <c r="AA2520">
        <v>0.96187909999999999</v>
      </c>
      <c r="AB2520">
        <v>19</v>
      </c>
      <c r="AC2520">
        <v>17.094099999999901</v>
      </c>
      <c r="AD2520">
        <v>-1.1152671345853999</v>
      </c>
      <c r="AE2520">
        <v>-2.7001999999999899</v>
      </c>
      <c r="AF2520">
        <v>-4.7353722808292602</v>
      </c>
      <c r="AG2520">
        <v>-1.1152671345853999</v>
      </c>
      <c r="AH2520">
        <v>16.571160310767301</v>
      </c>
      <c r="AI2520">
        <v>93.702528248364601</v>
      </c>
      <c r="AJ2520">
        <v>105.947809471138</v>
      </c>
      <c r="AK2520">
        <v>17.270521864283101</v>
      </c>
      <c r="AL2520">
        <v>88.014119259137601</v>
      </c>
      <c r="AM2520">
        <v>89.174810318145006</v>
      </c>
      <c r="AN2520">
        <v>1.0000000518726</v>
      </c>
    </row>
    <row r="2521" spans="1:40" x14ac:dyDescent="0.25">
      <c r="A2521" t="str">
        <f>"20190312154600813"</f>
        <v>20190312154600813</v>
      </c>
      <c r="B2521" t="str">
        <f>"1552376760808924"</f>
        <v>1552376760808924</v>
      </c>
      <c r="C2521" t="s">
        <v>40</v>
      </c>
      <c r="D2521">
        <v>4.0952400000000004</v>
      </c>
      <c r="E2521">
        <v>0.3885055</v>
      </c>
      <c r="F2521" t="s">
        <v>54</v>
      </c>
      <c r="G2521">
        <v>-462.58589999999998</v>
      </c>
      <c r="H2521" s="1">
        <v>-1.8845020000000001E-7</v>
      </c>
      <c r="I2521">
        <v>215.2509</v>
      </c>
      <c r="J2521">
        <v>-477.51839999999999</v>
      </c>
      <c r="K2521">
        <v>1.114946</v>
      </c>
      <c r="L2521">
        <v>217.1337</v>
      </c>
      <c r="M2521">
        <v>0.95431410000000005</v>
      </c>
      <c r="N2521">
        <v>0</v>
      </c>
      <c r="O2521">
        <v>-0.29846329999999999</v>
      </c>
      <c r="P2521">
        <v>0.94959970000000005</v>
      </c>
      <c r="Q2521">
        <v>1.7299740000000001E-2</v>
      </c>
      <c r="R2521">
        <v>-0.31298740000000003</v>
      </c>
      <c r="S2521">
        <v>3.1095579999999998</v>
      </c>
      <c r="T2521">
        <v>-0.2017796</v>
      </c>
      <c r="U2521">
        <v>-0.4701843</v>
      </c>
      <c r="V2521">
        <v>1.489384E-2</v>
      </c>
      <c r="W2521">
        <v>3.1759950000000002E-2</v>
      </c>
      <c r="X2521">
        <v>0.99938450000000001</v>
      </c>
      <c r="Y2521">
        <v>-0.15154719999999999</v>
      </c>
      <c r="Z2521">
        <v>2.379291E-2</v>
      </c>
      <c r="AA2521">
        <v>0.98816369999999998</v>
      </c>
      <c r="AB2521">
        <v>18</v>
      </c>
      <c r="AC2521">
        <v>14.932499999999999</v>
      </c>
      <c r="AD2521">
        <v>-1.1149461884502001</v>
      </c>
      <c r="AE2521">
        <v>-1.8828</v>
      </c>
      <c r="AF2521">
        <v>-2.6457730601367899</v>
      </c>
      <c r="AG2521">
        <v>-1.1149461884502001</v>
      </c>
      <c r="AH2521">
        <v>14.7329047965078</v>
      </c>
      <c r="AI2521">
        <v>94.259851727297004</v>
      </c>
      <c r="AJ2521">
        <v>100.180806227742</v>
      </c>
      <c r="AK2521">
        <v>15.0100534253496</v>
      </c>
      <c r="AL2521">
        <v>88.179982755162698</v>
      </c>
      <c r="AM2521">
        <v>89.146183471360203</v>
      </c>
      <c r="AN2521">
        <v>0.99999994986709695</v>
      </c>
    </row>
    <row r="2522" spans="1:40" x14ac:dyDescent="0.25">
      <c r="A2522" t="str">
        <f>"20190312154600854"</f>
        <v>20190312154600854</v>
      </c>
      <c r="B2522" t="str">
        <f>"1552376760848940"</f>
        <v>1552376760848940</v>
      </c>
      <c r="C2522" t="s">
        <v>40</v>
      </c>
      <c r="D2522">
        <v>4.0726839999999997</v>
      </c>
      <c r="E2522">
        <v>0.38411269999999997</v>
      </c>
      <c r="F2522" t="s">
        <v>54</v>
      </c>
      <c r="G2522">
        <v>-453.9178</v>
      </c>
      <c r="H2522" s="1">
        <v>4.6602510000000001E-7</v>
      </c>
      <c r="I2522">
        <v>216.49350000000001</v>
      </c>
      <c r="J2522">
        <v>-477.19290000000001</v>
      </c>
      <c r="K2522">
        <v>1.114879</v>
      </c>
      <c r="L2522">
        <v>217.0564</v>
      </c>
      <c r="M2522">
        <v>0.95962890000000001</v>
      </c>
      <c r="N2522">
        <v>0</v>
      </c>
      <c r="O2522">
        <v>-0.28090690000000001</v>
      </c>
      <c r="P2522">
        <v>0.95469029999999999</v>
      </c>
      <c r="Q2522">
        <v>1.633327E-2</v>
      </c>
      <c r="R2522">
        <v>-0.29715269999999999</v>
      </c>
      <c r="S2522">
        <v>3.1339419999999998</v>
      </c>
      <c r="T2522">
        <v>-0.148054399999999</v>
      </c>
      <c r="U2522">
        <v>-8.5021970000000002E-2</v>
      </c>
      <c r="V2522">
        <v>1.6620079999999999E-2</v>
      </c>
      <c r="W2522">
        <v>3.079339E-2</v>
      </c>
      <c r="X2522">
        <v>0.99938760000000004</v>
      </c>
      <c r="Y2522">
        <v>-0.2542161</v>
      </c>
      <c r="Z2522">
        <v>1.9113660000000001E-2</v>
      </c>
      <c r="AA2522">
        <v>0.9669586</v>
      </c>
      <c r="AB2522">
        <v>18</v>
      </c>
      <c r="AC2522">
        <v>23.275099999999998</v>
      </c>
      <c r="AD2522">
        <v>-1.1148785339748899</v>
      </c>
      <c r="AE2522">
        <v>-0.56289999999998397</v>
      </c>
      <c r="AF2522">
        <v>-5.9848483299640201</v>
      </c>
      <c r="AG2522">
        <v>-1.1148785339748899</v>
      </c>
      <c r="AH2522">
        <v>22.444405607755201</v>
      </c>
      <c r="AI2522">
        <v>92.747851380399396</v>
      </c>
      <c r="AJ2522">
        <v>104.930639028494</v>
      </c>
      <c r="AK2522">
        <v>23.2553801681164</v>
      </c>
      <c r="AL2522">
        <v>88.235389795090001</v>
      </c>
      <c r="AM2522">
        <v>89.047243865931904</v>
      </c>
      <c r="AN2522">
        <v>1.0000000174803201</v>
      </c>
    </row>
    <row r="2523" spans="1:40" x14ac:dyDescent="0.25">
      <c r="A2523" t="str">
        <f>"20190312154600877"</f>
        <v>20190312154600877</v>
      </c>
      <c r="B2523" t="str">
        <f>"1552376760869436"</f>
        <v>1552376760869436</v>
      </c>
      <c r="C2523" t="s">
        <v>40</v>
      </c>
      <c r="D2523">
        <v>4.3398890000000003</v>
      </c>
      <c r="E2523">
        <v>0.40933520000000001</v>
      </c>
      <c r="F2523" t="s">
        <v>54</v>
      </c>
      <c r="G2523">
        <v>-450.78160000000003</v>
      </c>
      <c r="H2523" s="1">
        <v>-1.2277680000000001E-6</v>
      </c>
      <c r="I2523">
        <v>217.06180000000001</v>
      </c>
      <c r="J2523">
        <v>-477.01510000000002</v>
      </c>
      <c r="K2523">
        <v>1.114835</v>
      </c>
      <c r="L2523">
        <v>217.01669999999999</v>
      </c>
      <c r="M2523">
        <v>0.96236829999999995</v>
      </c>
      <c r="N2523">
        <v>0</v>
      </c>
      <c r="O2523">
        <v>-0.27137489999999997</v>
      </c>
      <c r="P2523">
        <v>0.95737680000000003</v>
      </c>
      <c r="Q2523">
        <v>1.6979859999999999E-2</v>
      </c>
      <c r="R2523">
        <v>-0.28834320000000002</v>
      </c>
      <c r="S2523">
        <v>3.1448969999999998</v>
      </c>
      <c r="T2523">
        <v>-0.13275329999999999</v>
      </c>
      <c r="U2523">
        <v>6.408691E-4</v>
      </c>
      <c r="V2523">
        <v>1.7322899999999999E-2</v>
      </c>
      <c r="W2523">
        <v>3.1434900000000002E-2</v>
      </c>
      <c r="X2523">
        <v>0.99935569999999896</v>
      </c>
      <c r="Y2523">
        <v>-0.27112009999999998</v>
      </c>
      <c r="Z2523">
        <v>1.7061679999999999E-2</v>
      </c>
      <c r="AA2523">
        <v>0.96239430000000004</v>
      </c>
      <c r="AB2523">
        <v>18</v>
      </c>
      <c r="AC2523">
        <v>26.2334999999999</v>
      </c>
      <c r="AD2523">
        <v>-1.114836227768</v>
      </c>
      <c r="AE2523">
        <v>4.5100000000019201E-2</v>
      </c>
      <c r="AF2523">
        <v>-7.1503298472304797</v>
      </c>
      <c r="AG2523">
        <v>-1.114836227768</v>
      </c>
      <c r="AH2523">
        <v>25.191116235647598</v>
      </c>
      <c r="AI2523">
        <v>92.437801048775697</v>
      </c>
      <c r="AJ2523">
        <v>105.846238541763</v>
      </c>
      <c r="AK2523">
        <v>26.209967835479102</v>
      </c>
      <c r="AL2523">
        <v>88.198616189571297</v>
      </c>
      <c r="AM2523">
        <v>89.006930496851595</v>
      </c>
      <c r="AN2523">
        <v>1.0000000254624499</v>
      </c>
    </row>
    <row r="2524" spans="1:40" x14ac:dyDescent="0.25">
      <c r="A2524" t="str">
        <f>"20190312154600899"</f>
        <v>20190312154600899</v>
      </c>
      <c r="B2524" t="str">
        <f>"1552376760888956"</f>
        <v>1552376760888956</v>
      </c>
      <c r="C2524" t="s">
        <v>40</v>
      </c>
      <c r="D2524">
        <v>4.3208260000000003</v>
      </c>
      <c r="E2524">
        <v>0.41008699999999998</v>
      </c>
      <c r="F2524" t="s">
        <v>54</v>
      </c>
      <c r="G2524">
        <v>-448.95490000000001</v>
      </c>
      <c r="H2524" s="1">
        <v>3.1886470000000001E-6</v>
      </c>
      <c r="I2524">
        <v>215.529</v>
      </c>
      <c r="J2524">
        <v>-476.84019999999998</v>
      </c>
      <c r="K2524">
        <v>1.1147830000000001</v>
      </c>
      <c r="L2524">
        <v>216.9794</v>
      </c>
      <c r="M2524">
        <v>0.964947</v>
      </c>
      <c r="N2524">
        <v>0</v>
      </c>
      <c r="O2524">
        <v>-0.26205780000000001</v>
      </c>
      <c r="P2524">
        <v>0.95984230000000004</v>
      </c>
      <c r="Q2524">
        <v>1.7501019999999999E-2</v>
      </c>
      <c r="R2524">
        <v>-0.27999380000000001</v>
      </c>
      <c r="S2524">
        <v>3.086487</v>
      </c>
      <c r="T2524">
        <v>-0.1226261</v>
      </c>
      <c r="U2524">
        <v>-0.16363529999999901</v>
      </c>
      <c r="V2524">
        <v>1.8282030000000001E-2</v>
      </c>
      <c r="W2524">
        <v>3.1952019999999998E-2</v>
      </c>
      <c r="X2524">
        <v>0.99932220000000005</v>
      </c>
      <c r="Y2524">
        <v>-0.21025849999999999</v>
      </c>
      <c r="Z2524">
        <v>1.4462890000000001E-2</v>
      </c>
      <c r="AA2524">
        <v>0.97753880000000004</v>
      </c>
      <c r="AB2524">
        <v>18</v>
      </c>
      <c r="AC2524">
        <v>27.885299999999901</v>
      </c>
      <c r="AD2524">
        <v>-1.1147798113529901</v>
      </c>
      <c r="AE2524">
        <v>-1.4503999999999699</v>
      </c>
      <c r="AF2524">
        <v>-5.8991984012497101</v>
      </c>
      <c r="AG2524">
        <v>-1.1147798113529901</v>
      </c>
      <c r="AH2524">
        <v>27.247266580361799</v>
      </c>
      <c r="AI2524">
        <v>92.289866087390195</v>
      </c>
      <c r="AJ2524">
        <v>102.21633305308001</v>
      </c>
      <c r="AK2524">
        <v>27.9008389104415</v>
      </c>
      <c r="AL2524">
        <v>88.168972479565994</v>
      </c>
      <c r="AM2524">
        <v>88.951923289587796</v>
      </c>
      <c r="AN2524">
        <v>1.00000001180792</v>
      </c>
    </row>
    <row r="2525" spans="1:40" x14ac:dyDescent="0.25">
      <c r="A2525" t="str">
        <f>"20190312154600922"</f>
        <v>20190312154600922</v>
      </c>
      <c r="B2525" t="str">
        <f>"1552376760909452"</f>
        <v>1552376760909452</v>
      </c>
      <c r="C2525" t="s">
        <v>40</v>
      </c>
      <c r="D2525">
        <v>4.3879510000000002</v>
      </c>
      <c r="E2525">
        <v>0.41070649999999997</v>
      </c>
      <c r="F2525" t="s">
        <v>54</v>
      </c>
      <c r="G2525">
        <v>-448.73939999999999</v>
      </c>
      <c r="H2525" s="1">
        <v>3.067368E-6</v>
      </c>
      <c r="I2525">
        <v>215.68029999999999</v>
      </c>
      <c r="J2525">
        <v>-476.66669999999999</v>
      </c>
      <c r="K2525">
        <v>1.1147180000000001</v>
      </c>
      <c r="L2525">
        <v>216.94399999999999</v>
      </c>
      <c r="M2525">
        <v>0.96738829999999998</v>
      </c>
      <c r="N2525">
        <v>0</v>
      </c>
      <c r="O2525">
        <v>-0.25289820000000002</v>
      </c>
      <c r="P2525">
        <v>0.96221210000000001</v>
      </c>
      <c r="Q2525">
        <v>1.7097330000000001E-2</v>
      </c>
      <c r="R2525">
        <v>-0.2717639</v>
      </c>
      <c r="S2525">
        <v>3.0861510000000001</v>
      </c>
      <c r="T2525">
        <v>-0.12242980000000001</v>
      </c>
      <c r="U2525">
        <v>-0.14266970000000001</v>
      </c>
      <c r="V2525">
        <v>1.920678E-2</v>
      </c>
      <c r="W2525">
        <v>3.153976E-2</v>
      </c>
      <c r="X2525">
        <v>0.99931789999999998</v>
      </c>
      <c r="Y2525">
        <v>-0.20761869999999999</v>
      </c>
      <c r="Z2525">
        <v>1.404131E-2</v>
      </c>
      <c r="AA2525">
        <v>0.97810909999999995</v>
      </c>
      <c r="AB2525">
        <v>18</v>
      </c>
      <c r="AC2525">
        <v>27.927299999999999</v>
      </c>
      <c r="AD2525">
        <v>-1.1147149326320001</v>
      </c>
      <c r="AE2525">
        <v>-1.26370000000002</v>
      </c>
      <c r="AF2525">
        <v>-5.8315944660764298</v>
      </c>
      <c r="AG2525">
        <v>-1.1147149326320001</v>
      </c>
      <c r="AH2525">
        <v>27.2954989805718</v>
      </c>
      <c r="AI2525">
        <v>92.287033649027805</v>
      </c>
      <c r="AJ2525">
        <v>102.05974944529</v>
      </c>
      <c r="AK2525">
        <v>27.933749264934001</v>
      </c>
      <c r="AL2525">
        <v>88.192605057286301</v>
      </c>
      <c r="AM2525">
        <v>88.898916994971799</v>
      </c>
      <c r="AN2525">
        <v>0.99999996105961697</v>
      </c>
    </row>
    <row r="2526" spans="1:40" x14ac:dyDescent="0.25">
      <c r="A2526" t="str">
        <f>"20190312154600967"</f>
        <v>20190312154600967</v>
      </c>
      <c r="B2526" t="str">
        <f>"1552376760959791"</f>
        <v>1552376760959791</v>
      </c>
      <c r="C2526" t="s">
        <v>40</v>
      </c>
      <c r="D2526">
        <v>4.337275</v>
      </c>
      <c r="E2526">
        <v>0.4110895</v>
      </c>
      <c r="F2526" t="s">
        <v>54</v>
      </c>
      <c r="G2526">
        <v>-448.62990000000002</v>
      </c>
      <c r="H2526" s="1">
        <v>3.0017469999999998E-6</v>
      </c>
      <c r="I2526">
        <v>215.84809999999999</v>
      </c>
      <c r="J2526">
        <v>-476.31900000000002</v>
      </c>
      <c r="K2526">
        <v>1.1145119999999999</v>
      </c>
      <c r="L2526">
        <v>216.87780000000001</v>
      </c>
      <c r="M2526">
        <v>0.97191099999999997</v>
      </c>
      <c r="N2526">
        <v>0</v>
      </c>
      <c r="O2526">
        <v>-0.23492109999999999</v>
      </c>
      <c r="P2526">
        <v>0.96639249999999999</v>
      </c>
      <c r="Q2526">
        <v>1.7394670000000001E-2</v>
      </c>
      <c r="R2526">
        <v>-0.25648219999999999</v>
      </c>
      <c r="S2526">
        <v>3.0858759999999998</v>
      </c>
      <c r="T2526">
        <v>-0.12269090000000001</v>
      </c>
      <c r="U2526">
        <v>-0.120620699999999</v>
      </c>
      <c r="V2526">
        <v>2.1912350000000001E-2</v>
      </c>
      <c r="W2526">
        <v>3.181428E-2</v>
      </c>
      <c r="X2526">
        <v>0.99925359999999996</v>
      </c>
      <c r="Y2526">
        <v>-0.19646369999999999</v>
      </c>
      <c r="Z2526">
        <v>1.3159489999999999E-2</v>
      </c>
      <c r="AA2526">
        <v>0.98042280000000004</v>
      </c>
      <c r="AB2526">
        <v>18</v>
      </c>
      <c r="AC2526">
        <v>27.6891</v>
      </c>
      <c r="AD2526">
        <v>-1.1145089982529901</v>
      </c>
      <c r="AE2526">
        <v>-1.0297000000000101</v>
      </c>
      <c r="AF2526">
        <v>-5.49563919417007</v>
      </c>
      <c r="AG2526">
        <v>-1.1145089982529901</v>
      </c>
      <c r="AH2526">
        <v>27.112105157082102</v>
      </c>
      <c r="AI2526">
        <v>92.307090036974103</v>
      </c>
      <c r="AJ2526">
        <v>101.458635024204</v>
      </c>
      <c r="AK2526">
        <v>27.685924700258099</v>
      </c>
      <c r="AL2526">
        <v>88.176868444501807</v>
      </c>
      <c r="AM2526">
        <v>88.743778365071606</v>
      </c>
      <c r="AN2526">
        <v>1.0000000283037001</v>
      </c>
    </row>
    <row r="2527" spans="1:40" x14ac:dyDescent="0.25">
      <c r="A2527" t="str">
        <f>"20190312154600992"</f>
        <v>20190312154600992</v>
      </c>
      <c r="B2527" t="str">
        <f>"1552376760979311"</f>
        <v>1552376760979311</v>
      </c>
      <c r="C2527" t="s">
        <v>40</v>
      </c>
      <c r="D2527">
        <v>4.3944809999999999</v>
      </c>
      <c r="E2527">
        <v>0.41351260000000001</v>
      </c>
      <c r="F2527" t="s">
        <v>54</v>
      </c>
      <c r="G2527">
        <v>-399.67570000000001</v>
      </c>
      <c r="H2527" s="1">
        <v>3.6121149999999999E-6</v>
      </c>
      <c r="I2527">
        <v>214.9342</v>
      </c>
      <c r="J2527">
        <v>-476.11290000000002</v>
      </c>
      <c r="K2527">
        <v>1.114387</v>
      </c>
      <c r="L2527">
        <v>216.84139999999999</v>
      </c>
      <c r="M2527">
        <v>0.97436670000000003</v>
      </c>
      <c r="N2527">
        <v>0</v>
      </c>
      <c r="O2527">
        <v>-0.224519</v>
      </c>
      <c r="P2527">
        <v>0.96888399999999997</v>
      </c>
      <c r="Q2527">
        <v>1.877682E-2</v>
      </c>
      <c r="R2527">
        <v>-0.24680199999999999</v>
      </c>
      <c r="S2527">
        <v>3.0843509999999998</v>
      </c>
      <c r="T2527">
        <v>-4.4851059999999998E-2</v>
      </c>
      <c r="U2527">
        <v>-7.8216549999999996E-2</v>
      </c>
      <c r="V2527">
        <v>2.2598859999999998E-2</v>
      </c>
      <c r="W2527">
        <v>3.3167299999999997E-2</v>
      </c>
      <c r="X2527">
        <v>0.99919429999999998</v>
      </c>
      <c r="Y2527">
        <v>-0.19972119999999999</v>
      </c>
      <c r="Z2527">
        <v>4.6928539999999998E-3</v>
      </c>
      <c r="AA2527">
        <v>0.97984150000000003</v>
      </c>
      <c r="AB2527">
        <v>18</v>
      </c>
      <c r="AC2527">
        <v>76.437200000000004</v>
      </c>
      <c r="AD2527">
        <v>-1.114383387885</v>
      </c>
      <c r="AE2527">
        <v>-1.90719999999998</v>
      </c>
      <c r="AF2527">
        <v>-15.3015775390621</v>
      </c>
      <c r="AG2527">
        <v>-1.114383387885</v>
      </c>
      <c r="AH2527">
        <v>74.8976753375714</v>
      </c>
      <c r="AI2527">
        <v>90.835177579949303</v>
      </c>
      <c r="AJ2527">
        <v>101.546618531288</v>
      </c>
      <c r="AK2527">
        <v>76.452873696751098</v>
      </c>
      <c r="AL2527">
        <v>88.099305126700699</v>
      </c>
      <c r="AM2527">
        <v>88.704357513990104</v>
      </c>
      <c r="AN2527">
        <v>1.00000001370753</v>
      </c>
    </row>
    <row r="2528" spans="1:40" x14ac:dyDescent="0.25">
      <c r="A2528" t="str">
        <f>"20190312154601035"</f>
        <v>20190312154601035</v>
      </c>
      <c r="B2528" t="str">
        <f>"1552376761029087"</f>
        <v>1552376761029087</v>
      </c>
      <c r="C2528" t="s">
        <v>40</v>
      </c>
      <c r="D2528">
        <v>4.5264069999999998</v>
      </c>
      <c r="E2528">
        <v>0.41757729999999998</v>
      </c>
      <c r="F2528" t="s">
        <v>57</v>
      </c>
      <c r="G2528">
        <v>-415.58249999999998</v>
      </c>
      <c r="H2528" s="1">
        <v>3.1147789999999999E-6</v>
      </c>
      <c r="I2528">
        <v>215.5453</v>
      </c>
      <c r="J2528">
        <v>-475.78149999999999</v>
      </c>
      <c r="K2528">
        <v>1.114198</v>
      </c>
      <c r="L2528">
        <v>216.78710000000001</v>
      </c>
      <c r="M2528">
        <v>0.97797829999999997</v>
      </c>
      <c r="N2528">
        <v>0</v>
      </c>
      <c r="O2528">
        <v>-0.2082292</v>
      </c>
      <c r="P2528">
        <v>0.97235930000000004</v>
      </c>
      <c r="Q2528">
        <v>1.983095E-2</v>
      </c>
      <c r="R2528">
        <v>-0.23264670000000001</v>
      </c>
      <c r="S2528">
        <v>3.0806269999999998</v>
      </c>
      <c r="T2528">
        <v>-5.6715370000000001E-2</v>
      </c>
      <c r="U2528">
        <v>-6.5963750000000002E-2</v>
      </c>
      <c r="V2528">
        <v>2.4711400000000001E-2</v>
      </c>
      <c r="W2528">
        <v>3.418525E-2</v>
      </c>
      <c r="X2528">
        <v>0.99911000000000005</v>
      </c>
      <c r="Y2528">
        <v>-0.18719749999999999</v>
      </c>
      <c r="Z2528">
        <v>5.5326489999999997E-3</v>
      </c>
      <c r="AA2528">
        <v>0.98230669999999998</v>
      </c>
      <c r="AB2528">
        <v>18</v>
      </c>
      <c r="AC2528">
        <v>60.198999999999998</v>
      </c>
      <c r="AD2528">
        <v>-1.114194885221</v>
      </c>
      <c r="AE2528">
        <v>-1.24180000000001</v>
      </c>
      <c r="AF2528">
        <v>-11.3179874898173</v>
      </c>
      <c r="AG2528">
        <v>-1.114194885221</v>
      </c>
      <c r="AH2528">
        <v>59.117537513204297</v>
      </c>
      <c r="AI2528">
        <v>91.060476923988304</v>
      </c>
      <c r="AJ2528">
        <v>100.83806911798401</v>
      </c>
      <c r="AK2528">
        <v>60.201507561580499</v>
      </c>
      <c r="AL2528">
        <v>88.040947833848506</v>
      </c>
      <c r="AM2528">
        <v>88.583168701678503</v>
      </c>
      <c r="AN2528">
        <v>1.0000000383537599</v>
      </c>
    </row>
    <row r="2529" spans="1:40" x14ac:dyDescent="0.25">
      <c r="A2529" t="str">
        <f>"20190312154601077"</f>
        <v>20190312154601077</v>
      </c>
      <c r="B2529" t="str">
        <f>"1552376761068979"</f>
        <v>1552376761068979</v>
      </c>
      <c r="C2529" t="s">
        <v>40</v>
      </c>
      <c r="D2529">
        <v>4.5134850000000002</v>
      </c>
      <c r="E2529">
        <v>0.42697370000000001</v>
      </c>
      <c r="F2529" t="s">
        <v>57</v>
      </c>
      <c r="G2529">
        <v>-426.04489999999998</v>
      </c>
      <c r="H2529" s="1">
        <v>2.7764869999999999E-6</v>
      </c>
      <c r="I2529">
        <v>215.94159999999999</v>
      </c>
      <c r="J2529">
        <v>-475.45609999999999</v>
      </c>
      <c r="K2529">
        <v>1.1139460000000001</v>
      </c>
      <c r="L2529">
        <v>216.73830000000001</v>
      </c>
      <c r="M2529">
        <v>0.98110549999999996</v>
      </c>
      <c r="N2529">
        <v>0</v>
      </c>
      <c r="O2529">
        <v>-0.1929622</v>
      </c>
      <c r="P2529">
        <v>0.97577199999999997</v>
      </c>
      <c r="Q2529">
        <v>1.999865E-2</v>
      </c>
      <c r="R2529">
        <v>-0.21787400000000001</v>
      </c>
      <c r="S2529">
        <v>3.0741879999999999</v>
      </c>
      <c r="T2529">
        <v>-6.8867680000000001E-2</v>
      </c>
      <c r="U2529">
        <v>-5.2261349999999998E-2</v>
      </c>
      <c r="V2529">
        <v>2.5150990000000002E-2</v>
      </c>
      <c r="W2529">
        <v>3.4284849999999999E-2</v>
      </c>
      <c r="X2529">
        <v>0.99909559999999997</v>
      </c>
      <c r="Y2529">
        <v>-0.17618329999999999</v>
      </c>
      <c r="Z2529">
        <v>6.2730479999999998E-3</v>
      </c>
      <c r="AA2529">
        <v>0.98433740000000003</v>
      </c>
      <c r="AB2529">
        <v>18</v>
      </c>
      <c r="AC2529">
        <v>49.411200000000001</v>
      </c>
      <c r="AD2529">
        <v>-1.11394322351299</v>
      </c>
      <c r="AE2529">
        <v>-0.79670000000001495</v>
      </c>
      <c r="AF2529">
        <v>-8.7492663208545007</v>
      </c>
      <c r="AG2529">
        <v>-1.11394322351299</v>
      </c>
      <c r="AH2529">
        <v>48.611438020291502</v>
      </c>
      <c r="AI2529">
        <v>91.291965273358699</v>
      </c>
      <c r="AJ2529">
        <v>100.203068928867</v>
      </c>
      <c r="AK2529">
        <v>49.405085133608402</v>
      </c>
      <c r="AL2529">
        <v>88.035237792352206</v>
      </c>
      <c r="AM2529">
        <v>88.557954526336403</v>
      </c>
      <c r="AN2529">
        <v>1.0000000205884301</v>
      </c>
    </row>
    <row r="2530" spans="1:40" x14ac:dyDescent="0.25">
      <c r="A2530" t="str">
        <f>"20190312154601121"</f>
        <v>20190312154601121</v>
      </c>
      <c r="B2530" t="str">
        <f>"1552376761108995"</f>
        <v>1552376761108995</v>
      </c>
      <c r="C2530" t="s">
        <v>40</v>
      </c>
      <c r="D2530">
        <v>4.5224739999999999</v>
      </c>
      <c r="E2530">
        <v>0.4298401</v>
      </c>
      <c r="F2530" t="s">
        <v>54</v>
      </c>
      <c r="G2530">
        <v>-448.82830000000001</v>
      </c>
      <c r="H2530" s="1">
        <v>3.0977020000000001E-6</v>
      </c>
      <c r="I2530">
        <v>216.0685</v>
      </c>
      <c r="J2530">
        <v>-475.1069</v>
      </c>
      <c r="K2530">
        <v>1.1136200000000001</v>
      </c>
      <c r="L2530">
        <v>216.69049999999999</v>
      </c>
      <c r="M2530">
        <v>0.98402420000000002</v>
      </c>
      <c r="N2530">
        <v>0</v>
      </c>
      <c r="O2530">
        <v>-0.17748420000000001</v>
      </c>
      <c r="P2530">
        <v>0.97920980000000002</v>
      </c>
      <c r="Q2530">
        <v>2.0918740000000002E-2</v>
      </c>
      <c r="R2530">
        <v>-0.20176839999999999</v>
      </c>
      <c r="S2530">
        <v>3.0599669999999999</v>
      </c>
      <c r="T2530">
        <v>-0.12801029999999999</v>
      </c>
      <c r="U2530">
        <v>-7.6980590000000002E-2</v>
      </c>
      <c r="V2530">
        <v>2.445226E-2</v>
      </c>
      <c r="W2530">
        <v>3.5107380000000001E-2</v>
      </c>
      <c r="X2530">
        <v>0.99908439999999998</v>
      </c>
      <c r="Y2530">
        <v>-0.15240870000000001</v>
      </c>
      <c r="Z2530">
        <v>1.0573340000000001E-2</v>
      </c>
      <c r="AA2530">
        <v>0.98826099999999995</v>
      </c>
      <c r="AB2530">
        <v>18</v>
      </c>
      <c r="AC2530">
        <v>26.278599999999901</v>
      </c>
      <c r="AD2530">
        <v>-1.113616902298</v>
      </c>
      <c r="AE2530">
        <v>-0.62199999999998501</v>
      </c>
      <c r="AF2530">
        <v>-4.0451095611924996</v>
      </c>
      <c r="AG2530">
        <v>-1.113616902298</v>
      </c>
      <c r="AH2530">
        <v>25.925184029981299</v>
      </c>
      <c r="AI2530">
        <v>92.430260505980101</v>
      </c>
      <c r="AJ2530">
        <v>98.868360754982405</v>
      </c>
      <c r="AK2530">
        <v>26.2624869529816</v>
      </c>
      <c r="AL2530">
        <v>87.988081940847493</v>
      </c>
      <c r="AM2530">
        <v>88.5979846563541</v>
      </c>
      <c r="AN2530">
        <v>1.0000000397364599</v>
      </c>
    </row>
    <row r="2531" spans="1:40" x14ac:dyDescent="0.25">
      <c r="A2531" t="str">
        <f>"20190312154601144"</f>
        <v>20190312154601144</v>
      </c>
      <c r="B2531" t="str">
        <f>"1552376761139252"</f>
        <v>1552376761139252</v>
      </c>
      <c r="C2531" t="s">
        <v>40</v>
      </c>
      <c r="D2531">
        <v>4.5309609999999996</v>
      </c>
      <c r="E2531">
        <v>0.43162270000000003</v>
      </c>
      <c r="F2531" t="s">
        <v>54</v>
      </c>
      <c r="G2531">
        <v>-446.91969999999998</v>
      </c>
      <c r="H2531" s="1">
        <v>2.0749569999999999E-6</v>
      </c>
      <c r="I2531">
        <v>216.23060000000001</v>
      </c>
      <c r="J2531">
        <v>-474.9264</v>
      </c>
      <c r="K2531">
        <v>1.113432</v>
      </c>
      <c r="L2531">
        <v>216.66739999999999</v>
      </c>
      <c r="M2531">
        <v>0.98536069999999998</v>
      </c>
      <c r="N2531">
        <v>0</v>
      </c>
      <c r="O2531">
        <v>-0.1699109</v>
      </c>
      <c r="P2531">
        <v>0.98064709999999999</v>
      </c>
      <c r="Q2531">
        <v>2.037696E-2</v>
      </c>
      <c r="R2531">
        <v>-0.1947208</v>
      </c>
      <c r="S2531">
        <v>3.0560299999999998</v>
      </c>
      <c r="T2531">
        <v>-0.12073739999999999</v>
      </c>
      <c r="U2531">
        <v>-4.9865720000000002E-2</v>
      </c>
      <c r="V2531">
        <v>2.496978E-2</v>
      </c>
      <c r="W2531">
        <v>3.4520750000000003E-2</v>
      </c>
      <c r="X2531">
        <v>0.99909199999999998</v>
      </c>
      <c r="Y2531">
        <v>-0.15357599999999999</v>
      </c>
      <c r="Z2531">
        <v>9.7158580000000008E-3</v>
      </c>
      <c r="AA2531">
        <v>0.98808910000000005</v>
      </c>
      <c r="AB2531">
        <v>18</v>
      </c>
      <c r="AC2531">
        <v>28.006699999999999</v>
      </c>
      <c r="AD2531">
        <v>-1.113429925043</v>
      </c>
      <c r="AE2531">
        <v>-0.43679999999997599</v>
      </c>
      <c r="AF2531">
        <v>-4.3218300907143998</v>
      </c>
      <c r="AG2531">
        <v>-1.113429925043</v>
      </c>
      <c r="AH2531">
        <v>27.629951789248999</v>
      </c>
      <c r="AI2531">
        <v>92.279959642906405</v>
      </c>
      <c r="AJ2531">
        <v>98.890071982840198</v>
      </c>
      <c r="AK2531">
        <v>27.988072055917101</v>
      </c>
      <c r="AL2531">
        <v>88.021713668460293</v>
      </c>
      <c r="AM2531">
        <v>88.568334802392101</v>
      </c>
      <c r="AN2531">
        <v>0.99999999827890496</v>
      </c>
    </row>
    <row r="2532" spans="1:40" x14ac:dyDescent="0.25">
      <c r="A2532" t="str">
        <f>"20190312154601167"</f>
        <v>20190312154601167</v>
      </c>
      <c r="B2532" t="str">
        <f>"1552376761159573"</f>
        <v>1552376761159573</v>
      </c>
      <c r="C2532" t="s">
        <v>40</v>
      </c>
      <c r="D2532">
        <v>4.4048889999999998</v>
      </c>
      <c r="E2532">
        <v>0.43136799999999997</v>
      </c>
      <c r="F2532" t="s">
        <v>54</v>
      </c>
      <c r="G2532">
        <v>-444.8415</v>
      </c>
      <c r="H2532" s="1">
        <v>9.6818429999999991E-7</v>
      </c>
      <c r="I2532">
        <v>216.25040000000001</v>
      </c>
      <c r="J2532">
        <v>-474.74619999999999</v>
      </c>
      <c r="K2532">
        <v>1.1132299999999999</v>
      </c>
      <c r="L2532">
        <v>216.6455</v>
      </c>
      <c r="M2532">
        <v>0.98657550000000005</v>
      </c>
      <c r="N2532">
        <v>0</v>
      </c>
      <c r="O2532">
        <v>-0.16271279999999999</v>
      </c>
      <c r="P2532">
        <v>0.98195399999999999</v>
      </c>
      <c r="Q2532">
        <v>2.0113309999999999E-2</v>
      </c>
      <c r="R2532">
        <v>-0.1880481</v>
      </c>
      <c r="S2532">
        <v>3.053131</v>
      </c>
      <c r="T2532">
        <v>-0.11299530000000001</v>
      </c>
      <c r="U2532">
        <v>-4.2327879999999998E-2</v>
      </c>
      <c r="V2532">
        <v>2.5487969999999999E-2</v>
      </c>
      <c r="W2532">
        <v>3.4208599999999999E-2</v>
      </c>
      <c r="X2532">
        <v>0.99908969999999997</v>
      </c>
      <c r="Y2532">
        <v>-0.14882279999999901</v>
      </c>
      <c r="Z2532">
        <v>8.7511380000000003E-3</v>
      </c>
      <c r="AA2532">
        <v>0.98882510000000001</v>
      </c>
      <c r="AB2532">
        <v>18</v>
      </c>
      <c r="AC2532">
        <v>29.904699999999899</v>
      </c>
      <c r="AD2532">
        <v>-1.1132290318157001</v>
      </c>
      <c r="AE2532">
        <v>-0.39509999999998502</v>
      </c>
      <c r="AF2532">
        <v>-4.4703204872218603</v>
      </c>
      <c r="AG2532">
        <v>-1.1132290318157001</v>
      </c>
      <c r="AH2532">
        <v>29.529476878920399</v>
      </c>
      <c r="AI2532">
        <v>92.134666840901303</v>
      </c>
      <c r="AJ2532">
        <v>98.608359456347699</v>
      </c>
      <c r="AK2532">
        <v>29.886670086820502</v>
      </c>
      <c r="AL2532">
        <v>88.039609211036606</v>
      </c>
      <c r="AM2532">
        <v>88.538633294348401</v>
      </c>
      <c r="AN2532">
        <v>1.00000004678738</v>
      </c>
    </row>
    <row r="2533" spans="1:40" x14ac:dyDescent="0.25">
      <c r="A2533" t="str">
        <f>"20190312154601190"</f>
        <v>20190312154601190</v>
      </c>
      <c r="B2533" t="str">
        <f>"1552376761179093"</f>
        <v>1552376761179093</v>
      </c>
      <c r="C2533" t="s">
        <v>40</v>
      </c>
      <c r="D2533">
        <v>4.4932019999999904</v>
      </c>
      <c r="E2533">
        <v>0.41399740000000002</v>
      </c>
      <c r="F2533" t="s">
        <v>54</v>
      </c>
      <c r="G2533">
        <v>-443.91699999999997</v>
      </c>
      <c r="H2533" s="1">
        <v>4.6775489999999998E-7</v>
      </c>
      <c r="I2533">
        <v>216.44370000000001</v>
      </c>
      <c r="J2533">
        <v>-474.56869999999998</v>
      </c>
      <c r="K2533">
        <v>1.1130599999999999</v>
      </c>
      <c r="L2533">
        <v>216.62479999999999</v>
      </c>
      <c r="M2533">
        <v>0.98767099999999997</v>
      </c>
      <c r="N2533">
        <v>0</v>
      </c>
      <c r="O2533">
        <v>-0.15592839999999999</v>
      </c>
      <c r="P2533">
        <v>0.98314939999999995</v>
      </c>
      <c r="Q2533">
        <v>2.0663399999999998E-2</v>
      </c>
      <c r="R2533">
        <v>-0.18163290000000001</v>
      </c>
      <c r="S2533">
        <v>3.053528</v>
      </c>
      <c r="T2533">
        <v>-0.1102617</v>
      </c>
      <c r="U2533">
        <v>-1.9989010000000001E-2</v>
      </c>
      <c r="V2533">
        <v>2.584442E-2</v>
      </c>
      <c r="W2533">
        <v>3.4709940000000002E-2</v>
      </c>
      <c r="X2533">
        <v>0.99906320000000004</v>
      </c>
      <c r="Y2533">
        <v>-0.14927589999999999</v>
      </c>
      <c r="Z2533">
        <v>8.3053559999999998E-3</v>
      </c>
      <c r="AA2533">
        <v>0.98876070000000005</v>
      </c>
      <c r="AB2533">
        <v>18</v>
      </c>
      <c r="AC2533">
        <v>30.651700000000002</v>
      </c>
      <c r="AD2533">
        <v>-1.1130595322451</v>
      </c>
      <c r="AE2533">
        <v>-0.18109999999998599</v>
      </c>
      <c r="AF2533">
        <v>-4.59498685902639</v>
      </c>
      <c r="AG2533">
        <v>-1.1130595322451</v>
      </c>
      <c r="AH2533">
        <v>30.2650408071543</v>
      </c>
      <c r="AI2533">
        <v>92.082379507198894</v>
      </c>
      <c r="AJ2533">
        <v>98.6329965105745</v>
      </c>
      <c r="AK2533">
        <v>30.632099190484102</v>
      </c>
      <c r="AL2533">
        <v>88.010867374861604</v>
      </c>
      <c r="AM2533">
        <v>88.5181658007142</v>
      </c>
      <c r="AN2533">
        <v>0.99999999578708998</v>
      </c>
    </row>
    <row r="2534" spans="1:40" x14ac:dyDescent="0.25">
      <c r="A2534" t="str">
        <f>"20190312154601236"</f>
        <v>20190312154601236</v>
      </c>
      <c r="B2534" t="str">
        <f>"1552376761229845"</f>
        <v>1552376761229845</v>
      </c>
      <c r="C2534" t="s">
        <v>40</v>
      </c>
      <c r="D2534">
        <v>4.4294079999999996</v>
      </c>
      <c r="E2534">
        <v>0.41428799999999999</v>
      </c>
      <c r="F2534" t="s">
        <v>54</v>
      </c>
      <c r="G2534">
        <v>-385.51</v>
      </c>
      <c r="H2534">
        <v>7.9999909999999994E-2</v>
      </c>
      <c r="I2534">
        <v>220.4802</v>
      </c>
      <c r="J2534">
        <v>-474.20979999999997</v>
      </c>
      <c r="K2534">
        <v>1.112741</v>
      </c>
      <c r="L2534">
        <v>216.58539999999999</v>
      </c>
      <c r="M2534">
        <v>0.9896085</v>
      </c>
      <c r="N2534">
        <v>0</v>
      </c>
      <c r="O2534">
        <v>-0.14312549999999999</v>
      </c>
      <c r="P2534">
        <v>0.98492190000000002</v>
      </c>
      <c r="Q2534">
        <v>2.0647140000000001E-2</v>
      </c>
      <c r="R2534">
        <v>-0.17176469999999999</v>
      </c>
      <c r="S2534">
        <v>3.0767519999999999</v>
      </c>
      <c r="T2534">
        <v>-3.568959E-2</v>
      </c>
      <c r="U2534">
        <v>0.13319400000000001</v>
      </c>
      <c r="V2534">
        <v>2.8792580000000002E-2</v>
      </c>
      <c r="W2534">
        <v>3.461463E-2</v>
      </c>
      <c r="X2534">
        <v>0.99898589999999998</v>
      </c>
      <c r="Y2534">
        <v>-0.1857877</v>
      </c>
      <c r="Z2534">
        <v>2.733545E-3</v>
      </c>
      <c r="AA2534">
        <v>0.98258610000000002</v>
      </c>
      <c r="AB2534">
        <v>18</v>
      </c>
      <c r="AC2534">
        <v>88.699799999999897</v>
      </c>
      <c r="AD2534">
        <v>-1.03274109</v>
      </c>
      <c r="AE2534">
        <v>3.8948</v>
      </c>
      <c r="AF2534">
        <v>-16.548864655569801</v>
      </c>
      <c r="AG2534">
        <v>-1.03274109</v>
      </c>
      <c r="AH2534">
        <v>87.217122116091403</v>
      </c>
      <c r="AI2534">
        <v>90.666518702158001</v>
      </c>
      <c r="AJ2534">
        <v>100.74377110309</v>
      </c>
      <c r="AK2534">
        <v>88.779264841293497</v>
      </c>
      <c r="AL2534">
        <v>88.016331541058406</v>
      </c>
      <c r="AM2534">
        <v>88.349089066612706</v>
      </c>
      <c r="AN2534">
        <v>1.00000000683595</v>
      </c>
    </row>
    <row r="2535" spans="1:40" x14ac:dyDescent="0.25">
      <c r="A2535" t="str">
        <f>"20190312154601258"</f>
        <v>20190312154601258</v>
      </c>
      <c r="B2535" t="str">
        <f>"1552376761249365"</f>
        <v>1552376761249365</v>
      </c>
      <c r="C2535" t="s">
        <v>40</v>
      </c>
      <c r="D2535">
        <v>4.4191929999999999</v>
      </c>
      <c r="E2535">
        <v>0.41525230000000002</v>
      </c>
      <c r="F2535" t="s">
        <v>64</v>
      </c>
      <c r="G2535">
        <v>-157.25</v>
      </c>
      <c r="H2535">
        <v>0.56106519999999904</v>
      </c>
      <c r="I2535">
        <v>233.17410000000001</v>
      </c>
      <c r="J2535">
        <v>-474.04169999999999</v>
      </c>
      <c r="K2535">
        <v>1.1126039999999999</v>
      </c>
      <c r="L2535">
        <v>216.56809999999999</v>
      </c>
      <c r="M2535">
        <v>0.99040110000000003</v>
      </c>
      <c r="N2535">
        <v>0</v>
      </c>
      <c r="O2535">
        <v>-0.13753689999999999</v>
      </c>
      <c r="P2535">
        <v>0.98570380000000002</v>
      </c>
      <c r="Q2535">
        <v>2.114657E-2</v>
      </c>
      <c r="R2535">
        <v>-0.1671559</v>
      </c>
      <c r="S2535">
        <v>3.0740970000000001</v>
      </c>
      <c r="T2535">
        <v>-5.3499940000000003E-3</v>
      </c>
      <c r="U2535">
        <v>0.1608887</v>
      </c>
      <c r="V2535">
        <v>2.9769790000000001E-2</v>
      </c>
      <c r="W2535">
        <v>3.5074960000000002E-2</v>
      </c>
      <c r="X2535">
        <v>0.99894119999999997</v>
      </c>
      <c r="Y2535">
        <v>-0.18912999999999999</v>
      </c>
      <c r="Z2535">
        <v>4.0332829999999999E-4</v>
      </c>
      <c r="AA2535">
        <v>0.98195200000000005</v>
      </c>
      <c r="AB2535">
        <v>18</v>
      </c>
      <c r="AC2535">
        <v>316.79169999999999</v>
      </c>
      <c r="AD2535">
        <v>-0.5515388</v>
      </c>
      <c r="AE2535">
        <v>16.606000000000002</v>
      </c>
      <c r="AF2535">
        <v>-60.0226478892979</v>
      </c>
      <c r="AG2535">
        <v>-0.5515388</v>
      </c>
      <c r="AH2535">
        <v>311.49544744331303</v>
      </c>
      <c r="AI2535">
        <v>90.099616190084205</v>
      </c>
      <c r="AJ2535">
        <v>100.906753641292</v>
      </c>
      <c r="AK2535">
        <v>317.22615943928798</v>
      </c>
      <c r="AL2535">
        <v>87.989940549119694</v>
      </c>
      <c r="AM2535">
        <v>88.293014000868894</v>
      </c>
      <c r="AN2535">
        <v>1.00000000713654</v>
      </c>
    </row>
    <row r="2536" spans="1:40" x14ac:dyDescent="0.25">
      <c r="A2536" t="str">
        <f>"20190312154601279"</f>
        <v>20190312154601279</v>
      </c>
      <c r="B2536" t="str">
        <f>"1552376761269860"</f>
        <v>1552376761269860</v>
      </c>
      <c r="C2536" t="s">
        <v>40</v>
      </c>
      <c r="D2536">
        <v>4.4393079999999996</v>
      </c>
      <c r="E2536">
        <v>0.41603849999999998</v>
      </c>
      <c r="F2536" t="s">
        <v>64</v>
      </c>
      <c r="G2536">
        <v>-157.25</v>
      </c>
      <c r="H2536">
        <v>0.66512850000000001</v>
      </c>
      <c r="I2536">
        <v>233.84989999999999</v>
      </c>
      <c r="J2536">
        <v>-473.87040000000002</v>
      </c>
      <c r="K2536">
        <v>1.1124579999999999</v>
      </c>
      <c r="L2536">
        <v>216.55109999999999</v>
      </c>
      <c r="M2536">
        <v>0.99114060000000004</v>
      </c>
      <c r="N2536">
        <v>0</v>
      </c>
      <c r="O2536">
        <v>-0.132106</v>
      </c>
      <c r="P2536">
        <v>0.98654439999999999</v>
      </c>
      <c r="Q2536">
        <v>2.1612599999999999E-2</v>
      </c>
      <c r="R2536">
        <v>-0.16205899999999901</v>
      </c>
      <c r="S2536">
        <v>3.0720209999999999</v>
      </c>
      <c r="T2536">
        <v>-4.3387410000000001E-3</v>
      </c>
      <c r="U2536">
        <v>0.16758729999999999</v>
      </c>
      <c r="V2536">
        <v>3.0094070000000001E-2</v>
      </c>
      <c r="W2536">
        <v>3.5497670000000002E-2</v>
      </c>
      <c r="X2536">
        <v>0.99891660000000004</v>
      </c>
      <c r="Y2536">
        <v>-0.1859162</v>
      </c>
      <c r="Z2536">
        <v>3.174063E-4</v>
      </c>
      <c r="AA2536">
        <v>0.98256549999999998</v>
      </c>
      <c r="AB2536">
        <v>18</v>
      </c>
      <c r="AC2536">
        <v>316.62040000000002</v>
      </c>
      <c r="AD2536">
        <v>-0.44732949999999999</v>
      </c>
      <c r="AE2536">
        <v>17.2988</v>
      </c>
      <c r="AF2536">
        <v>-58.978433756415903</v>
      </c>
      <c r="AG2536">
        <v>-0.44732949999999999</v>
      </c>
      <c r="AH2536">
        <v>311.55877506992402</v>
      </c>
      <c r="AI2536">
        <v>90.080828518967607</v>
      </c>
      <c r="AJ2536">
        <v>100.719315990608</v>
      </c>
      <c r="AK2536">
        <v>317.09229898424297</v>
      </c>
      <c r="AL2536">
        <v>87.965706056731904</v>
      </c>
      <c r="AM2536">
        <v>88.274388647183798</v>
      </c>
      <c r="AN2536">
        <v>1.0000000556900699</v>
      </c>
    </row>
    <row r="2537" spans="1:40" x14ac:dyDescent="0.25">
      <c r="A2537" t="str">
        <f>"20190312154601303"</f>
        <v>20190312154601303</v>
      </c>
      <c r="B2537" t="str">
        <f>"1552376761299141"</f>
        <v>1552376761299141</v>
      </c>
      <c r="C2537" t="s">
        <v>40</v>
      </c>
      <c r="D2537">
        <v>4.3108449999999996</v>
      </c>
      <c r="E2537">
        <v>0.42454619999999998</v>
      </c>
      <c r="F2537" t="s">
        <v>65</v>
      </c>
      <c r="G2537">
        <v>-233.65389999999999</v>
      </c>
      <c r="H2537">
        <v>0.56369689999999995</v>
      </c>
      <c r="I2537">
        <v>230.3981</v>
      </c>
      <c r="J2537">
        <v>-473.68950000000001</v>
      </c>
      <c r="K2537">
        <v>1.1122890000000001</v>
      </c>
      <c r="L2537">
        <v>216.53370000000001</v>
      </c>
      <c r="M2537">
        <v>0.99184700000000003</v>
      </c>
      <c r="N2537">
        <v>0</v>
      </c>
      <c r="O2537">
        <v>-0.1266978</v>
      </c>
      <c r="P2537">
        <v>0.98736159999999995</v>
      </c>
      <c r="Q2537">
        <v>2.1510959999999999E-2</v>
      </c>
      <c r="R2537">
        <v>-0.15701770000000001</v>
      </c>
      <c r="S2537">
        <v>3.070068</v>
      </c>
      <c r="T2537">
        <v>-7.0134400000000001E-3</v>
      </c>
      <c r="U2537">
        <v>0.1769714</v>
      </c>
      <c r="V2537">
        <v>3.045604E-2</v>
      </c>
      <c r="W2537">
        <v>3.5349940000000003E-2</v>
      </c>
      <c r="X2537">
        <v>0.99891079999999999</v>
      </c>
      <c r="Y2537">
        <v>-0.18358360000000001</v>
      </c>
      <c r="Z2537">
        <v>4.9842180000000003E-4</v>
      </c>
      <c r="AA2537">
        <v>0.98300399999999999</v>
      </c>
      <c r="AB2537">
        <v>18</v>
      </c>
      <c r="AC2537">
        <v>240.03559999999999</v>
      </c>
      <c r="AD2537">
        <v>-0.54859209999999903</v>
      </c>
      <c r="AE2537">
        <v>13.8643999999999</v>
      </c>
      <c r="AF2537">
        <v>-44.167250238042897</v>
      </c>
      <c r="AG2537">
        <v>-0.54859209999999903</v>
      </c>
      <c r="AH2537">
        <v>236.34289276228699</v>
      </c>
      <c r="AI2537">
        <v>90.130729859023603</v>
      </c>
      <c r="AJ2537">
        <v>100.58521513460801</v>
      </c>
      <c r="AK2537">
        <v>240.43504300772801</v>
      </c>
      <c r="AL2537">
        <v>87.974175539266199</v>
      </c>
      <c r="AM2537">
        <v>88.253635720765899</v>
      </c>
      <c r="AN2537">
        <v>0.999999987493562</v>
      </c>
    </row>
    <row r="2538" spans="1:40" x14ac:dyDescent="0.25">
      <c r="A2538" t="str">
        <f>"20190312154601324"</f>
        <v>20190312154601324</v>
      </c>
      <c r="B2538" t="str">
        <f>"1552376761319636"</f>
        <v>1552376761319636</v>
      </c>
      <c r="C2538" t="s">
        <v>40</v>
      </c>
      <c r="D2538">
        <v>4.2977249999999998</v>
      </c>
      <c r="E2538">
        <v>0.42592249999999998</v>
      </c>
      <c r="F2538" t="s">
        <v>64</v>
      </c>
      <c r="G2538">
        <v>-157.25</v>
      </c>
      <c r="H2538">
        <v>0.60768940000000005</v>
      </c>
      <c r="I2538">
        <v>229.51570000000001</v>
      </c>
      <c r="J2538">
        <v>-473.52089999999998</v>
      </c>
      <c r="K2538">
        <v>1.112106</v>
      </c>
      <c r="L2538">
        <v>216.5181</v>
      </c>
      <c r="M2538">
        <v>0.99243749999999997</v>
      </c>
      <c r="N2538">
        <v>0</v>
      </c>
      <c r="O2538">
        <v>-0.121989899999999</v>
      </c>
      <c r="P2538">
        <v>0.98801899999999998</v>
      </c>
      <c r="Q2538">
        <v>2.1941809999999999E-2</v>
      </c>
      <c r="R2538">
        <v>-0.15276509999999999</v>
      </c>
      <c r="S2538">
        <v>3.0584410000000002</v>
      </c>
      <c r="T2538">
        <v>-4.8764940000000003E-3</v>
      </c>
      <c r="U2538">
        <v>0.125473</v>
      </c>
      <c r="V2538">
        <v>3.091021E-2</v>
      </c>
      <c r="W2538">
        <v>3.5735929999999999E-2</v>
      </c>
      <c r="X2538">
        <v>0.99888310000000002</v>
      </c>
      <c r="Y2538">
        <v>-0.1625829</v>
      </c>
      <c r="Z2538">
        <v>3.2375839999999997E-4</v>
      </c>
      <c r="AA2538">
        <v>0.98669479999999998</v>
      </c>
      <c r="AB2538">
        <v>18</v>
      </c>
      <c r="AC2538">
        <v>316.27089999999998</v>
      </c>
      <c r="AD2538">
        <v>-0.50441659999999999</v>
      </c>
      <c r="AE2538">
        <v>12.9976</v>
      </c>
      <c r="AF2538">
        <v>-51.4858258142526</v>
      </c>
      <c r="AG2538">
        <v>-0.50441659999999999</v>
      </c>
      <c r="AH2538">
        <v>312.32182226434298</v>
      </c>
      <c r="AI2538">
        <v>90.091303425105195</v>
      </c>
      <c r="AJ2538">
        <v>99.360942121089806</v>
      </c>
      <c r="AK2538">
        <v>316.53746280401299</v>
      </c>
      <c r="AL2538">
        <v>87.952045927874806</v>
      </c>
      <c r="AM2538">
        <v>88.227560759785604</v>
      </c>
      <c r="AN2538">
        <v>0.99999997262040896</v>
      </c>
    </row>
    <row r="2539" spans="1:40" x14ac:dyDescent="0.25">
      <c r="A2539" t="str">
        <f>"20190312154601348"</f>
        <v>20190312154601348</v>
      </c>
      <c r="B2539" t="str">
        <f>"1552376761339156"</f>
        <v>1552376761339156</v>
      </c>
      <c r="C2539" t="s">
        <v>40</v>
      </c>
      <c r="D2539">
        <v>4.2747820000000001</v>
      </c>
      <c r="E2539">
        <v>0.42735240000000002</v>
      </c>
      <c r="F2539" t="s">
        <v>64</v>
      </c>
      <c r="G2539">
        <v>-157.25</v>
      </c>
      <c r="H2539">
        <v>0.73900749999999904</v>
      </c>
      <c r="I2539">
        <v>229.7586</v>
      </c>
      <c r="J2539">
        <v>-473.33699999999999</v>
      </c>
      <c r="K2539">
        <v>1.1119239999999999</v>
      </c>
      <c r="L2539">
        <v>216.5016</v>
      </c>
      <c r="M2539">
        <v>0.99301459999999997</v>
      </c>
      <c r="N2539">
        <v>0</v>
      </c>
      <c r="O2539">
        <v>-0.117203</v>
      </c>
      <c r="P2539">
        <v>0.98862760000000005</v>
      </c>
      <c r="Q2539">
        <v>2.3756869999999999E-2</v>
      </c>
      <c r="R2539">
        <v>-0.1484974</v>
      </c>
      <c r="S2539">
        <v>3.0561829999999999</v>
      </c>
      <c r="T2539">
        <v>-3.6047700000000002E-3</v>
      </c>
      <c r="U2539">
        <v>0.127944899999999</v>
      </c>
      <c r="V2539">
        <v>3.1427579999999997E-2</v>
      </c>
      <c r="W2539">
        <v>3.7502859999999999E-2</v>
      </c>
      <c r="X2539">
        <v>0.99880219999999997</v>
      </c>
      <c r="Y2539">
        <v>-0.1586504</v>
      </c>
      <c r="Z2539">
        <v>2.315622E-4</v>
      </c>
      <c r="AA2539">
        <v>0.98733479999999996</v>
      </c>
      <c r="AB2539">
        <v>18</v>
      </c>
      <c r="AC2539">
        <v>316.08699999999999</v>
      </c>
      <c r="AD2539">
        <v>-0.37291649999999998</v>
      </c>
      <c r="AE2539">
        <v>13.257</v>
      </c>
      <c r="AF2539">
        <v>-50.215326155050498</v>
      </c>
      <c r="AG2539">
        <v>-0.37291649999999998</v>
      </c>
      <c r="AH2539">
        <v>312.35377779737098</v>
      </c>
      <c r="AI2539">
        <v>90.067537715011397</v>
      </c>
      <c r="AJ2539">
        <v>99.132968076442495</v>
      </c>
      <c r="AK2539">
        <v>316.36466387993403</v>
      </c>
      <c r="AL2539">
        <v>87.850740383275806</v>
      </c>
      <c r="AM2539">
        <v>88.197767497084598</v>
      </c>
      <c r="AN2539">
        <v>0.99999999600883704</v>
      </c>
    </row>
    <row r="2540" spans="1:40" x14ac:dyDescent="0.25">
      <c r="A2540" t="str">
        <f>"20190312154601392"</f>
        <v>20190312154601392</v>
      </c>
      <c r="B2540" t="str">
        <f>"1552376761379173"</f>
        <v>1552376761379173</v>
      </c>
      <c r="C2540" t="s">
        <v>40</v>
      </c>
      <c r="D2540">
        <v>4.2097619999999996</v>
      </c>
      <c r="E2540">
        <v>0.42863630000000003</v>
      </c>
      <c r="F2540" t="s">
        <v>64</v>
      </c>
      <c r="G2540">
        <v>-157.25</v>
      </c>
      <c r="H2540">
        <v>1.059345</v>
      </c>
      <c r="I2540">
        <v>229.93020000000001</v>
      </c>
      <c r="J2540">
        <v>-472.99279999999999</v>
      </c>
      <c r="K2540">
        <v>1.1116969999999999</v>
      </c>
      <c r="L2540">
        <v>216.47190000000001</v>
      </c>
      <c r="M2540">
        <v>0.99395160000000005</v>
      </c>
      <c r="N2540">
        <v>0</v>
      </c>
      <c r="O2540">
        <v>-0.1089774</v>
      </c>
      <c r="P2540">
        <v>0.98938970000000004</v>
      </c>
      <c r="Q2540">
        <v>2.897856E-2</v>
      </c>
      <c r="R2540">
        <v>-0.14236689999999999</v>
      </c>
      <c r="S2540">
        <v>3.0539860000000001</v>
      </c>
      <c r="T2540">
        <v>-5.0747390000000002E-4</v>
      </c>
      <c r="U2540">
        <v>0.12974550000000001</v>
      </c>
      <c r="V2540">
        <v>3.3526920000000002E-2</v>
      </c>
      <c r="W2540">
        <v>4.2654270000000001E-2</v>
      </c>
      <c r="X2540">
        <v>0.99852719999999995</v>
      </c>
      <c r="Y2540">
        <v>-0.15108199999999999</v>
      </c>
      <c r="Z2540" s="1">
        <v>3.0632300000000001E-5</v>
      </c>
      <c r="AA2540">
        <v>0.98852119999999999</v>
      </c>
      <c r="AB2540">
        <v>18</v>
      </c>
      <c r="AC2540">
        <v>315.74279999999999</v>
      </c>
      <c r="AD2540">
        <v>-5.2351999999999899E-2</v>
      </c>
      <c r="AE2540">
        <v>13.458299999999999</v>
      </c>
      <c r="AF2540">
        <v>-47.790127234463299</v>
      </c>
      <c r="AG2540">
        <v>-5.2351999999999899E-2</v>
      </c>
      <c r="AH2540">
        <v>312.39516617287802</v>
      </c>
      <c r="AI2540">
        <v>90.009491356829599</v>
      </c>
      <c r="AJ2540">
        <v>98.697661162370693</v>
      </c>
      <c r="AK2540">
        <v>316.02949047517399</v>
      </c>
      <c r="AL2540">
        <v>87.555348686468193</v>
      </c>
      <c r="AM2540">
        <v>88.076938086356193</v>
      </c>
      <c r="AN2540">
        <v>1.00000000512687</v>
      </c>
    </row>
    <row r="2541" spans="1:40" x14ac:dyDescent="0.25">
      <c r="A2541" t="str">
        <f>"20190312154601414"</f>
        <v>20190312154601414</v>
      </c>
      <c r="B2541" t="str">
        <f>"1552376761409428"</f>
        <v>1552376761409428</v>
      </c>
      <c r="C2541" t="s">
        <v>40</v>
      </c>
      <c r="D2541">
        <v>4.193365</v>
      </c>
      <c r="E2541">
        <v>0.43454730000000003</v>
      </c>
      <c r="F2541" t="s">
        <v>64</v>
      </c>
      <c r="G2541">
        <v>-157.25</v>
      </c>
      <c r="H2541">
        <v>2.719624</v>
      </c>
      <c r="I2541">
        <v>230.77760000000001</v>
      </c>
      <c r="J2541">
        <v>-472.82139999999998</v>
      </c>
      <c r="K2541">
        <v>1.111629</v>
      </c>
      <c r="L2541">
        <v>216.45769999999999</v>
      </c>
      <c r="M2541">
        <v>0.99435549999999995</v>
      </c>
      <c r="N2541">
        <v>0</v>
      </c>
      <c r="O2541">
        <v>-0.1052314</v>
      </c>
      <c r="P2541">
        <v>0.98966169999999998</v>
      </c>
      <c r="Q2541">
        <v>3.173513E-2</v>
      </c>
      <c r="R2541">
        <v>-0.13986689999999999</v>
      </c>
      <c r="S2541">
        <v>3.0515439999999998</v>
      </c>
      <c r="T2541">
        <v>1.55406E-2</v>
      </c>
      <c r="U2541">
        <v>0.13825989999999999</v>
      </c>
      <c r="V2541">
        <v>3.4775019999999997E-2</v>
      </c>
      <c r="W2541">
        <v>4.5382949999999998E-2</v>
      </c>
      <c r="X2541">
        <v>0.99836420000000003</v>
      </c>
      <c r="Y2541">
        <v>-0.1501402</v>
      </c>
      <c r="Z2541">
        <v>-9.1736750000000005E-4</v>
      </c>
      <c r="AA2541">
        <v>0.98866430000000005</v>
      </c>
      <c r="AB2541">
        <v>18</v>
      </c>
      <c r="AC2541">
        <v>315.57139999999998</v>
      </c>
      <c r="AD2541">
        <v>1.6079950000000001</v>
      </c>
      <c r="AE2541">
        <v>14.319900000000001</v>
      </c>
      <c r="AF2541">
        <v>-47.450215755295403</v>
      </c>
      <c r="AG2541">
        <v>1.6079950000000001</v>
      </c>
      <c r="AH2541">
        <v>312.30381676163898</v>
      </c>
      <c r="AI2541">
        <v>89.708344268198005</v>
      </c>
      <c r="AJ2541">
        <v>98.639222557300201</v>
      </c>
      <c r="AK2541">
        <v>315.89204261429501</v>
      </c>
      <c r="AL2541">
        <v>87.398855076927205</v>
      </c>
      <c r="AM2541">
        <v>88.005080042180097</v>
      </c>
      <c r="AN2541">
        <v>0.99999999500417103</v>
      </c>
    </row>
    <row r="2542" spans="1:40" x14ac:dyDescent="0.25">
      <c r="A2542" t="str">
        <f>"20190312154601459"</f>
        <v>20190312154601459</v>
      </c>
      <c r="B2542" t="str">
        <f>"1552376761449445"</f>
        <v>1552376761449445</v>
      </c>
      <c r="C2542" t="s">
        <v>40</v>
      </c>
      <c r="D2542">
        <v>4.2014440000000004</v>
      </c>
      <c r="E2542">
        <v>0.43593140000000002</v>
      </c>
      <c r="F2542" t="s">
        <v>64</v>
      </c>
      <c r="G2542">
        <v>-157.25</v>
      </c>
      <c r="H2542">
        <v>4.5761260000000004</v>
      </c>
      <c r="I2542">
        <v>226.7484</v>
      </c>
      <c r="J2542">
        <v>-472.47750000000002</v>
      </c>
      <c r="K2542">
        <v>1.1114869999999999</v>
      </c>
      <c r="L2542">
        <v>216.4306</v>
      </c>
      <c r="M2542">
        <v>0.99505710000000003</v>
      </c>
      <c r="N2542">
        <v>0</v>
      </c>
      <c r="O2542">
        <v>-9.838268E-2</v>
      </c>
      <c r="P2542">
        <v>0.98984749999999999</v>
      </c>
      <c r="Q2542">
        <v>3.7822700000000001E-2</v>
      </c>
      <c r="R2542">
        <v>-0.13700960000000001</v>
      </c>
      <c r="S2542">
        <v>3.0443120000000001</v>
      </c>
      <c r="T2542">
        <v>3.3422470000000003E-2</v>
      </c>
      <c r="U2542">
        <v>9.9273680000000003E-2</v>
      </c>
      <c r="V2542">
        <v>3.8788789999999997E-2</v>
      </c>
      <c r="W2542">
        <v>5.1420250000000001E-2</v>
      </c>
      <c r="X2542">
        <v>0.99792360000000002</v>
      </c>
      <c r="Y2542">
        <v>-0.13075970000000001</v>
      </c>
      <c r="Z2542">
        <v>-1.7965800000000001E-3</v>
      </c>
      <c r="AA2542">
        <v>0.99141250000000003</v>
      </c>
      <c r="AB2542">
        <v>18</v>
      </c>
      <c r="AC2542">
        <v>315.22750000000002</v>
      </c>
      <c r="AD2542">
        <v>3.464639</v>
      </c>
      <c r="AE2542">
        <v>10.3178</v>
      </c>
      <c r="AF2542">
        <v>-41.278506716852696</v>
      </c>
      <c r="AG2542">
        <v>3.464639</v>
      </c>
      <c r="AH2542">
        <v>312.64503120043202</v>
      </c>
      <c r="AI2542">
        <v>89.370553326813194</v>
      </c>
      <c r="AJ2542">
        <v>97.521256737760694</v>
      </c>
      <c r="AK2542">
        <v>315.37728893262499</v>
      </c>
      <c r="AL2542">
        <v>87.052537032252602</v>
      </c>
      <c r="AM2542">
        <v>87.774062335945402</v>
      </c>
      <c r="AN2542">
        <v>1.00000006188834</v>
      </c>
    </row>
    <row r="2543" spans="1:40" x14ac:dyDescent="0.25">
      <c r="A2543" t="str">
        <f>"20190312154601482"</f>
        <v>20190312154601482</v>
      </c>
      <c r="B2543" t="str">
        <f>"1552376761468965"</f>
        <v>1552376761468965</v>
      </c>
      <c r="C2543" t="s">
        <v>40</v>
      </c>
      <c r="D2543">
        <v>4.1871539999999996</v>
      </c>
      <c r="E2543">
        <v>0.43650679999999997</v>
      </c>
      <c r="F2543" t="s">
        <v>64</v>
      </c>
      <c r="G2543">
        <v>-157.25</v>
      </c>
      <c r="H2543">
        <v>5.9082369999999997</v>
      </c>
      <c r="I2543">
        <v>226.5265</v>
      </c>
      <c r="J2543">
        <v>-472.28890000000001</v>
      </c>
      <c r="K2543">
        <v>1.1113839999999999</v>
      </c>
      <c r="L2543">
        <v>216.41630000000001</v>
      </c>
      <c r="M2543">
        <v>0.99538839999999995</v>
      </c>
      <c r="N2543">
        <v>0</v>
      </c>
      <c r="O2543">
        <v>-9.4974459999999997E-2</v>
      </c>
      <c r="P2543">
        <v>0.98991390000000001</v>
      </c>
      <c r="Q2543">
        <v>4.1315369999999997E-2</v>
      </c>
      <c r="R2543">
        <v>-0.135514</v>
      </c>
      <c r="S2543">
        <v>3.0424799999999999</v>
      </c>
      <c r="T2543">
        <v>4.6297310000000001E-2</v>
      </c>
      <c r="U2543">
        <v>9.7442630000000002E-2</v>
      </c>
      <c r="V2543">
        <v>4.0718070000000002E-2</v>
      </c>
      <c r="W2543">
        <v>5.4881470000000002E-2</v>
      </c>
      <c r="X2543">
        <v>0.9976623</v>
      </c>
      <c r="Y2543">
        <v>-0.126775</v>
      </c>
      <c r="Z2543">
        <v>-2.408075E-3</v>
      </c>
      <c r="AA2543">
        <v>0.99192860000000005</v>
      </c>
      <c r="AB2543">
        <v>18</v>
      </c>
      <c r="AC2543">
        <v>315.03890000000001</v>
      </c>
      <c r="AD2543">
        <v>4.7968529999999996</v>
      </c>
      <c r="AE2543">
        <v>10.110199999999899</v>
      </c>
      <c r="AF2543">
        <v>-39.978600952248499</v>
      </c>
      <c r="AG2543">
        <v>4.7968529999999996</v>
      </c>
      <c r="AH2543">
        <v>312.58188128548602</v>
      </c>
      <c r="AI2543">
        <v>89.1279159009963</v>
      </c>
      <c r="AJ2543">
        <v>97.288446903713606</v>
      </c>
      <c r="AK2543">
        <v>315.16460911843598</v>
      </c>
      <c r="AL2543">
        <v>86.853942740493096</v>
      </c>
      <c r="AM2543">
        <v>87.662856982621307</v>
      </c>
      <c r="AN2543">
        <v>1.00000000090758</v>
      </c>
    </row>
    <row r="2544" spans="1:40" x14ac:dyDescent="0.25">
      <c r="A2544" t="str">
        <f>"20190312154601528"</f>
        <v>20190312154601528</v>
      </c>
      <c r="B2544" t="str">
        <f>"1552376761519717"</f>
        <v>1552376761519717</v>
      </c>
      <c r="C2544" t="s">
        <v>40</v>
      </c>
      <c r="D2544">
        <v>4.2562329999999999</v>
      </c>
      <c r="E2544">
        <v>0.4711495</v>
      </c>
      <c r="F2544" t="s">
        <v>64</v>
      </c>
      <c r="G2544">
        <v>-169.1439</v>
      </c>
      <c r="H2544">
        <v>6.993455</v>
      </c>
      <c r="I2544">
        <v>226.13480000000001</v>
      </c>
      <c r="J2544">
        <v>-471.94040000000001</v>
      </c>
      <c r="K2544">
        <v>1.111143</v>
      </c>
      <c r="L2544">
        <v>216.3905</v>
      </c>
      <c r="M2544">
        <v>0.99590469999999998</v>
      </c>
      <c r="N2544">
        <v>0</v>
      </c>
      <c r="O2544">
        <v>-8.9404869999999997E-2</v>
      </c>
      <c r="P2544">
        <v>0.98975860000000004</v>
      </c>
      <c r="Q2544">
        <v>4.5450530000000003E-2</v>
      </c>
      <c r="R2544">
        <v>-0.13532429999999901</v>
      </c>
      <c r="S2544">
        <v>3.041382</v>
      </c>
      <c r="T2544">
        <v>5.9013959999999997E-2</v>
      </c>
      <c r="U2544">
        <v>9.7503660000000006E-2</v>
      </c>
      <c r="V2544">
        <v>4.6153880000000001E-2</v>
      </c>
      <c r="W2544">
        <v>5.8960390000000001E-2</v>
      </c>
      <c r="X2544">
        <v>0.99719279999999999</v>
      </c>
      <c r="Y2544">
        <v>-0.1212416</v>
      </c>
      <c r="Z2544">
        <v>-2.9090650000000002E-3</v>
      </c>
      <c r="AA2544">
        <v>0.99261869999999996</v>
      </c>
      <c r="AB2544">
        <v>18</v>
      </c>
      <c r="AC2544">
        <v>302.79649999999998</v>
      </c>
      <c r="AD2544">
        <v>5.8823119999999998</v>
      </c>
      <c r="AE2544">
        <v>9.7443000000000097</v>
      </c>
      <c r="AF2544">
        <v>-36.765336512527497</v>
      </c>
      <c r="AG2544">
        <v>5.8823119999999998</v>
      </c>
      <c r="AH2544">
        <v>300.59909805584698</v>
      </c>
      <c r="AI2544">
        <v>88.887233192478803</v>
      </c>
      <c r="AJ2544">
        <v>96.973035589489101</v>
      </c>
      <c r="AK2544">
        <v>302.89620221345302</v>
      </c>
      <c r="AL2544">
        <v>86.619858129457597</v>
      </c>
      <c r="AM2544">
        <v>87.350024318719093</v>
      </c>
      <c r="AN2544">
        <v>0.99999999429992303</v>
      </c>
    </row>
    <row r="2545" spans="1:40" x14ac:dyDescent="0.25">
      <c r="A2545" t="str">
        <f>"20190312154601548"</f>
        <v>20190312154601548</v>
      </c>
      <c r="B2545" t="str">
        <f>"1552376761539237"</f>
        <v>1552376761539237</v>
      </c>
      <c r="C2545" t="s">
        <v>40</v>
      </c>
      <c r="D2545">
        <v>4.2338310000000003</v>
      </c>
      <c r="E2545">
        <v>0.47460790000000003</v>
      </c>
      <c r="F2545" t="s">
        <v>66</v>
      </c>
      <c r="G2545">
        <v>-168.41630000000001</v>
      </c>
      <c r="H2545">
        <v>9.5773740000000007</v>
      </c>
      <c r="I2545">
        <v>198.5779</v>
      </c>
      <c r="J2545">
        <v>-471.77890000000002</v>
      </c>
      <c r="K2545">
        <v>1.1110390000000001</v>
      </c>
      <c r="L2545">
        <v>216.37880000000001</v>
      </c>
      <c r="M2545">
        <v>0.99610600000000005</v>
      </c>
      <c r="N2545">
        <v>0</v>
      </c>
      <c r="O2545">
        <v>-8.7137690000000004E-2</v>
      </c>
      <c r="P2545">
        <v>0.9897087</v>
      </c>
      <c r="Q2545">
        <v>4.7524829999999997E-2</v>
      </c>
      <c r="R2545">
        <v>-0.1349756</v>
      </c>
      <c r="S2545">
        <v>3.003082</v>
      </c>
      <c r="T2545">
        <v>8.3765629999999994E-2</v>
      </c>
      <c r="U2545">
        <v>-0.17623900000000001</v>
      </c>
      <c r="V2545">
        <v>4.8093959999999998E-2</v>
      </c>
      <c r="W2545">
        <v>6.1008519999999997E-2</v>
      </c>
      <c r="X2545">
        <v>0.99697789999999997</v>
      </c>
      <c r="Y2545">
        <v>-2.8588760000000001E-2</v>
      </c>
      <c r="Z2545">
        <v>-2.8226430000000001E-3</v>
      </c>
      <c r="AA2545">
        <v>0.99958729999999996</v>
      </c>
      <c r="AB2545">
        <v>17</v>
      </c>
      <c r="AC2545">
        <v>303.36259999999999</v>
      </c>
      <c r="AD2545">
        <v>8.4663350000000008</v>
      </c>
      <c r="AE2545">
        <v>-17.800899999999999</v>
      </c>
      <c r="AF2545">
        <v>-8.6967652069113601</v>
      </c>
      <c r="AG2545">
        <v>8.4663350000000008</v>
      </c>
      <c r="AH2545">
        <v>303.524157978799</v>
      </c>
      <c r="AI2545">
        <v>88.402892621175397</v>
      </c>
      <c r="AJ2545">
        <v>91.6412256997111</v>
      </c>
      <c r="AK2545">
        <v>303.76673127604897</v>
      </c>
      <c r="AL2545">
        <v>86.502297235219302</v>
      </c>
      <c r="AM2545">
        <v>87.238207157642705</v>
      </c>
      <c r="AN2545">
        <v>1.0000000007947401</v>
      </c>
    </row>
    <row r="2546" spans="1:40" x14ac:dyDescent="0.25">
      <c r="A2546" t="str">
        <f>"20190312154601570"</f>
        <v>20190312154601570</v>
      </c>
      <c r="B2546" t="str">
        <f>"1552376761559746"</f>
        <v>1552376761559746</v>
      </c>
      <c r="C2546" t="s">
        <v>40</v>
      </c>
      <c r="D2546">
        <v>4.2467579999999998</v>
      </c>
      <c r="E2546">
        <v>0.47676740000000001</v>
      </c>
      <c r="F2546" t="s">
        <v>66</v>
      </c>
      <c r="G2546">
        <v>-168.4169</v>
      </c>
      <c r="H2546">
        <v>8.9315390000000008</v>
      </c>
      <c r="I2546">
        <v>195.95089999999999</v>
      </c>
      <c r="J2546">
        <v>-471.6173</v>
      </c>
      <c r="K2546">
        <v>1.110967</v>
      </c>
      <c r="L2546">
        <v>216.3672</v>
      </c>
      <c r="M2546">
        <v>0.99628830000000002</v>
      </c>
      <c r="N2546">
        <v>0</v>
      </c>
      <c r="O2546">
        <v>-8.5028489999999998E-2</v>
      </c>
      <c r="P2546">
        <v>0.98960020000000004</v>
      </c>
      <c r="Q2546">
        <v>4.8981469999999999E-2</v>
      </c>
      <c r="R2546">
        <v>-0.13525039999999999</v>
      </c>
      <c r="S2546">
        <v>2.9999389999999999</v>
      </c>
      <c r="T2546">
        <v>7.7337030000000001E-2</v>
      </c>
      <c r="U2546">
        <v>-0.2020111</v>
      </c>
      <c r="V2546">
        <v>5.0497649999999998E-2</v>
      </c>
      <c r="W2546">
        <v>6.2445819999999999E-2</v>
      </c>
      <c r="X2546">
        <v>0.99677000000000004</v>
      </c>
      <c r="Y2546">
        <v>-1.7867170000000002E-2</v>
      </c>
      <c r="Z2546">
        <v>-2.4158059999999999E-3</v>
      </c>
      <c r="AA2546">
        <v>0.99983750000000005</v>
      </c>
      <c r="AB2546">
        <v>17</v>
      </c>
      <c r="AC2546">
        <v>303.2004</v>
      </c>
      <c r="AD2546">
        <v>7.8205720000000003</v>
      </c>
      <c r="AE2546">
        <v>-20.4163</v>
      </c>
      <c r="AF2546">
        <v>-5.4370395039659103</v>
      </c>
      <c r="AG2546">
        <v>7.8205720000000003</v>
      </c>
      <c r="AH2546">
        <v>303.63719335446598</v>
      </c>
      <c r="AI2546">
        <v>88.524835028067201</v>
      </c>
      <c r="AJ2546">
        <v>91.025849714241303</v>
      </c>
      <c r="AK2546">
        <v>303.78654995432601</v>
      </c>
      <c r="AL2546">
        <v>86.419788529798197</v>
      </c>
      <c r="AM2546">
        <v>87.099801617683696</v>
      </c>
      <c r="AN2546">
        <v>0.99999996299549598</v>
      </c>
    </row>
    <row r="2547" spans="1:40" x14ac:dyDescent="0.25">
      <c r="A2547" t="str">
        <f>"20190312154601617"</f>
        <v>20190312154601617</v>
      </c>
      <c r="B2547" t="str">
        <f>"1552376761609509"</f>
        <v>1552376761609509</v>
      </c>
      <c r="C2547" t="s">
        <v>40</v>
      </c>
      <c r="D2547">
        <v>4.29915</v>
      </c>
      <c r="E2547">
        <v>0.47861900000000002</v>
      </c>
      <c r="F2547" t="s">
        <v>67</v>
      </c>
      <c r="G2547">
        <v>-236.43639999999999</v>
      </c>
      <c r="H2547">
        <v>7.171081</v>
      </c>
      <c r="I2547">
        <v>199.13829999999999</v>
      </c>
      <c r="J2547">
        <v>-471.25310000000002</v>
      </c>
      <c r="K2547">
        <v>1.110832</v>
      </c>
      <c r="L2547">
        <v>216.3417</v>
      </c>
      <c r="M2547">
        <v>0.9966256</v>
      </c>
      <c r="N2547">
        <v>0</v>
      </c>
      <c r="O2547">
        <v>-8.0982639999999995E-2</v>
      </c>
      <c r="P2547">
        <v>0.98931449999999999</v>
      </c>
      <c r="Q2547">
        <v>5.3692719999999999E-2</v>
      </c>
      <c r="R2547">
        <v>-0.1355509</v>
      </c>
      <c r="S2547">
        <v>2.997681</v>
      </c>
      <c r="T2547">
        <v>7.7244999999999994E-2</v>
      </c>
      <c r="U2547">
        <v>-0.21960450000000001</v>
      </c>
      <c r="V2547">
        <v>5.4886070000000002E-2</v>
      </c>
      <c r="W2547">
        <v>6.7111859999999995E-2</v>
      </c>
      <c r="X2547">
        <v>0.99623470000000003</v>
      </c>
      <c r="Y2547">
        <v>-7.9218450000000003E-3</v>
      </c>
      <c r="Z2547">
        <v>-2.1824890000000001E-3</v>
      </c>
      <c r="AA2547">
        <v>0.99996629999999997</v>
      </c>
      <c r="AB2547">
        <v>17</v>
      </c>
      <c r="AC2547">
        <v>234.8167</v>
      </c>
      <c r="AD2547">
        <v>6.0602489999999998</v>
      </c>
      <c r="AE2547">
        <v>-17.203399999999998</v>
      </c>
      <c r="AF2547">
        <v>-1.86965641622085</v>
      </c>
      <c r="AG2547">
        <v>6.0602489999999998</v>
      </c>
      <c r="AH2547">
        <v>235.282731306903</v>
      </c>
      <c r="AI2547">
        <v>88.524587945319993</v>
      </c>
      <c r="AJ2547">
        <v>90.455286992319301</v>
      </c>
      <c r="AK2547">
        <v>235.368192167704</v>
      </c>
      <c r="AL2547">
        <v>86.151881431765304</v>
      </c>
      <c r="AM2547">
        <v>86.846562151720804</v>
      </c>
      <c r="AN2547">
        <v>1.00000002995839</v>
      </c>
    </row>
    <row r="2548" spans="1:40" x14ac:dyDescent="0.25">
      <c r="A2548" t="str">
        <f>"20190312154601659"</f>
        <v>20190312154601659</v>
      </c>
      <c r="B2548" t="str">
        <f>"1552376761649525"</f>
        <v>1552376761649525</v>
      </c>
      <c r="C2548" t="s">
        <v>40</v>
      </c>
      <c r="D2548">
        <v>4.3094809999999999</v>
      </c>
      <c r="E2548">
        <v>0.47901579999999999</v>
      </c>
      <c r="F2548" t="s">
        <v>67</v>
      </c>
      <c r="G2548">
        <v>-251.3965</v>
      </c>
      <c r="H2548">
        <v>6.9530609999999999</v>
      </c>
      <c r="I2548">
        <v>199.10499999999999</v>
      </c>
      <c r="J2548">
        <v>-470.92509999999999</v>
      </c>
      <c r="K2548">
        <v>1.1106819999999999</v>
      </c>
      <c r="L2548">
        <v>216.31909999999999</v>
      </c>
      <c r="M2548">
        <v>0.99685970000000002</v>
      </c>
      <c r="N2548">
        <v>0</v>
      </c>
      <c r="O2548">
        <v>-7.8053120000000004E-2</v>
      </c>
      <c r="P2548">
        <v>0.98894709999999997</v>
      </c>
      <c r="Q2548">
        <v>5.7967770000000002E-2</v>
      </c>
      <c r="R2548">
        <v>-0.13646839999999999</v>
      </c>
      <c r="S2548">
        <v>2.995911</v>
      </c>
      <c r="T2548">
        <v>7.9611420000000002E-2</v>
      </c>
      <c r="U2548">
        <v>-0.23487849999999999</v>
      </c>
      <c r="V2548">
        <v>5.8782470000000003E-2</v>
      </c>
      <c r="W2548">
        <v>7.1341719999999997E-2</v>
      </c>
      <c r="X2548">
        <v>0.99571829999999995</v>
      </c>
      <c r="Y2548">
        <v>1.273558E-4</v>
      </c>
      <c r="Z2548">
        <v>-2.065927E-3</v>
      </c>
      <c r="AA2548">
        <v>0.9999979</v>
      </c>
      <c r="AB2548">
        <v>17</v>
      </c>
      <c r="AC2548">
        <v>219.52860000000001</v>
      </c>
      <c r="AD2548">
        <v>5.8423790000000002</v>
      </c>
      <c r="AE2548">
        <v>-17.214099999999998</v>
      </c>
      <c r="AF2548">
        <v>2.5134953395319501E-2</v>
      </c>
      <c r="AG2548">
        <v>5.8423790000000002</v>
      </c>
      <c r="AH2548">
        <v>220.047576801312</v>
      </c>
      <c r="AI2548">
        <v>88.479124205998403</v>
      </c>
      <c r="AJ2548">
        <v>89.993455384683202</v>
      </c>
      <c r="AK2548">
        <v>220.12512369167399</v>
      </c>
      <c r="AL2548">
        <v>85.908945093001805</v>
      </c>
      <c r="AM2548">
        <v>86.621451123526199</v>
      </c>
      <c r="AN2548">
        <v>0.99999997637337401</v>
      </c>
    </row>
    <row r="2549" spans="1:40" x14ac:dyDescent="0.25">
      <c r="A2549" t="str">
        <f>"20190312154601705"</f>
        <v>20190312154601705</v>
      </c>
      <c r="B2549" t="str">
        <f>"1552376761699301"</f>
        <v>1552376761699301</v>
      </c>
      <c r="C2549" t="s">
        <v>40</v>
      </c>
      <c r="D2549">
        <v>4.4050609999999999</v>
      </c>
      <c r="E2549">
        <v>0.47925450000000003</v>
      </c>
      <c r="F2549" t="s">
        <v>67</v>
      </c>
      <c r="G2549">
        <v>-252.9443</v>
      </c>
      <c r="H2549">
        <v>7.1015509999999997</v>
      </c>
      <c r="I2549">
        <v>198.8485</v>
      </c>
      <c r="J2549">
        <v>-470.57729999999998</v>
      </c>
      <c r="K2549">
        <v>1.110493</v>
      </c>
      <c r="L2549">
        <v>216.2953</v>
      </c>
      <c r="M2549">
        <v>0.99704519999999996</v>
      </c>
      <c r="N2549">
        <v>0</v>
      </c>
      <c r="O2549">
        <v>-7.5649739999999993E-2</v>
      </c>
      <c r="P2549">
        <v>0.98890699999999998</v>
      </c>
      <c r="Q2549">
        <v>6.0407019999999999E-2</v>
      </c>
      <c r="R2549">
        <v>-0.13569870000000001</v>
      </c>
      <c r="S2549">
        <v>2.995514</v>
      </c>
      <c r="T2549">
        <v>8.2328559999999995E-2</v>
      </c>
      <c r="U2549">
        <v>-0.24008180000000001</v>
      </c>
      <c r="V2549">
        <v>6.0452930000000002E-2</v>
      </c>
      <c r="W2549">
        <v>7.3733889999999996E-2</v>
      </c>
      <c r="X2549">
        <v>0.995444</v>
      </c>
      <c r="Y2549">
        <v>4.2740149999999999E-3</v>
      </c>
      <c r="Z2549">
        <v>-2.0139340000000002E-3</v>
      </c>
      <c r="AA2549">
        <v>0.99998889999999996</v>
      </c>
      <c r="AB2549">
        <v>17</v>
      </c>
      <c r="AC2549">
        <v>217.63300000000001</v>
      </c>
      <c r="AD2549">
        <v>5.9910579999999998</v>
      </c>
      <c r="AE2549">
        <v>-17.4467999999999</v>
      </c>
      <c r="AF2549">
        <v>0.93075040274027998</v>
      </c>
      <c r="AG2549">
        <v>5.9910579999999998</v>
      </c>
      <c r="AH2549">
        <v>218.164943718784</v>
      </c>
      <c r="AI2549">
        <v>88.427002232421799</v>
      </c>
      <c r="AJ2549">
        <v>89.755562257577694</v>
      </c>
      <c r="AK2549">
        <v>218.249173515254</v>
      </c>
      <c r="AL2549">
        <v>85.771521893252796</v>
      </c>
      <c r="AM2549">
        <v>86.524717605762305</v>
      </c>
      <c r="AN2549">
        <v>1.00000000020805</v>
      </c>
    </row>
    <row r="2550" spans="1:40" x14ac:dyDescent="0.25">
      <c r="A2550" t="str">
        <f>"20190312154601724"</f>
        <v>20190312154601724</v>
      </c>
      <c r="B2550" t="str">
        <f>"1552376761719797"</f>
        <v>1552376761719797</v>
      </c>
      <c r="C2550" t="s">
        <v>40</v>
      </c>
      <c r="D2550">
        <v>4.3628970000000002</v>
      </c>
      <c r="E2550">
        <v>0.47941509999999998</v>
      </c>
      <c r="F2550" t="s">
        <v>67</v>
      </c>
      <c r="G2550">
        <v>-252.76169999999999</v>
      </c>
      <c r="H2550">
        <v>6.9145130000000004</v>
      </c>
      <c r="I2550">
        <v>198.8689</v>
      </c>
      <c r="J2550">
        <v>-470.423</v>
      </c>
      <c r="K2550">
        <v>1.1104160000000001</v>
      </c>
      <c r="L2550">
        <v>216.28460000000001</v>
      </c>
      <c r="M2550">
        <v>0.99710659999999895</v>
      </c>
      <c r="N2550">
        <v>0</v>
      </c>
      <c r="O2550">
        <v>-7.4836970000000003E-2</v>
      </c>
      <c r="P2550">
        <v>0.98902599999999996</v>
      </c>
      <c r="Q2550">
        <v>6.0839070000000002E-2</v>
      </c>
      <c r="R2550">
        <v>-0.1346339</v>
      </c>
      <c r="S2550">
        <v>2.9958800000000001</v>
      </c>
      <c r="T2550">
        <v>7.9831120000000005E-2</v>
      </c>
      <c r="U2550">
        <v>-0.23968510000000001</v>
      </c>
      <c r="V2550">
        <v>6.0207919999999998E-2</v>
      </c>
      <c r="W2550">
        <v>7.4148569999999997E-2</v>
      </c>
      <c r="X2550">
        <v>0.99542799999999998</v>
      </c>
      <c r="Y2550">
        <v>4.9457329999999999E-3</v>
      </c>
      <c r="Z2550">
        <v>-1.922162E-3</v>
      </c>
      <c r="AA2550">
        <v>0.99998589999999998</v>
      </c>
      <c r="AB2550">
        <v>17</v>
      </c>
      <c r="AC2550">
        <v>217.66130000000001</v>
      </c>
      <c r="AD2550">
        <v>5.8040969999999996</v>
      </c>
      <c r="AE2550">
        <v>-17.415700000000001</v>
      </c>
      <c r="AF2550">
        <v>1.0755330475796001</v>
      </c>
      <c r="AG2550">
        <v>5.8040969999999996</v>
      </c>
      <c r="AH2550">
        <v>218.20010908848201</v>
      </c>
      <c r="AI2550">
        <v>88.4763168664348</v>
      </c>
      <c r="AJ2550">
        <v>89.717584901554801</v>
      </c>
      <c r="AK2550">
        <v>218.279939342917</v>
      </c>
      <c r="AL2550">
        <v>85.747697063247998</v>
      </c>
      <c r="AM2550">
        <v>86.538712785547602</v>
      </c>
      <c r="AN2550">
        <v>0.99999995362388405</v>
      </c>
    </row>
    <row r="2551" spans="1:40" x14ac:dyDescent="0.25">
      <c r="A2551" t="str">
        <f>"20190312154601748"</f>
        <v>20190312154601748</v>
      </c>
      <c r="B2551" t="str">
        <f>"1552376761739317"</f>
        <v>1552376761739317</v>
      </c>
      <c r="C2551" t="s">
        <v>40</v>
      </c>
      <c r="D2551">
        <v>4.3330520000000003</v>
      </c>
      <c r="E2551">
        <v>0.47959109999999999</v>
      </c>
      <c r="F2551" t="s">
        <v>67</v>
      </c>
      <c r="G2551">
        <v>-252.67189999999999</v>
      </c>
      <c r="H2551">
        <v>6.9266949999999996</v>
      </c>
      <c r="I2551">
        <v>199.00139999999999</v>
      </c>
      <c r="J2551">
        <v>-470.24299999999999</v>
      </c>
      <c r="K2551">
        <v>1.11036</v>
      </c>
      <c r="L2551">
        <v>216.2722</v>
      </c>
      <c r="M2551">
        <v>0.99716689999999997</v>
      </c>
      <c r="N2551">
        <v>0</v>
      </c>
      <c r="O2551">
        <v>-7.4031680000000002E-2</v>
      </c>
      <c r="P2551">
        <v>0.98921320000000001</v>
      </c>
      <c r="Q2551">
        <v>6.1204059999999998E-2</v>
      </c>
      <c r="R2551">
        <v>-0.1330847</v>
      </c>
      <c r="S2551">
        <v>2.9959720000000001</v>
      </c>
      <c r="T2551">
        <v>8.0025910000000006E-2</v>
      </c>
      <c r="U2551">
        <v>-0.237793</v>
      </c>
      <c r="V2551">
        <v>5.9464160000000002E-2</v>
      </c>
      <c r="W2551">
        <v>7.4498540000000002E-2</v>
      </c>
      <c r="X2551">
        <v>0.99544659999999996</v>
      </c>
      <c r="Y2551">
        <v>5.1231269999999999E-3</v>
      </c>
      <c r="Z2551">
        <v>-1.903089E-3</v>
      </c>
      <c r="AA2551">
        <v>0.99998500000000001</v>
      </c>
      <c r="AB2551">
        <v>17</v>
      </c>
      <c r="AC2551">
        <v>217.5711</v>
      </c>
      <c r="AD2551">
        <v>5.8163349999999996</v>
      </c>
      <c r="AE2551">
        <v>-17.270800000000001</v>
      </c>
      <c r="AF2551">
        <v>1.1140238219044301</v>
      </c>
      <c r="AG2551">
        <v>5.8163349999999996</v>
      </c>
      <c r="AH2551">
        <v>218.097766014603</v>
      </c>
      <c r="AI2551">
        <v>88.472390893090704</v>
      </c>
      <c r="AJ2551">
        <v>89.707340843819907</v>
      </c>
      <c r="AK2551">
        <v>218.17815276160999</v>
      </c>
      <c r="AL2551">
        <v>85.727589741033299</v>
      </c>
      <c r="AM2551">
        <v>86.581432416678993</v>
      </c>
      <c r="AN2551">
        <v>0.99999997611909797</v>
      </c>
    </row>
    <row r="2552" spans="1:40" x14ac:dyDescent="0.25">
      <c r="A2552" t="str">
        <f>"20190312154601773"</f>
        <v>20190312154601773</v>
      </c>
      <c r="B2552" t="str">
        <f>"1552376761759812"</f>
        <v>1552376761759812</v>
      </c>
      <c r="C2552" t="s">
        <v>40</v>
      </c>
      <c r="D2552">
        <v>4.3045419999999996</v>
      </c>
      <c r="E2552">
        <v>0.47981550000000001</v>
      </c>
      <c r="F2552" t="s">
        <v>67</v>
      </c>
      <c r="G2552">
        <v>-251.1987</v>
      </c>
      <c r="H2552">
        <v>6.7099699999999904</v>
      </c>
      <c r="I2552">
        <v>199.13890000000001</v>
      </c>
      <c r="J2552">
        <v>-470.05950000000001</v>
      </c>
      <c r="K2552">
        <v>1.1103160000000001</v>
      </c>
      <c r="L2552">
        <v>216.2594</v>
      </c>
      <c r="M2552">
        <v>0.99721649999999995</v>
      </c>
      <c r="N2552">
        <v>0</v>
      </c>
      <c r="O2552">
        <v>-7.3359289999999994E-2</v>
      </c>
      <c r="P2552">
        <v>0.98942889999999994</v>
      </c>
      <c r="Q2552">
        <v>6.1217430000000003E-2</v>
      </c>
      <c r="R2552">
        <v>-0.131465</v>
      </c>
      <c r="S2552">
        <v>2.996429</v>
      </c>
      <c r="T2552">
        <v>7.6601619999999995E-2</v>
      </c>
      <c r="U2552">
        <v>-0.234375</v>
      </c>
      <c r="V2552">
        <v>5.8512380000000003E-2</v>
      </c>
      <c r="W2552">
        <v>7.4499969999999999E-2</v>
      </c>
      <c r="X2552">
        <v>0.99550289999999997</v>
      </c>
      <c r="Y2552">
        <v>4.649617E-3</v>
      </c>
      <c r="Z2552">
        <v>-1.810447E-3</v>
      </c>
      <c r="AA2552">
        <v>0.99998750000000003</v>
      </c>
      <c r="AB2552">
        <v>17</v>
      </c>
      <c r="AC2552">
        <v>218.86080000000001</v>
      </c>
      <c r="AD2552">
        <v>5.5996539999999904</v>
      </c>
      <c r="AE2552">
        <v>-17.1204999999999</v>
      </c>
      <c r="AF2552">
        <v>1.01680101440102</v>
      </c>
      <c r="AG2552">
        <v>5.5996539999999904</v>
      </c>
      <c r="AH2552">
        <v>219.38431191361099</v>
      </c>
      <c r="AI2552">
        <v>88.537892490264497</v>
      </c>
      <c r="AJ2552">
        <v>89.734447786756704</v>
      </c>
      <c r="AK2552">
        <v>219.45811974732499</v>
      </c>
      <c r="AL2552">
        <v>85.727507613590305</v>
      </c>
      <c r="AM2552">
        <v>86.6362129499594</v>
      </c>
      <c r="AN2552">
        <v>0.99999998402583701</v>
      </c>
    </row>
    <row r="2553" spans="1:40" x14ac:dyDescent="0.25">
      <c r="A2553" t="str">
        <f>"20190312154601792"</f>
        <v>20190312154601792</v>
      </c>
      <c r="B2553" t="str">
        <f>"1552376761779333"</f>
        <v>1552376761779333</v>
      </c>
      <c r="C2553" t="s">
        <v>40</v>
      </c>
      <c r="D2553">
        <v>4.284599</v>
      </c>
      <c r="E2553">
        <v>0.48017470000000001</v>
      </c>
      <c r="F2553" t="s">
        <v>67</v>
      </c>
      <c r="G2553">
        <v>-253.1815</v>
      </c>
      <c r="H2553">
        <v>6.3326820000000001</v>
      </c>
      <c r="I2553">
        <v>199.5479</v>
      </c>
      <c r="J2553">
        <v>-469.90069999999997</v>
      </c>
      <c r="K2553">
        <v>1.1102890000000001</v>
      </c>
      <c r="L2553">
        <v>216.2484</v>
      </c>
      <c r="M2553">
        <v>0.99725149999999996</v>
      </c>
      <c r="N2553">
        <v>0</v>
      </c>
      <c r="O2553">
        <v>-7.2883580000000003E-2</v>
      </c>
      <c r="P2553">
        <v>0.98970360000000002</v>
      </c>
      <c r="Q2553">
        <v>6.0590579999999998E-2</v>
      </c>
      <c r="R2553">
        <v>-0.1296756</v>
      </c>
      <c r="S2553">
        <v>2.996918</v>
      </c>
      <c r="T2553">
        <v>7.2166439999999998E-2</v>
      </c>
      <c r="U2553">
        <v>-0.23092650000000001</v>
      </c>
      <c r="V2553">
        <v>5.7188139999999998E-2</v>
      </c>
      <c r="W2553">
        <v>7.3863719999999994E-2</v>
      </c>
      <c r="X2553">
        <v>0.99562729999999999</v>
      </c>
      <c r="Y2553">
        <v>3.9677540000000004E-3</v>
      </c>
      <c r="Z2553">
        <v>-1.7022700000000001E-3</v>
      </c>
      <c r="AA2553">
        <v>0.99999070000000001</v>
      </c>
      <c r="AB2553">
        <v>17</v>
      </c>
      <c r="AC2553">
        <v>216.7192</v>
      </c>
      <c r="AD2553">
        <v>5.2223930000000003</v>
      </c>
      <c r="AE2553">
        <v>-16.700500000000002</v>
      </c>
      <c r="AF2553">
        <v>0.85890795527106201</v>
      </c>
      <c r="AG2553">
        <v>5.2223930000000003</v>
      </c>
      <c r="AH2553">
        <v>217.234622111823</v>
      </c>
      <c r="AI2553">
        <v>88.622866310288799</v>
      </c>
      <c r="AJ2553">
        <v>89.773463622360097</v>
      </c>
      <c r="AK2553">
        <v>217.299084571446</v>
      </c>
      <c r="AL2553">
        <v>85.764062954046693</v>
      </c>
      <c r="AM2553">
        <v>86.712582442167403</v>
      </c>
      <c r="AN2553">
        <v>1.0000000264970901</v>
      </c>
    </row>
    <row r="2554" spans="1:40" x14ac:dyDescent="0.25">
      <c r="A2554" t="str">
        <f>"20190312154601838"</f>
        <v>20190312154601838</v>
      </c>
      <c r="B2554" t="str">
        <f>"1552376761829109"</f>
        <v>1552376761829109</v>
      </c>
      <c r="C2554" t="s">
        <v>40</v>
      </c>
      <c r="D2554">
        <v>4.301234</v>
      </c>
      <c r="E2554">
        <v>0.49374600000000002</v>
      </c>
      <c r="F2554" t="s">
        <v>67</v>
      </c>
      <c r="G2554">
        <v>-252.07849999999999</v>
      </c>
      <c r="H2554">
        <v>5.9229609999999999</v>
      </c>
      <c r="I2554">
        <v>199.67250000000001</v>
      </c>
      <c r="J2554">
        <v>-469.54700000000003</v>
      </c>
      <c r="K2554">
        <v>1.1102270000000001</v>
      </c>
      <c r="L2554">
        <v>216.22380000000001</v>
      </c>
      <c r="M2554">
        <v>0.99731429999999999</v>
      </c>
      <c r="N2554">
        <v>0</v>
      </c>
      <c r="O2554">
        <v>-7.2039530000000004E-2</v>
      </c>
      <c r="P2554">
        <v>0.9902048</v>
      </c>
      <c r="Q2554">
        <v>5.8325019999999998E-2</v>
      </c>
      <c r="R2554">
        <v>-0.126857199999999</v>
      </c>
      <c r="S2554">
        <v>2.9972840000000001</v>
      </c>
      <c r="T2554">
        <v>6.6224930000000001E-2</v>
      </c>
      <c r="U2554">
        <v>-0.2280884</v>
      </c>
      <c r="V2554">
        <v>5.5189540000000002E-2</v>
      </c>
      <c r="W2554">
        <v>7.1489639999999993E-2</v>
      </c>
      <c r="X2554">
        <v>0.9959133</v>
      </c>
      <c r="Y2554">
        <v>3.860175E-3</v>
      </c>
      <c r="Z2554">
        <v>-1.5446609999999999E-3</v>
      </c>
      <c r="AA2554">
        <v>0.99999139999999997</v>
      </c>
      <c r="AB2554">
        <v>17</v>
      </c>
      <c r="AC2554">
        <v>217.46850000000001</v>
      </c>
      <c r="AD2554">
        <v>4.8127339999999998</v>
      </c>
      <c r="AE2554">
        <v>-16.551299999999902</v>
      </c>
      <c r="AF2554">
        <v>0.84018385999628098</v>
      </c>
      <c r="AG2554">
        <v>4.8127339999999998</v>
      </c>
      <c r="AH2554">
        <v>217.98967203200399</v>
      </c>
      <c r="AI2554">
        <v>88.735249671582494</v>
      </c>
      <c r="AJ2554">
        <v>89.779169580027897</v>
      </c>
      <c r="AK2554">
        <v>218.04441160023799</v>
      </c>
      <c r="AL2554">
        <v>85.900448210248101</v>
      </c>
      <c r="AM2554">
        <v>86.828140791762706</v>
      </c>
      <c r="AN2554">
        <v>0.99999997753481495</v>
      </c>
    </row>
    <row r="2555" spans="1:40" x14ac:dyDescent="0.25">
      <c r="A2555" t="str">
        <f>"20190312154601861"</f>
        <v>20190312154601861</v>
      </c>
      <c r="B2555" t="str">
        <f>"1552376761849606"</f>
        <v>1552376761849606</v>
      </c>
      <c r="C2555" t="s">
        <v>40</v>
      </c>
      <c r="D2555">
        <v>4.3055469999999998</v>
      </c>
      <c r="E2555">
        <v>0.49705319999999997</v>
      </c>
      <c r="F2555" t="s">
        <v>54</v>
      </c>
      <c r="G2555">
        <v>-451.14890000000003</v>
      </c>
      <c r="H2555" s="1">
        <v>-9.1045649999999997E-7</v>
      </c>
      <c r="I2555">
        <v>214.27459999999999</v>
      </c>
      <c r="J2555">
        <v>-469.37450000000001</v>
      </c>
      <c r="K2555">
        <v>1.1102050000000001</v>
      </c>
      <c r="L2555">
        <v>216.21190000000001</v>
      </c>
      <c r="M2555">
        <v>0.99734339999999999</v>
      </c>
      <c r="N2555">
        <v>0</v>
      </c>
      <c r="O2555">
        <v>-7.1655969999999999E-2</v>
      </c>
      <c r="P2555">
        <v>0.99031899999999995</v>
      </c>
      <c r="Q2555">
        <v>5.6901519999999997E-2</v>
      </c>
      <c r="R2555">
        <v>-0.12661149999999999</v>
      </c>
      <c r="S2555">
        <v>2.9996339999999999</v>
      </c>
      <c r="T2555">
        <v>-0.18101220000000001</v>
      </c>
      <c r="U2555">
        <v>-0.31781009999999998</v>
      </c>
      <c r="V2555">
        <v>5.5317409999999997E-2</v>
      </c>
      <c r="W2555">
        <v>6.9953310000000005E-2</v>
      </c>
      <c r="X2555">
        <v>0.99601530000000005</v>
      </c>
      <c r="Y2555">
        <v>3.389342E-2</v>
      </c>
      <c r="Z2555">
        <v>3.282765E-3</v>
      </c>
      <c r="AA2555">
        <v>0.99941999999999998</v>
      </c>
      <c r="AB2555">
        <v>17</v>
      </c>
      <c r="AC2555">
        <v>18.225599999999901</v>
      </c>
      <c r="AD2555">
        <v>-1.1102059104565001</v>
      </c>
      <c r="AE2555">
        <v>-1.93730000000002</v>
      </c>
      <c r="AF2555">
        <v>0.62394470540151803</v>
      </c>
      <c r="AG2555">
        <v>-1.1102059104565001</v>
      </c>
      <c r="AH2555">
        <v>18.250608387678401</v>
      </c>
      <c r="AI2555">
        <v>93.479052298916201</v>
      </c>
      <c r="AJ2555">
        <v>88.041956772633199</v>
      </c>
      <c r="AK2555">
        <v>18.294987583472398</v>
      </c>
      <c r="AL2555">
        <v>85.988694413926396</v>
      </c>
      <c r="AM2555">
        <v>86.821131798142403</v>
      </c>
      <c r="AN2555">
        <v>0.99999997963157605</v>
      </c>
    </row>
    <row r="2556" spans="1:40" x14ac:dyDescent="0.25">
      <c r="A2556" t="str">
        <f>"20190312154601883"</f>
        <v>20190312154601883</v>
      </c>
      <c r="B2556" t="str">
        <f>"1552376761879861"</f>
        <v>1552376761879861</v>
      </c>
      <c r="C2556" t="s">
        <v>40</v>
      </c>
      <c r="D2556">
        <v>4.2732299999999999</v>
      </c>
      <c r="E2556">
        <v>0.49910139999999997</v>
      </c>
      <c r="F2556" t="s">
        <v>41</v>
      </c>
      <c r="G2556">
        <v>-468.63010000000003</v>
      </c>
      <c r="H2556">
        <v>1.044133</v>
      </c>
      <c r="I2556">
        <v>216.1277</v>
      </c>
      <c r="J2556">
        <v>-469.20479999999998</v>
      </c>
      <c r="K2556">
        <v>1.11019</v>
      </c>
      <c r="L2556">
        <v>216.20009999999999</v>
      </c>
      <c r="M2556">
        <v>0.99737439999999999</v>
      </c>
      <c r="N2556">
        <v>0</v>
      </c>
      <c r="O2556">
        <v>-7.1258870000000002E-2</v>
      </c>
      <c r="P2556">
        <v>0.99028400000000005</v>
      </c>
      <c r="Q2556">
        <v>5.537976E-2</v>
      </c>
      <c r="R2556">
        <v>-0.1275577</v>
      </c>
      <c r="S2556">
        <v>3.0012509999999999</v>
      </c>
      <c r="T2556">
        <v>-0.26635239999999999</v>
      </c>
      <c r="U2556">
        <v>-0.33958440000000001</v>
      </c>
      <c r="V2556">
        <v>5.6655629999999998E-2</v>
      </c>
      <c r="W2556">
        <v>6.8255070000000001E-2</v>
      </c>
      <c r="X2556">
        <v>0.99605790000000005</v>
      </c>
      <c r="Y2556">
        <v>4.1446509999999999E-2</v>
      </c>
      <c r="Z2556">
        <v>4.4521589999999998E-3</v>
      </c>
      <c r="AA2556">
        <v>0.99913079999999999</v>
      </c>
      <c r="AB2556">
        <v>17</v>
      </c>
      <c r="AC2556">
        <v>0.57469999999995003</v>
      </c>
      <c r="AD2556">
        <v>-6.6057000000000005E-2</v>
      </c>
      <c r="AE2556">
        <v>-7.2399999999987502E-2</v>
      </c>
      <c r="AF2556">
        <v>3.0858712570151201E-2</v>
      </c>
      <c r="AG2556">
        <v>-6.6057000000000005E-2</v>
      </c>
      <c r="AH2556">
        <v>0.57097274548400101</v>
      </c>
      <c r="AI2556">
        <v>96.589794126536404</v>
      </c>
      <c r="AJ2556">
        <v>86.906410107877605</v>
      </c>
      <c r="AK2556">
        <v>0.575608950135441</v>
      </c>
      <c r="AL2556">
        <v>86.086229567228202</v>
      </c>
      <c r="AM2556">
        <v>86.744532108073301</v>
      </c>
      <c r="AN2556">
        <v>0.99999997757190495</v>
      </c>
    </row>
    <row r="2557" spans="1:40" x14ac:dyDescent="0.25">
      <c r="A2557" t="str">
        <f>"20190312154601926"</f>
        <v>20190312154601926</v>
      </c>
      <c r="B2557" t="str">
        <f>"1552376761919877"</f>
        <v>1552376761919877</v>
      </c>
      <c r="C2557" t="s">
        <v>40</v>
      </c>
      <c r="D2557">
        <v>4.2829430000000004</v>
      </c>
      <c r="E2557">
        <v>0.5004786</v>
      </c>
      <c r="F2557" t="s">
        <v>41</v>
      </c>
      <c r="G2557">
        <v>-468.483</v>
      </c>
      <c r="H2557">
        <v>1.0349549999999901</v>
      </c>
      <c r="I2557">
        <v>216.11410000000001</v>
      </c>
      <c r="J2557">
        <v>-468.87689999999998</v>
      </c>
      <c r="K2557">
        <v>1.110141</v>
      </c>
      <c r="L2557">
        <v>216.17769999999999</v>
      </c>
      <c r="M2557">
        <v>0.99744520000000003</v>
      </c>
      <c r="N2557">
        <v>0</v>
      </c>
      <c r="O2557">
        <v>-7.0374610000000004E-2</v>
      </c>
      <c r="P2557">
        <v>0.99023030000000001</v>
      </c>
      <c r="Q2557">
        <v>5.0256479999999999E-2</v>
      </c>
      <c r="R2557">
        <v>-0.13007169999999901</v>
      </c>
      <c r="S2557">
        <v>3.0009459999999999</v>
      </c>
      <c r="T2557">
        <v>-0.31297960000000002</v>
      </c>
      <c r="U2557">
        <v>-0.35678100000000001</v>
      </c>
      <c r="V2557">
        <v>6.0036359999999997E-2</v>
      </c>
      <c r="W2557">
        <v>6.2503409999999995E-2</v>
      </c>
      <c r="X2557">
        <v>0.99623740000000005</v>
      </c>
      <c r="Y2557">
        <v>4.79966E-2</v>
      </c>
      <c r="Z2557">
        <v>4.7953240000000001E-3</v>
      </c>
      <c r="AA2557">
        <v>0.99883599999999995</v>
      </c>
      <c r="AB2557">
        <v>17</v>
      </c>
      <c r="AC2557">
        <v>0.39389999999997299</v>
      </c>
      <c r="AD2557">
        <v>-7.5186000000000197E-2</v>
      </c>
      <c r="AE2557">
        <v>-6.3599999999979603E-2</v>
      </c>
      <c r="AF2557">
        <v>3.4494805541635899E-2</v>
      </c>
      <c r="AG2557">
        <v>-7.5186000000000197E-2</v>
      </c>
      <c r="AH2557">
        <v>0.38377243930528898</v>
      </c>
      <c r="AI2557">
        <v>101.04118257638</v>
      </c>
      <c r="AJ2557">
        <v>84.863857503965093</v>
      </c>
      <c r="AK2557">
        <v>0.39258643809444999</v>
      </c>
      <c r="AL2557">
        <v>86.416482536486996</v>
      </c>
      <c r="AM2557">
        <v>86.551349087778107</v>
      </c>
      <c r="AN2557">
        <v>0.99999999897121805</v>
      </c>
    </row>
    <row r="2558" spans="1:40" x14ac:dyDescent="0.25">
      <c r="A2558" t="str">
        <f>"20190312154601949"</f>
        <v>20190312154601949</v>
      </c>
      <c r="B2558" t="str">
        <f>"1552376761939397"</f>
        <v>1552376761939397</v>
      </c>
      <c r="C2558" t="s">
        <v>40</v>
      </c>
      <c r="D2558">
        <v>4.4766640000000004</v>
      </c>
      <c r="E2558">
        <v>0.50044979999999994</v>
      </c>
      <c r="F2558" t="s">
        <v>41</v>
      </c>
      <c r="G2558">
        <v>-468.03269999999998</v>
      </c>
      <c r="H2558">
        <v>1.0129999999999999</v>
      </c>
      <c r="I2558">
        <v>216.07230000000001</v>
      </c>
      <c r="J2558">
        <v>-468.69959999999998</v>
      </c>
      <c r="K2558">
        <v>1.1101209999999999</v>
      </c>
      <c r="L2558">
        <v>216.16589999999999</v>
      </c>
      <c r="M2558">
        <v>0.99748939999999997</v>
      </c>
      <c r="N2558">
        <v>0</v>
      </c>
      <c r="O2558">
        <v>-6.9818920000000007E-2</v>
      </c>
      <c r="P2558">
        <v>0.99016950000000004</v>
      </c>
      <c r="Q2558">
        <v>4.7980219999999997E-2</v>
      </c>
      <c r="R2558">
        <v>-0.1313868</v>
      </c>
      <c r="S2558">
        <v>2.997833</v>
      </c>
      <c r="T2558">
        <v>-0.34490500000000002</v>
      </c>
      <c r="U2558">
        <v>-0.37478640000000002</v>
      </c>
      <c r="V2558">
        <v>6.1900589999999998E-2</v>
      </c>
      <c r="W2558">
        <v>5.9828600000000003E-2</v>
      </c>
      <c r="X2558">
        <v>0.99628749999999999</v>
      </c>
      <c r="Y2558">
        <v>5.456449E-2</v>
      </c>
      <c r="Z2558">
        <v>4.8461370000000004E-3</v>
      </c>
      <c r="AA2558">
        <v>0.99849849999999996</v>
      </c>
      <c r="AB2558">
        <v>17</v>
      </c>
      <c r="AC2558">
        <v>0.66689999999999805</v>
      </c>
      <c r="AD2558">
        <v>-9.7120999999999999E-2</v>
      </c>
      <c r="AE2558">
        <v>-9.3599999999980796E-2</v>
      </c>
      <c r="AF2558">
        <v>4.5852388318046701E-2</v>
      </c>
      <c r="AG2558">
        <v>-9.7120999999999999E-2</v>
      </c>
      <c r="AH2558">
        <v>0.65811989054259701</v>
      </c>
      <c r="AI2558">
        <v>98.374731223826004</v>
      </c>
      <c r="AJ2558">
        <v>86.014541054628396</v>
      </c>
      <c r="AK2558">
        <v>0.66682585469016498</v>
      </c>
      <c r="AL2558">
        <v>86.570025277924003</v>
      </c>
      <c r="AM2558">
        <v>86.444711586706106</v>
      </c>
      <c r="AN2558">
        <v>0.99999996353827802</v>
      </c>
    </row>
    <row r="2559" spans="1:40" x14ac:dyDescent="0.25">
      <c r="A2559" t="str">
        <f>"20190312154601971"</f>
        <v>20190312154601971</v>
      </c>
      <c r="B2559" t="str">
        <f>"1552376761959893"</f>
        <v>1552376761959893</v>
      </c>
      <c r="C2559" t="s">
        <v>40</v>
      </c>
      <c r="D2559">
        <v>4.2678370000000001</v>
      </c>
      <c r="E2559">
        <v>0.5006583</v>
      </c>
      <c r="F2559" t="s">
        <v>41</v>
      </c>
      <c r="G2559">
        <v>-467.8777</v>
      </c>
      <c r="H2559">
        <v>1.0128140000000001</v>
      </c>
      <c r="I2559">
        <v>216.06139999999999</v>
      </c>
      <c r="J2559">
        <v>-468.52530000000002</v>
      </c>
      <c r="K2559">
        <v>1.1101000000000001</v>
      </c>
      <c r="L2559">
        <v>216.15430000000001</v>
      </c>
      <c r="M2559">
        <v>0.99753590000000003</v>
      </c>
      <c r="N2559">
        <v>0</v>
      </c>
      <c r="O2559">
        <v>-6.921919E-2</v>
      </c>
      <c r="P2559">
        <v>0.9901046</v>
      </c>
      <c r="Q2559">
        <v>4.6162010000000003E-2</v>
      </c>
      <c r="R2559">
        <v>-0.13252259999999999</v>
      </c>
      <c r="S2559">
        <v>2.9967039999999998</v>
      </c>
      <c r="T2559">
        <v>-0.35500910000000002</v>
      </c>
      <c r="U2559">
        <v>-0.37905879999999997</v>
      </c>
      <c r="V2559">
        <v>6.3631820000000006E-2</v>
      </c>
      <c r="W2559">
        <v>5.7618469999999998E-2</v>
      </c>
      <c r="X2559">
        <v>0.99630870000000005</v>
      </c>
      <c r="Y2559">
        <v>5.6600549999999999E-2</v>
      </c>
      <c r="Z2559">
        <v>4.7984639999999997E-3</v>
      </c>
      <c r="AA2559">
        <v>0.99838539999999998</v>
      </c>
      <c r="AB2559">
        <v>17</v>
      </c>
      <c r="AC2559">
        <v>0.64760000000001094</v>
      </c>
      <c r="AD2559">
        <v>-9.7286000000000206E-2</v>
      </c>
      <c r="AE2559">
        <v>-9.2900000000014402E-2</v>
      </c>
      <c r="AF2559">
        <v>4.6812715247880499E-2</v>
      </c>
      <c r="AG2559">
        <v>-9.7286000000000206E-2</v>
      </c>
      <c r="AH2559">
        <v>0.638361539042124</v>
      </c>
      <c r="AI2559">
        <v>98.642320985416006</v>
      </c>
      <c r="AJ2559">
        <v>85.805858660068296</v>
      </c>
      <c r="AK2559">
        <v>0.64742679171710904</v>
      </c>
      <c r="AL2559">
        <v>86.696875329116097</v>
      </c>
      <c r="AM2559">
        <v>86.3456209661651</v>
      </c>
      <c r="AN2559">
        <v>0.99999996114867096</v>
      </c>
    </row>
    <row r="2560" spans="1:40" x14ac:dyDescent="0.25">
      <c r="A2560" t="str">
        <f>"20190312154601996"</f>
        <v>20190312154601996</v>
      </c>
      <c r="B2560" t="str">
        <f>"1552376761990149"</f>
        <v>1552376761990149</v>
      </c>
      <c r="C2560" t="s">
        <v>40</v>
      </c>
      <c r="D2560">
        <v>4.2227290000000002</v>
      </c>
      <c r="E2560">
        <v>0.51902619999999999</v>
      </c>
      <c r="F2560" t="s">
        <v>41</v>
      </c>
      <c r="G2560">
        <v>-467.72179999999997</v>
      </c>
      <c r="H2560">
        <v>1.0130980000000001</v>
      </c>
      <c r="I2560">
        <v>216.05099999999999</v>
      </c>
      <c r="J2560">
        <v>-468.33589999999998</v>
      </c>
      <c r="K2560">
        <v>1.1100559999999999</v>
      </c>
      <c r="L2560">
        <v>216.142</v>
      </c>
      <c r="M2560">
        <v>0.99759189999999998</v>
      </c>
      <c r="N2560">
        <v>0</v>
      </c>
      <c r="O2560">
        <v>-6.8494570000000005E-2</v>
      </c>
      <c r="P2560">
        <v>0.98998390000000003</v>
      </c>
      <c r="Q2560">
        <v>4.5125100000000001E-2</v>
      </c>
      <c r="R2560">
        <v>-0.13377420000000001</v>
      </c>
      <c r="S2560">
        <v>2.9954529999999999</v>
      </c>
      <c r="T2560">
        <v>-0.36187760000000002</v>
      </c>
      <c r="U2560">
        <v>-0.38406370000000001</v>
      </c>
      <c r="V2560">
        <v>6.5607879999999993E-2</v>
      </c>
      <c r="W2560">
        <v>5.6038879999999999E-2</v>
      </c>
      <c r="X2560">
        <v>0.99627069999999995</v>
      </c>
      <c r="Y2560">
        <v>5.9000570000000002E-2</v>
      </c>
      <c r="Z2560">
        <v>4.6615839999999999E-3</v>
      </c>
      <c r="AA2560">
        <v>0.99824710000000005</v>
      </c>
      <c r="AB2560">
        <v>17</v>
      </c>
      <c r="AC2560">
        <v>0.61410000000000697</v>
      </c>
      <c r="AD2560">
        <v>-9.6957999999999794E-2</v>
      </c>
      <c r="AE2560">
        <v>-9.1000000000008199E-2</v>
      </c>
      <c r="AF2560">
        <v>4.7561110876602697E-2</v>
      </c>
      <c r="AG2560">
        <v>-9.6957999999999794E-2</v>
      </c>
      <c r="AH2560">
        <v>0.60415417104081903</v>
      </c>
      <c r="AI2560">
        <v>99.089747898543095</v>
      </c>
      <c r="AJ2560">
        <v>85.498760917399196</v>
      </c>
      <c r="AK2560">
        <v>0.61373053974674896</v>
      </c>
      <c r="AL2560">
        <v>86.787525896149305</v>
      </c>
      <c r="AM2560">
        <v>86.232314385695005</v>
      </c>
      <c r="AN2560">
        <v>1.00000002883411</v>
      </c>
    </row>
    <row r="2561" spans="1:40" x14ac:dyDescent="0.25">
      <c r="A2561" t="str">
        <f>"20190312154602039"</f>
        <v>20190312154602039</v>
      </c>
      <c r="B2561" t="str">
        <f>"1552376762029189"</f>
        <v>1552376762029189</v>
      </c>
      <c r="C2561" t="s">
        <v>40</v>
      </c>
      <c r="D2561">
        <v>4.2330430000000003</v>
      </c>
      <c r="E2561">
        <v>0.52307179999999998</v>
      </c>
      <c r="F2561" t="s">
        <v>41</v>
      </c>
      <c r="G2561">
        <v>-467.59879999999998</v>
      </c>
      <c r="H2561">
        <v>0.94816160000000005</v>
      </c>
      <c r="I2561">
        <v>216.01300000000001</v>
      </c>
      <c r="J2561">
        <v>-467.9862</v>
      </c>
      <c r="K2561">
        <v>1.1099030000000001</v>
      </c>
      <c r="L2561">
        <v>216.1198</v>
      </c>
      <c r="M2561">
        <v>0.99770859999999995</v>
      </c>
      <c r="N2561">
        <v>0</v>
      </c>
      <c r="O2561">
        <v>-6.6982399999999997E-2</v>
      </c>
      <c r="P2561">
        <v>0.99007520000000004</v>
      </c>
      <c r="Q2561">
        <v>4.516245E-2</v>
      </c>
      <c r="R2561">
        <v>-0.13308539999999999</v>
      </c>
      <c r="S2561">
        <v>2.9898380000000002</v>
      </c>
      <c r="T2561">
        <v>-0.65693069999999998</v>
      </c>
      <c r="U2561">
        <v>-0.52117919999999995</v>
      </c>
      <c r="V2561">
        <v>6.6416760000000005E-2</v>
      </c>
      <c r="W2561">
        <v>5.4729590000000002E-2</v>
      </c>
      <c r="X2561">
        <v>0.9962898</v>
      </c>
      <c r="Y2561">
        <v>0.1044837</v>
      </c>
      <c r="Z2561">
        <v>3.1493409999999999E-3</v>
      </c>
      <c r="AA2561">
        <v>0.99452160000000001</v>
      </c>
      <c r="AB2561">
        <v>18</v>
      </c>
      <c r="AC2561">
        <v>0.38740000000001301</v>
      </c>
      <c r="AD2561">
        <v>-0.16174140000000001</v>
      </c>
      <c r="AE2561">
        <v>-0.106799999999992</v>
      </c>
      <c r="AF2561">
        <v>6.9371846134211407E-2</v>
      </c>
      <c r="AG2561">
        <v>-0.16174140000000001</v>
      </c>
      <c r="AH2561">
        <v>0.33879908280940002</v>
      </c>
      <c r="AI2561">
        <v>115.06514731977499</v>
      </c>
      <c r="AJ2561">
        <v>78.428176966378601</v>
      </c>
      <c r="AK2561">
        <v>0.381782073993161</v>
      </c>
      <c r="AL2561">
        <v>86.862657730105298</v>
      </c>
      <c r="AM2561">
        <v>86.186071737727403</v>
      </c>
      <c r="AN2561">
        <v>0.99999993980725099</v>
      </c>
    </row>
    <row r="2562" spans="1:40" x14ac:dyDescent="0.25">
      <c r="A2562" t="str">
        <f>"20190312154602082"</f>
        <v>20190312154602082</v>
      </c>
      <c r="B2562" t="str">
        <f>"1552376762079285"</f>
        <v>1552376762079285</v>
      </c>
      <c r="C2562" t="s">
        <v>40</v>
      </c>
      <c r="D2562">
        <v>4.298794</v>
      </c>
      <c r="E2562">
        <v>0.52366440000000003</v>
      </c>
      <c r="F2562" t="s">
        <v>41</v>
      </c>
      <c r="G2562">
        <v>-467.28039999999999</v>
      </c>
      <c r="H2562">
        <v>0.94907529999999996</v>
      </c>
      <c r="I2562">
        <v>215.98939999999999</v>
      </c>
      <c r="J2562">
        <v>-467.64409999999998</v>
      </c>
      <c r="K2562">
        <v>1.1097539999999999</v>
      </c>
      <c r="L2562">
        <v>216.09870000000001</v>
      </c>
      <c r="M2562">
        <v>0.99782800000000005</v>
      </c>
      <c r="N2562">
        <v>0</v>
      </c>
      <c r="O2562">
        <v>-6.5373410000000007E-2</v>
      </c>
      <c r="P2562">
        <v>0.99063570000000001</v>
      </c>
      <c r="Q2562">
        <v>4.6412389999999998E-2</v>
      </c>
      <c r="R2562">
        <v>-0.12840080000000001</v>
      </c>
      <c r="S2562">
        <v>2.9872740000000002</v>
      </c>
      <c r="T2562">
        <v>-0.68101040000000002</v>
      </c>
      <c r="U2562">
        <v>-0.54945369999999905</v>
      </c>
      <c r="V2562">
        <v>6.3305959999999994E-2</v>
      </c>
      <c r="W2562">
        <v>5.4560089999999999E-2</v>
      </c>
      <c r="X2562">
        <v>0.99650170000000005</v>
      </c>
      <c r="Y2562">
        <v>0.1149834</v>
      </c>
      <c r="Z2562">
        <v>1.7309719999999999E-3</v>
      </c>
      <c r="AA2562">
        <v>0.99336590000000002</v>
      </c>
      <c r="AB2562">
        <v>18</v>
      </c>
      <c r="AC2562">
        <v>0.36369999999999397</v>
      </c>
      <c r="AD2562">
        <v>-0.16067870000000001</v>
      </c>
      <c r="AE2562">
        <v>-0.10930000000001799</v>
      </c>
      <c r="AF2562">
        <v>7.2339548854106706E-2</v>
      </c>
      <c r="AG2562">
        <v>-0.16067870000000001</v>
      </c>
      <c r="AH2562">
        <v>0.313879724721777</v>
      </c>
      <c r="AI2562">
        <v>116.511628250201</v>
      </c>
      <c r="AJ2562">
        <v>77.021716029480501</v>
      </c>
      <c r="AK2562">
        <v>0.35995990964762198</v>
      </c>
      <c r="AL2562">
        <v>86.872384220857697</v>
      </c>
      <c r="AM2562">
        <v>86.364987068681401</v>
      </c>
      <c r="AN2562">
        <v>1.0000000430475999</v>
      </c>
    </row>
    <row r="2563" spans="1:40" x14ac:dyDescent="0.25">
      <c r="A2563" t="str">
        <f>"20190312154602104"</f>
        <v>20190312154602104</v>
      </c>
      <c r="B2563" t="str">
        <f>"1552376762099780"</f>
        <v>1552376762099780</v>
      </c>
      <c r="C2563" t="s">
        <v>40</v>
      </c>
      <c r="D2563">
        <v>4.2702289999999996</v>
      </c>
      <c r="E2563">
        <v>0.52389370000000002</v>
      </c>
      <c r="F2563" t="s">
        <v>41</v>
      </c>
      <c r="G2563">
        <v>-466.95420000000001</v>
      </c>
      <c r="H2563">
        <v>0.95345179999999996</v>
      </c>
      <c r="I2563">
        <v>215.9735</v>
      </c>
      <c r="J2563">
        <v>-467.45940000000002</v>
      </c>
      <c r="K2563">
        <v>1.1096680000000001</v>
      </c>
      <c r="L2563">
        <v>216.08760000000001</v>
      </c>
      <c r="M2563">
        <v>0.99789309999999998</v>
      </c>
      <c r="N2563">
        <v>0</v>
      </c>
      <c r="O2563">
        <v>-6.4468239999999996E-2</v>
      </c>
      <c r="P2563">
        <v>0.99096439999999997</v>
      </c>
      <c r="Q2563">
        <v>4.6929739999999998E-2</v>
      </c>
      <c r="R2563">
        <v>-0.1256488</v>
      </c>
      <c r="S2563">
        <v>2.9899290000000001</v>
      </c>
      <c r="T2563">
        <v>-0.67755200000000004</v>
      </c>
      <c r="U2563">
        <v>-0.5412903</v>
      </c>
      <c r="V2563">
        <v>6.1440080000000001E-2</v>
      </c>
      <c r="W2563">
        <v>5.4282499999999997E-2</v>
      </c>
      <c r="X2563">
        <v>0.99663360000000001</v>
      </c>
      <c r="Y2563">
        <v>0.1131393</v>
      </c>
      <c r="Z2563">
        <v>1.726209E-3</v>
      </c>
      <c r="AA2563">
        <v>0.99357770000000001</v>
      </c>
      <c r="AB2563">
        <v>18</v>
      </c>
      <c r="AC2563">
        <v>0.50520000000000198</v>
      </c>
      <c r="AD2563">
        <v>-0.1562162</v>
      </c>
      <c r="AE2563">
        <v>-0.114100000000007</v>
      </c>
      <c r="AF2563">
        <v>7.4513583175100095E-2</v>
      </c>
      <c r="AG2563">
        <v>-0.1562162</v>
      </c>
      <c r="AH2563">
        <v>0.46885154729593598</v>
      </c>
      <c r="AI2563">
        <v>108.214269242792</v>
      </c>
      <c r="AJ2563">
        <v>80.969627638139201</v>
      </c>
      <c r="AK2563">
        <v>0.49977749911518199</v>
      </c>
      <c r="AL2563">
        <v>86.888312435532995</v>
      </c>
      <c r="AM2563">
        <v>86.472316482627207</v>
      </c>
      <c r="AN2563">
        <v>1.0000000029428</v>
      </c>
    </row>
    <row r="2564" spans="1:40" x14ac:dyDescent="0.25">
      <c r="A2564" t="str">
        <f>"20190312154602127"</f>
        <v>20190312154602127</v>
      </c>
      <c r="B2564" t="str">
        <f>"1552376762119300"</f>
        <v>1552376762119300</v>
      </c>
      <c r="C2564" t="s">
        <v>40</v>
      </c>
      <c r="D2564">
        <v>4.2990240000000002</v>
      </c>
      <c r="E2564">
        <v>0.53642199999999995</v>
      </c>
      <c r="F2564" t="s">
        <v>41</v>
      </c>
      <c r="G2564">
        <v>-466.6379</v>
      </c>
      <c r="H2564">
        <v>0.9239446</v>
      </c>
      <c r="I2564">
        <v>215.94</v>
      </c>
      <c r="J2564">
        <v>-467.2724</v>
      </c>
      <c r="K2564">
        <v>1.109577</v>
      </c>
      <c r="L2564">
        <v>216.07660000000001</v>
      </c>
      <c r="M2564">
        <v>0.99795849999999997</v>
      </c>
      <c r="N2564">
        <v>0</v>
      </c>
      <c r="O2564">
        <v>-6.3534950000000007E-2</v>
      </c>
      <c r="P2564">
        <v>0.99126630000000004</v>
      </c>
      <c r="Q2564">
        <v>4.76894E-2</v>
      </c>
      <c r="R2564">
        <v>-0.1229517</v>
      </c>
      <c r="S2564">
        <v>2.9914550000000002</v>
      </c>
      <c r="T2564">
        <v>-0.67660799999999999</v>
      </c>
      <c r="U2564">
        <v>-0.53549190000000002</v>
      </c>
      <c r="V2564">
        <v>5.9659799999999999E-2</v>
      </c>
      <c r="W2564">
        <v>5.4242029999999997E-2</v>
      </c>
      <c r="X2564">
        <v>0.99674399999999996</v>
      </c>
      <c r="Y2564">
        <v>0.1121204</v>
      </c>
      <c r="Z2564">
        <v>1.630392E-3</v>
      </c>
      <c r="AA2564">
        <v>0.9936933</v>
      </c>
      <c r="AB2564">
        <v>19</v>
      </c>
      <c r="AC2564">
        <v>0.63450000000000195</v>
      </c>
      <c r="AD2564">
        <v>-0.1856324</v>
      </c>
      <c r="AE2564">
        <v>-0.13660000000001499</v>
      </c>
      <c r="AF2564">
        <v>8.8750217582125701E-2</v>
      </c>
      <c r="AG2564">
        <v>-0.1856324</v>
      </c>
      <c r="AH2564">
        <v>0.593358701574623</v>
      </c>
      <c r="AI2564">
        <v>107.192502828345</v>
      </c>
      <c r="AJ2564">
        <v>81.493183937432903</v>
      </c>
      <c r="AK2564">
        <v>0.62802112845425595</v>
      </c>
      <c r="AL2564">
        <v>86.890634749547999</v>
      </c>
      <c r="AM2564">
        <v>86.574665673698405</v>
      </c>
      <c r="AN2564">
        <v>1.00000004554527</v>
      </c>
    </row>
    <row r="2565" spans="1:40" x14ac:dyDescent="0.25">
      <c r="A2565" t="str">
        <f>"20190312154602150"</f>
        <v>20190312154602150</v>
      </c>
      <c r="B2565" t="str">
        <f>"1552376762139796"</f>
        <v>1552376762139796</v>
      </c>
      <c r="C2565" t="s">
        <v>40</v>
      </c>
      <c r="D2565">
        <v>4.2711220000000001</v>
      </c>
      <c r="E2565">
        <v>0.5369855</v>
      </c>
      <c r="F2565" t="s">
        <v>41</v>
      </c>
      <c r="G2565">
        <v>-466.47309999999999</v>
      </c>
      <c r="H2565">
        <v>0.91718330000000003</v>
      </c>
      <c r="I2565">
        <v>215.90880000000001</v>
      </c>
      <c r="J2565">
        <v>-467.07240000000002</v>
      </c>
      <c r="K2565">
        <v>1.1094949999999999</v>
      </c>
      <c r="L2565">
        <v>216.065</v>
      </c>
      <c r="M2565">
        <v>0.99802690000000005</v>
      </c>
      <c r="N2565">
        <v>0</v>
      </c>
      <c r="O2565">
        <v>-6.2531069999999994E-2</v>
      </c>
      <c r="P2565">
        <v>0.99153630000000004</v>
      </c>
      <c r="Q2565">
        <v>4.8929819999999999E-2</v>
      </c>
      <c r="R2565">
        <v>-0.1202579</v>
      </c>
      <c r="S2565">
        <v>2.983276</v>
      </c>
      <c r="T2565">
        <v>-0.71801090000000001</v>
      </c>
      <c r="U2565">
        <v>-0.62632749999999904</v>
      </c>
      <c r="V2565">
        <v>5.7955220000000002E-2</v>
      </c>
      <c r="W2565">
        <v>5.4670549999999998E-2</v>
      </c>
      <c r="X2565">
        <v>0.99682110000000002</v>
      </c>
      <c r="Y2565">
        <v>0.14170559999999999</v>
      </c>
      <c r="Z2565">
        <v>-1.9847319999999999E-3</v>
      </c>
      <c r="AA2565">
        <v>0.98990679999999998</v>
      </c>
      <c r="AB2565">
        <v>19</v>
      </c>
      <c r="AC2565">
        <v>0.59930000000002703</v>
      </c>
      <c r="AD2565">
        <v>-0.1923117</v>
      </c>
      <c r="AE2565">
        <v>-0.15619999999998399</v>
      </c>
      <c r="AF2565">
        <v>0.108004728273829</v>
      </c>
      <c r="AG2565">
        <v>-0.1923117</v>
      </c>
      <c r="AH2565">
        <v>0.55443457133415497</v>
      </c>
      <c r="AI2565">
        <v>108.801718666415</v>
      </c>
      <c r="AJ2565">
        <v>78.976743798985098</v>
      </c>
      <c r="AK2565">
        <v>0.59669632576117104</v>
      </c>
      <c r="AL2565">
        <v>86.8660457058117</v>
      </c>
      <c r="AM2565">
        <v>86.672566836079298</v>
      </c>
      <c r="AN2565">
        <v>0.99999999098388004</v>
      </c>
    </row>
    <row r="2566" spans="1:40" x14ac:dyDescent="0.25">
      <c r="A2566" t="str">
        <f>"20190312154602172"</f>
        <v>20190312154602172</v>
      </c>
      <c r="B2566" t="str">
        <f>"1552376762159317"</f>
        <v>1552376762159317</v>
      </c>
      <c r="C2566" t="s">
        <v>40</v>
      </c>
      <c r="D2566">
        <v>4.2639690000000003</v>
      </c>
      <c r="E2566">
        <v>0.53732590000000002</v>
      </c>
      <c r="F2566" t="s">
        <v>41</v>
      </c>
      <c r="G2566">
        <v>-466.2998</v>
      </c>
      <c r="H2566">
        <v>0.92457599999999995</v>
      </c>
      <c r="I2566">
        <v>215.90309999999999</v>
      </c>
      <c r="J2566">
        <v>-466.89139999999998</v>
      </c>
      <c r="K2566">
        <v>1.1094379999999999</v>
      </c>
      <c r="L2566">
        <v>216.0547</v>
      </c>
      <c r="M2566">
        <v>0.99808680000000005</v>
      </c>
      <c r="N2566">
        <v>0</v>
      </c>
      <c r="O2566">
        <v>-6.1626010000000002E-2</v>
      </c>
      <c r="P2566">
        <v>0.99180159999999995</v>
      </c>
      <c r="Q2566">
        <v>4.9133469999999999E-2</v>
      </c>
      <c r="R2566">
        <v>-0.11796429999999999</v>
      </c>
      <c r="S2566">
        <v>2.985077</v>
      </c>
      <c r="T2566">
        <v>-0.71455380000000002</v>
      </c>
      <c r="U2566">
        <v>-0.62490840000000003</v>
      </c>
      <c r="V2566">
        <v>5.6553640000000002E-2</v>
      </c>
      <c r="W2566">
        <v>5.4199650000000002E-2</v>
      </c>
      <c r="X2566">
        <v>0.99692729999999996</v>
      </c>
      <c r="Y2566">
        <v>0.14202200000000001</v>
      </c>
      <c r="Z2566">
        <v>-2.2217930000000001E-3</v>
      </c>
      <c r="AA2566">
        <v>0.98986099999999999</v>
      </c>
      <c r="AB2566">
        <v>19</v>
      </c>
      <c r="AC2566">
        <v>0.59159999999997104</v>
      </c>
      <c r="AD2566">
        <v>-0.184861999999999</v>
      </c>
      <c r="AE2566">
        <v>-0.15160000000000101</v>
      </c>
      <c r="AF2566">
        <v>0.105213202170777</v>
      </c>
      <c r="AG2566">
        <v>-0.184861999999999</v>
      </c>
      <c r="AH2566">
        <v>0.54947230661075996</v>
      </c>
      <c r="AI2566">
        <v>108.285230546882</v>
      </c>
      <c r="AJ2566">
        <v>79.160187326316404</v>
      </c>
      <c r="AK2566">
        <v>0.58920590007838303</v>
      </c>
      <c r="AL2566">
        <v>86.893066314432303</v>
      </c>
      <c r="AM2566">
        <v>86.753207808180207</v>
      </c>
      <c r="AN2566">
        <v>0.99999997887132996</v>
      </c>
    </row>
    <row r="2567" spans="1:40" x14ac:dyDescent="0.25">
      <c r="A2567" t="str">
        <f>"20190312154602195"</f>
        <v>20190312154602195</v>
      </c>
      <c r="B2567" t="str">
        <f>"1552376762189573"</f>
        <v>1552376762189573</v>
      </c>
      <c r="C2567" t="s">
        <v>40</v>
      </c>
      <c r="D2567">
        <v>4.2656650000000003</v>
      </c>
      <c r="E2567">
        <v>0.53810500000000006</v>
      </c>
      <c r="F2567" t="s">
        <v>41</v>
      </c>
      <c r="G2567">
        <v>-466.12630000000001</v>
      </c>
      <c r="H2567">
        <v>0.92817709999999998</v>
      </c>
      <c r="I2567">
        <v>215.89490000000001</v>
      </c>
      <c r="J2567">
        <v>-466.68849999999998</v>
      </c>
      <c r="K2567">
        <v>1.1093729999999999</v>
      </c>
      <c r="L2567">
        <v>216.04329999999999</v>
      </c>
      <c r="M2567">
        <v>0.99815140000000002</v>
      </c>
      <c r="N2567">
        <v>0</v>
      </c>
      <c r="O2567">
        <v>-6.0620439999999998E-2</v>
      </c>
      <c r="P2567">
        <v>0.99201980000000001</v>
      </c>
      <c r="Q2567">
        <v>4.9415880000000002E-2</v>
      </c>
      <c r="R2567">
        <v>-0.11599420000000001</v>
      </c>
      <c r="S2567">
        <v>2.9857480000000001</v>
      </c>
      <c r="T2567">
        <v>-0.70735809999999999</v>
      </c>
      <c r="U2567">
        <v>-0.62301640000000003</v>
      </c>
      <c r="V2567">
        <v>5.5577969999999997E-2</v>
      </c>
      <c r="W2567">
        <v>5.3800649999999998E-2</v>
      </c>
      <c r="X2567">
        <v>0.9970038</v>
      </c>
      <c r="Y2567">
        <v>0.1423808</v>
      </c>
      <c r="Z2567">
        <v>-2.4726610000000001E-3</v>
      </c>
      <c r="AA2567">
        <v>0.98980889999999999</v>
      </c>
      <c r="AB2567">
        <v>19</v>
      </c>
      <c r="AC2567">
        <v>0.56219999999996095</v>
      </c>
      <c r="AD2567">
        <v>-0.18119589999999899</v>
      </c>
      <c r="AE2567">
        <v>-0.14839999999998099</v>
      </c>
      <c r="AF2567">
        <v>0.103951260999848</v>
      </c>
      <c r="AG2567">
        <v>-0.18119589999999899</v>
      </c>
      <c r="AH2567">
        <v>0.51969478679069803</v>
      </c>
      <c r="AI2567">
        <v>108.874841715697</v>
      </c>
      <c r="AJ2567">
        <v>78.688763240585004</v>
      </c>
      <c r="AK2567">
        <v>0.56010757025565805</v>
      </c>
      <c r="AL2567">
        <v>86.9159607977072</v>
      </c>
      <c r="AM2567">
        <v>86.809349416081503</v>
      </c>
      <c r="AN2567">
        <v>0.99999999895209102</v>
      </c>
    </row>
    <row r="2568" spans="1:40" x14ac:dyDescent="0.25">
      <c r="A2568" t="str">
        <f>"20190312154602219"</f>
        <v>20190312154602219</v>
      </c>
      <c r="B2568" t="str">
        <f>"1552376762210068"</f>
        <v>1552376762210068</v>
      </c>
      <c r="C2568" t="s">
        <v>40</v>
      </c>
      <c r="D2568">
        <v>4.28247</v>
      </c>
      <c r="E2568">
        <v>0.53905519999999996</v>
      </c>
      <c r="F2568" t="s">
        <v>41</v>
      </c>
      <c r="G2568">
        <v>-465.95</v>
      </c>
      <c r="H2568">
        <v>0.93340310000000004</v>
      </c>
      <c r="I2568">
        <v>215.88839999999999</v>
      </c>
      <c r="J2568">
        <v>-466.48250000000002</v>
      </c>
      <c r="K2568">
        <v>1.109324</v>
      </c>
      <c r="L2568">
        <v>216.03200000000001</v>
      </c>
      <c r="M2568">
        <v>0.99821499999999996</v>
      </c>
      <c r="N2568">
        <v>0</v>
      </c>
      <c r="O2568">
        <v>-5.9608979999999999E-2</v>
      </c>
      <c r="P2568">
        <v>0.99235110000000004</v>
      </c>
      <c r="Q2568">
        <v>5.0175030000000002E-2</v>
      </c>
      <c r="R2568">
        <v>-0.1127923</v>
      </c>
      <c r="S2568">
        <v>2.9865719999999998</v>
      </c>
      <c r="T2568">
        <v>-0.71184519999999996</v>
      </c>
      <c r="U2568">
        <v>-0.62469479999999999</v>
      </c>
      <c r="V2568">
        <v>5.3371630000000003E-2</v>
      </c>
      <c r="W2568">
        <v>5.3943489999999997E-2</v>
      </c>
      <c r="X2568">
        <v>0.99711660000000002</v>
      </c>
      <c r="Y2568">
        <v>0.14377179999999901</v>
      </c>
      <c r="Z2568">
        <v>-2.883296E-3</v>
      </c>
      <c r="AA2568">
        <v>0.98960669999999995</v>
      </c>
      <c r="AB2568">
        <v>19</v>
      </c>
      <c r="AC2568">
        <v>0.53250000000002695</v>
      </c>
      <c r="AD2568">
        <v>-0.17592089999999999</v>
      </c>
      <c r="AE2568">
        <v>-0.14360000000001999</v>
      </c>
      <c r="AF2568">
        <v>0.101296366884164</v>
      </c>
      <c r="AG2568">
        <v>-0.17592089999999999</v>
      </c>
      <c r="AH2568">
        <v>0.49023464125150501</v>
      </c>
      <c r="AI2568">
        <v>109.362836288417</v>
      </c>
      <c r="AJ2568">
        <v>78.325368555492105</v>
      </c>
      <c r="AK2568">
        <v>0.53060260127870995</v>
      </c>
      <c r="AL2568">
        <v>86.9077646847648</v>
      </c>
      <c r="AM2568">
        <v>86.936111820352707</v>
      </c>
      <c r="AN2568">
        <v>0.99999997249889805</v>
      </c>
    </row>
    <row r="2569" spans="1:40" x14ac:dyDescent="0.25">
      <c r="A2569" t="str">
        <f>"20190312154602262"</f>
        <v>20190312154602262</v>
      </c>
      <c r="B2569" t="str">
        <f>"1552376762259845"</f>
        <v>1552376762259845</v>
      </c>
      <c r="C2569" t="s">
        <v>40</v>
      </c>
      <c r="D2569">
        <v>4.3250479999999998</v>
      </c>
      <c r="E2569">
        <v>0.54020380000000001</v>
      </c>
      <c r="F2569" t="s">
        <v>41</v>
      </c>
      <c r="G2569">
        <v>-465.7715</v>
      </c>
      <c r="H2569">
        <v>0.9391832</v>
      </c>
      <c r="I2569">
        <v>215.88380000000001</v>
      </c>
      <c r="J2569">
        <v>-466.1001</v>
      </c>
      <c r="K2569">
        <v>1.1092580000000001</v>
      </c>
      <c r="L2569">
        <v>216.01150000000001</v>
      </c>
      <c r="M2569">
        <v>0.99832750000000003</v>
      </c>
      <c r="N2569">
        <v>0</v>
      </c>
      <c r="O2569">
        <v>-5.774833E-2</v>
      </c>
      <c r="P2569">
        <v>0.99283619999999995</v>
      </c>
      <c r="Q2569">
        <v>5.2798499999999998E-2</v>
      </c>
      <c r="R2569">
        <v>-0.107185</v>
      </c>
      <c r="S2569">
        <v>2.9884029999999999</v>
      </c>
      <c r="T2569">
        <v>-0.7150569</v>
      </c>
      <c r="U2569">
        <v>-0.62327580000000005</v>
      </c>
      <c r="V2569">
        <v>4.9601979999999997E-2</v>
      </c>
      <c r="W2569">
        <v>5.5613240000000001E-2</v>
      </c>
      <c r="X2569">
        <v>0.99721959999999998</v>
      </c>
      <c r="Y2569">
        <v>0.1449443</v>
      </c>
      <c r="Z2569">
        <v>-3.4639599999999999E-3</v>
      </c>
      <c r="AA2569">
        <v>0.98943380000000003</v>
      </c>
      <c r="AB2569">
        <v>20</v>
      </c>
      <c r="AC2569">
        <v>0.32859999999999401</v>
      </c>
      <c r="AD2569">
        <v>-0.1700748</v>
      </c>
      <c r="AE2569">
        <v>-0.127700000000004</v>
      </c>
      <c r="AF2569">
        <v>8.8024419004325796E-2</v>
      </c>
      <c r="AG2569">
        <v>-0.1700748</v>
      </c>
      <c r="AH2569">
        <v>0.27209927947354801</v>
      </c>
      <c r="AI2569">
        <v>120.74004825134</v>
      </c>
      <c r="AJ2569">
        <v>72.073548160235603</v>
      </c>
      <c r="AK2569">
        <v>0.33273375817027201</v>
      </c>
      <c r="AL2569">
        <v>86.811951461179802</v>
      </c>
      <c r="AM2569">
        <v>87.1524388381374</v>
      </c>
      <c r="AN2569">
        <v>1.00000005975368</v>
      </c>
    </row>
    <row r="2570" spans="1:40" x14ac:dyDescent="0.25">
      <c r="A2570" t="str">
        <f>"20190312154602463"</f>
        <v>20190312154602463</v>
      </c>
      <c r="B2570" t="str">
        <f>"1552376762459925"</f>
        <v>1552376762459925</v>
      </c>
      <c r="C2570" t="s">
        <v>40</v>
      </c>
      <c r="D2570">
        <v>4.7670529999999998</v>
      </c>
      <c r="E2570">
        <v>0.47265459999999898</v>
      </c>
      <c r="F2570" t="s">
        <v>41</v>
      </c>
      <c r="G2570">
        <v>-463.899</v>
      </c>
      <c r="H2570">
        <v>0.95036600000000004</v>
      </c>
      <c r="I2570">
        <v>215.91730000000001</v>
      </c>
      <c r="J2570">
        <v>-464.19080000000002</v>
      </c>
      <c r="K2570">
        <v>1.109208</v>
      </c>
      <c r="L2570">
        <v>215.91909999999999</v>
      </c>
      <c r="M2570">
        <v>0.99881759999999997</v>
      </c>
      <c r="N2570">
        <v>0</v>
      </c>
      <c r="O2570">
        <v>-4.8613509999999999E-2</v>
      </c>
      <c r="P2570">
        <v>0.99316470000000001</v>
      </c>
      <c r="Q2570">
        <v>6.4758140000000006E-2</v>
      </c>
      <c r="R2570">
        <v>-9.7112550000000006E-2</v>
      </c>
      <c r="S2570">
        <v>3.0524290000000001</v>
      </c>
      <c r="T2570">
        <v>-0.66352679999999997</v>
      </c>
      <c r="U2570">
        <v>-8.9828489999999997E-2</v>
      </c>
      <c r="V2570">
        <v>4.8623220000000002E-2</v>
      </c>
      <c r="W2570">
        <v>6.5413299999999994E-2</v>
      </c>
      <c r="X2570">
        <v>0.99667289999999997</v>
      </c>
      <c r="Y2570">
        <v>-1.766616E-2</v>
      </c>
      <c r="Z2570">
        <v>1.2335870000000001E-2</v>
      </c>
      <c r="AA2570">
        <v>0.99976779999999998</v>
      </c>
      <c r="AB2570">
        <v>22</v>
      </c>
      <c r="AC2570">
        <v>0.29180000000002299</v>
      </c>
      <c r="AD2570">
        <v>-0.15884200000000001</v>
      </c>
      <c r="AE2570">
        <v>-1.79999999997448E-3</v>
      </c>
      <c r="AF2570">
        <v>-9.5560236668477492E-3</v>
      </c>
      <c r="AG2570">
        <v>-0.15884200000000001</v>
      </c>
      <c r="AH2570">
        <v>0.22490215722634699</v>
      </c>
      <c r="AI2570">
        <v>125.208128607598</v>
      </c>
      <c r="AJ2570">
        <v>92.433016630652304</v>
      </c>
      <c r="AK2570">
        <v>0.27550513403090299</v>
      </c>
      <c r="AL2570">
        <v>86.249415982708001</v>
      </c>
      <c r="AM2570">
        <v>87.207009174943707</v>
      </c>
      <c r="AN2570">
        <v>0.99999999346723401</v>
      </c>
    </row>
    <row r="2571" spans="1:40" x14ac:dyDescent="0.25">
      <c r="A2571" t="str">
        <f>"20190312154602487"</f>
        <v>20190312154602487</v>
      </c>
      <c r="B2571" t="str">
        <f>"1552376762479446"</f>
        <v>1552376762479446</v>
      </c>
      <c r="C2571" t="s">
        <v>40</v>
      </c>
      <c r="D2571">
        <v>4.5329600000000001</v>
      </c>
      <c r="E2571">
        <v>0.47319699999999998</v>
      </c>
      <c r="F2571" t="s">
        <v>41</v>
      </c>
      <c r="G2571">
        <v>-463.46530000000001</v>
      </c>
      <c r="H2571">
        <v>1.0337019999999999</v>
      </c>
      <c r="I2571">
        <v>215.90350000000001</v>
      </c>
      <c r="J2571">
        <v>-463.96019999999999</v>
      </c>
      <c r="K2571">
        <v>1.1092340000000001</v>
      </c>
      <c r="L2571">
        <v>215.9091</v>
      </c>
      <c r="M2571">
        <v>0.99886850000000005</v>
      </c>
      <c r="N2571">
        <v>0</v>
      </c>
      <c r="O2571">
        <v>-4.7555979999999998E-2</v>
      </c>
      <c r="P2571">
        <v>0.99326769999999998</v>
      </c>
      <c r="Q2571">
        <v>6.5026799999999996E-2</v>
      </c>
      <c r="R2571">
        <v>-9.5870880000000006E-2</v>
      </c>
      <c r="S2571">
        <v>3.0348820000000001</v>
      </c>
      <c r="T2571">
        <v>-0.31602789999999997</v>
      </c>
      <c r="U2571">
        <v>-6.4941410000000005E-2</v>
      </c>
      <c r="V2571">
        <v>4.8432370000000002E-2</v>
      </c>
      <c r="W2571">
        <v>6.5730189999999994E-2</v>
      </c>
      <c r="X2571">
        <v>0.99666140000000003</v>
      </c>
      <c r="Y2571">
        <v>-2.577977E-2</v>
      </c>
      <c r="Z2571">
        <v>6.2746299999999998E-3</v>
      </c>
      <c r="AA2571">
        <v>0.99964799999999998</v>
      </c>
      <c r="AB2571">
        <v>22</v>
      </c>
      <c r="AC2571">
        <v>0.49489999999997197</v>
      </c>
      <c r="AD2571">
        <v>-7.5531999999999905E-2</v>
      </c>
      <c r="AE2571">
        <v>-5.5999999999869496E-3</v>
      </c>
      <c r="AF2571">
        <v>-1.7533436642366201E-2</v>
      </c>
      <c r="AG2571">
        <v>-7.5531999999999905E-2</v>
      </c>
      <c r="AH2571">
        <v>0.48334911881894499</v>
      </c>
      <c r="AI2571">
        <v>98.8759210742421</v>
      </c>
      <c r="AJ2571">
        <v>92.077487248331195</v>
      </c>
      <c r="AK2571">
        <v>0.489529238235616</v>
      </c>
      <c r="AL2571">
        <v>86.231220574080695</v>
      </c>
      <c r="AM2571">
        <v>87.217922578781696</v>
      </c>
      <c r="AN2571">
        <v>1.0000000492956</v>
      </c>
    </row>
    <row r="2572" spans="1:40" x14ac:dyDescent="0.25">
      <c r="A2572" t="str">
        <f>"20190312154602531"</f>
        <v>20190312154602531</v>
      </c>
      <c r="B2572" t="str">
        <f>"1552376762519461"</f>
        <v>1552376762519461</v>
      </c>
      <c r="C2572" t="s">
        <v>40</v>
      </c>
      <c r="D2572">
        <v>4.5516449999999997</v>
      </c>
      <c r="E2572">
        <v>0.47440139999999997</v>
      </c>
      <c r="F2572" t="s">
        <v>41</v>
      </c>
      <c r="G2572">
        <v>-463.06310000000002</v>
      </c>
      <c r="H2572">
        <v>1.0363450000000001</v>
      </c>
      <c r="I2572">
        <v>215.88939999999999</v>
      </c>
      <c r="J2572">
        <v>-463.51729999999998</v>
      </c>
      <c r="K2572">
        <v>1.1092580000000001</v>
      </c>
      <c r="L2572">
        <v>215.8905</v>
      </c>
      <c r="M2572">
        <v>0.99896059999999998</v>
      </c>
      <c r="N2572">
        <v>0</v>
      </c>
      <c r="O2572">
        <v>-4.5576560000000002E-2</v>
      </c>
      <c r="P2572">
        <v>0.99347490000000005</v>
      </c>
      <c r="Q2572">
        <v>6.6591059999999994E-2</v>
      </c>
      <c r="R2572">
        <v>-9.2593640000000005E-2</v>
      </c>
      <c r="S2572">
        <v>3.03009</v>
      </c>
      <c r="T2572">
        <v>-0.2464315</v>
      </c>
      <c r="U2572">
        <v>-6.5826419999999997E-2</v>
      </c>
      <c r="V2572">
        <v>4.712351E-2</v>
      </c>
      <c r="W2572">
        <v>6.7454399999999998E-2</v>
      </c>
      <c r="X2572">
        <v>0.99660890000000002</v>
      </c>
      <c r="Y2572">
        <v>-2.3640990000000001E-2</v>
      </c>
      <c r="Z2572">
        <v>4.6583329999999997E-3</v>
      </c>
      <c r="AA2572">
        <v>0.99970970000000003</v>
      </c>
      <c r="AB2572">
        <v>22</v>
      </c>
      <c r="AC2572">
        <v>0.45419999999995703</v>
      </c>
      <c r="AD2572">
        <v>-7.2913000000000006E-2</v>
      </c>
      <c r="AE2572">
        <v>-1.1000000000080899E-3</v>
      </c>
      <c r="AF2572">
        <v>-1.9109569615542301E-2</v>
      </c>
      <c r="AG2572">
        <v>-7.2913000000000006E-2</v>
      </c>
      <c r="AH2572">
        <v>0.44237810165200497</v>
      </c>
      <c r="AI2572">
        <v>99.350809260626804</v>
      </c>
      <c r="AJ2572">
        <v>92.473489111938704</v>
      </c>
      <c r="AK2572">
        <v>0.44875368081066802</v>
      </c>
      <c r="AL2572">
        <v>86.132210684983406</v>
      </c>
      <c r="AM2572">
        <v>87.292851023695803</v>
      </c>
      <c r="AN2572">
        <v>1.00000001041664</v>
      </c>
    </row>
    <row r="2573" spans="1:40" x14ac:dyDescent="0.25">
      <c r="A2573" t="str">
        <f>"20190312154602551"</f>
        <v>20190312154602551</v>
      </c>
      <c r="B2573" t="str">
        <f>"1552376762539957"</f>
        <v>1552376762539957</v>
      </c>
      <c r="C2573" t="s">
        <v>40</v>
      </c>
      <c r="D2573">
        <v>4.5895710000000003</v>
      </c>
      <c r="E2573">
        <v>0.47485179999999999</v>
      </c>
      <c r="F2573" t="s">
        <v>54</v>
      </c>
      <c r="G2573">
        <v>-443.30270000000002</v>
      </c>
      <c r="H2573" s="1">
        <v>1.8454459999999999E-7</v>
      </c>
      <c r="I2573">
        <v>215.44409999999999</v>
      </c>
      <c r="J2573">
        <v>-463.30520000000001</v>
      </c>
      <c r="K2573">
        <v>1.1092649999999999</v>
      </c>
      <c r="L2573">
        <v>215.8818</v>
      </c>
      <c r="M2573">
        <v>0.9990019</v>
      </c>
      <c r="N2573">
        <v>0</v>
      </c>
      <c r="O2573">
        <v>-4.4659209999999998E-2</v>
      </c>
      <c r="P2573">
        <v>0.99348329999999996</v>
      </c>
      <c r="Q2573">
        <v>7.0306489999999999E-2</v>
      </c>
      <c r="R2573">
        <v>-8.9710170000000006E-2</v>
      </c>
      <c r="S2573">
        <v>3.024597</v>
      </c>
      <c r="T2573">
        <v>-0.16597200000000001</v>
      </c>
      <c r="U2573">
        <v>-6.6787719999999995E-2</v>
      </c>
      <c r="V2573">
        <v>4.5154050000000001E-2</v>
      </c>
      <c r="W2573">
        <v>7.1250399999999894E-2</v>
      </c>
      <c r="X2573">
        <v>0.99643590000000004</v>
      </c>
      <c r="Y2573">
        <v>-2.2493309999999999E-2</v>
      </c>
      <c r="Z2573">
        <v>3.0641930000000002E-3</v>
      </c>
      <c r="AA2573">
        <v>0.99974229999999997</v>
      </c>
      <c r="AB2573">
        <v>23</v>
      </c>
      <c r="AC2573">
        <v>20.002500000000001</v>
      </c>
      <c r="AD2573">
        <v>-1.1092648154553999</v>
      </c>
      <c r="AE2573">
        <v>-0.43770000000000597</v>
      </c>
      <c r="AF2573">
        <v>-0.45463537196929299</v>
      </c>
      <c r="AG2573">
        <v>-1.1092648154553999</v>
      </c>
      <c r="AH2573">
        <v>19.940793819466101</v>
      </c>
      <c r="AI2573">
        <v>93.183137830272898</v>
      </c>
      <c r="AJ2573">
        <v>91.306075186869904</v>
      </c>
      <c r="AK2573">
        <v>19.976797038131799</v>
      </c>
      <c r="AL2573">
        <v>85.914190810993603</v>
      </c>
      <c r="AM2573">
        <v>87.405384755005201</v>
      </c>
      <c r="AN2573">
        <v>1.0000000052701801</v>
      </c>
    </row>
    <row r="2574" spans="1:40" x14ac:dyDescent="0.25">
      <c r="A2574" t="str">
        <f>"20190312154602574"</f>
        <v>20190312154602574</v>
      </c>
      <c r="B2574" t="str">
        <f>"1552376762559090"</f>
        <v>1552376762559090</v>
      </c>
      <c r="C2574" t="s">
        <v>40</v>
      </c>
      <c r="D2574">
        <v>4.5828930000000003</v>
      </c>
      <c r="E2574">
        <v>0.4751513</v>
      </c>
      <c r="F2574" t="s">
        <v>57</v>
      </c>
      <c r="G2574">
        <v>-438.4402</v>
      </c>
      <c r="H2574" s="1">
        <v>5.8934320000000002E-6</v>
      </c>
      <c r="I2574">
        <v>215.37649999999999</v>
      </c>
      <c r="J2574">
        <v>-463.06939999999997</v>
      </c>
      <c r="K2574">
        <v>1.1092599999999999</v>
      </c>
      <c r="L2574">
        <v>215.8724</v>
      </c>
      <c r="M2574">
        <v>0.99904539999999997</v>
      </c>
      <c r="N2574">
        <v>0</v>
      </c>
      <c r="O2574">
        <v>-4.3675819999999997E-2</v>
      </c>
      <c r="P2574">
        <v>0.99345139999999998</v>
      </c>
      <c r="Q2574">
        <v>7.3161100000000007E-2</v>
      </c>
      <c r="R2574">
        <v>-8.7762580000000007E-2</v>
      </c>
      <c r="S2574">
        <v>3.0236510000000001</v>
      </c>
      <c r="T2574">
        <v>-0.13488939999999999</v>
      </c>
      <c r="U2574">
        <v>-6.1447139999999997E-2</v>
      </c>
      <c r="V2574">
        <v>4.4189319999999997E-2</v>
      </c>
      <c r="W2574">
        <v>7.4194200000000002E-2</v>
      </c>
      <c r="X2574">
        <v>0.99626429999999999</v>
      </c>
      <c r="Y2574">
        <v>-2.330169E-2</v>
      </c>
      <c r="Z2574">
        <v>2.4660400000000001E-3</v>
      </c>
      <c r="AA2574">
        <v>0.99972550000000004</v>
      </c>
      <c r="AB2574">
        <v>23</v>
      </c>
      <c r="AC2574">
        <v>24.629199999999901</v>
      </c>
      <c r="AD2574">
        <v>-1.1092541065679999</v>
      </c>
      <c r="AE2574">
        <v>-0.495900000000006</v>
      </c>
      <c r="AF2574">
        <v>-0.57909990697556402</v>
      </c>
      <c r="AG2574">
        <v>-1.1092541065679999</v>
      </c>
      <c r="AH2574">
        <v>24.577522817036598</v>
      </c>
      <c r="AI2574">
        <v>92.583453142852406</v>
      </c>
      <c r="AJ2574">
        <v>91.349763466129701</v>
      </c>
      <c r="AK2574">
        <v>24.609356537649401</v>
      </c>
      <c r="AL2574">
        <v>85.745075698730503</v>
      </c>
      <c r="AM2574">
        <v>87.460309352309807</v>
      </c>
      <c r="AN2574">
        <v>1.0000000153850901</v>
      </c>
    </row>
    <row r="2575" spans="1:40" x14ac:dyDescent="0.25">
      <c r="A2575" t="str">
        <f>"20190312154602596"</f>
        <v>20190312154602596</v>
      </c>
      <c r="B2575" t="str">
        <f>"1552376762589346"</f>
        <v>1552376762589346</v>
      </c>
      <c r="C2575" t="s">
        <v>40</v>
      </c>
      <c r="D2575">
        <v>4.6408699999999996</v>
      </c>
      <c r="E2575">
        <v>0.47557700000000003</v>
      </c>
      <c r="F2575" t="s">
        <v>57</v>
      </c>
      <c r="G2575">
        <v>-433.05180000000001</v>
      </c>
      <c r="H2575" s="1">
        <v>3.5109609999999999E-6</v>
      </c>
      <c r="I2575">
        <v>215.29519999999999</v>
      </c>
      <c r="J2575">
        <v>-462.84429999999998</v>
      </c>
      <c r="K2575">
        <v>1.1092390000000001</v>
      </c>
      <c r="L2575">
        <v>215.86349999999999</v>
      </c>
      <c r="M2575">
        <v>0.99908350000000001</v>
      </c>
      <c r="N2575">
        <v>0</v>
      </c>
      <c r="O2575">
        <v>-4.2794369999999998E-2</v>
      </c>
      <c r="P2575">
        <v>0.99344580000000005</v>
      </c>
      <c r="Q2575">
        <v>7.5175870000000006E-2</v>
      </c>
      <c r="R2575">
        <v>-8.6105500000000001E-2</v>
      </c>
      <c r="S2575">
        <v>3.0228579999999998</v>
      </c>
      <c r="T2575">
        <v>-0.1117051</v>
      </c>
      <c r="U2575">
        <v>-5.8120730000000002E-2</v>
      </c>
      <c r="V2575">
        <v>4.3415139999999998E-2</v>
      </c>
      <c r="W2575">
        <v>7.6288709999999996E-2</v>
      </c>
      <c r="X2575">
        <v>0.99614009999999997</v>
      </c>
      <c r="Y2575">
        <v>-2.3535319999999998E-2</v>
      </c>
      <c r="Z2575">
        <v>2.014858E-3</v>
      </c>
      <c r="AA2575">
        <v>0.99972099999999997</v>
      </c>
      <c r="AB2575">
        <v>23</v>
      </c>
      <c r="AC2575">
        <v>29.792499999999901</v>
      </c>
      <c r="AD2575">
        <v>-1.1092354890389999</v>
      </c>
      <c r="AE2575">
        <v>-0.56829999999999303</v>
      </c>
      <c r="AF2575">
        <v>-0.70619381153253702</v>
      </c>
      <c r="AG2575">
        <v>-1.1092354890389999</v>
      </c>
      <c r="AH2575">
        <v>29.748304325646501</v>
      </c>
      <c r="AI2575">
        <v>92.134817712810104</v>
      </c>
      <c r="AJ2575">
        <v>91.359886816784098</v>
      </c>
      <c r="AK2575">
        <v>29.777352523702799</v>
      </c>
      <c r="AL2575">
        <v>85.624727752644702</v>
      </c>
      <c r="AM2575">
        <v>87.504436305126902</v>
      </c>
      <c r="AN2575">
        <v>0.99999997024134601</v>
      </c>
    </row>
    <row r="2576" spans="1:40" x14ac:dyDescent="0.25">
      <c r="A2576" t="str">
        <f>"20190312154602620"</f>
        <v>20190312154602620</v>
      </c>
      <c r="B2576" t="str">
        <f>"1552376762609842"</f>
        <v>1552376762609842</v>
      </c>
      <c r="C2576" t="s">
        <v>40</v>
      </c>
      <c r="D2576">
        <v>4.6765319999999999</v>
      </c>
      <c r="E2576">
        <v>0.47583839999999999</v>
      </c>
      <c r="F2576" t="s">
        <v>57</v>
      </c>
      <c r="G2576">
        <v>-426.74970000000002</v>
      </c>
      <c r="H2576" s="1">
        <v>2.7175779999999999E-6</v>
      </c>
      <c r="I2576">
        <v>215.18530000000001</v>
      </c>
      <c r="J2576">
        <v>-462.5926</v>
      </c>
      <c r="K2576">
        <v>1.109192</v>
      </c>
      <c r="L2576">
        <v>215.8537</v>
      </c>
      <c r="M2576">
        <v>0.9991215</v>
      </c>
      <c r="N2576">
        <v>0</v>
      </c>
      <c r="O2576">
        <v>-4.1892289999999999E-2</v>
      </c>
      <c r="P2576">
        <v>0.9934364</v>
      </c>
      <c r="Q2576">
        <v>7.5922359999999994E-2</v>
      </c>
      <c r="R2576">
        <v>-8.5558040000000002E-2</v>
      </c>
      <c r="S2576">
        <v>3.0219420000000001</v>
      </c>
      <c r="T2576">
        <v>-9.2868329999999999E-2</v>
      </c>
      <c r="U2576">
        <v>-5.6777950000000001E-2</v>
      </c>
      <c r="V2576">
        <v>4.3774420000000001E-2</v>
      </c>
      <c r="W2576">
        <v>7.711788E-2</v>
      </c>
      <c r="X2576">
        <v>0.99606059999999996</v>
      </c>
      <c r="Y2576">
        <v>-2.3085520000000002E-2</v>
      </c>
      <c r="Z2576">
        <v>1.6411900000000001E-3</v>
      </c>
      <c r="AA2576">
        <v>0.99973210000000001</v>
      </c>
      <c r="AB2576">
        <v>23</v>
      </c>
      <c r="AC2576">
        <v>35.842899999999901</v>
      </c>
      <c r="AD2576">
        <v>-1.109189282422</v>
      </c>
      <c r="AE2576">
        <v>-0.668399999999991</v>
      </c>
      <c r="AF2576">
        <v>-0.83293150134989202</v>
      </c>
      <c r="AG2576">
        <v>-1.109189282422</v>
      </c>
      <c r="AH2576">
        <v>35.805158723300202</v>
      </c>
      <c r="AI2576">
        <v>91.773888917855103</v>
      </c>
      <c r="AJ2576">
        <v>91.332625114291901</v>
      </c>
      <c r="AK2576">
        <v>35.832017344142102</v>
      </c>
      <c r="AL2576">
        <v>85.577079757352394</v>
      </c>
      <c r="AM2576">
        <v>87.483610246050603</v>
      </c>
      <c r="AN2576">
        <v>1.00000004306719</v>
      </c>
    </row>
    <row r="2577" spans="1:40" x14ac:dyDescent="0.25">
      <c r="A2577" t="str">
        <f>"20190312154602644"</f>
        <v>20190312154602644</v>
      </c>
      <c r="B2577" t="str">
        <f>"1552376762639124"</f>
        <v>1552376762639124</v>
      </c>
      <c r="C2577" t="s">
        <v>40</v>
      </c>
      <c r="D2577">
        <v>4.6472429999999996</v>
      </c>
      <c r="E2577">
        <v>0.47616229999999998</v>
      </c>
      <c r="F2577" t="s">
        <v>57</v>
      </c>
      <c r="G2577">
        <v>-423.173</v>
      </c>
      <c r="H2577" s="1">
        <v>3.3595179999999998E-6</v>
      </c>
      <c r="I2577">
        <v>215.09960000000001</v>
      </c>
      <c r="J2577">
        <v>-462.3381</v>
      </c>
      <c r="K2577">
        <v>1.1091329999999999</v>
      </c>
      <c r="L2577">
        <v>215.84399999999999</v>
      </c>
      <c r="M2577">
        <v>0.99915500000000002</v>
      </c>
      <c r="N2577">
        <v>0</v>
      </c>
      <c r="O2577">
        <v>-4.1086560000000001E-2</v>
      </c>
      <c r="P2577">
        <v>0.99348800000000004</v>
      </c>
      <c r="Q2577">
        <v>7.514912E-2</v>
      </c>
      <c r="R2577">
        <v>-8.5642090000000004E-2</v>
      </c>
      <c r="S2577">
        <v>3.0213619999999999</v>
      </c>
      <c r="T2577">
        <v>-8.5015060000000003E-2</v>
      </c>
      <c r="U2577">
        <v>-5.7800289999999997E-2</v>
      </c>
      <c r="V2577">
        <v>4.4670670000000003E-2</v>
      </c>
      <c r="W2577">
        <v>7.6413289999999995E-2</v>
      </c>
      <c r="X2577">
        <v>0.99607509999999999</v>
      </c>
      <c r="Y2577">
        <v>-2.1943259999999999E-2</v>
      </c>
      <c r="Z2577">
        <v>1.4640320000000001E-3</v>
      </c>
      <c r="AA2577">
        <v>0.99975809999999998</v>
      </c>
      <c r="AB2577">
        <v>23</v>
      </c>
      <c r="AC2577">
        <v>39.165100000000002</v>
      </c>
      <c r="AD2577">
        <v>-1.1091296404819999</v>
      </c>
      <c r="AE2577">
        <v>-0.74440000000001205</v>
      </c>
      <c r="AF2577">
        <v>-0.86469553762099105</v>
      </c>
      <c r="AG2577">
        <v>-1.1091296404819999</v>
      </c>
      <c r="AH2577">
        <v>39.131242113938399</v>
      </c>
      <c r="AI2577">
        <v>91.623151666936096</v>
      </c>
      <c r="AJ2577">
        <v>91.265877101789101</v>
      </c>
      <c r="AK2577">
        <v>39.156506181116903</v>
      </c>
      <c r="AL2577">
        <v>85.617569219929095</v>
      </c>
      <c r="AM2577">
        <v>87.432194564694797</v>
      </c>
      <c r="AN2577">
        <v>1.0000000322434399</v>
      </c>
    </row>
    <row r="2578" spans="1:40" x14ac:dyDescent="0.25">
      <c r="A2578" t="str">
        <f>"20190312154602685"</f>
        <v>20190312154602685</v>
      </c>
      <c r="B2578" t="str">
        <f>"1552376762679138"</f>
        <v>1552376762679138</v>
      </c>
      <c r="C2578" t="s">
        <v>40</v>
      </c>
      <c r="D2578">
        <v>4.7012199999999904</v>
      </c>
      <c r="E2578">
        <v>0.47699000000000003</v>
      </c>
      <c r="F2578" t="s">
        <v>57</v>
      </c>
      <c r="G2578">
        <v>-421.44450000000001</v>
      </c>
      <c r="H2578" s="1">
        <v>3.6729999999999998E-6</v>
      </c>
      <c r="I2578">
        <v>215.02099999999999</v>
      </c>
      <c r="J2578">
        <v>-461.89</v>
      </c>
      <c r="K2578">
        <v>1.108981</v>
      </c>
      <c r="L2578">
        <v>215.827</v>
      </c>
      <c r="M2578">
        <v>0.99920070000000005</v>
      </c>
      <c r="N2578">
        <v>0</v>
      </c>
      <c r="O2578">
        <v>-3.9954360000000001E-2</v>
      </c>
      <c r="P2578">
        <v>0.99357810000000002</v>
      </c>
      <c r="Q2578">
        <v>7.3474999999999999E-2</v>
      </c>
      <c r="R2578">
        <v>-8.6047960000000007E-2</v>
      </c>
      <c r="S2578">
        <v>3.0205989999999998</v>
      </c>
      <c r="T2578">
        <v>-8.1925510000000007E-2</v>
      </c>
      <c r="U2578">
        <v>-6.0791020000000001E-2</v>
      </c>
      <c r="V2578">
        <v>4.6223439999999998E-2</v>
      </c>
      <c r="W2578">
        <v>7.4808089999999994E-2</v>
      </c>
      <c r="X2578">
        <v>0.99612610000000001</v>
      </c>
      <c r="Y2578">
        <v>-1.9819010000000001E-2</v>
      </c>
      <c r="Z2578">
        <v>1.3517119999999999E-3</v>
      </c>
      <c r="AA2578">
        <v>0.99980259999999999</v>
      </c>
      <c r="AB2578">
        <v>24</v>
      </c>
      <c r="AC2578">
        <v>40.445499999999903</v>
      </c>
      <c r="AD2578">
        <v>-1.1089773270000001</v>
      </c>
      <c r="AE2578">
        <v>-0.80600000000001104</v>
      </c>
      <c r="AF2578">
        <v>-0.81001022823767799</v>
      </c>
      <c r="AG2578">
        <v>-1.1089773270000001</v>
      </c>
      <c r="AH2578">
        <v>40.415035545655101</v>
      </c>
      <c r="AI2578">
        <v>91.571470401500804</v>
      </c>
      <c r="AJ2578">
        <v>91.148185423728705</v>
      </c>
      <c r="AK2578">
        <v>40.438361062711401</v>
      </c>
      <c r="AL2578">
        <v>85.709804442130803</v>
      </c>
      <c r="AM2578">
        <v>87.343198238097898</v>
      </c>
      <c r="AN2578">
        <v>1.00000003191804</v>
      </c>
    </row>
    <row r="2579" spans="1:40" x14ac:dyDescent="0.25">
      <c r="A2579" t="str">
        <f>"20190312154602708"</f>
        <v>20190312154602708</v>
      </c>
      <c r="B2579" t="str">
        <f>"1552376762699635"</f>
        <v>1552376762699635</v>
      </c>
      <c r="C2579" t="s">
        <v>40</v>
      </c>
      <c r="D2579">
        <v>4.6581140000000003</v>
      </c>
      <c r="E2579">
        <v>0.47731620000000002</v>
      </c>
      <c r="F2579" t="s">
        <v>57</v>
      </c>
      <c r="G2579">
        <v>-421.15069999999997</v>
      </c>
      <c r="H2579" s="1">
        <v>3.7356299999999998E-6</v>
      </c>
      <c r="I2579">
        <v>214.90049999999999</v>
      </c>
      <c r="J2579">
        <v>-461.64980000000003</v>
      </c>
      <c r="K2579">
        <v>1.1088960000000001</v>
      </c>
      <c r="L2579">
        <v>215.81790000000001</v>
      </c>
      <c r="M2579">
        <v>0.99921950000000004</v>
      </c>
      <c r="N2579">
        <v>0</v>
      </c>
      <c r="O2579">
        <v>-3.9479119999999999E-2</v>
      </c>
      <c r="P2579">
        <v>0.99369070000000004</v>
      </c>
      <c r="Q2579">
        <v>7.1651980000000004E-2</v>
      </c>
      <c r="R2579">
        <v>-8.6283269999999995E-2</v>
      </c>
      <c r="S2579">
        <v>3.0195310000000002</v>
      </c>
      <c r="T2579">
        <v>-8.2195760000000007E-2</v>
      </c>
      <c r="U2579">
        <v>-6.8664550000000005E-2</v>
      </c>
      <c r="V2579">
        <v>4.6939040000000001E-2</v>
      </c>
      <c r="W2579">
        <v>7.3004879999999994E-2</v>
      </c>
      <c r="X2579">
        <v>0.99622639999999996</v>
      </c>
      <c r="Y2579">
        <v>-1.6731619999999999E-2</v>
      </c>
      <c r="Z2579">
        <v>1.3016659999999999E-3</v>
      </c>
      <c r="AA2579">
        <v>0.99985919999999895</v>
      </c>
      <c r="AB2579">
        <v>24</v>
      </c>
      <c r="AC2579">
        <v>40.499099999999999</v>
      </c>
      <c r="AD2579">
        <v>-1.1088922643700001</v>
      </c>
      <c r="AE2579">
        <v>-0.91740000000001398</v>
      </c>
      <c r="AF2579">
        <v>-0.68167468007640697</v>
      </c>
      <c r="AG2579">
        <v>-1.1088922643700001</v>
      </c>
      <c r="AH2579">
        <v>40.473417455238</v>
      </c>
      <c r="AI2579">
        <v>91.569176943436204</v>
      </c>
      <c r="AJ2579">
        <v>90.9649145571547</v>
      </c>
      <c r="AK2579">
        <v>40.494343344835201</v>
      </c>
      <c r="AL2579">
        <v>85.813404023257604</v>
      </c>
      <c r="AM2579">
        <v>87.302398959171796</v>
      </c>
      <c r="AN2579">
        <v>1.0000000130184401</v>
      </c>
    </row>
    <row r="2580" spans="1:40" x14ac:dyDescent="0.25">
      <c r="A2580" t="str">
        <f>"20190312154602730"</f>
        <v>20190312154602730</v>
      </c>
      <c r="B2580" t="str">
        <f>"1552376762719154"</f>
        <v>1552376762719154</v>
      </c>
      <c r="C2580" t="s">
        <v>40</v>
      </c>
      <c r="D2580">
        <v>4.762232</v>
      </c>
      <c r="E2580">
        <v>0.47749950000000002</v>
      </c>
      <c r="F2580" t="s">
        <v>57</v>
      </c>
      <c r="G2580">
        <v>-422.64749999999998</v>
      </c>
      <c r="H2580" s="1">
        <v>3.471427E-6</v>
      </c>
      <c r="I2580">
        <v>214.88570000000001</v>
      </c>
      <c r="J2580">
        <v>-461.40280000000001</v>
      </c>
      <c r="K2580">
        <v>1.1088290000000001</v>
      </c>
      <c r="L2580">
        <v>215.80869999999999</v>
      </c>
      <c r="M2580">
        <v>0.9992354</v>
      </c>
      <c r="N2580">
        <v>0</v>
      </c>
      <c r="O2580">
        <v>-3.9076359999999997E-2</v>
      </c>
      <c r="P2580">
        <v>0.99379680000000004</v>
      </c>
      <c r="Q2580">
        <v>7.03487E-2</v>
      </c>
      <c r="R2580">
        <v>-8.6135690000000001E-2</v>
      </c>
      <c r="S2580">
        <v>3.0189819999999998</v>
      </c>
      <c r="T2580">
        <v>-8.5834149999999998E-2</v>
      </c>
      <c r="U2580">
        <v>-7.2158810000000004E-2</v>
      </c>
      <c r="V2580">
        <v>4.7198280000000002E-2</v>
      </c>
      <c r="W2580">
        <v>7.1713180000000001E-2</v>
      </c>
      <c r="X2580">
        <v>0.99630799999999997</v>
      </c>
      <c r="Y2580">
        <v>-1.516671E-2</v>
      </c>
      <c r="Z2580">
        <v>1.325807E-3</v>
      </c>
      <c r="AA2580">
        <v>0.99988410000000005</v>
      </c>
      <c r="AB2580">
        <v>24</v>
      </c>
      <c r="AC2580">
        <v>38.755299999999998</v>
      </c>
      <c r="AD2580">
        <v>-1.108825528573</v>
      </c>
      <c r="AE2580">
        <v>-0.92299999999997295</v>
      </c>
      <c r="AF2580">
        <v>-0.59163823790227699</v>
      </c>
      <c r="AG2580">
        <v>-1.108825528573</v>
      </c>
      <c r="AH2580">
        <v>38.730081300187102</v>
      </c>
      <c r="AI2580">
        <v>91.639714309186601</v>
      </c>
      <c r="AJ2580">
        <v>90.8751785817486</v>
      </c>
      <c r="AK2580">
        <v>38.750467447199497</v>
      </c>
      <c r="AL2580">
        <v>85.887607628285494</v>
      </c>
      <c r="AM2580">
        <v>87.287744373282706</v>
      </c>
      <c r="AN2580">
        <v>1.00000004434233</v>
      </c>
    </row>
    <row r="2581" spans="1:40" x14ac:dyDescent="0.25">
      <c r="A2581" t="str">
        <f>"20190312154602774"</f>
        <v>20190312154602774</v>
      </c>
      <c r="B2581" t="str">
        <f>"1552376762769909"</f>
        <v>1552376762769909</v>
      </c>
      <c r="C2581" t="s">
        <v>40</v>
      </c>
      <c r="D2581">
        <v>4.7734690000000004</v>
      </c>
      <c r="E2581">
        <v>0.47801460000000001</v>
      </c>
      <c r="F2581" t="s">
        <v>57</v>
      </c>
      <c r="G2581">
        <v>-423.68819999999999</v>
      </c>
      <c r="H2581" s="1">
        <v>3.2865100000000001E-6</v>
      </c>
      <c r="I2581">
        <v>214.88939999999999</v>
      </c>
      <c r="J2581">
        <v>-460.91849999999999</v>
      </c>
      <c r="K2581">
        <v>1.108708</v>
      </c>
      <c r="L2581">
        <v>215.79040000000001</v>
      </c>
      <c r="M2581">
        <v>0.99925459999999999</v>
      </c>
      <c r="N2581">
        <v>0</v>
      </c>
      <c r="O2581">
        <v>-3.8581419999999998E-2</v>
      </c>
      <c r="P2581">
        <v>0.99379399999999996</v>
      </c>
      <c r="Q2581">
        <v>7.051528E-2</v>
      </c>
      <c r="R2581">
        <v>-8.6030040000000002E-2</v>
      </c>
      <c r="S2581">
        <v>3.0186160000000002</v>
      </c>
      <c r="T2581">
        <v>-8.8748569999999999E-2</v>
      </c>
      <c r="U2581">
        <v>-7.3577879999999998E-2</v>
      </c>
      <c r="V2581">
        <v>4.7605969999999997E-2</v>
      </c>
      <c r="W2581">
        <v>7.1877259999999998E-2</v>
      </c>
      <c r="X2581">
        <v>0.99627670000000002</v>
      </c>
      <c r="Y2581">
        <v>-1.4197889999999999E-2</v>
      </c>
      <c r="Z2581">
        <v>1.3421889999999999E-3</v>
      </c>
      <c r="AA2581">
        <v>0.99989830000000002</v>
      </c>
      <c r="AB2581">
        <v>24</v>
      </c>
      <c r="AC2581">
        <v>37.2303</v>
      </c>
      <c r="AD2581">
        <v>-1.1087047134899899</v>
      </c>
      <c r="AE2581">
        <v>-0.90100000000001002</v>
      </c>
      <c r="AF2581">
        <v>-0.53559520496087398</v>
      </c>
      <c r="AG2581">
        <v>-1.1087047134899899</v>
      </c>
      <c r="AH2581">
        <v>37.204367877199097</v>
      </c>
      <c r="AI2581">
        <v>91.706754724925304</v>
      </c>
      <c r="AJ2581">
        <v>90.8247748005452</v>
      </c>
      <c r="AK2581">
        <v>37.224737440407203</v>
      </c>
      <c r="AL2581">
        <v>85.878181890119293</v>
      </c>
      <c r="AM2581">
        <v>87.264266033711493</v>
      </c>
      <c r="AN2581">
        <v>0.99999996592381801</v>
      </c>
    </row>
    <row r="2582" spans="1:40" x14ac:dyDescent="0.25">
      <c r="A2582" t="str">
        <f>"20190312154602796"</f>
        <v>20190312154602796</v>
      </c>
      <c r="B2582" t="str">
        <f>"1552376762789429"</f>
        <v>1552376762789429</v>
      </c>
      <c r="C2582" t="s">
        <v>40</v>
      </c>
      <c r="D2582">
        <v>4.7601380000000004</v>
      </c>
      <c r="E2582">
        <v>0.4782844</v>
      </c>
      <c r="F2582" t="s">
        <v>57</v>
      </c>
      <c r="G2582">
        <v>-423.1078</v>
      </c>
      <c r="H2582" s="1">
        <v>3.395511E-6</v>
      </c>
      <c r="I2582">
        <v>214.8201</v>
      </c>
      <c r="J2582">
        <v>-460.67660000000001</v>
      </c>
      <c r="K2582">
        <v>1.1086499999999999</v>
      </c>
      <c r="L2582">
        <v>215.78129999999999</v>
      </c>
      <c r="M2582">
        <v>0.99925889999999995</v>
      </c>
      <c r="N2582">
        <v>0</v>
      </c>
      <c r="O2582">
        <v>-3.8465869999999999E-2</v>
      </c>
      <c r="P2582">
        <v>0.99376980000000004</v>
      </c>
      <c r="Q2582">
        <v>7.1386690000000003E-2</v>
      </c>
      <c r="R2582">
        <v>-8.5590849999999996E-2</v>
      </c>
      <c r="S2582">
        <v>3.0182799999999999</v>
      </c>
      <c r="T2582">
        <v>-8.8503600000000002E-2</v>
      </c>
      <c r="U2582">
        <v>-7.7453610000000006E-2</v>
      </c>
      <c r="V2582">
        <v>4.7293099999999998E-2</v>
      </c>
      <c r="W2582">
        <v>7.2738079999999997E-2</v>
      </c>
      <c r="X2582">
        <v>0.99622920000000004</v>
      </c>
      <c r="Y2582">
        <v>-1.279716E-2</v>
      </c>
      <c r="Z2582">
        <v>1.3146939999999999E-3</v>
      </c>
      <c r="AA2582">
        <v>0.99991730000000001</v>
      </c>
      <c r="AB2582">
        <v>25</v>
      </c>
      <c r="AC2582">
        <v>37.568800000000003</v>
      </c>
      <c r="AD2582">
        <v>-1.108646604489</v>
      </c>
      <c r="AE2582">
        <v>-0.96119999999999095</v>
      </c>
      <c r="AF2582">
        <v>-0.48420802817197101</v>
      </c>
      <c r="AG2582">
        <v>-1.108646604489</v>
      </c>
      <c r="AH2582">
        <v>37.545295205253097</v>
      </c>
      <c r="AI2582">
        <v>91.691211691557896</v>
      </c>
      <c r="AJ2582">
        <v>90.738881884303893</v>
      </c>
      <c r="AK2582">
        <v>37.564780669635098</v>
      </c>
      <c r="AL2582">
        <v>85.828731409264506</v>
      </c>
      <c r="AM2582">
        <v>87.282089047185593</v>
      </c>
      <c r="AN2582">
        <v>1.0000000422611599</v>
      </c>
    </row>
    <row r="2583" spans="1:40" x14ac:dyDescent="0.25">
      <c r="A2583" t="str">
        <f>"20190312154602822"</f>
        <v>20190312154602822</v>
      </c>
      <c r="B2583" t="str">
        <f>"1552376762809925"</f>
        <v>1552376762809925</v>
      </c>
      <c r="C2583" t="s">
        <v>40</v>
      </c>
      <c r="D2583">
        <v>4.7608670000000002</v>
      </c>
      <c r="E2583">
        <v>0.47850280000000001</v>
      </c>
      <c r="F2583" t="s">
        <v>57</v>
      </c>
      <c r="G2583">
        <v>-421.74869999999999</v>
      </c>
      <c r="H2583" s="1">
        <v>3.6407889999999998E-6</v>
      </c>
      <c r="I2583">
        <v>214.77209999999999</v>
      </c>
      <c r="J2583">
        <v>-460.3793</v>
      </c>
      <c r="K2583">
        <v>1.108587</v>
      </c>
      <c r="L2583">
        <v>215.76990000000001</v>
      </c>
      <c r="M2583">
        <v>0.99926079999999995</v>
      </c>
      <c r="N2583">
        <v>0</v>
      </c>
      <c r="O2583">
        <v>-3.842197E-2</v>
      </c>
      <c r="P2583">
        <v>0.99364439999999998</v>
      </c>
      <c r="Q2583">
        <v>7.3853550000000004E-2</v>
      </c>
      <c r="R2583">
        <v>-8.4950570000000003E-2</v>
      </c>
      <c r="S2583">
        <v>3.0182190000000002</v>
      </c>
      <c r="T2583">
        <v>-8.5957409999999998E-2</v>
      </c>
      <c r="U2583">
        <v>-7.8247070000000002E-2</v>
      </c>
      <c r="V2583">
        <v>4.6713810000000001E-2</v>
      </c>
      <c r="W2583">
        <v>7.5180410000000003E-2</v>
      </c>
      <c r="X2583">
        <v>0.99607520000000005</v>
      </c>
      <c r="Y2583">
        <v>-1.249141E-2</v>
      </c>
      <c r="Z2583">
        <v>1.2713049999999999E-3</v>
      </c>
      <c r="AA2583">
        <v>0.99992110000000001</v>
      </c>
      <c r="AB2583">
        <v>25</v>
      </c>
      <c r="AC2583">
        <v>38.630600000000001</v>
      </c>
      <c r="AD2583">
        <v>-1.1085833592109999</v>
      </c>
      <c r="AE2583">
        <v>-0.99780000000001201</v>
      </c>
      <c r="AF2583">
        <v>-0.48680109637546298</v>
      </c>
      <c r="AG2583">
        <v>-1.1085833592109999</v>
      </c>
      <c r="AH2583">
        <v>38.608638963623598</v>
      </c>
      <c r="AI2583">
        <v>91.644571221037694</v>
      </c>
      <c r="AJ2583">
        <v>90.722381599854103</v>
      </c>
      <c r="AK2583">
        <v>38.627618810835102</v>
      </c>
      <c r="AL2583">
        <v>85.688411866669696</v>
      </c>
      <c r="AM2583">
        <v>87.314917087124897</v>
      </c>
      <c r="AN2583">
        <v>1.00000003907376</v>
      </c>
    </row>
    <row r="2584" spans="1:40" x14ac:dyDescent="0.25">
      <c r="A2584" t="str">
        <f>"20190312154602855"</f>
        <v>20190312154602855</v>
      </c>
      <c r="B2584" t="str">
        <f>"1552376762849943"</f>
        <v>1552376762849943</v>
      </c>
      <c r="C2584" t="s">
        <v>40</v>
      </c>
      <c r="D2584">
        <v>4.8471510000000002</v>
      </c>
      <c r="E2584">
        <v>0.47898689999999999</v>
      </c>
      <c r="F2584" t="s">
        <v>57</v>
      </c>
      <c r="G2584">
        <v>-417.76909999999998</v>
      </c>
      <c r="H2584" s="1">
        <v>3.5795519999999999E-6</v>
      </c>
      <c r="I2584">
        <v>214.66550000000001</v>
      </c>
      <c r="J2584">
        <v>-460.02159999999998</v>
      </c>
      <c r="K2584">
        <v>1.108487</v>
      </c>
      <c r="L2584">
        <v>215.7561</v>
      </c>
      <c r="M2584">
        <v>0.99925589999999997</v>
      </c>
      <c r="N2584">
        <v>0</v>
      </c>
      <c r="O2584">
        <v>-3.8552969999999999E-2</v>
      </c>
      <c r="P2584">
        <v>0.99351279999999997</v>
      </c>
      <c r="Q2584">
        <v>7.5871560000000005E-2</v>
      </c>
      <c r="R2584">
        <v>-8.4711930000000005E-2</v>
      </c>
      <c r="S2584">
        <v>3.0183409999999999</v>
      </c>
      <c r="T2584">
        <v>-7.8527689999999997E-2</v>
      </c>
      <c r="U2584">
        <v>-7.8231809999999999E-2</v>
      </c>
      <c r="V2584">
        <v>4.636531E-2</v>
      </c>
      <c r="W2584">
        <v>7.7134999999999995E-2</v>
      </c>
      <c r="X2584">
        <v>0.99594199999999999</v>
      </c>
      <c r="Y2584">
        <v>-1.263191E-2</v>
      </c>
      <c r="Z2584">
        <v>1.166643E-3</v>
      </c>
      <c r="AA2584">
        <v>0.99991949999999996</v>
      </c>
      <c r="AB2584">
        <v>25</v>
      </c>
      <c r="AC2584">
        <v>42.252499999999998</v>
      </c>
      <c r="AD2584">
        <v>-1.1084834204480001</v>
      </c>
      <c r="AE2584">
        <v>-1.09059999999999</v>
      </c>
      <c r="AF2584">
        <v>-0.53880064590880195</v>
      </c>
      <c r="AG2584">
        <v>-1.1084834204480001</v>
      </c>
      <c r="AH2584">
        <v>42.234084819603702</v>
      </c>
      <c r="AI2584">
        <v>91.503327945926301</v>
      </c>
      <c r="AJ2584">
        <v>90.730910318480696</v>
      </c>
      <c r="AK2584">
        <v>42.252064590726398</v>
      </c>
      <c r="AL2584">
        <v>85.576095771137702</v>
      </c>
      <c r="AM2584">
        <v>87.334563756205696</v>
      </c>
      <c r="AN2584">
        <v>1.0000000087801899</v>
      </c>
    </row>
    <row r="2585" spans="1:40" x14ac:dyDescent="0.25">
      <c r="A2585" t="str">
        <f>"20190312154602877"</f>
        <v>20190312154602877</v>
      </c>
      <c r="B2585" t="str">
        <f>"1552376762868991"</f>
        <v>1552376762868991</v>
      </c>
      <c r="C2585" t="s">
        <v>40</v>
      </c>
      <c r="D2585">
        <v>4.7144009999999996</v>
      </c>
      <c r="E2585">
        <v>0.52364920000000004</v>
      </c>
      <c r="F2585" t="s">
        <v>57</v>
      </c>
      <c r="G2585">
        <v>-414.23660000000001</v>
      </c>
      <c r="H2585" s="1">
        <v>2.965853E-6</v>
      </c>
      <c r="I2585">
        <v>214.518</v>
      </c>
      <c r="J2585">
        <v>-459.75369999999998</v>
      </c>
      <c r="K2585">
        <v>1.1084130000000001</v>
      </c>
      <c r="L2585">
        <v>215.7456</v>
      </c>
      <c r="M2585">
        <v>0.99924789999999997</v>
      </c>
      <c r="N2585">
        <v>0</v>
      </c>
      <c r="O2585">
        <v>-3.875928E-2</v>
      </c>
      <c r="P2585">
        <v>0.99336829999999998</v>
      </c>
      <c r="Q2585">
        <v>7.7035339999999994E-2</v>
      </c>
      <c r="R2585">
        <v>-8.5352250000000005E-2</v>
      </c>
      <c r="S2585">
        <v>3.0181879999999999</v>
      </c>
      <c r="T2585">
        <v>-7.3072310000000001E-2</v>
      </c>
      <c r="U2585">
        <v>-8.1619259999999999E-2</v>
      </c>
      <c r="V2585">
        <v>4.6816950000000003E-2</v>
      </c>
      <c r="W2585">
        <v>7.8233150000000001E-2</v>
      </c>
      <c r="X2585">
        <v>0.99583520000000003</v>
      </c>
      <c r="Y2585">
        <v>-1.17181E-2</v>
      </c>
      <c r="Z2585">
        <v>1.0795850000000001E-3</v>
      </c>
      <c r="AA2585">
        <v>0.99993069999999895</v>
      </c>
      <c r="AB2585">
        <v>25</v>
      </c>
      <c r="AC2585">
        <v>45.5170999999999</v>
      </c>
      <c r="AD2585">
        <v>-1.10841003414699</v>
      </c>
      <c r="AE2585">
        <v>-1.22759999999999</v>
      </c>
      <c r="AF2585">
        <v>-0.53721533020735701</v>
      </c>
      <c r="AG2585">
        <v>-1.10841003414699</v>
      </c>
      <c r="AH2585">
        <v>45.503514485746699</v>
      </c>
      <c r="AI2585">
        <v>91.395282070975696</v>
      </c>
      <c r="AJ2585">
        <v>90.676403603326804</v>
      </c>
      <c r="AK2585">
        <v>45.5201823773738</v>
      </c>
      <c r="AL2585">
        <v>85.512985647474693</v>
      </c>
      <c r="AM2585">
        <v>87.308349776137106</v>
      </c>
      <c r="AN2585">
        <v>0.99999999906263204</v>
      </c>
    </row>
    <row r="2586" spans="1:40" x14ac:dyDescent="0.25">
      <c r="A2586" t="str">
        <f>"20190312154602919"</f>
        <v>20190312154602919</v>
      </c>
      <c r="B2586" t="str">
        <f>"1552376762909007"</f>
        <v>1552376762909007</v>
      </c>
      <c r="C2586" t="s">
        <v>40</v>
      </c>
      <c r="D2586">
        <v>4.6244519999999998</v>
      </c>
      <c r="E2586">
        <v>0.52932630000000003</v>
      </c>
      <c r="F2586" t="s">
        <v>57</v>
      </c>
      <c r="G2586">
        <v>-429.673</v>
      </c>
      <c r="H2586" s="1">
        <v>2.5348829999999998E-6</v>
      </c>
      <c r="I2586">
        <v>211.34360000000001</v>
      </c>
      <c r="J2586">
        <v>-459.26060000000001</v>
      </c>
      <c r="K2586">
        <v>1.1082890000000001</v>
      </c>
      <c r="L2586">
        <v>215.7259</v>
      </c>
      <c r="M2586">
        <v>0.99922469999999997</v>
      </c>
      <c r="N2586">
        <v>0</v>
      </c>
      <c r="O2586">
        <v>-3.9355550000000003E-2</v>
      </c>
      <c r="P2586">
        <v>0.99313799999999997</v>
      </c>
      <c r="Q2586">
        <v>8.0190839999999999E-2</v>
      </c>
      <c r="R2586">
        <v>-8.5127549999999996E-2</v>
      </c>
      <c r="S2586">
        <v>2.9909669999999999</v>
      </c>
      <c r="T2586">
        <v>-0.1102109</v>
      </c>
      <c r="U2586">
        <v>-0.43769839999999999</v>
      </c>
      <c r="V2586">
        <v>4.6028529999999998E-2</v>
      </c>
      <c r="W2586">
        <v>8.1250470000000005E-2</v>
      </c>
      <c r="X2586">
        <v>0.99563029999999997</v>
      </c>
      <c r="Y2586">
        <v>0.1057008</v>
      </c>
      <c r="Z2586">
        <v>-4.9576779999999999E-4</v>
      </c>
      <c r="AA2586">
        <v>0.99439789999999995</v>
      </c>
      <c r="AB2586">
        <v>26</v>
      </c>
      <c r="AC2586">
        <v>29.587599999999998</v>
      </c>
      <c r="AD2586">
        <v>-1.1082864651169999</v>
      </c>
      <c r="AE2586">
        <v>-4.3822999999999803</v>
      </c>
      <c r="AF2586">
        <v>3.2100606538674898</v>
      </c>
      <c r="AG2586">
        <v>-1.1082864651169999</v>
      </c>
      <c r="AH2586">
        <v>29.696373345395099</v>
      </c>
      <c r="AI2586">
        <v>92.124953639901193</v>
      </c>
      <c r="AJ2586">
        <v>83.830507811093099</v>
      </c>
      <c r="AK2586">
        <v>29.889921012932799</v>
      </c>
      <c r="AL2586">
        <v>85.339553501151599</v>
      </c>
      <c r="AM2586">
        <v>87.353069622142797</v>
      </c>
      <c r="AN2586">
        <v>0.99999997936363505</v>
      </c>
    </row>
    <row r="2587" spans="1:40" x14ac:dyDescent="0.25">
      <c r="A2587" t="str">
        <f>"20190312154602942"</f>
        <v>20190312154602942</v>
      </c>
      <c r="B2587" t="str">
        <f>"1552376762939263"</f>
        <v>1552376762939263</v>
      </c>
      <c r="C2587" t="s">
        <v>40</v>
      </c>
      <c r="D2587">
        <v>4.6029390000000001</v>
      </c>
      <c r="E2587">
        <v>0.5313196</v>
      </c>
      <c r="F2587" t="s">
        <v>57</v>
      </c>
      <c r="G2587">
        <v>-429.28859999999997</v>
      </c>
      <c r="H2587" s="1">
        <v>2.6419180000000001E-6</v>
      </c>
      <c r="I2587">
        <v>210.89930000000001</v>
      </c>
      <c r="J2587">
        <v>-458.99299999999999</v>
      </c>
      <c r="K2587">
        <v>1.1082299999999901</v>
      </c>
      <c r="L2587">
        <v>215.715</v>
      </c>
      <c r="M2587">
        <v>0.9992084</v>
      </c>
      <c r="N2587">
        <v>0</v>
      </c>
      <c r="O2587">
        <v>-3.9771510000000003E-2</v>
      </c>
      <c r="P2587">
        <v>0.99312990000000001</v>
      </c>
      <c r="Q2587">
        <v>8.0536629999999998E-2</v>
      </c>
      <c r="R2587">
        <v>-8.4894079999999997E-2</v>
      </c>
      <c r="S2587">
        <v>2.9884029999999999</v>
      </c>
      <c r="T2587">
        <v>-0.1105032</v>
      </c>
      <c r="U2587">
        <v>-0.48124689999999998</v>
      </c>
      <c r="V2587">
        <v>4.5390119999999999E-2</v>
      </c>
      <c r="W2587">
        <v>8.151899E-2</v>
      </c>
      <c r="X2587">
        <v>0.99563769999999996</v>
      </c>
      <c r="Y2587">
        <v>0.11954529999999999</v>
      </c>
      <c r="Z2587">
        <v>-7.360569E-4</v>
      </c>
      <c r="AA2587">
        <v>0.9928285</v>
      </c>
      <c r="AB2587">
        <v>26</v>
      </c>
      <c r="AC2587">
        <v>29.7044</v>
      </c>
      <c r="AD2587">
        <v>-1.1082273580819999</v>
      </c>
      <c r="AE2587">
        <v>-4.8156999999999899</v>
      </c>
      <c r="AF2587">
        <v>3.6255832014952798</v>
      </c>
      <c r="AG2587">
        <v>-1.1082273580819999</v>
      </c>
      <c r="AH2587">
        <v>29.831965150442802</v>
      </c>
      <c r="AI2587">
        <v>92.111976027488197</v>
      </c>
      <c r="AJ2587">
        <v>83.070626430222902</v>
      </c>
      <c r="AK2587">
        <v>30.071899942727299</v>
      </c>
      <c r="AL2587">
        <v>85.3241174189247</v>
      </c>
      <c r="AM2587">
        <v>87.3897504583542</v>
      </c>
      <c r="AN2587">
        <v>1.00000001919276</v>
      </c>
    </row>
    <row r="2588" spans="1:40" x14ac:dyDescent="0.25">
      <c r="A2588" t="str">
        <f>"20190312154602965"</f>
        <v>20190312154602965</v>
      </c>
      <c r="B2588" t="str">
        <f>"1552376762959758"</f>
        <v>1552376762959758</v>
      </c>
      <c r="C2588" t="s">
        <v>40</v>
      </c>
      <c r="D2588">
        <v>4.7641790000000004</v>
      </c>
      <c r="E2588">
        <v>0.53268649999999995</v>
      </c>
      <c r="F2588" t="s">
        <v>57</v>
      </c>
      <c r="G2588">
        <v>-427.44600000000003</v>
      </c>
      <c r="H2588" s="1">
        <v>3.0058309999999999E-6</v>
      </c>
      <c r="I2588">
        <v>210.4753</v>
      </c>
      <c r="J2588">
        <v>-458.73270000000002</v>
      </c>
      <c r="K2588">
        <v>1.1081749999999999</v>
      </c>
      <c r="L2588">
        <v>215.70419999999999</v>
      </c>
      <c r="M2588">
        <v>0.99919060000000004</v>
      </c>
      <c r="N2588">
        <v>0</v>
      </c>
      <c r="O2588">
        <v>-4.0218919999999998E-2</v>
      </c>
      <c r="P2588">
        <v>0.99315980000000004</v>
      </c>
      <c r="Q2588">
        <v>7.9704549999999999E-2</v>
      </c>
      <c r="R2588">
        <v>-8.5329639999999998E-2</v>
      </c>
      <c r="S2588">
        <v>2.986847</v>
      </c>
      <c r="T2588">
        <v>-0.1049259</v>
      </c>
      <c r="U2588">
        <v>-0.49609379999999997</v>
      </c>
      <c r="V2588">
        <v>4.5384349999999997E-2</v>
      </c>
      <c r="W2588">
        <v>8.0615989999999998E-2</v>
      </c>
      <c r="X2588">
        <v>0.99571140000000002</v>
      </c>
      <c r="Y2588">
        <v>0.12399</v>
      </c>
      <c r="Z2588">
        <v>-7.6098899999999903E-4</v>
      </c>
      <c r="AA2588">
        <v>0.99228320000000003</v>
      </c>
      <c r="AB2588">
        <v>26</v>
      </c>
      <c r="AC2588">
        <v>31.2867</v>
      </c>
      <c r="AD2588">
        <v>-1.10817199416899</v>
      </c>
      <c r="AE2588">
        <v>-5.2288999999999799</v>
      </c>
      <c r="AF2588">
        <v>3.9615166512831799</v>
      </c>
      <c r="AG2588">
        <v>-1.10817199416899</v>
      </c>
      <c r="AH2588">
        <v>31.433322711574501</v>
      </c>
      <c r="AI2588">
        <v>92.003274984735597</v>
      </c>
      <c r="AJ2588">
        <v>82.8169291759244</v>
      </c>
      <c r="AK2588">
        <v>31.701347542920601</v>
      </c>
      <c r="AL2588">
        <v>85.376025968871005</v>
      </c>
      <c r="AM2588">
        <v>87.390274727247501</v>
      </c>
      <c r="AN2588">
        <v>0.99999993457927905</v>
      </c>
    </row>
    <row r="2589" spans="1:40" x14ac:dyDescent="0.25">
      <c r="A2589" t="str">
        <f>"20190312154602988"</f>
        <v>20190312154602988</v>
      </c>
      <c r="B2589" t="str">
        <f>"1552376762979279"</f>
        <v>1552376762979279</v>
      </c>
      <c r="C2589" t="s">
        <v>40</v>
      </c>
      <c r="D2589">
        <v>4.5981069999999997</v>
      </c>
      <c r="E2589">
        <v>0.53334440000000005</v>
      </c>
      <c r="F2589" t="s">
        <v>57</v>
      </c>
      <c r="G2589">
        <v>-429.46480000000003</v>
      </c>
      <c r="H2589" s="1">
        <v>2.6250549999999999E-6</v>
      </c>
      <c r="I2589">
        <v>210.7346</v>
      </c>
      <c r="J2589">
        <v>-458.46089999999998</v>
      </c>
      <c r="K2589">
        <v>1.1081289999999999</v>
      </c>
      <c r="L2589">
        <v>215.69280000000001</v>
      </c>
      <c r="M2589">
        <v>0.99917049999999996</v>
      </c>
      <c r="N2589">
        <v>0</v>
      </c>
      <c r="O2589">
        <v>-4.0714470000000003E-2</v>
      </c>
      <c r="P2589">
        <v>0.99318399999999996</v>
      </c>
      <c r="Q2589">
        <v>7.7837299999999998E-2</v>
      </c>
      <c r="R2589">
        <v>-8.6760210000000004E-2</v>
      </c>
      <c r="S2589">
        <v>2.986237</v>
      </c>
      <c r="T2589">
        <v>-0.1130681</v>
      </c>
      <c r="U2589">
        <v>-0.50704959999999999</v>
      </c>
      <c r="V2589">
        <v>4.6321689999999999E-2</v>
      </c>
      <c r="W2589">
        <v>7.868095E-2</v>
      </c>
      <c r="X2589">
        <v>0.99582309999999996</v>
      </c>
      <c r="Y2589">
        <v>0.1270608</v>
      </c>
      <c r="Z2589">
        <v>-8.5906890000000003E-4</v>
      </c>
      <c r="AA2589">
        <v>0.99189450000000001</v>
      </c>
      <c r="AB2589">
        <v>27</v>
      </c>
      <c r="AC2589">
        <v>28.996099999999899</v>
      </c>
      <c r="AD2589">
        <v>-1.1081263749449899</v>
      </c>
      <c r="AE2589">
        <v>-4.9581999999999997</v>
      </c>
      <c r="AF2589">
        <v>3.7681804889125599</v>
      </c>
      <c r="AG2589">
        <v>-1.1081263749449899</v>
      </c>
      <c r="AH2589">
        <v>29.132588412628799</v>
      </c>
      <c r="AI2589">
        <v>92.160349801657901</v>
      </c>
      <c r="AJ2589">
        <v>82.629946012056905</v>
      </c>
      <c r="AK2589">
        <v>29.3961704288077</v>
      </c>
      <c r="AL2589">
        <v>85.487249353320493</v>
      </c>
      <c r="AM2589">
        <v>87.336750266606501</v>
      </c>
      <c r="AN2589">
        <v>1.0000000186754801</v>
      </c>
    </row>
    <row r="2590" spans="1:40" x14ac:dyDescent="0.25">
      <c r="A2590" t="str">
        <f>"20190312154603011"</f>
        <v>20190312154603011</v>
      </c>
      <c r="B2590" t="str">
        <f>"1552376762999775"</f>
        <v>1552376762999775</v>
      </c>
      <c r="C2590" t="s">
        <v>40</v>
      </c>
      <c r="D2590">
        <v>4.6021359999999998</v>
      </c>
      <c r="E2590">
        <v>0.53330730000000004</v>
      </c>
      <c r="F2590" t="s">
        <v>57</v>
      </c>
      <c r="G2590">
        <v>-430.42489999999998</v>
      </c>
      <c r="H2590" s="1">
        <v>2.7347849999999999E-6</v>
      </c>
      <c r="I2590">
        <v>210.84880000000001</v>
      </c>
      <c r="J2590">
        <v>-458.16739999999999</v>
      </c>
      <c r="K2590">
        <v>1.1080909999999999</v>
      </c>
      <c r="L2590">
        <v>215.68029999999999</v>
      </c>
      <c r="M2590">
        <v>0.99914789999999998</v>
      </c>
      <c r="N2590">
        <v>0</v>
      </c>
      <c r="O2590">
        <v>-4.1265429999999999E-2</v>
      </c>
      <c r="P2590">
        <v>0.99310779999999999</v>
      </c>
      <c r="Q2590">
        <v>7.5654349999999995E-2</v>
      </c>
      <c r="R2590">
        <v>-8.9517379999999994E-2</v>
      </c>
      <c r="S2590">
        <v>2.984772</v>
      </c>
      <c r="T2590">
        <v>-0.1179736</v>
      </c>
      <c r="U2590">
        <v>-0.51570130000000003</v>
      </c>
      <c r="V2590">
        <v>4.8531680000000001E-2</v>
      </c>
      <c r="W2590">
        <v>7.6433730000000005E-2</v>
      </c>
      <c r="X2590">
        <v>0.99589280000000002</v>
      </c>
      <c r="Y2590">
        <v>0.1293803</v>
      </c>
      <c r="Z2590">
        <v>-9.2047880000000002E-4</v>
      </c>
      <c r="AA2590">
        <v>0.99159459999999999</v>
      </c>
      <c r="AB2590">
        <v>27</v>
      </c>
      <c r="AC2590">
        <v>27.7425</v>
      </c>
      <c r="AD2590">
        <v>-1.1080882652149999</v>
      </c>
      <c r="AE2590">
        <v>-4.8314999999999699</v>
      </c>
      <c r="AF2590">
        <v>3.67688479996198</v>
      </c>
      <c r="AG2590">
        <v>-1.1080882652149999</v>
      </c>
      <c r="AH2590">
        <v>27.875081871368</v>
      </c>
      <c r="AI2590">
        <v>92.256890338506807</v>
      </c>
      <c r="AJ2590">
        <v>82.485734922914006</v>
      </c>
      <c r="AK2590">
        <v>28.1383640386425</v>
      </c>
      <c r="AL2590">
        <v>85.616394315810794</v>
      </c>
      <c r="AM2590">
        <v>87.210078830844097</v>
      </c>
      <c r="AN2590">
        <v>0.99999995406858599</v>
      </c>
    </row>
    <row r="2591" spans="1:40" x14ac:dyDescent="0.25">
      <c r="A2591" t="str">
        <f>"20190312154603056"</f>
        <v>20190312154603056</v>
      </c>
      <c r="B2591" t="str">
        <f>"1552376763049551"</f>
        <v>1552376763049551</v>
      </c>
      <c r="C2591" t="s">
        <v>40</v>
      </c>
      <c r="D2591">
        <v>4.5696770000000004</v>
      </c>
      <c r="E2591">
        <v>0.53425749999999905</v>
      </c>
      <c r="F2591" t="s">
        <v>57</v>
      </c>
      <c r="G2591">
        <v>-432.75709999999998</v>
      </c>
      <c r="H2591" s="1">
        <v>3.7360680000000001E-6</v>
      </c>
      <c r="I2591">
        <v>211.2259</v>
      </c>
      <c r="J2591">
        <v>-457.6234</v>
      </c>
      <c r="K2591">
        <v>1.1080129999999999</v>
      </c>
      <c r="L2591">
        <v>215.6566</v>
      </c>
      <c r="M2591">
        <v>0.99910509999999997</v>
      </c>
      <c r="N2591">
        <v>0</v>
      </c>
      <c r="O2591">
        <v>-4.228987E-2</v>
      </c>
      <c r="P2591">
        <v>0.99310969999999998</v>
      </c>
      <c r="Q2591">
        <v>6.4551739999999996E-2</v>
      </c>
      <c r="R2591">
        <v>-9.7807080000000005E-2</v>
      </c>
      <c r="S2591">
        <v>2.9835820000000002</v>
      </c>
      <c r="T2591">
        <v>-0.13010759999999999</v>
      </c>
      <c r="U2591">
        <v>-0.52301030000000004</v>
      </c>
      <c r="V2591">
        <v>5.5783720000000002E-2</v>
      </c>
      <c r="W2591">
        <v>6.5247250000000007E-2</v>
      </c>
      <c r="X2591">
        <v>0.99630870000000005</v>
      </c>
      <c r="Y2591">
        <v>0.13077269999999999</v>
      </c>
      <c r="Z2591">
        <v>-1.001191E-3</v>
      </c>
      <c r="AA2591">
        <v>0.99141190000000001</v>
      </c>
      <c r="AB2591">
        <v>27</v>
      </c>
      <c r="AC2591">
        <v>24.866299999999999</v>
      </c>
      <c r="AD2591">
        <v>-1.1080092639319901</v>
      </c>
      <c r="AE2591">
        <v>-4.4306999999999999</v>
      </c>
      <c r="AF2591">
        <v>3.3686607471919698</v>
      </c>
      <c r="AG2591">
        <v>-1.1080092639319901</v>
      </c>
      <c r="AH2591">
        <v>24.983350522731801</v>
      </c>
      <c r="AI2591">
        <v>92.516653747190901</v>
      </c>
      <c r="AJ2591">
        <v>82.320767922396101</v>
      </c>
      <c r="AK2591">
        <v>25.233774253969901</v>
      </c>
      <c r="AL2591">
        <v>86.258950438481406</v>
      </c>
      <c r="AM2591">
        <v>86.795332540377302</v>
      </c>
      <c r="AN2591">
        <v>1.0000000263726401</v>
      </c>
    </row>
    <row r="2592" spans="1:40" x14ac:dyDescent="0.25">
      <c r="A2592" t="str">
        <f>"20190312154603077"</f>
        <v>20190312154603077</v>
      </c>
      <c r="B2592" t="str">
        <f>"1552376763069071"</f>
        <v>1552376763069071</v>
      </c>
      <c r="C2592" t="s">
        <v>40</v>
      </c>
      <c r="D2592">
        <v>4.6149139999999997</v>
      </c>
      <c r="E2592">
        <v>0.53435919999999903</v>
      </c>
      <c r="F2592" t="s">
        <v>57</v>
      </c>
      <c r="G2592">
        <v>-437.67219999999998</v>
      </c>
      <c r="H2592" s="1">
        <v>5.8539720000000003E-6</v>
      </c>
      <c r="I2592">
        <v>211.93199999999999</v>
      </c>
      <c r="J2592">
        <v>-457.35879999999997</v>
      </c>
      <c r="K2592">
        <v>1.107988</v>
      </c>
      <c r="L2592">
        <v>215.64490000000001</v>
      </c>
      <c r="M2592">
        <v>0.99908450000000004</v>
      </c>
      <c r="N2592">
        <v>0</v>
      </c>
      <c r="O2592">
        <v>-4.2775630000000002E-2</v>
      </c>
      <c r="P2592">
        <v>0.99312120000000004</v>
      </c>
      <c r="Q2592">
        <v>6.0295950000000001E-2</v>
      </c>
      <c r="R2592">
        <v>-0.10037459999999999</v>
      </c>
      <c r="S2592">
        <v>2.9768370000000002</v>
      </c>
      <c r="T2592">
        <v>-0.165321</v>
      </c>
      <c r="U2592">
        <v>-0.55574040000000002</v>
      </c>
      <c r="V2592">
        <v>5.785945E-2</v>
      </c>
      <c r="W2592">
        <v>6.0975679999999997E-2</v>
      </c>
      <c r="X2592">
        <v>0.99646089999999998</v>
      </c>
      <c r="Y2592">
        <v>0.14115420000000001</v>
      </c>
      <c r="Z2592">
        <v>-1.5324659999999999E-3</v>
      </c>
      <c r="AA2592">
        <v>0.98998640000000004</v>
      </c>
      <c r="AB2592">
        <v>27</v>
      </c>
      <c r="AC2592">
        <v>19.686599999999999</v>
      </c>
      <c r="AD2592">
        <v>-1.1079821460279999</v>
      </c>
      <c r="AE2592">
        <v>-3.7128999999999901</v>
      </c>
      <c r="AF2592">
        <v>2.8586507961741101</v>
      </c>
      <c r="AG2592">
        <v>-1.1079821460279999</v>
      </c>
      <c r="AH2592">
        <v>19.7669403793467</v>
      </c>
      <c r="AI2592">
        <v>93.1752386992288</v>
      </c>
      <c r="AJ2592">
        <v>81.771063247913006</v>
      </c>
      <c r="AK2592">
        <v>20.003285749372001</v>
      </c>
      <c r="AL2592">
        <v>86.504182466219603</v>
      </c>
      <c r="AM2592">
        <v>86.676854913255696</v>
      </c>
      <c r="AN2592">
        <v>1.0000000373672799</v>
      </c>
    </row>
    <row r="2593" spans="1:40" x14ac:dyDescent="0.25">
      <c r="A2593" t="str">
        <f>"20190312154603101"</f>
        <v>20190312154603101</v>
      </c>
      <c r="B2593" t="str">
        <f>"1552376763089567"</f>
        <v>1552376763089567</v>
      </c>
      <c r="C2593" t="s">
        <v>40</v>
      </c>
      <c r="D2593">
        <v>4.6231970000000002</v>
      </c>
      <c r="E2593">
        <v>0.53428109999999995</v>
      </c>
      <c r="F2593" t="s">
        <v>57</v>
      </c>
      <c r="G2593">
        <v>-438.64030000000002</v>
      </c>
      <c r="H2593" s="1">
        <v>6.2698139999999996E-6</v>
      </c>
      <c r="I2593">
        <v>212.0857</v>
      </c>
      <c r="J2593">
        <v>-457.06180000000001</v>
      </c>
      <c r="K2593">
        <v>1.1080030000000001</v>
      </c>
      <c r="L2593">
        <v>215.6317</v>
      </c>
      <c r="M2593">
        <v>0.9990618</v>
      </c>
      <c r="N2593">
        <v>0</v>
      </c>
      <c r="O2593">
        <v>-4.3303250000000001E-2</v>
      </c>
      <c r="P2593">
        <v>0.99339599999999995</v>
      </c>
      <c r="Q2593">
        <v>5.221394E-2</v>
      </c>
      <c r="R2593">
        <v>-0.1021682</v>
      </c>
      <c r="S2593">
        <v>2.974335</v>
      </c>
      <c r="T2593">
        <v>-0.17605589999999999</v>
      </c>
      <c r="U2593">
        <v>-0.56555180000000005</v>
      </c>
      <c r="V2593">
        <v>5.9104980000000001E-2</v>
      </c>
      <c r="W2593">
        <v>5.2900709999999997E-2</v>
      </c>
      <c r="X2593">
        <v>0.99684910000000004</v>
      </c>
      <c r="Y2593">
        <v>0.14391119999999999</v>
      </c>
      <c r="Z2593">
        <v>-1.68266799999999E-3</v>
      </c>
      <c r="AA2593">
        <v>0.98958919999999995</v>
      </c>
      <c r="AB2593">
        <v>28</v>
      </c>
      <c r="AC2593">
        <v>18.421499999999899</v>
      </c>
      <c r="AD2593">
        <v>-1.1079967301860001</v>
      </c>
      <c r="AE2593">
        <v>-3.54599999999999</v>
      </c>
      <c r="AF2593">
        <v>2.73542056866525</v>
      </c>
      <c r="AG2593">
        <v>-1.1079967301860001</v>
      </c>
      <c r="AH2593">
        <v>18.493261670631298</v>
      </c>
      <c r="AI2593">
        <v>93.391877603895793</v>
      </c>
      <c r="AJ2593">
        <v>81.586133953132105</v>
      </c>
      <c r="AK2593">
        <v>18.727277155529599</v>
      </c>
      <c r="AL2593">
        <v>86.967597123096496</v>
      </c>
      <c r="AM2593">
        <v>86.6068025160031</v>
      </c>
      <c r="AN2593">
        <v>1.00000000597505</v>
      </c>
    </row>
    <row r="2594" spans="1:40" x14ac:dyDescent="0.25">
      <c r="A2594" t="str">
        <f>"20190312154603122"</f>
        <v>20190312154603122</v>
      </c>
      <c r="B2594" t="str">
        <f>"1552376763119823"</f>
        <v>1552376763119823</v>
      </c>
      <c r="C2594" t="s">
        <v>40</v>
      </c>
      <c r="D2594">
        <v>4.6185130000000001</v>
      </c>
      <c r="E2594">
        <v>0.53431949999999995</v>
      </c>
      <c r="F2594" t="s">
        <v>54</v>
      </c>
      <c r="G2594">
        <v>-440.37189999999998</v>
      </c>
      <c r="H2594" s="1">
        <v>-1.2427650000000001E-6</v>
      </c>
      <c r="I2594">
        <v>212.4171</v>
      </c>
      <c r="J2594">
        <v>-456.79109999999997</v>
      </c>
      <c r="K2594">
        <v>1.108042</v>
      </c>
      <c r="L2594">
        <v>215.61949999999999</v>
      </c>
      <c r="M2594">
        <v>0.99904179999999998</v>
      </c>
      <c r="N2594">
        <v>0</v>
      </c>
      <c r="O2594">
        <v>-4.3762339999999997E-2</v>
      </c>
      <c r="P2594">
        <v>0.99333159999999998</v>
      </c>
      <c r="Q2594">
        <v>5.0531050000000001E-2</v>
      </c>
      <c r="R2594">
        <v>-0.10363070000000001</v>
      </c>
      <c r="S2594">
        <v>2.9714049999999999</v>
      </c>
      <c r="T2594">
        <v>-0.19726440000000001</v>
      </c>
      <c r="U2594">
        <v>-0.57231140000000003</v>
      </c>
      <c r="V2594">
        <v>6.0108109999999999E-2</v>
      </c>
      <c r="W2594">
        <v>5.1261670000000002E-2</v>
      </c>
      <c r="X2594">
        <v>0.9968747</v>
      </c>
      <c r="Y2594">
        <v>0.14576040000000001</v>
      </c>
      <c r="Z2594">
        <v>-1.9170929999999999E-3</v>
      </c>
      <c r="AA2594">
        <v>0.98931809999999998</v>
      </c>
      <c r="AB2594">
        <v>28</v>
      </c>
      <c r="AC2594">
        <v>16.419199999999901</v>
      </c>
      <c r="AD2594">
        <v>-1.108043242765</v>
      </c>
      <c r="AE2594">
        <v>-3.2023999999999799</v>
      </c>
      <c r="AF2594">
        <v>2.4699528997779998</v>
      </c>
      <c r="AG2594">
        <v>-1.108043242765</v>
      </c>
      <c r="AH2594">
        <v>16.471350065287201</v>
      </c>
      <c r="AI2594">
        <v>93.806114965708403</v>
      </c>
      <c r="AJ2594">
        <v>81.471784555738296</v>
      </c>
      <c r="AK2594">
        <v>16.692327582700901</v>
      </c>
      <c r="AL2594">
        <v>87.061634682369601</v>
      </c>
      <c r="AM2594">
        <v>86.549439547868801</v>
      </c>
      <c r="AN2594">
        <v>0.99999995559952404</v>
      </c>
    </row>
    <row r="2595" spans="1:40" x14ac:dyDescent="0.25">
      <c r="A2595" t="str">
        <f>"20190312154603144"</f>
        <v>20190312154603144</v>
      </c>
      <c r="B2595" t="str">
        <f>"1552376763139343"</f>
        <v>1552376763139343</v>
      </c>
      <c r="C2595" t="s">
        <v>40</v>
      </c>
      <c r="D2595">
        <v>4.6420659999999998</v>
      </c>
      <c r="E2595">
        <v>0.5343059</v>
      </c>
      <c r="F2595" t="s">
        <v>54</v>
      </c>
      <c r="G2595">
        <v>-440.13760000000002</v>
      </c>
      <c r="H2595" s="1">
        <v>-1.365598E-6</v>
      </c>
      <c r="I2595">
        <v>212.37469999999999</v>
      </c>
      <c r="J2595">
        <v>-456.5249</v>
      </c>
      <c r="K2595">
        <v>1.108074</v>
      </c>
      <c r="L2595">
        <v>215.60740000000001</v>
      </c>
      <c r="M2595">
        <v>0.99902279999999999</v>
      </c>
      <c r="N2595">
        <v>0</v>
      </c>
      <c r="O2595">
        <v>-4.4190590000000002E-2</v>
      </c>
      <c r="P2595">
        <v>0.99317599999999995</v>
      </c>
      <c r="Q2595">
        <v>5.1670639999999997E-2</v>
      </c>
      <c r="R2595">
        <v>-0.1045558</v>
      </c>
      <c r="S2595">
        <v>2.9697879999999999</v>
      </c>
      <c r="T2595">
        <v>-0.1975951</v>
      </c>
      <c r="U2595">
        <v>-0.57864380000000004</v>
      </c>
      <c r="V2595">
        <v>6.06113E-2</v>
      </c>
      <c r="W2595">
        <v>5.2485009999999999E-2</v>
      </c>
      <c r="X2595">
        <v>0.99678060000000002</v>
      </c>
      <c r="Y2595">
        <v>0.14746570000000001</v>
      </c>
      <c r="Z2595">
        <v>-1.949002E-3</v>
      </c>
      <c r="AA2595">
        <v>0.98906519999999998</v>
      </c>
      <c r="AB2595">
        <v>28</v>
      </c>
      <c r="AC2595">
        <v>16.3872999999999</v>
      </c>
      <c r="AD2595">
        <v>-1.108075365598</v>
      </c>
      <c r="AE2595">
        <v>-3.2327000000000199</v>
      </c>
      <c r="AF2595">
        <v>2.4943996857719402</v>
      </c>
      <c r="AG2595">
        <v>-1.108075365598</v>
      </c>
      <c r="AH2595">
        <v>16.441787461349801</v>
      </c>
      <c r="AI2595">
        <v>93.812063765382106</v>
      </c>
      <c r="AJ2595">
        <v>81.373383797028893</v>
      </c>
      <c r="AK2595">
        <v>16.6668004047695</v>
      </c>
      <c r="AL2595">
        <v>86.991448050859205</v>
      </c>
      <c r="AM2595">
        <v>86.520296480828705</v>
      </c>
      <c r="AN2595">
        <v>0.99999998524937495</v>
      </c>
    </row>
    <row r="2596" spans="1:40" x14ac:dyDescent="0.25">
      <c r="A2596" t="str">
        <f>"20190312154603189"</f>
        <v>20190312154603189</v>
      </c>
      <c r="B2596" t="str">
        <f>"1552376763179359"</f>
        <v>1552376763179359</v>
      </c>
      <c r="C2596" t="s">
        <v>40</v>
      </c>
      <c r="D2596">
        <v>4.6739090000000001</v>
      </c>
      <c r="E2596">
        <v>0.53419879999999997</v>
      </c>
      <c r="F2596" t="s">
        <v>41</v>
      </c>
      <c r="G2596">
        <v>-455.5403</v>
      </c>
      <c r="H2596">
        <v>1.044675</v>
      </c>
      <c r="I2596">
        <v>215.41419999999999</v>
      </c>
      <c r="J2596">
        <v>-455.9522</v>
      </c>
      <c r="K2596">
        <v>1.1081299999999901</v>
      </c>
      <c r="L2596">
        <v>215.58099999999999</v>
      </c>
      <c r="M2596">
        <v>0.99898489999999995</v>
      </c>
      <c r="N2596">
        <v>0</v>
      </c>
      <c r="O2596">
        <v>-4.5032009999999997E-2</v>
      </c>
      <c r="P2596">
        <v>0.9931101</v>
      </c>
      <c r="Q2596">
        <v>5.18705E-2</v>
      </c>
      <c r="R2596">
        <v>-0.1050806</v>
      </c>
      <c r="S2596">
        <v>2.96936</v>
      </c>
      <c r="T2596">
        <v>-0.19123770000000001</v>
      </c>
      <c r="U2596">
        <v>-0.58123780000000003</v>
      </c>
      <c r="V2596">
        <v>6.0295340000000003E-2</v>
      </c>
      <c r="W2596">
        <v>5.2948799999999997E-2</v>
      </c>
      <c r="X2596">
        <v>0.99677530000000003</v>
      </c>
      <c r="Y2596">
        <v>0.1475072</v>
      </c>
      <c r="Z2596">
        <v>-1.834394E-3</v>
      </c>
      <c r="AA2596">
        <v>0.98905929999999997</v>
      </c>
      <c r="AB2596">
        <v>28</v>
      </c>
      <c r="AC2596">
        <v>0.41190000000000199</v>
      </c>
      <c r="AD2596">
        <v>-6.3454999999999803E-2</v>
      </c>
      <c r="AE2596">
        <v>-0.16679999999999401</v>
      </c>
      <c r="AF2596">
        <v>0.145123147370052</v>
      </c>
      <c r="AG2596">
        <v>-6.3454999999999803E-2</v>
      </c>
      <c r="AH2596">
        <v>0.41062125193945997</v>
      </c>
      <c r="AI2596">
        <v>98.289784110399097</v>
      </c>
      <c r="AJ2596">
        <v>70.535401441699193</v>
      </c>
      <c r="AK2596">
        <v>0.44011030148352498</v>
      </c>
      <c r="AL2596">
        <v>86.964838039030496</v>
      </c>
      <c r="AM2596">
        <v>86.538373205414302</v>
      </c>
      <c r="AN2596">
        <v>1.00000005106862</v>
      </c>
    </row>
    <row r="2597" spans="1:40" x14ac:dyDescent="0.25">
      <c r="A2597" t="str">
        <f>"20190312154603210"</f>
        <v>20190312154603210</v>
      </c>
      <c r="B2597" t="str">
        <f>"1552376763199856"</f>
        <v>1552376763199856</v>
      </c>
      <c r="C2597" t="s">
        <v>40</v>
      </c>
      <c r="D2597">
        <v>4.7759580000000001</v>
      </c>
      <c r="E2597">
        <v>0.51009269999999995</v>
      </c>
      <c r="F2597" t="s">
        <v>57</v>
      </c>
      <c r="G2597">
        <v>-438.23950000000002</v>
      </c>
      <c r="H2597" s="1">
        <v>6.0897450000000001E-6</v>
      </c>
      <c r="I2597">
        <v>212.11240000000001</v>
      </c>
      <c r="J2597">
        <v>-455.67250000000001</v>
      </c>
      <c r="K2597">
        <v>1.1081529999999999</v>
      </c>
      <c r="L2597">
        <v>215.56800000000001</v>
      </c>
      <c r="M2597">
        <v>0.99896759999999996</v>
      </c>
      <c r="N2597">
        <v>0</v>
      </c>
      <c r="O2597">
        <v>-4.541071E-2</v>
      </c>
      <c r="P2597">
        <v>0.99314369999999996</v>
      </c>
      <c r="Q2597">
        <v>5.0711480000000003E-2</v>
      </c>
      <c r="R2597">
        <v>-0.1053274</v>
      </c>
      <c r="S2597">
        <v>2.9690249999999998</v>
      </c>
      <c r="T2597">
        <v>-0.18574460000000001</v>
      </c>
      <c r="U2597">
        <v>-0.58140559999999997</v>
      </c>
      <c r="V2597">
        <v>6.0159959999999998E-2</v>
      </c>
      <c r="W2597">
        <v>5.1926449999999999E-2</v>
      </c>
      <c r="X2597">
        <v>0.99683719999999998</v>
      </c>
      <c r="Y2597">
        <v>0.14721989999999999</v>
      </c>
      <c r="Z2597">
        <v>-1.7497229999999999E-3</v>
      </c>
      <c r="AA2597">
        <v>0.98910220000000004</v>
      </c>
      <c r="AB2597">
        <v>29</v>
      </c>
      <c r="AC2597">
        <v>17.4329999999999</v>
      </c>
      <c r="AD2597">
        <v>-1.1081469102549999</v>
      </c>
      <c r="AE2597">
        <v>-3.4555999999999698</v>
      </c>
      <c r="AF2597">
        <v>2.6500864425323698</v>
      </c>
      <c r="AG2597">
        <v>-1.1081469102549999</v>
      </c>
      <c r="AH2597">
        <v>17.503884483141999</v>
      </c>
      <c r="AI2597">
        <v>93.581772818424497</v>
      </c>
      <c r="AJ2597">
        <v>81.390806896680601</v>
      </c>
      <c r="AK2597">
        <v>17.738007772204298</v>
      </c>
      <c r="AL2597">
        <v>87.023494897585906</v>
      </c>
      <c r="AM2597">
        <v>86.546340648892198</v>
      </c>
      <c r="AN2597">
        <v>0.99999999015032104</v>
      </c>
    </row>
    <row r="2598" spans="1:40" x14ac:dyDescent="0.25">
      <c r="A2598" t="str">
        <f>"20190312154603234"</f>
        <v>20190312154603234</v>
      </c>
      <c r="B2598" t="str">
        <f>"1552376763229135"</f>
        <v>1552376763229135</v>
      </c>
      <c r="C2598" t="s">
        <v>40</v>
      </c>
      <c r="D2598">
        <v>4.7185160000000002</v>
      </c>
      <c r="E2598">
        <v>0.49426110000000001</v>
      </c>
      <c r="F2598" t="s">
        <v>57</v>
      </c>
      <c r="G2598">
        <v>-431.11840000000001</v>
      </c>
      <c r="H2598" s="1">
        <v>2.9112280000000001E-6</v>
      </c>
      <c r="I2598">
        <v>212.34809999999999</v>
      </c>
      <c r="J2598">
        <v>-455.35829999999999</v>
      </c>
      <c r="K2598">
        <v>1.108166</v>
      </c>
      <c r="L2598">
        <v>215.55330000000001</v>
      </c>
      <c r="M2598">
        <v>0.99894919999999998</v>
      </c>
      <c r="N2598">
        <v>0</v>
      </c>
      <c r="O2598">
        <v>-4.5810049999999998E-2</v>
      </c>
      <c r="P2598">
        <v>0.99316899999999997</v>
      </c>
      <c r="Q2598">
        <v>4.7919910000000003E-2</v>
      </c>
      <c r="R2598">
        <v>-0.106392</v>
      </c>
      <c r="S2598">
        <v>2.9860530000000001</v>
      </c>
      <c r="T2598">
        <v>-0.13476340000000001</v>
      </c>
      <c r="U2598">
        <v>-0.391571</v>
      </c>
      <c r="V2598">
        <v>6.0819419999999999E-2</v>
      </c>
      <c r="W2598">
        <v>4.9282439999999997E-2</v>
      </c>
      <c r="X2598">
        <v>0.99693140000000002</v>
      </c>
      <c r="Y2598">
        <v>8.4423830000000005E-2</v>
      </c>
      <c r="Z2598">
        <v>1.5954009999999999E-4</v>
      </c>
      <c r="AA2598">
        <v>0.99642989999999998</v>
      </c>
      <c r="AB2598">
        <v>29</v>
      </c>
      <c r="AC2598">
        <v>24.239899999999899</v>
      </c>
      <c r="AD2598">
        <v>-1.108163088772</v>
      </c>
      <c r="AE2598">
        <v>-3.2052000000000098</v>
      </c>
      <c r="AF2598">
        <v>2.0871158592008601</v>
      </c>
      <c r="AG2598">
        <v>-1.108163088772</v>
      </c>
      <c r="AH2598">
        <v>24.311345135631999</v>
      </c>
      <c r="AI2598">
        <v>92.600306095734894</v>
      </c>
      <c r="AJ2598">
        <v>85.093219187650305</v>
      </c>
      <c r="AK2598">
        <v>24.425920255844201</v>
      </c>
      <c r="AL2598">
        <v>87.175179895777802</v>
      </c>
      <c r="AM2598">
        <v>86.508904641616397</v>
      </c>
      <c r="AN2598">
        <v>0.99999998852372496</v>
      </c>
    </row>
    <row r="2599" spans="1:40" x14ac:dyDescent="0.25">
      <c r="A2599" t="str">
        <f>"20190312154603280"</f>
        <v>20190312154603280</v>
      </c>
      <c r="B2599" t="str">
        <f>"1552376763269151"</f>
        <v>1552376763269151</v>
      </c>
      <c r="C2599" t="s">
        <v>40</v>
      </c>
      <c r="D2599">
        <v>4.7229549999999998</v>
      </c>
      <c r="E2599">
        <v>0.4887147</v>
      </c>
      <c r="F2599" t="s">
        <v>41</v>
      </c>
      <c r="G2599">
        <v>-454.5052</v>
      </c>
      <c r="H2599">
        <v>1.0586549999999999</v>
      </c>
      <c r="I2599">
        <v>215.47630000000001</v>
      </c>
      <c r="J2599">
        <v>-454.75700000000001</v>
      </c>
      <c r="K2599">
        <v>1.1081749999999999</v>
      </c>
      <c r="L2599">
        <v>215.52500000000001</v>
      </c>
      <c r="M2599">
        <v>0.99891850000000004</v>
      </c>
      <c r="N2599">
        <v>0</v>
      </c>
      <c r="O2599">
        <v>-4.6469679999999999E-2</v>
      </c>
      <c r="P2599">
        <v>0.99292329999999995</v>
      </c>
      <c r="Q2599">
        <v>4.3067689999999999E-2</v>
      </c>
      <c r="R2599">
        <v>-0.1106762</v>
      </c>
      <c r="S2599">
        <v>3.0002439999999999</v>
      </c>
      <c r="T2599">
        <v>-0.17432899999999901</v>
      </c>
      <c r="U2599">
        <v>-0.2689819</v>
      </c>
      <c r="V2599">
        <v>6.4444150000000006E-2</v>
      </c>
      <c r="W2599">
        <v>4.4687949999999997E-2</v>
      </c>
      <c r="X2599">
        <v>0.99692020000000003</v>
      </c>
      <c r="Y2599">
        <v>4.292054E-2</v>
      </c>
      <c r="Z2599">
        <v>1.4469260000000001E-3</v>
      </c>
      <c r="AA2599">
        <v>0.9990774</v>
      </c>
      <c r="AB2599">
        <v>29</v>
      </c>
      <c r="AC2599">
        <v>0.25179999999994601</v>
      </c>
      <c r="AD2599">
        <v>-4.9520000000000002E-2</v>
      </c>
      <c r="AE2599">
        <v>-4.86999999999966E-2</v>
      </c>
      <c r="AF2599">
        <v>3.5618380270900203E-2</v>
      </c>
      <c r="AG2599">
        <v>-4.9520000000000002E-2</v>
      </c>
      <c r="AH2599">
        <v>0.24466926156569199</v>
      </c>
      <c r="AI2599">
        <v>101.325605317162</v>
      </c>
      <c r="AJ2599">
        <v>81.717199109209105</v>
      </c>
      <c r="AK2599">
        <v>0.25215857504400602</v>
      </c>
      <c r="AL2599">
        <v>87.438716032360603</v>
      </c>
      <c r="AM2599">
        <v>86.301361439241404</v>
      </c>
      <c r="AN2599">
        <v>0.99999997325623202</v>
      </c>
    </row>
    <row r="2600" spans="1:40" x14ac:dyDescent="0.25">
      <c r="A2600" t="str">
        <f>"20190312154603321"</f>
        <v>20190312154603321</v>
      </c>
      <c r="B2600" t="str">
        <f>"1552376763309167"</f>
        <v>1552376763309167</v>
      </c>
      <c r="C2600" t="s">
        <v>40</v>
      </c>
      <c r="D2600">
        <v>4.6892829999999996</v>
      </c>
      <c r="E2600">
        <v>0.48580469999999998</v>
      </c>
      <c r="F2600" t="s">
        <v>57</v>
      </c>
      <c r="G2600">
        <v>-437.60910000000001</v>
      </c>
      <c r="H2600" s="1">
        <v>5.6302230000000003E-6</v>
      </c>
      <c r="I2600">
        <v>214.1712</v>
      </c>
      <c r="J2600">
        <v>-454.21839999999997</v>
      </c>
      <c r="K2600">
        <v>1.1081939999999999</v>
      </c>
      <c r="L2600">
        <v>215.49940000000001</v>
      </c>
      <c r="M2600">
        <v>0.99889629999999996</v>
      </c>
      <c r="N2600">
        <v>0</v>
      </c>
      <c r="O2600">
        <v>-4.693539E-2</v>
      </c>
      <c r="P2600">
        <v>0.99288670000000001</v>
      </c>
      <c r="Q2600">
        <v>3.3050129999999997E-2</v>
      </c>
      <c r="R2600">
        <v>-0.114386</v>
      </c>
      <c r="S2600">
        <v>3.003387</v>
      </c>
      <c r="T2600">
        <v>-0.19409199999999999</v>
      </c>
      <c r="U2600">
        <v>-0.23710629999999999</v>
      </c>
      <c r="V2600">
        <v>6.767666E-2</v>
      </c>
      <c r="W2600">
        <v>3.4868629999999998E-2</v>
      </c>
      <c r="X2600">
        <v>0.99709780000000003</v>
      </c>
      <c r="Y2600">
        <v>3.1855990000000001E-2</v>
      </c>
      <c r="Z2600">
        <v>1.9964200000000001E-3</v>
      </c>
      <c r="AA2600">
        <v>0.99949049999999995</v>
      </c>
      <c r="AB2600">
        <v>29</v>
      </c>
      <c r="AC2600">
        <v>16.609299999999902</v>
      </c>
      <c r="AD2600">
        <v>-1.1081883697769901</v>
      </c>
      <c r="AE2600">
        <v>-1.3282</v>
      </c>
      <c r="AF2600">
        <v>0.54476128524745004</v>
      </c>
      <c r="AG2600">
        <v>-1.1081883697769901</v>
      </c>
      <c r="AH2600">
        <v>16.5799950314325</v>
      </c>
      <c r="AI2600">
        <v>93.821842139560701</v>
      </c>
      <c r="AJ2600">
        <v>88.118135871131798</v>
      </c>
      <c r="AK2600">
        <v>16.625915961628699</v>
      </c>
      <c r="AL2600">
        <v>88.001769583269095</v>
      </c>
      <c r="AM2600">
        <v>86.117082064431301</v>
      </c>
      <c r="AN2600">
        <v>0.99999998721583605</v>
      </c>
    </row>
    <row r="2601" spans="1:40" x14ac:dyDescent="0.25">
      <c r="A2601" t="str">
        <f>"20190312154603344"</f>
        <v>20190312154603344</v>
      </c>
      <c r="B2601" t="str">
        <f>"1552376763339423"</f>
        <v>1552376763339423</v>
      </c>
      <c r="C2601" t="s">
        <v>40</v>
      </c>
      <c r="D2601">
        <v>4.8578869999999998</v>
      </c>
      <c r="E2601">
        <v>0.48421520000000001</v>
      </c>
      <c r="F2601" t="s">
        <v>41</v>
      </c>
      <c r="G2601">
        <v>-453.4597</v>
      </c>
      <c r="H2601">
        <v>1.0507519999999999</v>
      </c>
      <c r="I2601">
        <v>215.4419</v>
      </c>
      <c r="J2601">
        <v>-453.91800000000001</v>
      </c>
      <c r="K2601">
        <v>1.108222</v>
      </c>
      <c r="L2601">
        <v>215.48500000000001</v>
      </c>
      <c r="M2601">
        <v>0.99888650000000001</v>
      </c>
      <c r="N2601">
        <v>0</v>
      </c>
      <c r="O2601">
        <v>-4.7140700000000001E-2</v>
      </c>
      <c r="P2601">
        <v>0.99288030000000005</v>
      </c>
      <c r="Q2601">
        <v>3.1880209999999999E-2</v>
      </c>
      <c r="R2601">
        <v>-0.1147711</v>
      </c>
      <c r="S2601">
        <v>3.0030209999999999</v>
      </c>
      <c r="T2601">
        <v>-0.2273877</v>
      </c>
      <c r="U2601">
        <v>-0.22630310000000001</v>
      </c>
      <c r="V2601">
        <v>6.7853990000000003E-2</v>
      </c>
      <c r="W2601">
        <v>3.379828E-2</v>
      </c>
      <c r="X2601">
        <v>0.99712259999999997</v>
      </c>
      <c r="Y2601">
        <v>2.810841E-2</v>
      </c>
      <c r="Z2601">
        <v>2.49563E-3</v>
      </c>
      <c r="AA2601">
        <v>0.99960179999999998</v>
      </c>
      <c r="AB2601">
        <v>30</v>
      </c>
      <c r="AC2601">
        <v>0.45830000000000798</v>
      </c>
      <c r="AD2601">
        <v>-5.7469999999999903E-2</v>
      </c>
      <c r="AE2601">
        <v>-4.3100000000009603E-2</v>
      </c>
      <c r="AF2601">
        <v>2.11182951370237E-2</v>
      </c>
      <c r="AG2601">
        <v>-5.7469999999999903E-2</v>
      </c>
      <c r="AH2601">
        <v>0.45276506977734399</v>
      </c>
      <c r="AI2601">
        <v>97.226162898054895</v>
      </c>
      <c r="AJ2601">
        <v>87.329491746338107</v>
      </c>
      <c r="AK2601">
        <v>0.45688619118986101</v>
      </c>
      <c r="AL2601">
        <v>88.063132294939706</v>
      </c>
      <c r="AM2601">
        <v>86.107035609264599</v>
      </c>
      <c r="AN2601">
        <v>0.99999998356031905</v>
      </c>
    </row>
    <row r="2602" spans="1:40" x14ac:dyDescent="0.25">
      <c r="A2602" t="str">
        <f>"20190312154603367"</f>
        <v>20190312154603367</v>
      </c>
      <c r="B2602" t="str">
        <f>"1552376763359920"</f>
        <v>1552376763359920</v>
      </c>
      <c r="C2602" t="s">
        <v>40</v>
      </c>
      <c r="D2602">
        <v>4.7429360000000003</v>
      </c>
      <c r="E2602">
        <v>0.48362300000000003</v>
      </c>
      <c r="F2602" t="s">
        <v>41</v>
      </c>
      <c r="G2602">
        <v>-452.93639999999999</v>
      </c>
      <c r="H2602">
        <v>1.0325740000000001</v>
      </c>
      <c r="I2602">
        <v>215.41419999999999</v>
      </c>
      <c r="J2602">
        <v>-453.60629999999998</v>
      </c>
      <c r="K2602">
        <v>1.108255</v>
      </c>
      <c r="L2602">
        <v>215.47020000000001</v>
      </c>
      <c r="M2602">
        <v>0.99887870000000001</v>
      </c>
      <c r="N2602">
        <v>0</v>
      </c>
      <c r="O2602">
        <v>-4.7302240000000002E-2</v>
      </c>
      <c r="P2602">
        <v>0.99289419999999995</v>
      </c>
      <c r="Q2602">
        <v>3.503597E-2</v>
      </c>
      <c r="R2602">
        <v>-0.1137253</v>
      </c>
      <c r="S2602">
        <v>3.004089</v>
      </c>
      <c r="T2602">
        <v>-0.2317014</v>
      </c>
      <c r="U2602">
        <v>-0.21525569999999999</v>
      </c>
      <c r="V2602">
        <v>6.6646129999999998E-2</v>
      </c>
      <c r="W2602">
        <v>3.7047789999999997E-2</v>
      </c>
      <c r="X2602">
        <v>0.99708859999999999</v>
      </c>
      <c r="Y2602">
        <v>2.4277529999999999E-2</v>
      </c>
      <c r="Z2602">
        <v>2.7020899999999999E-3</v>
      </c>
      <c r="AA2602">
        <v>0.99970159999999997</v>
      </c>
      <c r="AB2602">
        <v>30</v>
      </c>
      <c r="AC2602">
        <v>0.66989999999998395</v>
      </c>
      <c r="AD2602">
        <v>-7.5681000000000095E-2</v>
      </c>
      <c r="AE2602">
        <v>-5.6000000000011603E-2</v>
      </c>
      <c r="AF2602">
        <v>2.3945980826342202E-2</v>
      </c>
      <c r="AG2602">
        <v>-7.5681000000000095E-2</v>
      </c>
      <c r="AH2602">
        <v>0.66339093509227298</v>
      </c>
      <c r="AI2602">
        <v>96.504083493862495</v>
      </c>
      <c r="AJ2602">
        <v>87.932729935547499</v>
      </c>
      <c r="AK2602">
        <v>0.66812315969537805</v>
      </c>
      <c r="AL2602">
        <v>87.876832032112503</v>
      </c>
      <c r="AM2602">
        <v>86.175996309087594</v>
      </c>
      <c r="AN2602">
        <v>0.99999996081890896</v>
      </c>
    </row>
    <row r="2603" spans="1:40" x14ac:dyDescent="0.25">
      <c r="A2603" t="str">
        <f>"20190312154603388"</f>
        <v>20190312154603388</v>
      </c>
      <c r="B2603" t="str">
        <f>"1552376763379439"</f>
        <v>1552376763379439</v>
      </c>
      <c r="C2603" t="s">
        <v>40</v>
      </c>
      <c r="D2603">
        <v>4.7598929999999999</v>
      </c>
      <c r="E2603">
        <v>0.48311490000000001</v>
      </c>
      <c r="F2603" t="s">
        <v>41</v>
      </c>
      <c r="G2603">
        <v>-452.6635</v>
      </c>
      <c r="H2603">
        <v>1.0394460000000001</v>
      </c>
      <c r="I2603">
        <v>215.405</v>
      </c>
      <c r="J2603">
        <v>-453.31729999999999</v>
      </c>
      <c r="K2603">
        <v>1.1083050000000001</v>
      </c>
      <c r="L2603">
        <v>215.4563</v>
      </c>
      <c r="M2603">
        <v>0.99887320000000002</v>
      </c>
      <c r="N2603">
        <v>0</v>
      </c>
      <c r="O2603">
        <v>-4.7414419999999999E-2</v>
      </c>
      <c r="P2603">
        <v>0.99302590000000002</v>
      </c>
      <c r="Q2603">
        <v>3.7564060000000003E-2</v>
      </c>
      <c r="R2603">
        <v>-0.11175359999999999</v>
      </c>
      <c r="S2603">
        <v>3.0054319999999999</v>
      </c>
      <c r="T2603">
        <v>-0.21933710000000001</v>
      </c>
      <c r="U2603">
        <v>-0.2075195</v>
      </c>
      <c r="V2603">
        <v>6.4556630000000004E-2</v>
      </c>
      <c r="W2603">
        <v>3.9655599999999999E-2</v>
      </c>
      <c r="X2603">
        <v>0.99712579999999995</v>
      </c>
      <c r="Y2603">
        <v>2.1573040000000002E-2</v>
      </c>
      <c r="Z2603">
        <v>2.6640280000000001E-3</v>
      </c>
      <c r="AA2603">
        <v>0.99976370000000003</v>
      </c>
      <c r="AB2603">
        <v>30</v>
      </c>
      <c r="AC2603">
        <v>0.65379999999998895</v>
      </c>
      <c r="AD2603">
        <v>-6.8859000000000004E-2</v>
      </c>
      <c r="AE2603">
        <v>-5.1299999999997598E-2</v>
      </c>
      <c r="AF2603">
        <v>2.0021954269724401E-2</v>
      </c>
      <c r="AG2603">
        <v>-6.8859000000000004E-2</v>
      </c>
      <c r="AH2603">
        <v>0.64834919319586704</v>
      </c>
      <c r="AI2603">
        <v>96.059599540184095</v>
      </c>
      <c r="AJ2603">
        <v>88.231186179488802</v>
      </c>
      <c r="AK2603">
        <v>0.65230293334578104</v>
      </c>
      <c r="AL2603">
        <v>87.727305543970004</v>
      </c>
      <c r="AM2603">
        <v>86.295685680644397</v>
      </c>
      <c r="AN2603">
        <v>0.99999999305697795</v>
      </c>
    </row>
    <row r="2604" spans="1:40" x14ac:dyDescent="0.25">
      <c r="A2604" t="str">
        <f>"20190312154603411"</f>
        <v>20190312154603411</v>
      </c>
      <c r="B2604" t="str">
        <f>"1552376763409696"</f>
        <v>1552376763409696</v>
      </c>
      <c r="C2604" t="s">
        <v>40</v>
      </c>
      <c r="D2604">
        <v>4.7400969999999996</v>
      </c>
      <c r="E2604">
        <v>0.48255419999999999</v>
      </c>
      <c r="F2604" t="s">
        <v>41</v>
      </c>
      <c r="G2604">
        <v>-452.39010000000002</v>
      </c>
      <c r="H2604">
        <v>1.0442209999999901</v>
      </c>
      <c r="I2604">
        <v>215.39500000000001</v>
      </c>
      <c r="J2604">
        <v>-453.00490000000002</v>
      </c>
      <c r="K2604">
        <v>1.108358</v>
      </c>
      <c r="L2604">
        <v>215.44139999999999</v>
      </c>
      <c r="M2604">
        <v>0.99886920000000001</v>
      </c>
      <c r="N2604">
        <v>0</v>
      </c>
      <c r="O2604">
        <v>-4.7493929999999997E-2</v>
      </c>
      <c r="P2604">
        <v>0.99311950000000004</v>
      </c>
      <c r="Q2604">
        <v>4.08467E-2</v>
      </c>
      <c r="R2604">
        <v>-0.1097533</v>
      </c>
      <c r="S2604">
        <v>3.0066830000000002</v>
      </c>
      <c r="T2604">
        <v>-0.207931</v>
      </c>
      <c r="U2604">
        <v>-0.19767760000000001</v>
      </c>
      <c r="V2604">
        <v>6.2472439999999997E-2</v>
      </c>
      <c r="W2604">
        <v>4.3018720000000003E-2</v>
      </c>
      <c r="X2604">
        <v>0.99711910000000004</v>
      </c>
      <c r="Y2604">
        <v>1.8208209999999999E-2</v>
      </c>
      <c r="Z2604">
        <v>2.6466879999999999E-3</v>
      </c>
      <c r="AA2604">
        <v>0.99983069999999996</v>
      </c>
      <c r="AB2604">
        <v>30</v>
      </c>
      <c r="AC2604">
        <v>0.61480000000000201</v>
      </c>
      <c r="AD2604">
        <v>-6.4137000000000097E-2</v>
      </c>
      <c r="AE2604">
        <v>-4.6399999999977098E-2</v>
      </c>
      <c r="AF2604">
        <v>1.6964720790705101E-2</v>
      </c>
      <c r="AG2604">
        <v>-6.4137000000000097E-2</v>
      </c>
      <c r="AH2604">
        <v>0.60971200635457401</v>
      </c>
      <c r="AI2604">
        <v>96.002683622856495</v>
      </c>
      <c r="AJ2604">
        <v>88.406204616280206</v>
      </c>
      <c r="AK2604">
        <v>0.61331075908826704</v>
      </c>
      <c r="AL2604">
        <v>87.534447938103</v>
      </c>
      <c r="AM2604">
        <v>86.414937168242005</v>
      </c>
      <c r="AN2604">
        <v>0.99999995780740003</v>
      </c>
    </row>
    <row r="2605" spans="1:40" x14ac:dyDescent="0.25">
      <c r="A2605" t="str">
        <f>"20190312154603437"</f>
        <v>20190312154603437</v>
      </c>
      <c r="B2605" t="str">
        <f>"1552376763429215"</f>
        <v>1552376763429215</v>
      </c>
      <c r="C2605" t="s">
        <v>40</v>
      </c>
      <c r="D2605">
        <v>4.8046509999999998</v>
      </c>
      <c r="E2605">
        <v>0.48216799999999999</v>
      </c>
      <c r="F2605" t="s">
        <v>41</v>
      </c>
      <c r="G2605">
        <v>-452.11169999999998</v>
      </c>
      <c r="H2605">
        <v>1.0508200000000001</v>
      </c>
      <c r="I2605">
        <v>215.38560000000001</v>
      </c>
      <c r="J2605">
        <v>-452.67149999999998</v>
      </c>
      <c r="K2605">
        <v>1.1084099999999999</v>
      </c>
      <c r="L2605">
        <v>215.4255</v>
      </c>
      <c r="M2605">
        <v>0.99886660000000005</v>
      </c>
      <c r="N2605">
        <v>0</v>
      </c>
      <c r="O2605">
        <v>-4.7542689999999999E-2</v>
      </c>
      <c r="P2605">
        <v>0.99297849999999999</v>
      </c>
      <c r="Q2605">
        <v>4.6392610000000001E-2</v>
      </c>
      <c r="R2605">
        <v>-0.1088181</v>
      </c>
      <c r="S2605">
        <v>3.0080260000000001</v>
      </c>
      <c r="T2605">
        <v>-0.19392090000000001</v>
      </c>
      <c r="U2605">
        <v>-0.18737789999999999</v>
      </c>
      <c r="V2605">
        <v>6.1494439999999997E-2</v>
      </c>
      <c r="W2605">
        <v>4.864566E-2</v>
      </c>
      <c r="X2605">
        <v>0.99692130000000001</v>
      </c>
      <c r="Y2605">
        <v>1.4718759999999999E-2</v>
      </c>
      <c r="Z2605">
        <v>2.5833589999999999E-3</v>
      </c>
      <c r="AA2605">
        <v>0.99988840000000001</v>
      </c>
      <c r="AB2605">
        <v>30</v>
      </c>
      <c r="AC2605">
        <v>0.55979999999999497</v>
      </c>
      <c r="AD2605">
        <v>-5.7590000000000002E-2</v>
      </c>
      <c r="AE2605">
        <v>-3.9899999999988701E-2</v>
      </c>
      <c r="AF2605">
        <v>1.3102445433273701E-2</v>
      </c>
      <c r="AG2605">
        <v>-5.7590000000000002E-2</v>
      </c>
      <c r="AH2605">
        <v>0.555217506326949</v>
      </c>
      <c r="AI2605">
        <v>95.920197923896694</v>
      </c>
      <c r="AJ2605">
        <v>88.648141485921101</v>
      </c>
      <c r="AK2605">
        <v>0.55835003493171498</v>
      </c>
      <c r="AL2605">
        <v>87.211708612368199</v>
      </c>
      <c r="AM2605">
        <v>86.470219576599803</v>
      </c>
      <c r="AN2605">
        <v>1.00000002239071</v>
      </c>
    </row>
    <row r="2606" spans="1:40" x14ac:dyDescent="0.25">
      <c r="A2606" t="str">
        <f>"20190312154603481"</f>
        <v>20190312154603481</v>
      </c>
      <c r="B2606" t="str">
        <f>"1552376763469232"</f>
        <v>1552376763469232</v>
      </c>
      <c r="C2606" t="s">
        <v>40</v>
      </c>
      <c r="D2606">
        <v>4.789377</v>
      </c>
      <c r="E2606">
        <v>0.4819794</v>
      </c>
      <c r="F2606" t="s">
        <v>57</v>
      </c>
      <c r="G2606">
        <v>-433.73770000000002</v>
      </c>
      <c r="H2606" s="1">
        <v>3.903394E-6</v>
      </c>
      <c r="I2606">
        <v>214.28569999999999</v>
      </c>
      <c r="J2606">
        <v>-452.0471</v>
      </c>
      <c r="K2606">
        <v>1.1084670000000001</v>
      </c>
      <c r="L2606">
        <v>215.39580000000001</v>
      </c>
      <c r="M2606">
        <v>0.99886710000000001</v>
      </c>
      <c r="N2606">
        <v>0</v>
      </c>
      <c r="O2606">
        <v>-4.7527100000000003E-2</v>
      </c>
      <c r="P2606">
        <v>0.99283189999999999</v>
      </c>
      <c r="Q2606">
        <v>5.1980249999999999E-2</v>
      </c>
      <c r="R2606">
        <v>-0.1076242</v>
      </c>
      <c r="S2606">
        <v>3.0095830000000001</v>
      </c>
      <c r="T2606">
        <v>-0.1761837</v>
      </c>
      <c r="U2606">
        <v>-0.18118290000000001</v>
      </c>
      <c r="V2606">
        <v>6.0318740000000003E-2</v>
      </c>
      <c r="W2606">
        <v>5.4394860000000003E-2</v>
      </c>
      <c r="X2606">
        <v>0.99669600000000003</v>
      </c>
      <c r="Y2606">
        <v>1.2643349999999999E-2</v>
      </c>
      <c r="Z2606">
        <v>2.4061970000000001E-3</v>
      </c>
      <c r="AA2606">
        <v>0.9999171</v>
      </c>
      <c r="AB2606">
        <v>30</v>
      </c>
      <c r="AC2606">
        <v>18.309399999999901</v>
      </c>
      <c r="AD2606">
        <v>-1.1084630966060001</v>
      </c>
      <c r="AE2606">
        <v>-1.1101000000000101</v>
      </c>
      <c r="AF2606">
        <v>0.237782042166995</v>
      </c>
      <c r="AG2606">
        <v>-1.1084630966060001</v>
      </c>
      <c r="AH2606">
        <v>18.274734596058501</v>
      </c>
      <c r="AI2606">
        <v>93.470758272776493</v>
      </c>
      <c r="AJ2606">
        <v>89.254536987887306</v>
      </c>
      <c r="AK2606">
        <v>18.309864971989601</v>
      </c>
      <c r="AL2606">
        <v>86.881865252631201</v>
      </c>
      <c r="AM2606">
        <v>86.536758199380699</v>
      </c>
      <c r="AN2606">
        <v>1.0000000338027999</v>
      </c>
    </row>
    <row r="2607" spans="1:40" x14ac:dyDescent="0.25">
      <c r="A2607" t="str">
        <f>"20190312154603524"</f>
        <v>20190312154603524</v>
      </c>
      <c r="B2607" t="str">
        <f>"1552376763519983"</f>
        <v>1552376763519983</v>
      </c>
      <c r="C2607" t="s">
        <v>40</v>
      </c>
      <c r="D2607">
        <v>4.7914079999999997</v>
      </c>
      <c r="E2607">
        <v>0.48188150000000002</v>
      </c>
      <c r="F2607" t="s">
        <v>57</v>
      </c>
      <c r="G2607">
        <v>-430.97570000000002</v>
      </c>
      <c r="H2607" s="1">
        <v>2.6888649999999999E-6</v>
      </c>
      <c r="I2607">
        <v>214.1679</v>
      </c>
      <c r="J2607">
        <v>-451.45909999999998</v>
      </c>
      <c r="K2607">
        <v>1.1085130000000001</v>
      </c>
      <c r="L2607">
        <v>215.36789999999999</v>
      </c>
      <c r="M2607">
        <v>0.99887490000000001</v>
      </c>
      <c r="N2607">
        <v>0</v>
      </c>
      <c r="O2607">
        <v>-4.7353890000000003E-2</v>
      </c>
      <c r="P2607">
        <v>0.99330980000000002</v>
      </c>
      <c r="Q2607">
        <v>4.2186979999999999E-2</v>
      </c>
      <c r="R2607">
        <v>-0.1075005</v>
      </c>
      <c r="S2607">
        <v>3.0108950000000001</v>
      </c>
      <c r="T2607">
        <v>-0.15838840000000001</v>
      </c>
      <c r="U2607">
        <v>-0.17544560000000001</v>
      </c>
      <c r="V2607">
        <v>6.033786E-2</v>
      </c>
      <c r="W2607">
        <v>4.4771310000000002E-2</v>
      </c>
      <c r="X2607">
        <v>0.99717339999999999</v>
      </c>
      <c r="Y2607">
        <v>1.0882640000000001E-2</v>
      </c>
      <c r="Z2607">
        <v>2.1998819999999998E-3</v>
      </c>
      <c r="AA2607">
        <v>0.99993840000000001</v>
      </c>
      <c r="AB2607">
        <v>31</v>
      </c>
      <c r="AC2607">
        <v>20.4833999999999</v>
      </c>
      <c r="AD2607">
        <v>-1.1085103111350001</v>
      </c>
      <c r="AE2607">
        <v>-1.19999999999998</v>
      </c>
      <c r="AF2607">
        <v>0.22801644928409501</v>
      </c>
      <c r="AG2607">
        <v>-1.1085103111350001</v>
      </c>
      <c r="AH2607">
        <v>20.457536790191</v>
      </c>
      <c r="AI2607">
        <v>93.101398702190707</v>
      </c>
      <c r="AJ2607">
        <v>89.361416802869996</v>
      </c>
      <c r="AK2607">
        <v>20.488816416109898</v>
      </c>
      <c r="AL2607">
        <v>87.433935033313006</v>
      </c>
      <c r="AM2607">
        <v>86.537317610721203</v>
      </c>
      <c r="AN2607">
        <v>0.99999995860802604</v>
      </c>
    </row>
    <row r="2608" spans="1:40" x14ac:dyDescent="0.25">
      <c r="A2608" t="str">
        <f>"20190312154603545"</f>
        <v>20190312154603545</v>
      </c>
      <c r="B2608" t="str">
        <f>"1552376763539504"</f>
        <v>1552376763539504</v>
      </c>
      <c r="C2608" t="s">
        <v>40</v>
      </c>
      <c r="D2608">
        <v>4.8280050000000001</v>
      </c>
      <c r="E2608">
        <v>0.48176910000000001</v>
      </c>
      <c r="F2608" t="s">
        <v>41</v>
      </c>
      <c r="G2608">
        <v>-450.45240000000001</v>
      </c>
      <c r="H2608">
        <v>1.049526</v>
      </c>
      <c r="I2608">
        <v>215.30930000000001</v>
      </c>
      <c r="J2608">
        <v>-451.15969999999999</v>
      </c>
      <c r="K2608">
        <v>1.1085529999999999</v>
      </c>
      <c r="L2608">
        <v>215.35390000000001</v>
      </c>
      <c r="M2608">
        <v>0.99888209999999999</v>
      </c>
      <c r="N2608">
        <v>0</v>
      </c>
      <c r="O2608">
        <v>-4.719926E-2</v>
      </c>
      <c r="P2608">
        <v>0.99348709999999996</v>
      </c>
      <c r="Q2608">
        <v>3.9014020000000003E-2</v>
      </c>
      <c r="R2608">
        <v>-0.1070589</v>
      </c>
      <c r="S2608">
        <v>3.0089109999999999</v>
      </c>
      <c r="T2608">
        <v>-0.17640339999999999</v>
      </c>
      <c r="U2608">
        <v>-0.17420959999999999</v>
      </c>
      <c r="V2608">
        <v>6.0039429999999998E-2</v>
      </c>
      <c r="W2608">
        <v>4.1685729999999997E-2</v>
      </c>
      <c r="X2608">
        <v>0.99732520000000002</v>
      </c>
      <c r="Y2608">
        <v>1.067858E-2</v>
      </c>
      <c r="Z2608">
        <v>2.4482699999999998E-3</v>
      </c>
      <c r="AA2608">
        <v>0.99994000000000005</v>
      </c>
      <c r="AB2608">
        <v>31</v>
      </c>
      <c r="AC2608">
        <v>0.70729999999997495</v>
      </c>
      <c r="AD2608">
        <v>-5.90270000000001E-2</v>
      </c>
      <c r="AE2608">
        <v>-4.4600000000002603E-2</v>
      </c>
      <c r="AF2608">
        <v>1.10892171906323E-2</v>
      </c>
      <c r="AG2608">
        <v>-5.90270000000001E-2</v>
      </c>
      <c r="AH2608">
        <v>0.70373499995148503</v>
      </c>
      <c r="AI2608">
        <v>94.793968305521304</v>
      </c>
      <c r="AJ2608">
        <v>89.097227275729594</v>
      </c>
      <c r="AK2608">
        <v>0.70629321646439303</v>
      </c>
      <c r="AL2608">
        <v>87.610891323796494</v>
      </c>
      <c r="AM2608">
        <v>86.554925794970103</v>
      </c>
      <c r="AN2608">
        <v>0.999999993897698</v>
      </c>
    </row>
    <row r="2609" spans="1:40" x14ac:dyDescent="0.25">
      <c r="A2609" t="str">
        <f>"20190312154603567"</f>
        <v>20190312154603567</v>
      </c>
      <c r="B2609" t="str">
        <f>"1552376763559999"</f>
        <v>1552376763559999</v>
      </c>
      <c r="C2609" t="s">
        <v>40</v>
      </c>
      <c r="D2609">
        <v>4.7546179999999998</v>
      </c>
      <c r="E2609">
        <v>0.48187679999999999</v>
      </c>
      <c r="F2609" t="s">
        <v>41</v>
      </c>
      <c r="G2609">
        <v>-450.1721</v>
      </c>
      <c r="H2609">
        <v>1.0484420000000001</v>
      </c>
      <c r="I2609">
        <v>215.29660000000001</v>
      </c>
      <c r="J2609">
        <v>-450.84620000000001</v>
      </c>
      <c r="K2609">
        <v>1.108576</v>
      </c>
      <c r="L2609">
        <v>215.33920000000001</v>
      </c>
      <c r="M2609">
        <v>0.99889119999999998</v>
      </c>
      <c r="N2609">
        <v>0</v>
      </c>
      <c r="O2609">
        <v>-4.7001479999999998E-2</v>
      </c>
      <c r="P2609">
        <v>0.99375000000000002</v>
      </c>
      <c r="Q2609">
        <v>3.6564510000000001E-2</v>
      </c>
      <c r="R2609">
        <v>-0.1054732</v>
      </c>
      <c r="S2609">
        <v>3.0082399999999998</v>
      </c>
      <c r="T2609">
        <v>-0.18328120000000001</v>
      </c>
      <c r="U2609">
        <v>-0.172744799999999</v>
      </c>
      <c r="V2609">
        <v>5.8637429999999997E-2</v>
      </c>
      <c r="W2609">
        <v>3.9325890000000002E-2</v>
      </c>
      <c r="X2609">
        <v>0.99750450000000002</v>
      </c>
      <c r="Y2609">
        <v>1.040925E-2</v>
      </c>
      <c r="Z2609">
        <v>2.5403420000000001E-3</v>
      </c>
      <c r="AA2609">
        <v>0.99994260000000001</v>
      </c>
      <c r="AB2609">
        <v>31</v>
      </c>
      <c r="AC2609">
        <v>0.67410000000000903</v>
      </c>
      <c r="AD2609">
        <v>-6.0133999999999903E-2</v>
      </c>
      <c r="AE2609">
        <v>-4.2599999999992998E-2</v>
      </c>
      <c r="AF2609">
        <v>1.0783634387097899E-2</v>
      </c>
      <c r="AG2609">
        <v>-6.0133999999999903E-2</v>
      </c>
      <c r="AH2609">
        <v>0.67004639570507696</v>
      </c>
      <c r="AI2609">
        <v>95.127668926393994</v>
      </c>
      <c r="AJ2609">
        <v>89.077969217869693</v>
      </c>
      <c r="AK2609">
        <v>0.67282579998388903</v>
      </c>
      <c r="AL2609">
        <v>87.746211413248403</v>
      </c>
      <c r="AM2609">
        <v>86.635789218186005</v>
      </c>
      <c r="AN2609">
        <v>1.00000005067077</v>
      </c>
    </row>
    <row r="2610" spans="1:40" x14ac:dyDescent="0.25">
      <c r="A2610" t="str">
        <f>"20190312154603591"</f>
        <v>20190312154603591</v>
      </c>
      <c r="B2610" t="str">
        <f>"1552376763579519"</f>
        <v>1552376763579519</v>
      </c>
      <c r="C2610" t="s">
        <v>40</v>
      </c>
      <c r="D2610">
        <v>4.7591190000000001</v>
      </c>
      <c r="E2610">
        <v>0.48190559999999899</v>
      </c>
      <c r="F2610" t="s">
        <v>41</v>
      </c>
      <c r="G2610">
        <v>-449.88979999999998</v>
      </c>
      <c r="H2610">
        <v>1.0480020000000001</v>
      </c>
      <c r="I2610">
        <v>215.2852</v>
      </c>
      <c r="J2610">
        <v>-450.51870000000002</v>
      </c>
      <c r="K2610">
        <v>1.108573</v>
      </c>
      <c r="L2610">
        <v>215.32400000000001</v>
      </c>
      <c r="M2610">
        <v>0.99890250000000003</v>
      </c>
      <c r="N2610">
        <v>0</v>
      </c>
      <c r="O2610">
        <v>-4.675414E-2</v>
      </c>
      <c r="P2610">
        <v>0.99408799999999997</v>
      </c>
      <c r="Q2610">
        <v>3.2284510000000002E-2</v>
      </c>
      <c r="R2610">
        <v>-0.1036691</v>
      </c>
      <c r="S2610">
        <v>3.0079349999999998</v>
      </c>
      <c r="T2610">
        <v>-0.1905799</v>
      </c>
      <c r="U2610">
        <v>-0.16897579999999901</v>
      </c>
      <c r="V2610">
        <v>5.7064759999999999E-2</v>
      </c>
      <c r="W2610">
        <v>3.5147409999999997E-2</v>
      </c>
      <c r="X2610">
        <v>0.99775159999999996</v>
      </c>
      <c r="Y2610">
        <v>9.4207340000000001E-3</v>
      </c>
      <c r="Z2610">
        <v>2.6573289999999999E-3</v>
      </c>
      <c r="AA2610">
        <v>0.99995210000000001</v>
      </c>
      <c r="AB2610">
        <v>31</v>
      </c>
      <c r="AC2610">
        <v>0.62890000000004398</v>
      </c>
      <c r="AD2610">
        <v>-6.0570999999999903E-2</v>
      </c>
      <c r="AE2610">
        <v>-3.8800000000009001E-2</v>
      </c>
      <c r="AF2610">
        <v>9.2681287789305993E-3</v>
      </c>
      <c r="AG2610">
        <v>-6.0570999999999903E-2</v>
      </c>
      <c r="AH2610">
        <v>0.62425758436210099</v>
      </c>
      <c r="AI2610">
        <v>95.5413886794245</v>
      </c>
      <c r="AJ2610">
        <v>89.149412574498101</v>
      </c>
      <c r="AK2610">
        <v>0.62725774278654201</v>
      </c>
      <c r="AL2610">
        <v>87.985786876893499</v>
      </c>
      <c r="AM2610">
        <v>86.726628271434507</v>
      </c>
      <c r="AN2610">
        <v>0.99999999128306205</v>
      </c>
    </row>
    <row r="2611" spans="1:40" x14ac:dyDescent="0.25">
      <c r="A2611" t="str">
        <f>"20190312154603612"</f>
        <v>20190312154603612</v>
      </c>
      <c r="B2611" t="str">
        <f>"1552376763600016"</f>
        <v>1552376763600016</v>
      </c>
      <c r="C2611" t="s">
        <v>40</v>
      </c>
      <c r="D2611">
        <v>4.7967409999999999</v>
      </c>
      <c r="E2611">
        <v>0.4819619</v>
      </c>
      <c r="F2611" t="s">
        <v>41</v>
      </c>
      <c r="G2611">
        <v>-449.60640000000001</v>
      </c>
      <c r="H2611">
        <v>1.047347</v>
      </c>
      <c r="I2611">
        <v>215.27430000000001</v>
      </c>
      <c r="J2611">
        <v>-450.21440000000001</v>
      </c>
      <c r="K2611">
        <v>1.108576</v>
      </c>
      <c r="L2611">
        <v>215.31</v>
      </c>
      <c r="M2611">
        <v>0.99891439999999998</v>
      </c>
      <c r="N2611">
        <v>0</v>
      </c>
      <c r="O2611">
        <v>-4.6493100000000002E-2</v>
      </c>
      <c r="P2611">
        <v>0.99446780000000001</v>
      </c>
      <c r="Q2611">
        <v>2.82314E-2</v>
      </c>
      <c r="R2611">
        <v>-0.1011783</v>
      </c>
      <c r="S2611">
        <v>3.0074160000000001</v>
      </c>
      <c r="T2611">
        <v>-0.2019175</v>
      </c>
      <c r="U2611">
        <v>-0.16281129999999999</v>
      </c>
      <c r="V2611">
        <v>5.4819130000000001E-2</v>
      </c>
      <c r="W2611">
        <v>3.119804E-2</v>
      </c>
      <c r="X2611">
        <v>0.99800880000000003</v>
      </c>
      <c r="Y2611">
        <v>7.6607369999999999E-3</v>
      </c>
      <c r="Z2611">
        <v>2.857255E-3</v>
      </c>
      <c r="AA2611">
        <v>0.99996660000000004</v>
      </c>
      <c r="AB2611">
        <v>32</v>
      </c>
      <c r="AC2611">
        <v>0.60800000000000398</v>
      </c>
      <c r="AD2611">
        <v>-6.1228999999999902E-2</v>
      </c>
      <c r="AE2611">
        <v>-3.5699999999991398E-2</v>
      </c>
      <c r="AF2611">
        <v>7.3194939308256299E-3</v>
      </c>
      <c r="AG2611">
        <v>-6.1228999999999902E-2</v>
      </c>
      <c r="AH2611">
        <v>0.60290885880225298</v>
      </c>
      <c r="AI2611">
        <v>95.798423495604197</v>
      </c>
      <c r="AJ2611">
        <v>89.304446264808703</v>
      </c>
      <c r="AK2611">
        <v>0.60605417039621001</v>
      </c>
      <c r="AL2611">
        <v>88.212193899195796</v>
      </c>
      <c r="AM2611">
        <v>86.8559880019655</v>
      </c>
      <c r="AN2611">
        <v>1.0000000097956101</v>
      </c>
    </row>
    <row r="2612" spans="1:40" x14ac:dyDescent="0.25">
      <c r="A2612" t="str">
        <f>"20190312154603637"</f>
        <v>20190312154603637</v>
      </c>
      <c r="B2612" t="str">
        <f>"1552376763629297"</f>
        <v>1552376763629297</v>
      </c>
      <c r="C2612" t="s">
        <v>40</v>
      </c>
      <c r="D2612">
        <v>4.7424350000000004</v>
      </c>
      <c r="E2612">
        <v>0.48180479999999998</v>
      </c>
      <c r="F2612" t="s">
        <v>41</v>
      </c>
      <c r="G2612">
        <v>-449.32260000000002</v>
      </c>
      <c r="H2612">
        <v>1.04565</v>
      </c>
      <c r="I2612">
        <v>215.26349999999999</v>
      </c>
      <c r="J2612">
        <v>-449.86750000000001</v>
      </c>
      <c r="K2612">
        <v>1.108611</v>
      </c>
      <c r="L2612">
        <v>215.29409999999999</v>
      </c>
      <c r="M2612">
        <v>0.99892890000000001</v>
      </c>
      <c r="N2612">
        <v>0</v>
      </c>
      <c r="O2612">
        <v>-4.6168929999999997E-2</v>
      </c>
      <c r="P2612">
        <v>0.99465729999999997</v>
      </c>
      <c r="Q2612">
        <v>2.8813439999999999E-2</v>
      </c>
      <c r="R2612">
        <v>-9.9130339999999997E-2</v>
      </c>
      <c r="S2612">
        <v>3.006866</v>
      </c>
      <c r="T2612">
        <v>-0.2123073</v>
      </c>
      <c r="U2612">
        <v>-0.15580749999999999</v>
      </c>
      <c r="V2612">
        <v>5.3086109999999999E-2</v>
      </c>
      <c r="W2612">
        <v>3.1912459999999997E-2</v>
      </c>
      <c r="X2612">
        <v>0.99807990000000002</v>
      </c>
      <c r="Y2612">
        <v>5.68573E-3</v>
      </c>
      <c r="Z2612">
        <v>3.0514769999999999E-3</v>
      </c>
      <c r="AA2612">
        <v>0.99997919999999996</v>
      </c>
      <c r="AB2612">
        <v>32</v>
      </c>
      <c r="AC2612">
        <v>0.54489999999998395</v>
      </c>
      <c r="AD2612">
        <v>-6.2961000000000003E-2</v>
      </c>
      <c r="AE2612">
        <v>-3.0599999999992598E-2</v>
      </c>
      <c r="AF2612">
        <v>5.3387471783043899E-3</v>
      </c>
      <c r="AG2612">
        <v>-6.2961000000000003E-2</v>
      </c>
      <c r="AH2612">
        <v>0.53856401948002097</v>
      </c>
      <c r="AI2612">
        <v>96.667590346714405</v>
      </c>
      <c r="AJ2612">
        <v>89.432049577653203</v>
      </c>
      <c r="AK2612">
        <v>0.54225805002868399</v>
      </c>
      <c r="AL2612">
        <v>88.171240260122701</v>
      </c>
      <c r="AM2612">
        <v>86.955407391922407</v>
      </c>
      <c r="AN2612">
        <v>1.00000001348109</v>
      </c>
    </row>
    <row r="2613" spans="1:40" x14ac:dyDescent="0.25">
      <c r="A2613" t="str">
        <f>"20190312154603658"</f>
        <v>20190312154603658</v>
      </c>
      <c r="B2613" t="str">
        <f>"1552376763649791"</f>
        <v>1552376763649791</v>
      </c>
      <c r="C2613" t="s">
        <v>40</v>
      </c>
      <c r="D2613">
        <v>4.7514120000000002</v>
      </c>
      <c r="E2613">
        <v>0.48187809999999998</v>
      </c>
      <c r="F2613" t="s">
        <v>57</v>
      </c>
      <c r="G2613">
        <v>-433.89389999999997</v>
      </c>
      <c r="H2613" s="1">
        <v>3.9533379999999997E-6</v>
      </c>
      <c r="I2613">
        <v>214.5068</v>
      </c>
      <c r="J2613">
        <v>-449.55509999999998</v>
      </c>
      <c r="K2613">
        <v>1.1086530000000001</v>
      </c>
      <c r="L2613">
        <v>215.28</v>
      </c>
      <c r="M2613">
        <v>0.99894260000000001</v>
      </c>
      <c r="N2613">
        <v>0</v>
      </c>
      <c r="O2613">
        <v>-4.5862310000000003E-2</v>
      </c>
      <c r="P2613">
        <v>0.99462629999999996</v>
      </c>
      <c r="Q2613">
        <v>3.323752E-2</v>
      </c>
      <c r="R2613">
        <v>-9.8050479999999995E-2</v>
      </c>
      <c r="S2613">
        <v>3.007355</v>
      </c>
      <c r="T2613">
        <v>-0.2087176</v>
      </c>
      <c r="U2613">
        <v>-0.14823910000000001</v>
      </c>
      <c r="V2613">
        <v>5.231123E-2</v>
      </c>
      <c r="W2613">
        <v>3.6472629999999999E-2</v>
      </c>
      <c r="X2613">
        <v>0.99796459999999998</v>
      </c>
      <c r="Y2613">
        <v>3.475288E-3</v>
      </c>
      <c r="Z2613">
        <v>3.0551129999999999E-3</v>
      </c>
      <c r="AA2613">
        <v>0.99998929999999997</v>
      </c>
      <c r="AB2613">
        <v>32</v>
      </c>
      <c r="AC2613">
        <v>15.661199999999999</v>
      </c>
      <c r="AD2613">
        <v>-1.108649046662</v>
      </c>
      <c r="AE2613">
        <v>-0.773200000000002</v>
      </c>
      <c r="AF2613">
        <v>5.3854670444817197E-2</v>
      </c>
      <c r="AG2613">
        <v>-1.108649046662</v>
      </c>
      <c r="AH2613">
        <v>15.6021866607131</v>
      </c>
      <c r="AI2613">
        <v>94.064427013205801</v>
      </c>
      <c r="AJ2613">
        <v>89.802230729826206</v>
      </c>
      <c r="AK2613">
        <v>15.6416185744931</v>
      </c>
      <c r="AL2613">
        <v>87.909808707806405</v>
      </c>
      <c r="AM2613">
        <v>86.999420489343805</v>
      </c>
      <c r="AN2613">
        <v>1.0000000301881899</v>
      </c>
    </row>
    <row r="2614" spans="1:40" x14ac:dyDescent="0.25">
      <c r="A2614" t="str">
        <f>"20190312154603701"</f>
        <v>20190312154603701</v>
      </c>
      <c r="B2614" t="str">
        <f>"1552376763689808"</f>
        <v>1552376763689808</v>
      </c>
      <c r="C2614" t="s">
        <v>40</v>
      </c>
      <c r="D2614">
        <v>4.9494660000000001</v>
      </c>
      <c r="E2614">
        <v>0.46227980000000002</v>
      </c>
      <c r="F2614" t="s">
        <v>57</v>
      </c>
      <c r="G2614">
        <v>-432.28629999999998</v>
      </c>
      <c r="H2614" s="1">
        <v>3.245526E-6</v>
      </c>
      <c r="I2614">
        <v>214.4486</v>
      </c>
      <c r="J2614">
        <v>-448.94139999999999</v>
      </c>
      <c r="K2614">
        <v>1.1087800000000001</v>
      </c>
      <c r="L2614">
        <v>215.2525</v>
      </c>
      <c r="M2614">
        <v>0.99897009999999997</v>
      </c>
      <c r="N2614">
        <v>0</v>
      </c>
      <c r="O2614">
        <v>-4.5238460000000001E-2</v>
      </c>
      <c r="P2614">
        <v>0.99371980000000004</v>
      </c>
      <c r="Q2614">
        <v>5.4519159999999997E-2</v>
      </c>
      <c r="R2614">
        <v>-9.7717449999999997E-2</v>
      </c>
      <c r="S2614">
        <v>3.0083920000000002</v>
      </c>
      <c r="T2614">
        <v>-0.1931369</v>
      </c>
      <c r="U2614">
        <v>-0.1448364</v>
      </c>
      <c r="V2614">
        <v>5.2628080000000001E-2</v>
      </c>
      <c r="W2614">
        <v>5.8054990000000001E-2</v>
      </c>
      <c r="X2614">
        <v>0.99692519999999996</v>
      </c>
      <c r="Y2614">
        <v>2.9395799999999998E-3</v>
      </c>
      <c r="Z2614">
        <v>2.8038989999999999E-3</v>
      </c>
      <c r="AA2614">
        <v>0.99999179999999999</v>
      </c>
      <c r="AB2614">
        <v>32</v>
      </c>
      <c r="AC2614">
        <v>16.655100000000001</v>
      </c>
      <c r="AD2614">
        <v>-1.1087767544739999</v>
      </c>
      <c r="AE2614">
        <v>-0.80389999999999795</v>
      </c>
      <c r="AF2614">
        <v>4.9402849973244602E-2</v>
      </c>
      <c r="AG2614">
        <v>-1.1087767544739999</v>
      </c>
      <c r="AH2614">
        <v>16.601012344965</v>
      </c>
      <c r="AI2614">
        <v>93.821076419881905</v>
      </c>
      <c r="AJ2614">
        <v>89.829494347404406</v>
      </c>
      <c r="AK2614">
        <v>16.638071925873099</v>
      </c>
      <c r="AL2614">
        <v>86.671822685369193</v>
      </c>
      <c r="AM2614">
        <v>86.978137937501401</v>
      </c>
      <c r="AN2614">
        <v>0.99999997553171205</v>
      </c>
    </row>
    <row r="2615" spans="1:40" x14ac:dyDescent="0.25">
      <c r="A2615" t="str">
        <f>"20190312154603724"</f>
        <v>20190312154603724</v>
      </c>
      <c r="B2615" t="str">
        <f>"1552376763719088"</f>
        <v>1552376763719088</v>
      </c>
      <c r="C2615" t="s">
        <v>40</v>
      </c>
      <c r="D2615">
        <v>4.8724910000000001</v>
      </c>
      <c r="E2615">
        <v>0.46025759999999999</v>
      </c>
      <c r="F2615" t="s">
        <v>57</v>
      </c>
      <c r="G2615">
        <v>-406.18380000000002</v>
      </c>
      <c r="H2615" s="1">
        <v>5.4891819999999998E-6</v>
      </c>
      <c r="I2615">
        <v>215.44290000000001</v>
      </c>
      <c r="J2615">
        <v>-448.59469999999999</v>
      </c>
      <c r="K2615">
        <v>1.1088750000000001</v>
      </c>
      <c r="L2615">
        <v>215.2371</v>
      </c>
      <c r="M2615">
        <v>0.99898560000000003</v>
      </c>
      <c r="N2615">
        <v>0</v>
      </c>
      <c r="O2615">
        <v>-4.4880700000000003E-2</v>
      </c>
      <c r="P2615">
        <v>0.99279569999999995</v>
      </c>
      <c r="Q2615">
        <v>6.8113999999999994E-2</v>
      </c>
      <c r="R2615">
        <v>-9.8577929999999994E-2</v>
      </c>
      <c r="S2615">
        <v>3.024597</v>
      </c>
      <c r="T2615">
        <v>-7.8432680000000005E-2</v>
      </c>
      <c r="U2615">
        <v>1.3473509999999999E-2</v>
      </c>
      <c r="V2615">
        <v>5.3876380000000001E-2</v>
      </c>
      <c r="W2615">
        <v>7.1823990000000004E-2</v>
      </c>
      <c r="X2615">
        <v>0.99596119999999999</v>
      </c>
      <c r="Y2615">
        <v>-4.9299019999999999E-2</v>
      </c>
      <c r="Z2615">
        <v>1.8024619999999999E-3</v>
      </c>
      <c r="AA2615">
        <v>0.99878250000000002</v>
      </c>
      <c r="AB2615">
        <v>32</v>
      </c>
      <c r="AC2615">
        <v>42.410899999999899</v>
      </c>
      <c r="AD2615">
        <v>-1.108869510818</v>
      </c>
      <c r="AE2615">
        <v>0.20580000000001</v>
      </c>
      <c r="AF2615">
        <v>-2.10759561435294</v>
      </c>
      <c r="AG2615">
        <v>-1.108869510818</v>
      </c>
      <c r="AH2615">
        <v>42.329991369068097</v>
      </c>
      <c r="AI2615">
        <v>91.498712001753404</v>
      </c>
      <c r="AJ2615">
        <v>92.850383203689702</v>
      </c>
      <c r="AK2615">
        <v>42.396930551291597</v>
      </c>
      <c r="AL2615">
        <v>85.881242213421004</v>
      </c>
      <c r="AM2615">
        <v>86.903610845448796</v>
      </c>
      <c r="AN2615">
        <v>1.00000003088343</v>
      </c>
    </row>
    <row r="2616" spans="1:40" x14ac:dyDescent="0.25">
      <c r="A2616" t="str">
        <f>"20190312154603746"</f>
        <v>20190312154603746</v>
      </c>
      <c r="B2616" t="str">
        <f>"1552376763739583"</f>
        <v>1552376763739583</v>
      </c>
      <c r="C2616" t="s">
        <v>40</v>
      </c>
      <c r="D2616">
        <v>4.8573180000000002</v>
      </c>
      <c r="E2616">
        <v>0.46098670000000003</v>
      </c>
      <c r="F2616" t="s">
        <v>54</v>
      </c>
      <c r="G2616">
        <v>-384.68180000000001</v>
      </c>
      <c r="H2616" s="1">
        <v>9.018411E-7</v>
      </c>
      <c r="I2616">
        <v>215.8235</v>
      </c>
      <c r="J2616">
        <v>-448.27589999999998</v>
      </c>
      <c r="K2616">
        <v>1.1089389999999999</v>
      </c>
      <c r="L2616">
        <v>215.22300000000001</v>
      </c>
      <c r="M2616">
        <v>0.99899959999999999</v>
      </c>
      <c r="N2616">
        <v>0</v>
      </c>
      <c r="O2616">
        <v>-4.4551779999999999E-2</v>
      </c>
      <c r="P2616">
        <v>0.9921044</v>
      </c>
      <c r="Q2616">
        <v>7.4425899999999906E-2</v>
      </c>
      <c r="R2616">
        <v>-0.1009434</v>
      </c>
      <c r="S2616">
        <v>3.0281069999999999</v>
      </c>
      <c r="T2616">
        <v>-5.2536960000000001E-2</v>
      </c>
      <c r="U2616">
        <v>2.7786249999999998E-2</v>
      </c>
      <c r="V2616">
        <v>5.6593360000000002E-2</v>
      </c>
      <c r="W2616">
        <v>7.8297800000000001E-2</v>
      </c>
      <c r="X2616">
        <v>0.99532240000000005</v>
      </c>
      <c r="Y2616">
        <v>-5.3702079999999999E-2</v>
      </c>
      <c r="Z2616">
        <v>1.2385569999999999E-3</v>
      </c>
      <c r="AA2616">
        <v>0.99855629999999995</v>
      </c>
      <c r="AB2616">
        <v>32</v>
      </c>
      <c r="AC2616">
        <v>63.594099999999898</v>
      </c>
      <c r="AD2616">
        <v>-1.1089380981589001</v>
      </c>
      <c r="AE2616">
        <v>0.60050000000001003</v>
      </c>
      <c r="AF2616">
        <v>-3.43211172789026</v>
      </c>
      <c r="AG2616">
        <v>-1.1089380981589001</v>
      </c>
      <c r="AH2616">
        <v>63.484898975938897</v>
      </c>
      <c r="AI2616">
        <v>90.999267447758001</v>
      </c>
      <c r="AJ2616">
        <v>93.094504010111706</v>
      </c>
      <c r="AK2616">
        <v>63.587274926697702</v>
      </c>
      <c r="AL2616">
        <v>85.509270158331304</v>
      </c>
      <c r="AM2616">
        <v>86.7457046498849</v>
      </c>
      <c r="AN2616">
        <v>1.0000000169113401</v>
      </c>
    </row>
    <row r="2617" spans="1:40" x14ac:dyDescent="0.25">
      <c r="A2617" t="str">
        <f>"20190312154603768"</f>
        <v>20190312154603768</v>
      </c>
      <c r="B2617" t="str">
        <f>"1552376763759104"</f>
        <v>1552376763759104</v>
      </c>
      <c r="C2617" t="s">
        <v>40</v>
      </c>
      <c r="D2617">
        <v>4.7917680000000002</v>
      </c>
      <c r="E2617">
        <v>0.46090049999999999</v>
      </c>
      <c r="F2617" t="s">
        <v>43</v>
      </c>
      <c r="G2617">
        <v>-119.6679</v>
      </c>
      <c r="H2617">
        <v>-0.05</v>
      </c>
      <c r="I2617">
        <v>216.72919999999999</v>
      </c>
      <c r="J2617">
        <v>-447.94959999999998</v>
      </c>
      <c r="K2617">
        <v>1.10897</v>
      </c>
      <c r="L2617">
        <v>215.2088</v>
      </c>
      <c r="M2617">
        <v>0.99901399999999996</v>
      </c>
      <c r="N2617">
        <v>0</v>
      </c>
      <c r="O2617">
        <v>-4.4216079999999998E-2</v>
      </c>
      <c r="P2617">
        <v>0.99186090000000005</v>
      </c>
      <c r="Q2617">
        <v>7.436508E-2</v>
      </c>
      <c r="R2617">
        <v>-0.10335469999999999</v>
      </c>
      <c r="S2617">
        <v>3.0261230000000001</v>
      </c>
      <c r="T2617">
        <v>-1.0672569999999999E-2</v>
      </c>
      <c r="U2617">
        <v>1.3870240000000001E-2</v>
      </c>
      <c r="V2617">
        <v>5.9346429999999999E-2</v>
      </c>
      <c r="W2617">
        <v>7.8401440000000003E-2</v>
      </c>
      <c r="X2617">
        <v>0.99515379999999998</v>
      </c>
      <c r="Y2617">
        <v>-4.8794360000000002E-2</v>
      </c>
      <c r="Z2617">
        <v>2.419512E-4</v>
      </c>
      <c r="AA2617">
        <v>0.99880880000000005</v>
      </c>
      <c r="AB2617">
        <v>33</v>
      </c>
      <c r="AC2617">
        <v>328.2817</v>
      </c>
      <c r="AD2617">
        <v>-1.1589700000000001</v>
      </c>
      <c r="AE2617">
        <v>1.52039999999999</v>
      </c>
      <c r="AF2617">
        <v>-16.034158956195899</v>
      </c>
      <c r="AG2617">
        <v>-1.1589700000000001</v>
      </c>
      <c r="AH2617">
        <v>327.88931904671398</v>
      </c>
      <c r="AI2617">
        <v>90.202277279414304</v>
      </c>
      <c r="AJ2617">
        <v>92.799598333791593</v>
      </c>
      <c r="AK2617">
        <v>328.28317503309802</v>
      </c>
      <c r="AL2617">
        <v>85.503313344761096</v>
      </c>
      <c r="AM2617">
        <v>86.587183184880203</v>
      </c>
      <c r="AN2617">
        <v>0.99999993510112695</v>
      </c>
    </row>
    <row r="2618" spans="1:40" x14ac:dyDescent="0.25">
      <c r="A2618" t="str">
        <f>"20190312154603790"</f>
        <v>20190312154603790</v>
      </c>
      <c r="B2618" t="str">
        <f>"1552376763779600"</f>
        <v>1552376763779600</v>
      </c>
      <c r="C2618" t="s">
        <v>40</v>
      </c>
      <c r="D2618">
        <v>4.9760419999999996</v>
      </c>
      <c r="E2618">
        <v>0.46083730000000001</v>
      </c>
      <c r="F2618" t="s">
        <v>57</v>
      </c>
      <c r="G2618">
        <v>-295.94069999999999</v>
      </c>
      <c r="H2618" s="1">
        <v>1.9481980000000002E-6</v>
      </c>
      <c r="I2618">
        <v>215.56200000000001</v>
      </c>
      <c r="J2618">
        <v>-447.63170000000002</v>
      </c>
      <c r="K2618">
        <v>1.108976</v>
      </c>
      <c r="L2618">
        <v>215.19499999999999</v>
      </c>
      <c r="M2618">
        <v>0.99902769999999996</v>
      </c>
      <c r="N2618">
        <v>0</v>
      </c>
      <c r="O2618">
        <v>-4.3889570000000003E-2</v>
      </c>
      <c r="P2618">
        <v>0.99185840000000003</v>
      </c>
      <c r="Q2618">
        <v>7.0983699999999997E-2</v>
      </c>
      <c r="R2618">
        <v>-0.1057278</v>
      </c>
      <c r="S2618">
        <v>3.0270389999999998</v>
      </c>
      <c r="T2618">
        <v>-2.2083519999999999E-2</v>
      </c>
      <c r="U2618">
        <v>7.0343019999999897E-3</v>
      </c>
      <c r="V2618">
        <v>6.2043790000000001E-2</v>
      </c>
      <c r="W2618">
        <v>7.5178499999999995E-2</v>
      </c>
      <c r="X2618">
        <v>0.99523810000000001</v>
      </c>
      <c r="Y2618">
        <v>-4.6209010000000002E-2</v>
      </c>
      <c r="Z2618">
        <v>4.8867249999999995E-4</v>
      </c>
      <c r="AA2618">
        <v>0.99893160000000003</v>
      </c>
      <c r="AB2618">
        <v>33</v>
      </c>
      <c r="AC2618">
        <v>151.691</v>
      </c>
      <c r="AD2618">
        <v>-1.1089740518019999</v>
      </c>
      <c r="AE2618">
        <v>0.36700000000001798</v>
      </c>
      <c r="AF2618">
        <v>-7.0239814930539799</v>
      </c>
      <c r="AG2618">
        <v>-1.1089740518019999</v>
      </c>
      <c r="AH2618">
        <v>151.52062039295399</v>
      </c>
      <c r="AI2618">
        <v>90.418888468187205</v>
      </c>
      <c r="AJ2618">
        <v>92.654137696570203</v>
      </c>
      <c r="AK2618">
        <v>151.68739085279299</v>
      </c>
      <c r="AL2618">
        <v>85.688521690548399</v>
      </c>
      <c r="AM2618">
        <v>86.432760275373496</v>
      </c>
      <c r="AN2618">
        <v>1.0000000572157099</v>
      </c>
    </row>
    <row r="2619" spans="1:40" x14ac:dyDescent="0.25">
      <c r="A2619" t="str">
        <f>"20190312154603812"</f>
        <v>20190312154603812</v>
      </c>
      <c r="B2619" t="str">
        <f>"1552376763809856"</f>
        <v>1552376763809856</v>
      </c>
      <c r="C2619" t="s">
        <v>40</v>
      </c>
      <c r="D2619">
        <v>4.9513499999999997</v>
      </c>
      <c r="E2619">
        <v>0.46002729999999997</v>
      </c>
      <c r="F2619" t="s">
        <v>54</v>
      </c>
      <c r="G2619">
        <v>-322.53390000000002</v>
      </c>
      <c r="H2619" s="1">
        <v>-1.883826E-7</v>
      </c>
      <c r="I2619">
        <v>215.17169999999999</v>
      </c>
      <c r="J2619">
        <v>-447.30470000000003</v>
      </c>
      <c r="K2619">
        <v>1.1089899999999999</v>
      </c>
      <c r="L2619">
        <v>215.18090000000001</v>
      </c>
      <c r="M2619">
        <v>0.99904170000000003</v>
      </c>
      <c r="N2619">
        <v>0</v>
      </c>
      <c r="O2619">
        <v>-4.3554620000000002E-2</v>
      </c>
      <c r="P2619">
        <v>0.99179039999999996</v>
      </c>
      <c r="Q2619">
        <v>6.8837179999999998E-2</v>
      </c>
      <c r="R2619">
        <v>-0.1077665</v>
      </c>
      <c r="S2619">
        <v>3.0265200000000001</v>
      </c>
      <c r="T2619">
        <v>-2.6829720000000001E-2</v>
      </c>
      <c r="U2619">
        <v>-5.6457519999999995E-4</v>
      </c>
      <c r="V2619">
        <v>6.4417970000000005E-2</v>
      </c>
      <c r="W2619">
        <v>7.3196520000000001E-2</v>
      </c>
      <c r="X2619">
        <v>0.99523499999999998</v>
      </c>
      <c r="Y2619">
        <v>-4.3365250000000001E-2</v>
      </c>
      <c r="Z2619">
        <v>5.7822020000000002E-4</v>
      </c>
      <c r="AA2619">
        <v>0.99905909999999998</v>
      </c>
      <c r="AB2619">
        <v>33</v>
      </c>
      <c r="AC2619">
        <v>124.77079999999999</v>
      </c>
      <c r="AD2619">
        <v>-1.1089901883826001</v>
      </c>
      <c r="AE2619">
        <v>-9.2000000000211895E-3</v>
      </c>
      <c r="AF2619">
        <v>-5.4247757006078503</v>
      </c>
      <c r="AG2619">
        <v>-1.1089901883826001</v>
      </c>
      <c r="AH2619">
        <v>124.642950056751</v>
      </c>
      <c r="AI2619">
        <v>90.509284250067196</v>
      </c>
      <c r="AJ2619">
        <v>92.492084183774097</v>
      </c>
      <c r="AK2619">
        <v>124.76587293602999</v>
      </c>
      <c r="AL2619">
        <v>85.802394582527697</v>
      </c>
      <c r="AM2619">
        <v>86.296616974200305</v>
      </c>
      <c r="AN2619">
        <v>1.0000000553120101</v>
      </c>
    </row>
    <row r="2620" spans="1:40" x14ac:dyDescent="0.25">
      <c r="A2620" t="str">
        <f>"20190312154603838"</f>
        <v>20190312154603838</v>
      </c>
      <c r="B2620" t="str">
        <f>"1552376763829376"</f>
        <v>1552376763829376</v>
      </c>
      <c r="C2620" t="s">
        <v>40</v>
      </c>
      <c r="D2620">
        <v>4.9058349999999997</v>
      </c>
      <c r="E2620">
        <v>0.45904470000000003</v>
      </c>
      <c r="F2620" t="s">
        <v>54</v>
      </c>
      <c r="G2620">
        <v>-373.57350000000002</v>
      </c>
      <c r="H2620" s="1">
        <v>3.6485669999999999E-7</v>
      </c>
      <c r="I2620">
        <v>215.1687</v>
      </c>
      <c r="J2620">
        <v>-446.93450000000001</v>
      </c>
      <c r="K2620">
        <v>1.109008</v>
      </c>
      <c r="L2620">
        <v>215.1651</v>
      </c>
      <c r="M2620">
        <v>0.99905739999999998</v>
      </c>
      <c r="N2620">
        <v>0</v>
      </c>
      <c r="O2620">
        <v>-4.3173940000000001E-2</v>
      </c>
      <c r="P2620">
        <v>0.99183160000000004</v>
      </c>
      <c r="Q2620">
        <v>6.7520129999999998E-2</v>
      </c>
      <c r="R2620">
        <v>-0.1082195</v>
      </c>
      <c r="S2620">
        <v>3.0279240000000001</v>
      </c>
      <c r="T2620">
        <v>-4.554296E-2</v>
      </c>
      <c r="U2620">
        <v>-5.0354000000000002E-4</v>
      </c>
      <c r="V2620">
        <v>6.5248009999999995E-2</v>
      </c>
      <c r="W2620">
        <v>7.2067030000000004E-2</v>
      </c>
      <c r="X2620">
        <v>0.99526329999999996</v>
      </c>
      <c r="Y2620">
        <v>-4.2998500000000002E-2</v>
      </c>
      <c r="Z2620">
        <v>9.7254820000000001E-4</v>
      </c>
      <c r="AA2620">
        <v>0.99907460000000003</v>
      </c>
      <c r="AB2620">
        <v>33</v>
      </c>
      <c r="AC2620">
        <v>73.360999999999905</v>
      </c>
      <c r="AD2620">
        <v>-1.1090076351433</v>
      </c>
      <c r="AE2620">
        <v>3.6000000000058199E-3</v>
      </c>
      <c r="AF2620">
        <v>-3.1701877641533498</v>
      </c>
      <c r="AG2620">
        <v>-1.1090076351433</v>
      </c>
      <c r="AH2620">
        <v>73.275693722886501</v>
      </c>
      <c r="AI2620">
        <v>90.866279560796499</v>
      </c>
      <c r="AJ2620">
        <v>92.477290479711101</v>
      </c>
      <c r="AK2620">
        <v>73.352622849936793</v>
      </c>
      <c r="AL2620">
        <v>85.867280731391702</v>
      </c>
      <c r="AM2620">
        <v>86.249139771867704</v>
      </c>
      <c r="AN2620">
        <v>0.99999999797443495</v>
      </c>
    </row>
    <row r="2621" spans="1:40" x14ac:dyDescent="0.25">
      <c r="A2621" t="str">
        <f>"20190312154603860"</f>
        <v>20190312154603860</v>
      </c>
      <c r="B2621" t="str">
        <f>"1552376763849872"</f>
        <v>1552376763849872</v>
      </c>
      <c r="C2621" t="s">
        <v>40</v>
      </c>
      <c r="D2621">
        <v>4.6000259999999997</v>
      </c>
      <c r="E2621">
        <v>0.45908890000000002</v>
      </c>
      <c r="F2621" t="s">
        <v>54</v>
      </c>
      <c r="G2621">
        <v>-393.80799999999999</v>
      </c>
      <c r="H2621" s="1">
        <v>4.8961199999999995E-7</v>
      </c>
      <c r="I2621">
        <v>215.2655</v>
      </c>
      <c r="J2621">
        <v>-446.60669999999999</v>
      </c>
      <c r="K2621">
        <v>1.109008</v>
      </c>
      <c r="L2621">
        <v>215.15129999999999</v>
      </c>
      <c r="M2621">
        <v>0.99907140000000005</v>
      </c>
      <c r="N2621">
        <v>0</v>
      </c>
      <c r="O2621">
        <v>-4.2829449999999998E-2</v>
      </c>
      <c r="P2621">
        <v>0.99217160000000004</v>
      </c>
      <c r="Q2621">
        <v>6.3433619999999996E-2</v>
      </c>
      <c r="R2621">
        <v>-0.107572</v>
      </c>
      <c r="S2621">
        <v>3.0296020000000001</v>
      </c>
      <c r="T2621">
        <v>-6.3242439999999997E-2</v>
      </c>
      <c r="U2621">
        <v>5.7220459999999997E-3</v>
      </c>
      <c r="V2621">
        <v>6.4931359999999994E-2</v>
      </c>
      <c r="W2621">
        <v>6.8144239999999995E-2</v>
      </c>
      <c r="X2621">
        <v>0.99556029999999995</v>
      </c>
      <c r="Y2621">
        <v>-4.4697760000000003E-2</v>
      </c>
      <c r="Z2621">
        <v>1.360251E-3</v>
      </c>
      <c r="AA2621">
        <v>0.99899970000000005</v>
      </c>
      <c r="AB2621">
        <v>33</v>
      </c>
      <c r="AC2621">
        <v>52.798699999999897</v>
      </c>
      <c r="AD2621">
        <v>-1.1090075103879999</v>
      </c>
      <c r="AE2621">
        <v>0.11420000000001</v>
      </c>
      <c r="AF2621">
        <v>-2.3744117829359399</v>
      </c>
      <c r="AG2621">
        <v>-1.1090075103879999</v>
      </c>
      <c r="AH2621">
        <v>52.722099385153903</v>
      </c>
      <c r="AI2621">
        <v>91.203817143889907</v>
      </c>
      <c r="AJ2621">
        <v>92.578651254711502</v>
      </c>
      <c r="AK2621">
        <v>52.7871906105173</v>
      </c>
      <c r="AL2621">
        <v>86.092594624348393</v>
      </c>
      <c r="AM2621">
        <v>86.268401602245305</v>
      </c>
      <c r="AN2621">
        <v>1.0000000149463499</v>
      </c>
    </row>
    <row r="2622" spans="1:40" x14ac:dyDescent="0.25">
      <c r="A2622" t="str">
        <f>"20190312154603882"</f>
        <v>20190312154603882</v>
      </c>
      <c r="B2622" t="str">
        <f>"1552376763869392"</f>
        <v>1552376763869392</v>
      </c>
      <c r="C2622" t="s">
        <v>40</v>
      </c>
      <c r="D2622">
        <v>4.8618810000000003</v>
      </c>
      <c r="E2622">
        <v>0.45907890000000001</v>
      </c>
      <c r="F2622" t="s">
        <v>57</v>
      </c>
      <c r="G2622">
        <v>-402.52359999999999</v>
      </c>
      <c r="H2622" s="1">
        <v>7.1521380000000003E-6</v>
      </c>
      <c r="I2622">
        <v>215.25030000000001</v>
      </c>
      <c r="J2622">
        <v>-446.28289999999998</v>
      </c>
      <c r="K2622">
        <v>1.109002</v>
      </c>
      <c r="L2622">
        <v>215.1378</v>
      </c>
      <c r="M2622">
        <v>0.99908600000000003</v>
      </c>
      <c r="N2622">
        <v>0</v>
      </c>
      <c r="O2622">
        <v>-4.2472309999999999E-2</v>
      </c>
      <c r="P2622">
        <v>0.99270559999999997</v>
      </c>
      <c r="Q2622">
        <v>5.7360960000000003E-2</v>
      </c>
      <c r="R2622">
        <v>-0.1060446</v>
      </c>
      <c r="S2622">
        <v>3.0292970000000001</v>
      </c>
      <c r="T2622">
        <v>-7.6208230000000002E-2</v>
      </c>
      <c r="U2622">
        <v>6.8054200000000004E-3</v>
      </c>
      <c r="V2622">
        <v>6.3740749999999999E-2</v>
      </c>
      <c r="W2622">
        <v>6.223356E-2</v>
      </c>
      <c r="X2622">
        <v>0.99602409999999997</v>
      </c>
      <c r="Y2622">
        <v>-4.4689630000000001E-2</v>
      </c>
      <c r="Z2622">
        <v>1.630133E-3</v>
      </c>
      <c r="AA2622">
        <v>0.99899959999999999</v>
      </c>
      <c r="AB2622">
        <v>33</v>
      </c>
      <c r="AC2622">
        <v>43.759300000000003</v>
      </c>
      <c r="AD2622">
        <v>-1.108994847862</v>
      </c>
      <c r="AE2622">
        <v>0.11250000000001099</v>
      </c>
      <c r="AF2622">
        <v>-1.9697135783945701</v>
      </c>
      <c r="AG2622">
        <v>-1.108994847862</v>
      </c>
      <c r="AH2622">
        <v>43.686975744485999</v>
      </c>
      <c r="AI2622">
        <v>91.452667203788394</v>
      </c>
      <c r="AJ2622">
        <v>92.5815450341521</v>
      </c>
      <c r="AK2622">
        <v>43.745416798252201</v>
      </c>
      <c r="AL2622">
        <v>86.431973799012397</v>
      </c>
      <c r="AM2622">
        <v>86.338338980355203</v>
      </c>
      <c r="AN2622">
        <v>0.99999995349082105</v>
      </c>
    </row>
    <row r="2623" spans="1:40" x14ac:dyDescent="0.25">
      <c r="A2623" t="str">
        <f>"20190312154603905"</f>
        <v>20190312154603905</v>
      </c>
      <c r="B2623" t="str">
        <f>"1552376763899647"</f>
        <v>1552376763899647</v>
      </c>
      <c r="C2623" t="s">
        <v>40</v>
      </c>
      <c r="D2623">
        <v>4.9342110000000003</v>
      </c>
      <c r="E2623">
        <v>0.45912599999999998</v>
      </c>
      <c r="F2623" t="s">
        <v>57</v>
      </c>
      <c r="G2623">
        <v>-409.452</v>
      </c>
      <c r="H2623" s="1">
        <v>4.0732459999999901E-6</v>
      </c>
      <c r="I2623">
        <v>215.28139999999999</v>
      </c>
      <c r="J2623">
        <v>-445.93400000000003</v>
      </c>
      <c r="K2623">
        <v>1.1090009999999999</v>
      </c>
      <c r="L2623">
        <v>215.1233</v>
      </c>
      <c r="M2623">
        <v>0.99910270000000001</v>
      </c>
      <c r="N2623">
        <v>0</v>
      </c>
      <c r="O2623">
        <v>-4.2052319999999997E-2</v>
      </c>
      <c r="P2623">
        <v>0.99338559999999998</v>
      </c>
      <c r="Q2623">
        <v>4.8786910000000003E-2</v>
      </c>
      <c r="R2623">
        <v>-0.1039489</v>
      </c>
      <c r="S2623">
        <v>3.0285950000000001</v>
      </c>
      <c r="T2623">
        <v>-9.1192720000000005E-2</v>
      </c>
      <c r="U2623">
        <v>1.1810299999999999E-2</v>
      </c>
      <c r="V2623">
        <v>6.2039730000000001E-2</v>
      </c>
      <c r="W2623">
        <v>5.3841609999999998E-2</v>
      </c>
      <c r="X2623">
        <v>0.99662039999999996</v>
      </c>
      <c r="Y2623">
        <v>-4.59088E-2</v>
      </c>
      <c r="Z2623">
        <v>1.9567009999999999E-3</v>
      </c>
      <c r="AA2623">
        <v>0.99894369999999999</v>
      </c>
      <c r="AB2623">
        <v>33</v>
      </c>
      <c r="AC2623">
        <v>36.481999999999999</v>
      </c>
      <c r="AD2623">
        <v>-1.1089969267540001</v>
      </c>
      <c r="AE2623">
        <v>0.15809999999999</v>
      </c>
      <c r="AF2623">
        <v>-1.6905701923944401</v>
      </c>
      <c r="AG2623">
        <v>-1.1089969267540001</v>
      </c>
      <c r="AH2623">
        <v>36.409434888030397</v>
      </c>
      <c r="AI2623">
        <v>91.742759339399797</v>
      </c>
      <c r="AJ2623">
        <v>92.658459736082307</v>
      </c>
      <c r="AK2623">
        <v>36.465529622160801</v>
      </c>
      <c r="AL2623">
        <v>86.913610665571497</v>
      </c>
      <c r="AM2623">
        <v>86.4379277512448</v>
      </c>
      <c r="AN2623">
        <v>1.00000003438101</v>
      </c>
    </row>
    <row r="2624" spans="1:40" x14ac:dyDescent="0.25">
      <c r="A2624" t="str">
        <f>"20190312154603925"</f>
        <v>20190312154603925</v>
      </c>
      <c r="B2624" t="str">
        <f>"1552376763919168"</f>
        <v>1552376763919168</v>
      </c>
      <c r="C2624" t="s">
        <v>40</v>
      </c>
      <c r="D2624">
        <v>4.731217</v>
      </c>
      <c r="E2624">
        <v>0.45880500000000002</v>
      </c>
      <c r="F2624" t="s">
        <v>57</v>
      </c>
      <c r="G2624">
        <v>-416.77499999999998</v>
      </c>
      <c r="H2624" s="1">
        <v>3.3479609999999999E-6</v>
      </c>
      <c r="I2624">
        <v>215.29759999999999</v>
      </c>
      <c r="J2624">
        <v>-445.63600000000002</v>
      </c>
      <c r="K2624">
        <v>1.1090089999999999</v>
      </c>
      <c r="L2624">
        <v>215.11109999999999</v>
      </c>
      <c r="M2624">
        <v>0.99911890000000003</v>
      </c>
      <c r="N2624">
        <v>0</v>
      </c>
      <c r="O2624">
        <v>-4.1652059999999998E-2</v>
      </c>
      <c r="P2624">
        <v>0.99397349999999995</v>
      </c>
      <c r="Q2624">
        <v>4.104344E-2</v>
      </c>
      <c r="R2624">
        <v>-0.101649</v>
      </c>
      <c r="S2624">
        <v>3.0275569999999998</v>
      </c>
      <c r="T2624">
        <v>-0.11514629999999999</v>
      </c>
      <c r="U2624">
        <v>1.8096919999999999E-2</v>
      </c>
      <c r="V2624">
        <v>6.0119249999999999E-2</v>
      </c>
      <c r="W2624">
        <v>4.6260830000000003E-2</v>
      </c>
      <c r="X2624">
        <v>0.99711870000000002</v>
      </c>
      <c r="Y2624">
        <v>-4.7559490000000003E-2</v>
      </c>
      <c r="Z2624">
        <v>2.4873550000000001E-3</v>
      </c>
      <c r="AA2624">
        <v>0.99886529999999996</v>
      </c>
      <c r="AB2624">
        <v>33</v>
      </c>
      <c r="AC2624">
        <v>28.860999999999901</v>
      </c>
      <c r="AD2624">
        <v>-1.1090056520389999</v>
      </c>
      <c r="AE2624">
        <v>0.186499999999995</v>
      </c>
      <c r="AF2624">
        <v>-1.38642716885225</v>
      </c>
      <c r="AG2624">
        <v>-1.1090056520389999</v>
      </c>
      <c r="AH2624">
        <v>28.785683471233298</v>
      </c>
      <c r="AI2624">
        <v>92.203750716440993</v>
      </c>
      <c r="AJ2624">
        <v>92.757450126709202</v>
      </c>
      <c r="AK2624">
        <v>28.840382222446699</v>
      </c>
      <c r="AL2624">
        <v>87.348503501304506</v>
      </c>
      <c r="AM2624">
        <v>86.549644076879105</v>
      </c>
      <c r="AN2624">
        <v>1.0000000452512601</v>
      </c>
    </row>
    <row r="2625" spans="1:40" x14ac:dyDescent="0.25">
      <c r="A2625" t="str">
        <f>"20190312154603959"</f>
        <v>20190312154603959</v>
      </c>
      <c r="B2625" t="str">
        <f>"1552376763949424"</f>
        <v>1552376763949424</v>
      </c>
      <c r="C2625" t="s">
        <v>40</v>
      </c>
      <c r="D2625">
        <v>4.8676139999999997</v>
      </c>
      <c r="E2625">
        <v>0.45870040000000001</v>
      </c>
      <c r="F2625" t="s">
        <v>57</v>
      </c>
      <c r="G2625">
        <v>-422.67840000000001</v>
      </c>
      <c r="H2625" s="1">
        <v>3.4274840000000002E-6</v>
      </c>
      <c r="I2625">
        <v>215.32570000000001</v>
      </c>
      <c r="J2625">
        <v>-445.11950000000002</v>
      </c>
      <c r="K2625">
        <v>1.1090519999999999</v>
      </c>
      <c r="L2625">
        <v>215.09039999999999</v>
      </c>
      <c r="M2625">
        <v>0.99914990000000004</v>
      </c>
      <c r="N2625">
        <v>0</v>
      </c>
      <c r="O2625">
        <v>-4.0863099999999999E-2</v>
      </c>
      <c r="P2625">
        <v>0.99468029999999996</v>
      </c>
      <c r="Q2625">
        <v>3.0157199999999999E-2</v>
      </c>
      <c r="R2625">
        <v>-9.8496959999999995E-2</v>
      </c>
      <c r="S2625">
        <v>3.0270999999999999</v>
      </c>
      <c r="T2625">
        <v>-0.146229</v>
      </c>
      <c r="U2625">
        <v>2.8289789999999999E-2</v>
      </c>
      <c r="V2625">
        <v>5.7731810000000001E-2</v>
      </c>
      <c r="W2625">
        <v>3.5650630000000003E-2</v>
      </c>
      <c r="X2625">
        <v>0.99769540000000001</v>
      </c>
      <c r="Y2625">
        <v>-5.0093180000000001E-2</v>
      </c>
      <c r="Z2625">
        <v>3.181662E-3</v>
      </c>
      <c r="AA2625">
        <v>0.9987395</v>
      </c>
      <c r="AB2625">
        <v>34</v>
      </c>
      <c r="AC2625">
        <v>22.441099999999999</v>
      </c>
      <c r="AD2625">
        <v>-1.109048572516</v>
      </c>
      <c r="AE2625">
        <v>0.23530000000002299</v>
      </c>
      <c r="AF2625">
        <v>-1.14932321216678</v>
      </c>
      <c r="AG2625">
        <v>-1.109048572516</v>
      </c>
      <c r="AH2625">
        <v>22.358139368690701</v>
      </c>
      <c r="AI2625">
        <v>92.836022063747194</v>
      </c>
      <c r="AJ2625">
        <v>92.942707183293706</v>
      </c>
      <c r="AK2625">
        <v>22.415113843387498</v>
      </c>
      <c r="AL2625">
        <v>87.956936471572604</v>
      </c>
      <c r="AM2625">
        <v>86.688263224080998</v>
      </c>
      <c r="AN2625">
        <v>1.00000002024321</v>
      </c>
    </row>
    <row r="2626" spans="1:40" x14ac:dyDescent="0.25">
      <c r="A2626" t="str">
        <f>"20190312154603979"</f>
        <v>20190312154603979</v>
      </c>
      <c r="B2626" t="str">
        <f>"1552376763969922"</f>
        <v>1552376763969922</v>
      </c>
      <c r="C2626" t="s">
        <v>40</v>
      </c>
      <c r="D2626">
        <v>4.6950190000000003</v>
      </c>
      <c r="E2626">
        <v>0.45845089999999999</v>
      </c>
      <c r="F2626" t="s">
        <v>57</v>
      </c>
      <c r="G2626">
        <v>-426.73360000000002</v>
      </c>
      <c r="H2626" s="1">
        <v>2.7077820000000001E-6</v>
      </c>
      <c r="I2626">
        <v>215.33009999999999</v>
      </c>
      <c r="J2626">
        <v>-444.81779999999998</v>
      </c>
      <c r="K2626">
        <v>1.1091009999999999</v>
      </c>
      <c r="L2626">
        <v>215.07849999999999</v>
      </c>
      <c r="M2626">
        <v>0.99917080000000003</v>
      </c>
      <c r="N2626">
        <v>0</v>
      </c>
      <c r="O2626">
        <v>-4.032815E-2</v>
      </c>
      <c r="P2626">
        <v>0.99507820000000002</v>
      </c>
      <c r="Q2626">
        <v>2.562393E-2</v>
      </c>
      <c r="R2626">
        <v>-9.5724020000000007E-2</v>
      </c>
      <c r="S2626">
        <v>3.0255130000000001</v>
      </c>
      <c r="T2626">
        <v>-0.1825</v>
      </c>
      <c r="U2626">
        <v>3.9443970000000002E-2</v>
      </c>
      <c r="V2626">
        <v>5.5479920000000002E-2</v>
      </c>
      <c r="W2626">
        <v>3.1273339999999997E-2</v>
      </c>
      <c r="X2626">
        <v>0.99796989999999997</v>
      </c>
      <c r="Y2626">
        <v>-5.3180819999999997E-2</v>
      </c>
      <c r="Z2626">
        <v>4.0324180000000003E-3</v>
      </c>
      <c r="AA2626">
        <v>0.99857680000000004</v>
      </c>
      <c r="AB2626">
        <v>34</v>
      </c>
      <c r="AC2626">
        <v>18.0841999999999</v>
      </c>
      <c r="AD2626">
        <v>-1.1090982922179999</v>
      </c>
      <c r="AE2626">
        <v>0.25159999999999599</v>
      </c>
      <c r="AF2626">
        <v>-0.977034838066835</v>
      </c>
      <c r="AG2626">
        <v>-1.1090982922179999</v>
      </c>
      <c r="AH2626">
        <v>17.9916815657188</v>
      </c>
      <c r="AI2626">
        <v>93.522361120784197</v>
      </c>
      <c r="AJ2626">
        <v>93.108383231128599</v>
      </c>
      <c r="AK2626">
        <v>18.052293529045699</v>
      </c>
      <c r="AL2626">
        <v>88.207877371530103</v>
      </c>
      <c r="AM2626">
        <v>86.818043706237106</v>
      </c>
      <c r="AN2626">
        <v>0.99999998231198495</v>
      </c>
    </row>
    <row r="2627" spans="1:40" x14ac:dyDescent="0.25">
      <c r="A2627" t="str">
        <f>"20190312154604005"</f>
        <v>20190312154604005</v>
      </c>
      <c r="B2627" t="str">
        <f>"1552376763999200"</f>
        <v>1552376763999200</v>
      </c>
      <c r="C2627" t="s">
        <v>40</v>
      </c>
      <c r="D2627">
        <v>4.7989519999999999</v>
      </c>
      <c r="E2627">
        <v>0.45820240000000001</v>
      </c>
      <c r="F2627" t="s">
        <v>57</v>
      </c>
      <c r="G2627">
        <v>-428.02269999999999</v>
      </c>
      <c r="H2627" s="1">
        <v>2.4769899999999999E-6</v>
      </c>
      <c r="I2627">
        <v>215.35419999999999</v>
      </c>
      <c r="J2627">
        <v>-444.4357</v>
      </c>
      <c r="K2627">
        <v>1.1091930000000001</v>
      </c>
      <c r="L2627">
        <v>215.06379999999999</v>
      </c>
      <c r="M2627">
        <v>0.99920140000000002</v>
      </c>
      <c r="N2627">
        <v>0</v>
      </c>
      <c r="O2627">
        <v>-3.9539190000000002E-2</v>
      </c>
      <c r="P2627">
        <v>0.99547799999999997</v>
      </c>
      <c r="Q2627">
        <v>2.1622700000000002E-2</v>
      </c>
      <c r="R2627">
        <v>-9.2501420000000001E-2</v>
      </c>
      <c r="S2627">
        <v>3.02475</v>
      </c>
      <c r="T2627">
        <v>-0.19974549999999999</v>
      </c>
      <c r="U2627">
        <v>4.9652099999999998E-2</v>
      </c>
      <c r="V2627">
        <v>5.3031109999999999E-2</v>
      </c>
      <c r="W2627">
        <v>2.7466959999999999E-2</v>
      </c>
      <c r="X2627">
        <v>0.99821499999999996</v>
      </c>
      <c r="Y2627">
        <v>-5.5727319999999997E-2</v>
      </c>
      <c r="Z2627">
        <v>4.4456890000000001E-3</v>
      </c>
      <c r="AA2627">
        <v>0.9984362</v>
      </c>
      <c r="AB2627">
        <v>34</v>
      </c>
      <c r="AC2627">
        <v>16.413</v>
      </c>
      <c r="AD2627">
        <v>-1.1091905230100001</v>
      </c>
      <c r="AE2627">
        <v>0.29040000000000499</v>
      </c>
      <c r="AF2627">
        <v>-0.93487213136463598</v>
      </c>
      <c r="AG2627">
        <v>-1.1091905230100001</v>
      </c>
      <c r="AH2627">
        <v>16.3141980295465</v>
      </c>
      <c r="AI2627">
        <v>93.883161882762295</v>
      </c>
      <c r="AJ2627">
        <v>93.279702242362106</v>
      </c>
      <c r="AK2627">
        <v>16.3785636386588</v>
      </c>
      <c r="AL2627">
        <v>88.426061104197302</v>
      </c>
      <c r="AM2627">
        <v>86.958966685721805</v>
      </c>
      <c r="AN2627">
        <v>0.99999995937223596</v>
      </c>
    </row>
    <row r="2628" spans="1:40" x14ac:dyDescent="0.25">
      <c r="A2628" t="str">
        <f>"20190312154604036"</f>
        <v>20190312154604036</v>
      </c>
      <c r="B2628" t="str">
        <f>"1552376764029456"</f>
        <v>1552376764029456</v>
      </c>
      <c r="C2628" t="s">
        <v>40</v>
      </c>
      <c r="D2628">
        <v>4.6119700000000003</v>
      </c>
      <c r="E2628">
        <v>0.45789550000000001</v>
      </c>
      <c r="F2628" t="s">
        <v>57</v>
      </c>
      <c r="G2628">
        <v>-428.94330000000002</v>
      </c>
      <c r="H2628" s="1">
        <v>2.311876E-6</v>
      </c>
      <c r="I2628">
        <v>215.3751</v>
      </c>
      <c r="J2628">
        <v>-443.9547</v>
      </c>
      <c r="K2628">
        <v>1.109329</v>
      </c>
      <c r="L2628">
        <v>215.04599999999999</v>
      </c>
      <c r="M2628">
        <v>0.9992472</v>
      </c>
      <c r="N2628">
        <v>0</v>
      </c>
      <c r="O2628">
        <v>-3.8326020000000002E-2</v>
      </c>
      <c r="P2628">
        <v>0.99601669999999998</v>
      </c>
      <c r="Q2628">
        <v>1.4201760000000001E-2</v>
      </c>
      <c r="R2628">
        <v>-8.8028129999999996E-2</v>
      </c>
      <c r="S2628">
        <v>3.0240170000000002</v>
      </c>
      <c r="T2628">
        <v>-0.21650659999999999</v>
      </c>
      <c r="U2628">
        <v>6.0760500000000002E-2</v>
      </c>
      <c r="V2628">
        <v>4.975599E-2</v>
      </c>
      <c r="W2628">
        <v>2.0277369999999999E-2</v>
      </c>
      <c r="X2628">
        <v>0.99855550000000004</v>
      </c>
      <c r="Y2628">
        <v>-5.8145959999999997E-2</v>
      </c>
      <c r="Z2628">
        <v>4.8186349999999999E-3</v>
      </c>
      <c r="AA2628">
        <v>0.99829639999999997</v>
      </c>
      <c r="AB2628">
        <v>34</v>
      </c>
      <c r="AC2628">
        <v>15.011399999999901</v>
      </c>
      <c r="AD2628">
        <v>-1.109326688124</v>
      </c>
      <c r="AE2628">
        <v>0.32910000000001099</v>
      </c>
      <c r="AF2628">
        <v>-0.89928711653527504</v>
      </c>
      <c r="AG2628">
        <v>-1.109326688124</v>
      </c>
      <c r="AH2628">
        <v>14.9063917133874</v>
      </c>
      <c r="AI2628">
        <v>94.248383744583506</v>
      </c>
      <c r="AJ2628">
        <v>93.452410429831701</v>
      </c>
      <c r="AK2628">
        <v>14.97463979306</v>
      </c>
      <c r="AL2628">
        <v>88.838112599248205</v>
      </c>
      <c r="AM2628">
        <v>87.147427071244294</v>
      </c>
      <c r="AN2628">
        <v>0.99999995842762202</v>
      </c>
    </row>
    <row r="2629" spans="1:40" x14ac:dyDescent="0.25">
      <c r="A2629" t="str">
        <f>"20190312154604060"</f>
        <v>20190312154604060</v>
      </c>
      <c r="B2629" t="str">
        <f>"1552376764049951"</f>
        <v>1552376764049951</v>
      </c>
      <c r="C2629" t="s">
        <v>40</v>
      </c>
      <c r="D2629">
        <v>4.963946</v>
      </c>
      <c r="E2629">
        <v>0.4576923</v>
      </c>
      <c r="F2629" t="s">
        <v>57</v>
      </c>
      <c r="G2629">
        <v>-430.05250000000001</v>
      </c>
      <c r="H2629" s="1">
        <v>2.1725400000000002E-6</v>
      </c>
      <c r="I2629">
        <v>215.39109999999999</v>
      </c>
      <c r="J2629">
        <v>-443.59230000000002</v>
      </c>
      <c r="K2629">
        <v>1.1094310000000001</v>
      </c>
      <c r="L2629">
        <v>215.03309999999999</v>
      </c>
      <c r="M2629">
        <v>0.9992858</v>
      </c>
      <c r="N2629">
        <v>0</v>
      </c>
      <c r="O2629">
        <v>-3.7282740000000002E-2</v>
      </c>
      <c r="P2629">
        <v>0.99621440000000006</v>
      </c>
      <c r="Q2629">
        <v>1.136914E-2</v>
      </c>
      <c r="R2629">
        <v>-8.6184200000000002E-2</v>
      </c>
      <c r="S2629">
        <v>3.0220639999999999</v>
      </c>
      <c r="T2629">
        <v>-0.24114530000000001</v>
      </c>
      <c r="U2629">
        <v>7.5027469999999999E-2</v>
      </c>
      <c r="V2629">
        <v>4.8948510000000001E-2</v>
      </c>
      <c r="W2629">
        <v>1.7604700000000001E-2</v>
      </c>
      <c r="X2629">
        <v>0.99864609999999998</v>
      </c>
      <c r="Y2629">
        <v>-6.1758979999999998E-2</v>
      </c>
      <c r="Z2629">
        <v>5.4294169999999998E-3</v>
      </c>
      <c r="AA2629">
        <v>0.99807630000000003</v>
      </c>
      <c r="AB2629">
        <v>34</v>
      </c>
      <c r="AC2629">
        <v>13.5398</v>
      </c>
      <c r="AD2629">
        <v>-1.1094288274599999</v>
      </c>
      <c r="AE2629">
        <v>0.35800000000000398</v>
      </c>
      <c r="AF2629">
        <v>-0.85681296814691599</v>
      </c>
      <c r="AG2629">
        <v>-1.1094288274599999</v>
      </c>
      <c r="AH2629">
        <v>13.4269545641643</v>
      </c>
      <c r="AI2629">
        <v>94.713903285753702</v>
      </c>
      <c r="AJ2629">
        <v>93.651259389902705</v>
      </c>
      <c r="AK2629">
        <v>13.499928505503901</v>
      </c>
      <c r="AL2629">
        <v>88.991272837987907</v>
      </c>
      <c r="AM2629">
        <v>87.193900485417601</v>
      </c>
      <c r="AN2629">
        <v>0.99999995756925897</v>
      </c>
    </row>
    <row r="2630" spans="1:40" x14ac:dyDescent="0.25">
      <c r="A2630" t="str">
        <f>"20190312154604104"</f>
        <v>20190312154604104</v>
      </c>
      <c r="B2630" t="str">
        <f>"1552376764099728"</f>
        <v>1552376764099728</v>
      </c>
      <c r="C2630" t="s">
        <v>40</v>
      </c>
      <c r="D2630">
        <v>4.7043589999999904</v>
      </c>
      <c r="E2630">
        <v>0.45811469999999999</v>
      </c>
      <c r="F2630" t="s">
        <v>57</v>
      </c>
      <c r="G2630">
        <v>-430.178</v>
      </c>
      <c r="H2630" s="1">
        <v>2.227918E-6</v>
      </c>
      <c r="I2630">
        <v>215.39439999999999</v>
      </c>
      <c r="J2630">
        <v>-442.91969999999998</v>
      </c>
      <c r="K2630">
        <v>1.109659</v>
      </c>
      <c r="L2630">
        <v>215.0104</v>
      </c>
      <c r="M2630">
        <v>0.99936829999999999</v>
      </c>
      <c r="N2630">
        <v>0</v>
      </c>
      <c r="O2630">
        <v>-3.496134E-2</v>
      </c>
      <c r="P2630">
        <v>0.99629120000000004</v>
      </c>
      <c r="Q2630">
        <v>1.491058E-2</v>
      </c>
      <c r="R2630">
        <v>-8.4745710000000002E-2</v>
      </c>
      <c r="S2630">
        <v>3.0213009999999998</v>
      </c>
      <c r="T2630">
        <v>-0.2498764</v>
      </c>
      <c r="U2630">
        <v>8.1375119999999995E-2</v>
      </c>
      <c r="V2630">
        <v>4.9810350000000003E-2</v>
      </c>
      <c r="W2630">
        <v>2.1409609999999999E-2</v>
      </c>
      <c r="X2630">
        <v>0.99852920000000001</v>
      </c>
      <c r="Y2630">
        <v>-6.1527699999999901E-2</v>
      </c>
      <c r="Z2630">
        <v>5.4255079999999999E-3</v>
      </c>
      <c r="AA2630">
        <v>0.99809060000000005</v>
      </c>
      <c r="AB2630">
        <v>34</v>
      </c>
      <c r="AC2630">
        <v>12.7416999999999</v>
      </c>
      <c r="AD2630">
        <v>-1.1096567720820001</v>
      </c>
      <c r="AE2630">
        <v>0.38399999999998602</v>
      </c>
      <c r="AF2630">
        <v>-0.82300485733389595</v>
      </c>
      <c r="AG2630">
        <v>-1.1096567720820001</v>
      </c>
      <c r="AH2630">
        <v>12.6248197208312</v>
      </c>
      <c r="AI2630">
        <v>95.012510714296894</v>
      </c>
      <c r="AJ2630">
        <v>93.7298019692808</v>
      </c>
      <c r="AK2630">
        <v>12.700186932896401</v>
      </c>
      <c r="AL2630">
        <v>88.773225977564294</v>
      </c>
      <c r="AM2630">
        <v>87.144240609942301</v>
      </c>
      <c r="AN2630">
        <v>1.00000000281005</v>
      </c>
    </row>
    <row r="2631" spans="1:40" x14ac:dyDescent="0.25">
      <c r="A2631" t="str">
        <f>"20190312154604135"</f>
        <v>20190312154604135</v>
      </c>
      <c r="B2631" t="str">
        <f>"1552376764129985"</f>
        <v>1552376764129985</v>
      </c>
      <c r="C2631" t="s">
        <v>40</v>
      </c>
      <c r="D2631">
        <v>5.0404049999999998</v>
      </c>
      <c r="E2631">
        <v>0.45831490000000003</v>
      </c>
      <c r="F2631" t="s">
        <v>57</v>
      </c>
      <c r="G2631">
        <v>-428.04349999999999</v>
      </c>
      <c r="H2631" s="1">
        <v>2.4676969999999998E-6</v>
      </c>
      <c r="I2631">
        <v>215.41829999999999</v>
      </c>
      <c r="J2631">
        <v>-442.4271</v>
      </c>
      <c r="K2631">
        <v>1.1098079999999999</v>
      </c>
      <c r="L2631">
        <v>214.99520000000001</v>
      </c>
      <c r="M2631">
        <v>0.99943470000000001</v>
      </c>
      <c r="N2631">
        <v>0</v>
      </c>
      <c r="O2631">
        <v>-3.2975419999999998E-2</v>
      </c>
      <c r="P2631">
        <v>0.99642470000000005</v>
      </c>
      <c r="Q2631">
        <v>1.265985E-2</v>
      </c>
      <c r="R2631">
        <v>-8.3530950000000007E-2</v>
      </c>
      <c r="S2631">
        <v>3.021576</v>
      </c>
      <c r="T2631">
        <v>-0.22538749999999999</v>
      </c>
      <c r="U2631">
        <v>8.2855219999999993E-2</v>
      </c>
      <c r="V2631">
        <v>5.0574460000000002E-2</v>
      </c>
      <c r="W2631">
        <v>1.9322450000000001E-2</v>
      </c>
      <c r="X2631">
        <v>0.99853340000000002</v>
      </c>
      <c r="Y2631">
        <v>-6.0101309999999998E-2</v>
      </c>
      <c r="Z2631">
        <v>4.6938800000000001E-3</v>
      </c>
      <c r="AA2631">
        <v>0.99818119999999999</v>
      </c>
      <c r="AB2631">
        <v>34</v>
      </c>
      <c r="AC2631">
        <v>14.383599999999999</v>
      </c>
      <c r="AD2631">
        <v>-1.1098055323029901</v>
      </c>
      <c r="AE2631">
        <v>0.423099999999976</v>
      </c>
      <c r="AF2631">
        <v>-0.891880268068586</v>
      </c>
      <c r="AG2631">
        <v>-1.1098055323029901</v>
      </c>
      <c r="AH2631">
        <v>14.2769037607224</v>
      </c>
      <c r="AI2631">
        <v>94.436297056583697</v>
      </c>
      <c r="AJ2631">
        <v>93.574630542122804</v>
      </c>
      <c r="AK2631">
        <v>14.347721063814699</v>
      </c>
      <c r="AL2631">
        <v>88.892836309792401</v>
      </c>
      <c r="AM2631">
        <v>87.100518525594097</v>
      </c>
      <c r="AN2631">
        <v>1.0000000419969199</v>
      </c>
    </row>
    <row r="2632" spans="1:40" x14ac:dyDescent="0.25">
      <c r="A2632" t="str">
        <f>"20190312154604158"</f>
        <v>20190312154604158</v>
      </c>
      <c r="B2632" t="str">
        <f>"1552376764149504"</f>
        <v>1552376764149504</v>
      </c>
      <c r="C2632" t="s">
        <v>40</v>
      </c>
      <c r="D2632">
        <v>5.0413449999999997</v>
      </c>
      <c r="E2632">
        <v>0.45847389999999999</v>
      </c>
      <c r="F2632" t="s">
        <v>57</v>
      </c>
      <c r="G2632">
        <v>-427.51769999999999</v>
      </c>
      <c r="H2632" s="1">
        <v>2.561249E-6</v>
      </c>
      <c r="I2632">
        <v>215.4152</v>
      </c>
      <c r="J2632">
        <v>-442.08589999999998</v>
      </c>
      <c r="K2632">
        <v>1.109891</v>
      </c>
      <c r="L2632">
        <v>214.98519999999999</v>
      </c>
      <c r="M2632">
        <v>0.99948190000000003</v>
      </c>
      <c r="N2632">
        <v>0</v>
      </c>
      <c r="O2632">
        <v>-3.1501540000000001E-2</v>
      </c>
      <c r="P2632">
        <v>0.99653619999999998</v>
      </c>
      <c r="Q2632">
        <v>9.9291520000000001E-3</v>
      </c>
      <c r="R2632">
        <v>-8.2568379999999997E-2</v>
      </c>
      <c r="S2632">
        <v>3.0207519999999999</v>
      </c>
      <c r="T2632">
        <v>-0.22485440000000001</v>
      </c>
      <c r="U2632">
        <v>8.5098270000000004E-2</v>
      </c>
      <c r="V2632">
        <v>5.1085230000000002E-2</v>
      </c>
      <c r="W2632">
        <v>1.6690739999999999E-2</v>
      </c>
      <c r="X2632">
        <v>0.99855479999999996</v>
      </c>
      <c r="Y2632">
        <v>-5.9384520000000003E-2</v>
      </c>
      <c r="Z2632">
        <v>4.5478840000000003E-3</v>
      </c>
      <c r="AA2632">
        <v>0.99822480000000002</v>
      </c>
      <c r="AB2632">
        <v>34</v>
      </c>
      <c r="AC2632">
        <v>14.5681999999999</v>
      </c>
      <c r="AD2632">
        <v>-1.109888438751</v>
      </c>
      <c r="AE2632">
        <v>0.43000000000000599</v>
      </c>
      <c r="AF2632">
        <v>-0.88359317901247203</v>
      </c>
      <c r="AG2632">
        <v>-1.109888438751</v>
      </c>
      <c r="AH2632">
        <v>14.4635464677307</v>
      </c>
      <c r="AI2632">
        <v>94.379969832963596</v>
      </c>
      <c r="AJ2632">
        <v>93.495914355081496</v>
      </c>
      <c r="AK2632">
        <v>14.5329544717058</v>
      </c>
      <c r="AL2632">
        <v>89.043646619644903</v>
      </c>
      <c r="AM2632">
        <v>87.071348982268802</v>
      </c>
      <c r="AN2632">
        <v>0.99999998506446997</v>
      </c>
    </row>
    <row r="2633" spans="1:40" x14ac:dyDescent="0.25">
      <c r="A2633" t="str">
        <f>"20190312154604181"</f>
        <v>20190312154604181</v>
      </c>
      <c r="B2633" t="str">
        <f>"1552376764170001"</f>
        <v>1552376764170001</v>
      </c>
      <c r="C2633" t="s">
        <v>40</v>
      </c>
      <c r="D2633">
        <v>4.9349999999999996</v>
      </c>
      <c r="E2633">
        <v>0.45860800000000002</v>
      </c>
      <c r="F2633" t="s">
        <v>57</v>
      </c>
      <c r="G2633">
        <v>-427.35300000000001</v>
      </c>
      <c r="H2633" s="1">
        <v>2.5909079999999998E-6</v>
      </c>
      <c r="I2633">
        <v>215.4101</v>
      </c>
      <c r="J2633">
        <v>-441.72280000000001</v>
      </c>
      <c r="K2633">
        <v>1.1099749999999999</v>
      </c>
      <c r="L2633">
        <v>214.9753</v>
      </c>
      <c r="M2633">
        <v>0.99953230000000004</v>
      </c>
      <c r="N2633">
        <v>0</v>
      </c>
      <c r="O2633">
        <v>-2.9837039999999999E-2</v>
      </c>
      <c r="P2633">
        <v>0.99661920000000004</v>
      </c>
      <c r="Q2633">
        <v>7.8943910000000006E-3</v>
      </c>
      <c r="R2633">
        <v>-8.1778870000000004E-2</v>
      </c>
      <c r="S2633">
        <v>3.0199280000000002</v>
      </c>
      <c r="T2633">
        <v>-0.2275027</v>
      </c>
      <c r="U2633">
        <v>8.7097170000000002E-2</v>
      </c>
      <c r="V2633">
        <v>5.1959320000000003E-2</v>
      </c>
      <c r="W2633">
        <v>1.4756450000000001E-2</v>
      </c>
      <c r="X2633">
        <v>0.99854019999999999</v>
      </c>
      <c r="Y2633">
        <v>-5.8391470000000001E-2</v>
      </c>
      <c r="Z2633">
        <v>4.4399950000000004E-3</v>
      </c>
      <c r="AA2633">
        <v>0.9982839</v>
      </c>
      <c r="AB2633">
        <v>34</v>
      </c>
      <c r="AC2633">
        <v>14.3697999999999</v>
      </c>
      <c r="AD2633">
        <v>-1.109972409092</v>
      </c>
      <c r="AE2633">
        <v>0.43479999999999502</v>
      </c>
      <c r="AF2633">
        <v>-0.85825222173050797</v>
      </c>
      <c r="AG2633">
        <v>-1.109972409092</v>
      </c>
      <c r="AH2633">
        <v>14.2653912583452</v>
      </c>
      <c r="AI2633">
        <v>94.441151182745401</v>
      </c>
      <c r="AJ2633">
        <v>93.442949939745205</v>
      </c>
      <c r="AK2633">
        <v>14.3342255939664</v>
      </c>
      <c r="AL2633">
        <v>89.154487030193096</v>
      </c>
      <c r="AM2633">
        <v>87.021284528541898</v>
      </c>
      <c r="AN2633">
        <v>1.0000000273837499</v>
      </c>
    </row>
    <row r="2634" spans="1:40" x14ac:dyDescent="0.25">
      <c r="A2634" t="str">
        <f>"20190312154604203"</f>
        <v>20190312154604203</v>
      </c>
      <c r="B2634" t="str">
        <f>"1552376764199281"</f>
        <v>1552376764199281</v>
      </c>
      <c r="C2634" t="s">
        <v>40</v>
      </c>
      <c r="D2634">
        <v>4.5617590000000003</v>
      </c>
      <c r="E2634">
        <v>0.47541450000000002</v>
      </c>
      <c r="F2634" t="s">
        <v>57</v>
      </c>
      <c r="G2634">
        <v>-427.04250000000002</v>
      </c>
      <c r="H2634" s="1">
        <v>2.646286E-6</v>
      </c>
      <c r="I2634">
        <v>215.4066</v>
      </c>
      <c r="J2634">
        <v>-441.38889999999998</v>
      </c>
      <c r="K2634">
        <v>1.110042</v>
      </c>
      <c r="L2634">
        <v>214.96680000000001</v>
      </c>
      <c r="M2634">
        <v>0.99957850000000004</v>
      </c>
      <c r="N2634">
        <v>0</v>
      </c>
      <c r="O2634">
        <v>-2.8232549999999999E-2</v>
      </c>
      <c r="P2634">
        <v>0.9967994</v>
      </c>
      <c r="Q2634">
        <v>6.3047819999999897E-3</v>
      </c>
      <c r="R2634">
        <v>-7.9697740000000003E-2</v>
      </c>
      <c r="S2634">
        <v>3.0192869999999998</v>
      </c>
      <c r="T2634">
        <v>-0.22828809999999999</v>
      </c>
      <c r="U2634">
        <v>8.8699340000000002E-2</v>
      </c>
      <c r="V2634">
        <v>5.1479009999999999E-2</v>
      </c>
      <c r="W2634">
        <v>1.3251219999999999E-2</v>
      </c>
      <c r="X2634">
        <v>0.99858619999999998</v>
      </c>
      <c r="Y2634">
        <v>-5.733017E-2</v>
      </c>
      <c r="Z2634">
        <v>4.2950289999999997E-3</v>
      </c>
      <c r="AA2634">
        <v>0.99834599999999996</v>
      </c>
      <c r="AB2634">
        <v>35</v>
      </c>
      <c r="AC2634">
        <v>14.3463999999999</v>
      </c>
      <c r="AD2634">
        <v>-1.1100393537140001</v>
      </c>
      <c r="AE2634">
        <v>0.43979999999999098</v>
      </c>
      <c r="AF2634">
        <v>-0.83964736327630995</v>
      </c>
      <c r="AG2634">
        <v>-1.1100393537140001</v>
      </c>
      <c r="AH2634">
        <v>14.2430744280481</v>
      </c>
      <c r="AI2634">
        <v>94.448667795154293</v>
      </c>
      <c r="AJ2634">
        <v>93.373754515911102</v>
      </c>
      <c r="AK2634">
        <v>14.310917658360299</v>
      </c>
      <c r="AL2634">
        <v>89.240738830286404</v>
      </c>
      <c r="AM2634">
        <v>87.048906467075</v>
      </c>
      <c r="AN2634">
        <v>1.00000004106625</v>
      </c>
    </row>
    <row r="2635" spans="1:40" x14ac:dyDescent="0.25">
      <c r="A2635" t="str">
        <f>"20190312154604225"</f>
        <v>20190312154604225</v>
      </c>
      <c r="B2635" t="str">
        <f>"1552376764219776"</f>
        <v>1552376764219776</v>
      </c>
      <c r="C2635" t="s">
        <v>40</v>
      </c>
      <c r="D2635">
        <v>4.5680839999999998</v>
      </c>
      <c r="E2635">
        <v>0.47586200000000001</v>
      </c>
      <c r="F2635" t="s">
        <v>57</v>
      </c>
      <c r="G2635">
        <v>-415.83879999999999</v>
      </c>
      <c r="H2635" s="1">
        <v>3.2409050000000001E-6</v>
      </c>
      <c r="I2635">
        <v>214.62270000000001</v>
      </c>
      <c r="J2635">
        <v>-441.04910000000001</v>
      </c>
      <c r="K2635">
        <v>1.1101110000000001</v>
      </c>
      <c r="L2635">
        <v>214.95869999999999</v>
      </c>
      <c r="M2635">
        <v>0.99962410000000002</v>
      </c>
      <c r="N2635">
        <v>0</v>
      </c>
      <c r="O2635">
        <v>-2.6547979999999999E-2</v>
      </c>
      <c r="P2635">
        <v>0.99702239999999998</v>
      </c>
      <c r="Q2635">
        <v>4.3848569999999998E-3</v>
      </c>
      <c r="R2635">
        <v>-7.6989909999999995E-2</v>
      </c>
      <c r="S2635">
        <v>3.0072329999999998</v>
      </c>
      <c r="T2635">
        <v>-0.13065089999999999</v>
      </c>
      <c r="U2635">
        <v>-4.0496829999999998E-2</v>
      </c>
      <c r="V2635">
        <v>5.0453360000000003E-2</v>
      </c>
      <c r="W2635">
        <v>1.1406950000000001E-2</v>
      </c>
      <c r="X2635">
        <v>0.99866129999999997</v>
      </c>
      <c r="Y2635">
        <v>-1.304835E-2</v>
      </c>
      <c r="Z2635">
        <v>1.43597E-3</v>
      </c>
      <c r="AA2635">
        <v>0.99991379999999996</v>
      </c>
      <c r="AB2635">
        <v>35</v>
      </c>
      <c r="AC2635">
        <v>25.2103</v>
      </c>
      <c r="AD2635">
        <v>-1.1101077590949999</v>
      </c>
      <c r="AE2635">
        <v>-0.33599999999998398</v>
      </c>
      <c r="AF2635">
        <v>-0.33277153109994001</v>
      </c>
      <c r="AG2635">
        <v>-1.1101077590949999</v>
      </c>
      <c r="AH2635">
        <v>25.161555107516701</v>
      </c>
      <c r="AI2635">
        <v>92.525985275119794</v>
      </c>
      <c r="AJ2635">
        <v>90.757715199533493</v>
      </c>
      <c r="AK2635">
        <v>25.188230020335201</v>
      </c>
      <c r="AL2635">
        <v>89.346415750505599</v>
      </c>
      <c r="AM2635">
        <v>87.107819322152096</v>
      </c>
      <c r="AN2635">
        <v>1.0000000260806401</v>
      </c>
    </row>
    <row r="2636" spans="1:40" x14ac:dyDescent="0.25">
      <c r="A2636" t="str">
        <f>"20190312154604250"</f>
        <v>20190312154604250</v>
      </c>
      <c r="B2636" t="str">
        <f>"1552376764239297"</f>
        <v>1552376764239297</v>
      </c>
      <c r="C2636" t="s">
        <v>40</v>
      </c>
      <c r="D2636">
        <v>4.5339710000000002</v>
      </c>
      <c r="E2636">
        <v>0.47631180000000001</v>
      </c>
      <c r="F2636" t="s">
        <v>57</v>
      </c>
      <c r="G2636">
        <v>-416.9941</v>
      </c>
      <c r="H2636" s="1">
        <v>3.4415119999999999E-6</v>
      </c>
      <c r="I2636">
        <v>214.6722</v>
      </c>
      <c r="J2636">
        <v>-440.68400000000003</v>
      </c>
      <c r="K2636">
        <v>1.1101650000000001</v>
      </c>
      <c r="L2636">
        <v>214.95070000000001</v>
      </c>
      <c r="M2636">
        <v>0.99967099999999998</v>
      </c>
      <c r="N2636">
        <v>0</v>
      </c>
      <c r="O2636">
        <v>-2.470311E-2</v>
      </c>
      <c r="P2636">
        <v>0.99729630000000002</v>
      </c>
      <c r="Q2636">
        <v>3.217269E-3</v>
      </c>
      <c r="R2636">
        <v>-7.3417449999999995E-2</v>
      </c>
      <c r="S2636">
        <v>3.0067750000000002</v>
      </c>
      <c r="T2636">
        <v>-0.13875899999999999</v>
      </c>
      <c r="U2636">
        <v>-3.5812379999999998E-2</v>
      </c>
      <c r="V2636">
        <v>4.8720689999999997E-2</v>
      </c>
      <c r="W2636">
        <v>1.031077E-2</v>
      </c>
      <c r="X2636">
        <v>0.99875919999999896</v>
      </c>
      <c r="Y2636">
        <v>-1.275601E-2</v>
      </c>
      <c r="Z2636">
        <v>1.43344E-3</v>
      </c>
      <c r="AA2636">
        <v>0.99991759999999996</v>
      </c>
      <c r="AB2636">
        <v>35</v>
      </c>
      <c r="AC2636">
        <v>23.689900000000002</v>
      </c>
      <c r="AD2636">
        <v>-1.110161558488</v>
      </c>
      <c r="AE2636">
        <v>-0.27850000000000802</v>
      </c>
      <c r="AF2636">
        <v>-0.30614092811439098</v>
      </c>
      <c r="AG2636">
        <v>-1.110161558488</v>
      </c>
      <c r="AH2636">
        <v>23.637647503217199</v>
      </c>
      <c r="AI2636">
        <v>92.688742314908296</v>
      </c>
      <c r="AJ2636">
        <v>90.742019799826593</v>
      </c>
      <c r="AK2636">
        <v>23.665683181352801</v>
      </c>
      <c r="AL2636">
        <v>89.409225914783804</v>
      </c>
      <c r="AM2636">
        <v>87.207255911655295</v>
      </c>
      <c r="AN2636">
        <v>0.99999997859835399</v>
      </c>
    </row>
    <row r="2637" spans="1:40" x14ac:dyDescent="0.25">
      <c r="A2637" t="str">
        <f>"20190312154604272"</f>
        <v>20190312154604272</v>
      </c>
      <c r="B2637" t="str">
        <f>"1552376764269552"</f>
        <v>1552376764269552</v>
      </c>
      <c r="C2637" t="s">
        <v>40</v>
      </c>
      <c r="D2637">
        <v>4.4916999999999998</v>
      </c>
      <c r="E2637">
        <v>0.4762923</v>
      </c>
      <c r="F2637" t="s">
        <v>57</v>
      </c>
      <c r="G2637">
        <v>-415.57659999999998</v>
      </c>
      <c r="H2637" s="1">
        <v>3.1868429999999998E-6</v>
      </c>
      <c r="I2637">
        <v>214.709</v>
      </c>
      <c r="J2637">
        <v>-440.3143</v>
      </c>
      <c r="K2637">
        <v>1.1102000000000001</v>
      </c>
      <c r="L2637">
        <v>214.94329999999999</v>
      </c>
      <c r="M2637">
        <v>0.99971540000000003</v>
      </c>
      <c r="N2637">
        <v>0</v>
      </c>
      <c r="O2637">
        <v>-2.2812389999999998E-2</v>
      </c>
      <c r="P2637">
        <v>0.99751330000000005</v>
      </c>
      <c r="Q2637">
        <v>1.0435939999999999E-3</v>
      </c>
      <c r="R2637">
        <v>-7.0471119999999998E-2</v>
      </c>
      <c r="S2637">
        <v>3.0064700000000002</v>
      </c>
      <c r="T2637">
        <v>-0.13293579999999999</v>
      </c>
      <c r="U2637">
        <v>-2.893066E-2</v>
      </c>
      <c r="V2637">
        <v>4.7666149999999997E-2</v>
      </c>
      <c r="W2637">
        <v>8.2008559999999994E-3</v>
      </c>
      <c r="X2637">
        <v>0.99882969999999904</v>
      </c>
      <c r="Y2637">
        <v>-1.3156899999999999E-2</v>
      </c>
      <c r="Z2637">
        <v>1.298829E-3</v>
      </c>
      <c r="AA2637">
        <v>0.99991260000000004</v>
      </c>
      <c r="AB2637">
        <v>35</v>
      </c>
      <c r="AC2637">
        <v>24.7377</v>
      </c>
      <c r="AD2637">
        <v>-1.1101968131569999</v>
      </c>
      <c r="AE2637">
        <v>-0.23429999999998999</v>
      </c>
      <c r="AF2637">
        <v>-0.32943732159349998</v>
      </c>
      <c r="AG2637">
        <v>-1.1101968131569999</v>
      </c>
      <c r="AH2637">
        <v>24.6868896714914</v>
      </c>
      <c r="AI2637">
        <v>92.574690926406404</v>
      </c>
      <c r="AJ2637">
        <v>90.764545395404099</v>
      </c>
      <c r="AK2637">
        <v>24.714036245930998</v>
      </c>
      <c r="AL2637">
        <v>89.530120315907496</v>
      </c>
      <c r="AM2637">
        <v>87.267803697534504</v>
      </c>
      <c r="AN2637">
        <v>1.0000000427485201</v>
      </c>
    </row>
    <row r="2638" spans="1:40" x14ac:dyDescent="0.25">
      <c r="A2638" t="str">
        <f>"20190312154604306"</f>
        <v>20190312154604306</v>
      </c>
      <c r="B2638" t="str">
        <f>"1552376764299809"</f>
        <v>1552376764299809</v>
      </c>
      <c r="C2638" t="s">
        <v>40</v>
      </c>
      <c r="D2638">
        <v>4.5150269999999999</v>
      </c>
      <c r="E2638">
        <v>0.47665879999999999</v>
      </c>
      <c r="F2638" t="s">
        <v>57</v>
      </c>
      <c r="G2638">
        <v>-411.77760000000001</v>
      </c>
      <c r="H2638" s="1">
        <v>2.5093350000000002E-6</v>
      </c>
      <c r="I2638">
        <v>214.75049999999999</v>
      </c>
      <c r="J2638">
        <v>-439.79570000000001</v>
      </c>
      <c r="K2638">
        <v>1.110244</v>
      </c>
      <c r="L2638">
        <v>214.934</v>
      </c>
      <c r="M2638">
        <v>0.99977229999999995</v>
      </c>
      <c r="N2638">
        <v>0</v>
      </c>
      <c r="O2638">
        <v>-2.0139799999999999E-2</v>
      </c>
      <c r="P2638">
        <v>0.99772430000000001</v>
      </c>
      <c r="Q2638">
        <v>-1.6772060000000001E-3</v>
      </c>
      <c r="R2638">
        <v>-6.7406090000000002E-2</v>
      </c>
      <c r="S2638">
        <v>3.0061650000000002</v>
      </c>
      <c r="T2638">
        <v>-0.1169523</v>
      </c>
      <c r="U2638">
        <v>-2.030945E-2</v>
      </c>
      <c r="V2638">
        <v>4.7276770000000003E-2</v>
      </c>
      <c r="W2638">
        <v>5.5611489999999996E-3</v>
      </c>
      <c r="X2638">
        <v>0.99886629999999998</v>
      </c>
      <c r="Y2638">
        <v>-1.33601E-2</v>
      </c>
      <c r="Z2638">
        <v>1.042964E-3</v>
      </c>
      <c r="AA2638">
        <v>0.99991019999999997</v>
      </c>
      <c r="AB2638">
        <v>35</v>
      </c>
      <c r="AC2638">
        <v>28.0181</v>
      </c>
      <c r="AD2638">
        <v>-1.110241490665</v>
      </c>
      <c r="AE2638">
        <v>-0.18350000000003699</v>
      </c>
      <c r="AF2638">
        <v>-0.38023316400787099</v>
      </c>
      <c r="AG2638">
        <v>-1.110241490665</v>
      </c>
      <c r="AH2638">
        <v>27.972192341240799</v>
      </c>
      <c r="AI2638">
        <v>92.272718251150195</v>
      </c>
      <c r="AJ2638">
        <v>90.7787882186324</v>
      </c>
      <c r="AK2638">
        <v>27.996799063499701</v>
      </c>
      <c r="AL2638">
        <v>89.681367975493302</v>
      </c>
      <c r="AM2638">
        <v>87.290188475657004</v>
      </c>
      <c r="AN2638">
        <v>0.99999995231775995</v>
      </c>
    </row>
    <row r="2639" spans="1:40" x14ac:dyDescent="0.25">
      <c r="A2639" t="str">
        <f>"20190312154604327"</f>
        <v>20190312154604327</v>
      </c>
      <c r="B2639" t="str">
        <f>"1552376764319329"</f>
        <v>1552376764319329</v>
      </c>
      <c r="C2639" t="s">
        <v>40</v>
      </c>
      <c r="D2639">
        <v>4.4927330000000003</v>
      </c>
      <c r="E2639">
        <v>0.47675410000000001</v>
      </c>
      <c r="F2639" t="s">
        <v>57</v>
      </c>
      <c r="G2639">
        <v>-411.38369999999998</v>
      </c>
      <c r="H2639" s="1">
        <v>2.4349889999999999E-6</v>
      </c>
      <c r="I2639">
        <v>214.80179999999999</v>
      </c>
      <c r="J2639">
        <v>-439.46800000000002</v>
      </c>
      <c r="K2639">
        <v>1.110271</v>
      </c>
      <c r="L2639">
        <v>214.9289</v>
      </c>
      <c r="M2639">
        <v>0.99980469999999999</v>
      </c>
      <c r="N2639">
        <v>0</v>
      </c>
      <c r="O2639">
        <v>-1.8446669999999998E-2</v>
      </c>
      <c r="P2639">
        <v>0.99779669999999998</v>
      </c>
      <c r="Q2639">
        <v>-2.534456E-3</v>
      </c>
      <c r="R2639">
        <v>-6.6298289999999996E-2</v>
      </c>
      <c r="S2639">
        <v>3.0057070000000001</v>
      </c>
      <c r="T2639">
        <v>-0.1174526</v>
      </c>
      <c r="U2639">
        <v>-1.3992310000000001E-2</v>
      </c>
      <c r="V2639">
        <v>4.7862250000000002E-2</v>
      </c>
      <c r="W2639">
        <v>4.7514899999999997E-3</v>
      </c>
      <c r="X2639">
        <v>0.99884269999999997</v>
      </c>
      <c r="Y2639">
        <v>-1.3767949999999999E-2</v>
      </c>
      <c r="Z2639">
        <v>9.8943069999999993E-4</v>
      </c>
      <c r="AA2639">
        <v>0.99990480000000004</v>
      </c>
      <c r="AB2639">
        <v>35</v>
      </c>
      <c r="AC2639">
        <v>28.084299999999999</v>
      </c>
      <c r="AD2639">
        <v>-1.110268565011</v>
      </c>
      <c r="AE2639">
        <v>-0.12710000000001201</v>
      </c>
      <c r="AF2639">
        <v>-0.390386348039586</v>
      </c>
      <c r="AG2639">
        <v>-1.110268565011</v>
      </c>
      <c r="AH2639">
        <v>28.038046194416001</v>
      </c>
      <c r="AI2639">
        <v>92.267430769814993</v>
      </c>
      <c r="AJ2639">
        <v>90.797703403780503</v>
      </c>
      <c r="AK2639">
        <v>28.0627356504563</v>
      </c>
      <c r="AL2639">
        <v>89.727758667317701</v>
      </c>
      <c r="AM2639">
        <v>87.256616146746794</v>
      </c>
      <c r="AN2639">
        <v>1.0000000554877799</v>
      </c>
    </row>
    <row r="2640" spans="1:40" x14ac:dyDescent="0.25">
      <c r="A2640" t="str">
        <f>"20190312154604350"</f>
        <v>20190312154604350</v>
      </c>
      <c r="B2640" t="str">
        <f>"1552376764339825"</f>
        <v>1552376764339825</v>
      </c>
      <c r="C2640" t="s">
        <v>40</v>
      </c>
      <c r="D2640">
        <v>4.4857809999999896</v>
      </c>
      <c r="E2640">
        <v>0.47702850000000002</v>
      </c>
      <c r="F2640" t="s">
        <v>57</v>
      </c>
      <c r="G2640">
        <v>-411.4092</v>
      </c>
      <c r="H2640" s="1">
        <v>2.43761E-6</v>
      </c>
      <c r="I2640">
        <v>214.8235</v>
      </c>
      <c r="J2640">
        <v>-439.09690000000001</v>
      </c>
      <c r="K2640">
        <v>1.110298</v>
      </c>
      <c r="L2640">
        <v>214.9238</v>
      </c>
      <c r="M2640">
        <v>0.99983789999999995</v>
      </c>
      <c r="N2640">
        <v>0</v>
      </c>
      <c r="O2640">
        <v>-1.653253E-2</v>
      </c>
      <c r="P2640">
        <v>0.99789899999999998</v>
      </c>
      <c r="Q2640">
        <v>-2.0617439999999999E-3</v>
      </c>
      <c r="R2640">
        <v>-6.4758410000000002E-2</v>
      </c>
      <c r="S2640">
        <v>3.005585</v>
      </c>
      <c r="T2640">
        <v>-0.1189289</v>
      </c>
      <c r="U2640">
        <v>-1.1291499999999999E-2</v>
      </c>
      <c r="V2640">
        <v>4.8230790000000003E-2</v>
      </c>
      <c r="W2640">
        <v>5.2726659999999996E-3</v>
      </c>
      <c r="X2640">
        <v>0.99882230000000005</v>
      </c>
      <c r="Y2640">
        <v>-1.275362E-2</v>
      </c>
      <c r="Z2640">
        <v>9.0613830000000001E-4</v>
      </c>
      <c r="AA2640">
        <v>0.99991830000000004</v>
      </c>
      <c r="AB2640">
        <v>35</v>
      </c>
      <c r="AC2640">
        <v>27.6877</v>
      </c>
      <c r="AD2640">
        <v>-1.1102955623899999</v>
      </c>
      <c r="AE2640">
        <v>-0.100300000000004</v>
      </c>
      <c r="AF2640">
        <v>-0.35689916890331802</v>
      </c>
      <c r="AG2640">
        <v>-1.1102955623899999</v>
      </c>
      <c r="AH2640">
        <v>27.641125811782</v>
      </c>
      <c r="AI2640">
        <v>92.300042894089799</v>
      </c>
      <c r="AJ2640">
        <v>90.739755679817804</v>
      </c>
      <c r="AK2640">
        <v>27.665718306152701</v>
      </c>
      <c r="AL2640">
        <v>89.697897091172806</v>
      </c>
      <c r="AM2640">
        <v>87.235468322417802</v>
      </c>
      <c r="AN2640">
        <v>0.99999999854403099</v>
      </c>
    </row>
    <row r="2641" spans="1:40" x14ac:dyDescent="0.25">
      <c r="A2641" t="str">
        <f>"20190312154604372"</f>
        <v>20190312154604372</v>
      </c>
      <c r="B2641" t="str">
        <f>"1552376764359345"</f>
        <v>1552376764359345</v>
      </c>
      <c r="C2641" t="s">
        <v>40</v>
      </c>
      <c r="D2641">
        <v>4.5136430000000001</v>
      </c>
      <c r="E2641">
        <v>0.47732970000000002</v>
      </c>
      <c r="F2641" t="s">
        <v>57</v>
      </c>
      <c r="G2641">
        <v>-410.89920000000001</v>
      </c>
      <c r="H2641" s="1">
        <v>2.34543E-6</v>
      </c>
      <c r="I2641">
        <v>214.84309999999999</v>
      </c>
      <c r="J2641">
        <v>-438.7629</v>
      </c>
      <c r="K2641">
        <v>1.110312</v>
      </c>
      <c r="L2641">
        <v>214.91980000000001</v>
      </c>
      <c r="M2641">
        <v>0.99986430000000004</v>
      </c>
      <c r="N2641">
        <v>0</v>
      </c>
      <c r="O2641">
        <v>-1.4819519999999999E-2</v>
      </c>
      <c r="P2641">
        <v>0.99798609999999999</v>
      </c>
      <c r="Q2641">
        <v>-2.1200300000000002E-3</v>
      </c>
      <c r="R2641">
        <v>-6.3400540000000005E-2</v>
      </c>
      <c r="S2641">
        <v>3.005493</v>
      </c>
      <c r="T2641">
        <v>-0.1183424</v>
      </c>
      <c r="U2641">
        <v>-8.6059569999999991E-3</v>
      </c>
      <c r="V2641">
        <v>4.8582720000000003E-2</v>
      </c>
      <c r="W2641">
        <v>5.2535940000000003E-3</v>
      </c>
      <c r="X2641">
        <v>0.99880530000000001</v>
      </c>
      <c r="Y2641">
        <v>-1.193602E-2</v>
      </c>
      <c r="Z2641">
        <v>8.1819379999999999E-4</v>
      </c>
      <c r="AA2641">
        <v>0.99992840000000005</v>
      </c>
      <c r="AB2641">
        <v>35</v>
      </c>
      <c r="AC2641">
        <v>27.863699999999898</v>
      </c>
      <c r="AD2641">
        <v>-1.11030965457</v>
      </c>
      <c r="AE2641">
        <v>-7.6700000000016602E-2</v>
      </c>
      <c r="AF2641">
        <v>-0.33571271149301102</v>
      </c>
      <c r="AG2641">
        <v>-1.11030965457</v>
      </c>
      <c r="AH2641">
        <v>27.8176066998201</v>
      </c>
      <c r="AI2641">
        <v>92.285519476959905</v>
      </c>
      <c r="AJ2641">
        <v>90.691432155260799</v>
      </c>
      <c r="AK2641">
        <v>27.841780350034501</v>
      </c>
      <c r="AL2641">
        <v>89.698989838044298</v>
      </c>
      <c r="AM2641">
        <v>87.215280427255905</v>
      </c>
      <c r="AN2641">
        <v>0.99999995412030096</v>
      </c>
    </row>
    <row r="2642" spans="1:40" x14ac:dyDescent="0.25">
      <c r="A2642" t="str">
        <f>"20190312154604395"</f>
        <v>20190312154604395</v>
      </c>
      <c r="B2642" t="str">
        <f>"1552376764389236"</f>
        <v>1552376764389236</v>
      </c>
      <c r="C2642" t="s">
        <v>40</v>
      </c>
      <c r="D2642">
        <v>4.4877050000000001</v>
      </c>
      <c r="E2642">
        <v>0.47769539999999999</v>
      </c>
      <c r="F2642" t="s">
        <v>57</v>
      </c>
      <c r="G2642">
        <v>-410.67380000000003</v>
      </c>
      <c r="H2642" s="1">
        <v>2.30448E-6</v>
      </c>
      <c r="I2642">
        <v>214.85409999999999</v>
      </c>
      <c r="J2642">
        <v>-438.39830000000001</v>
      </c>
      <c r="K2642">
        <v>1.110309</v>
      </c>
      <c r="L2642">
        <v>214.9161</v>
      </c>
      <c r="M2642">
        <v>0.9998899</v>
      </c>
      <c r="N2642">
        <v>0</v>
      </c>
      <c r="O2642">
        <v>-1.296931E-2</v>
      </c>
      <c r="P2642">
        <v>0.99807000000000001</v>
      </c>
      <c r="Q2642">
        <v>-2.5993679999999999E-3</v>
      </c>
      <c r="R2642">
        <v>-6.2044769999999999E-2</v>
      </c>
      <c r="S2642">
        <v>3.0053709999999998</v>
      </c>
      <c r="T2642">
        <v>-0.1187966</v>
      </c>
      <c r="U2642">
        <v>-7.0343019999999897E-3</v>
      </c>
      <c r="V2642">
        <v>4.907595E-2</v>
      </c>
      <c r="W2642">
        <v>4.8134780000000004E-3</v>
      </c>
      <c r="X2642">
        <v>0.99878350000000005</v>
      </c>
      <c r="Y2642">
        <v>-1.061083E-2</v>
      </c>
      <c r="Z2642">
        <v>7.2208289999999996E-4</v>
      </c>
      <c r="AA2642">
        <v>0.99994340000000004</v>
      </c>
      <c r="AB2642">
        <v>35</v>
      </c>
      <c r="AC2642">
        <v>27.7244999999999</v>
      </c>
      <c r="AD2642">
        <v>-1.1103066955200001</v>
      </c>
      <c r="AE2642">
        <v>-6.2000000000011803E-2</v>
      </c>
      <c r="AF2642">
        <v>-0.297105691490964</v>
      </c>
      <c r="AG2642">
        <v>-1.1103066955200001</v>
      </c>
      <c r="AH2642">
        <v>27.678580696427598</v>
      </c>
      <c r="AI2642">
        <v>92.297015870200099</v>
      </c>
      <c r="AJ2642">
        <v>90.614997156863495</v>
      </c>
      <c r="AK2642">
        <v>27.702434588293698</v>
      </c>
      <c r="AL2642">
        <v>89.724206974369693</v>
      </c>
      <c r="AM2642">
        <v>87.186992790860899</v>
      </c>
      <c r="AN2642">
        <v>1.0000000491555501</v>
      </c>
    </row>
    <row r="2643" spans="1:40" x14ac:dyDescent="0.25">
      <c r="A2643" t="str">
        <f>"20190312154604415"</f>
        <v>20190312154604415</v>
      </c>
      <c r="B2643" t="str">
        <f>"1552376764409731"</f>
        <v>1552376764409731</v>
      </c>
      <c r="C2643" t="s">
        <v>40</v>
      </c>
      <c r="D2643">
        <v>4.4822749999999996</v>
      </c>
      <c r="E2643">
        <v>0.47784300000000002</v>
      </c>
      <c r="F2643" t="s">
        <v>57</v>
      </c>
      <c r="G2643">
        <v>-410.84629999999999</v>
      </c>
      <c r="H2643" s="1">
        <v>2.3343630000000001E-6</v>
      </c>
      <c r="I2643">
        <v>214.8622</v>
      </c>
      <c r="J2643">
        <v>-438.06479999999999</v>
      </c>
      <c r="K2643">
        <v>1.110304</v>
      </c>
      <c r="L2643">
        <v>214.91319999999999</v>
      </c>
      <c r="M2643">
        <v>0.99990979999999996</v>
      </c>
      <c r="N2643">
        <v>0</v>
      </c>
      <c r="O2643">
        <v>-1.129926E-2</v>
      </c>
      <c r="P2643">
        <v>0.99813350000000001</v>
      </c>
      <c r="Q2643">
        <v>-4.3767390000000002E-3</v>
      </c>
      <c r="R2643">
        <v>-6.0911880000000002E-2</v>
      </c>
      <c r="S2643">
        <v>3.0051269999999999</v>
      </c>
      <c r="T2643">
        <v>-0.121102</v>
      </c>
      <c r="U2643">
        <v>-5.8746340000000001E-3</v>
      </c>
      <c r="V2643">
        <v>4.9617580000000001E-2</v>
      </c>
      <c r="W2643">
        <v>3.068744E-3</v>
      </c>
      <c r="X2643">
        <v>0.99876359999999997</v>
      </c>
      <c r="Y2643">
        <v>-9.3280510000000004E-3</v>
      </c>
      <c r="Z2643">
        <v>6.4303760000000005E-4</v>
      </c>
      <c r="AA2643">
        <v>0.99995630000000002</v>
      </c>
      <c r="AB2643">
        <v>35</v>
      </c>
      <c r="AC2643">
        <v>27.218499999999999</v>
      </c>
      <c r="AD2643">
        <v>-1.1103016656369999</v>
      </c>
      <c r="AE2643">
        <v>-5.0999999999987701E-2</v>
      </c>
      <c r="AF2643">
        <v>-0.25613406547817003</v>
      </c>
      <c r="AG2643">
        <v>-1.1103016656369999</v>
      </c>
      <c r="AH2643">
        <v>27.172124307036899</v>
      </c>
      <c r="AI2643">
        <v>92.339802611405702</v>
      </c>
      <c r="AJ2643">
        <v>90.540074310430199</v>
      </c>
      <c r="AK2643">
        <v>27.196005475166299</v>
      </c>
      <c r="AL2643">
        <v>89.824173648834304</v>
      </c>
      <c r="AM2643">
        <v>87.155940968718099</v>
      </c>
      <c r="AN2643">
        <v>1.00000002505987</v>
      </c>
    </row>
    <row r="2644" spans="1:40" x14ac:dyDescent="0.25">
      <c r="A2644" t="str">
        <f>"20190312154604439"</f>
        <v>20190312154604439</v>
      </c>
      <c r="B2644" t="str">
        <f>"1552376764429252"</f>
        <v>1552376764429252</v>
      </c>
      <c r="C2644" t="s">
        <v>40</v>
      </c>
      <c r="D2644">
        <v>4.535488</v>
      </c>
      <c r="E2644">
        <v>0.47799770000000003</v>
      </c>
      <c r="F2644" t="s">
        <v>57</v>
      </c>
      <c r="G2644">
        <v>-411.66109999999998</v>
      </c>
      <c r="H2644" s="1">
        <v>2.4772530000000002E-6</v>
      </c>
      <c r="I2644">
        <v>214.88120000000001</v>
      </c>
      <c r="J2644">
        <v>-437.69479999999999</v>
      </c>
      <c r="K2644">
        <v>1.110284</v>
      </c>
      <c r="L2644">
        <v>214.91069999999999</v>
      </c>
      <c r="M2644">
        <v>0.9999287</v>
      </c>
      <c r="N2644">
        <v>0</v>
      </c>
      <c r="O2644">
        <v>-9.4809430000000004E-3</v>
      </c>
      <c r="P2644">
        <v>0.99824760000000001</v>
      </c>
      <c r="Q2644">
        <v>-6.0549019999999896E-3</v>
      </c>
      <c r="R2644">
        <v>-5.8869619999999998E-2</v>
      </c>
      <c r="S2644">
        <v>3.004791</v>
      </c>
      <c r="T2644">
        <v>-0.12635479999999999</v>
      </c>
      <c r="U2644">
        <v>-3.646851E-3</v>
      </c>
      <c r="V2644">
        <v>4.9397009999999998E-2</v>
      </c>
      <c r="W2644">
        <v>1.4165079999999999E-3</v>
      </c>
      <c r="X2644">
        <v>0.99877819999999995</v>
      </c>
      <c r="Y2644">
        <v>-8.2518909999999904E-3</v>
      </c>
      <c r="Z2644">
        <v>5.719373E-4</v>
      </c>
      <c r="AA2644">
        <v>0.99996580000000002</v>
      </c>
      <c r="AB2644">
        <v>35</v>
      </c>
      <c r="AC2644">
        <v>26.0337</v>
      </c>
      <c r="AD2644">
        <v>-1.110281522747</v>
      </c>
      <c r="AE2644">
        <v>-2.94999999999845E-2</v>
      </c>
      <c r="AF2644">
        <v>-0.21693728297696799</v>
      </c>
      <c r="AG2644">
        <v>-1.110281522747</v>
      </c>
      <c r="AH2644">
        <v>25.985546061990199</v>
      </c>
      <c r="AI2644">
        <v>92.446497126557006</v>
      </c>
      <c r="AJ2644">
        <v>90.478315982041906</v>
      </c>
      <c r="AK2644">
        <v>26.010159380217502</v>
      </c>
      <c r="AL2644">
        <v>89.918840041346797</v>
      </c>
      <c r="AM2644">
        <v>87.168604651880997</v>
      </c>
      <c r="AN2644">
        <v>0.999999981943546</v>
      </c>
    </row>
    <row r="2645" spans="1:40" x14ac:dyDescent="0.25">
      <c r="A2645" t="str">
        <f>"20190312154604463"</f>
        <v>20190312154604463</v>
      </c>
      <c r="B2645" t="str">
        <f>"1552376764459508"</f>
        <v>1552376764459508</v>
      </c>
      <c r="C2645" t="s">
        <v>40</v>
      </c>
      <c r="D2645">
        <v>4.5323000000000002</v>
      </c>
      <c r="E2645">
        <v>0.4782574</v>
      </c>
      <c r="F2645" t="s">
        <v>57</v>
      </c>
      <c r="G2645">
        <v>-412.27699999999999</v>
      </c>
      <c r="H2645" s="1">
        <v>2.583026E-6</v>
      </c>
      <c r="I2645">
        <v>214.92089999999999</v>
      </c>
      <c r="J2645">
        <v>-437.30029999999999</v>
      </c>
      <c r="K2645">
        <v>1.110263</v>
      </c>
      <c r="L2645">
        <v>214.90860000000001</v>
      </c>
      <c r="M2645">
        <v>0.99994450000000001</v>
      </c>
      <c r="N2645">
        <v>0</v>
      </c>
      <c r="O2645">
        <v>-7.5910179999999997E-3</v>
      </c>
      <c r="P2645">
        <v>0.99834129999999999</v>
      </c>
      <c r="Q2645">
        <v>-7.501069E-3</v>
      </c>
      <c r="R2645">
        <v>-5.7082809999999998E-2</v>
      </c>
      <c r="S2645">
        <v>3.0045470000000001</v>
      </c>
      <c r="T2645">
        <v>-0.13124229999999901</v>
      </c>
      <c r="U2645">
        <v>1.205444E-3</v>
      </c>
      <c r="V2645">
        <v>4.9503110000000003E-2</v>
      </c>
      <c r="W2645" s="1">
        <v>-1.3294109999999999E-5</v>
      </c>
      <c r="X2645">
        <v>0.99877400000000005</v>
      </c>
      <c r="Y2645">
        <v>-7.9775699999999998E-3</v>
      </c>
      <c r="Z2645">
        <v>5.0558549999999997E-4</v>
      </c>
      <c r="AA2645">
        <v>0.99996810000000003</v>
      </c>
      <c r="AB2645">
        <v>36</v>
      </c>
      <c r="AC2645">
        <v>25.023299999999999</v>
      </c>
      <c r="AD2645">
        <v>-1.110260416974</v>
      </c>
      <c r="AE2645">
        <v>1.22999999999819E-2</v>
      </c>
      <c r="AF2645">
        <v>-0.201859652089144</v>
      </c>
      <c r="AG2645">
        <v>-1.110260416974</v>
      </c>
      <c r="AH2645">
        <v>24.973322794786899</v>
      </c>
      <c r="AI2645">
        <v>92.545488310757193</v>
      </c>
      <c r="AJ2645">
        <v>90.463112351588606</v>
      </c>
      <c r="AK2645">
        <v>24.998805509969198</v>
      </c>
      <c r="AL2645">
        <v>90.000761696372095</v>
      </c>
      <c r="AM2645">
        <v>87.162521104049404</v>
      </c>
      <c r="AN2645">
        <v>1.0000000305762</v>
      </c>
    </row>
    <row r="2646" spans="1:40" x14ac:dyDescent="0.25">
      <c r="A2646" t="str">
        <f>"20190312154604509"</f>
        <v>20190312154604509</v>
      </c>
      <c r="B2646" t="str">
        <f>"1552376764500030"</f>
        <v>1552376764500030</v>
      </c>
      <c r="C2646" t="s">
        <v>40</v>
      </c>
      <c r="D2646">
        <v>4.5634050000000004</v>
      </c>
      <c r="E2646">
        <v>0.47883330000000002</v>
      </c>
      <c r="F2646" t="s">
        <v>57</v>
      </c>
      <c r="G2646">
        <v>-412.51690000000002</v>
      </c>
      <c r="H2646" s="1">
        <v>2.623564E-6</v>
      </c>
      <c r="I2646">
        <v>214.94399999999999</v>
      </c>
      <c r="J2646">
        <v>-436.58260000000001</v>
      </c>
      <c r="K2646">
        <v>1.1101829999999999</v>
      </c>
      <c r="L2646">
        <v>214.9067</v>
      </c>
      <c r="M2646">
        <v>0.99996379999999996</v>
      </c>
      <c r="N2646">
        <v>0</v>
      </c>
      <c r="O2646">
        <v>-4.343988E-3</v>
      </c>
      <c r="P2646">
        <v>0.9985579</v>
      </c>
      <c r="Q2646">
        <v>-9.6619480000000001E-3</v>
      </c>
      <c r="R2646">
        <v>-5.2809979999999999E-2</v>
      </c>
      <c r="S2646">
        <v>3.0042110000000002</v>
      </c>
      <c r="T2646">
        <v>-0.1345847</v>
      </c>
      <c r="U2646">
        <v>4.2877200000000001E-3</v>
      </c>
      <c r="V2646">
        <v>4.8480059999999998E-2</v>
      </c>
      <c r="W2646">
        <v>-2.1718620000000001E-3</v>
      </c>
      <c r="X2646">
        <v>0.99882179999999998</v>
      </c>
      <c r="Y2646">
        <v>-5.7611880000000004E-3</v>
      </c>
      <c r="Z2646">
        <v>3.234941E-4</v>
      </c>
      <c r="AA2646">
        <v>0.99998339999999997</v>
      </c>
      <c r="AB2646">
        <v>36</v>
      </c>
      <c r="AC2646">
        <v>24.0657</v>
      </c>
      <c r="AD2646">
        <v>-1.1101803764360001</v>
      </c>
      <c r="AE2646">
        <v>3.7300000000016098E-2</v>
      </c>
      <c r="AF2646">
        <v>-0.14154234393999901</v>
      </c>
      <c r="AG2646">
        <v>-1.1101803764360001</v>
      </c>
      <c r="AH2646">
        <v>24.014206606500501</v>
      </c>
      <c r="AI2646">
        <v>92.646861969948702</v>
      </c>
      <c r="AJ2646">
        <v>90.337703641529998</v>
      </c>
      <c r="AK2646">
        <v>24.0402714968663</v>
      </c>
      <c r="AL2646">
        <v>90.124438622785306</v>
      </c>
      <c r="AM2646">
        <v>87.221201409817297</v>
      </c>
      <c r="AN2646">
        <v>1.0000000106786899</v>
      </c>
    </row>
    <row r="2647" spans="1:40" x14ac:dyDescent="0.25">
      <c r="A2647" t="str">
        <f>"20190312154604550"</f>
        <v>20190312154604550</v>
      </c>
      <c r="B2647" t="str">
        <f>"1552376764540048"</f>
        <v>1552376764540048</v>
      </c>
      <c r="C2647" t="s">
        <v>40</v>
      </c>
      <c r="D2647">
        <v>4.6024770000000004</v>
      </c>
      <c r="E2647">
        <v>0.47923650000000001</v>
      </c>
      <c r="F2647" t="s">
        <v>57</v>
      </c>
      <c r="G2647">
        <v>-412.71690000000001</v>
      </c>
      <c r="H2647" s="1">
        <v>2.653358E-6</v>
      </c>
      <c r="I2647">
        <v>215.00890000000001</v>
      </c>
      <c r="J2647">
        <v>-435.9151</v>
      </c>
      <c r="K2647">
        <v>1.1101110000000001</v>
      </c>
      <c r="L2647">
        <v>214.9068</v>
      </c>
      <c r="M2647">
        <v>0.99997199999999997</v>
      </c>
      <c r="N2647">
        <v>0</v>
      </c>
      <c r="O2647">
        <v>-1.52062799999999E-3</v>
      </c>
      <c r="P2647">
        <v>0.99878020000000001</v>
      </c>
      <c r="Q2647">
        <v>-1.1067840000000001E-2</v>
      </c>
      <c r="R2647">
        <v>-4.8120719999999999E-2</v>
      </c>
      <c r="S2647">
        <v>3.0036320000000001</v>
      </c>
      <c r="T2647">
        <v>-0.13972200000000001</v>
      </c>
      <c r="U2647">
        <v>1.286316E-2</v>
      </c>
      <c r="V2647">
        <v>4.6615080000000003E-2</v>
      </c>
      <c r="W2647">
        <v>-3.5830509999999999E-3</v>
      </c>
      <c r="X2647">
        <v>0.99890650000000003</v>
      </c>
      <c r="Y2647">
        <v>-5.7952359999999996E-3</v>
      </c>
      <c r="Z2647">
        <v>2.0541649999999999E-4</v>
      </c>
      <c r="AA2647">
        <v>0.99998319999999996</v>
      </c>
      <c r="AB2647">
        <v>36</v>
      </c>
      <c r="AC2647">
        <v>23.1981999999999</v>
      </c>
      <c r="AD2647">
        <v>-1.1101083466419901</v>
      </c>
      <c r="AE2647">
        <v>0.102100000000007</v>
      </c>
      <c r="AF2647">
        <v>-0.13706280327183601</v>
      </c>
      <c r="AG2647">
        <v>-1.1101083466419901</v>
      </c>
      <c r="AH2647">
        <v>23.145018477795698</v>
      </c>
      <c r="AI2647">
        <v>92.745934479099802</v>
      </c>
      <c r="AJ2647">
        <v>90.339296698538007</v>
      </c>
      <c r="AK2647">
        <v>23.172030707101001</v>
      </c>
      <c r="AL2647">
        <v>90.205294139384307</v>
      </c>
      <c r="AM2647">
        <v>87.328167266909404</v>
      </c>
      <c r="AN2647">
        <v>0.99999999984006205</v>
      </c>
    </row>
    <row r="2648" spans="1:40" x14ac:dyDescent="0.25">
      <c r="A2648" t="str">
        <f>"20190312154604571"</f>
        <v>20190312154604571</v>
      </c>
      <c r="B2648" t="str">
        <f>"1552376764559569"</f>
        <v>1552376764559569</v>
      </c>
      <c r="C2648" t="s">
        <v>40</v>
      </c>
      <c r="D2648">
        <v>4.6023100000000001</v>
      </c>
      <c r="E2648">
        <v>0.48490359999999999</v>
      </c>
      <c r="F2648" t="s">
        <v>57</v>
      </c>
      <c r="G2648">
        <v>-412.50330000000002</v>
      </c>
      <c r="H2648" s="1">
        <v>2.608151E-6</v>
      </c>
      <c r="I2648">
        <v>215.0926</v>
      </c>
      <c r="J2648">
        <v>-435.56330000000003</v>
      </c>
      <c r="K2648">
        <v>1.110077</v>
      </c>
      <c r="L2648">
        <v>214.9075</v>
      </c>
      <c r="M2648">
        <v>0.99997320000000001</v>
      </c>
      <c r="N2648">
        <v>0</v>
      </c>
      <c r="O2648">
        <v>-1.177339E-4</v>
      </c>
      <c r="P2648">
        <v>0.99889660000000002</v>
      </c>
      <c r="Q2648">
        <v>-1.1054349999999999E-2</v>
      </c>
      <c r="R2648">
        <v>-4.5643679999999999E-2</v>
      </c>
      <c r="S2648">
        <v>3.0032350000000001</v>
      </c>
      <c r="T2648">
        <v>-0.1424031</v>
      </c>
      <c r="U2648">
        <v>2.3834230000000001E-2</v>
      </c>
      <c r="V2648">
        <v>4.5538839999999997E-2</v>
      </c>
      <c r="W2648">
        <v>-3.5726769999999998E-3</v>
      </c>
      <c r="X2648">
        <v>0.99895619999999996</v>
      </c>
      <c r="Y2648">
        <v>-8.0444999999999996E-3</v>
      </c>
      <c r="Z2648">
        <v>1.961907E-4</v>
      </c>
      <c r="AA2648">
        <v>0.99996759999999996</v>
      </c>
      <c r="AB2648">
        <v>36</v>
      </c>
      <c r="AC2648">
        <v>23.06</v>
      </c>
      <c r="AD2648">
        <v>-1.1100743918489999</v>
      </c>
      <c r="AE2648">
        <v>0.18510000000000501</v>
      </c>
      <c r="AF2648">
        <v>-0.187380822290589</v>
      </c>
      <c r="AG2648">
        <v>-1.1100743918489999</v>
      </c>
      <c r="AH2648">
        <v>23.006667725571798</v>
      </c>
      <c r="AI2648">
        <v>92.762294196125893</v>
      </c>
      <c r="AJ2648">
        <v>90.466642671709593</v>
      </c>
      <c r="AK2648">
        <v>23.0341949406283</v>
      </c>
      <c r="AL2648">
        <v>90.204699745088703</v>
      </c>
      <c r="AM2648">
        <v>87.389897389120193</v>
      </c>
      <c r="AN2648">
        <v>1.00000001974396</v>
      </c>
    </row>
    <row r="2649" spans="1:40" x14ac:dyDescent="0.25">
      <c r="A2649" t="str">
        <f>"20190312154604594"</f>
        <v>20190312154604594</v>
      </c>
      <c r="B2649" t="str">
        <f>"1552376764589823"</f>
        <v>1552376764589823</v>
      </c>
      <c r="C2649" t="s">
        <v>40</v>
      </c>
      <c r="D2649">
        <v>4.6192099999999998</v>
      </c>
      <c r="E2649">
        <v>0.48597800000000002</v>
      </c>
      <c r="F2649" t="s">
        <v>57</v>
      </c>
      <c r="G2649">
        <v>-411.0899</v>
      </c>
      <c r="H2649" s="1">
        <v>2.3835269999999998E-6</v>
      </c>
      <c r="I2649">
        <v>214.79419999999999</v>
      </c>
      <c r="J2649">
        <v>-435.18259999999998</v>
      </c>
      <c r="K2649">
        <v>1.110031</v>
      </c>
      <c r="L2649">
        <v>214.90870000000001</v>
      </c>
      <c r="M2649">
        <v>0.99997219999999998</v>
      </c>
      <c r="N2649">
        <v>0</v>
      </c>
      <c r="O2649">
        <v>1.3278439999999999E-3</v>
      </c>
      <c r="P2649">
        <v>0.99895889999999998</v>
      </c>
      <c r="Q2649">
        <v>-1.066128E-2</v>
      </c>
      <c r="R2649">
        <v>-4.4357420000000002E-2</v>
      </c>
      <c r="S2649">
        <v>3.00116</v>
      </c>
      <c r="T2649">
        <v>-0.13612769999999999</v>
      </c>
      <c r="U2649">
        <v>-1.38855E-2</v>
      </c>
      <c r="V2649">
        <v>4.5694970000000001E-2</v>
      </c>
      <c r="W2649">
        <v>-3.1790130000000001E-3</v>
      </c>
      <c r="X2649">
        <v>0.99895040000000002</v>
      </c>
      <c r="Y2649">
        <v>5.9470449999999998E-3</v>
      </c>
      <c r="Z2649">
        <v>-1.9500330000000001E-4</v>
      </c>
      <c r="AA2649">
        <v>0.99998229999999999</v>
      </c>
      <c r="AB2649">
        <v>36</v>
      </c>
      <c r="AC2649">
        <v>24.092699999999901</v>
      </c>
      <c r="AD2649">
        <v>-1.110028616473</v>
      </c>
      <c r="AE2649">
        <v>-0.11450000000002</v>
      </c>
      <c r="AF2649">
        <v>0.14618180797884001</v>
      </c>
      <c r="AG2649">
        <v>-1.110028616473</v>
      </c>
      <c r="AH2649">
        <v>24.041493958017099</v>
      </c>
      <c r="AI2649">
        <v>92.643498175248695</v>
      </c>
      <c r="AJ2649">
        <v>89.651623254487504</v>
      </c>
      <c r="AK2649">
        <v>24.067550028695202</v>
      </c>
      <c r="AL2649">
        <v>90.182144331246704</v>
      </c>
      <c r="AM2649">
        <v>87.3809459011581</v>
      </c>
      <c r="AN2649">
        <v>1.0000000190335501</v>
      </c>
    </row>
    <row r="2650" spans="1:40" x14ac:dyDescent="0.25">
      <c r="A2650" t="str">
        <f>"20190312154604617"</f>
        <v>20190312154604617</v>
      </c>
      <c r="B2650" t="str">
        <f>"1552376764609342"</f>
        <v>1552376764609342</v>
      </c>
      <c r="C2650" t="s">
        <v>40</v>
      </c>
      <c r="D2650">
        <v>4.6309259999999997</v>
      </c>
      <c r="E2650">
        <v>0.4861798</v>
      </c>
      <c r="F2650" t="s">
        <v>57</v>
      </c>
      <c r="G2650">
        <v>-411.01159999999999</v>
      </c>
      <c r="H2650" s="1">
        <v>2.3725600000000001E-6</v>
      </c>
      <c r="I2650">
        <v>214.76089999999999</v>
      </c>
      <c r="J2650">
        <v>-434.81920000000002</v>
      </c>
      <c r="K2650">
        <v>1.1099730000000001</v>
      </c>
      <c r="L2650">
        <v>214.91040000000001</v>
      </c>
      <c r="M2650">
        <v>0.99996969999999996</v>
      </c>
      <c r="N2650">
        <v>0</v>
      </c>
      <c r="O2650">
        <v>2.62203E-3</v>
      </c>
      <c r="P2650">
        <v>0.99900940000000005</v>
      </c>
      <c r="Q2650">
        <v>-1.00532E-2</v>
      </c>
      <c r="R2650">
        <v>-4.3353049999999997E-2</v>
      </c>
      <c r="S2650">
        <v>3.0008539999999999</v>
      </c>
      <c r="T2650">
        <v>-0.13781170000000001</v>
      </c>
      <c r="U2650">
        <v>-1.8356319999999999E-2</v>
      </c>
      <c r="V2650">
        <v>4.5980930000000003E-2</v>
      </c>
      <c r="W2650">
        <v>-2.5709510000000001E-3</v>
      </c>
      <c r="X2650">
        <v>0.99893900000000002</v>
      </c>
      <c r="Y2650">
        <v>8.7269889999999992E-3</v>
      </c>
      <c r="Z2650">
        <v>-3.2063559999999998E-4</v>
      </c>
      <c r="AA2650">
        <v>0.99996189999999996</v>
      </c>
      <c r="AB2650">
        <v>36</v>
      </c>
      <c r="AC2650">
        <v>23.807600000000001</v>
      </c>
      <c r="AD2650">
        <v>-1.1099706274400001</v>
      </c>
      <c r="AE2650">
        <v>-0.14950000000001701</v>
      </c>
      <c r="AF2650">
        <v>0.21146576771055101</v>
      </c>
      <c r="AG2650">
        <v>-1.1099706274400001</v>
      </c>
      <c r="AH2650">
        <v>23.755491811195</v>
      </c>
      <c r="AI2650">
        <v>92.675082365335697</v>
      </c>
      <c r="AJ2650">
        <v>89.489979997858399</v>
      </c>
      <c r="AK2650">
        <v>23.782349416246699</v>
      </c>
      <c r="AL2650">
        <v>90.147304805278296</v>
      </c>
      <c r="AM2650">
        <v>87.364548813231096</v>
      </c>
      <c r="AN2650">
        <v>0.99999999071685397</v>
      </c>
    </row>
    <row r="2651" spans="1:40" x14ac:dyDescent="0.25">
      <c r="A2651" t="str">
        <f>"20190312154604638"</f>
        <v>20190312154604638</v>
      </c>
      <c r="B2651" t="str">
        <f>"1552376764629838"</f>
        <v>1552376764629838</v>
      </c>
      <c r="C2651" t="s">
        <v>40</v>
      </c>
      <c r="D2651">
        <v>4.6032199999999897</v>
      </c>
      <c r="E2651">
        <v>0.4783308</v>
      </c>
      <c r="F2651" t="s">
        <v>57</v>
      </c>
      <c r="G2651">
        <v>-410.75709999999998</v>
      </c>
      <c r="H2651" s="1">
        <v>2.32613E-6</v>
      </c>
      <c r="I2651">
        <v>214.77549999999999</v>
      </c>
      <c r="J2651">
        <v>-434.47129999999999</v>
      </c>
      <c r="K2651">
        <v>1.109909</v>
      </c>
      <c r="L2651">
        <v>214.91229999999999</v>
      </c>
      <c r="M2651">
        <v>0.99996609999999997</v>
      </c>
      <c r="N2651">
        <v>0</v>
      </c>
      <c r="O2651">
        <v>3.77364E-3</v>
      </c>
      <c r="P2651">
        <v>0.99902519999999995</v>
      </c>
      <c r="Q2651">
        <v>-1.000561E-2</v>
      </c>
      <c r="R2651">
        <v>-4.2997760000000003E-2</v>
      </c>
      <c r="S2651">
        <v>3.0008849999999998</v>
      </c>
      <c r="T2651">
        <v>-0.138429</v>
      </c>
      <c r="U2651">
        <v>-1.6815190000000001E-2</v>
      </c>
      <c r="V2651">
        <v>4.6775520000000001E-2</v>
      </c>
      <c r="W2651">
        <v>-2.52294E-3</v>
      </c>
      <c r="X2651">
        <v>0.99890230000000002</v>
      </c>
      <c r="Y2651">
        <v>9.3629969999999996E-3</v>
      </c>
      <c r="Z2651">
        <v>-3.8982509999999998E-4</v>
      </c>
      <c r="AA2651">
        <v>0.99995610000000001</v>
      </c>
      <c r="AB2651">
        <v>36</v>
      </c>
      <c r="AC2651">
        <v>23.714200000000002</v>
      </c>
      <c r="AD2651">
        <v>-1.1099066738700001</v>
      </c>
      <c r="AE2651">
        <v>-0.13679999999999301</v>
      </c>
      <c r="AF2651">
        <v>0.225795672693375</v>
      </c>
      <c r="AG2651">
        <v>-1.1099066738700001</v>
      </c>
      <c r="AH2651">
        <v>23.6616841817501</v>
      </c>
      <c r="AI2651">
        <v>92.685501968833904</v>
      </c>
      <c r="AJ2651">
        <v>89.453261809119795</v>
      </c>
      <c r="AK2651">
        <v>23.6887774025464</v>
      </c>
      <c r="AL2651">
        <v>90.144553958685094</v>
      </c>
      <c r="AM2651">
        <v>87.318973478754003</v>
      </c>
      <c r="AN2651">
        <v>1.0000000597214</v>
      </c>
    </row>
    <row r="2652" spans="1:40" x14ac:dyDescent="0.25">
      <c r="A2652" t="str">
        <f>"20190312154604663"</f>
        <v>20190312154604663</v>
      </c>
      <c r="B2652" t="str">
        <f>"1552376764650334"</f>
        <v>1552376764650334</v>
      </c>
      <c r="C2652" t="s">
        <v>40</v>
      </c>
      <c r="D2652">
        <v>4.6105640000000001</v>
      </c>
      <c r="E2652">
        <v>0.47870469999999998</v>
      </c>
      <c r="F2652" t="s">
        <v>57</v>
      </c>
      <c r="G2652">
        <v>-411.68060000000003</v>
      </c>
      <c r="H2652" s="1">
        <v>2.446722E-6</v>
      </c>
      <c r="I2652">
        <v>215.27</v>
      </c>
      <c r="J2652">
        <v>-434.07479999999998</v>
      </c>
      <c r="K2652">
        <v>1.1098190000000001</v>
      </c>
      <c r="L2652">
        <v>214.91480000000001</v>
      </c>
      <c r="M2652">
        <v>0.99996050000000003</v>
      </c>
      <c r="N2652">
        <v>0</v>
      </c>
      <c r="O2652">
        <v>4.9785819999999996E-3</v>
      </c>
      <c r="P2652">
        <v>0.99905889999999997</v>
      </c>
      <c r="Q2652">
        <v>-1.001841E-2</v>
      </c>
      <c r="R2652">
        <v>-4.2200920000000003E-2</v>
      </c>
      <c r="S2652">
        <v>3.003479</v>
      </c>
      <c r="T2652">
        <v>-0.14626929999999999</v>
      </c>
      <c r="U2652">
        <v>4.71344E-2</v>
      </c>
      <c r="V2652">
        <v>4.7181969999999997E-2</v>
      </c>
      <c r="W2652">
        <v>-2.537503E-3</v>
      </c>
      <c r="X2652">
        <v>0.99888310000000002</v>
      </c>
      <c r="Y2652">
        <v>-1.070625E-2</v>
      </c>
      <c r="Z2652" s="1">
        <v>1.8224980000000001E-5</v>
      </c>
      <c r="AA2652">
        <v>0.99994269999999996</v>
      </c>
      <c r="AB2652">
        <v>36</v>
      </c>
      <c r="AC2652">
        <v>22.394199999999898</v>
      </c>
      <c r="AD2652">
        <v>-1.109816553278</v>
      </c>
      <c r="AE2652">
        <v>0.35519999999999602</v>
      </c>
      <c r="AF2652">
        <v>-0.243104296443445</v>
      </c>
      <c r="AG2652">
        <v>-1.109816553278</v>
      </c>
      <c r="AH2652">
        <v>22.3408352282481</v>
      </c>
      <c r="AI2652">
        <v>92.843753133680494</v>
      </c>
      <c r="AJ2652">
        <v>90.6234458244367</v>
      </c>
      <c r="AK2652">
        <v>22.369705209872802</v>
      </c>
      <c r="AL2652">
        <v>90.145388366632005</v>
      </c>
      <c r="AM2652">
        <v>87.295659567279003</v>
      </c>
      <c r="AN2652">
        <v>1.0000000123400801</v>
      </c>
    </row>
    <row r="2653" spans="1:40" x14ac:dyDescent="0.25">
      <c r="A2653" t="str">
        <f>"20190312154604687"</f>
        <v>20190312154604687</v>
      </c>
      <c r="B2653" t="str">
        <f>"1552376764679614"</f>
        <v>1552376764679614</v>
      </c>
      <c r="C2653" t="s">
        <v>40</v>
      </c>
      <c r="D2653">
        <v>4.6287859999999998</v>
      </c>
      <c r="E2653">
        <v>0.4789871</v>
      </c>
      <c r="F2653" t="s">
        <v>57</v>
      </c>
      <c r="G2653">
        <v>-412.04820000000001</v>
      </c>
      <c r="H2653" s="1">
        <v>2.5129729999999998E-6</v>
      </c>
      <c r="I2653">
        <v>215.2578</v>
      </c>
      <c r="J2653">
        <v>-433.69880000000001</v>
      </c>
      <c r="K2653">
        <v>1.109723</v>
      </c>
      <c r="L2653">
        <v>214.91759999999999</v>
      </c>
      <c r="M2653">
        <v>0.99995500000000004</v>
      </c>
      <c r="N2653">
        <v>0</v>
      </c>
      <c r="O2653">
        <v>5.9879669999999899E-3</v>
      </c>
      <c r="P2653">
        <v>0.99907619999999997</v>
      </c>
      <c r="Q2653">
        <v>-1.080338E-2</v>
      </c>
      <c r="R2653">
        <v>-4.1597469999999998E-2</v>
      </c>
      <c r="S2653">
        <v>3.0032960000000002</v>
      </c>
      <c r="T2653">
        <v>-0.1513215</v>
      </c>
      <c r="U2653">
        <v>4.6768190000000001E-2</v>
      </c>
      <c r="V2653">
        <v>4.7588030000000003E-2</v>
      </c>
      <c r="W2653">
        <v>-3.3245050000000002E-3</v>
      </c>
      <c r="X2653">
        <v>0.99886149999999996</v>
      </c>
      <c r="Y2653">
        <v>-9.5781660000000008E-3</v>
      </c>
      <c r="Z2653" s="1">
        <v>-6.0367349999999997E-5</v>
      </c>
      <c r="AA2653">
        <v>0.99995409999999996</v>
      </c>
      <c r="AB2653">
        <v>36</v>
      </c>
      <c r="AC2653">
        <v>21.650600000000001</v>
      </c>
      <c r="AD2653">
        <v>-1.1097204870270001</v>
      </c>
      <c r="AE2653">
        <v>0.34020000000000999</v>
      </c>
      <c r="AF2653">
        <v>-0.20999575519961</v>
      </c>
      <c r="AG2653">
        <v>-1.1097204870270001</v>
      </c>
      <c r="AH2653">
        <v>21.595527979127901</v>
      </c>
      <c r="AI2653">
        <v>92.941508363099601</v>
      </c>
      <c r="AJ2653">
        <v>90.557128831926804</v>
      </c>
      <c r="AK2653">
        <v>21.625041190107002</v>
      </c>
      <c r="AL2653">
        <v>90.190480459288295</v>
      </c>
      <c r="AM2653">
        <v>87.272361431963304</v>
      </c>
      <c r="AN2653">
        <v>0.99999998455751204</v>
      </c>
    </row>
    <row r="2654" spans="1:40" x14ac:dyDescent="0.25">
      <c r="A2654" t="str">
        <f>"20190312154604708"</f>
        <v>20190312154604708</v>
      </c>
      <c r="B2654" t="str">
        <f>"1552376764700110"</f>
        <v>1552376764700110</v>
      </c>
      <c r="C2654" t="s">
        <v>40</v>
      </c>
      <c r="D2654">
        <v>4.6346730000000003</v>
      </c>
      <c r="E2654">
        <v>0.4791919</v>
      </c>
      <c r="F2654" t="s">
        <v>57</v>
      </c>
      <c r="G2654">
        <v>-412.20870000000002</v>
      </c>
      <c r="H2654" s="1">
        <v>2.5423179999999999E-6</v>
      </c>
      <c r="I2654">
        <v>215.24809999999999</v>
      </c>
      <c r="J2654">
        <v>-433.33199999999999</v>
      </c>
      <c r="K2654">
        <v>1.1096269999999999</v>
      </c>
      <c r="L2654">
        <v>214.92060000000001</v>
      </c>
      <c r="M2654">
        <v>0.99994930000000004</v>
      </c>
      <c r="N2654">
        <v>0</v>
      </c>
      <c r="O2654">
        <v>6.8525849999999996E-3</v>
      </c>
      <c r="P2654">
        <v>0.99910500000000002</v>
      </c>
      <c r="Q2654">
        <v>-1.155423E-2</v>
      </c>
      <c r="R2654">
        <v>-4.0692150000000003E-2</v>
      </c>
      <c r="S2654">
        <v>3.0030209999999999</v>
      </c>
      <c r="T2654">
        <v>-0.1550726</v>
      </c>
      <c r="U2654">
        <v>4.6173100000000002E-2</v>
      </c>
      <c r="V2654">
        <v>4.7547810000000003E-2</v>
      </c>
      <c r="W2654">
        <v>-4.0783249999999998E-3</v>
      </c>
      <c r="X2654">
        <v>0.99886070000000005</v>
      </c>
      <c r="Y2654">
        <v>-8.5191869999999992E-3</v>
      </c>
      <c r="Z2654">
        <v>-1.33805E-4</v>
      </c>
      <c r="AA2654">
        <v>0.99996370000000001</v>
      </c>
      <c r="AB2654">
        <v>37</v>
      </c>
      <c r="AC2654">
        <v>21.123299999999901</v>
      </c>
      <c r="AD2654">
        <v>-1.109624457682</v>
      </c>
      <c r="AE2654">
        <v>0.32749999999998602</v>
      </c>
      <c r="AF2654">
        <v>-0.18223640289166601</v>
      </c>
      <c r="AG2654">
        <v>-1.109624457682</v>
      </c>
      <c r="AH2654">
        <v>21.066928332058598</v>
      </c>
      <c r="AI2654">
        <v>93.014949772653395</v>
      </c>
      <c r="AJ2654">
        <v>90.495616454779693</v>
      </c>
      <c r="AK2654">
        <v>21.096917923993502</v>
      </c>
      <c r="AL2654">
        <v>90.233671443150001</v>
      </c>
      <c r="AM2654">
        <v>87.274661095065696</v>
      </c>
      <c r="AN2654">
        <v>1.00000006248754</v>
      </c>
    </row>
    <row r="2655" spans="1:40" x14ac:dyDescent="0.25">
      <c r="A2655" t="str">
        <f>"20190312154604750"</f>
        <v>20190312154604750</v>
      </c>
      <c r="B2655" t="str">
        <f>"1552376764739150"</f>
        <v>1552376764739150</v>
      </c>
      <c r="C2655" t="s">
        <v>40</v>
      </c>
      <c r="D2655">
        <v>4.6428649999999996</v>
      </c>
      <c r="E2655">
        <v>0.47936479999999998</v>
      </c>
      <c r="F2655" t="s">
        <v>57</v>
      </c>
      <c r="G2655">
        <v>-412.44850000000002</v>
      </c>
      <c r="H2655" s="1">
        <v>2.5848229999999998E-6</v>
      </c>
      <c r="I2655">
        <v>215.2484</v>
      </c>
      <c r="J2655">
        <v>-432.64830000000001</v>
      </c>
      <c r="K2655">
        <v>1.10945</v>
      </c>
      <c r="L2655">
        <v>214.92670000000001</v>
      </c>
      <c r="M2655">
        <v>0.99993929999999998</v>
      </c>
      <c r="N2655">
        <v>0</v>
      </c>
      <c r="O2655">
        <v>8.1888550000000001E-3</v>
      </c>
      <c r="P2655">
        <v>0.99913879999999999</v>
      </c>
      <c r="Q2655">
        <v>-1.286352E-2</v>
      </c>
      <c r="R2655">
        <v>-3.9455650000000002E-2</v>
      </c>
      <c r="S2655">
        <v>3.0027469999999998</v>
      </c>
      <c r="T2655">
        <v>-0.15954779999999999</v>
      </c>
      <c r="U2655">
        <v>4.7119139999999997E-2</v>
      </c>
      <c r="V2655">
        <v>4.7646979999999999E-2</v>
      </c>
      <c r="W2655">
        <v>-5.3897909999999997E-3</v>
      </c>
      <c r="X2655">
        <v>0.99884969999999995</v>
      </c>
      <c r="Y2655">
        <v>-7.5024540000000004E-3</v>
      </c>
      <c r="Z2655">
        <v>-2.3560930000000001E-4</v>
      </c>
      <c r="AA2655">
        <v>0.99997179999999997</v>
      </c>
      <c r="AB2655">
        <v>37</v>
      </c>
      <c r="AC2655">
        <v>20.1997999999999</v>
      </c>
      <c r="AD2655">
        <v>-1.109447415177</v>
      </c>
      <c r="AE2655">
        <v>0.32169999999999199</v>
      </c>
      <c r="AF2655">
        <v>-0.15580161177888299</v>
      </c>
      <c r="AG2655">
        <v>-1.109447415177</v>
      </c>
      <c r="AH2655">
        <v>20.141014905328099</v>
      </c>
      <c r="AI2655">
        <v>93.152799561534394</v>
      </c>
      <c r="AJ2655">
        <v>90.443204912437494</v>
      </c>
      <c r="AK2655">
        <v>20.172149838971698</v>
      </c>
      <c r="AL2655">
        <v>90.308813770740201</v>
      </c>
      <c r="AM2655">
        <v>87.268955449006995</v>
      </c>
      <c r="AN2655">
        <v>1.00000000387011</v>
      </c>
    </row>
    <row r="2656" spans="1:40" x14ac:dyDescent="0.25">
      <c r="A2656" t="str">
        <f>"20190312154604772"</f>
        <v>20190312154604772</v>
      </c>
      <c r="B2656" t="str">
        <f>"1552376764769406"</f>
        <v>1552376764769406</v>
      </c>
      <c r="C2656" t="s">
        <v>40</v>
      </c>
      <c r="D2656">
        <v>4.6469880000000003</v>
      </c>
      <c r="E2656">
        <v>0.47959109999999999</v>
      </c>
      <c r="F2656" t="s">
        <v>57</v>
      </c>
      <c r="G2656">
        <v>-412.74239999999998</v>
      </c>
      <c r="H2656" s="1">
        <v>2.6362380000000001E-6</v>
      </c>
      <c r="I2656">
        <v>215.25649999999999</v>
      </c>
      <c r="J2656">
        <v>-432.27199999999999</v>
      </c>
      <c r="K2656">
        <v>1.1093649999999999</v>
      </c>
      <c r="L2656">
        <v>214.93029999999999</v>
      </c>
      <c r="M2656">
        <v>0.99993430000000005</v>
      </c>
      <c r="N2656">
        <v>0</v>
      </c>
      <c r="O2656">
        <v>8.7725809999999998E-3</v>
      </c>
      <c r="P2656">
        <v>0.99917509999999998</v>
      </c>
      <c r="Q2656">
        <v>-1.347451E-2</v>
      </c>
      <c r="R2656">
        <v>-3.8317070000000002E-2</v>
      </c>
      <c r="S2656">
        <v>3.0024109999999999</v>
      </c>
      <c r="T2656">
        <v>-0.16733809999999999</v>
      </c>
      <c r="U2656">
        <v>4.974365E-2</v>
      </c>
      <c r="V2656">
        <v>4.7091769999999998E-2</v>
      </c>
      <c r="W2656">
        <v>-6.0015650000000004E-3</v>
      </c>
      <c r="X2656">
        <v>0.99887250000000005</v>
      </c>
      <c r="Y2656">
        <v>-7.7948929999999998E-3</v>
      </c>
      <c r="Z2656">
        <v>-2.71484E-4</v>
      </c>
      <c r="AA2656">
        <v>0.99996960000000001</v>
      </c>
      <c r="AB2656">
        <v>37</v>
      </c>
      <c r="AC2656">
        <v>19.529599999999999</v>
      </c>
      <c r="AD2656">
        <v>-1.109362363762</v>
      </c>
      <c r="AE2656">
        <v>0.32619999999999999</v>
      </c>
      <c r="AF2656">
        <v>-0.15435985004340899</v>
      </c>
      <c r="AG2656">
        <v>-1.109362363762</v>
      </c>
      <c r="AH2656">
        <v>19.4689071285908</v>
      </c>
      <c r="AI2656">
        <v>93.261155407916903</v>
      </c>
      <c r="AJ2656">
        <v>90.454261893734895</v>
      </c>
      <c r="AK2656">
        <v>19.501098856196101</v>
      </c>
      <c r="AL2656">
        <v>90.343866422191894</v>
      </c>
      <c r="AM2656">
        <v>87.300793328210005</v>
      </c>
      <c r="AN2656">
        <v>0.99999996242021505</v>
      </c>
    </row>
    <row r="2657" spans="1:40" x14ac:dyDescent="0.25">
      <c r="A2657" t="str">
        <f>"20190312154604793"</f>
        <v>20190312154604793</v>
      </c>
      <c r="B2657" t="str">
        <f>"1552376764789903"</f>
        <v>1552376764789903</v>
      </c>
      <c r="C2657" t="s">
        <v>40</v>
      </c>
      <c r="D2657">
        <v>4.6447909999999997</v>
      </c>
      <c r="E2657">
        <v>0.47978409999999999</v>
      </c>
      <c r="F2657" t="s">
        <v>57</v>
      </c>
      <c r="G2657">
        <v>-412.63420000000002</v>
      </c>
      <c r="H2657" s="1">
        <v>2.616131E-6</v>
      </c>
      <c r="I2657">
        <v>215.267</v>
      </c>
      <c r="J2657">
        <v>-431.91750000000002</v>
      </c>
      <c r="K2657">
        <v>1.1092900000000001</v>
      </c>
      <c r="L2657">
        <v>214.93379999999999</v>
      </c>
      <c r="M2657">
        <v>0.99992999999999999</v>
      </c>
      <c r="N2657">
        <v>0</v>
      </c>
      <c r="O2657">
        <v>9.2346849999999994E-3</v>
      </c>
      <c r="P2657">
        <v>0.99922129999999998</v>
      </c>
      <c r="Q2657">
        <v>-1.2950939999999999E-2</v>
      </c>
      <c r="R2657">
        <v>-3.7273029999999999E-2</v>
      </c>
      <c r="S2657">
        <v>3.002167</v>
      </c>
      <c r="T2657">
        <v>-0.1695962</v>
      </c>
      <c r="U2657">
        <v>5.1467899999999997E-2</v>
      </c>
      <c r="V2657">
        <v>4.650779E-2</v>
      </c>
      <c r="W2657">
        <v>-5.477801E-3</v>
      </c>
      <c r="X2657">
        <v>0.99890290000000004</v>
      </c>
      <c r="Y2657">
        <v>-7.908867E-3</v>
      </c>
      <c r="Z2657">
        <v>-2.9802689999999999E-4</v>
      </c>
      <c r="AA2657">
        <v>0.99996870000000004</v>
      </c>
      <c r="AB2657">
        <v>37</v>
      </c>
      <c r="AC2657">
        <v>19.283300000000001</v>
      </c>
      <c r="AD2657">
        <v>-1.1092873838689901</v>
      </c>
      <c r="AE2657">
        <v>0.33320000000000499</v>
      </c>
      <c r="AF2657">
        <v>-0.154594284602419</v>
      </c>
      <c r="AG2657">
        <v>-1.1092873838689901</v>
      </c>
      <c r="AH2657">
        <v>19.2219640933764</v>
      </c>
      <c r="AI2657">
        <v>93.302733290415802</v>
      </c>
      <c r="AJ2657">
        <v>90.4607962552478</v>
      </c>
      <c r="AK2657">
        <v>19.2545662506298</v>
      </c>
      <c r="AL2657">
        <v>90.313856450376093</v>
      </c>
      <c r="AM2657">
        <v>87.334298325411297</v>
      </c>
      <c r="AN2657">
        <v>0.99999999223144398</v>
      </c>
    </row>
    <row r="2658" spans="1:40" x14ac:dyDescent="0.25">
      <c r="A2658" t="str">
        <f>"20190312154604817"</f>
        <v>20190312154604817</v>
      </c>
      <c r="B2658" t="str">
        <f>"1552376764809422"</f>
        <v>1552376764809422</v>
      </c>
      <c r="C2658" t="s">
        <v>40</v>
      </c>
      <c r="D2658">
        <v>4.6279789999999998</v>
      </c>
      <c r="E2658">
        <v>0.47980309999999998</v>
      </c>
      <c r="F2658" t="s">
        <v>57</v>
      </c>
      <c r="G2658">
        <v>-411.9932</v>
      </c>
      <c r="H2658" s="1">
        <v>2.5008310000000001E-6</v>
      </c>
      <c r="I2658">
        <v>215.2852</v>
      </c>
      <c r="J2658">
        <v>-431.53109999999998</v>
      </c>
      <c r="K2658">
        <v>1.1092029999999999</v>
      </c>
      <c r="L2658">
        <v>214.93780000000001</v>
      </c>
      <c r="M2658">
        <v>0.99992610000000004</v>
      </c>
      <c r="N2658">
        <v>0</v>
      </c>
      <c r="O2658">
        <v>9.6376810000000004E-3</v>
      </c>
      <c r="P2658">
        <v>0.99925459999999999</v>
      </c>
      <c r="Q2658">
        <v>-1.292507E-2</v>
      </c>
      <c r="R2658">
        <v>-3.6383739999999998E-2</v>
      </c>
      <c r="S2658">
        <v>3.002167</v>
      </c>
      <c r="T2658">
        <v>-0.1671455</v>
      </c>
      <c r="U2658">
        <v>5.2948000000000002E-2</v>
      </c>
      <c r="V2658">
        <v>4.6020039999999998E-2</v>
      </c>
      <c r="W2658">
        <v>-5.4511890000000004E-3</v>
      </c>
      <c r="X2658">
        <v>0.99892559999999997</v>
      </c>
      <c r="Y2658">
        <v>-7.9991230000000003E-3</v>
      </c>
      <c r="Z2658">
        <v>-3.1363190000000002E-4</v>
      </c>
      <c r="AA2658">
        <v>0.99996790000000002</v>
      </c>
      <c r="AB2658">
        <v>37</v>
      </c>
      <c r="AC2658">
        <v>19.537899999999901</v>
      </c>
      <c r="AD2658">
        <v>-1.1092004991689901</v>
      </c>
      <c r="AE2658">
        <v>0.34739999999999299</v>
      </c>
      <c r="AF2658">
        <v>-0.15856774001027599</v>
      </c>
      <c r="AG2658">
        <v>-1.1092004991689901</v>
      </c>
      <c r="AH2658">
        <v>19.4775837678289</v>
      </c>
      <c r="AI2658">
        <v>93.259225657599202</v>
      </c>
      <c r="AJ2658">
        <v>90.466436785624296</v>
      </c>
      <c r="AK2658">
        <v>19.509785721742801</v>
      </c>
      <c r="AL2658">
        <v>90.312331683337106</v>
      </c>
      <c r="AM2658">
        <v>87.362275008928194</v>
      </c>
      <c r="AN2658">
        <v>0.99999995693923605</v>
      </c>
    </row>
    <row r="2659" spans="1:40" x14ac:dyDescent="0.25">
      <c r="A2659" t="str">
        <f>"20190312154604838"</f>
        <v>20190312154604838</v>
      </c>
      <c r="B2659" t="str">
        <f>"1552376764829919"</f>
        <v>1552376764829919</v>
      </c>
      <c r="C2659" t="s">
        <v>40</v>
      </c>
      <c r="D2659">
        <v>4.6154950000000001</v>
      </c>
      <c r="E2659">
        <v>0.47995490000000002</v>
      </c>
      <c r="F2659" t="s">
        <v>57</v>
      </c>
      <c r="G2659">
        <v>-411.42320000000001</v>
      </c>
      <c r="H2659" s="1">
        <v>2.3975130000000001E-6</v>
      </c>
      <c r="I2659">
        <v>215.31059999999999</v>
      </c>
      <c r="J2659">
        <v>-431.1816</v>
      </c>
      <c r="K2659">
        <v>1.1091219999999999</v>
      </c>
      <c r="L2659">
        <v>214.94139999999999</v>
      </c>
      <c r="M2659">
        <v>0.99992320000000001</v>
      </c>
      <c r="N2659">
        <v>0</v>
      </c>
      <c r="O2659">
        <v>9.9188279999999993E-3</v>
      </c>
      <c r="P2659">
        <v>0.99929950000000001</v>
      </c>
      <c r="Q2659">
        <v>-1.1904669999999999E-2</v>
      </c>
      <c r="R2659">
        <v>-3.5476929999999997E-2</v>
      </c>
      <c r="S2659">
        <v>3.0021969999999998</v>
      </c>
      <c r="T2659">
        <v>-0.16560849999999999</v>
      </c>
      <c r="U2659">
        <v>5.5664060000000001E-2</v>
      </c>
      <c r="V2659">
        <v>4.539261E-2</v>
      </c>
      <c r="W2659">
        <v>-4.4296350000000003E-3</v>
      </c>
      <c r="X2659">
        <v>0.99895940000000005</v>
      </c>
      <c r="Y2659">
        <v>-8.6215839999999998E-3</v>
      </c>
      <c r="Z2659">
        <v>-3.0908740000000002E-4</v>
      </c>
      <c r="AA2659">
        <v>0.99996280000000004</v>
      </c>
      <c r="AB2659">
        <v>37</v>
      </c>
      <c r="AC2659">
        <v>19.758399999999899</v>
      </c>
      <c r="AD2659">
        <v>-1.109119602487</v>
      </c>
      <c r="AE2659">
        <v>0.36920000000000602</v>
      </c>
      <c r="AF2659">
        <v>-0.17265241162510001</v>
      </c>
      <c r="AG2659">
        <v>-1.109119602487</v>
      </c>
      <c r="AH2659">
        <v>19.699039412404701</v>
      </c>
      <c r="AI2659">
        <v>93.222411779861702</v>
      </c>
      <c r="AJ2659">
        <v>90.502156527378503</v>
      </c>
      <c r="AK2659">
        <v>19.730993612064601</v>
      </c>
      <c r="AL2659">
        <v>90.253800221102793</v>
      </c>
      <c r="AM2659">
        <v>87.398275490567698</v>
      </c>
      <c r="AN2659">
        <v>0.99999999677860196</v>
      </c>
    </row>
    <row r="2660" spans="1:40" x14ac:dyDescent="0.25">
      <c r="A2660" t="str">
        <f>"20190312154604863"</f>
        <v>20190312154604863</v>
      </c>
      <c r="B2660" t="str">
        <f>"1552376764859199"</f>
        <v>1552376764859199</v>
      </c>
      <c r="C2660" t="s">
        <v>40</v>
      </c>
      <c r="D2660">
        <v>4.600994</v>
      </c>
      <c r="E2660">
        <v>0.48024650000000002</v>
      </c>
      <c r="F2660" t="s">
        <v>57</v>
      </c>
      <c r="G2660">
        <v>-410.47620000000001</v>
      </c>
      <c r="H2660" s="1">
        <v>2.2272329999999999E-6</v>
      </c>
      <c r="I2660">
        <v>215.33690000000001</v>
      </c>
      <c r="J2660">
        <v>-430.77420000000001</v>
      </c>
      <c r="K2660">
        <v>1.109035</v>
      </c>
      <c r="L2660">
        <v>214.94569999999999</v>
      </c>
      <c r="M2660">
        <v>0.99992060000000005</v>
      </c>
      <c r="N2660">
        <v>0</v>
      </c>
      <c r="O2660">
        <v>1.016921E-2</v>
      </c>
      <c r="P2660">
        <v>0.9993166</v>
      </c>
      <c r="Q2660">
        <v>-1.1176429999999999E-2</v>
      </c>
      <c r="R2660">
        <v>-3.5235799999999998E-2</v>
      </c>
      <c r="S2660">
        <v>3.0022280000000001</v>
      </c>
      <c r="T2660">
        <v>-0.16081979999999901</v>
      </c>
      <c r="U2660">
        <v>5.7342530000000003E-2</v>
      </c>
      <c r="V2660">
        <v>4.5399879999999997E-2</v>
      </c>
      <c r="W2660">
        <v>-3.7014280000000001E-3</v>
      </c>
      <c r="X2660">
        <v>0.99896200000000002</v>
      </c>
      <c r="Y2660">
        <v>-8.9296669999999901E-3</v>
      </c>
      <c r="Z2660">
        <v>-3.053132E-4</v>
      </c>
      <c r="AA2660">
        <v>0.99996010000000002</v>
      </c>
      <c r="AB2660">
        <v>37</v>
      </c>
      <c r="AC2660">
        <v>20.297999999999998</v>
      </c>
      <c r="AD2660">
        <v>-1.109032772767</v>
      </c>
      <c r="AE2660">
        <v>0.39120000000002603</v>
      </c>
      <c r="AF2660">
        <v>-0.18420972042554201</v>
      </c>
      <c r="AG2660">
        <v>-1.109032772767</v>
      </c>
      <c r="AH2660">
        <v>20.240527866019299</v>
      </c>
      <c r="AI2660">
        <v>93.136123627622197</v>
      </c>
      <c r="AJ2660">
        <v>90.521436407495202</v>
      </c>
      <c r="AK2660">
        <v>20.271725511343998</v>
      </c>
      <c r="AL2660">
        <v>90.212076694563706</v>
      </c>
      <c r="AM2660">
        <v>87.397866138959003</v>
      </c>
      <c r="AN2660">
        <v>0.99999996355862597</v>
      </c>
    </row>
    <row r="2661" spans="1:40" x14ac:dyDescent="0.25">
      <c r="A2661" t="str">
        <f>"20190312154604886"</f>
        <v>20190312154604886</v>
      </c>
      <c r="B2661" t="str">
        <f>"1552376764879695"</f>
        <v>1552376764879695</v>
      </c>
      <c r="C2661" t="s">
        <v>40</v>
      </c>
      <c r="D2661">
        <v>4.6135020000000004</v>
      </c>
      <c r="E2661">
        <v>0.48046820000000001</v>
      </c>
      <c r="F2661" t="s">
        <v>57</v>
      </c>
      <c r="G2661">
        <v>-409.62169999999998</v>
      </c>
      <c r="H2661" s="1">
        <v>3.9863679999999996E-6</v>
      </c>
      <c r="I2661">
        <v>215.33779999999999</v>
      </c>
      <c r="J2661">
        <v>-430.39670000000001</v>
      </c>
      <c r="K2661">
        <v>1.1089629999999999</v>
      </c>
      <c r="L2661">
        <v>214.94970000000001</v>
      </c>
      <c r="M2661">
        <v>0.99991890000000005</v>
      </c>
      <c r="N2661">
        <v>0</v>
      </c>
      <c r="O2661">
        <v>1.033952E-2</v>
      </c>
      <c r="P2661">
        <v>0.99929920000000005</v>
      </c>
      <c r="Q2661">
        <v>-1.1458339999999999E-2</v>
      </c>
      <c r="R2661">
        <v>-3.563711E-2</v>
      </c>
      <c r="S2661">
        <v>3.0022280000000001</v>
      </c>
      <c r="T2661">
        <v>-0.15740760000000001</v>
      </c>
      <c r="U2661">
        <v>5.5648799999999998E-2</v>
      </c>
      <c r="V2661">
        <v>4.5970990000000003E-2</v>
      </c>
      <c r="W2661">
        <v>-3.9855369999999999E-3</v>
      </c>
      <c r="X2661">
        <v>0.99893480000000001</v>
      </c>
      <c r="Y2661">
        <v>-8.1965779999999995E-3</v>
      </c>
      <c r="Z2661">
        <v>-3.2697169999999998E-4</v>
      </c>
      <c r="AA2661">
        <v>0.99996640000000003</v>
      </c>
      <c r="AB2661">
        <v>37</v>
      </c>
      <c r="AC2661">
        <v>20.774999999999999</v>
      </c>
      <c r="AD2661">
        <v>-1.108959013632</v>
      </c>
      <c r="AE2661">
        <v>0.38809999999998002</v>
      </c>
      <c r="AF2661">
        <v>-0.172777651207317</v>
      </c>
      <c r="AG2661">
        <v>-1.108959013632</v>
      </c>
      <c r="AH2661">
        <v>20.718887114229201</v>
      </c>
      <c r="AI2661">
        <v>93.063673076805998</v>
      </c>
      <c r="AJ2661">
        <v>90.477786315961495</v>
      </c>
      <c r="AK2661">
        <v>20.749263251085502</v>
      </c>
      <c r="AL2661">
        <v>90.228355059332898</v>
      </c>
      <c r="AM2661">
        <v>87.365106670356298</v>
      </c>
      <c r="AN2661">
        <v>0.99999997553889897</v>
      </c>
    </row>
    <row r="2662" spans="1:40" x14ac:dyDescent="0.25">
      <c r="A2662" t="str">
        <f>"20190312154604909"</f>
        <v>20190312154604909</v>
      </c>
      <c r="B2662" t="str">
        <f>"1552376764899215"</f>
        <v>1552376764899215</v>
      </c>
      <c r="C2662" t="s">
        <v>40</v>
      </c>
      <c r="D2662">
        <v>4.6099550000000002</v>
      </c>
      <c r="E2662">
        <v>0.48359550000000001</v>
      </c>
      <c r="F2662" t="s">
        <v>57</v>
      </c>
      <c r="G2662">
        <v>-409.26749999999998</v>
      </c>
      <c r="H2662" s="1">
        <v>4.1466649999999997E-6</v>
      </c>
      <c r="I2662">
        <v>215.322</v>
      </c>
      <c r="J2662">
        <v>-429.99680000000001</v>
      </c>
      <c r="K2662">
        <v>1.1088990000000001</v>
      </c>
      <c r="L2662">
        <v>214.95400000000001</v>
      </c>
      <c r="M2662">
        <v>0.99991730000000001</v>
      </c>
      <c r="N2662">
        <v>0</v>
      </c>
      <c r="O2662">
        <v>1.047876E-2</v>
      </c>
      <c r="P2662">
        <v>0.99923660000000003</v>
      </c>
      <c r="Q2662">
        <v>-1.21342E-2</v>
      </c>
      <c r="R2662">
        <v>-3.7134689999999998E-2</v>
      </c>
      <c r="S2662">
        <v>3.002167</v>
      </c>
      <c r="T2662">
        <v>-0.1575677</v>
      </c>
      <c r="U2662">
        <v>5.290222E-2</v>
      </c>
      <c r="V2662">
        <v>4.7606700000000002E-2</v>
      </c>
      <c r="W2662">
        <v>-4.662968E-3</v>
      </c>
      <c r="X2662">
        <v>0.9988553</v>
      </c>
      <c r="Y2662">
        <v>-7.1448099999999997E-3</v>
      </c>
      <c r="Z2662">
        <v>-3.6219529999999999E-4</v>
      </c>
      <c r="AA2662">
        <v>0.99997440000000004</v>
      </c>
      <c r="AB2662">
        <v>37</v>
      </c>
      <c r="AC2662">
        <v>20.729299999999999</v>
      </c>
      <c r="AD2662">
        <v>-1.108894853335</v>
      </c>
      <c r="AE2662">
        <v>0.367999999999995</v>
      </c>
      <c r="AF2662">
        <v>-0.15032635608884701</v>
      </c>
      <c r="AG2662">
        <v>-1.108894853335</v>
      </c>
      <c r="AH2662">
        <v>20.672878894641901</v>
      </c>
      <c r="AI2662">
        <v>93.070326581423402</v>
      </c>
      <c r="AJ2662">
        <v>90.416628665539093</v>
      </c>
      <c r="AK2662">
        <v>20.7031439062192</v>
      </c>
      <c r="AL2662">
        <v>90.267169347720895</v>
      </c>
      <c r="AM2662">
        <v>87.271276014961501</v>
      </c>
      <c r="AN2662">
        <v>1.00000002574677</v>
      </c>
    </row>
    <row r="2663" spans="1:40" x14ac:dyDescent="0.25">
      <c r="A2663" t="str">
        <f>"20190312154604929"</f>
        <v>20190312154604929</v>
      </c>
      <c r="B2663" t="str">
        <f>"1552376764919710"</f>
        <v>1552376764919710</v>
      </c>
      <c r="C2663" t="s">
        <v>40</v>
      </c>
      <c r="D2663">
        <v>4.6043979999999998</v>
      </c>
      <c r="E2663">
        <v>0.48358459999999998</v>
      </c>
      <c r="F2663" t="s">
        <v>57</v>
      </c>
      <c r="G2663">
        <v>-408.63049999999998</v>
      </c>
      <c r="H2663" s="1">
        <v>4.4703670000000002E-6</v>
      </c>
      <c r="I2663">
        <v>215.12260000000001</v>
      </c>
      <c r="J2663">
        <v>-429.65230000000003</v>
      </c>
      <c r="K2663">
        <v>1.1088610000000001</v>
      </c>
      <c r="L2663">
        <v>214.95769999999999</v>
      </c>
      <c r="M2663">
        <v>0.99991629999999998</v>
      </c>
      <c r="N2663">
        <v>0</v>
      </c>
      <c r="O2663">
        <v>1.0577019999999999E-2</v>
      </c>
      <c r="P2663">
        <v>0.99914230000000004</v>
      </c>
      <c r="Q2663">
        <v>-1.210028E-2</v>
      </c>
      <c r="R2663">
        <v>-3.9600829999999997E-2</v>
      </c>
      <c r="S2663">
        <v>3.0012819999999998</v>
      </c>
      <c r="T2663">
        <v>-0.1557645</v>
      </c>
      <c r="U2663">
        <v>2.368164E-2</v>
      </c>
      <c r="V2663">
        <v>5.0169230000000002E-2</v>
      </c>
      <c r="W2663">
        <v>-4.6289429999999999E-3</v>
      </c>
      <c r="X2663">
        <v>0.99873000000000001</v>
      </c>
      <c r="Y2663">
        <v>2.6693369999999999E-3</v>
      </c>
      <c r="Z2663">
        <v>-6.177849E-4</v>
      </c>
      <c r="AA2663">
        <v>0.9999962</v>
      </c>
      <c r="AB2663">
        <v>38</v>
      </c>
      <c r="AC2663">
        <v>21.021799999999999</v>
      </c>
      <c r="AD2663">
        <v>-1.108856529633</v>
      </c>
      <c r="AE2663">
        <v>0.16490000000001701</v>
      </c>
      <c r="AF2663">
        <v>5.73039667895009E-2</v>
      </c>
      <c r="AG2663">
        <v>-1.108856529633</v>
      </c>
      <c r="AH2663">
        <v>20.9640426094739</v>
      </c>
      <c r="AI2663">
        <v>93.027727737647098</v>
      </c>
      <c r="AJ2663">
        <v>89.843385775807604</v>
      </c>
      <c r="AK2663">
        <v>20.993425853818099</v>
      </c>
      <c r="AL2663">
        <v>90.265219845768598</v>
      </c>
      <c r="AM2663">
        <v>87.124276821134004</v>
      </c>
      <c r="AN2663">
        <v>0.99999999582604504</v>
      </c>
    </row>
    <row r="2664" spans="1:40" x14ac:dyDescent="0.25">
      <c r="A2664" t="str">
        <f>"20190312154604950"</f>
        <v>20190312154604950</v>
      </c>
      <c r="B2664" t="str">
        <f>"1552376764940207"</f>
        <v>1552376764940207</v>
      </c>
      <c r="C2664" t="s">
        <v>40</v>
      </c>
      <c r="D2664">
        <v>4.6188940000000001</v>
      </c>
      <c r="E2664">
        <v>0.48345559999999999</v>
      </c>
      <c r="F2664" t="s">
        <v>57</v>
      </c>
      <c r="G2664">
        <v>-408.6035</v>
      </c>
      <c r="H2664" s="1">
        <v>4.49246999999999E-6</v>
      </c>
      <c r="I2664">
        <v>215.0736</v>
      </c>
      <c r="J2664">
        <v>-429.29349999999999</v>
      </c>
      <c r="K2664">
        <v>1.1088260000000001</v>
      </c>
      <c r="L2664">
        <v>214.9616</v>
      </c>
      <c r="M2664">
        <v>0.99991529999999995</v>
      </c>
      <c r="N2664">
        <v>0</v>
      </c>
      <c r="O2664">
        <v>1.066568E-2</v>
      </c>
      <c r="P2664">
        <v>0.99904389999999998</v>
      </c>
      <c r="Q2664">
        <v>-1.2527160000000001E-2</v>
      </c>
      <c r="R2664">
        <v>-4.1884860000000003E-2</v>
      </c>
      <c r="S2664">
        <v>3.0013429999999999</v>
      </c>
      <c r="T2664">
        <v>-0.1581118</v>
      </c>
      <c r="U2664">
        <v>1.6525270000000002E-2</v>
      </c>
      <c r="V2664">
        <v>5.2540499999999997E-2</v>
      </c>
      <c r="W2664">
        <v>-5.0545470000000004E-3</v>
      </c>
      <c r="X2664">
        <v>0.99860599999999999</v>
      </c>
      <c r="Y2664">
        <v>5.1383459999999898E-3</v>
      </c>
      <c r="Z2664">
        <v>-6.9673249999999999E-4</v>
      </c>
      <c r="AA2664">
        <v>0.9999865</v>
      </c>
      <c r="AB2664">
        <v>38</v>
      </c>
      <c r="AC2664">
        <v>20.69</v>
      </c>
      <c r="AD2664">
        <v>-1.1088215075299901</v>
      </c>
      <c r="AE2664">
        <v>0.11199999999999399</v>
      </c>
      <c r="AF2664">
        <v>0.108374174745225</v>
      </c>
      <c r="AG2664">
        <v>-1.1088215075299901</v>
      </c>
      <c r="AH2664">
        <v>20.6307654175876</v>
      </c>
      <c r="AI2664">
        <v>93.076417705132698</v>
      </c>
      <c r="AJ2664">
        <v>89.699025916796998</v>
      </c>
      <c r="AK2664">
        <v>20.6608255356082</v>
      </c>
      <c r="AL2664">
        <v>90.289605444225899</v>
      </c>
      <c r="AM2664">
        <v>86.988225844632794</v>
      </c>
      <c r="AN2664">
        <v>0.99999999791081196</v>
      </c>
    </row>
    <row r="2665" spans="1:40" x14ac:dyDescent="0.25">
      <c r="A2665" t="str">
        <f>"20190312154604973"</f>
        <v>20190312154604973</v>
      </c>
      <c r="B2665" t="str">
        <f>"1552376764969486"</f>
        <v>1552376764969486</v>
      </c>
      <c r="C2665" t="s">
        <v>40</v>
      </c>
      <c r="D2665">
        <v>4.6241079999999997</v>
      </c>
      <c r="E2665">
        <v>0.48336240000000003</v>
      </c>
      <c r="F2665" t="s">
        <v>57</v>
      </c>
      <c r="G2665">
        <v>-408.6336</v>
      </c>
      <c r="H2665" s="1">
        <v>4.487055E-6</v>
      </c>
      <c r="I2665">
        <v>215.0351</v>
      </c>
      <c r="J2665">
        <v>-428.9119</v>
      </c>
      <c r="K2665">
        <v>1.1088009999999999</v>
      </c>
      <c r="L2665">
        <v>214.9657</v>
      </c>
      <c r="M2665">
        <v>0.99991430000000003</v>
      </c>
      <c r="N2665">
        <v>0</v>
      </c>
      <c r="O2665">
        <v>1.075248E-2</v>
      </c>
      <c r="P2665">
        <v>0.99895719999999999</v>
      </c>
      <c r="Q2665">
        <v>-1.2889340000000001E-2</v>
      </c>
      <c r="R2665">
        <v>-4.3800619999999998E-2</v>
      </c>
      <c r="S2665">
        <v>3.0012509999999999</v>
      </c>
      <c r="T2665">
        <v>-0.1610781</v>
      </c>
      <c r="U2665">
        <v>1.068115E-2</v>
      </c>
      <c r="V2665">
        <v>5.4541729999999997E-2</v>
      </c>
      <c r="W2665">
        <v>-5.4157839999999999E-3</v>
      </c>
      <c r="X2665">
        <v>0.99849679999999996</v>
      </c>
      <c r="Y2665">
        <v>7.1682530000000003E-3</v>
      </c>
      <c r="Z2665">
        <v>-7.6889959999999996E-4</v>
      </c>
      <c r="AA2665">
        <v>0.99997400000000003</v>
      </c>
      <c r="AB2665">
        <v>38</v>
      </c>
      <c r="AC2665">
        <v>20.278300000000002</v>
      </c>
      <c r="AD2665">
        <v>-1.1087965129449999</v>
      </c>
      <c r="AE2665">
        <v>6.9400000000001599E-2</v>
      </c>
      <c r="AF2665">
        <v>0.148208999968444</v>
      </c>
      <c r="AG2665">
        <v>-1.1087965129449999</v>
      </c>
      <c r="AH2665">
        <v>20.2174287488075</v>
      </c>
      <c r="AI2665">
        <v>93.139077635166501</v>
      </c>
      <c r="AJ2665">
        <v>89.579986249536105</v>
      </c>
      <c r="AK2665">
        <v>20.248353533754301</v>
      </c>
      <c r="AL2665">
        <v>90.310303084321504</v>
      </c>
      <c r="AM2665">
        <v>86.873391691914193</v>
      </c>
      <c r="AN2665">
        <v>0.99999999531898298</v>
      </c>
    </row>
    <row r="2666" spans="1:40" x14ac:dyDescent="0.25">
      <c r="A2666" t="str">
        <f>"20190312154605019"</f>
        <v>20190312154605019</v>
      </c>
      <c r="B2666" t="str">
        <f>"1552376765009503"</f>
        <v>1552376765009503</v>
      </c>
      <c r="C2666" t="s">
        <v>40</v>
      </c>
      <c r="D2666">
        <v>4.581944</v>
      </c>
      <c r="E2666">
        <v>0.48179840000000002</v>
      </c>
      <c r="F2666" t="s">
        <v>57</v>
      </c>
      <c r="G2666">
        <v>-408.41890000000001</v>
      </c>
      <c r="H2666" s="1">
        <v>4.5885009999999996E-6</v>
      </c>
      <c r="I2666">
        <v>215.0051</v>
      </c>
      <c r="J2666">
        <v>-428.15249999999997</v>
      </c>
      <c r="K2666">
        <v>1.1087560000000001</v>
      </c>
      <c r="L2666">
        <v>214.97409999999999</v>
      </c>
      <c r="M2666">
        <v>0.99991269999999999</v>
      </c>
      <c r="N2666">
        <v>0</v>
      </c>
      <c r="O2666">
        <v>1.092134E-2</v>
      </c>
      <c r="P2666">
        <v>0.99892700000000001</v>
      </c>
      <c r="Q2666">
        <v>-1.215195E-2</v>
      </c>
      <c r="R2666">
        <v>-4.4695459999999999E-2</v>
      </c>
      <c r="S2666">
        <v>3.0012210000000001</v>
      </c>
      <c r="T2666">
        <v>-0.16238429999999901</v>
      </c>
      <c r="U2666">
        <v>5.7678219999999997E-3</v>
      </c>
      <c r="V2666">
        <v>5.5604059999999997E-2</v>
      </c>
      <c r="W2666">
        <v>-4.6853670000000002E-3</v>
      </c>
      <c r="X2666">
        <v>0.99844189999999999</v>
      </c>
      <c r="Y2666">
        <v>8.9708180000000002E-3</v>
      </c>
      <c r="Z2666">
        <v>-8.3299489999999997E-4</v>
      </c>
      <c r="AA2666">
        <v>0.99995940000000005</v>
      </c>
      <c r="AB2666">
        <v>38</v>
      </c>
      <c r="AC2666">
        <v>19.7335999999999</v>
      </c>
      <c r="AD2666">
        <v>-1.10875141149899</v>
      </c>
      <c r="AE2666">
        <v>3.1000000000005901E-2</v>
      </c>
      <c r="AF2666">
        <v>0.183944478977422</v>
      </c>
      <c r="AG2666">
        <v>-1.10875141149899</v>
      </c>
      <c r="AH2666">
        <v>19.670664163647199</v>
      </c>
      <c r="AI2666">
        <v>93.225964226483796</v>
      </c>
      <c r="AJ2666">
        <v>89.464230844627906</v>
      </c>
      <c r="AK2666">
        <v>19.7027458467809</v>
      </c>
      <c r="AL2666">
        <v>90.268452737881603</v>
      </c>
      <c r="AM2666">
        <v>86.812443023820407</v>
      </c>
      <c r="AN2666">
        <v>0.99999999591400901</v>
      </c>
    </row>
    <row r="2667" spans="1:40" x14ac:dyDescent="0.25">
      <c r="A2667" t="str">
        <f>"20190312154605039"</f>
        <v>20190312154605039</v>
      </c>
      <c r="B2667" t="str">
        <f>"1552376765029999"</f>
        <v>1552376765029999</v>
      </c>
      <c r="C2667" t="s">
        <v>40</v>
      </c>
      <c r="D2667">
        <v>4.5608570000000004</v>
      </c>
      <c r="E2667">
        <v>0.4816008</v>
      </c>
      <c r="F2667" t="s">
        <v>57</v>
      </c>
      <c r="G2667">
        <v>-408.22230000000002</v>
      </c>
      <c r="H2667" s="1">
        <v>4.6600939999999999E-6</v>
      </c>
      <c r="I2667">
        <v>215.0806</v>
      </c>
      <c r="J2667">
        <v>-427.7878</v>
      </c>
      <c r="K2667">
        <v>1.1087389999999999</v>
      </c>
      <c r="L2667">
        <v>214.97810000000001</v>
      </c>
      <c r="M2667">
        <v>0.99991169999999996</v>
      </c>
      <c r="N2667">
        <v>0</v>
      </c>
      <c r="O2667">
        <v>1.100422E-2</v>
      </c>
      <c r="P2667">
        <v>0.99892060000000005</v>
      </c>
      <c r="Q2667">
        <v>-1.118104E-2</v>
      </c>
      <c r="R2667">
        <v>-4.508641E-2</v>
      </c>
      <c r="S2667">
        <v>3.0019230000000001</v>
      </c>
      <c r="T2667">
        <v>-0.16700179999999901</v>
      </c>
      <c r="U2667">
        <v>1.6036990000000001E-2</v>
      </c>
      <c r="V2667">
        <v>5.6077389999999998E-2</v>
      </c>
      <c r="W2667">
        <v>-3.722562E-3</v>
      </c>
      <c r="X2667">
        <v>0.99841950000000002</v>
      </c>
      <c r="Y2667">
        <v>5.6367939999999997E-3</v>
      </c>
      <c r="Z2667">
        <v>-7.6837809999999896E-4</v>
      </c>
      <c r="AA2667">
        <v>0.99998379999999998</v>
      </c>
      <c r="AB2667">
        <v>38</v>
      </c>
      <c r="AC2667">
        <v>19.565499999999901</v>
      </c>
      <c r="AD2667">
        <v>-1.1087343399059999</v>
      </c>
      <c r="AE2667">
        <v>0.102499999999992</v>
      </c>
      <c r="AF2667">
        <v>0.11245414019192899</v>
      </c>
      <c r="AG2667">
        <v>-1.1087343399059999</v>
      </c>
      <c r="AH2667">
        <v>19.5028166870852</v>
      </c>
      <c r="AI2667">
        <v>93.253706496650807</v>
      </c>
      <c r="AJ2667">
        <v>89.669633554945193</v>
      </c>
      <c r="AK2667">
        <v>19.5346306978192</v>
      </c>
      <c r="AL2667">
        <v>90.213287581076798</v>
      </c>
      <c r="AM2667">
        <v>86.785293617371295</v>
      </c>
      <c r="AN2667">
        <v>1.0000000145586501</v>
      </c>
    </row>
    <row r="2668" spans="1:40" x14ac:dyDescent="0.25">
      <c r="A2668" t="str">
        <f>"20190312154605063"</f>
        <v>20190312154605063</v>
      </c>
      <c r="B2668" t="str">
        <f>"1552376765059278"</f>
        <v>1552376765059278</v>
      </c>
      <c r="C2668" t="s">
        <v>40</v>
      </c>
      <c r="D2668">
        <v>4.5900339999999904</v>
      </c>
      <c r="E2668">
        <v>0.48310969999999998</v>
      </c>
      <c r="F2668" t="s">
        <v>57</v>
      </c>
      <c r="G2668">
        <v>-407.0104</v>
      </c>
      <c r="H2668" s="1">
        <v>5.1952529999999998E-6</v>
      </c>
      <c r="I2668">
        <v>215.0915</v>
      </c>
      <c r="J2668">
        <v>-427.39699999999999</v>
      </c>
      <c r="K2668">
        <v>1.108727</v>
      </c>
      <c r="L2668">
        <v>214.98259999999999</v>
      </c>
      <c r="M2668">
        <v>0.99991099999999999</v>
      </c>
      <c r="N2668">
        <v>0</v>
      </c>
      <c r="O2668">
        <v>1.1086779999999999E-2</v>
      </c>
      <c r="P2668">
        <v>0.99889030000000001</v>
      </c>
      <c r="Q2668">
        <v>-1.0716140000000001E-2</v>
      </c>
      <c r="R2668">
        <v>-4.5864549999999997E-2</v>
      </c>
      <c r="S2668">
        <v>3.002167</v>
      </c>
      <c r="T2668">
        <v>-0.1602027</v>
      </c>
      <c r="U2668">
        <v>1.6372680000000001E-2</v>
      </c>
      <c r="V2668">
        <v>5.6937370000000001E-2</v>
      </c>
      <c r="W2668">
        <v>-3.267533E-3</v>
      </c>
      <c r="X2668">
        <v>0.99837240000000005</v>
      </c>
      <c r="Y2668">
        <v>5.6099660000000001E-3</v>
      </c>
      <c r="Z2668">
        <v>-7.4076800000000005E-4</v>
      </c>
      <c r="AA2668">
        <v>0.99998399999999998</v>
      </c>
      <c r="AB2668">
        <v>38</v>
      </c>
      <c r="AC2668">
        <v>20.386599999999898</v>
      </c>
      <c r="AD2668">
        <v>-1.108721804747</v>
      </c>
      <c r="AE2668">
        <v>0.10890000000000501</v>
      </c>
      <c r="AF2668">
        <v>0.116789248053126</v>
      </c>
      <c r="AG2668">
        <v>-1.108721804747</v>
      </c>
      <c r="AH2668">
        <v>20.3264363629036</v>
      </c>
      <c r="AI2668">
        <v>93.122098967015901</v>
      </c>
      <c r="AJ2668">
        <v>89.670800269540507</v>
      </c>
      <c r="AK2668">
        <v>20.356986981966401</v>
      </c>
      <c r="AL2668">
        <v>90.187216184404903</v>
      </c>
      <c r="AM2668">
        <v>86.735946326062404</v>
      </c>
      <c r="AN2668">
        <v>0.999999994978091</v>
      </c>
    </row>
    <row r="2669" spans="1:40" x14ac:dyDescent="0.25">
      <c r="A2669" t="str">
        <f>"20190312154605086"</f>
        <v>20190312154605086</v>
      </c>
      <c r="B2669" t="str">
        <f>"1552376765079775"</f>
        <v>1552376765079775</v>
      </c>
      <c r="C2669" t="s">
        <v>40</v>
      </c>
      <c r="D2669">
        <v>4.5792279999999996</v>
      </c>
      <c r="E2669">
        <v>0.48469679999999998</v>
      </c>
      <c r="F2669" t="s">
        <v>57</v>
      </c>
      <c r="G2669">
        <v>-402.67809999999997</v>
      </c>
      <c r="H2669" s="1">
        <v>7.1367529999999998E-6</v>
      </c>
      <c r="I2669">
        <v>214.9931</v>
      </c>
      <c r="J2669">
        <v>-427.00490000000002</v>
      </c>
      <c r="K2669">
        <v>1.108706</v>
      </c>
      <c r="L2669">
        <v>214.98699999999999</v>
      </c>
      <c r="M2669">
        <v>0.99991019999999997</v>
      </c>
      <c r="N2669">
        <v>0</v>
      </c>
      <c r="O2669">
        <v>1.115083E-2</v>
      </c>
      <c r="P2669">
        <v>0.99887539999999997</v>
      </c>
      <c r="Q2669">
        <v>-9.9340399999999999E-3</v>
      </c>
      <c r="R2669">
        <v>-4.6361029999999998E-2</v>
      </c>
      <c r="S2669">
        <v>3.0019529999999999</v>
      </c>
      <c r="T2669">
        <v>-0.1346473</v>
      </c>
      <c r="U2669">
        <v>1.2817379999999999E-3</v>
      </c>
      <c r="V2669">
        <v>5.749725E-2</v>
      </c>
      <c r="W2669">
        <v>-2.494853E-3</v>
      </c>
      <c r="X2669">
        <v>0.99834259999999997</v>
      </c>
      <c r="Y2669">
        <v>1.070222E-2</v>
      </c>
      <c r="Z2669">
        <v>-7.3979899999999997E-4</v>
      </c>
      <c r="AA2669">
        <v>0.99994249999999996</v>
      </c>
      <c r="AB2669">
        <v>38</v>
      </c>
      <c r="AC2669">
        <v>24.326799999999999</v>
      </c>
      <c r="AD2669">
        <v>-1.1086988632470001</v>
      </c>
      <c r="AE2669">
        <v>6.1000000000035401E-3</v>
      </c>
      <c r="AF2669">
        <v>0.26462223802111401</v>
      </c>
      <c r="AG2669">
        <v>-1.1086988632470001</v>
      </c>
      <c r="AH2669">
        <v>24.2749340393936</v>
      </c>
      <c r="AI2669">
        <v>92.614873625790096</v>
      </c>
      <c r="AJ2669">
        <v>89.375440656141706</v>
      </c>
      <c r="AK2669">
        <v>24.301680203540101</v>
      </c>
      <c r="AL2669">
        <v>90.142944688187697</v>
      </c>
      <c r="AM2669">
        <v>86.703822289121604</v>
      </c>
      <c r="AN2669">
        <v>1.0000000525118999</v>
      </c>
    </row>
    <row r="2670" spans="1:40" x14ac:dyDescent="0.25">
      <c r="A2670" t="str">
        <f>"20190312154605111"</f>
        <v>20190312154605111</v>
      </c>
      <c r="B2670" t="str">
        <f>"1552376765099294"</f>
        <v>1552376765099294</v>
      </c>
      <c r="C2670" t="s">
        <v>40</v>
      </c>
      <c r="D2670">
        <v>4.5464399999999996</v>
      </c>
      <c r="E2670">
        <v>0.48591800000000002</v>
      </c>
      <c r="F2670" t="s">
        <v>54</v>
      </c>
      <c r="G2670">
        <v>-395.98660000000001</v>
      </c>
      <c r="H2670" s="1">
        <v>1.6489709999999901E-6</v>
      </c>
      <c r="I2670">
        <v>214.84469999999999</v>
      </c>
      <c r="J2670">
        <v>-426.57530000000003</v>
      </c>
      <c r="K2670">
        <v>1.1086819999999999</v>
      </c>
      <c r="L2670">
        <v>214.99180000000001</v>
      </c>
      <c r="M2670">
        <v>0.99990979999999996</v>
      </c>
      <c r="N2670">
        <v>0</v>
      </c>
      <c r="O2670">
        <v>1.1200959999999999E-2</v>
      </c>
      <c r="P2670">
        <v>0.99887389999999998</v>
      </c>
      <c r="Q2670">
        <v>-9.1098580000000002E-3</v>
      </c>
      <c r="R2670">
        <v>-4.6563960000000001E-2</v>
      </c>
      <c r="S2670">
        <v>3.0016780000000001</v>
      </c>
      <c r="T2670">
        <v>-0.1072905</v>
      </c>
      <c r="U2670">
        <v>-1.376343E-2</v>
      </c>
      <c r="V2670">
        <v>5.7749889999999998E-2</v>
      </c>
      <c r="W2670">
        <v>-1.6791009999999999E-3</v>
      </c>
      <c r="X2670">
        <v>0.99832969999999999</v>
      </c>
      <c r="Y2670">
        <v>1.5768830000000001E-2</v>
      </c>
      <c r="Z2670">
        <v>-6.8196420000000003E-4</v>
      </c>
      <c r="AA2670">
        <v>0.99987539999999997</v>
      </c>
      <c r="AB2670">
        <v>38</v>
      </c>
      <c r="AC2670">
        <v>30.588699999999999</v>
      </c>
      <c r="AD2670">
        <v>-1.108680351029</v>
      </c>
      <c r="AE2670">
        <v>-0.14710000000002299</v>
      </c>
      <c r="AF2670">
        <v>0.48908050523917401</v>
      </c>
      <c r="AG2670">
        <v>-1.108680351029</v>
      </c>
      <c r="AH2670">
        <v>30.545007738803601</v>
      </c>
      <c r="AI2670">
        <v>92.078464049410897</v>
      </c>
      <c r="AJ2670">
        <v>89.082669919730705</v>
      </c>
      <c r="AK2670">
        <v>30.569034489576801</v>
      </c>
      <c r="AL2670">
        <v>90.096205443041001</v>
      </c>
      <c r="AM2670">
        <v>86.689328512975706</v>
      </c>
      <c r="AN2670">
        <v>1.00000002953863</v>
      </c>
    </row>
    <row r="2671" spans="1:40" x14ac:dyDescent="0.25">
      <c r="A2671" t="str">
        <f>"20190312154605152"</f>
        <v>20190312154605152</v>
      </c>
      <c r="B2671" t="str">
        <f>"1552376765150046"</f>
        <v>1552376765150046</v>
      </c>
      <c r="C2671" t="s">
        <v>40</v>
      </c>
      <c r="D2671">
        <v>4.5390839999999999</v>
      </c>
      <c r="E2671">
        <v>0.48796640000000002</v>
      </c>
      <c r="F2671" t="s">
        <v>54</v>
      </c>
      <c r="G2671">
        <v>-387.95749999999998</v>
      </c>
      <c r="H2671" s="1">
        <v>2.6953989999999998E-6</v>
      </c>
      <c r="I2671">
        <v>214.67160000000001</v>
      </c>
      <c r="J2671">
        <v>-425.85969999999998</v>
      </c>
      <c r="K2671">
        <v>1.108638</v>
      </c>
      <c r="L2671">
        <v>214.99979999999999</v>
      </c>
      <c r="M2671">
        <v>0.99990970000000001</v>
      </c>
      <c r="N2671">
        <v>0</v>
      </c>
      <c r="O2671">
        <v>1.120758E-2</v>
      </c>
      <c r="P2671">
        <v>0.9989574</v>
      </c>
      <c r="Q2671">
        <v>-8.8140960000000004E-3</v>
      </c>
      <c r="R2671">
        <v>-4.480054E-2</v>
      </c>
      <c r="S2671">
        <v>3.001404</v>
      </c>
      <c r="T2671">
        <v>-8.6167450000000007E-2</v>
      </c>
      <c r="U2671">
        <v>-2.4887079999999999E-2</v>
      </c>
      <c r="V2671">
        <v>5.5993920000000003E-2</v>
      </c>
      <c r="W2671">
        <v>-1.3931270000000001E-3</v>
      </c>
      <c r="X2671">
        <v>0.99843009999999999</v>
      </c>
      <c r="Y2671">
        <v>1.9485860000000001E-2</v>
      </c>
      <c r="Z2671">
        <v>-6.013425E-4</v>
      </c>
      <c r="AA2671">
        <v>0.99980999999999998</v>
      </c>
      <c r="AB2671">
        <v>38</v>
      </c>
      <c r="AC2671">
        <v>37.902199999999901</v>
      </c>
      <c r="AD2671">
        <v>-1.108635304601</v>
      </c>
      <c r="AE2671">
        <v>-0.32819999999998101</v>
      </c>
      <c r="AF2671">
        <v>0.752339382348574</v>
      </c>
      <c r="AG2671">
        <v>-1.108635304601</v>
      </c>
      <c r="AH2671">
        <v>37.863748782273703</v>
      </c>
      <c r="AI2671">
        <v>91.676787402274897</v>
      </c>
      <c r="AJ2671">
        <v>88.8617027810308</v>
      </c>
      <c r="AK2671">
        <v>37.887445923841</v>
      </c>
      <c r="AL2671">
        <v>90.079820326259494</v>
      </c>
      <c r="AM2671">
        <v>86.790102633260503</v>
      </c>
      <c r="AN2671">
        <v>0.99999996223290599</v>
      </c>
    </row>
    <row r="2672" spans="1:40" x14ac:dyDescent="0.25">
      <c r="A2672" t="str">
        <f>"20190312154605174"</f>
        <v>20190312154605174</v>
      </c>
      <c r="B2672" t="str">
        <f>"1552376765169567"</f>
        <v>1552376765169567</v>
      </c>
      <c r="C2672" t="s">
        <v>40</v>
      </c>
      <c r="D2672">
        <v>4.5063149999999998</v>
      </c>
      <c r="E2672">
        <v>0.48841200000000001</v>
      </c>
      <c r="F2672" t="s">
        <v>54</v>
      </c>
      <c r="G2672">
        <v>-366.9787</v>
      </c>
      <c r="H2672" s="1">
        <v>2.1769260000000002E-6</v>
      </c>
      <c r="I2672">
        <v>214.2672</v>
      </c>
      <c r="J2672">
        <v>-425.48169999999999</v>
      </c>
      <c r="K2672">
        <v>1.1085910000000001</v>
      </c>
      <c r="L2672">
        <v>215.00399999999999</v>
      </c>
      <c r="M2672">
        <v>0.99991050000000004</v>
      </c>
      <c r="N2672">
        <v>0</v>
      </c>
      <c r="O2672">
        <v>1.1133759999999999E-2</v>
      </c>
      <c r="P2672">
        <v>0.99900279999999997</v>
      </c>
      <c r="Q2672">
        <v>-9.8625710000000005E-3</v>
      </c>
      <c r="R2672">
        <v>-4.355096E-2</v>
      </c>
      <c r="S2672">
        <v>3.0009459999999999</v>
      </c>
      <c r="T2672">
        <v>-5.6503060000000001E-2</v>
      </c>
      <c r="U2672">
        <v>-3.7338259999999998E-2</v>
      </c>
      <c r="V2672">
        <v>5.4670999999999997E-2</v>
      </c>
      <c r="W2672">
        <v>-2.446096E-3</v>
      </c>
      <c r="X2672">
        <v>0.99850139999999998</v>
      </c>
      <c r="Y2672">
        <v>2.356749E-2</v>
      </c>
      <c r="Z2672">
        <v>-4.314516E-4</v>
      </c>
      <c r="AA2672">
        <v>0.99972220000000001</v>
      </c>
      <c r="AB2672">
        <v>38</v>
      </c>
      <c r="AC2672">
        <v>58.502999999999901</v>
      </c>
      <c r="AD2672">
        <v>-1.108588823074</v>
      </c>
      <c r="AE2672">
        <v>-0.736800000000016</v>
      </c>
      <c r="AF2672">
        <v>1.38763242899905</v>
      </c>
      <c r="AG2672">
        <v>-1.108588823074</v>
      </c>
      <c r="AH2672">
        <v>58.4701782463193</v>
      </c>
      <c r="AI2672">
        <v>91.085886515562805</v>
      </c>
      <c r="AJ2672">
        <v>88.640493962969103</v>
      </c>
      <c r="AK2672">
        <v>58.497147256024398</v>
      </c>
      <c r="AL2672">
        <v>90.140151120531002</v>
      </c>
      <c r="AM2672">
        <v>86.866010444605607</v>
      </c>
      <c r="AN2672">
        <v>0.99999997371430005</v>
      </c>
    </row>
    <row r="2673" spans="1:40" x14ac:dyDescent="0.25">
      <c r="A2673" t="str">
        <f>"20190312154605196"</f>
        <v>20190312154605196</v>
      </c>
      <c r="B2673" t="str">
        <f>"1552376765190063"</f>
        <v>1552376765190063</v>
      </c>
      <c r="C2673" t="s">
        <v>40</v>
      </c>
      <c r="D2673">
        <v>4.4992080000000003</v>
      </c>
      <c r="E2673">
        <v>0.488786</v>
      </c>
      <c r="F2673" t="s">
        <v>54</v>
      </c>
      <c r="G2673">
        <v>-362.33629999999999</v>
      </c>
      <c r="H2673" s="1">
        <v>-2.9351980000000001E-7</v>
      </c>
      <c r="I2673">
        <v>214.21899999999999</v>
      </c>
      <c r="J2673">
        <v>-425.08949999999999</v>
      </c>
      <c r="K2673">
        <v>1.1085259999999999</v>
      </c>
      <c r="L2673">
        <v>215.00829999999999</v>
      </c>
      <c r="M2673">
        <v>0.99991209999999997</v>
      </c>
      <c r="N2673">
        <v>0</v>
      </c>
      <c r="O2673">
        <v>1.0976980000000001E-2</v>
      </c>
      <c r="P2673">
        <v>0.99906360000000005</v>
      </c>
      <c r="Q2673">
        <v>-1.0511370000000001E-2</v>
      </c>
      <c r="R2673">
        <v>-4.1975650000000003E-2</v>
      </c>
      <c r="S2673">
        <v>3.0008849999999998</v>
      </c>
      <c r="T2673">
        <v>-5.268407E-2</v>
      </c>
      <c r="U2673">
        <v>-3.7307739999999999E-2</v>
      </c>
      <c r="V2673">
        <v>5.2939279999999998E-2</v>
      </c>
      <c r="W2673">
        <v>-3.0994170000000001E-3</v>
      </c>
      <c r="X2673">
        <v>0.99859290000000001</v>
      </c>
      <c r="Y2673">
        <v>2.3401669999999999E-2</v>
      </c>
      <c r="Z2673">
        <v>-3.980953E-4</v>
      </c>
      <c r="AA2673">
        <v>0.99972609999999995</v>
      </c>
      <c r="AB2673">
        <v>39</v>
      </c>
      <c r="AC2673">
        <v>62.7531999999999</v>
      </c>
      <c r="AD2673">
        <v>-1.1085262935197999</v>
      </c>
      <c r="AE2673">
        <v>-0.78929999999996803</v>
      </c>
      <c r="AF2673">
        <v>1.47765108698828</v>
      </c>
      <c r="AG2673">
        <v>-1.1085262935197999</v>
      </c>
      <c r="AH2673">
        <v>62.721185739806302</v>
      </c>
      <c r="AI2673">
        <v>91.012252115910201</v>
      </c>
      <c r="AJ2673">
        <v>88.650415938371097</v>
      </c>
      <c r="AK2673">
        <v>62.7483818427662</v>
      </c>
      <c r="AL2673">
        <v>90.177583801487501</v>
      </c>
      <c r="AM2673">
        <v>86.965369445852403</v>
      </c>
      <c r="AN2673">
        <v>0.99999997684153297</v>
      </c>
    </row>
    <row r="2674" spans="1:40" x14ac:dyDescent="0.25">
      <c r="A2674" t="str">
        <f>"20190312154605219"</f>
        <v>20190312154605219</v>
      </c>
      <c r="B2674" t="str">
        <f>"1552376765209583"</f>
        <v>1552376765209583</v>
      </c>
      <c r="C2674" t="s">
        <v>40</v>
      </c>
      <c r="D2674">
        <v>4.5211980000000001</v>
      </c>
      <c r="E2674">
        <v>0.48914259999999898</v>
      </c>
      <c r="F2674" t="s">
        <v>54</v>
      </c>
      <c r="G2674">
        <v>-357.99650000000003</v>
      </c>
      <c r="H2674" s="1">
        <v>2.736318E-6</v>
      </c>
      <c r="I2674">
        <v>214.20930000000001</v>
      </c>
      <c r="J2674">
        <v>-424.7</v>
      </c>
      <c r="K2674">
        <v>1.1084339999999999</v>
      </c>
      <c r="L2674">
        <v>215.01230000000001</v>
      </c>
      <c r="M2674">
        <v>0.999915</v>
      </c>
      <c r="N2674">
        <v>0</v>
      </c>
      <c r="O2674">
        <v>1.071274E-2</v>
      </c>
      <c r="P2674">
        <v>0.99911110000000003</v>
      </c>
      <c r="Q2674">
        <v>-1.157087E-2</v>
      </c>
      <c r="R2674">
        <v>-4.0536490000000001E-2</v>
      </c>
      <c r="S2674">
        <v>3.0008240000000002</v>
      </c>
      <c r="T2674">
        <v>-4.9580100000000002E-2</v>
      </c>
      <c r="U2674">
        <v>-3.5736080000000003E-2</v>
      </c>
      <c r="V2674">
        <v>5.123598E-2</v>
      </c>
      <c r="W2674">
        <v>-4.1638049999999996E-3</v>
      </c>
      <c r="X2674">
        <v>0.99867790000000001</v>
      </c>
      <c r="Y2674">
        <v>2.261496E-2</v>
      </c>
      <c r="Z2674">
        <v>-3.6378909999999998E-4</v>
      </c>
      <c r="AA2674">
        <v>0.99974419999999997</v>
      </c>
      <c r="AB2674">
        <v>39</v>
      </c>
      <c r="AC2674">
        <v>66.703499999999906</v>
      </c>
      <c r="AD2674">
        <v>-1.108431263682</v>
      </c>
      <c r="AE2674">
        <v>-0.80299999999999705</v>
      </c>
      <c r="AF2674">
        <v>1.5171320338954599</v>
      </c>
      <c r="AG2674">
        <v>-1.108431263682</v>
      </c>
      <c r="AH2674">
        <v>66.672661632630394</v>
      </c>
      <c r="AI2674">
        <v>90.952206656803597</v>
      </c>
      <c r="AJ2674">
        <v>88.696463256261794</v>
      </c>
      <c r="AK2674">
        <v>66.699131318584705</v>
      </c>
      <c r="AL2674">
        <v>90.238569141278901</v>
      </c>
      <c r="AM2674">
        <v>87.063083212786097</v>
      </c>
      <c r="AN2674">
        <v>1.0000000054335201</v>
      </c>
    </row>
    <row r="2675" spans="1:40" x14ac:dyDescent="0.25">
      <c r="A2675" t="str">
        <f>"20190312154605240"</f>
        <v>20190312154605240</v>
      </c>
      <c r="B2675" t="str">
        <f>"1552376765230079"</f>
        <v>1552376765230079</v>
      </c>
      <c r="C2675" t="s">
        <v>40</v>
      </c>
      <c r="D2675">
        <v>2.7980849999999999</v>
      </c>
      <c r="E2675">
        <v>0.48914259999999898</v>
      </c>
      <c r="F2675" t="s">
        <v>54</v>
      </c>
      <c r="G2675">
        <v>-351.48430000000002</v>
      </c>
      <c r="H2675" s="1">
        <v>-7.2733620000000003E-7</v>
      </c>
      <c r="I2675">
        <v>214.16900000000001</v>
      </c>
      <c r="J2675">
        <v>-424.32429999999999</v>
      </c>
      <c r="K2675">
        <v>1.108336</v>
      </c>
      <c r="L2675">
        <v>215.01599999999999</v>
      </c>
      <c r="M2675">
        <v>0.99991890000000005</v>
      </c>
      <c r="N2675">
        <v>0</v>
      </c>
      <c r="O2675">
        <v>1.035063E-2</v>
      </c>
      <c r="P2675">
        <v>0.99911229999999995</v>
      </c>
      <c r="Q2675">
        <v>-1.268562E-2</v>
      </c>
      <c r="R2675">
        <v>-4.0176570000000002E-2</v>
      </c>
      <c r="S2675">
        <v>3.0007320000000002</v>
      </c>
      <c r="T2675">
        <v>-4.5428990000000002E-2</v>
      </c>
      <c r="U2675">
        <v>-3.456116E-2</v>
      </c>
      <c r="V2675">
        <v>5.0512769999999999E-2</v>
      </c>
      <c r="W2675">
        <v>-5.2834450000000003E-3</v>
      </c>
      <c r="X2675">
        <v>0.99870939999999997</v>
      </c>
      <c r="Y2675">
        <v>2.186273E-2</v>
      </c>
      <c r="Z2675">
        <v>-3.2216999999999999E-4</v>
      </c>
      <c r="AA2675">
        <v>0.99976089999999995</v>
      </c>
      <c r="AB2675">
        <v>39</v>
      </c>
      <c r="AC2675">
        <v>72.839999999999904</v>
      </c>
      <c r="AD2675">
        <v>-1.1083367273361999</v>
      </c>
      <c r="AE2675">
        <v>-0.84699999999997999</v>
      </c>
      <c r="AF2675">
        <v>1.60054474873666</v>
      </c>
      <c r="AG2675">
        <v>-1.1083367273361999</v>
      </c>
      <c r="AH2675">
        <v>72.810475192520201</v>
      </c>
      <c r="AI2675">
        <v>90.871890733100699</v>
      </c>
      <c r="AJ2675">
        <v>88.740707407581894</v>
      </c>
      <c r="AK2675">
        <v>72.836498073112196</v>
      </c>
      <c r="AL2675">
        <v>90.302720520249807</v>
      </c>
      <c r="AM2675">
        <v>87.104558724833296</v>
      </c>
      <c r="AN2675">
        <v>0.99999996018624904</v>
      </c>
    </row>
    <row r="2676" spans="1:40" x14ac:dyDescent="0.25">
      <c r="A2676" t="str">
        <f>"20190312154605331"</f>
        <v>20190312154605331</v>
      </c>
      <c r="B2676" t="str">
        <f>"1552376765329631"</f>
        <v>1552376765329631</v>
      </c>
      <c r="C2676" t="s">
        <v>40</v>
      </c>
      <c r="D2676">
        <v>2.7635969999999999</v>
      </c>
      <c r="E2676">
        <v>0.49680079999999999</v>
      </c>
      <c r="F2676" t="s">
        <v>54</v>
      </c>
      <c r="G2676">
        <v>-356.07850000000002</v>
      </c>
      <c r="H2676" s="1">
        <v>1.7137030000000001E-6</v>
      </c>
      <c r="I2676">
        <v>214.25460000000001</v>
      </c>
      <c r="J2676">
        <v>-422.73989999999998</v>
      </c>
      <c r="K2676">
        <v>1.108052</v>
      </c>
      <c r="L2676">
        <v>215.0291</v>
      </c>
      <c r="M2676">
        <v>0.9999401</v>
      </c>
      <c r="N2676">
        <v>0</v>
      </c>
      <c r="O2676">
        <v>7.9830349999999994E-3</v>
      </c>
      <c r="P2676">
        <v>0.99879439999999997</v>
      </c>
      <c r="Q2676">
        <v>-1.146149E-2</v>
      </c>
      <c r="R2676">
        <v>-4.7734100000000002E-2</v>
      </c>
      <c r="S2676">
        <v>3.000702</v>
      </c>
      <c r="T2676">
        <v>-4.8732400000000002E-2</v>
      </c>
      <c r="U2676">
        <v>-3.3477779999999999E-2</v>
      </c>
      <c r="V2676">
        <v>5.5700859999999998E-2</v>
      </c>
      <c r="W2676">
        <v>-4.0358039999999996E-3</v>
      </c>
      <c r="X2676">
        <v>0.99843939999999998</v>
      </c>
      <c r="Y2676">
        <v>1.9134789999999999E-2</v>
      </c>
      <c r="Z2676">
        <v>-2.850013E-4</v>
      </c>
      <c r="AA2676">
        <v>0.99981690000000001</v>
      </c>
      <c r="AB2676">
        <v>39</v>
      </c>
      <c r="AC2676">
        <v>66.661399999999901</v>
      </c>
      <c r="AD2676">
        <v>-1.1080502862970001</v>
      </c>
      <c r="AE2676">
        <v>-0.77449999999998898</v>
      </c>
      <c r="AF2676">
        <v>1.3062896575287899</v>
      </c>
      <c r="AG2676">
        <v>-1.1080502862970001</v>
      </c>
      <c r="AH2676">
        <v>66.634684465617497</v>
      </c>
      <c r="AI2676">
        <v>90.952485367421204</v>
      </c>
      <c r="AJ2676">
        <v>88.876931748019302</v>
      </c>
      <c r="AK2676">
        <v>66.656697652514595</v>
      </c>
      <c r="AL2676">
        <v>90.2312351512589</v>
      </c>
      <c r="AM2676">
        <v>86.806897363488602</v>
      </c>
      <c r="AN2676">
        <v>1.0000000544955101</v>
      </c>
    </row>
    <row r="2677" spans="1:40" x14ac:dyDescent="0.25">
      <c r="A2677" t="str">
        <f>"20190312154605354"</f>
        <v>20190312154605354</v>
      </c>
      <c r="B2677" t="str">
        <f>"1552376765349150"</f>
        <v>1552376765349150</v>
      </c>
      <c r="C2677" t="s">
        <v>40</v>
      </c>
      <c r="D2677">
        <v>4.3748170000000002</v>
      </c>
      <c r="E2677">
        <v>0.49854739999999997</v>
      </c>
      <c r="F2677" t="s">
        <v>41</v>
      </c>
      <c r="G2677">
        <v>-421.89510000000001</v>
      </c>
      <c r="H2677">
        <v>0.84900750000000003</v>
      </c>
      <c r="I2677">
        <v>215.00729999999999</v>
      </c>
      <c r="J2677">
        <v>-422.35579999999999</v>
      </c>
      <c r="K2677">
        <v>1.1080110000000001</v>
      </c>
      <c r="L2677">
        <v>215.0316</v>
      </c>
      <c r="M2677">
        <v>0.99994499999999997</v>
      </c>
      <c r="N2677">
        <v>0</v>
      </c>
      <c r="O2677">
        <v>7.302378E-3</v>
      </c>
      <c r="P2677">
        <v>0.99863400000000002</v>
      </c>
      <c r="Q2677">
        <v>-1.121628E-2</v>
      </c>
      <c r="R2677">
        <v>-5.1033639999999998E-2</v>
      </c>
      <c r="S2677">
        <v>2.9894409999999998</v>
      </c>
      <c r="T2677">
        <v>-0.91659860000000004</v>
      </c>
      <c r="U2677">
        <v>-7.6629639999999999E-2</v>
      </c>
      <c r="V2677">
        <v>5.8319549999999998E-2</v>
      </c>
      <c r="W2677">
        <v>-3.7731599999999998E-3</v>
      </c>
      <c r="X2677">
        <v>0.99829080000000003</v>
      </c>
      <c r="Y2677">
        <v>3.1158310000000002E-2</v>
      </c>
      <c r="Z2677">
        <v>-6.8572310000000001E-3</v>
      </c>
      <c r="AA2677">
        <v>0.99949089999999996</v>
      </c>
      <c r="AB2677">
        <v>39</v>
      </c>
      <c r="AC2677">
        <v>0.46069999999997402</v>
      </c>
      <c r="AD2677">
        <v>-0.2590035</v>
      </c>
      <c r="AE2677">
        <v>-2.4300000000010799E-2</v>
      </c>
      <c r="AF2677">
        <v>2.10340077209701E-2</v>
      </c>
      <c r="AG2677">
        <v>-0.2590035</v>
      </c>
      <c r="AH2677">
        <v>0.35014813297699598</v>
      </c>
      <c r="AI2677">
        <v>126.44089539322999</v>
      </c>
      <c r="AJ2677">
        <v>86.562273981460194</v>
      </c>
      <c r="AK2677">
        <v>0.43603779368345102</v>
      </c>
      <c r="AL2677">
        <v>90.216186664176305</v>
      </c>
      <c r="AM2677">
        <v>86.656614922066396</v>
      </c>
      <c r="AN2677">
        <v>0.99999996400661295</v>
      </c>
    </row>
    <row r="2678" spans="1:40" x14ac:dyDescent="0.25">
      <c r="A2678" t="str">
        <f>"20190312154605375"</f>
        <v>20190312154605375</v>
      </c>
      <c r="B2678" t="str">
        <f>"1552376765369646"</f>
        <v>1552376765369646</v>
      </c>
      <c r="C2678" t="s">
        <v>40</v>
      </c>
      <c r="D2678">
        <v>4.4687609999999998</v>
      </c>
      <c r="E2678">
        <v>0.49929820000000003</v>
      </c>
      <c r="F2678" t="s">
        <v>41</v>
      </c>
      <c r="G2678">
        <v>-421.52050000000003</v>
      </c>
      <c r="H2678">
        <v>0.9037172</v>
      </c>
      <c r="I2678">
        <v>215.0009</v>
      </c>
      <c r="J2678">
        <v>-421.97030000000001</v>
      </c>
      <c r="K2678">
        <v>1.107985</v>
      </c>
      <c r="L2678">
        <v>215.03389999999999</v>
      </c>
      <c r="M2678">
        <v>0.99994950000000005</v>
      </c>
      <c r="N2678">
        <v>0</v>
      </c>
      <c r="O2678">
        <v>6.6148190000000001E-3</v>
      </c>
      <c r="P2678">
        <v>0.9984847</v>
      </c>
      <c r="Q2678">
        <v>-1.0688339999999999E-2</v>
      </c>
      <c r="R2678">
        <v>-5.398443E-2</v>
      </c>
      <c r="S2678">
        <v>2.990265</v>
      </c>
      <c r="T2678">
        <v>-0.7312765</v>
      </c>
      <c r="U2678">
        <v>-0.1092987</v>
      </c>
      <c r="V2678">
        <v>6.0583329999999998E-2</v>
      </c>
      <c r="W2678">
        <v>-3.2197150000000002E-3</v>
      </c>
      <c r="X2678">
        <v>0.99815799999999999</v>
      </c>
      <c r="Y2678">
        <v>4.171449E-2</v>
      </c>
      <c r="Z2678">
        <v>-6.6187750000000004E-3</v>
      </c>
      <c r="AA2678">
        <v>0.99910770000000004</v>
      </c>
      <c r="AB2678">
        <v>39</v>
      </c>
      <c r="AC2678">
        <v>0.44979999999998199</v>
      </c>
      <c r="AD2678">
        <v>-0.2042678</v>
      </c>
      <c r="AE2678">
        <v>-3.2999999999986998E-2</v>
      </c>
      <c r="AF2678">
        <v>2.9851304994014099E-2</v>
      </c>
      <c r="AG2678">
        <v>-0.2042678</v>
      </c>
      <c r="AH2678">
        <v>0.37304837996762802</v>
      </c>
      <c r="AI2678">
        <v>118.62655638232999</v>
      </c>
      <c r="AJ2678">
        <v>85.424944138041297</v>
      </c>
      <c r="AK2678">
        <v>0.42635845051219201</v>
      </c>
      <c r="AL2678">
        <v>90.184476390298201</v>
      </c>
      <c r="AM2678">
        <v>86.526686119830501</v>
      </c>
      <c r="AN2678">
        <v>1.00000004970128</v>
      </c>
    </row>
    <row r="2679" spans="1:40" x14ac:dyDescent="0.25">
      <c r="A2679" t="str">
        <f>"20190312154605397"</f>
        <v>20190312154605397</v>
      </c>
      <c r="B2679" t="str">
        <f>"1552376765389167"</f>
        <v>1552376765389167</v>
      </c>
      <c r="C2679" t="s">
        <v>40</v>
      </c>
      <c r="D2679">
        <v>4.4576789999999997</v>
      </c>
      <c r="E2679">
        <v>0.4966409</v>
      </c>
      <c r="F2679" t="s">
        <v>41</v>
      </c>
      <c r="G2679">
        <v>-421.1558</v>
      </c>
      <c r="H2679">
        <v>0.93139859999999997</v>
      </c>
      <c r="I2679">
        <v>214.99879999999999</v>
      </c>
      <c r="J2679">
        <v>-421.57330000000002</v>
      </c>
      <c r="K2679">
        <v>1.1079760000000001</v>
      </c>
      <c r="L2679">
        <v>215.036</v>
      </c>
      <c r="M2679">
        <v>0.9999536</v>
      </c>
      <c r="N2679">
        <v>0</v>
      </c>
      <c r="O2679">
        <v>5.9181969999999896E-3</v>
      </c>
      <c r="P2679">
        <v>0.99839350000000004</v>
      </c>
      <c r="Q2679">
        <v>-1.087726E-2</v>
      </c>
      <c r="R2679">
        <v>-5.5609409999999998E-2</v>
      </c>
      <c r="S2679">
        <v>2.9906920000000001</v>
      </c>
      <c r="T2679">
        <v>-0.64844889999999999</v>
      </c>
      <c r="U2679">
        <v>-0.12872310000000001</v>
      </c>
      <c r="V2679">
        <v>6.151206E-2</v>
      </c>
      <c r="W2679">
        <v>-3.3725819999999998E-3</v>
      </c>
      <c r="X2679">
        <v>0.9981006</v>
      </c>
      <c r="Y2679">
        <v>4.7670579999999997E-2</v>
      </c>
      <c r="Z2679">
        <v>-6.3743530000000001E-3</v>
      </c>
      <c r="AA2679">
        <v>0.99884280000000003</v>
      </c>
      <c r="AB2679">
        <v>39</v>
      </c>
      <c r="AC2679">
        <v>0.41750000000001802</v>
      </c>
      <c r="AD2679">
        <v>-0.1765774</v>
      </c>
      <c r="AE2679">
        <v>-3.7199999999984301E-2</v>
      </c>
      <c r="AF2679">
        <v>3.3691129592490099E-2</v>
      </c>
      <c r="AG2679">
        <v>-0.1765774</v>
      </c>
      <c r="AH2679">
        <v>0.354380843108272</v>
      </c>
      <c r="AI2679">
        <v>116.382953468203</v>
      </c>
      <c r="AJ2679">
        <v>84.569189808910096</v>
      </c>
      <c r="AK2679">
        <v>0.39736689893108601</v>
      </c>
      <c r="AL2679">
        <v>90.193235089141098</v>
      </c>
      <c r="AM2679">
        <v>86.473371995647</v>
      </c>
      <c r="AN2679">
        <v>0.999999957777574</v>
      </c>
    </row>
    <row r="2680" spans="1:40" x14ac:dyDescent="0.25">
      <c r="A2680" t="str">
        <f>"20190312154605420"</f>
        <v>20190312154605420</v>
      </c>
      <c r="B2680" t="str">
        <f>"1552376765409662"</f>
        <v>1552376765409662</v>
      </c>
      <c r="C2680" t="s">
        <v>40</v>
      </c>
      <c r="D2680">
        <v>4.3871409999999997</v>
      </c>
      <c r="E2680">
        <v>0.4965889</v>
      </c>
      <c r="F2680" t="s">
        <v>54</v>
      </c>
      <c r="G2680">
        <v>-366.21350000000001</v>
      </c>
      <c r="H2680" s="1">
        <v>1.7697430000000001E-6</v>
      </c>
      <c r="I2680">
        <v>212.4701</v>
      </c>
      <c r="J2680">
        <v>-421.18389999999999</v>
      </c>
      <c r="K2680">
        <v>1.107969</v>
      </c>
      <c r="L2680">
        <v>215.0378</v>
      </c>
      <c r="M2680">
        <v>0.99995679999999998</v>
      </c>
      <c r="N2680">
        <v>0</v>
      </c>
      <c r="O2680">
        <v>5.2583719999999999E-3</v>
      </c>
      <c r="P2680">
        <v>0.9983303</v>
      </c>
      <c r="Q2680">
        <v>-1.129371E-2</v>
      </c>
      <c r="R2680">
        <v>-5.6651090000000001E-2</v>
      </c>
      <c r="S2680">
        <v>2.9964599999999999</v>
      </c>
      <c r="T2680">
        <v>-5.9971330000000003E-2</v>
      </c>
      <c r="U2680">
        <v>-0.1388855</v>
      </c>
      <c r="V2680">
        <v>6.1894049999999999E-2</v>
      </c>
      <c r="W2680">
        <v>-3.7466880000000002E-3</v>
      </c>
      <c r="X2680">
        <v>0.99807570000000001</v>
      </c>
      <c r="Y2680">
        <v>5.1541049999999998E-2</v>
      </c>
      <c r="Z2680">
        <v>-6.2062499999999997E-4</v>
      </c>
      <c r="AA2680">
        <v>0.99867070000000002</v>
      </c>
      <c r="AB2680">
        <v>39</v>
      </c>
      <c r="AC2680">
        <v>54.970399999999898</v>
      </c>
      <c r="AD2680">
        <v>-1.1079672302570001</v>
      </c>
      <c r="AE2680">
        <v>-2.5676999999999999</v>
      </c>
      <c r="AF2680">
        <v>2.8555702449389502</v>
      </c>
      <c r="AG2680">
        <v>-1.1079672302570001</v>
      </c>
      <c r="AH2680">
        <v>54.933869218652198</v>
      </c>
      <c r="AI2680">
        <v>91.153890694586906</v>
      </c>
      <c r="AJ2680">
        <v>87.024331306672394</v>
      </c>
      <c r="AK2680">
        <v>55.019195378877399</v>
      </c>
      <c r="AL2680">
        <v>90.214669910292898</v>
      </c>
      <c r="AM2680">
        <v>86.451439114802696</v>
      </c>
      <c r="AN2680">
        <v>1.0000000070134301</v>
      </c>
    </row>
    <row r="2681" spans="1:40" x14ac:dyDescent="0.25">
      <c r="A2681" t="str">
        <f>"20190312154605443"</f>
        <v>20190312154605443</v>
      </c>
      <c r="B2681" t="str">
        <f>"1552376765439919"</f>
        <v>1552376765439919</v>
      </c>
      <c r="C2681" t="s">
        <v>40</v>
      </c>
      <c r="D2681">
        <v>4.4126300000000001</v>
      </c>
      <c r="E2681">
        <v>0.49667250000000002</v>
      </c>
      <c r="F2681" t="s">
        <v>66</v>
      </c>
      <c r="G2681">
        <v>-168.4118</v>
      </c>
      <c r="H2681">
        <v>0.28928949999999998</v>
      </c>
      <c r="I2681">
        <v>202.91380000000001</v>
      </c>
      <c r="J2681">
        <v>-420.77350000000001</v>
      </c>
      <c r="K2681">
        <v>1.107979</v>
      </c>
      <c r="L2681">
        <v>215.0395</v>
      </c>
      <c r="M2681">
        <v>0.99995979999999995</v>
      </c>
      <c r="N2681">
        <v>0</v>
      </c>
      <c r="O2681">
        <v>4.5993969999999999E-3</v>
      </c>
      <c r="P2681">
        <v>0.99829639999999997</v>
      </c>
      <c r="Q2681">
        <v>-1.147109E-2</v>
      </c>
      <c r="R2681">
        <v>-5.7212239999999998E-2</v>
      </c>
      <c r="S2681">
        <v>2.9967649999999999</v>
      </c>
      <c r="T2681">
        <v>-9.705544E-3</v>
      </c>
      <c r="U2681">
        <v>-0.1437378</v>
      </c>
      <c r="V2681">
        <v>6.1797119999999997E-2</v>
      </c>
      <c r="W2681">
        <v>-3.8702760000000002E-3</v>
      </c>
      <c r="X2681">
        <v>0.9980812</v>
      </c>
      <c r="Y2681">
        <v>5.2502680000000003E-2</v>
      </c>
      <c r="Z2681" s="1">
        <v>-9.9858619999999994E-5</v>
      </c>
      <c r="AA2681">
        <v>0.99862070000000003</v>
      </c>
      <c r="AB2681">
        <v>39</v>
      </c>
      <c r="AC2681">
        <v>252.36170000000001</v>
      </c>
      <c r="AD2681">
        <v>-0.81868949999999996</v>
      </c>
      <c r="AE2681">
        <v>-12.125699999999901</v>
      </c>
      <c r="AF2681">
        <v>13.286178260317699</v>
      </c>
      <c r="AG2681">
        <v>-0.81868949999999996</v>
      </c>
      <c r="AH2681">
        <v>252.300608819584</v>
      </c>
      <c r="AI2681">
        <v>90.185661006027999</v>
      </c>
      <c r="AJ2681">
        <v>86.985582203940595</v>
      </c>
      <c r="AK2681">
        <v>252.65151888717199</v>
      </c>
      <c r="AL2681">
        <v>90.221751040068497</v>
      </c>
      <c r="AM2681">
        <v>86.457001693064697</v>
      </c>
      <c r="AN2681">
        <v>0.99999997243502403</v>
      </c>
    </row>
    <row r="2682" spans="1:40" x14ac:dyDescent="0.25">
      <c r="A2682" t="str">
        <f>"20190312154605466"</f>
        <v>20190312154605466</v>
      </c>
      <c r="B2682" t="str">
        <f>"1552376765459439"</f>
        <v>1552376765459439</v>
      </c>
      <c r="C2682" t="s">
        <v>40</v>
      </c>
      <c r="D2682">
        <v>4.4174280000000001</v>
      </c>
      <c r="E2682">
        <v>0.4966912</v>
      </c>
      <c r="F2682" t="s">
        <v>66</v>
      </c>
      <c r="G2682">
        <v>-168.41210000000001</v>
      </c>
      <c r="H2682">
        <v>1.1609309999999999</v>
      </c>
      <c r="I2682">
        <v>202.6908</v>
      </c>
      <c r="J2682">
        <v>-420.37920000000003</v>
      </c>
      <c r="K2682">
        <v>1.108009</v>
      </c>
      <c r="L2682">
        <v>215.04079999999999</v>
      </c>
      <c r="M2682">
        <v>0.99996189999999996</v>
      </c>
      <c r="N2682">
        <v>0</v>
      </c>
      <c r="O2682">
        <v>4.0209369999999996E-3</v>
      </c>
      <c r="P2682">
        <v>0.99827719999999998</v>
      </c>
      <c r="Q2682">
        <v>-1.0778650000000001E-2</v>
      </c>
      <c r="R2682">
        <v>-5.767688E-2</v>
      </c>
      <c r="S2682">
        <v>2.9967039999999998</v>
      </c>
      <c r="T2682">
        <v>6.2918659999999999E-4</v>
      </c>
      <c r="U2682">
        <v>-0.14663699999999999</v>
      </c>
      <c r="V2682">
        <v>6.1685919999999998E-2</v>
      </c>
      <c r="W2682">
        <v>-3.1119419999999999E-3</v>
      </c>
      <c r="X2682">
        <v>0.9980907</v>
      </c>
      <c r="Y2682">
        <v>5.2890140000000002E-2</v>
      </c>
      <c r="Z2682" s="1">
        <v>6.3928489999999999E-6</v>
      </c>
      <c r="AA2682">
        <v>0.99860040000000005</v>
      </c>
      <c r="AB2682">
        <v>40</v>
      </c>
      <c r="AC2682">
        <v>251.96709999999999</v>
      </c>
      <c r="AD2682">
        <v>5.29219999999999E-2</v>
      </c>
      <c r="AE2682">
        <v>-12.3499999999999</v>
      </c>
      <c r="AF2682">
        <v>13.363073814876101</v>
      </c>
      <c r="AG2682">
        <v>5.29219999999999E-2</v>
      </c>
      <c r="AH2682">
        <v>251.915391826605</v>
      </c>
      <c r="AI2682">
        <v>89.987980289542605</v>
      </c>
      <c r="AJ2682">
        <v>86.963540845371597</v>
      </c>
      <c r="AK2682">
        <v>252.26957640918999</v>
      </c>
      <c r="AL2682">
        <v>90.178301440964105</v>
      </c>
      <c r="AM2682">
        <v>86.463394474697395</v>
      </c>
      <c r="AN2682">
        <v>0.99999994116787205</v>
      </c>
    </row>
    <row r="2683" spans="1:40" x14ac:dyDescent="0.25">
      <c r="A2683" t="str">
        <f>"20190312154605512"</f>
        <v>20190312154605512</v>
      </c>
      <c r="B2683" t="str">
        <f>"1552376765499455"</f>
        <v>1552376765499455</v>
      </c>
      <c r="C2683" t="s">
        <v>40</v>
      </c>
      <c r="D2683">
        <v>4.4228120000000004</v>
      </c>
      <c r="E2683">
        <v>0.49590469999999998</v>
      </c>
      <c r="F2683" t="s">
        <v>66</v>
      </c>
      <c r="G2683">
        <v>-168.41229999999999</v>
      </c>
      <c r="H2683">
        <v>1.4706129999999999</v>
      </c>
      <c r="I2683">
        <v>202.56630000000001</v>
      </c>
      <c r="J2683">
        <v>-419.55759999999998</v>
      </c>
      <c r="K2683">
        <v>1.108112</v>
      </c>
      <c r="L2683">
        <v>215.04310000000001</v>
      </c>
      <c r="M2683">
        <v>0.99996379999999996</v>
      </c>
      <c r="N2683">
        <v>0</v>
      </c>
      <c r="O2683">
        <v>3.0016069999999999E-3</v>
      </c>
      <c r="P2683">
        <v>0.9982356</v>
      </c>
      <c r="Q2683">
        <v>-8.0051089999999998E-3</v>
      </c>
      <c r="R2683">
        <v>-5.8833759999999999E-2</v>
      </c>
      <c r="S2683">
        <v>2.9966740000000001</v>
      </c>
      <c r="T2683">
        <v>4.3128730000000001E-3</v>
      </c>
      <c r="U2683">
        <v>-0.1483612</v>
      </c>
      <c r="V2683">
        <v>6.1829750000000003E-2</v>
      </c>
      <c r="W2683">
        <v>-1.5581899999999999E-4</v>
      </c>
      <c r="X2683">
        <v>0.99808669999999999</v>
      </c>
      <c r="Y2683">
        <v>5.2445829999999999E-2</v>
      </c>
      <c r="Z2683" s="1">
        <v>4.2034969999999998E-5</v>
      </c>
      <c r="AA2683">
        <v>0.99862379999999995</v>
      </c>
      <c r="AB2683">
        <v>40</v>
      </c>
      <c r="AC2683">
        <v>251.14529999999999</v>
      </c>
      <c r="AD2683">
        <v>0.36250100000000002</v>
      </c>
      <c r="AE2683">
        <v>-12.4767999999999</v>
      </c>
      <c r="AF2683">
        <v>13.2305796783088</v>
      </c>
      <c r="AG2683">
        <v>0.36250100000000002</v>
      </c>
      <c r="AH2683">
        <v>251.10619506211901</v>
      </c>
      <c r="AI2683">
        <v>89.917401508639301</v>
      </c>
      <c r="AJ2683">
        <v>86.983921287273901</v>
      </c>
      <c r="AK2683">
        <v>251.454768982762</v>
      </c>
      <c r="AL2683">
        <v>90.008927771090697</v>
      </c>
      <c r="AM2683">
        <v>86.455155179120794</v>
      </c>
      <c r="AN2683">
        <v>1.00000000149075</v>
      </c>
    </row>
    <row r="2684" spans="1:40" x14ac:dyDescent="0.25">
      <c r="A2684" t="str">
        <f>"20190312154605533"</f>
        <v>20190312154605533</v>
      </c>
      <c r="B2684" t="str">
        <f>"1552376765529713"</f>
        <v>1552376765529713</v>
      </c>
      <c r="C2684" t="s">
        <v>40</v>
      </c>
      <c r="D2684">
        <v>4.4907430000000002</v>
      </c>
      <c r="E2684">
        <v>0.49466880000000002</v>
      </c>
      <c r="F2684" t="s">
        <v>66</v>
      </c>
      <c r="G2684">
        <v>-168.41239999999999</v>
      </c>
      <c r="H2684">
        <v>2.088686</v>
      </c>
      <c r="I2684">
        <v>202.83879999999999</v>
      </c>
      <c r="J2684">
        <v>-419.16379999999998</v>
      </c>
      <c r="K2684">
        <v>1.108169</v>
      </c>
      <c r="L2684">
        <v>215.04400000000001</v>
      </c>
      <c r="M2684">
        <v>0.99996439999999998</v>
      </c>
      <c r="N2684">
        <v>0</v>
      </c>
      <c r="O2684">
        <v>2.6011189999999998E-3</v>
      </c>
      <c r="P2684">
        <v>0.99817199999999995</v>
      </c>
      <c r="Q2684">
        <v>-8.176127E-3</v>
      </c>
      <c r="R2684">
        <v>-5.9887000000000003E-2</v>
      </c>
      <c r="S2684">
        <v>2.996826</v>
      </c>
      <c r="T2684">
        <v>1.170123E-2</v>
      </c>
      <c r="U2684">
        <v>-0.14562990000000001</v>
      </c>
      <c r="V2684">
        <v>6.2482870000000003E-2</v>
      </c>
      <c r="W2684">
        <v>-2.19929E-4</v>
      </c>
      <c r="X2684">
        <v>0.99804599999999999</v>
      </c>
      <c r="Y2684">
        <v>5.1134989999999998E-2</v>
      </c>
      <c r="Z2684">
        <v>1.099207E-4</v>
      </c>
      <c r="AA2684">
        <v>0.99869169999999996</v>
      </c>
      <c r="AB2684">
        <v>40</v>
      </c>
      <c r="AC2684">
        <v>250.75139999999999</v>
      </c>
      <c r="AD2684">
        <v>0.98051699999999997</v>
      </c>
      <c r="AE2684">
        <v>-12.2052</v>
      </c>
      <c r="AF2684">
        <v>12.8572178232351</v>
      </c>
      <c r="AG2684">
        <v>0.98051699999999997</v>
      </c>
      <c r="AH2684">
        <v>250.71497896150399</v>
      </c>
      <c r="AI2684">
        <v>89.776218102572699</v>
      </c>
      <c r="AJ2684">
        <v>87.064317569723897</v>
      </c>
      <c r="AK2684">
        <v>251.04635057974701</v>
      </c>
      <c r="AL2684">
        <v>90.012601003748301</v>
      </c>
      <c r="AM2684">
        <v>86.417661569643599</v>
      </c>
      <c r="AN2684">
        <v>0.99999998776410004</v>
      </c>
    </row>
    <row r="2685" spans="1:40" x14ac:dyDescent="0.25">
      <c r="A2685" t="str">
        <f>"20190312154605555"</f>
        <v>20190312154605555</v>
      </c>
      <c r="B2685" t="str">
        <f>"1552376765549231"</f>
        <v>1552376765549231</v>
      </c>
      <c r="C2685" t="s">
        <v>40</v>
      </c>
      <c r="D2685">
        <v>4.4782890000000002</v>
      </c>
      <c r="E2685">
        <v>0.49396770000000001</v>
      </c>
      <c r="F2685" t="s">
        <v>66</v>
      </c>
      <c r="G2685">
        <v>-168.41210000000001</v>
      </c>
      <c r="H2685">
        <v>1.7538779999999901</v>
      </c>
      <c r="I2685">
        <v>203.43219999999999</v>
      </c>
      <c r="J2685">
        <v>-418.78890000000001</v>
      </c>
      <c r="K2685">
        <v>1.1082270000000001</v>
      </c>
      <c r="L2685">
        <v>215.04470000000001</v>
      </c>
      <c r="M2685">
        <v>0.99996410000000002</v>
      </c>
      <c r="N2685">
        <v>0</v>
      </c>
      <c r="O2685">
        <v>2.2842040000000002E-3</v>
      </c>
      <c r="P2685">
        <v>0.99814320000000001</v>
      </c>
      <c r="Q2685">
        <v>-8.0135199999999997E-3</v>
      </c>
      <c r="R2685">
        <v>-6.0384279999999999E-2</v>
      </c>
      <c r="S2685">
        <v>2.9971920000000001</v>
      </c>
      <c r="T2685">
        <v>7.7184439999999997E-3</v>
      </c>
      <c r="U2685">
        <v>-0.1387939</v>
      </c>
      <c r="V2685">
        <v>6.2664170000000005E-2</v>
      </c>
      <c r="W2685" s="1">
        <v>6.3005719999999993E-5</v>
      </c>
      <c r="X2685">
        <v>0.99803470000000005</v>
      </c>
      <c r="Y2685">
        <v>4.853996E-2</v>
      </c>
      <c r="Z2685" s="1">
        <v>6.8346529999999996E-5</v>
      </c>
      <c r="AA2685">
        <v>0.99882130000000002</v>
      </c>
      <c r="AB2685">
        <v>40</v>
      </c>
      <c r="AC2685">
        <v>250.3768</v>
      </c>
      <c r="AD2685">
        <v>0.64565099999999898</v>
      </c>
      <c r="AE2685">
        <v>-11.612500000000001</v>
      </c>
      <c r="AF2685">
        <v>12.1843195824347</v>
      </c>
      <c r="AG2685">
        <v>0.64565099999999898</v>
      </c>
      <c r="AH2685">
        <v>250.34795938587899</v>
      </c>
      <c r="AI2685">
        <v>89.852408383152394</v>
      </c>
      <c r="AJ2685">
        <v>87.213639519692194</v>
      </c>
      <c r="AK2685">
        <v>250.64511820016401</v>
      </c>
      <c r="AL2685">
        <v>89.996390038272907</v>
      </c>
      <c r="AM2685">
        <v>86.407253688257697</v>
      </c>
      <c r="AN2685">
        <v>1.00000003228779</v>
      </c>
    </row>
    <row r="2686" spans="1:40" x14ac:dyDescent="0.25">
      <c r="A2686" t="str">
        <f>"20190312154605578"</f>
        <v>20190312154605578</v>
      </c>
      <c r="B2686" t="str">
        <f>"1552376765569728"</f>
        <v>1552376765569728</v>
      </c>
      <c r="C2686" t="s">
        <v>40</v>
      </c>
      <c r="D2686">
        <v>4.4813869999999998</v>
      </c>
      <c r="E2686">
        <v>0.49353350000000001</v>
      </c>
      <c r="F2686" t="s">
        <v>66</v>
      </c>
      <c r="G2686">
        <v>-168.4118</v>
      </c>
      <c r="H2686">
        <v>1.2814139999999901</v>
      </c>
      <c r="I2686">
        <v>203.82980000000001</v>
      </c>
      <c r="J2686">
        <v>-418.36829999999998</v>
      </c>
      <c r="K2686">
        <v>1.1083149999999999</v>
      </c>
      <c r="L2686">
        <v>215.0454</v>
      </c>
      <c r="M2686">
        <v>0.99996350000000001</v>
      </c>
      <c r="N2686">
        <v>0</v>
      </c>
      <c r="O2686">
        <v>2.019664E-3</v>
      </c>
      <c r="P2686">
        <v>0.99806980000000001</v>
      </c>
      <c r="Q2686">
        <v>-8.03074199999999E-3</v>
      </c>
      <c r="R2686">
        <v>-6.158127E-2</v>
      </c>
      <c r="S2686">
        <v>2.9974669999999999</v>
      </c>
      <c r="T2686">
        <v>2.073765E-3</v>
      </c>
      <c r="U2686">
        <v>-0.1342621</v>
      </c>
      <c r="V2686">
        <v>6.3597260000000003E-2</v>
      </c>
      <c r="W2686">
        <v>2.058187E-4</v>
      </c>
      <c r="X2686">
        <v>0.99797559999999996</v>
      </c>
      <c r="Y2686">
        <v>4.6764600000000003E-2</v>
      </c>
      <c r="Z2686" s="1">
        <v>1.75653299999999E-5</v>
      </c>
      <c r="AA2686">
        <v>0.99890599999999996</v>
      </c>
      <c r="AB2686">
        <v>40</v>
      </c>
      <c r="AC2686">
        <v>249.95650000000001</v>
      </c>
      <c r="AD2686">
        <v>0.173098999999999</v>
      </c>
      <c r="AE2686">
        <v>-11.215599999999901</v>
      </c>
      <c r="AF2686">
        <v>11.7204170561699</v>
      </c>
      <c r="AG2686">
        <v>0.173098999999999</v>
      </c>
      <c r="AH2686">
        <v>249.93321802664499</v>
      </c>
      <c r="AI2686">
        <v>89.960361597406006</v>
      </c>
      <c r="AJ2686">
        <v>87.315127461856207</v>
      </c>
      <c r="AK2686">
        <v>250.20793674939401</v>
      </c>
      <c r="AL2686">
        <v>89.988207456778994</v>
      </c>
      <c r="AM2686">
        <v>86.3536844376587</v>
      </c>
      <c r="AN2686">
        <v>0.99999997601810198</v>
      </c>
    </row>
    <row r="2687" spans="1:40" x14ac:dyDescent="0.25">
      <c r="A2687" t="str">
        <f>"20190312154605599"</f>
        <v>20190312154605599</v>
      </c>
      <c r="B2687" t="str">
        <f>"1552376765589247"</f>
        <v>1552376765589247</v>
      </c>
      <c r="C2687" t="s">
        <v>40</v>
      </c>
      <c r="D2687">
        <v>4.4426399999999999</v>
      </c>
      <c r="E2687">
        <v>0.49328830000000001</v>
      </c>
      <c r="F2687" t="s">
        <v>66</v>
      </c>
      <c r="G2687">
        <v>-168.4117</v>
      </c>
      <c r="H2687">
        <v>1.149416</v>
      </c>
      <c r="I2687">
        <v>203.8382</v>
      </c>
      <c r="J2687">
        <v>-417.9941</v>
      </c>
      <c r="K2687">
        <v>1.1084039999999999</v>
      </c>
      <c r="L2687">
        <v>215.0461</v>
      </c>
      <c r="M2687">
        <v>0.99996249999999998</v>
      </c>
      <c r="N2687">
        <v>0</v>
      </c>
      <c r="O2687">
        <v>1.858352E-3</v>
      </c>
      <c r="P2687">
        <v>0.99804740000000003</v>
      </c>
      <c r="Q2687">
        <v>-8.2737000000000002E-3</v>
      </c>
      <c r="R2687">
        <v>-6.1913740000000002E-2</v>
      </c>
      <c r="S2687">
        <v>2.997528</v>
      </c>
      <c r="T2687">
        <v>4.9328800000000004E-4</v>
      </c>
      <c r="U2687">
        <v>-0.1343994</v>
      </c>
      <c r="V2687">
        <v>6.3768499999999895E-2</v>
      </c>
      <c r="W2687">
        <v>1.204651E-4</v>
      </c>
      <c r="X2687">
        <v>0.99796470000000004</v>
      </c>
      <c r="Y2687">
        <v>4.6648229999999999E-2</v>
      </c>
      <c r="Z2687" s="1">
        <v>4.1420840000000001E-6</v>
      </c>
      <c r="AA2687">
        <v>0.9989114</v>
      </c>
      <c r="AB2687">
        <v>40</v>
      </c>
      <c r="AC2687">
        <v>249.58240000000001</v>
      </c>
      <c r="AD2687">
        <v>4.1011999999999799E-2</v>
      </c>
      <c r="AE2687">
        <v>-11.207899999999899</v>
      </c>
      <c r="AF2687">
        <v>11.6717088758258</v>
      </c>
      <c r="AG2687">
        <v>4.1011999999999799E-2</v>
      </c>
      <c r="AH2687">
        <v>249.5611333123</v>
      </c>
      <c r="AI2687">
        <v>89.990594493816005</v>
      </c>
      <c r="AJ2687">
        <v>87.322288519896802</v>
      </c>
      <c r="AK2687">
        <v>249.83392429809399</v>
      </c>
      <c r="AL2687">
        <v>89.993097858100597</v>
      </c>
      <c r="AM2687">
        <v>86.343853251745898</v>
      </c>
      <c r="AN2687">
        <v>0.99999998927509004</v>
      </c>
    </row>
    <row r="2688" spans="1:40" x14ac:dyDescent="0.25">
      <c r="A2688" t="str">
        <f>"20190312154605622"</f>
        <v>20190312154605622</v>
      </c>
      <c r="B2688" t="str">
        <f>"1552376765619503"</f>
        <v>1552376765619503</v>
      </c>
      <c r="C2688" t="s">
        <v>40</v>
      </c>
      <c r="D2688">
        <v>4.5171700000000001</v>
      </c>
      <c r="E2688">
        <v>0.4929326</v>
      </c>
      <c r="F2688" t="s">
        <v>47</v>
      </c>
      <c r="G2688">
        <v>-234.6448</v>
      </c>
      <c r="H2688">
        <v>0.93025239999999998</v>
      </c>
      <c r="I2688">
        <v>206.88980000000001</v>
      </c>
      <c r="J2688">
        <v>-417.58229999999998</v>
      </c>
      <c r="K2688">
        <v>1.108493</v>
      </c>
      <c r="L2688">
        <v>215.04669999999999</v>
      </c>
      <c r="M2688">
        <v>0.99996130000000005</v>
      </c>
      <c r="N2688">
        <v>0</v>
      </c>
      <c r="O2688">
        <v>1.748117E-3</v>
      </c>
      <c r="P2688">
        <v>0.99802089999999999</v>
      </c>
      <c r="Q2688">
        <v>-7.624151E-3</v>
      </c>
      <c r="R2688">
        <v>-6.2419809999999999E-2</v>
      </c>
      <c r="S2688">
        <v>2.9975890000000001</v>
      </c>
      <c r="T2688">
        <v>-2.9118059999999999E-3</v>
      </c>
      <c r="U2688">
        <v>-0.13334660000000001</v>
      </c>
      <c r="V2688">
        <v>6.4164990000000005E-2</v>
      </c>
      <c r="W2688">
        <v>9.4443939999999996E-4</v>
      </c>
      <c r="X2688">
        <v>0.99793889999999996</v>
      </c>
      <c r="Y2688">
        <v>4.6187020000000002E-2</v>
      </c>
      <c r="Z2688" s="1">
        <v>-2.4118879999999999E-5</v>
      </c>
      <c r="AA2688">
        <v>0.99893279999999995</v>
      </c>
      <c r="AB2688">
        <v>40</v>
      </c>
      <c r="AC2688">
        <v>182.9375</v>
      </c>
      <c r="AD2688">
        <v>-0.178240599999999</v>
      </c>
      <c r="AE2688">
        <v>-8.1568999999999701</v>
      </c>
      <c r="AF2688">
        <v>8.4766875462300302</v>
      </c>
      <c r="AG2688">
        <v>-0.178240599999999</v>
      </c>
      <c r="AH2688">
        <v>182.92278740706601</v>
      </c>
      <c r="AI2688">
        <v>90.055769341170603</v>
      </c>
      <c r="AJ2688">
        <v>87.346797393937507</v>
      </c>
      <c r="AK2688">
        <v>183.11917473120801</v>
      </c>
      <c r="AL2688">
        <v>89.945887602657606</v>
      </c>
      <c r="AM2688">
        <v>86.321088009688793</v>
      </c>
      <c r="AN2688">
        <v>1.00000004302034</v>
      </c>
    </row>
    <row r="2689" spans="1:40" x14ac:dyDescent="0.25">
      <c r="A2689" t="str">
        <f>"20190312154605643"</f>
        <v>20190312154605643</v>
      </c>
      <c r="B2689" t="str">
        <f>"1552376765639999"</f>
        <v>1552376765639999</v>
      </c>
      <c r="C2689" t="s">
        <v>40</v>
      </c>
      <c r="D2689">
        <v>4.5115150000000002</v>
      </c>
      <c r="E2689">
        <v>0.49264780000000002</v>
      </c>
      <c r="F2689" t="s">
        <v>47</v>
      </c>
      <c r="G2689">
        <v>-234.6542</v>
      </c>
      <c r="H2689">
        <v>0.88816629999999996</v>
      </c>
      <c r="I2689">
        <v>206.99340000000001</v>
      </c>
      <c r="J2689">
        <v>-417.19420000000002</v>
      </c>
      <c r="K2689">
        <v>1.1085780000000001</v>
      </c>
      <c r="L2689">
        <v>215.04730000000001</v>
      </c>
      <c r="M2689">
        <v>0.99996010000000002</v>
      </c>
      <c r="N2689">
        <v>0</v>
      </c>
      <c r="O2689">
        <v>1.7119119999999999E-3</v>
      </c>
      <c r="P2689">
        <v>0.99803640000000005</v>
      </c>
      <c r="Q2689">
        <v>-7.0138199999999996E-3</v>
      </c>
      <c r="R2689">
        <v>-6.2242140000000001E-2</v>
      </c>
      <c r="S2689">
        <v>2.9977109999999998</v>
      </c>
      <c r="T2689">
        <v>-3.6097759999999999E-3</v>
      </c>
      <c r="U2689">
        <v>-0.13197329999999999</v>
      </c>
      <c r="V2689">
        <v>6.3951649999999999E-2</v>
      </c>
      <c r="W2689">
        <v>1.7150080000000001E-3</v>
      </c>
      <c r="X2689">
        <v>0.99795149999999999</v>
      </c>
      <c r="Y2689">
        <v>4.5692299999999998E-2</v>
      </c>
      <c r="Z2689" s="1">
        <v>-2.955804E-5</v>
      </c>
      <c r="AA2689">
        <v>0.9989555</v>
      </c>
      <c r="AB2689">
        <v>40</v>
      </c>
      <c r="AC2689">
        <v>182.54</v>
      </c>
      <c r="AD2689">
        <v>-0.22041169999999999</v>
      </c>
      <c r="AE2689">
        <v>-8.0538999999999898</v>
      </c>
      <c r="AF2689">
        <v>8.3663804506403796</v>
      </c>
      <c r="AG2689">
        <v>-0.22041169999999999</v>
      </c>
      <c r="AH2689">
        <v>182.525678798743</v>
      </c>
      <c r="AI2689">
        <v>90.069115800869596</v>
      </c>
      <c r="AJ2689">
        <v>87.3755857049469</v>
      </c>
      <c r="AK2689">
        <v>182.71745489718401</v>
      </c>
      <c r="AL2689">
        <v>89.901737229199</v>
      </c>
      <c r="AM2689">
        <v>86.333332643233206</v>
      </c>
      <c r="AN2689">
        <v>0.99999997557120601</v>
      </c>
    </row>
    <row r="2690" spans="1:40" x14ac:dyDescent="0.25">
      <c r="A2690" t="str">
        <f>"20190312154605667"</f>
        <v>20190312154605667</v>
      </c>
      <c r="B2690" t="str">
        <f>"1552376765659519"</f>
        <v>1552376765659519</v>
      </c>
      <c r="C2690" t="s">
        <v>40</v>
      </c>
      <c r="D2690">
        <v>4.520886</v>
      </c>
      <c r="E2690">
        <v>0.49241980000000002</v>
      </c>
      <c r="F2690" t="s">
        <v>66</v>
      </c>
      <c r="G2690">
        <v>-168.41149999999999</v>
      </c>
      <c r="H2690">
        <v>0.81940460000000004</v>
      </c>
      <c r="I2690">
        <v>204.33959999999999</v>
      </c>
      <c r="J2690">
        <v>-416.7851</v>
      </c>
      <c r="K2690">
        <v>1.1086659999999999</v>
      </c>
      <c r="L2690">
        <v>215.04810000000001</v>
      </c>
      <c r="M2690">
        <v>0.99995860000000003</v>
      </c>
      <c r="N2690">
        <v>0</v>
      </c>
      <c r="O2690">
        <v>1.749895E-3</v>
      </c>
      <c r="P2690">
        <v>0.99806150000000005</v>
      </c>
      <c r="Q2690">
        <v>-7.0890950000000001E-3</v>
      </c>
      <c r="R2690">
        <v>-6.1833449999999998E-2</v>
      </c>
      <c r="S2690">
        <v>2.997833</v>
      </c>
      <c r="T2690">
        <v>-3.4841300000000002E-3</v>
      </c>
      <c r="U2690">
        <v>-0.12902830000000001</v>
      </c>
      <c r="V2690">
        <v>6.3580510000000007E-2</v>
      </c>
      <c r="W2690">
        <v>1.8003610000000001E-3</v>
      </c>
      <c r="X2690">
        <v>0.9979751</v>
      </c>
      <c r="Y2690">
        <v>4.4748969999999999E-2</v>
      </c>
      <c r="Z2690" s="1">
        <v>-2.8024860000000001E-5</v>
      </c>
      <c r="AA2690">
        <v>0.99899830000000001</v>
      </c>
      <c r="AB2690">
        <v>40</v>
      </c>
      <c r="AC2690">
        <v>248.37360000000001</v>
      </c>
      <c r="AD2690">
        <v>-0.289261399999999</v>
      </c>
      <c r="AE2690">
        <v>-10.708500000000001</v>
      </c>
      <c r="AF2690">
        <v>11.143113566975099</v>
      </c>
      <c r="AG2690">
        <v>-0.289261399999999</v>
      </c>
      <c r="AH2690">
        <v>248.35414396636901</v>
      </c>
      <c r="AI2690">
        <v>90.066666062429306</v>
      </c>
      <c r="AJ2690">
        <v>87.430985220528299</v>
      </c>
      <c r="AK2690">
        <v>248.60417027353401</v>
      </c>
      <c r="AL2690">
        <v>89.896846858549395</v>
      </c>
      <c r="AM2690">
        <v>86.3546403787944</v>
      </c>
      <c r="AN2690">
        <v>1.0000000113858001</v>
      </c>
    </row>
    <row r="2691" spans="1:40" x14ac:dyDescent="0.25">
      <c r="A2691" t="str">
        <f>"20190312154605689"</f>
        <v>20190312154605689</v>
      </c>
      <c r="B2691" t="str">
        <f>"1552376765680016"</f>
        <v>1552376765680016</v>
      </c>
      <c r="C2691" t="s">
        <v>40</v>
      </c>
      <c r="D2691">
        <v>4.5231250000000003</v>
      </c>
      <c r="E2691">
        <v>0.49224050000000003</v>
      </c>
      <c r="F2691" t="s">
        <v>66</v>
      </c>
      <c r="G2691">
        <v>-168.41130000000001</v>
      </c>
      <c r="H2691">
        <v>0.61853599999999997</v>
      </c>
      <c r="I2691">
        <v>204.62909999999999</v>
      </c>
      <c r="J2691">
        <v>-416.36590000000001</v>
      </c>
      <c r="K2691">
        <v>1.108749</v>
      </c>
      <c r="L2691">
        <v>215.0489</v>
      </c>
      <c r="M2691">
        <v>0.99995710000000004</v>
      </c>
      <c r="N2691">
        <v>0</v>
      </c>
      <c r="O2691">
        <v>1.8507160000000001E-3</v>
      </c>
      <c r="P2691">
        <v>0.99809029999999999</v>
      </c>
      <c r="Q2691">
        <v>-7.5605250000000002E-3</v>
      </c>
      <c r="R2691">
        <v>-6.1307430000000003E-2</v>
      </c>
      <c r="S2691">
        <v>2.9980159999999998</v>
      </c>
      <c r="T2691">
        <v>-5.9157609999999899E-3</v>
      </c>
      <c r="U2691">
        <v>-0.12576289999999901</v>
      </c>
      <c r="V2691">
        <v>6.3154879999999997E-2</v>
      </c>
      <c r="W2691">
        <v>1.4818349999999999E-3</v>
      </c>
      <c r="X2691">
        <v>0.99800259999999996</v>
      </c>
      <c r="Y2691">
        <v>4.3760859999999999E-2</v>
      </c>
      <c r="Z2691" s="1">
        <v>-4.6806440000000002E-5</v>
      </c>
      <c r="AA2691">
        <v>0.99904199999999999</v>
      </c>
      <c r="AB2691">
        <v>40</v>
      </c>
      <c r="AC2691">
        <v>247.9546</v>
      </c>
      <c r="AD2691">
        <v>-0.49021300000000001</v>
      </c>
      <c r="AE2691">
        <v>-10.4198</v>
      </c>
      <c r="AF2691">
        <v>10.8786521549667</v>
      </c>
      <c r="AG2691">
        <v>-0.49021300000000001</v>
      </c>
      <c r="AH2691">
        <v>247.933923063652</v>
      </c>
      <c r="AI2691">
        <v>90.113175725488603</v>
      </c>
      <c r="AJ2691">
        <v>87.487631729386905</v>
      </c>
      <c r="AK2691">
        <v>248.172954987499</v>
      </c>
      <c r="AL2691">
        <v>89.915097074279899</v>
      </c>
      <c r="AM2691">
        <v>86.379078048024198</v>
      </c>
      <c r="AN2691">
        <v>0.99999996215477005</v>
      </c>
    </row>
    <row r="2692" spans="1:40" x14ac:dyDescent="0.25">
      <c r="A2692" t="str">
        <f>"20190312154605712"</f>
        <v>20190312154605712</v>
      </c>
      <c r="B2692" t="str">
        <f>"1552376765700512"</f>
        <v>1552376765700512</v>
      </c>
      <c r="C2692" t="s">
        <v>40</v>
      </c>
      <c r="D2692">
        <v>4.5252160000000003</v>
      </c>
      <c r="E2692">
        <v>0.49211050000000001</v>
      </c>
      <c r="F2692" t="s">
        <v>66</v>
      </c>
      <c r="G2692">
        <v>-168.4111</v>
      </c>
      <c r="H2692">
        <v>0.2964077</v>
      </c>
      <c r="I2692">
        <v>204.89019999999999</v>
      </c>
      <c r="J2692">
        <v>-415.96980000000002</v>
      </c>
      <c r="K2692">
        <v>1.108819</v>
      </c>
      <c r="L2692">
        <v>215.0497</v>
      </c>
      <c r="M2692">
        <v>0.9999557</v>
      </c>
      <c r="N2692">
        <v>0</v>
      </c>
      <c r="O2692">
        <v>1.9988039999999999E-3</v>
      </c>
      <c r="P2692">
        <v>0.99812719999999999</v>
      </c>
      <c r="Q2692">
        <v>-7.9216879999999996E-3</v>
      </c>
      <c r="R2692">
        <v>-6.0658509999999999E-2</v>
      </c>
      <c r="S2692">
        <v>2.998138</v>
      </c>
      <c r="T2692">
        <v>-9.8220110000000003E-3</v>
      </c>
      <c r="U2692">
        <v>-0.12283330000000001</v>
      </c>
      <c r="V2692">
        <v>6.2653589999999995E-2</v>
      </c>
      <c r="W2692">
        <v>1.2581980000000001E-3</v>
      </c>
      <c r="X2692">
        <v>0.99803450000000005</v>
      </c>
      <c r="Y2692">
        <v>4.2932379999999999E-2</v>
      </c>
      <c r="Z2692" s="1">
        <v>-7.6840079999999995E-5</v>
      </c>
      <c r="AA2692">
        <v>0.99907800000000002</v>
      </c>
      <c r="AB2692">
        <v>40</v>
      </c>
      <c r="AC2692">
        <v>247.55869999999999</v>
      </c>
      <c r="AD2692">
        <v>-0.81241129999999995</v>
      </c>
      <c r="AE2692">
        <v>-10.1595</v>
      </c>
      <c r="AF2692">
        <v>10.654207408755701</v>
      </c>
      <c r="AG2692">
        <v>-0.81241129999999995</v>
      </c>
      <c r="AH2692">
        <v>247.535236375507</v>
      </c>
      <c r="AI2692">
        <v>90.187870287516304</v>
      </c>
      <c r="AJ2692">
        <v>87.535443479211395</v>
      </c>
      <c r="AK2692">
        <v>247.76574701743399</v>
      </c>
      <c r="AL2692">
        <v>89.927910542853496</v>
      </c>
      <c r="AM2692">
        <v>86.407857968667102</v>
      </c>
      <c r="AN2692">
        <v>0.99999995929617103</v>
      </c>
    </row>
    <row r="2693" spans="1:40" x14ac:dyDescent="0.25">
      <c r="A2693" t="str">
        <f>"20190312154605756"</f>
        <v>20190312154605756</v>
      </c>
      <c r="B2693" t="str">
        <f>"1552376765749311"</f>
        <v>1552376765749311</v>
      </c>
      <c r="C2693" t="s">
        <v>40</v>
      </c>
      <c r="D2693">
        <v>4.5970149999999999</v>
      </c>
      <c r="E2693">
        <v>0.49181340000000001</v>
      </c>
      <c r="F2693" t="s">
        <v>53</v>
      </c>
      <c r="G2693">
        <v>-179.95160000000001</v>
      </c>
      <c r="H2693">
        <v>5.6219180000000001E-2</v>
      </c>
      <c r="I2693">
        <v>205.62430000000001</v>
      </c>
      <c r="J2693">
        <v>-415.19450000000001</v>
      </c>
      <c r="K2693">
        <v>1.1089580000000001</v>
      </c>
      <c r="L2693">
        <v>215.05170000000001</v>
      </c>
      <c r="M2693">
        <v>0.99995259999999997</v>
      </c>
      <c r="N2693">
        <v>0</v>
      </c>
      <c r="O2693">
        <v>2.42961E-3</v>
      </c>
      <c r="P2693">
        <v>0.99818300000000004</v>
      </c>
      <c r="Q2693">
        <v>-7.615719E-3</v>
      </c>
      <c r="R2693">
        <v>-5.9775380000000003E-2</v>
      </c>
      <c r="S2693">
        <v>2.9982600000000001</v>
      </c>
      <c r="T2693">
        <v>-1.337171E-2</v>
      </c>
      <c r="U2693">
        <v>-0.1197357</v>
      </c>
      <c r="V2693">
        <v>6.2200100000000001E-2</v>
      </c>
      <c r="W2693">
        <v>1.825157E-3</v>
      </c>
      <c r="X2693">
        <v>0.998062</v>
      </c>
      <c r="Y2693">
        <v>4.2330479999999997E-2</v>
      </c>
      <c r="Z2693">
        <v>-1.0518699999999999E-4</v>
      </c>
      <c r="AA2693">
        <v>0.99910370000000004</v>
      </c>
      <c r="AB2693">
        <v>40</v>
      </c>
      <c r="AC2693">
        <v>235.24289999999999</v>
      </c>
      <c r="AD2693">
        <v>-1.0527388200000001</v>
      </c>
      <c r="AE2693">
        <v>-9.4274000000000004</v>
      </c>
      <c r="AF2693">
        <v>9.9987461600082295</v>
      </c>
      <c r="AG2693">
        <v>-1.0527388200000001</v>
      </c>
      <c r="AH2693">
        <v>235.21459668742199</v>
      </c>
      <c r="AI2693">
        <v>90.256202917894697</v>
      </c>
      <c r="AJ2693">
        <v>87.565877010595798</v>
      </c>
      <c r="AK2693">
        <v>235.42937301582</v>
      </c>
      <c r="AL2693">
        <v>89.895426145727498</v>
      </c>
      <c r="AM2693">
        <v>86.433888747834501</v>
      </c>
      <c r="AN2693">
        <v>0.99999996974104099</v>
      </c>
    </row>
    <row r="2694" spans="1:40" x14ac:dyDescent="0.25">
      <c r="A2694" t="str">
        <f>"20190312154605775"</f>
        <v>20190312154605775</v>
      </c>
      <c r="B2694" t="str">
        <f>"1552376765769807"</f>
        <v>1552376765769807</v>
      </c>
      <c r="C2694" t="s">
        <v>40</v>
      </c>
      <c r="D2694">
        <v>4.6282959999999997</v>
      </c>
      <c r="E2694">
        <v>0.49169499999999999</v>
      </c>
      <c r="F2694" t="s">
        <v>54</v>
      </c>
      <c r="G2694">
        <v>-233.35059999999999</v>
      </c>
      <c r="H2694">
        <v>8.0000760000000004E-2</v>
      </c>
      <c r="I2694">
        <v>208.11420000000001</v>
      </c>
      <c r="J2694">
        <v>-414.8109</v>
      </c>
      <c r="K2694">
        <v>1.1090260000000001</v>
      </c>
      <c r="L2694">
        <v>215.05279999999999</v>
      </c>
      <c r="M2694">
        <v>0.99995069999999997</v>
      </c>
      <c r="N2694">
        <v>0</v>
      </c>
      <c r="O2694">
        <v>2.7003589999999998E-3</v>
      </c>
      <c r="P2694">
        <v>0.99821380000000004</v>
      </c>
      <c r="Q2694">
        <v>-7.0415360000000001E-3</v>
      </c>
      <c r="R2694">
        <v>-5.9328449999999998E-2</v>
      </c>
      <c r="S2694">
        <v>2.9985050000000002</v>
      </c>
      <c r="T2694">
        <v>-1.696694E-2</v>
      </c>
      <c r="U2694">
        <v>-0.1143951</v>
      </c>
      <c r="V2694">
        <v>6.2022870000000001E-2</v>
      </c>
      <c r="W2694">
        <v>2.5275359999999999E-3</v>
      </c>
      <c r="X2694">
        <v>0.99807159999999995</v>
      </c>
      <c r="Y2694">
        <v>4.0820679999999998E-2</v>
      </c>
      <c r="Z2694">
        <v>-1.3072339999999999E-4</v>
      </c>
      <c r="AA2694">
        <v>0.99916649999999996</v>
      </c>
      <c r="AB2694">
        <v>40</v>
      </c>
      <c r="AC2694">
        <v>181.46029999999999</v>
      </c>
      <c r="AD2694">
        <v>-1.02902524</v>
      </c>
      <c r="AE2694">
        <v>-6.9385999999999797</v>
      </c>
      <c r="AF2694">
        <v>7.4283664932185403</v>
      </c>
      <c r="AG2694">
        <v>-1.02902524</v>
      </c>
      <c r="AH2694">
        <v>181.43507470554101</v>
      </c>
      <c r="AI2694">
        <v>90.324682641247193</v>
      </c>
      <c r="AJ2694">
        <v>87.655489306334104</v>
      </c>
      <c r="AK2694">
        <v>181.589993818788</v>
      </c>
      <c r="AL2694">
        <v>89.855182710835194</v>
      </c>
      <c r="AM2694">
        <v>86.444057860918505</v>
      </c>
      <c r="AN2694">
        <v>1.0000000717839099</v>
      </c>
    </row>
    <row r="2695" spans="1:40" x14ac:dyDescent="0.25">
      <c r="A2695" t="str">
        <f>"20190312154605823"</f>
        <v>20190312154605823</v>
      </c>
      <c r="B2695" t="str">
        <f>"1552376765819583"</f>
        <v>1552376765819583</v>
      </c>
      <c r="C2695" t="s">
        <v>40</v>
      </c>
      <c r="D2695">
        <v>4.6824979999999998</v>
      </c>
      <c r="E2695">
        <v>0.50340249999999997</v>
      </c>
      <c r="F2695" t="s">
        <v>54</v>
      </c>
      <c r="G2695">
        <v>-230.65440000000001</v>
      </c>
      <c r="H2695">
        <v>8.0001550000000005E-2</v>
      </c>
      <c r="I2695">
        <v>208.17830000000001</v>
      </c>
      <c r="J2695">
        <v>-413.97</v>
      </c>
      <c r="K2695">
        <v>1.109143</v>
      </c>
      <c r="L2695">
        <v>215.0557</v>
      </c>
      <c r="M2695">
        <v>0.999946</v>
      </c>
      <c r="N2695">
        <v>0</v>
      </c>
      <c r="O2695">
        <v>3.3838729999999999E-3</v>
      </c>
      <c r="P2695">
        <v>0.99828740000000005</v>
      </c>
      <c r="Q2695">
        <v>-7.7109129999999998E-3</v>
      </c>
      <c r="R2695">
        <v>-5.7990569999999998E-2</v>
      </c>
      <c r="S2695">
        <v>2.9986570000000001</v>
      </c>
      <c r="T2695">
        <v>-1.6755820000000001E-2</v>
      </c>
      <c r="U2695">
        <v>-0.1119385</v>
      </c>
      <c r="V2695">
        <v>6.1367199999999997E-2</v>
      </c>
      <c r="W2695">
        <v>2.1398680000000001E-3</v>
      </c>
      <c r="X2695">
        <v>0.99811300000000003</v>
      </c>
      <c r="Y2695">
        <v>4.0684329999999998E-2</v>
      </c>
      <c r="Z2695">
        <v>-1.3252970000000001E-4</v>
      </c>
      <c r="AA2695">
        <v>0.99917199999999995</v>
      </c>
      <c r="AB2695">
        <v>40</v>
      </c>
      <c r="AC2695">
        <v>183.31559999999999</v>
      </c>
      <c r="AD2695">
        <v>-1.02914145</v>
      </c>
      <c r="AE2695">
        <v>-6.87739999999999</v>
      </c>
      <c r="AF2695">
        <v>7.4974713079376603</v>
      </c>
      <c r="AG2695">
        <v>-1.02914145</v>
      </c>
      <c r="AH2695">
        <v>183.28550841203099</v>
      </c>
      <c r="AI2695">
        <v>90.321441517226106</v>
      </c>
      <c r="AJ2695">
        <v>87.657566572290705</v>
      </c>
      <c r="AK2695">
        <v>183.44167684033599</v>
      </c>
      <c r="AL2695">
        <v>89.877394505793106</v>
      </c>
      <c r="AM2695">
        <v>86.481699866335902</v>
      </c>
      <c r="AN2695">
        <v>1.00000003651994</v>
      </c>
    </row>
    <row r="2696" spans="1:40" x14ac:dyDescent="0.25">
      <c r="A2696" t="str">
        <f>"20190312154605844"</f>
        <v>20190312154605844</v>
      </c>
      <c r="B2696" t="str">
        <f>"1552376765840080"</f>
        <v>1552376765840080</v>
      </c>
      <c r="C2696" t="s">
        <v>40</v>
      </c>
      <c r="D2696">
        <v>4.6758540000000002</v>
      </c>
      <c r="E2696">
        <v>0.50381239999999905</v>
      </c>
      <c r="F2696" t="s">
        <v>54</v>
      </c>
      <c r="G2696">
        <v>-379.48180000000002</v>
      </c>
      <c r="H2696" s="1">
        <v>3.5089640000000001E-6</v>
      </c>
      <c r="I2696">
        <v>212.77770000000001</v>
      </c>
      <c r="J2696">
        <v>-413.58550000000002</v>
      </c>
      <c r="K2696">
        <v>1.1091869999999999</v>
      </c>
      <c r="L2696">
        <v>215.0573</v>
      </c>
      <c r="M2696">
        <v>0.99994360000000004</v>
      </c>
      <c r="N2696">
        <v>0</v>
      </c>
      <c r="O2696">
        <v>3.7259440000000001E-3</v>
      </c>
      <c r="P2696">
        <v>0.9983438</v>
      </c>
      <c r="Q2696">
        <v>-7.5297080000000004E-3</v>
      </c>
      <c r="R2696">
        <v>-5.703457E-2</v>
      </c>
      <c r="S2696">
        <v>2.9929199999999998</v>
      </c>
      <c r="T2696">
        <v>-9.6252199999999996E-2</v>
      </c>
      <c r="U2696">
        <v>-0.1976929</v>
      </c>
      <c r="V2696">
        <v>6.0752609999999999E-2</v>
      </c>
      <c r="W2696">
        <v>2.4512430000000001E-3</v>
      </c>
      <c r="X2696">
        <v>0.99814990000000003</v>
      </c>
      <c r="Y2696">
        <v>6.9589709999999999E-2</v>
      </c>
      <c r="Z2696">
        <v>-1.2371699999999999E-3</v>
      </c>
      <c r="AA2696">
        <v>0.99757490000000004</v>
      </c>
      <c r="AB2696">
        <v>40</v>
      </c>
      <c r="AC2696">
        <v>34.103700000000003</v>
      </c>
      <c r="AD2696">
        <v>-1.1091834910359999</v>
      </c>
      <c r="AE2696">
        <v>-2.2795999999999799</v>
      </c>
      <c r="AF2696">
        <v>2.4041271611474202</v>
      </c>
      <c r="AG2696">
        <v>-1.1091834910359999</v>
      </c>
      <c r="AH2696">
        <v>34.059101687958503</v>
      </c>
      <c r="AI2696">
        <v>91.860633709668306</v>
      </c>
      <c r="AJ2696">
        <v>85.962364240603904</v>
      </c>
      <c r="AK2696">
        <v>34.161857724872803</v>
      </c>
      <c r="AL2696">
        <v>89.859553988692298</v>
      </c>
      <c r="AM2696">
        <v>86.516976760896299</v>
      </c>
      <c r="AN2696">
        <v>1.0000000555420301</v>
      </c>
    </row>
    <row r="2697" spans="1:40" x14ac:dyDescent="0.25">
      <c r="A2697" t="str">
        <f>"20190312154605867"</f>
        <v>20190312154605867</v>
      </c>
      <c r="B2697" t="str">
        <f>"1552376765859599"</f>
        <v>1552376765859599</v>
      </c>
      <c r="C2697" t="s">
        <v>40</v>
      </c>
      <c r="D2697">
        <v>4.69489</v>
      </c>
      <c r="E2697">
        <v>0.50427359999999999</v>
      </c>
      <c r="F2697" t="s">
        <v>54</v>
      </c>
      <c r="G2697">
        <v>-378.80770000000001</v>
      </c>
      <c r="H2697" s="1">
        <v>3.150241E-6</v>
      </c>
      <c r="I2697">
        <v>212.75559999999999</v>
      </c>
      <c r="J2697">
        <v>-413.16019999999997</v>
      </c>
      <c r="K2697">
        <v>1.109232</v>
      </c>
      <c r="L2697">
        <v>215.0592</v>
      </c>
      <c r="M2697">
        <v>0.99994059999999996</v>
      </c>
      <c r="N2697">
        <v>0</v>
      </c>
      <c r="O2697">
        <v>4.1169370000000002E-3</v>
      </c>
      <c r="P2697">
        <v>0.99838020000000005</v>
      </c>
      <c r="Q2697">
        <v>-7.3960759999999997E-3</v>
      </c>
      <c r="R2697">
        <v>-5.641388E-2</v>
      </c>
      <c r="S2697">
        <v>2.9929809999999999</v>
      </c>
      <c r="T2697">
        <v>-9.5456600000000003E-2</v>
      </c>
      <c r="U2697">
        <v>-0.1980896</v>
      </c>
      <c r="V2697">
        <v>6.0521810000000002E-2</v>
      </c>
      <c r="W2697">
        <v>2.7325750000000001E-3</v>
      </c>
      <c r="X2697">
        <v>0.99816320000000003</v>
      </c>
      <c r="Y2697">
        <v>7.0110249999999999E-2</v>
      </c>
      <c r="Z2697">
        <v>-1.2476640000000001E-3</v>
      </c>
      <c r="AA2697">
        <v>0.99753840000000005</v>
      </c>
      <c r="AB2697">
        <v>40</v>
      </c>
      <c r="AC2697">
        <v>34.3524999999999</v>
      </c>
      <c r="AD2697">
        <v>-1.1092288497589999</v>
      </c>
      <c r="AE2697">
        <v>-2.3036000000000101</v>
      </c>
      <c r="AF2697">
        <v>2.4424795812061801</v>
      </c>
      <c r="AG2697">
        <v>-1.1092288497589999</v>
      </c>
      <c r="AH2697">
        <v>34.307115462819198</v>
      </c>
      <c r="AI2697">
        <v>91.847188496518797</v>
      </c>
      <c r="AJ2697">
        <v>85.927723928291002</v>
      </c>
      <c r="AK2697">
        <v>34.411833234004803</v>
      </c>
      <c r="AL2697">
        <v>89.843434800651195</v>
      </c>
      <c r="AM2697">
        <v>86.530222544646506</v>
      </c>
      <c r="AN2697">
        <v>1.0000000651430201</v>
      </c>
    </row>
    <row r="2698" spans="1:40" x14ac:dyDescent="0.25">
      <c r="A2698" t="str">
        <f>"20190312154605890"</f>
        <v>20190312154605890</v>
      </c>
      <c r="B2698" t="str">
        <f>"1552376765879690"</f>
        <v>1552376765879690</v>
      </c>
      <c r="C2698" t="s">
        <v>40</v>
      </c>
      <c r="D2698">
        <v>4.7085869999999996</v>
      </c>
      <c r="E2698">
        <v>0.50425310000000001</v>
      </c>
      <c r="F2698" t="s">
        <v>54</v>
      </c>
      <c r="G2698">
        <v>-377.80180000000001</v>
      </c>
      <c r="H2698" s="1">
        <v>2.6149740000000001E-6</v>
      </c>
      <c r="I2698">
        <v>212.697</v>
      </c>
      <c r="J2698">
        <v>-412.76049999999998</v>
      </c>
      <c r="K2698">
        <v>1.1092709999999999</v>
      </c>
      <c r="L2698">
        <v>215.06120000000001</v>
      </c>
      <c r="M2698">
        <v>0.99993770000000004</v>
      </c>
      <c r="N2698">
        <v>0</v>
      </c>
      <c r="O2698">
        <v>4.490005E-3</v>
      </c>
      <c r="P2698">
        <v>0.99840249999999997</v>
      </c>
      <c r="Q2698">
        <v>-6.8091660000000002E-3</v>
      </c>
      <c r="R2698">
        <v>-5.609331E-2</v>
      </c>
      <c r="S2698">
        <v>2.9928889999999999</v>
      </c>
      <c r="T2698">
        <v>-9.3890070000000006E-2</v>
      </c>
      <c r="U2698">
        <v>-0.1999512</v>
      </c>
      <c r="V2698">
        <v>6.0573139999999998E-2</v>
      </c>
      <c r="W2698">
        <v>3.4583180000000002E-3</v>
      </c>
      <c r="X2698">
        <v>0.99815779999999998</v>
      </c>
      <c r="Y2698">
        <v>7.1102699999999894E-2</v>
      </c>
      <c r="Z2698">
        <v>-1.2544450000000001E-3</v>
      </c>
      <c r="AA2698">
        <v>0.99746820000000003</v>
      </c>
      <c r="AB2698">
        <v>40</v>
      </c>
      <c r="AC2698">
        <v>34.958699999999901</v>
      </c>
      <c r="AD2698">
        <v>-1.1092683850259999</v>
      </c>
      <c r="AE2698">
        <v>-2.3642000000000101</v>
      </c>
      <c r="AF2698">
        <v>2.51862478074578</v>
      </c>
      <c r="AG2698">
        <v>-1.1092683850259999</v>
      </c>
      <c r="AH2698">
        <v>34.912740062651302</v>
      </c>
      <c r="AI2698">
        <v>91.815109594819205</v>
      </c>
      <c r="AJ2698">
        <v>85.873798152310201</v>
      </c>
      <c r="AK2698">
        <v>35.0210417580412</v>
      </c>
      <c r="AL2698">
        <v>89.801852585252604</v>
      </c>
      <c r="AM2698">
        <v>86.5272682006011</v>
      </c>
      <c r="AN2698">
        <v>1.0000000294768401</v>
      </c>
    </row>
    <row r="2699" spans="1:40" x14ac:dyDescent="0.25">
      <c r="A2699" t="str">
        <f>"20190312154605913"</f>
        <v>20190312154605913</v>
      </c>
      <c r="B2699" t="str">
        <f>"1552376765909946"</f>
        <v>1552376765909946</v>
      </c>
      <c r="C2699" t="s">
        <v>40</v>
      </c>
      <c r="D2699">
        <v>4.6915649999999998</v>
      </c>
      <c r="E2699">
        <v>0.50446610000000003</v>
      </c>
      <c r="F2699" t="s">
        <v>54</v>
      </c>
      <c r="G2699">
        <v>-375.0421</v>
      </c>
      <c r="H2699" s="1">
        <v>1.146386E-6</v>
      </c>
      <c r="I2699">
        <v>212.55269999999999</v>
      </c>
      <c r="J2699">
        <v>-412.32339999999999</v>
      </c>
      <c r="K2699">
        <v>1.109313</v>
      </c>
      <c r="L2699">
        <v>215.0635</v>
      </c>
      <c r="M2699">
        <v>0.99993399999999999</v>
      </c>
      <c r="N2699">
        <v>0</v>
      </c>
      <c r="O2699">
        <v>4.901E-3</v>
      </c>
      <c r="P2699">
        <v>0.99839789999999995</v>
      </c>
      <c r="Q2699">
        <v>-6.8248919999999999E-3</v>
      </c>
      <c r="R2699">
        <v>-5.6167389999999998E-2</v>
      </c>
      <c r="S2699">
        <v>2.9930729999999999</v>
      </c>
      <c r="T2699">
        <v>-8.8024140000000001E-2</v>
      </c>
      <c r="U2699">
        <v>-0.1990509</v>
      </c>
      <c r="V2699">
        <v>6.105725E-2</v>
      </c>
      <c r="W2699">
        <v>3.5970770000000002E-3</v>
      </c>
      <c r="X2699">
        <v>0.99812780000000001</v>
      </c>
      <c r="Y2699">
        <v>7.1214199999999894E-2</v>
      </c>
      <c r="Z2699">
        <v>-1.1897570000000001E-3</v>
      </c>
      <c r="AA2699">
        <v>0.99746040000000002</v>
      </c>
      <c r="AB2699">
        <v>40</v>
      </c>
      <c r="AC2699">
        <v>37.281299999999902</v>
      </c>
      <c r="AD2699">
        <v>-1.1093118536139901</v>
      </c>
      <c r="AE2699">
        <v>-2.5108000000000099</v>
      </c>
      <c r="AF2699">
        <v>2.69112347450488</v>
      </c>
      <c r="AG2699">
        <v>-1.1093118536139901</v>
      </c>
      <c r="AH2699">
        <v>37.235727536332298</v>
      </c>
      <c r="AI2699">
        <v>91.701991529454105</v>
      </c>
      <c r="AJ2699">
        <v>85.866271352443505</v>
      </c>
      <c r="AK2699">
        <v>37.349325609756001</v>
      </c>
      <c r="AL2699">
        <v>89.793902228150699</v>
      </c>
      <c r="AM2699">
        <v>86.499477375362801</v>
      </c>
      <c r="AN2699">
        <v>1.00000001593667</v>
      </c>
    </row>
    <row r="2700" spans="1:40" x14ac:dyDescent="0.25">
      <c r="A2700" t="str">
        <f>"20190312154605957"</f>
        <v>20190312154605957</v>
      </c>
      <c r="B2700" t="str">
        <f>"1552376765949962"</f>
        <v>1552376765949962</v>
      </c>
      <c r="C2700" t="s">
        <v>40</v>
      </c>
      <c r="D2700">
        <v>4.7062189999999999</v>
      </c>
      <c r="E2700">
        <v>0.50461750000000005</v>
      </c>
      <c r="F2700" t="s">
        <v>54</v>
      </c>
      <c r="G2700">
        <v>-375.32569999999998</v>
      </c>
      <c r="H2700" s="1">
        <v>1.2972869999999999E-6</v>
      </c>
      <c r="I2700">
        <v>212.5796</v>
      </c>
      <c r="J2700">
        <v>-411.54790000000003</v>
      </c>
      <c r="K2700">
        <v>1.1093569999999999</v>
      </c>
      <c r="L2700">
        <v>215.06800000000001</v>
      </c>
      <c r="M2700">
        <v>0.99992749999999997</v>
      </c>
      <c r="N2700">
        <v>0</v>
      </c>
      <c r="O2700">
        <v>5.6313869999999999E-3</v>
      </c>
      <c r="P2700">
        <v>0.99834520000000004</v>
      </c>
      <c r="Q2700">
        <v>-7.9824159999999904E-3</v>
      </c>
      <c r="R2700">
        <v>-5.6950899999999999E-2</v>
      </c>
      <c r="S2700">
        <v>2.9928590000000002</v>
      </c>
      <c r="T2700">
        <v>-8.9735750000000003E-2</v>
      </c>
      <c r="U2700">
        <v>-0.20092769999999999</v>
      </c>
      <c r="V2700">
        <v>6.2569830000000007E-2</v>
      </c>
      <c r="W2700">
        <v>2.7111180000000002E-3</v>
      </c>
      <c r="X2700">
        <v>0.9980369</v>
      </c>
      <c r="Y2700">
        <v>7.2567950000000006E-2</v>
      </c>
      <c r="Z2700">
        <v>-1.2550829999999999E-3</v>
      </c>
      <c r="AA2700">
        <v>0.99736270000000005</v>
      </c>
      <c r="AB2700">
        <v>40</v>
      </c>
      <c r="AC2700">
        <v>36.222200000000001</v>
      </c>
      <c r="AD2700">
        <v>-1.1093557027130001</v>
      </c>
      <c r="AE2700">
        <v>-2.48839999999998</v>
      </c>
      <c r="AF2700">
        <v>2.68984216172593</v>
      </c>
      <c r="AG2700">
        <v>-1.1093557027130001</v>
      </c>
      <c r="AH2700">
        <v>36.173840808817701</v>
      </c>
      <c r="AI2700">
        <v>91.751725833562205</v>
      </c>
      <c r="AJ2700">
        <v>85.747382912485307</v>
      </c>
      <c r="AK2700">
        <v>36.290669321353498</v>
      </c>
      <c r="AL2700">
        <v>89.844664189580001</v>
      </c>
      <c r="AM2700">
        <v>86.412656267689002</v>
      </c>
      <c r="AN2700">
        <v>0.99999999377432403</v>
      </c>
    </row>
    <row r="2701" spans="1:40" x14ac:dyDescent="0.25">
      <c r="A2701" t="str">
        <f>"20190312154605977"</f>
        <v>20190312154605977</v>
      </c>
      <c r="B2701" t="str">
        <f>"1552376765969482"</f>
        <v>1552376765969482</v>
      </c>
      <c r="C2701" t="s">
        <v>40</v>
      </c>
      <c r="D2701">
        <v>4.9055090000000003</v>
      </c>
      <c r="E2701">
        <v>0.50473219999999996</v>
      </c>
      <c r="F2701" t="s">
        <v>54</v>
      </c>
      <c r="G2701">
        <v>-375.29640000000001</v>
      </c>
      <c r="H2701" s="1">
        <v>1.2817179999999901E-6</v>
      </c>
      <c r="I2701">
        <v>212.59020000000001</v>
      </c>
      <c r="J2701">
        <v>-411.16109999999998</v>
      </c>
      <c r="K2701">
        <v>1.1093820000000001</v>
      </c>
      <c r="L2701">
        <v>215.07050000000001</v>
      </c>
      <c r="M2701">
        <v>0.99992389999999998</v>
      </c>
      <c r="N2701">
        <v>0</v>
      </c>
      <c r="O2701">
        <v>5.9956310000000004E-3</v>
      </c>
      <c r="P2701">
        <v>0.99834420000000001</v>
      </c>
      <c r="Q2701">
        <v>-8.2287190000000007E-3</v>
      </c>
      <c r="R2701">
        <v>-5.6931549999999997E-2</v>
      </c>
      <c r="S2701">
        <v>2.9925540000000002</v>
      </c>
      <c r="T2701">
        <v>-9.1577290000000006E-2</v>
      </c>
      <c r="U2701">
        <v>-0.20454410000000001</v>
      </c>
      <c r="V2701">
        <v>6.291418E-2</v>
      </c>
      <c r="W2701">
        <v>2.5952470000000002E-3</v>
      </c>
      <c r="X2701">
        <v>0.9980156</v>
      </c>
      <c r="Y2701">
        <v>7.4135370000000006E-2</v>
      </c>
      <c r="Z2701">
        <v>-1.3159879999999999E-3</v>
      </c>
      <c r="AA2701">
        <v>0.99724729999999995</v>
      </c>
      <c r="AB2701">
        <v>40</v>
      </c>
      <c r="AC2701">
        <v>35.8646999999999</v>
      </c>
      <c r="AD2701">
        <v>-1.1093807182819999</v>
      </c>
      <c r="AE2701">
        <v>-2.4803000000000002</v>
      </c>
      <c r="AF2701">
        <v>2.6927352416647699</v>
      </c>
      <c r="AG2701">
        <v>-1.1093807182819999</v>
      </c>
      <c r="AH2701">
        <v>35.815078268635503</v>
      </c>
      <c r="AI2701">
        <v>91.769193240107199</v>
      </c>
      <c r="AJ2701">
        <v>85.700340458586993</v>
      </c>
      <c r="AK2701">
        <v>35.933290693287297</v>
      </c>
      <c r="AL2701">
        <v>89.851303138181706</v>
      </c>
      <c r="AM2701">
        <v>86.3928886982915</v>
      </c>
      <c r="AN2701">
        <v>1.0000000335977099</v>
      </c>
    </row>
    <row r="2702" spans="1:40" x14ac:dyDescent="0.25">
      <c r="A2702" t="str">
        <f>"20190312154606002"</f>
        <v>20190312154606002</v>
      </c>
      <c r="B2702" t="str">
        <f>"1552376765989508"</f>
        <v>1552376765989508</v>
      </c>
      <c r="C2702" t="s">
        <v>40</v>
      </c>
      <c r="D2702">
        <v>4.7110029999999998</v>
      </c>
      <c r="E2702">
        <v>0.50487009999999999</v>
      </c>
      <c r="F2702" t="s">
        <v>54</v>
      </c>
      <c r="G2702">
        <v>-375.16300000000001</v>
      </c>
      <c r="H2702" s="1">
        <v>1.210679E-6</v>
      </c>
      <c r="I2702">
        <v>212.60130000000001</v>
      </c>
      <c r="J2702">
        <v>-410.73320000000001</v>
      </c>
      <c r="K2702">
        <v>1.1094079999999999</v>
      </c>
      <c r="L2702">
        <v>215.07339999999999</v>
      </c>
      <c r="M2702">
        <v>0.99992009999999998</v>
      </c>
      <c r="N2702">
        <v>0</v>
      </c>
      <c r="O2702">
        <v>6.3980950000000003E-3</v>
      </c>
      <c r="P2702">
        <v>0.99835039999999997</v>
      </c>
      <c r="Q2702">
        <v>-8.1776399999999999E-3</v>
      </c>
      <c r="R2702">
        <v>-5.6833870000000002E-2</v>
      </c>
      <c r="S2702">
        <v>2.9924930000000001</v>
      </c>
      <c r="T2702">
        <v>-9.2221860000000003E-2</v>
      </c>
      <c r="U2702">
        <v>-0.2052612</v>
      </c>
      <c r="V2702">
        <v>6.3218070000000001E-2</v>
      </c>
      <c r="W2702">
        <v>2.7802590000000002E-3</v>
      </c>
      <c r="X2702">
        <v>0.99799590000000005</v>
      </c>
      <c r="Y2702">
        <v>7.4774999999999994E-2</v>
      </c>
      <c r="Z2702">
        <v>-1.347492E-3</v>
      </c>
      <c r="AA2702">
        <v>0.99719950000000002</v>
      </c>
      <c r="AB2702">
        <v>40</v>
      </c>
      <c r="AC2702">
        <v>35.5702</v>
      </c>
      <c r="AD2702">
        <v>-1.109406789321</v>
      </c>
      <c r="AE2702">
        <v>-2.4720999999999802</v>
      </c>
      <c r="AF2702">
        <v>2.69703346494595</v>
      </c>
      <c r="AG2702">
        <v>-1.109406789321</v>
      </c>
      <c r="AH2702">
        <v>35.519268292221597</v>
      </c>
      <c r="AI2702">
        <v>91.783859698669801</v>
      </c>
      <c r="AJ2702">
        <v>85.657774447628299</v>
      </c>
      <c r="AK2702">
        <v>35.638787759266599</v>
      </c>
      <c r="AL2702">
        <v>89.840702693748199</v>
      </c>
      <c r="AM2702">
        <v>86.375440497275605</v>
      </c>
      <c r="AN2702">
        <v>1.0000000353157199</v>
      </c>
    </row>
    <row r="2703" spans="1:40" x14ac:dyDescent="0.25">
      <c r="A2703" t="str">
        <f>"20190312154606024"</f>
        <v>20190312154606024</v>
      </c>
      <c r="B2703" t="str">
        <f>"1552376766019764"</f>
        <v>1552376766019764</v>
      </c>
      <c r="C2703" t="s">
        <v>40</v>
      </c>
      <c r="D2703">
        <v>4.7283869999999997</v>
      </c>
      <c r="E2703">
        <v>0.50499090000000002</v>
      </c>
      <c r="F2703" t="s">
        <v>54</v>
      </c>
      <c r="G2703">
        <v>-375.14389999999997</v>
      </c>
      <c r="H2703" s="1">
        <v>1.2005509999999999E-6</v>
      </c>
      <c r="I2703">
        <v>212.62139999999999</v>
      </c>
      <c r="J2703">
        <v>-410.3349</v>
      </c>
      <c r="K2703">
        <v>1.109424</v>
      </c>
      <c r="L2703">
        <v>215.0763</v>
      </c>
      <c r="M2703">
        <v>0.99991629999999998</v>
      </c>
      <c r="N2703">
        <v>0</v>
      </c>
      <c r="O2703">
        <v>6.7739219999999999E-3</v>
      </c>
      <c r="P2703">
        <v>0.99832339999999997</v>
      </c>
      <c r="Q2703">
        <v>-8.1494659999999993E-3</v>
      </c>
      <c r="R2703">
        <v>-5.7307749999999998E-2</v>
      </c>
      <c r="S2703">
        <v>2.9924620000000002</v>
      </c>
      <c r="T2703">
        <v>-9.3282459999999998E-2</v>
      </c>
      <c r="U2703">
        <v>-0.20617679999999999</v>
      </c>
      <c r="V2703">
        <v>6.4066750000000006E-2</v>
      </c>
      <c r="W2703">
        <v>2.921402E-3</v>
      </c>
      <c r="X2703">
        <v>0.99794130000000003</v>
      </c>
      <c r="Y2703">
        <v>7.5452720000000001E-2</v>
      </c>
      <c r="Z2703">
        <v>-1.3852300000000001E-3</v>
      </c>
      <c r="AA2703">
        <v>0.99714840000000005</v>
      </c>
      <c r="AB2703">
        <v>41</v>
      </c>
      <c r="AC2703">
        <v>35.191000000000003</v>
      </c>
      <c r="AD2703">
        <v>-1.109422799449</v>
      </c>
      <c r="AE2703">
        <v>-2.4548999999999999</v>
      </c>
      <c r="AF2703">
        <v>2.69057809937931</v>
      </c>
      <c r="AG2703">
        <v>-1.109422799449</v>
      </c>
      <c r="AH2703">
        <v>35.138807803574203</v>
      </c>
      <c r="AI2703">
        <v>91.803100297325699</v>
      </c>
      <c r="AJ2703">
        <v>85.621406677137102</v>
      </c>
      <c r="AK2703">
        <v>35.259124256188201</v>
      </c>
      <c r="AL2703">
        <v>89.832615750458302</v>
      </c>
      <c r="AM2703">
        <v>86.326713995502303</v>
      </c>
      <c r="AN2703">
        <v>0.99999996064544805</v>
      </c>
    </row>
    <row r="2704" spans="1:40" x14ac:dyDescent="0.25">
      <c r="A2704" t="str">
        <f>"20190312154606046"</f>
        <v>20190312154606046</v>
      </c>
      <c r="B2704" t="str">
        <f>"1552376766040260"</f>
        <v>1552376766040260</v>
      </c>
      <c r="C2704" t="s">
        <v>40</v>
      </c>
      <c r="D2704">
        <v>4.6777499999999996</v>
      </c>
      <c r="E2704">
        <v>0.50511170000000005</v>
      </c>
      <c r="F2704" t="s">
        <v>54</v>
      </c>
      <c r="G2704">
        <v>-374.0591</v>
      </c>
      <c r="H2704" s="1">
        <v>6.2328559999999999E-7</v>
      </c>
      <c r="I2704">
        <v>212.5454</v>
      </c>
      <c r="J2704">
        <v>-409.94279999999998</v>
      </c>
      <c r="K2704">
        <v>1.109437</v>
      </c>
      <c r="L2704">
        <v>215.07929999999999</v>
      </c>
      <c r="M2704">
        <v>0.99991260000000004</v>
      </c>
      <c r="N2704">
        <v>0</v>
      </c>
      <c r="O2704">
        <v>7.1444619999999999E-3</v>
      </c>
      <c r="P2704">
        <v>0.99833099999999997</v>
      </c>
      <c r="Q2704">
        <v>-8.7870099999999996E-3</v>
      </c>
      <c r="R2704">
        <v>-5.7080569999999997E-2</v>
      </c>
      <c r="S2704">
        <v>2.99234</v>
      </c>
      <c r="T2704">
        <v>-9.1514830000000005E-2</v>
      </c>
      <c r="U2704">
        <v>-0.20877080000000001</v>
      </c>
      <c r="V2704">
        <v>6.4209760000000005E-2</v>
      </c>
      <c r="W2704">
        <v>2.3744719999999999E-3</v>
      </c>
      <c r="X2704">
        <v>0.99793359999999998</v>
      </c>
      <c r="Y2704">
        <v>7.6686009999999999E-2</v>
      </c>
      <c r="Z2704">
        <v>-1.3891579999999999E-3</v>
      </c>
      <c r="AA2704">
        <v>0.99705429999999995</v>
      </c>
      <c r="AB2704">
        <v>41</v>
      </c>
      <c r="AC2704">
        <v>35.883699999999898</v>
      </c>
      <c r="AD2704">
        <v>-1.1094363767144</v>
      </c>
      <c r="AE2704">
        <v>-2.5338999999999801</v>
      </c>
      <c r="AF2704">
        <v>2.7875695131320901</v>
      </c>
      <c r="AG2704">
        <v>-1.1094363767144</v>
      </c>
      <c r="AH2704">
        <v>35.830599223129198</v>
      </c>
      <c r="AI2704">
        <v>91.768164701772406</v>
      </c>
      <c r="AJ2704">
        <v>85.551430799826505</v>
      </c>
      <c r="AK2704">
        <v>35.955990231851899</v>
      </c>
      <c r="AL2704">
        <v>89.863952648081593</v>
      </c>
      <c r="AM2704">
        <v>86.318508671493305</v>
      </c>
      <c r="AN2704">
        <v>1.0000000007027401</v>
      </c>
    </row>
    <row r="2705" spans="1:40" x14ac:dyDescent="0.25">
      <c r="A2705" t="str">
        <f>"20190312154606068"</f>
        <v>20190312154606068</v>
      </c>
      <c r="B2705" t="str">
        <f>"1552376766059781"</f>
        <v>1552376766059781</v>
      </c>
      <c r="C2705" t="s">
        <v>40</v>
      </c>
      <c r="D2705">
        <v>4.7084640000000002</v>
      </c>
      <c r="E2705">
        <v>0.50528509999999904</v>
      </c>
      <c r="F2705" t="s">
        <v>54</v>
      </c>
      <c r="G2705">
        <v>-373.6979</v>
      </c>
      <c r="H2705" s="1">
        <v>4.3104869999999998E-7</v>
      </c>
      <c r="I2705">
        <v>212.54820000000001</v>
      </c>
      <c r="J2705">
        <v>-409.52600000000001</v>
      </c>
      <c r="K2705">
        <v>1.1094409999999999</v>
      </c>
      <c r="L2705">
        <v>215.08260000000001</v>
      </c>
      <c r="M2705">
        <v>0.99990889999999999</v>
      </c>
      <c r="N2705">
        <v>0</v>
      </c>
      <c r="O2705">
        <v>7.5391340000000003E-3</v>
      </c>
      <c r="P2705">
        <v>0.99832169999999998</v>
      </c>
      <c r="Q2705">
        <v>-8.3379279999999997E-3</v>
      </c>
      <c r="R2705">
        <v>-5.7310529999999998E-2</v>
      </c>
      <c r="S2705">
        <v>2.9922179999999998</v>
      </c>
      <c r="T2705">
        <v>-9.1590169999999999E-2</v>
      </c>
      <c r="U2705">
        <v>-0.2089539</v>
      </c>
      <c r="V2705">
        <v>6.4833100000000005E-2</v>
      </c>
      <c r="W2705">
        <v>2.9004220000000002E-3</v>
      </c>
      <c r="X2705">
        <v>0.99789190000000005</v>
      </c>
      <c r="Y2705">
        <v>7.7142619999999995E-2</v>
      </c>
      <c r="Z2705">
        <v>-1.4093980000000001E-3</v>
      </c>
      <c r="AA2705">
        <v>0.99701910000000005</v>
      </c>
      <c r="AB2705">
        <v>41</v>
      </c>
      <c r="AC2705">
        <v>35.828099999999999</v>
      </c>
      <c r="AD2705">
        <v>-1.1094405689512901</v>
      </c>
      <c r="AE2705">
        <v>-2.5344000000000002</v>
      </c>
      <c r="AF2705">
        <v>2.8017845663694398</v>
      </c>
      <c r="AG2705">
        <v>-1.1094405689512901</v>
      </c>
      <c r="AH2705">
        <v>35.773841533475903</v>
      </c>
      <c r="AI2705">
        <v>91.770903409389206</v>
      </c>
      <c r="AJ2705">
        <v>85.521772347762194</v>
      </c>
      <c r="AK2705">
        <v>35.900537505650597</v>
      </c>
      <c r="AL2705">
        <v>89.833817826544802</v>
      </c>
      <c r="AM2705">
        <v>86.282714055115207</v>
      </c>
      <c r="AN2705">
        <v>0.99999999369449899</v>
      </c>
    </row>
    <row r="2706" spans="1:40" x14ac:dyDescent="0.25">
      <c r="A2706" t="str">
        <f>"20190312154606090"</f>
        <v>20190312154606090</v>
      </c>
      <c r="B2706" t="str">
        <f>"1552376766079301"</f>
        <v>1552376766079301</v>
      </c>
      <c r="C2706" t="s">
        <v>40</v>
      </c>
      <c r="D2706">
        <v>4.6851779999999996</v>
      </c>
      <c r="E2706">
        <v>0.50545969999999996</v>
      </c>
      <c r="F2706" t="s">
        <v>54</v>
      </c>
      <c r="G2706">
        <v>-372.28100000000001</v>
      </c>
      <c r="H2706" s="1">
        <v>-3.2295680000000001E-7</v>
      </c>
      <c r="I2706">
        <v>212.4539</v>
      </c>
      <c r="J2706">
        <v>-409.13380000000001</v>
      </c>
      <c r="K2706">
        <v>1.1094569999999999</v>
      </c>
      <c r="L2706">
        <v>215.08600000000001</v>
      </c>
      <c r="M2706">
        <v>0.9999055</v>
      </c>
      <c r="N2706">
        <v>0</v>
      </c>
      <c r="O2706">
        <v>7.9114589999999992E-3</v>
      </c>
      <c r="P2706">
        <v>0.99833930000000004</v>
      </c>
      <c r="Q2706">
        <v>-7.0566550000000002E-3</v>
      </c>
      <c r="R2706">
        <v>-5.7174629999999997E-2</v>
      </c>
      <c r="S2706">
        <v>2.9921570000000002</v>
      </c>
      <c r="T2706">
        <v>-8.9129330000000007E-2</v>
      </c>
      <c r="U2706">
        <v>-0.2111816</v>
      </c>
      <c r="V2706">
        <v>6.5067730000000004E-2</v>
      </c>
      <c r="W2706">
        <v>4.2307890000000004E-3</v>
      </c>
      <c r="X2706">
        <v>0.99787190000000003</v>
      </c>
      <c r="Y2706">
        <v>7.8255340000000007E-2</v>
      </c>
      <c r="Z2706">
        <v>-1.399165E-3</v>
      </c>
      <c r="AA2706">
        <v>0.99693240000000005</v>
      </c>
      <c r="AB2706">
        <v>41</v>
      </c>
      <c r="AC2706">
        <v>36.852800000000002</v>
      </c>
      <c r="AD2706">
        <v>-1.1094573229568001</v>
      </c>
      <c r="AE2706">
        <v>-2.6320999999999799</v>
      </c>
      <c r="AF2706">
        <v>2.9209615776695399</v>
      </c>
      <c r="AG2706">
        <v>-1.1094573229568001</v>
      </c>
      <c r="AH2706">
        <v>36.7976403641593</v>
      </c>
      <c r="AI2706">
        <v>91.721545804596104</v>
      </c>
      <c r="AJ2706">
        <v>85.461432287362101</v>
      </c>
      <c r="AK2706">
        <v>36.9300588743058</v>
      </c>
      <c r="AL2706">
        <v>89.757592927712295</v>
      </c>
      <c r="AM2706">
        <v>86.269224615525502</v>
      </c>
      <c r="AN2706">
        <v>1.0000000189362599</v>
      </c>
    </row>
    <row r="2707" spans="1:40" x14ac:dyDescent="0.25">
      <c r="A2707" t="str">
        <f>"20190312154606113"</f>
        <v>20190312154606113</v>
      </c>
      <c r="B2707" t="str">
        <f>"1552376766109556"</f>
        <v>1552376766109556</v>
      </c>
      <c r="C2707" t="s">
        <v>40</v>
      </c>
      <c r="D2707">
        <v>4.6642960000000002</v>
      </c>
      <c r="E2707">
        <v>0.50554719999999997</v>
      </c>
      <c r="F2707" t="s">
        <v>54</v>
      </c>
      <c r="G2707">
        <v>-369.56</v>
      </c>
      <c r="H2707" s="1">
        <v>3.550556E-6</v>
      </c>
      <c r="I2707">
        <v>212.27680000000001</v>
      </c>
      <c r="J2707">
        <v>-408.70830000000001</v>
      </c>
      <c r="K2707">
        <v>1.1094569999999999</v>
      </c>
      <c r="L2707">
        <v>215.08969999999999</v>
      </c>
      <c r="M2707">
        <v>0.99990199999999996</v>
      </c>
      <c r="N2707">
        <v>0</v>
      </c>
      <c r="O2707">
        <v>8.3163279999999996E-3</v>
      </c>
      <c r="P2707">
        <v>0.99836389999999997</v>
      </c>
      <c r="Q2707">
        <v>-5.4225569999999997E-3</v>
      </c>
      <c r="R2707">
        <v>-5.6922140000000003E-2</v>
      </c>
      <c r="S2707">
        <v>2.9922490000000002</v>
      </c>
      <c r="T2707">
        <v>-8.3887820000000002E-2</v>
      </c>
      <c r="U2707">
        <v>-0.21240229999999999</v>
      </c>
      <c r="V2707">
        <v>6.5217839999999999E-2</v>
      </c>
      <c r="W2707">
        <v>5.88873E-3</v>
      </c>
      <c r="X2707">
        <v>0.99785369999999995</v>
      </c>
      <c r="Y2707">
        <v>7.9065399999999994E-2</v>
      </c>
      <c r="Z2707">
        <v>-1.339532E-3</v>
      </c>
      <c r="AA2707">
        <v>0.99686859999999999</v>
      </c>
      <c r="AB2707">
        <v>41</v>
      </c>
      <c r="AC2707">
        <v>39.148299999999999</v>
      </c>
      <c r="AD2707">
        <v>-1.10945344944399</v>
      </c>
      <c r="AE2707">
        <v>-2.81289999999998</v>
      </c>
      <c r="AF2707">
        <v>3.13588783799108</v>
      </c>
      <c r="AG2707">
        <v>-1.10945344944399</v>
      </c>
      <c r="AH2707">
        <v>39.092316127504901</v>
      </c>
      <c r="AI2707">
        <v>91.620435197757999</v>
      </c>
      <c r="AJ2707">
        <v>85.413696415962093</v>
      </c>
      <c r="AK2707">
        <v>39.233580765738402</v>
      </c>
      <c r="AL2707">
        <v>89.662598682772298</v>
      </c>
      <c r="AM2707">
        <v>86.260574170555302</v>
      </c>
      <c r="AN2707">
        <v>1.0000000251994801</v>
      </c>
    </row>
    <row r="2708" spans="1:40" x14ac:dyDescent="0.25">
      <c r="A2708" t="str">
        <f>"20190312154606136"</f>
        <v>20190312154606136</v>
      </c>
      <c r="B2708" t="str">
        <f>"1552376766130052"</f>
        <v>1552376766130052</v>
      </c>
      <c r="C2708" t="s">
        <v>40</v>
      </c>
      <c r="D2708">
        <v>4.6521330000000001</v>
      </c>
      <c r="E2708">
        <v>0.50555159999999999</v>
      </c>
      <c r="F2708" t="s">
        <v>54</v>
      </c>
      <c r="G2708">
        <v>-365.89929999999998</v>
      </c>
      <c r="H2708" s="1">
        <v>1.602528E-6</v>
      </c>
      <c r="I2708">
        <v>212.05240000000001</v>
      </c>
      <c r="J2708">
        <v>-408.29300000000001</v>
      </c>
      <c r="K2708">
        <v>1.10945</v>
      </c>
      <c r="L2708">
        <v>215.09350000000001</v>
      </c>
      <c r="M2708">
        <v>0.99989870000000003</v>
      </c>
      <c r="N2708">
        <v>0</v>
      </c>
      <c r="O2708">
        <v>8.7111930000000008E-3</v>
      </c>
      <c r="P2708">
        <v>0.99841150000000001</v>
      </c>
      <c r="Q2708">
        <v>-4.1093529999999996E-3</v>
      </c>
      <c r="R2708">
        <v>-5.6194689999999999E-2</v>
      </c>
      <c r="S2708">
        <v>2.9924010000000001</v>
      </c>
      <c r="T2708">
        <v>-7.7552199999999905E-2</v>
      </c>
      <c r="U2708">
        <v>-0.21231079999999999</v>
      </c>
      <c r="V2708">
        <v>6.4883540000000003E-2</v>
      </c>
      <c r="W2708">
        <v>7.1895140000000001E-3</v>
      </c>
      <c r="X2708">
        <v>0.9978669</v>
      </c>
      <c r="Y2708">
        <v>7.9429830000000007E-2</v>
      </c>
      <c r="Z2708">
        <v>-1.253274E-3</v>
      </c>
      <c r="AA2708">
        <v>0.99683960000000005</v>
      </c>
      <c r="AB2708">
        <v>41</v>
      </c>
      <c r="AC2708">
        <v>42.393700000000003</v>
      </c>
      <c r="AD2708">
        <v>-1.109448397472</v>
      </c>
      <c r="AE2708">
        <v>-3.0411000000000001</v>
      </c>
      <c r="AF2708">
        <v>3.40798560105612</v>
      </c>
      <c r="AG2708">
        <v>-1.109448397472</v>
      </c>
      <c r="AH2708">
        <v>42.336751000852402</v>
      </c>
      <c r="AI2708">
        <v>91.496273353381298</v>
      </c>
      <c r="AJ2708">
        <v>85.397779357346096</v>
      </c>
      <c r="AK2708">
        <v>42.488183379756698</v>
      </c>
      <c r="AL2708">
        <v>89.588067624340098</v>
      </c>
      <c r="AM2708">
        <v>86.279737192221205</v>
      </c>
      <c r="AN2708">
        <v>0.99999995649504703</v>
      </c>
    </row>
    <row r="2709" spans="1:40" x14ac:dyDescent="0.25">
      <c r="A2709" t="str">
        <f>"20190312154606159"</f>
        <v>20190312154606159</v>
      </c>
      <c r="B2709" t="str">
        <f>"1552376766149572"</f>
        <v>1552376766149572</v>
      </c>
      <c r="C2709" t="s">
        <v>40</v>
      </c>
      <c r="D2709">
        <v>4.6281939999999997</v>
      </c>
      <c r="E2709">
        <v>0.50565749999999998</v>
      </c>
      <c r="F2709" t="s">
        <v>54</v>
      </c>
      <c r="G2709">
        <v>-363.28120000000001</v>
      </c>
      <c r="H2709" s="1">
        <v>2.092953E-7</v>
      </c>
      <c r="I2709">
        <v>211.9323</v>
      </c>
      <c r="J2709">
        <v>-407.88150000000002</v>
      </c>
      <c r="K2709">
        <v>1.109424</v>
      </c>
      <c r="L2709">
        <v>215.09739999999999</v>
      </c>
      <c r="M2709">
        <v>0.99989589999999995</v>
      </c>
      <c r="N2709">
        <v>0</v>
      </c>
      <c r="O2709">
        <v>9.1001309999999992E-3</v>
      </c>
      <c r="P2709">
        <v>0.99843530000000003</v>
      </c>
      <c r="Q2709">
        <v>-3.1969189999999999E-3</v>
      </c>
      <c r="R2709">
        <v>-5.583246E-2</v>
      </c>
      <c r="S2709">
        <v>2.9926149999999998</v>
      </c>
      <c r="T2709">
        <v>-7.3761820000000006E-2</v>
      </c>
      <c r="U2709">
        <v>-0.21017459999999999</v>
      </c>
      <c r="V2709">
        <v>6.4908729999999998E-2</v>
      </c>
      <c r="W2709">
        <v>8.0458890000000005E-3</v>
      </c>
      <c r="X2709">
        <v>0.99785880000000005</v>
      </c>
      <c r="Y2709">
        <v>7.910731E-2</v>
      </c>
      <c r="Z2709">
        <v>-1.1975899999999999E-3</v>
      </c>
      <c r="AA2709">
        <v>0.99686540000000001</v>
      </c>
      <c r="AB2709">
        <v>41</v>
      </c>
      <c r="AC2709">
        <v>44.600299999999997</v>
      </c>
      <c r="AD2709">
        <v>-1.1094237907047</v>
      </c>
      <c r="AE2709">
        <v>-3.16509999999999</v>
      </c>
      <c r="AF2709">
        <v>3.5686658759249799</v>
      </c>
      <c r="AG2709">
        <v>-1.1094237907047</v>
      </c>
      <c r="AH2709">
        <v>44.542225708777799</v>
      </c>
      <c r="AI2709">
        <v>91.422229119129199</v>
      </c>
      <c r="AJ2709">
        <v>85.419320204760098</v>
      </c>
      <c r="AK2709">
        <v>44.698725578847103</v>
      </c>
      <c r="AL2709">
        <v>89.538999558686001</v>
      </c>
      <c r="AM2709">
        <v>86.278266792405205</v>
      </c>
      <c r="AN2709">
        <v>1.0000000321487199</v>
      </c>
    </row>
    <row r="2710" spans="1:40" x14ac:dyDescent="0.25">
      <c r="A2710" t="str">
        <f>"20190312154606181"</f>
        <v>20190312154606181</v>
      </c>
      <c r="B2710" t="str">
        <f>"1552376766170068"</f>
        <v>1552376766170068</v>
      </c>
      <c r="C2710" t="s">
        <v>40</v>
      </c>
      <c r="D2710">
        <v>4.6357080000000002</v>
      </c>
      <c r="E2710">
        <v>0.50574549999999996</v>
      </c>
      <c r="F2710" t="s">
        <v>54</v>
      </c>
      <c r="G2710">
        <v>-361.8904</v>
      </c>
      <c r="H2710" s="1">
        <v>-5.3083869999999995E-7</v>
      </c>
      <c r="I2710">
        <v>211.8734</v>
      </c>
      <c r="J2710">
        <v>-407.48270000000002</v>
      </c>
      <c r="K2710">
        <v>1.109394</v>
      </c>
      <c r="L2710">
        <v>215.10140000000001</v>
      </c>
      <c r="M2710">
        <v>0.99989349999999999</v>
      </c>
      <c r="N2710">
        <v>0</v>
      </c>
      <c r="O2710">
        <v>9.4707300000000001E-3</v>
      </c>
      <c r="P2710">
        <v>0.99848099999999995</v>
      </c>
      <c r="Q2710">
        <v>-2.206661E-3</v>
      </c>
      <c r="R2710">
        <v>-5.5052570000000002E-2</v>
      </c>
      <c r="S2710">
        <v>2.9927060000000001</v>
      </c>
      <c r="T2710">
        <v>-7.2191829999999999E-2</v>
      </c>
      <c r="U2710">
        <v>-0.20979310000000001</v>
      </c>
      <c r="V2710">
        <v>6.4498719999999996E-2</v>
      </c>
      <c r="W2710">
        <v>8.9346819999999993E-3</v>
      </c>
      <c r="X2710">
        <v>0.99787780000000004</v>
      </c>
      <c r="Y2710">
        <v>7.9349139999999999E-2</v>
      </c>
      <c r="Z2710">
        <v>-1.1839179999999999E-3</v>
      </c>
      <c r="AA2710">
        <v>0.99684620000000002</v>
      </c>
      <c r="AB2710">
        <v>41</v>
      </c>
      <c r="AC2710">
        <v>45.592300000000002</v>
      </c>
      <c r="AD2710">
        <v>-1.1093945308386901</v>
      </c>
      <c r="AE2710">
        <v>-3.2280000000000002</v>
      </c>
      <c r="AF2710">
        <v>3.65751941053523</v>
      </c>
      <c r="AG2710">
        <v>-1.1093945308386901</v>
      </c>
      <c r="AH2710">
        <v>45.532856446216201</v>
      </c>
      <c r="AI2710">
        <v>91.391239067567795</v>
      </c>
      <c r="AJ2710">
        <v>85.407460586901905</v>
      </c>
      <c r="AK2710">
        <v>45.692988746800502</v>
      </c>
      <c r="AL2710">
        <v>89.488073623289907</v>
      </c>
      <c r="AM2710">
        <v>86.3017806945046</v>
      </c>
      <c r="AN2710">
        <v>1.00000000857845</v>
      </c>
    </row>
    <row r="2711" spans="1:40" x14ac:dyDescent="0.25">
      <c r="A2711" t="str">
        <f>"20190312154606202"</f>
        <v>20190312154606202</v>
      </c>
      <c r="B2711" t="str">
        <f>"1552376766190095"</f>
        <v>1552376766190095</v>
      </c>
      <c r="C2711" t="s">
        <v>40</v>
      </c>
      <c r="D2711">
        <v>4.5985209999999999</v>
      </c>
      <c r="E2711">
        <v>0.50593750000000004</v>
      </c>
      <c r="F2711" t="s">
        <v>54</v>
      </c>
      <c r="G2711">
        <v>-360.0829</v>
      </c>
      <c r="H2711" s="1">
        <v>-1.492666E-6</v>
      </c>
      <c r="I2711">
        <v>211.80029999999999</v>
      </c>
      <c r="J2711">
        <v>-407.09570000000002</v>
      </c>
      <c r="K2711">
        <v>1.109362</v>
      </c>
      <c r="L2711">
        <v>215.1053</v>
      </c>
      <c r="M2711">
        <v>0.9998918</v>
      </c>
      <c r="N2711">
        <v>0</v>
      </c>
      <c r="O2711">
        <v>9.8178269999999995E-3</v>
      </c>
      <c r="P2711">
        <v>0.99851319999999999</v>
      </c>
      <c r="Q2711">
        <v>-1.057416E-3</v>
      </c>
      <c r="R2711">
        <v>-5.4503610000000001E-2</v>
      </c>
      <c r="S2711">
        <v>2.9929199999999998</v>
      </c>
      <c r="T2711">
        <v>-7.0049520000000004E-2</v>
      </c>
      <c r="U2711">
        <v>-0.20843510000000001</v>
      </c>
      <c r="V2711">
        <v>6.4295309999999994E-2</v>
      </c>
      <c r="W2711">
        <v>9.9412400000000005E-3</v>
      </c>
      <c r="X2711">
        <v>0.99788140000000003</v>
      </c>
      <c r="Y2711">
        <v>7.9241510000000001E-2</v>
      </c>
      <c r="Z2711">
        <v>-1.155587E-3</v>
      </c>
      <c r="AA2711">
        <v>0.99685480000000004</v>
      </c>
      <c r="AB2711">
        <v>41</v>
      </c>
      <c r="AC2711">
        <v>47.012799999999999</v>
      </c>
      <c r="AD2711">
        <v>-1.1093634926659901</v>
      </c>
      <c r="AE2711">
        <v>-3.3050000000000002</v>
      </c>
      <c r="AF2711">
        <v>3.76434616768098</v>
      </c>
      <c r="AG2711">
        <v>-1.1093634926659901</v>
      </c>
      <c r="AH2711">
        <v>46.9520687110697</v>
      </c>
      <c r="AI2711">
        <v>91.349180803712201</v>
      </c>
      <c r="AJ2711">
        <v>85.4161594596534</v>
      </c>
      <c r="AK2711">
        <v>47.115790831503702</v>
      </c>
      <c r="AL2711">
        <v>89.430399523534504</v>
      </c>
      <c r="AM2711">
        <v>86.313424839690796</v>
      </c>
      <c r="AN2711">
        <v>1.0000000018033399</v>
      </c>
    </row>
    <row r="2712" spans="1:40" x14ac:dyDescent="0.25">
      <c r="A2712" t="str">
        <f>"20190312154606224"</f>
        <v>20190312154606224</v>
      </c>
      <c r="B2712" t="str">
        <f>"1552376766219375"</f>
        <v>1552376766219375</v>
      </c>
      <c r="C2712" t="s">
        <v>40</v>
      </c>
      <c r="D2712">
        <v>4.5871750000000002</v>
      </c>
      <c r="E2712">
        <v>0.51525290000000001</v>
      </c>
      <c r="F2712" t="s">
        <v>54</v>
      </c>
      <c r="G2712">
        <v>-353.07279999999997</v>
      </c>
      <c r="H2712" s="1">
        <v>2.41556E-7</v>
      </c>
      <c r="I2712">
        <v>211.3417</v>
      </c>
      <c r="J2712">
        <v>-406.69869999999997</v>
      </c>
      <c r="K2712">
        <v>1.109318</v>
      </c>
      <c r="L2712">
        <v>215.1095</v>
      </c>
      <c r="M2712">
        <v>0.99989030000000001</v>
      </c>
      <c r="N2712">
        <v>0</v>
      </c>
      <c r="O2712">
        <v>1.0157080000000001E-2</v>
      </c>
      <c r="P2712">
        <v>0.99856860000000003</v>
      </c>
      <c r="Q2712">
        <v>7.2301739999999998E-4</v>
      </c>
      <c r="R2712">
        <v>-5.3479690000000003E-2</v>
      </c>
      <c r="S2712">
        <v>2.99295</v>
      </c>
      <c r="T2712">
        <v>-6.1460380000000002E-2</v>
      </c>
      <c r="U2712">
        <v>-0.20851140000000001</v>
      </c>
      <c r="V2712">
        <v>6.3609789999999999E-2</v>
      </c>
      <c r="W2712">
        <v>1.153617E-2</v>
      </c>
      <c r="X2712">
        <v>0.99790820000000002</v>
      </c>
      <c r="Y2712">
        <v>7.9609739999999998E-2</v>
      </c>
      <c r="Z2712">
        <v>-1.0246490000000001E-3</v>
      </c>
      <c r="AA2712">
        <v>0.99682559999999998</v>
      </c>
      <c r="AB2712">
        <v>41</v>
      </c>
      <c r="AC2712">
        <v>53.625900000000001</v>
      </c>
      <c r="AD2712">
        <v>-1.1093177584439999</v>
      </c>
      <c r="AE2712">
        <v>-3.76779999999999</v>
      </c>
      <c r="AF2712">
        <v>4.3104843464249303</v>
      </c>
      <c r="AG2712">
        <v>-1.1093177584439999</v>
      </c>
      <c r="AH2712">
        <v>53.562053654578001</v>
      </c>
      <c r="AI2712">
        <v>91.182654482136201</v>
      </c>
      <c r="AJ2712">
        <v>85.398954355514604</v>
      </c>
      <c r="AK2712">
        <v>53.746669225970301</v>
      </c>
      <c r="AL2712">
        <v>89.339011506850298</v>
      </c>
      <c r="AM2712">
        <v>86.352722315055701</v>
      </c>
      <c r="AN2712">
        <v>1.00000003211467</v>
      </c>
    </row>
    <row r="2713" spans="1:40" x14ac:dyDescent="0.25">
      <c r="A2713" t="str">
        <f>"20190312154606246"</f>
        <v>20190312154606246</v>
      </c>
      <c r="B2713" t="str">
        <f>"1552376766239872"</f>
        <v>1552376766239872</v>
      </c>
      <c r="C2713" t="s">
        <v>40</v>
      </c>
      <c r="D2713">
        <v>4.5395320000000003</v>
      </c>
      <c r="E2713">
        <v>0.51539120000000005</v>
      </c>
      <c r="F2713" t="s">
        <v>68</v>
      </c>
      <c r="G2713">
        <v>-280.15730000000002</v>
      </c>
      <c r="H2713">
        <v>9.8757610000000007</v>
      </c>
      <c r="I2713">
        <v>202.8252</v>
      </c>
      <c r="J2713">
        <v>-406.28480000000002</v>
      </c>
      <c r="K2713">
        <v>1.109275</v>
      </c>
      <c r="L2713">
        <v>215.114</v>
      </c>
      <c r="M2713">
        <v>0.99988940000000004</v>
      </c>
      <c r="N2713">
        <v>0</v>
      </c>
      <c r="O2713">
        <v>1.0487359999999999E-2</v>
      </c>
      <c r="P2713">
        <v>0.99861659999999997</v>
      </c>
      <c r="Q2713">
        <v>2.8475369999999998E-3</v>
      </c>
      <c r="R2713">
        <v>-5.2507909999999998E-2</v>
      </c>
      <c r="S2713">
        <v>2.9886469999999998</v>
      </c>
      <c r="T2713">
        <v>0.2070446</v>
      </c>
      <c r="U2713">
        <v>-0.29013060000000002</v>
      </c>
      <c r="V2713">
        <v>6.2966820000000007E-2</v>
      </c>
      <c r="W2713">
        <v>1.343431E-2</v>
      </c>
      <c r="X2713">
        <v>0.99792519999999996</v>
      </c>
      <c r="Y2713">
        <v>0.106778399999999</v>
      </c>
      <c r="Z2713">
        <v>4.4096750000000001E-3</v>
      </c>
      <c r="AA2713">
        <v>0.99427310000000002</v>
      </c>
      <c r="AB2713">
        <v>41</v>
      </c>
      <c r="AC2713">
        <v>126.1275</v>
      </c>
      <c r="AD2713">
        <v>8.7664860000000004</v>
      </c>
      <c r="AE2713">
        <v>-12.2888</v>
      </c>
      <c r="AF2713">
        <v>13.546117086909801</v>
      </c>
      <c r="AG2713">
        <v>8.7664860000000004</v>
      </c>
      <c r="AH2713">
        <v>125.39161590642099</v>
      </c>
      <c r="AI2713">
        <v>86.023855533498605</v>
      </c>
      <c r="AJ2713">
        <v>83.834221036592297</v>
      </c>
      <c r="AK2713">
        <v>126.425495468848</v>
      </c>
      <c r="AL2713">
        <v>89.230247583176094</v>
      </c>
      <c r="AM2713">
        <v>86.389552454900098</v>
      </c>
      <c r="AN2713">
        <v>1.00000000295056</v>
      </c>
    </row>
    <row r="2714" spans="1:40" x14ac:dyDescent="0.25">
      <c r="A2714" t="str">
        <f>"20190312154606269"</f>
        <v>20190312154606269</v>
      </c>
      <c r="B2714" t="str">
        <f>"1552376766259392"</f>
        <v>1552376766259392</v>
      </c>
      <c r="C2714" t="s">
        <v>40</v>
      </c>
      <c r="D2714">
        <v>4.5403799999999999</v>
      </c>
      <c r="E2714">
        <v>0.51599059999999997</v>
      </c>
      <c r="F2714" t="s">
        <v>68</v>
      </c>
      <c r="G2714">
        <v>-280.1053</v>
      </c>
      <c r="H2714">
        <v>10.40232</v>
      </c>
      <c r="I2714">
        <v>202.95580000000001</v>
      </c>
      <c r="J2714">
        <v>-405.86619999999999</v>
      </c>
      <c r="K2714">
        <v>1.1092299999999999</v>
      </c>
      <c r="L2714">
        <v>215.11869999999999</v>
      </c>
      <c r="M2714">
        <v>0.99988849999999996</v>
      </c>
      <c r="N2714">
        <v>0</v>
      </c>
      <c r="O2714">
        <v>1.0800209999999999E-2</v>
      </c>
      <c r="P2714">
        <v>0.99863650000000004</v>
      </c>
      <c r="Q2714">
        <v>5.7178489999999997E-3</v>
      </c>
      <c r="R2714">
        <v>-5.1889240000000003E-2</v>
      </c>
      <c r="S2714">
        <v>2.9883730000000002</v>
      </c>
      <c r="T2714">
        <v>0.22009090000000001</v>
      </c>
      <c r="U2714">
        <v>-0.2879486</v>
      </c>
      <c r="V2714">
        <v>6.2659259999999994E-2</v>
      </c>
      <c r="W2714">
        <v>1.6064729999999999E-2</v>
      </c>
      <c r="X2714">
        <v>0.99790570000000001</v>
      </c>
      <c r="Y2714">
        <v>0.10634299999999999</v>
      </c>
      <c r="Z2714">
        <v>4.6943929999999998E-3</v>
      </c>
      <c r="AA2714">
        <v>0.99431840000000005</v>
      </c>
      <c r="AB2714">
        <v>41</v>
      </c>
      <c r="AC2714">
        <v>125.76090000000001</v>
      </c>
      <c r="AD2714">
        <v>9.2930899999999994</v>
      </c>
      <c r="AE2714">
        <v>-12.162899999999899</v>
      </c>
      <c r="AF2714">
        <v>13.447756476661301</v>
      </c>
      <c r="AG2714">
        <v>9.2930899999999994</v>
      </c>
      <c r="AH2714">
        <v>124.946254347045</v>
      </c>
      <c r="AI2714">
        <v>85.770696949200399</v>
      </c>
      <c r="AJ2714">
        <v>83.856998090326599</v>
      </c>
      <c r="AK2714">
        <v>126.010992184651</v>
      </c>
      <c r="AL2714">
        <v>89.079519197306894</v>
      </c>
      <c r="AM2714">
        <v>86.407071273493798</v>
      </c>
      <c r="AN2714">
        <v>1.0000000222531</v>
      </c>
    </row>
    <row r="2715" spans="1:40" x14ac:dyDescent="0.25">
      <c r="A2715" t="str">
        <f>"20190312154606292"</f>
        <v>20190312154606292</v>
      </c>
      <c r="B2715" t="str">
        <f>"1552376766279887"</f>
        <v>1552376766279887</v>
      </c>
      <c r="C2715" t="s">
        <v>40</v>
      </c>
      <c r="D2715">
        <v>4.5608110000000002</v>
      </c>
      <c r="E2715">
        <v>0.51646530000000002</v>
      </c>
      <c r="F2715" t="s">
        <v>68</v>
      </c>
      <c r="G2715">
        <v>-280.14</v>
      </c>
      <c r="H2715">
        <v>10.88275</v>
      </c>
      <c r="I2715">
        <v>202.86940000000001</v>
      </c>
      <c r="J2715">
        <v>-405.44420000000002</v>
      </c>
      <c r="K2715">
        <v>1.1091740000000001</v>
      </c>
      <c r="L2715">
        <v>215.1234</v>
      </c>
      <c r="M2715">
        <v>0.99988779999999999</v>
      </c>
      <c r="N2715">
        <v>0</v>
      </c>
      <c r="O2715">
        <v>1.1090050000000001E-2</v>
      </c>
      <c r="P2715">
        <v>0.99861789999999995</v>
      </c>
      <c r="Q2715">
        <v>8.2354530000000002E-3</v>
      </c>
      <c r="R2715">
        <v>-5.1911350000000002E-2</v>
      </c>
      <c r="S2715">
        <v>2.9876100000000001</v>
      </c>
      <c r="T2715">
        <v>0.2322457</v>
      </c>
      <c r="U2715">
        <v>-0.29107670000000002</v>
      </c>
      <c r="V2715">
        <v>6.2969250000000004E-2</v>
      </c>
      <c r="W2715">
        <v>1.8335569999999999E-2</v>
      </c>
      <c r="X2715">
        <v>0.99784700000000004</v>
      </c>
      <c r="Y2715">
        <v>0.1076462</v>
      </c>
      <c r="Z2715">
        <v>5.0268079999999998E-3</v>
      </c>
      <c r="AA2715">
        <v>0.99417659999999997</v>
      </c>
      <c r="AB2715">
        <v>41</v>
      </c>
      <c r="AC2715">
        <v>125.30419999999999</v>
      </c>
      <c r="AD2715">
        <v>9.7735760000000003</v>
      </c>
      <c r="AE2715">
        <v>-12.2539999999999</v>
      </c>
      <c r="AF2715">
        <v>13.5612242835867</v>
      </c>
      <c r="AG2715">
        <v>9.7735760000000003</v>
      </c>
      <c r="AH2715">
        <v>124.41086694630501</v>
      </c>
      <c r="AI2715">
        <v>85.534477062108394</v>
      </c>
      <c r="AJ2715">
        <v>83.7791182746939</v>
      </c>
      <c r="AK2715">
        <v>125.52885487499999</v>
      </c>
      <c r="AL2715">
        <v>88.949390326816697</v>
      </c>
      <c r="AM2715">
        <v>86.389131281490194</v>
      </c>
      <c r="AN2715">
        <v>0.99999997749089298</v>
      </c>
    </row>
    <row r="2716" spans="1:40" x14ac:dyDescent="0.25">
      <c r="A2716" t="str">
        <f>"20190312154606315"</f>
        <v>20190312154606315</v>
      </c>
      <c r="B2716" t="str">
        <f>"1552376766310144"</f>
        <v>1552376766310144</v>
      </c>
      <c r="C2716" t="s">
        <v>40</v>
      </c>
      <c r="D2716">
        <v>4.6650980000000004</v>
      </c>
      <c r="E2716">
        <v>0.51755050000000002</v>
      </c>
      <c r="F2716" t="s">
        <v>68</v>
      </c>
      <c r="G2716">
        <v>-280.1891</v>
      </c>
      <c r="H2716">
        <v>11.13697</v>
      </c>
      <c r="I2716">
        <v>202.74690000000001</v>
      </c>
      <c r="J2716">
        <v>-405.04169999999999</v>
      </c>
      <c r="K2716">
        <v>1.1091279999999999</v>
      </c>
      <c r="L2716">
        <v>215.12809999999999</v>
      </c>
      <c r="M2716">
        <v>0.99988750000000004</v>
      </c>
      <c r="N2716">
        <v>0</v>
      </c>
      <c r="O2716">
        <v>1.1336499999999999E-2</v>
      </c>
      <c r="P2716">
        <v>0.99858449999999999</v>
      </c>
      <c r="Q2716">
        <v>8.8772620000000003E-3</v>
      </c>
      <c r="R2716">
        <v>-5.2442490000000001E-2</v>
      </c>
      <c r="S2716">
        <v>2.9868769999999998</v>
      </c>
      <c r="T2716">
        <v>0.23912559999999999</v>
      </c>
      <c r="U2716">
        <v>-0.2951355</v>
      </c>
      <c r="V2716">
        <v>6.3746780000000003E-2</v>
      </c>
      <c r="W2716">
        <v>1.8737E-2</v>
      </c>
      <c r="X2716">
        <v>0.99779019999999996</v>
      </c>
      <c r="Y2716">
        <v>0.1092255</v>
      </c>
      <c r="Z2716">
        <v>5.2587930000000003E-3</v>
      </c>
      <c r="AA2716">
        <v>0.99400310000000003</v>
      </c>
      <c r="AB2716">
        <v>41</v>
      </c>
      <c r="AC2716">
        <v>124.8526</v>
      </c>
      <c r="AD2716">
        <v>10.027842</v>
      </c>
      <c r="AE2716">
        <v>-12.3811999999999</v>
      </c>
      <c r="AF2716">
        <v>13.7082945115221</v>
      </c>
      <c r="AG2716">
        <v>10.027842</v>
      </c>
      <c r="AH2716">
        <v>123.912647035387</v>
      </c>
      <c r="AI2716">
        <v>85.401258429640905</v>
      </c>
      <c r="AJ2716">
        <v>83.687112992041804</v>
      </c>
      <c r="AK2716">
        <v>125.071255886027</v>
      </c>
      <c r="AL2716">
        <v>88.926386158707103</v>
      </c>
      <c r="AM2716">
        <v>86.344457724641103</v>
      </c>
      <c r="AN2716">
        <v>1.0000000051727</v>
      </c>
    </row>
    <row r="2717" spans="1:40" x14ac:dyDescent="0.25">
      <c r="A2717" t="str">
        <f>"20190312154606337"</f>
        <v>20190312154606337</v>
      </c>
      <c r="B2717" t="str">
        <f>"1552376766329663"</f>
        <v>1552376766329663</v>
      </c>
      <c r="C2717" t="s">
        <v>40</v>
      </c>
      <c r="D2717">
        <v>4.5373910000000004</v>
      </c>
      <c r="E2717">
        <v>0.51811770000000001</v>
      </c>
      <c r="F2717" t="s">
        <v>68</v>
      </c>
      <c r="G2717">
        <v>-280.32870000000003</v>
      </c>
      <c r="H2717">
        <v>10.816890000000001</v>
      </c>
      <c r="I2717">
        <v>202.398</v>
      </c>
      <c r="J2717">
        <v>-404.62439999999998</v>
      </c>
      <c r="K2717">
        <v>1.1090679999999999</v>
      </c>
      <c r="L2717">
        <v>215.13300000000001</v>
      </c>
      <c r="M2717">
        <v>0.99988739999999998</v>
      </c>
      <c r="N2717">
        <v>0</v>
      </c>
      <c r="O2717">
        <v>1.155427E-2</v>
      </c>
      <c r="P2717">
        <v>0.9985636</v>
      </c>
      <c r="Q2717">
        <v>8.6300479999999995E-3</v>
      </c>
      <c r="R2717">
        <v>-5.2879559999999999E-2</v>
      </c>
      <c r="S2717">
        <v>2.986145</v>
      </c>
      <c r="T2717">
        <v>0.23244310000000001</v>
      </c>
      <c r="U2717">
        <v>-0.30480960000000001</v>
      </c>
      <c r="V2717">
        <v>6.4402390000000004E-2</v>
      </c>
      <c r="W2717">
        <v>1.823259E-2</v>
      </c>
      <c r="X2717">
        <v>0.99775740000000002</v>
      </c>
      <c r="Y2717">
        <v>0.11266329999999999</v>
      </c>
      <c r="Z2717">
        <v>5.2628409999999999E-3</v>
      </c>
      <c r="AA2717">
        <v>0.99361929999999998</v>
      </c>
      <c r="AB2717">
        <v>41</v>
      </c>
      <c r="AC2717">
        <v>124.295699999999</v>
      </c>
      <c r="AD2717">
        <v>9.7078219999999895</v>
      </c>
      <c r="AE2717">
        <v>-12.7349999999999</v>
      </c>
      <c r="AF2717">
        <v>14.085333484447</v>
      </c>
      <c r="AG2717">
        <v>9.7078219999999895</v>
      </c>
      <c r="AH2717">
        <v>123.395356918353</v>
      </c>
      <c r="AI2717">
        <v>85.530567624421295</v>
      </c>
      <c r="AJ2717">
        <v>83.487986956785306</v>
      </c>
      <c r="AK2717">
        <v>124.575489308128</v>
      </c>
      <c r="AL2717">
        <v>88.955291616874206</v>
      </c>
      <c r="AM2717">
        <v>86.306844389110694</v>
      </c>
      <c r="AN2717">
        <v>0.99999996221528897</v>
      </c>
    </row>
    <row r="2718" spans="1:40" x14ac:dyDescent="0.25">
      <c r="A2718" t="str">
        <f>"20190312154606380"</f>
        <v>20190312154606380</v>
      </c>
      <c r="B2718" t="str">
        <f>"1552376766369679"</f>
        <v>1552376766369679</v>
      </c>
      <c r="C2718" t="s">
        <v>40</v>
      </c>
      <c r="D2718">
        <v>4.5188819999999996</v>
      </c>
      <c r="E2718">
        <v>0.51873349999999996</v>
      </c>
      <c r="F2718" t="s">
        <v>68</v>
      </c>
      <c r="G2718">
        <v>-280.40129999999999</v>
      </c>
      <c r="H2718">
        <v>10.71616</v>
      </c>
      <c r="I2718">
        <v>202.2167</v>
      </c>
      <c r="J2718">
        <v>-403.82209999999998</v>
      </c>
      <c r="K2718">
        <v>1.1089549999999999</v>
      </c>
      <c r="L2718">
        <v>215.14250000000001</v>
      </c>
      <c r="M2718">
        <v>0.99988840000000001</v>
      </c>
      <c r="N2718">
        <v>0</v>
      </c>
      <c r="O2718">
        <v>1.183917E-2</v>
      </c>
      <c r="P2718">
        <v>0.99857609999999997</v>
      </c>
      <c r="Q2718">
        <v>9.7398529999999997E-3</v>
      </c>
      <c r="R2718">
        <v>-5.2449660000000002E-2</v>
      </c>
      <c r="S2718">
        <v>2.98584</v>
      </c>
      <c r="T2718">
        <v>0.23091610000000001</v>
      </c>
      <c r="U2718">
        <v>-0.31045529999999999</v>
      </c>
      <c r="V2718">
        <v>6.4259689999999994E-2</v>
      </c>
      <c r="W2718">
        <v>1.8855230000000001E-2</v>
      </c>
      <c r="X2718">
        <v>0.99775510000000001</v>
      </c>
      <c r="Y2718">
        <v>0.114813</v>
      </c>
      <c r="Z2718">
        <v>5.3331259999999997E-3</v>
      </c>
      <c r="AA2718">
        <v>0.99337279999999994</v>
      </c>
      <c r="AB2718">
        <v>41</v>
      </c>
      <c r="AC2718">
        <v>123.4208</v>
      </c>
      <c r="AD2718">
        <v>9.6072050000000004</v>
      </c>
      <c r="AE2718">
        <v>-12.925800000000001</v>
      </c>
      <c r="AF2718">
        <v>14.3004449150684</v>
      </c>
      <c r="AG2718">
        <v>9.6072050000000004</v>
      </c>
      <c r="AH2718">
        <v>122.5247611013</v>
      </c>
      <c r="AI2718">
        <v>85.5466999010374</v>
      </c>
      <c r="AJ2718">
        <v>83.3428578892876</v>
      </c>
      <c r="AK2718">
        <v>123.730021399867</v>
      </c>
      <c r="AL2718">
        <v>88.919610912414598</v>
      </c>
      <c r="AM2718">
        <v>86.314996478307805</v>
      </c>
      <c r="AN2718">
        <v>1.0000000335166199</v>
      </c>
    </row>
    <row r="2719" spans="1:40" x14ac:dyDescent="0.25">
      <c r="A2719" t="str">
        <f>"20190312154606403"</f>
        <v>20190312154606403</v>
      </c>
      <c r="B2719" t="str">
        <f>"1552376766399939"</f>
        <v>1552376766399939</v>
      </c>
      <c r="C2719" t="s">
        <v>40</v>
      </c>
      <c r="D2719">
        <v>4.5113699999999897</v>
      </c>
      <c r="E2719">
        <v>0.51896690000000001</v>
      </c>
      <c r="F2719" t="s">
        <v>68</v>
      </c>
      <c r="G2719">
        <v>-280.42039999999997</v>
      </c>
      <c r="H2719">
        <v>10.65433</v>
      </c>
      <c r="I2719">
        <v>202.16900000000001</v>
      </c>
      <c r="J2719">
        <v>-403.39729999999997</v>
      </c>
      <c r="K2719">
        <v>1.1088990000000001</v>
      </c>
      <c r="L2719">
        <v>215.14760000000001</v>
      </c>
      <c r="M2719">
        <v>0.99988960000000005</v>
      </c>
      <c r="N2719">
        <v>0</v>
      </c>
      <c r="O2719">
        <v>1.1929459999999999E-2</v>
      </c>
      <c r="P2719">
        <v>0.99859310000000001</v>
      </c>
      <c r="Q2719">
        <v>1.0064409999999999E-2</v>
      </c>
      <c r="R2719">
        <v>-5.2068259999999998E-2</v>
      </c>
      <c r="S2719">
        <v>2.9855040000000002</v>
      </c>
      <c r="T2719">
        <v>0.230934</v>
      </c>
      <c r="U2719">
        <v>-0.31387330000000002</v>
      </c>
      <c r="V2719">
        <v>6.3970070000000004E-2</v>
      </c>
      <c r="W2719">
        <v>1.8945819999999999E-2</v>
      </c>
      <c r="X2719">
        <v>0.99777199999999999</v>
      </c>
      <c r="Y2719">
        <v>0.1160351</v>
      </c>
      <c r="Z2719">
        <v>5.3878379999999998E-3</v>
      </c>
      <c r="AA2719">
        <v>0.99323050000000002</v>
      </c>
      <c r="AB2719">
        <v>41</v>
      </c>
      <c r="AC2719">
        <v>122.9769</v>
      </c>
      <c r="AD2719">
        <v>9.54543099999999</v>
      </c>
      <c r="AE2719">
        <v>-12.9786</v>
      </c>
      <c r="AF2719">
        <v>14.3592232020866</v>
      </c>
      <c r="AG2719">
        <v>9.54543099999999</v>
      </c>
      <c r="AH2719">
        <v>122.085871700284</v>
      </c>
      <c r="AI2719">
        <v>85.559837724100703</v>
      </c>
      <c r="AJ2719">
        <v>83.291931721860493</v>
      </c>
      <c r="AK2719">
        <v>123.297455824366</v>
      </c>
      <c r="AL2719">
        <v>88.914419566503298</v>
      </c>
      <c r="AM2719">
        <v>86.331621390641303</v>
      </c>
      <c r="AN2719">
        <v>1.00000003896763</v>
      </c>
    </row>
    <row r="2720" spans="1:40" x14ac:dyDescent="0.25">
      <c r="A2720" t="str">
        <f>"20190312154606425"</f>
        <v>20190312154606425</v>
      </c>
      <c r="B2720" t="str">
        <f>"1552376766419456"</f>
        <v>1552376766419456</v>
      </c>
      <c r="C2720" t="s">
        <v>40</v>
      </c>
      <c r="D2720">
        <v>4.4888589999999997</v>
      </c>
      <c r="E2720">
        <v>0.51903270000000001</v>
      </c>
      <c r="F2720" t="s">
        <v>68</v>
      </c>
      <c r="G2720">
        <v>-280.40949999999998</v>
      </c>
      <c r="H2720">
        <v>10.636570000000001</v>
      </c>
      <c r="I2720">
        <v>202.1961</v>
      </c>
      <c r="J2720">
        <v>-403.00009999999997</v>
      </c>
      <c r="K2720">
        <v>1.108833</v>
      </c>
      <c r="L2720">
        <v>215.1524</v>
      </c>
      <c r="M2720">
        <v>0.99989079999999997</v>
      </c>
      <c r="N2720">
        <v>0</v>
      </c>
      <c r="O2720">
        <v>1.1963E-2</v>
      </c>
      <c r="P2720">
        <v>0.99863270000000004</v>
      </c>
      <c r="Q2720">
        <v>1.00585E-2</v>
      </c>
      <c r="R2720">
        <v>-5.130386E-2</v>
      </c>
      <c r="S2720">
        <v>2.985474</v>
      </c>
      <c r="T2720">
        <v>0.23127929999999999</v>
      </c>
      <c r="U2720">
        <v>-0.31439210000000001</v>
      </c>
      <c r="V2720">
        <v>6.3241649999999996E-2</v>
      </c>
      <c r="W2720">
        <v>1.8742720000000001E-2</v>
      </c>
      <c r="X2720">
        <v>0.99782219999999999</v>
      </c>
      <c r="Y2720">
        <v>0.1162383</v>
      </c>
      <c r="Z2720">
        <v>5.4063009999999996E-3</v>
      </c>
      <c r="AA2720">
        <v>0.99320660000000005</v>
      </c>
      <c r="AB2720">
        <v>41</v>
      </c>
      <c r="AC2720">
        <v>122.59059999999999</v>
      </c>
      <c r="AD2720">
        <v>9.5277369999999895</v>
      </c>
      <c r="AE2720">
        <v>-12.956300000000001</v>
      </c>
      <c r="AF2720">
        <v>14.336338810235601</v>
      </c>
      <c r="AG2720">
        <v>9.5277369999999895</v>
      </c>
      <c r="AH2720">
        <v>121.69983044439699</v>
      </c>
      <c r="AI2720">
        <v>85.554128336683902</v>
      </c>
      <c r="AJ2720">
        <v>83.281474221085702</v>
      </c>
      <c r="AK2720">
        <v>122.91117570431901</v>
      </c>
      <c r="AL2720">
        <v>88.926058330790795</v>
      </c>
      <c r="AM2720">
        <v>86.373462651602196</v>
      </c>
      <c r="AN2720">
        <v>0.99999996933028001</v>
      </c>
    </row>
    <row r="2721" spans="1:40" x14ac:dyDescent="0.25">
      <c r="A2721" t="str">
        <f>"20190312154606447"</f>
        <v>20190312154606447</v>
      </c>
      <c r="B2721" t="str">
        <f>"1552376766439951"</f>
        <v>1552376766439951</v>
      </c>
      <c r="C2721" t="s">
        <v>40</v>
      </c>
      <c r="D2721">
        <v>4.4985580000000001</v>
      </c>
      <c r="E2721">
        <v>0.51906140000000001</v>
      </c>
      <c r="F2721" t="s">
        <v>68</v>
      </c>
      <c r="G2721">
        <v>-280.36250000000001</v>
      </c>
      <c r="H2721">
        <v>10.73387</v>
      </c>
      <c r="I2721">
        <v>202.31370000000001</v>
      </c>
      <c r="J2721">
        <v>-402.57560000000001</v>
      </c>
      <c r="K2721">
        <v>1.1087629999999999</v>
      </c>
      <c r="L2721">
        <v>215.1574</v>
      </c>
      <c r="M2721">
        <v>0.99989269999999997</v>
      </c>
      <c r="N2721">
        <v>0</v>
      </c>
      <c r="O2721">
        <v>1.1929210000000001E-2</v>
      </c>
      <c r="P2721">
        <v>0.99867229999999996</v>
      </c>
      <c r="Q2721">
        <v>9.9298219999999996E-3</v>
      </c>
      <c r="R2721">
        <v>-5.0549259999999999E-2</v>
      </c>
      <c r="S2721">
        <v>2.9856569999999998</v>
      </c>
      <c r="T2721">
        <v>0.234324</v>
      </c>
      <c r="U2721">
        <v>-0.31256099999999998</v>
      </c>
      <c r="V2721">
        <v>6.2456299999999999E-2</v>
      </c>
      <c r="W2721">
        <v>1.8422339999999999E-2</v>
      </c>
      <c r="X2721">
        <v>0.99787769999999998</v>
      </c>
      <c r="Y2721">
        <v>0.11558789999999999</v>
      </c>
      <c r="Z2721">
        <v>5.4490419999999899E-3</v>
      </c>
      <c r="AA2721">
        <v>0.99328229999999995</v>
      </c>
      <c r="AB2721">
        <v>42</v>
      </c>
      <c r="AC2721">
        <v>122.2131</v>
      </c>
      <c r="AD2721">
        <v>9.6251069999999999</v>
      </c>
      <c r="AE2721">
        <v>-12.843699999999901</v>
      </c>
      <c r="AF2721">
        <v>14.213546205056501</v>
      </c>
      <c r="AG2721">
        <v>9.6251069999999999</v>
      </c>
      <c r="AH2721">
        <v>121.30697996256001</v>
      </c>
      <c r="AI2721">
        <v>85.494065472957402</v>
      </c>
      <c r="AJ2721">
        <v>83.317121556457494</v>
      </c>
      <c r="AK2721">
        <v>122.515513173318</v>
      </c>
      <c r="AL2721">
        <v>88.944417996014806</v>
      </c>
      <c r="AM2721">
        <v>86.418578584658604</v>
      </c>
      <c r="AN2721">
        <v>1.0000000380890199</v>
      </c>
    </row>
    <row r="2722" spans="1:40" x14ac:dyDescent="0.25">
      <c r="A2722" t="str">
        <f>"20190312154606470"</f>
        <v>20190312154606470</v>
      </c>
      <c r="B2722" t="str">
        <f>"1552376766459472"</f>
        <v>1552376766459472</v>
      </c>
      <c r="C2722" t="s">
        <v>40</v>
      </c>
      <c r="D2722">
        <v>4.4662639999999998</v>
      </c>
      <c r="E2722">
        <v>0.51905059999999903</v>
      </c>
      <c r="F2722" t="s">
        <v>68</v>
      </c>
      <c r="G2722">
        <v>-280.31380000000001</v>
      </c>
      <c r="H2722">
        <v>10.79163</v>
      </c>
      <c r="I2722">
        <v>202.43520000000001</v>
      </c>
      <c r="J2722">
        <v>-402.1447</v>
      </c>
      <c r="K2722">
        <v>1.1086929999999999</v>
      </c>
      <c r="L2722">
        <v>215.16249999999999</v>
      </c>
      <c r="M2722">
        <v>0.99989530000000004</v>
      </c>
      <c r="N2722">
        <v>0</v>
      </c>
      <c r="O2722">
        <v>1.182883E-2</v>
      </c>
      <c r="P2722">
        <v>0.99873060000000002</v>
      </c>
      <c r="Q2722">
        <v>9.1892680000000004E-3</v>
      </c>
      <c r="R2722">
        <v>-4.952384E-2</v>
      </c>
      <c r="S2722">
        <v>2.9858699999999998</v>
      </c>
      <c r="T2722">
        <v>0.2364734</v>
      </c>
      <c r="U2722">
        <v>-0.31069950000000002</v>
      </c>
      <c r="V2722">
        <v>6.1334130000000001E-2</v>
      </c>
      <c r="W2722">
        <v>1.7506959999999998E-2</v>
      </c>
      <c r="X2722">
        <v>0.99796370000000001</v>
      </c>
      <c r="Y2722">
        <v>0.1148637</v>
      </c>
      <c r="Z2722">
        <v>5.4621790000000002E-3</v>
      </c>
      <c r="AA2722">
        <v>0.99336619999999998</v>
      </c>
      <c r="AB2722">
        <v>42</v>
      </c>
      <c r="AC2722">
        <v>121.8309</v>
      </c>
      <c r="AD2722">
        <v>9.6829370000000008</v>
      </c>
      <c r="AE2722">
        <v>-12.7272999999999</v>
      </c>
      <c r="AF2722">
        <v>14.079598244813701</v>
      </c>
      <c r="AG2722">
        <v>9.6829370000000008</v>
      </c>
      <c r="AH2722">
        <v>120.91625948873801</v>
      </c>
      <c r="AI2722">
        <v>85.452138749189103</v>
      </c>
      <c r="AJ2722">
        <v>83.358336983345097</v>
      </c>
      <c r="AK2722">
        <v>122.117714376045</v>
      </c>
      <c r="AL2722">
        <v>88.996873791176995</v>
      </c>
      <c r="AM2722">
        <v>86.483066323910904</v>
      </c>
      <c r="AN2722">
        <v>0.99999995783449303</v>
      </c>
    </row>
    <row r="2723" spans="1:40" x14ac:dyDescent="0.25">
      <c r="A2723" t="str">
        <f>"20190312154606493"</f>
        <v>20190312154606493</v>
      </c>
      <c r="B2723" t="str">
        <f>"1552376766489728"</f>
        <v>1552376766489728</v>
      </c>
      <c r="C2723" t="s">
        <v>40</v>
      </c>
      <c r="D2723">
        <v>4.4635509999999998</v>
      </c>
      <c r="E2723">
        <v>0.51909839999999996</v>
      </c>
      <c r="F2723" t="s">
        <v>68</v>
      </c>
      <c r="G2723">
        <v>-280.24900000000002</v>
      </c>
      <c r="H2723">
        <v>10.7227</v>
      </c>
      <c r="I2723">
        <v>202.59700000000001</v>
      </c>
      <c r="J2723">
        <v>-401.71780000000001</v>
      </c>
      <c r="K2723">
        <v>1.1086039999999999</v>
      </c>
      <c r="L2723">
        <v>215.16739999999999</v>
      </c>
      <c r="M2723">
        <v>0.99989859999999997</v>
      </c>
      <c r="N2723">
        <v>0</v>
      </c>
      <c r="O2723">
        <v>1.1655820000000001E-2</v>
      </c>
      <c r="P2723">
        <v>0.99877709999999997</v>
      </c>
      <c r="Q2723">
        <v>7.9655809999999994E-3</v>
      </c>
      <c r="R2723">
        <v>-4.8794009999999999E-2</v>
      </c>
      <c r="S2723">
        <v>2.986389</v>
      </c>
      <c r="T2723">
        <v>0.235538</v>
      </c>
      <c r="U2723">
        <v>-0.30784610000000001</v>
      </c>
      <c r="V2723">
        <v>6.0434960000000003E-2</v>
      </c>
      <c r="W2723">
        <v>1.6128139999999999E-2</v>
      </c>
      <c r="X2723">
        <v>0.99804179999999998</v>
      </c>
      <c r="Y2723">
        <v>0.113742</v>
      </c>
      <c r="Z2723">
        <v>5.382324E-3</v>
      </c>
      <c r="AA2723">
        <v>0.99349580000000004</v>
      </c>
      <c r="AB2723">
        <v>42</v>
      </c>
      <c r="AC2723">
        <v>121.4688</v>
      </c>
      <c r="AD2723">
        <v>9.614096</v>
      </c>
      <c r="AE2723">
        <v>-12.5703999999999</v>
      </c>
      <c r="AF2723">
        <v>13.899262355603</v>
      </c>
      <c r="AG2723">
        <v>9.614096</v>
      </c>
      <c r="AH2723">
        <v>120.56673568652501</v>
      </c>
      <c r="AI2723">
        <v>85.470703891512102</v>
      </c>
      <c r="AJ2723">
        <v>83.423816353979404</v>
      </c>
      <c r="AK2723">
        <v>121.745464350962</v>
      </c>
      <c r="AL2723">
        <v>89.075885551038397</v>
      </c>
      <c r="AM2723">
        <v>86.534769179104202</v>
      </c>
      <c r="AN2723">
        <v>0.99999996791864998</v>
      </c>
    </row>
    <row r="2724" spans="1:40" x14ac:dyDescent="0.25">
      <c r="A2724" t="str">
        <f>"20190312154606539"</f>
        <v>20190312154606539</v>
      </c>
      <c r="B2724" t="str">
        <f>"1552376766529743"</f>
        <v>1552376766529743</v>
      </c>
      <c r="C2724" t="s">
        <v>40</v>
      </c>
      <c r="D2724">
        <v>4.4816940000000001</v>
      </c>
      <c r="E2724">
        <v>0.51913699999999996</v>
      </c>
      <c r="F2724" t="s">
        <v>68</v>
      </c>
      <c r="G2724">
        <v>-280.19880000000001</v>
      </c>
      <c r="H2724">
        <v>10.548400000000001</v>
      </c>
      <c r="I2724">
        <v>202.72229999999999</v>
      </c>
      <c r="J2724">
        <v>-400.85399999999998</v>
      </c>
      <c r="K2724">
        <v>1.1084400000000001</v>
      </c>
      <c r="L2724">
        <v>215.17689999999999</v>
      </c>
      <c r="M2724">
        <v>0.9999074</v>
      </c>
      <c r="N2724">
        <v>0</v>
      </c>
      <c r="O2724">
        <v>1.1058159999999999E-2</v>
      </c>
      <c r="P2724">
        <v>0.9987724</v>
      </c>
      <c r="Q2724">
        <v>7.5524659999999999E-3</v>
      </c>
      <c r="R2724">
        <v>-4.8958990000000001E-2</v>
      </c>
      <c r="S2724">
        <v>2.9868769999999998</v>
      </c>
      <c r="T2724">
        <v>0.2320247</v>
      </c>
      <c r="U2724">
        <v>-0.30589290000000002</v>
      </c>
      <c r="V2724">
        <v>6.0008730000000003E-2</v>
      </c>
      <c r="W2724">
        <v>1.545493E-2</v>
      </c>
      <c r="X2724">
        <v>0.99807820000000003</v>
      </c>
      <c r="Y2724">
        <v>0.1125056</v>
      </c>
      <c r="Z2724">
        <v>5.2075200000000002E-3</v>
      </c>
      <c r="AA2724">
        <v>0.9936374</v>
      </c>
      <c r="AB2724">
        <v>42</v>
      </c>
      <c r="AC2724">
        <v>120.65519999999999</v>
      </c>
      <c r="AD2724">
        <v>9.4399599999999992</v>
      </c>
      <c r="AE2724">
        <v>-12.454599999999999</v>
      </c>
      <c r="AF2724">
        <v>13.7050955242316</v>
      </c>
      <c r="AG2724">
        <v>9.4399599999999992</v>
      </c>
      <c r="AH2724">
        <v>119.78457855768499</v>
      </c>
      <c r="AI2724">
        <v>85.523046369925794</v>
      </c>
      <c r="AJ2724">
        <v>83.472913260192598</v>
      </c>
      <c r="AK2724">
        <v>120.935055911725</v>
      </c>
      <c r="AL2724">
        <v>89.114462481617295</v>
      </c>
      <c r="AM2724">
        <v>86.559274694136903</v>
      </c>
      <c r="AN2724">
        <v>0.99999999792637795</v>
      </c>
    </row>
    <row r="2725" spans="1:40" x14ac:dyDescent="0.25">
      <c r="A2725" t="str">
        <f>"20190312154606559"</f>
        <v>20190312154606559</v>
      </c>
      <c r="B2725" t="str">
        <f>"1552376766550240"</f>
        <v>1552376766550240</v>
      </c>
      <c r="C2725" t="s">
        <v>40</v>
      </c>
      <c r="D2725">
        <v>4.4445750000000004</v>
      </c>
      <c r="E2725">
        <v>0.51928030000000003</v>
      </c>
      <c r="F2725" t="s">
        <v>68</v>
      </c>
      <c r="G2725">
        <v>-280.17270000000002</v>
      </c>
      <c r="H2725">
        <v>10.5245</v>
      </c>
      <c r="I2725">
        <v>202.78739999999999</v>
      </c>
      <c r="J2725">
        <v>-400.47030000000001</v>
      </c>
      <c r="K2725">
        <v>1.108374</v>
      </c>
      <c r="L2725">
        <v>215.18090000000001</v>
      </c>
      <c r="M2725">
        <v>0.99991200000000002</v>
      </c>
      <c r="N2725">
        <v>0</v>
      </c>
      <c r="O2725">
        <v>1.069351E-2</v>
      </c>
      <c r="P2725">
        <v>0.99869719999999995</v>
      </c>
      <c r="Q2725">
        <v>8.1683039999999995E-3</v>
      </c>
      <c r="R2725">
        <v>-5.0374219999999997E-2</v>
      </c>
      <c r="S2725">
        <v>2.9868769999999998</v>
      </c>
      <c r="T2725">
        <v>0.23304800000000001</v>
      </c>
      <c r="U2725">
        <v>-0.30664059999999999</v>
      </c>
      <c r="V2725">
        <v>6.1062020000000002E-2</v>
      </c>
      <c r="W2725">
        <v>1.5976049999999999E-2</v>
      </c>
      <c r="X2725">
        <v>0.99800610000000001</v>
      </c>
      <c r="Y2725">
        <v>0.1123876</v>
      </c>
      <c r="Z2725">
        <v>5.1974250000000003E-3</v>
      </c>
      <c r="AA2725">
        <v>0.9936509</v>
      </c>
      <c r="AB2725">
        <v>42</v>
      </c>
      <c r="AC2725">
        <v>120.2976</v>
      </c>
      <c r="AD2725">
        <v>9.4161260000000002</v>
      </c>
      <c r="AE2725">
        <v>-12.3935</v>
      </c>
      <c r="AF2725">
        <v>13.596805154378499</v>
      </c>
      <c r="AG2725">
        <v>9.4161260000000002</v>
      </c>
      <c r="AH2725">
        <v>119.434128479885</v>
      </c>
      <c r="AI2725">
        <v>85.520966806196498</v>
      </c>
      <c r="AJ2725">
        <v>83.505207023697395</v>
      </c>
      <c r="AK2725">
        <v>120.573826284993</v>
      </c>
      <c r="AL2725">
        <v>89.084600809591095</v>
      </c>
      <c r="AM2725">
        <v>86.498778746613993</v>
      </c>
      <c r="AN2725">
        <v>0.99999999004864604</v>
      </c>
    </row>
    <row r="2726" spans="1:40" x14ac:dyDescent="0.25">
      <c r="A2726" t="str">
        <f>"20190312154606581"</f>
        <v>20190312154606581</v>
      </c>
      <c r="B2726" t="str">
        <f>"1552376766569759"</f>
        <v>1552376766569759</v>
      </c>
      <c r="C2726" t="s">
        <v>40</v>
      </c>
      <c r="D2726">
        <v>4.4062219999999996</v>
      </c>
      <c r="E2726">
        <v>0.51938399999999996</v>
      </c>
      <c r="F2726" t="s">
        <v>68</v>
      </c>
      <c r="G2726">
        <v>-280.23520000000002</v>
      </c>
      <c r="H2726">
        <v>10.611929999999999</v>
      </c>
      <c r="I2726">
        <v>202.63130000000001</v>
      </c>
      <c r="J2726">
        <v>-400.04320000000001</v>
      </c>
      <c r="K2726">
        <v>1.108301</v>
      </c>
      <c r="L2726">
        <v>215.18510000000001</v>
      </c>
      <c r="M2726">
        <v>0.99991730000000001</v>
      </c>
      <c r="N2726">
        <v>0</v>
      </c>
      <c r="O2726">
        <v>1.0233249999999999E-2</v>
      </c>
      <c r="P2726">
        <v>0.99859319999999896</v>
      </c>
      <c r="Q2726">
        <v>8.8126449999999992E-3</v>
      </c>
      <c r="R2726">
        <v>-5.2285060000000001E-2</v>
      </c>
      <c r="S2726">
        <v>2.9862669999999998</v>
      </c>
      <c r="T2726">
        <v>0.2360381</v>
      </c>
      <c r="U2726">
        <v>-0.3116913</v>
      </c>
      <c r="V2726">
        <v>6.2515539999999994E-2</v>
      </c>
      <c r="W2726">
        <v>1.6536260000000001E-2</v>
      </c>
      <c r="X2726">
        <v>0.99790699999999999</v>
      </c>
      <c r="Y2726">
        <v>0.1136016</v>
      </c>
      <c r="Z2726">
        <v>5.27606E-3</v>
      </c>
      <c r="AA2726">
        <v>0.99351239999999996</v>
      </c>
      <c r="AB2726">
        <v>42</v>
      </c>
      <c r="AC2726">
        <v>119.80800000000001</v>
      </c>
      <c r="AD2726">
        <v>9.5036290000000001</v>
      </c>
      <c r="AE2726">
        <v>-12.553799999999899</v>
      </c>
      <c r="AF2726">
        <v>13.693974641940599</v>
      </c>
      <c r="AG2726">
        <v>9.5036290000000001</v>
      </c>
      <c r="AH2726">
        <v>118.933024933014</v>
      </c>
      <c r="AI2726">
        <v>85.461210916504797</v>
      </c>
      <c r="AJ2726">
        <v>83.431874581198898</v>
      </c>
      <c r="AK2726">
        <v>120.09541342358099</v>
      </c>
      <c r="AL2726">
        <v>89.052498917777896</v>
      </c>
      <c r="AM2726">
        <v>86.415295429876906</v>
      </c>
      <c r="AN2726">
        <v>1.0000000106426301</v>
      </c>
    </row>
    <row r="2727" spans="1:40" x14ac:dyDescent="0.25">
      <c r="A2727" t="str">
        <f>"20190312154606603"</f>
        <v>20190312154606603</v>
      </c>
      <c r="B2727" t="str">
        <f>"1552376766600016"</f>
        <v>1552376766600016</v>
      </c>
      <c r="C2727" t="s">
        <v>40</v>
      </c>
      <c r="D2727">
        <v>4.4587830000000004</v>
      </c>
      <c r="E2727">
        <v>0.51952169999999998</v>
      </c>
      <c r="F2727" t="s">
        <v>68</v>
      </c>
      <c r="G2727">
        <v>-280.31920000000002</v>
      </c>
      <c r="H2727">
        <v>10.685879999999999</v>
      </c>
      <c r="I2727">
        <v>202.42160000000001</v>
      </c>
      <c r="J2727">
        <v>-399.62720000000002</v>
      </c>
      <c r="K2727">
        <v>1.108241</v>
      </c>
      <c r="L2727">
        <v>215.18899999999999</v>
      </c>
      <c r="M2727">
        <v>0.99992259999999999</v>
      </c>
      <c r="N2727">
        <v>0</v>
      </c>
      <c r="O2727">
        <v>9.739012E-3</v>
      </c>
      <c r="P2727">
        <v>0.99843700000000002</v>
      </c>
      <c r="Q2727">
        <v>9.1540709999999997E-3</v>
      </c>
      <c r="R2727">
        <v>-5.5131659999999999E-2</v>
      </c>
      <c r="S2727">
        <v>2.9854129999999999</v>
      </c>
      <c r="T2727">
        <v>0.23882349999999999</v>
      </c>
      <c r="U2727">
        <v>-0.31826779999999999</v>
      </c>
      <c r="V2727">
        <v>6.4869949999999996E-2</v>
      </c>
      <c r="W2727">
        <v>1.6818509999999998E-2</v>
      </c>
      <c r="X2727">
        <v>0.99775199999999997</v>
      </c>
      <c r="Y2727">
        <v>0.1152913</v>
      </c>
      <c r="Z2727">
        <v>5.3669449999999997E-3</v>
      </c>
      <c r="AA2727">
        <v>0.99331720000000001</v>
      </c>
      <c r="AB2727">
        <v>42</v>
      </c>
      <c r="AC2727">
        <v>119.30800000000001</v>
      </c>
      <c r="AD2727">
        <v>9.5776389999999996</v>
      </c>
      <c r="AE2727">
        <v>-12.7674</v>
      </c>
      <c r="AF2727">
        <v>13.8405878583284</v>
      </c>
      <c r="AG2727">
        <v>9.5776389999999996</v>
      </c>
      <c r="AH2727">
        <v>118.423476298629</v>
      </c>
      <c r="AI2727">
        <v>85.4073250066361</v>
      </c>
      <c r="AJ2727">
        <v>83.333873332314994</v>
      </c>
      <c r="AK2727">
        <v>119.613597804474</v>
      </c>
      <c r="AL2727">
        <v>89.036324937061707</v>
      </c>
      <c r="AM2727">
        <v>86.280087092630197</v>
      </c>
      <c r="AN2727">
        <v>1.0000000130978099</v>
      </c>
    </row>
    <row r="2728" spans="1:40" x14ac:dyDescent="0.25">
      <c r="A2728" t="str">
        <f>"20190312154606626"</f>
        <v>20190312154606626</v>
      </c>
      <c r="B2728" t="str">
        <f>"1552376766619535"</f>
        <v>1552376766619535</v>
      </c>
      <c r="C2728" t="s">
        <v>40</v>
      </c>
      <c r="D2728">
        <v>4.4478540000000004</v>
      </c>
      <c r="E2728">
        <v>0.51965720000000004</v>
      </c>
      <c r="F2728" t="s">
        <v>68</v>
      </c>
      <c r="G2728">
        <v>-280.45569999999998</v>
      </c>
      <c r="H2728">
        <v>10.74174</v>
      </c>
      <c r="I2728">
        <v>202.08090000000001</v>
      </c>
      <c r="J2728">
        <v>-399.20339999999999</v>
      </c>
      <c r="K2728">
        <v>1.108193</v>
      </c>
      <c r="L2728">
        <v>215.1927</v>
      </c>
      <c r="M2728">
        <v>0.99992800000000004</v>
      </c>
      <c r="N2728">
        <v>0</v>
      </c>
      <c r="O2728">
        <v>9.2003199999999997E-3</v>
      </c>
      <c r="P2728">
        <v>0.99828879999999998</v>
      </c>
      <c r="Q2728">
        <v>9.5049639999999994E-3</v>
      </c>
      <c r="R2728">
        <v>-5.770136E-2</v>
      </c>
      <c r="S2728">
        <v>2.984375</v>
      </c>
      <c r="T2728">
        <v>0.24124789999999999</v>
      </c>
      <c r="U2728">
        <v>-0.32826230000000001</v>
      </c>
      <c r="V2728">
        <v>6.690285E-2</v>
      </c>
      <c r="W2728">
        <v>1.7131270000000001E-2</v>
      </c>
      <c r="X2728">
        <v>0.99761239999999995</v>
      </c>
      <c r="Y2728">
        <v>0.1180648</v>
      </c>
      <c r="Z2728">
        <v>5.4903769999999899E-3</v>
      </c>
      <c r="AA2728">
        <v>0.9929907</v>
      </c>
      <c r="AB2728">
        <v>42</v>
      </c>
      <c r="AC2728">
        <v>118.74769999999999</v>
      </c>
      <c r="AD2728">
        <v>9.6335470000000001</v>
      </c>
      <c r="AE2728">
        <v>-13.111799999999899</v>
      </c>
      <c r="AF2728">
        <v>14.1120352611252</v>
      </c>
      <c r="AG2728">
        <v>9.6335470000000001</v>
      </c>
      <c r="AH2728">
        <v>117.85571815224</v>
      </c>
      <c r="AI2728">
        <v>85.360020472842606</v>
      </c>
      <c r="AJ2728">
        <v>83.171916511723495</v>
      </c>
      <c r="AK2728">
        <v>119.08788799954699</v>
      </c>
      <c r="AL2728">
        <v>89.018402500480093</v>
      </c>
      <c r="AM2728">
        <v>86.163319750240703</v>
      </c>
      <c r="AN2728">
        <v>0.99999998619184705</v>
      </c>
    </row>
    <row r="2729" spans="1:40" x14ac:dyDescent="0.25">
      <c r="A2729" t="str">
        <f>"20190312154606671"</f>
        <v>20190312154606671</v>
      </c>
      <c r="B2729" t="str">
        <f>"1552376766659558"</f>
        <v>1552376766659558</v>
      </c>
      <c r="C2729" t="s">
        <v>40</v>
      </c>
      <c r="D2729">
        <v>4.4697979999999999</v>
      </c>
      <c r="E2729">
        <v>0.51977090000000004</v>
      </c>
      <c r="F2729" t="s">
        <v>68</v>
      </c>
      <c r="G2729">
        <v>-280.57350000000002</v>
      </c>
      <c r="H2729">
        <v>10.770630000000001</v>
      </c>
      <c r="I2729">
        <v>201.78649999999999</v>
      </c>
      <c r="J2729">
        <v>-398.35129999999998</v>
      </c>
      <c r="K2729">
        <v>1.108112</v>
      </c>
      <c r="L2729">
        <v>215.1995</v>
      </c>
      <c r="M2729">
        <v>0.99993790000000005</v>
      </c>
      <c r="N2729">
        <v>0</v>
      </c>
      <c r="O2729">
        <v>8.0605469999999995E-3</v>
      </c>
      <c r="P2729">
        <v>0.99812089999999998</v>
      </c>
      <c r="Q2729">
        <v>9.3195659999999996E-3</v>
      </c>
      <c r="R2729">
        <v>-6.0562480000000002E-2</v>
      </c>
      <c r="S2729">
        <v>2.9833370000000001</v>
      </c>
      <c r="T2729">
        <v>0.24299290000000001</v>
      </c>
      <c r="U2729">
        <v>-0.33714290000000002</v>
      </c>
      <c r="V2729">
        <v>6.8628229999999998E-2</v>
      </c>
      <c r="W2729">
        <v>1.691291E-2</v>
      </c>
      <c r="X2729">
        <v>0.99749889999999997</v>
      </c>
      <c r="Y2729">
        <v>0.1198816</v>
      </c>
      <c r="Z2729">
        <v>5.5121859999999996E-3</v>
      </c>
      <c r="AA2729">
        <v>0.99277289999999996</v>
      </c>
      <c r="AB2729">
        <v>42</v>
      </c>
      <c r="AC2729">
        <v>117.777799999999</v>
      </c>
      <c r="AD2729">
        <v>9.6625179999999897</v>
      </c>
      <c r="AE2729">
        <v>-13.413</v>
      </c>
      <c r="AF2729">
        <v>14.2671488434131</v>
      </c>
      <c r="AG2729">
        <v>9.6625179999999897</v>
      </c>
      <c r="AH2729">
        <v>116.889192832524</v>
      </c>
      <c r="AI2729">
        <v>85.309106902501497</v>
      </c>
      <c r="AJ2729">
        <v>83.041068409793198</v>
      </c>
      <c r="AK2729">
        <v>118.15244047949</v>
      </c>
      <c r="AL2729">
        <v>89.030915402401106</v>
      </c>
      <c r="AM2729">
        <v>86.0642349500866</v>
      </c>
      <c r="AN2729">
        <v>0.99999996798940405</v>
      </c>
    </row>
    <row r="2730" spans="1:40" x14ac:dyDescent="0.25">
      <c r="A2730" t="str">
        <f>"20190312154606691"</f>
        <v>20190312154606691</v>
      </c>
      <c r="B2730" t="str">
        <f>"1552376766680057"</f>
        <v>1552376766680057</v>
      </c>
      <c r="C2730" t="s">
        <v>40</v>
      </c>
      <c r="D2730">
        <v>4.5341719999999999</v>
      </c>
      <c r="E2730">
        <v>0.51976729999999904</v>
      </c>
      <c r="F2730" t="s">
        <v>68</v>
      </c>
      <c r="G2730">
        <v>-280.6816</v>
      </c>
      <c r="H2730">
        <v>10.71106</v>
      </c>
      <c r="I2730">
        <v>201.51660000000001</v>
      </c>
      <c r="J2730">
        <v>-397.94349999999997</v>
      </c>
      <c r="K2730">
        <v>1.1080840000000001</v>
      </c>
      <c r="L2730">
        <v>215.20240000000001</v>
      </c>
      <c r="M2730">
        <v>0.9999422</v>
      </c>
      <c r="N2730">
        <v>0</v>
      </c>
      <c r="O2730">
        <v>7.50453199999999E-3</v>
      </c>
      <c r="P2730">
        <v>0.99810719999999997</v>
      </c>
      <c r="Q2730">
        <v>9.6031850000000002E-3</v>
      </c>
      <c r="R2730">
        <v>-6.0742940000000002E-2</v>
      </c>
      <c r="S2730">
        <v>2.9823</v>
      </c>
      <c r="T2730">
        <v>0.2433826</v>
      </c>
      <c r="U2730">
        <v>-0.3467865</v>
      </c>
      <c r="V2730">
        <v>6.8255280000000002E-2</v>
      </c>
      <c r="W2730">
        <v>1.7197540000000001E-2</v>
      </c>
      <c r="X2730">
        <v>0.99751970000000001</v>
      </c>
      <c r="Y2730">
        <v>0.1225279</v>
      </c>
      <c r="Z2730">
        <v>5.5841780000000004E-3</v>
      </c>
      <c r="AA2730">
        <v>0.99244929999999998</v>
      </c>
      <c r="AB2730">
        <v>43</v>
      </c>
      <c r="AC2730">
        <v>117.261899999999</v>
      </c>
      <c r="AD2730">
        <v>9.602976</v>
      </c>
      <c r="AE2730">
        <v>-13.6858</v>
      </c>
      <c r="AF2730">
        <v>14.469698987427501</v>
      </c>
      <c r="AG2730">
        <v>9.602976</v>
      </c>
      <c r="AH2730">
        <v>116.385833547779</v>
      </c>
      <c r="AI2730">
        <v>85.3190941743091</v>
      </c>
      <c r="AJ2730">
        <v>82.913051809603402</v>
      </c>
      <c r="AK2730">
        <v>117.67434549405699</v>
      </c>
      <c r="AL2730">
        <v>89.014605007876497</v>
      </c>
      <c r="AM2730">
        <v>86.085637980619694</v>
      </c>
      <c r="AN2730">
        <v>1.0000000452590001</v>
      </c>
    </row>
    <row r="2731" spans="1:40" x14ac:dyDescent="0.25">
      <c r="A2731" t="str">
        <f>"20190312154606716"</f>
        <v>20190312154606716</v>
      </c>
      <c r="B2731" t="str">
        <f>"1552376766709327"</f>
        <v>1552376766709327</v>
      </c>
      <c r="C2731" t="s">
        <v>40</v>
      </c>
      <c r="D2731">
        <v>4.5374819999999998</v>
      </c>
      <c r="E2731">
        <v>0.49903350000000002</v>
      </c>
      <c r="F2731" t="s">
        <v>68</v>
      </c>
      <c r="G2731">
        <v>-280.66989999999998</v>
      </c>
      <c r="H2731">
        <v>10.701219999999999</v>
      </c>
      <c r="I2731">
        <v>201.54589999999999</v>
      </c>
      <c r="J2731">
        <v>-397.48180000000002</v>
      </c>
      <c r="K2731">
        <v>1.10806</v>
      </c>
      <c r="L2731">
        <v>215.2055</v>
      </c>
      <c r="M2731">
        <v>0.99994669999999997</v>
      </c>
      <c r="N2731">
        <v>0</v>
      </c>
      <c r="O2731">
        <v>6.8742830000000001E-3</v>
      </c>
      <c r="P2731">
        <v>0.99810370000000004</v>
      </c>
      <c r="Q2731">
        <v>1.0167560000000001E-2</v>
      </c>
      <c r="R2731">
        <v>-6.071207E-2</v>
      </c>
      <c r="S2731">
        <v>2.9821780000000002</v>
      </c>
      <c r="T2731">
        <v>0.2439451</v>
      </c>
      <c r="U2731">
        <v>-0.34727479999999999</v>
      </c>
      <c r="V2731">
        <v>6.759743E-2</v>
      </c>
      <c r="W2731">
        <v>1.7771559999999999E-2</v>
      </c>
      <c r="X2731">
        <v>0.99755439999999995</v>
      </c>
      <c r="Y2731">
        <v>0.1220691</v>
      </c>
      <c r="Z2731">
        <v>5.5272339999999998E-3</v>
      </c>
      <c r="AA2731">
        <v>0.99250620000000001</v>
      </c>
      <c r="AB2731">
        <v>43</v>
      </c>
      <c r="AC2731">
        <v>116.81189999999999</v>
      </c>
      <c r="AD2731">
        <v>9.5931599999999992</v>
      </c>
      <c r="AE2731">
        <v>-13.659599999999999</v>
      </c>
      <c r="AF2731">
        <v>14.366710066578401</v>
      </c>
      <c r="AG2731">
        <v>9.5931599999999992</v>
      </c>
      <c r="AH2731">
        <v>115.943803794564</v>
      </c>
      <c r="AI2731">
        <v>85.305873005026299</v>
      </c>
      <c r="AJ2731">
        <v>82.936428310109306</v>
      </c>
      <c r="AK2731">
        <v>117.223703726146</v>
      </c>
      <c r="AL2731">
        <v>88.981711022209296</v>
      </c>
      <c r="AM2731">
        <v>86.123383767258801</v>
      </c>
      <c r="AN2731">
        <v>1.00000001092339</v>
      </c>
    </row>
    <row r="2732" spans="1:40" x14ac:dyDescent="0.25">
      <c r="A2732" t="str">
        <f>"20190312154606739"</f>
        <v>20190312154606739</v>
      </c>
      <c r="B2732" t="str">
        <f>"1552376766729824"</f>
        <v>1552376766729824</v>
      </c>
      <c r="C2732" t="s">
        <v>40</v>
      </c>
      <c r="D2732">
        <v>4.578481</v>
      </c>
      <c r="E2732">
        <v>0.49390499999999998</v>
      </c>
      <c r="F2732" t="s">
        <v>66</v>
      </c>
      <c r="G2732">
        <v>-168.4135</v>
      </c>
      <c r="H2732">
        <v>4.3419780000000001</v>
      </c>
      <c r="I2732">
        <v>201.81540000000001</v>
      </c>
      <c r="J2732">
        <v>-397.04989999999998</v>
      </c>
      <c r="K2732">
        <v>1.108042</v>
      </c>
      <c r="L2732">
        <v>215.208</v>
      </c>
      <c r="M2732">
        <v>0.99995029999999996</v>
      </c>
      <c r="N2732">
        <v>0</v>
      </c>
      <c r="O2732">
        <v>6.2862179999999997E-3</v>
      </c>
      <c r="P2732">
        <v>0.99810480000000001</v>
      </c>
      <c r="Q2732">
        <v>1.0956759999999999E-2</v>
      </c>
      <c r="R2732">
        <v>-6.0554530000000002E-2</v>
      </c>
      <c r="S2732">
        <v>2.9946290000000002</v>
      </c>
      <c r="T2732">
        <v>4.227769E-2</v>
      </c>
      <c r="U2732">
        <v>-0.17504879999999901</v>
      </c>
      <c r="V2732">
        <v>6.6855319999999996E-2</v>
      </c>
      <c r="W2732">
        <v>1.8574899999999998E-2</v>
      </c>
      <c r="X2732">
        <v>0.99758979999999997</v>
      </c>
      <c r="Y2732">
        <v>6.4622150000000003E-2</v>
      </c>
      <c r="Z2732">
        <v>5.4442499999999997E-4</v>
      </c>
      <c r="AA2732">
        <v>0.99790970000000001</v>
      </c>
      <c r="AB2732">
        <v>43</v>
      </c>
      <c r="AC2732">
        <v>228.63640000000001</v>
      </c>
      <c r="AD2732">
        <v>3.2339359999999999</v>
      </c>
      <c r="AE2732">
        <v>-13.3925999999999</v>
      </c>
      <c r="AF2732">
        <v>14.826680490768901</v>
      </c>
      <c r="AG2732">
        <v>3.2339359999999999</v>
      </c>
      <c r="AH2732">
        <v>228.502131839448</v>
      </c>
      <c r="AI2732">
        <v>89.190861994078901</v>
      </c>
      <c r="AJ2732">
        <v>86.287487550121796</v>
      </c>
      <c r="AK2732">
        <v>229.005486946492</v>
      </c>
      <c r="AL2732">
        <v>88.9356754528431</v>
      </c>
      <c r="AM2732">
        <v>86.165950724988605</v>
      </c>
      <c r="AN2732">
        <v>1.0000000348931699</v>
      </c>
    </row>
    <row r="2733" spans="1:40" x14ac:dyDescent="0.25">
      <c r="A2733" t="str">
        <f>"20190312154606762"</f>
        <v>20190312154606762</v>
      </c>
      <c r="B2733" t="str">
        <f>"1552376766750320"</f>
        <v>1552376766750320</v>
      </c>
      <c r="C2733" t="s">
        <v>40</v>
      </c>
      <c r="D2733">
        <v>4.5583039999999997</v>
      </c>
      <c r="E2733">
        <v>0.49173430000000001</v>
      </c>
      <c r="F2733" t="s">
        <v>47</v>
      </c>
      <c r="G2733">
        <v>-177.77199999999999</v>
      </c>
      <c r="H2733">
        <v>0.52525189999999999</v>
      </c>
      <c r="I2733">
        <v>205.577</v>
      </c>
      <c r="J2733">
        <v>-396.60239999999999</v>
      </c>
      <c r="K2733">
        <v>1.1080209999999999</v>
      </c>
      <c r="L2733">
        <v>215.21039999999999</v>
      </c>
      <c r="M2733">
        <v>0.99995389999999995</v>
      </c>
      <c r="N2733">
        <v>0</v>
      </c>
      <c r="O2733">
        <v>5.6784799999999996E-3</v>
      </c>
      <c r="P2733">
        <v>0.99809990000000004</v>
      </c>
      <c r="Q2733">
        <v>1.116465E-2</v>
      </c>
      <c r="R2733">
        <v>-6.0600479999999998E-2</v>
      </c>
      <c r="S2733">
        <v>2.9978030000000002</v>
      </c>
      <c r="T2733">
        <v>-7.9674719999999997E-3</v>
      </c>
      <c r="U2733">
        <v>-0.13166810000000001</v>
      </c>
      <c r="V2733">
        <v>6.6296060000000004E-2</v>
      </c>
      <c r="W2733">
        <v>1.880279E-2</v>
      </c>
      <c r="X2733">
        <v>0.99762280000000003</v>
      </c>
      <c r="Y2733">
        <v>4.955151E-2</v>
      </c>
      <c r="Z2733" s="1">
        <v>-8.0902089999999998E-5</v>
      </c>
      <c r="AA2733">
        <v>0.99877150000000003</v>
      </c>
      <c r="AB2733">
        <v>43</v>
      </c>
      <c r="AC2733">
        <v>218.8304</v>
      </c>
      <c r="AD2733">
        <v>-0.58276909999999904</v>
      </c>
      <c r="AE2733">
        <v>-9.6333999999999893</v>
      </c>
      <c r="AF2733">
        <v>10.8758289913324</v>
      </c>
      <c r="AG2733">
        <v>-0.58276909999999904</v>
      </c>
      <c r="AH2733">
        <v>218.77061839066801</v>
      </c>
      <c r="AI2733">
        <v>90.152437960391296</v>
      </c>
      <c r="AJ2733">
        <v>87.153975620718896</v>
      </c>
      <c r="AK2733">
        <v>219.041563971562</v>
      </c>
      <c r="AL2733">
        <v>88.922615979999605</v>
      </c>
      <c r="AM2733">
        <v>86.198054353930502</v>
      </c>
      <c r="AN2733">
        <v>0.99999998178157301</v>
      </c>
    </row>
    <row r="2734" spans="1:40" x14ac:dyDescent="0.25">
      <c r="A2734" t="str">
        <f>"20190312154606804"</f>
        <v>20190312154606804</v>
      </c>
      <c r="B2734" t="str">
        <f>"1552376766800096"</f>
        <v>1552376766800096</v>
      </c>
      <c r="C2734" t="s">
        <v>40</v>
      </c>
      <c r="D2734">
        <v>4.6221079999999999</v>
      </c>
      <c r="E2734">
        <v>0.48934549999999999</v>
      </c>
      <c r="F2734" t="s">
        <v>57</v>
      </c>
      <c r="G2734">
        <v>-306.88529999999997</v>
      </c>
      <c r="H2734" s="1">
        <v>1.4319209999999999E-6</v>
      </c>
      <c r="I2734">
        <v>211.81819999999999</v>
      </c>
      <c r="J2734">
        <v>-395.78050000000002</v>
      </c>
      <c r="K2734">
        <v>1.1079939999999999</v>
      </c>
      <c r="L2734">
        <v>215.2141</v>
      </c>
      <c r="M2734">
        <v>0.99995919999999905</v>
      </c>
      <c r="N2734">
        <v>0</v>
      </c>
      <c r="O2734">
        <v>4.5656009999999999E-3</v>
      </c>
      <c r="P2734">
        <v>0.99803209999999998</v>
      </c>
      <c r="Q2734">
        <v>1.1690509999999999E-2</v>
      </c>
      <c r="R2734">
        <v>-6.1607200000000001E-2</v>
      </c>
      <c r="S2734">
        <v>2.9992679999999998</v>
      </c>
      <c r="T2734">
        <v>-3.704143E-2</v>
      </c>
      <c r="U2734">
        <v>-0.1134033</v>
      </c>
      <c r="V2734">
        <v>6.6194359999999994E-2</v>
      </c>
      <c r="W2734">
        <v>1.937728E-2</v>
      </c>
      <c r="X2734">
        <v>0.99761860000000002</v>
      </c>
      <c r="Y2734">
        <v>4.234185E-2</v>
      </c>
      <c r="Z2734">
        <v>-3.1772730000000001E-4</v>
      </c>
      <c r="AA2734">
        <v>0.99910310000000002</v>
      </c>
      <c r="AB2734">
        <v>43</v>
      </c>
      <c r="AC2734">
        <v>88.895200000000003</v>
      </c>
      <c r="AD2734">
        <v>-1.1079925680789999</v>
      </c>
      <c r="AE2734">
        <v>-3.3959000000000099</v>
      </c>
      <c r="AF2734">
        <v>3.8011472920594902</v>
      </c>
      <c r="AG2734">
        <v>-1.1079925680789999</v>
      </c>
      <c r="AH2734">
        <v>88.864983403211994</v>
      </c>
      <c r="AI2734">
        <v>90.713689673578102</v>
      </c>
      <c r="AJ2734">
        <v>87.550699858247697</v>
      </c>
      <c r="AK2734">
        <v>88.953142965945801</v>
      </c>
      <c r="AL2734">
        <v>88.889694171476194</v>
      </c>
      <c r="AM2734">
        <v>86.203853643073998</v>
      </c>
      <c r="AN2734">
        <v>1.0000000216709799</v>
      </c>
    </row>
    <row r="2735" spans="1:40" x14ac:dyDescent="0.25">
      <c r="A2735" t="str">
        <f>"20190312154606826"</f>
        <v>20190312154606826</v>
      </c>
      <c r="B2735" t="str">
        <f>"1552376766819616"</f>
        <v>1552376766819616</v>
      </c>
      <c r="C2735" t="s">
        <v>40</v>
      </c>
      <c r="D2735">
        <v>4.8392010000000001</v>
      </c>
      <c r="E2735">
        <v>0.48890499999999998</v>
      </c>
      <c r="F2735" t="s">
        <v>54</v>
      </c>
      <c r="G2735">
        <v>-348.92750000000001</v>
      </c>
      <c r="H2735" s="1">
        <v>3.213991E-6</v>
      </c>
      <c r="I2735">
        <v>213.71870000000001</v>
      </c>
      <c r="J2735">
        <v>-395.35989999999998</v>
      </c>
      <c r="K2735">
        <v>1.1079859999999999</v>
      </c>
      <c r="L2735">
        <v>215.2157</v>
      </c>
      <c r="M2735">
        <v>0.9999614</v>
      </c>
      <c r="N2735">
        <v>0</v>
      </c>
      <c r="O2735">
        <v>3.9964299999999996E-3</v>
      </c>
      <c r="P2735">
        <v>0.9979789</v>
      </c>
      <c r="Q2735">
        <v>1.1811779999999999E-2</v>
      </c>
      <c r="R2735">
        <v>-6.2441360000000001E-2</v>
      </c>
      <c r="S2735">
        <v>3.0008539999999999</v>
      </c>
      <c r="T2735">
        <v>-7.0964929999999996E-2</v>
      </c>
      <c r="U2735">
        <v>-9.5779420000000004E-2</v>
      </c>
      <c r="V2735">
        <v>6.6461049999999994E-2</v>
      </c>
      <c r="W2735">
        <v>1.9524590000000001E-2</v>
      </c>
      <c r="X2735">
        <v>0.99759799999999998</v>
      </c>
      <c r="Y2735">
        <v>3.5884260000000001E-2</v>
      </c>
      <c r="Z2735">
        <v>-5.1860800000000005E-4</v>
      </c>
      <c r="AA2735">
        <v>0.99935580000000002</v>
      </c>
      <c r="AB2735">
        <v>43</v>
      </c>
      <c r="AC2735">
        <v>46.432399999999902</v>
      </c>
      <c r="AD2735">
        <v>-1.1079827860089999</v>
      </c>
      <c r="AE2735">
        <v>-1.4969999999999799</v>
      </c>
      <c r="AF2735">
        <v>1.68160103867783</v>
      </c>
      <c r="AG2735">
        <v>-1.1079827860089999</v>
      </c>
      <c r="AH2735">
        <v>46.399653428600502</v>
      </c>
      <c r="AI2735">
        <v>91.367015578856197</v>
      </c>
      <c r="AJ2735">
        <v>87.924413543797002</v>
      </c>
      <c r="AK2735">
        <v>46.443333711110903</v>
      </c>
      <c r="AL2735">
        <v>88.881252337223202</v>
      </c>
      <c r="AM2735">
        <v>86.1885258925561</v>
      </c>
      <c r="AN2735">
        <v>1.00000002519288</v>
      </c>
    </row>
    <row r="2736" spans="1:40" x14ac:dyDescent="0.25">
      <c r="A2736" t="str">
        <f>"20190312154606848"</f>
        <v>20190312154606848</v>
      </c>
      <c r="B2736" t="str">
        <f>"1552376766840112"</f>
        <v>1552376766840112</v>
      </c>
      <c r="C2736" t="s">
        <v>40</v>
      </c>
      <c r="D2736">
        <v>4.6197869999999996</v>
      </c>
      <c r="E2736">
        <v>0.48866140000000002</v>
      </c>
      <c r="F2736" t="s">
        <v>54</v>
      </c>
      <c r="G2736">
        <v>-351.87860000000001</v>
      </c>
      <c r="H2736" s="1">
        <v>-5.0333719999999996E-7</v>
      </c>
      <c r="I2736">
        <v>213.84370000000001</v>
      </c>
      <c r="J2736">
        <v>-394.93470000000002</v>
      </c>
      <c r="K2736">
        <v>1.107974</v>
      </c>
      <c r="L2736">
        <v>215.21700000000001</v>
      </c>
      <c r="M2736">
        <v>0.99996320000000005</v>
      </c>
      <c r="N2736">
        <v>0</v>
      </c>
      <c r="O2736">
        <v>3.4208400000000001E-3</v>
      </c>
      <c r="P2736">
        <v>0.99794729999999998</v>
      </c>
      <c r="Q2736">
        <v>1.1343270000000001E-2</v>
      </c>
      <c r="R2736">
        <v>-6.3026769999999996E-2</v>
      </c>
      <c r="S2736">
        <v>3.0010680000000001</v>
      </c>
      <c r="T2736">
        <v>-7.6472879999999993E-2</v>
      </c>
      <c r="U2736">
        <v>-9.4696039999999995E-2</v>
      </c>
      <c r="V2736">
        <v>6.6471820000000001E-2</v>
      </c>
      <c r="W2736">
        <v>1.9083119999999999E-2</v>
      </c>
      <c r="X2736">
        <v>0.99760579999999999</v>
      </c>
      <c r="Y2736">
        <v>3.4945039999999997E-2</v>
      </c>
      <c r="Z2736">
        <v>-5.3218720000000001E-4</v>
      </c>
      <c r="AA2736">
        <v>0.99938910000000003</v>
      </c>
      <c r="AB2736">
        <v>43</v>
      </c>
      <c r="AC2736">
        <v>43.056100000000001</v>
      </c>
      <c r="AD2736">
        <v>-1.1079745033371999</v>
      </c>
      <c r="AE2736">
        <v>-1.3733</v>
      </c>
      <c r="AF2736">
        <v>1.5195793068235299</v>
      </c>
      <c r="AG2736">
        <v>-1.1079745033371999</v>
      </c>
      <c r="AH2736">
        <v>43.022689339174299</v>
      </c>
      <c r="AI2736">
        <v>91.474308094043806</v>
      </c>
      <c r="AJ2736">
        <v>87.9771301218735</v>
      </c>
      <c r="AK2736">
        <v>43.063772788097303</v>
      </c>
      <c r="AL2736">
        <v>88.9065513914543</v>
      </c>
      <c r="AM2736">
        <v>86.187939782719099</v>
      </c>
      <c r="AN2736">
        <v>1.00000000025834</v>
      </c>
    </row>
    <row r="2737" spans="1:40" x14ac:dyDescent="0.25">
      <c r="A2737" t="str">
        <f>"20190312154606872"</f>
        <v>20190312154606872</v>
      </c>
      <c r="B2737" t="str">
        <f>"1552376766859631"</f>
        <v>1552376766859631</v>
      </c>
      <c r="C2737" t="s">
        <v>40</v>
      </c>
      <c r="D2737">
        <v>4.6167160000000003</v>
      </c>
      <c r="E2737">
        <v>0.48837770000000003</v>
      </c>
      <c r="F2737" t="s">
        <v>54</v>
      </c>
      <c r="G2737">
        <v>-355.36509999999998</v>
      </c>
      <c r="H2737" s="1">
        <v>1.3462220000000001E-6</v>
      </c>
      <c r="I2737">
        <v>213.97649999999999</v>
      </c>
      <c r="J2737">
        <v>-394.4794</v>
      </c>
      <c r="K2737">
        <v>1.1079619999999999</v>
      </c>
      <c r="L2737">
        <v>215.21809999999999</v>
      </c>
      <c r="M2737">
        <v>0.99996490000000005</v>
      </c>
      <c r="N2737">
        <v>0</v>
      </c>
      <c r="O2737">
        <v>2.8038899999999999E-3</v>
      </c>
      <c r="P2737">
        <v>0.99789669999999997</v>
      </c>
      <c r="Q2737">
        <v>1.137439E-2</v>
      </c>
      <c r="R2737">
        <v>-6.3819280000000006E-2</v>
      </c>
      <c r="S2737">
        <v>3.00116</v>
      </c>
      <c r="T2737">
        <v>-8.4034319999999996E-2</v>
      </c>
      <c r="U2737">
        <v>-9.408569E-2</v>
      </c>
      <c r="V2737">
        <v>6.664892E-2</v>
      </c>
      <c r="W2737">
        <v>1.9142240000000001E-2</v>
      </c>
      <c r="X2737">
        <v>0.9975929</v>
      </c>
      <c r="Y2737">
        <v>3.4122399999999997E-2</v>
      </c>
      <c r="Z2737">
        <v>-5.5599260000000004E-4</v>
      </c>
      <c r="AA2737">
        <v>0.99941749999999996</v>
      </c>
      <c r="AB2737">
        <v>43</v>
      </c>
      <c r="AC2737">
        <v>39.1143</v>
      </c>
      <c r="AD2737">
        <v>-1.107960653778</v>
      </c>
      <c r="AE2737">
        <v>-1.2416</v>
      </c>
      <c r="AF2737">
        <v>1.3501884648129201</v>
      </c>
      <c r="AG2737">
        <v>-1.107960653778</v>
      </c>
      <c r="AH2737">
        <v>39.079340083279199</v>
      </c>
      <c r="AI2737">
        <v>91.6230223892655</v>
      </c>
      <c r="AJ2737">
        <v>88.021221931588997</v>
      </c>
      <c r="AK2737">
        <v>39.118351282299997</v>
      </c>
      <c r="AL2737">
        <v>88.903163499593404</v>
      </c>
      <c r="AM2737">
        <v>86.1777641472911</v>
      </c>
      <c r="AN2737">
        <v>1.0000000490098899</v>
      </c>
    </row>
    <row r="2738" spans="1:40" x14ac:dyDescent="0.25">
      <c r="A2738" t="str">
        <f>"20190312154606893"</f>
        <v>20190312154606893</v>
      </c>
      <c r="B2738" t="str">
        <f>"1552376766889888"</f>
        <v>1552376766889888</v>
      </c>
      <c r="C2738" t="s">
        <v>40</v>
      </c>
      <c r="D2738">
        <v>4.6520630000000001</v>
      </c>
      <c r="E2738">
        <v>0.48838540000000003</v>
      </c>
      <c r="F2738" t="s">
        <v>54</v>
      </c>
      <c r="G2738">
        <v>-356.89069999999998</v>
      </c>
      <c r="H2738" s="1">
        <v>2.1553130000000001E-6</v>
      </c>
      <c r="I2738">
        <v>214.03960000000001</v>
      </c>
      <c r="J2738">
        <v>-394.06040000000002</v>
      </c>
      <c r="K2738">
        <v>1.1079479999999999</v>
      </c>
      <c r="L2738">
        <v>215.21889999999999</v>
      </c>
      <c r="M2738">
        <v>0.99996620000000003</v>
      </c>
      <c r="N2738">
        <v>0</v>
      </c>
      <c r="O2738">
        <v>2.235791E-3</v>
      </c>
      <c r="P2738">
        <v>0.99787879999999995</v>
      </c>
      <c r="Q2738">
        <v>1.09818E-2</v>
      </c>
      <c r="R2738">
        <v>-6.4163499999999998E-2</v>
      </c>
      <c r="S2738">
        <v>3.0012819999999998</v>
      </c>
      <c r="T2738">
        <v>-8.8465450000000001E-2</v>
      </c>
      <c r="U2738">
        <v>-9.4100950000000003E-2</v>
      </c>
      <c r="V2738">
        <v>6.6426079999999998E-2</v>
      </c>
      <c r="W2738">
        <v>1.877562E-2</v>
      </c>
      <c r="X2738">
        <v>0.99761469999999997</v>
      </c>
      <c r="Y2738">
        <v>3.3557339999999998E-2</v>
      </c>
      <c r="Z2738">
        <v>-5.6021160000000001E-4</v>
      </c>
      <c r="AA2738">
        <v>0.99943660000000001</v>
      </c>
      <c r="AB2738">
        <v>43</v>
      </c>
      <c r="AC2738">
        <v>37.169699999999999</v>
      </c>
      <c r="AD2738">
        <v>-1.1079458446870001</v>
      </c>
      <c r="AE2738">
        <v>-1.17929999999998</v>
      </c>
      <c r="AF2738">
        <v>1.26128380665791</v>
      </c>
      <c r="AG2738">
        <v>-1.1079458446870001</v>
      </c>
      <c r="AH2738">
        <v>37.134009837679997</v>
      </c>
      <c r="AI2738">
        <v>91.708009460790507</v>
      </c>
      <c r="AJ2738">
        <v>88.0546548045767</v>
      </c>
      <c r="AK2738">
        <v>37.171939248048503</v>
      </c>
      <c r="AL2738">
        <v>88.924173021084997</v>
      </c>
      <c r="AM2738">
        <v>86.190589062615601</v>
      </c>
      <c r="AN2738">
        <v>1.00000001883332</v>
      </c>
    </row>
    <row r="2739" spans="1:40" x14ac:dyDescent="0.25">
      <c r="A2739" t="str">
        <f>"20190312154607050"</f>
        <v>20190312154607050</v>
      </c>
      <c r="B2739" t="str">
        <f>"1552376767040192"</f>
        <v>1552376767040192</v>
      </c>
      <c r="C2739" t="s">
        <v>40</v>
      </c>
      <c r="D2739">
        <v>3.2601110000000002</v>
      </c>
      <c r="E2739">
        <v>0.51190779999999902</v>
      </c>
      <c r="F2739" t="s">
        <v>54</v>
      </c>
      <c r="G2739">
        <v>-357.07010000000002</v>
      </c>
      <c r="H2739" s="1">
        <v>2.2504699999999999E-6</v>
      </c>
      <c r="I2739">
        <v>214.0463</v>
      </c>
      <c r="J2739">
        <v>-390.97430000000003</v>
      </c>
      <c r="K2739">
        <v>1.1079110000000001</v>
      </c>
      <c r="L2739">
        <v>215.2174</v>
      </c>
      <c r="M2739">
        <v>0.9999654</v>
      </c>
      <c r="N2739">
        <v>0</v>
      </c>
      <c r="O2739">
        <v>-1.9498230000000001E-3</v>
      </c>
      <c r="P2739">
        <v>0.99777199999999999</v>
      </c>
      <c r="Q2739">
        <v>1.2375809999999999E-2</v>
      </c>
      <c r="R2739">
        <v>-6.5561990000000001E-2</v>
      </c>
      <c r="S2739">
        <v>3.0012509999999999</v>
      </c>
      <c r="T2739">
        <v>-8.989453E-2</v>
      </c>
      <c r="U2739">
        <v>-9.5138550000000002E-2</v>
      </c>
      <c r="V2739">
        <v>6.3651509999999994E-2</v>
      </c>
      <c r="W2739">
        <v>2.0342679999999998E-2</v>
      </c>
      <c r="X2739">
        <v>0.99776480000000001</v>
      </c>
      <c r="Y2739">
        <v>2.97223E-2</v>
      </c>
      <c r="Z2739">
        <v>-3.8653940000000001E-4</v>
      </c>
      <c r="AA2739">
        <v>0.9995581</v>
      </c>
      <c r="AB2739">
        <v>44</v>
      </c>
      <c r="AC2739">
        <v>33.904200000000003</v>
      </c>
      <c r="AD2739">
        <v>-1.10790874953</v>
      </c>
      <c r="AE2739">
        <v>-1.17109999999999</v>
      </c>
      <c r="AF2739">
        <v>1.10381114807958</v>
      </c>
      <c r="AG2739">
        <v>-1.10790874953</v>
      </c>
      <c r="AH2739">
        <v>33.870294538023998</v>
      </c>
      <c r="AI2739">
        <v>91.872502867188999</v>
      </c>
      <c r="AJ2739">
        <v>88.133427960691904</v>
      </c>
      <c r="AK2739">
        <v>33.9063815961009</v>
      </c>
      <c r="AL2739">
        <v>88.834369850566304</v>
      </c>
      <c r="AM2739">
        <v>86.349813508179295</v>
      </c>
      <c r="AN2739">
        <v>0.99999996773694999</v>
      </c>
    </row>
    <row r="2740" spans="1:40" x14ac:dyDescent="0.25">
      <c r="A2740" t="str">
        <f>"20190312154607073"</f>
        <v>20190312154607073</v>
      </c>
      <c r="B2740" t="str">
        <f>"1552376767069471"</f>
        <v>1552376767069471</v>
      </c>
      <c r="C2740" t="s">
        <v>40</v>
      </c>
      <c r="D2740">
        <v>4.4817980000000004</v>
      </c>
      <c r="E2740">
        <v>0.51629420000000004</v>
      </c>
      <c r="F2740" t="s">
        <v>41</v>
      </c>
      <c r="G2740">
        <v>-390.09230000000002</v>
      </c>
      <c r="H2740">
        <v>0.828740699999999</v>
      </c>
      <c r="I2740">
        <v>215.14169999999999</v>
      </c>
      <c r="J2740">
        <v>-390.53820000000002</v>
      </c>
      <c r="K2740">
        <v>1.1079110000000001</v>
      </c>
      <c r="L2740">
        <v>215.21610000000001</v>
      </c>
      <c r="M2740">
        <v>0.99996390000000002</v>
      </c>
      <c r="N2740">
        <v>0</v>
      </c>
      <c r="O2740">
        <v>-2.5398030000000002E-3</v>
      </c>
      <c r="P2740">
        <v>0.99772780000000005</v>
      </c>
      <c r="Q2740">
        <v>1.291103E-2</v>
      </c>
      <c r="R2740">
        <v>-6.6128560000000003E-2</v>
      </c>
      <c r="S2740">
        <v>3.001617</v>
      </c>
      <c r="T2740">
        <v>-0.950071</v>
      </c>
      <c r="U2740">
        <v>-0.25691219999999998</v>
      </c>
      <c r="V2740">
        <v>6.3630580000000006E-2</v>
      </c>
      <c r="W2740">
        <v>2.0899979999999999E-2</v>
      </c>
      <c r="X2740">
        <v>0.99775460000000005</v>
      </c>
      <c r="Y2740">
        <v>7.9034960000000001E-2</v>
      </c>
      <c r="Z2740">
        <v>-1.1405429999999999E-2</v>
      </c>
      <c r="AA2740">
        <v>0.99680659999999999</v>
      </c>
      <c r="AB2740">
        <v>44</v>
      </c>
      <c r="AC2740">
        <v>0.44589999999999402</v>
      </c>
      <c r="AD2740">
        <v>-0.27917029999999998</v>
      </c>
      <c r="AE2740">
        <v>-7.4400000000025501E-2</v>
      </c>
      <c r="AF2740">
        <v>5.30398267341343E-2</v>
      </c>
      <c r="AG2740">
        <v>-0.27917029999999998</v>
      </c>
      <c r="AH2740">
        <v>0.32293300832614402</v>
      </c>
      <c r="AI2740">
        <v>130.46597453321201</v>
      </c>
      <c r="AJ2740">
        <v>80.672784553170004</v>
      </c>
      <c r="AK2740">
        <v>0.43015695680605998</v>
      </c>
      <c r="AL2740">
        <v>88.802432099660294</v>
      </c>
      <c r="AM2740">
        <v>86.350973322753006</v>
      </c>
      <c r="AN2740">
        <v>0.99999995084814697</v>
      </c>
    </row>
    <row r="2741" spans="1:40" x14ac:dyDescent="0.25">
      <c r="A2741" t="str">
        <f>"20190312154607094"</f>
        <v>20190312154607094</v>
      </c>
      <c r="B2741" t="str">
        <f>"1552376767089967"</f>
        <v>1552376767089967</v>
      </c>
      <c r="C2741" t="s">
        <v>40</v>
      </c>
      <c r="D2741">
        <v>4.4175789999999999</v>
      </c>
      <c r="E2741">
        <v>0.51405959999999995</v>
      </c>
      <c r="F2741" t="s">
        <v>41</v>
      </c>
      <c r="G2741">
        <v>-389.67770000000002</v>
      </c>
      <c r="H2741">
        <v>0.87866569999999899</v>
      </c>
      <c r="I2741">
        <v>215.12989999999999</v>
      </c>
      <c r="J2741">
        <v>-390.10750000000002</v>
      </c>
      <c r="K2741">
        <v>1.107912</v>
      </c>
      <c r="L2741">
        <v>215.21459999999999</v>
      </c>
      <c r="M2741">
        <v>0.99996220000000002</v>
      </c>
      <c r="N2741">
        <v>0</v>
      </c>
      <c r="O2741">
        <v>-3.120004E-3</v>
      </c>
      <c r="P2741">
        <v>0.99768100000000004</v>
      </c>
      <c r="Q2741">
        <v>1.277205E-2</v>
      </c>
      <c r="R2741">
        <v>-6.6857319999999998E-2</v>
      </c>
      <c r="S2741">
        <v>2.9973450000000001</v>
      </c>
      <c r="T2741">
        <v>-0.79841739999999894</v>
      </c>
      <c r="U2741">
        <v>-0.29872130000000002</v>
      </c>
      <c r="V2741">
        <v>6.3780400000000001E-2</v>
      </c>
      <c r="W2741">
        <v>2.0785089999999999E-2</v>
      </c>
      <c r="X2741">
        <v>0.99774750000000001</v>
      </c>
      <c r="Y2741">
        <v>9.2963199999999996E-2</v>
      </c>
      <c r="Z2741">
        <v>-1.132587E-2</v>
      </c>
      <c r="AA2741">
        <v>0.99560510000000002</v>
      </c>
      <c r="AB2741">
        <v>44</v>
      </c>
      <c r="AC2741">
        <v>0.42980000000000002</v>
      </c>
      <c r="AD2741">
        <v>-0.22924629999999999</v>
      </c>
      <c r="AE2741">
        <v>-8.4699999999997999E-2</v>
      </c>
      <c r="AF2741">
        <v>6.5437897189397604E-2</v>
      </c>
      <c r="AG2741">
        <v>-0.22924629999999999</v>
      </c>
      <c r="AH2741">
        <v>0.33760615362167501</v>
      </c>
      <c r="AI2741">
        <v>123.688520658643</v>
      </c>
      <c r="AJ2741">
        <v>79.030435212854499</v>
      </c>
      <c r="AK2741">
        <v>0.41329638204983399</v>
      </c>
      <c r="AL2741">
        <v>88.809016320653001</v>
      </c>
      <c r="AM2741">
        <v>86.342378924934593</v>
      </c>
      <c r="AN2741">
        <v>1.00000001657335</v>
      </c>
    </row>
    <row r="2742" spans="1:40" x14ac:dyDescent="0.25">
      <c r="A2742" t="str">
        <f>"20190312154607118"</f>
        <v>20190312154607118</v>
      </c>
      <c r="B2742" t="str">
        <f>"1552376767109488"</f>
        <v>1552376767109488</v>
      </c>
      <c r="C2742" t="s">
        <v>40</v>
      </c>
      <c r="D2742">
        <v>4.5598679999999998</v>
      </c>
      <c r="E2742">
        <v>0.5143624</v>
      </c>
      <c r="F2742" t="s">
        <v>41</v>
      </c>
      <c r="G2742">
        <v>-389.26479999999998</v>
      </c>
      <c r="H2742">
        <v>0.91966890000000001</v>
      </c>
      <c r="I2742">
        <v>215.13380000000001</v>
      </c>
      <c r="J2742">
        <v>-389.64330000000001</v>
      </c>
      <c r="K2742">
        <v>1.1079060000000001</v>
      </c>
      <c r="L2742">
        <v>215.21279999999999</v>
      </c>
      <c r="M2742">
        <v>0.99995970000000001</v>
      </c>
      <c r="N2742">
        <v>0</v>
      </c>
      <c r="O2742">
        <v>-3.7388230000000001E-3</v>
      </c>
      <c r="P2742">
        <v>0.99762119999999999</v>
      </c>
      <c r="Q2742">
        <v>1.252721E-2</v>
      </c>
      <c r="R2742">
        <v>-6.7790230000000007E-2</v>
      </c>
      <c r="S2742">
        <v>2.996216</v>
      </c>
      <c r="T2742">
        <v>-0.669323</v>
      </c>
      <c r="U2742">
        <v>-0.28759770000000001</v>
      </c>
      <c r="V2742">
        <v>6.4095529999999998E-2</v>
      </c>
      <c r="W2742">
        <v>2.0568179999999998E-2</v>
      </c>
      <c r="X2742">
        <v>0.99773179999999995</v>
      </c>
      <c r="Y2742">
        <v>8.9725250000000006E-2</v>
      </c>
      <c r="Z2742">
        <v>-9.0547330000000006E-3</v>
      </c>
      <c r="AA2742">
        <v>0.99592539999999996</v>
      </c>
      <c r="AB2742">
        <v>44</v>
      </c>
      <c r="AC2742">
        <v>0.37850000000002998</v>
      </c>
      <c r="AD2742">
        <v>-0.18823709999999999</v>
      </c>
      <c r="AE2742">
        <v>-7.8999999999979295E-2</v>
      </c>
      <c r="AF2742">
        <v>6.2719372405311696E-2</v>
      </c>
      <c r="AG2742">
        <v>-0.18823709999999999</v>
      </c>
      <c r="AH2742">
        <v>0.30621731198573399</v>
      </c>
      <c r="AI2742">
        <v>121.05699530941</v>
      </c>
      <c r="AJ2742">
        <v>78.424781745557596</v>
      </c>
      <c r="AK2742">
        <v>0.36487801749501803</v>
      </c>
      <c r="AL2742">
        <v>88.821447004655496</v>
      </c>
      <c r="AM2742">
        <v>86.324298873390504</v>
      </c>
      <c r="AN2742">
        <v>1.0000000158628599</v>
      </c>
    </row>
    <row r="2743" spans="1:40" x14ac:dyDescent="0.25">
      <c r="A2743" t="str">
        <f>"20190312154607164"</f>
        <v>20190312154607164</v>
      </c>
      <c r="B2743" t="str">
        <f>"1552376767160240"</f>
        <v>1552376767160240</v>
      </c>
      <c r="C2743" t="s">
        <v>40</v>
      </c>
      <c r="D2743">
        <v>4.4875579999999999</v>
      </c>
      <c r="E2743">
        <v>0.51288820000000002</v>
      </c>
      <c r="F2743" t="s">
        <v>66</v>
      </c>
      <c r="G2743">
        <v>-169.3244</v>
      </c>
      <c r="H2743">
        <v>13.26736</v>
      </c>
      <c r="I2743">
        <v>191.40299999999999</v>
      </c>
      <c r="J2743">
        <v>-388.7439</v>
      </c>
      <c r="K2743">
        <v>1.1079139999999901</v>
      </c>
      <c r="L2743">
        <v>215.20840000000001</v>
      </c>
      <c r="M2743">
        <v>0.99995420000000002</v>
      </c>
      <c r="N2743">
        <v>0</v>
      </c>
      <c r="O2743">
        <v>-4.9067249999999998E-3</v>
      </c>
      <c r="P2743">
        <v>0.99745799999999996</v>
      </c>
      <c r="Q2743">
        <v>1.2996290000000001E-2</v>
      </c>
      <c r="R2743">
        <v>-7.0062189999999996E-2</v>
      </c>
      <c r="S2743">
        <v>2.9831539999999999</v>
      </c>
      <c r="T2743">
        <v>0.1646415</v>
      </c>
      <c r="U2743">
        <v>-0.3223877</v>
      </c>
      <c r="V2743">
        <v>6.5202979999999994E-2</v>
      </c>
      <c r="W2743">
        <v>2.109163E-2</v>
      </c>
      <c r="X2743">
        <v>0.99764909999999996</v>
      </c>
      <c r="Y2743">
        <v>0.10241740000000001</v>
      </c>
      <c r="Z2743">
        <v>2.5460959999999999E-3</v>
      </c>
      <c r="AA2743">
        <v>0.99473829999999996</v>
      </c>
      <c r="AB2743">
        <v>44</v>
      </c>
      <c r="AC2743">
        <v>219.4195</v>
      </c>
      <c r="AD2743">
        <v>12.159446000000001</v>
      </c>
      <c r="AE2743">
        <v>-23.805399999999999</v>
      </c>
      <c r="AF2743">
        <v>22.659668063264501</v>
      </c>
      <c r="AG2743">
        <v>12.159446000000001</v>
      </c>
      <c r="AH2743">
        <v>218.86934485449899</v>
      </c>
      <c r="AI2743">
        <v>86.837031456272797</v>
      </c>
      <c r="AJ2743">
        <v>84.089193734359796</v>
      </c>
      <c r="AK2743">
        <v>220.37491418217701</v>
      </c>
      <c r="AL2743">
        <v>88.791449008651298</v>
      </c>
      <c r="AM2743">
        <v>86.260659248595999</v>
      </c>
      <c r="AN2743">
        <v>1.0000000060938701</v>
      </c>
    </row>
    <row r="2744" spans="1:40" x14ac:dyDescent="0.25">
      <c r="A2744" t="str">
        <f>"20190312154607184"</f>
        <v>20190312154607184</v>
      </c>
      <c r="B2744" t="str">
        <f>"1552376767179760"</f>
        <v>1552376767179760</v>
      </c>
      <c r="C2744" t="s">
        <v>40</v>
      </c>
      <c r="D2744">
        <v>4.4914459999999998</v>
      </c>
      <c r="E2744">
        <v>0.51249149999999999</v>
      </c>
      <c r="F2744" t="s">
        <v>66</v>
      </c>
      <c r="G2744">
        <v>-168.41659999999999</v>
      </c>
      <c r="H2744">
        <v>4.1287200000000004</v>
      </c>
      <c r="I2744">
        <v>192.1183</v>
      </c>
      <c r="J2744">
        <v>-388.34289999999999</v>
      </c>
      <c r="K2744">
        <v>1.1079300000000001</v>
      </c>
      <c r="L2744">
        <v>215.20609999999999</v>
      </c>
      <c r="M2744">
        <v>0.99995140000000005</v>
      </c>
      <c r="N2744">
        <v>0</v>
      </c>
      <c r="O2744">
        <v>-5.4099200000000004E-3</v>
      </c>
      <c r="P2744">
        <v>0.997421</v>
      </c>
      <c r="Q2744">
        <v>1.352574E-2</v>
      </c>
      <c r="R2744">
        <v>-7.0488099999999998E-2</v>
      </c>
      <c r="S2744">
        <v>2.9851070000000002</v>
      </c>
      <c r="T2744">
        <v>4.0927890000000001E-2</v>
      </c>
      <c r="U2744">
        <v>-0.31283569999999999</v>
      </c>
      <c r="V2744">
        <v>6.5127640000000001E-2</v>
      </c>
      <c r="W2744">
        <v>2.1646539999999999E-2</v>
      </c>
      <c r="X2744">
        <v>0.99764209999999998</v>
      </c>
      <c r="Y2744">
        <v>9.8837170000000002E-2</v>
      </c>
      <c r="Z2744">
        <v>6.0171650000000003E-4</v>
      </c>
      <c r="AA2744">
        <v>0.99510339999999997</v>
      </c>
      <c r="AB2744">
        <v>44</v>
      </c>
      <c r="AC2744">
        <v>219.9263</v>
      </c>
      <c r="AD2744">
        <v>3.0207899999999999</v>
      </c>
      <c r="AE2744">
        <v>-23.087799999999898</v>
      </c>
      <c r="AF2744">
        <v>21.893552536059499</v>
      </c>
      <c r="AG2744">
        <v>3.0207899999999999</v>
      </c>
      <c r="AH2744">
        <v>220.00693411938099</v>
      </c>
      <c r="AI2744">
        <v>89.217219533477305</v>
      </c>
      <c r="AJ2744">
        <v>84.317034324429301</v>
      </c>
      <c r="AK2744">
        <v>221.114232638885</v>
      </c>
      <c r="AL2744">
        <v>88.759647702157494</v>
      </c>
      <c r="AM2744">
        <v>86.264941569491896</v>
      </c>
      <c r="AN2744">
        <v>0.99999997093917503</v>
      </c>
    </row>
    <row r="2745" spans="1:40" x14ac:dyDescent="0.25">
      <c r="A2745" t="str">
        <f>"20190312154607207"</f>
        <v>20190312154607207</v>
      </c>
      <c r="B2745" t="str">
        <f>"1552376767199280"</f>
        <v>1552376767199280</v>
      </c>
      <c r="C2745" t="s">
        <v>40</v>
      </c>
      <c r="D2745">
        <v>4.4445959999999998</v>
      </c>
      <c r="E2745">
        <v>0.51194969999999995</v>
      </c>
      <c r="F2745" t="s">
        <v>66</v>
      </c>
      <c r="G2745">
        <v>-168.41630000000001</v>
      </c>
      <c r="H2745">
        <v>3.256923</v>
      </c>
      <c r="I2745">
        <v>192.33150000000001</v>
      </c>
      <c r="J2745">
        <v>-387.87400000000002</v>
      </c>
      <c r="K2745">
        <v>1.107945</v>
      </c>
      <c r="L2745">
        <v>215.20320000000001</v>
      </c>
      <c r="M2745">
        <v>0.99994799999999995</v>
      </c>
      <c r="N2745">
        <v>0</v>
      </c>
      <c r="O2745">
        <v>-5.9774449999999996E-3</v>
      </c>
      <c r="P2745">
        <v>0.9973938</v>
      </c>
      <c r="Q2745">
        <v>1.311288E-2</v>
      </c>
      <c r="R2745">
        <v>-7.0950490000000005E-2</v>
      </c>
      <c r="S2745">
        <v>2.9854430000000001</v>
      </c>
      <c r="T2745">
        <v>2.9172420000000001E-2</v>
      </c>
      <c r="U2745">
        <v>-0.31051640000000003</v>
      </c>
      <c r="V2745">
        <v>6.5022510000000006E-2</v>
      </c>
      <c r="W2745">
        <v>2.126277E-2</v>
      </c>
      <c r="X2745">
        <v>0.99765720000000002</v>
      </c>
      <c r="Y2745">
        <v>9.7500340000000005E-2</v>
      </c>
      <c r="Z2745">
        <v>4.1682459999999998E-4</v>
      </c>
      <c r="AA2745">
        <v>0.99523539999999999</v>
      </c>
      <c r="AB2745">
        <v>45</v>
      </c>
      <c r="AC2745">
        <v>219.45769999999999</v>
      </c>
      <c r="AD2745">
        <v>2.1489780000000001</v>
      </c>
      <c r="AE2745">
        <v>-22.871700000000001</v>
      </c>
      <c r="AF2745">
        <v>21.5574053804838</v>
      </c>
      <c r="AG2745">
        <v>2.1489780000000001</v>
      </c>
      <c r="AH2745">
        <v>219.56967032030801</v>
      </c>
      <c r="AI2745">
        <v>89.441934234931594</v>
      </c>
      <c r="AJ2745">
        <v>84.392656965495604</v>
      </c>
      <c r="AK2745">
        <v>220.63585374492499</v>
      </c>
      <c r="AL2745">
        <v>88.781641153861202</v>
      </c>
      <c r="AM2745">
        <v>86.271010012175395</v>
      </c>
      <c r="AN2745">
        <v>0.99999996045330497</v>
      </c>
    </row>
    <row r="2746" spans="1:40" x14ac:dyDescent="0.25">
      <c r="A2746" t="str">
        <f>"20190312154607229"</f>
        <v>20190312154607229</v>
      </c>
      <c r="B2746" t="str">
        <f>"1552376767219776"</f>
        <v>1552376767219776</v>
      </c>
      <c r="C2746" t="s">
        <v>40</v>
      </c>
      <c r="D2746">
        <v>4.5059060000000004</v>
      </c>
      <c r="E2746">
        <v>0.51094870000000003</v>
      </c>
      <c r="F2746" t="s">
        <v>66</v>
      </c>
      <c r="G2746">
        <v>-168.41579999999999</v>
      </c>
      <c r="H2746">
        <v>2.276923</v>
      </c>
      <c r="I2746">
        <v>192.6131</v>
      </c>
      <c r="J2746">
        <v>-387.43869999999998</v>
      </c>
      <c r="K2746">
        <v>1.1079559999999999</v>
      </c>
      <c r="L2746">
        <v>215.2002</v>
      </c>
      <c r="M2746">
        <v>0.99994439999999996</v>
      </c>
      <c r="N2746">
        <v>0</v>
      </c>
      <c r="O2746">
        <v>-6.4866569999999998E-3</v>
      </c>
      <c r="P2746">
        <v>0.99736259999999999</v>
      </c>
      <c r="Q2746">
        <v>1.2481269999999999E-2</v>
      </c>
      <c r="R2746">
        <v>-7.1498919999999994E-2</v>
      </c>
      <c r="S2746">
        <v>2.985779</v>
      </c>
      <c r="T2746">
        <v>1.5904660000000001E-2</v>
      </c>
      <c r="U2746">
        <v>-0.30734250000000002</v>
      </c>
      <c r="V2746">
        <v>6.5061460000000002E-2</v>
      </c>
      <c r="W2746">
        <v>2.0657330000000002E-2</v>
      </c>
      <c r="X2746">
        <v>0.99766739999999998</v>
      </c>
      <c r="Y2746">
        <v>9.5938229999999999E-2</v>
      </c>
      <c r="Z2746">
        <v>2.2038710000000001E-4</v>
      </c>
      <c r="AA2746">
        <v>0.99538729999999997</v>
      </c>
      <c r="AB2746">
        <v>45</v>
      </c>
      <c r="AC2746">
        <v>219.02289999999999</v>
      </c>
      <c r="AD2746">
        <v>1.1689670000000001</v>
      </c>
      <c r="AE2746">
        <v>-22.5870999999999</v>
      </c>
      <c r="AF2746">
        <v>21.165252675643501</v>
      </c>
      <c r="AG2746">
        <v>1.1689670000000001</v>
      </c>
      <c r="AH2746">
        <v>219.158634413166</v>
      </c>
      <c r="AI2746">
        <v>89.695809022506893</v>
      </c>
      <c r="AJ2746">
        <v>84.483765162965099</v>
      </c>
      <c r="AK2746">
        <v>220.181383051599</v>
      </c>
      <c r="AL2746">
        <v>88.816337957979698</v>
      </c>
      <c r="AM2746">
        <v>86.268820607989298</v>
      </c>
      <c r="AN2746">
        <v>0.99999997994140999</v>
      </c>
    </row>
    <row r="2747" spans="1:40" x14ac:dyDescent="0.25">
      <c r="A2747" t="str">
        <f>"20190312154607251"</f>
        <v>20190312154607251</v>
      </c>
      <c r="B2747" t="str">
        <f>"1552376767239296"</f>
        <v>1552376767239296</v>
      </c>
      <c r="C2747" t="s">
        <v>40</v>
      </c>
      <c r="D2747">
        <v>4.489649</v>
      </c>
      <c r="E2747">
        <v>0.5101928</v>
      </c>
      <c r="F2747" t="s">
        <v>66</v>
      </c>
      <c r="G2747">
        <v>-168.4153</v>
      </c>
      <c r="H2747">
        <v>1.3661490000000001</v>
      </c>
      <c r="I2747">
        <v>193.17169999999999</v>
      </c>
      <c r="J2747">
        <v>-386.9828</v>
      </c>
      <c r="K2747">
        <v>1.107969</v>
      </c>
      <c r="L2747">
        <v>215.1969</v>
      </c>
      <c r="M2747">
        <v>0.99994099999999997</v>
      </c>
      <c r="N2747">
        <v>0</v>
      </c>
      <c r="O2747">
        <v>-7.0012149999999999E-3</v>
      </c>
      <c r="P2747">
        <v>0.99735249999999998</v>
      </c>
      <c r="Q2747">
        <v>1.2335209999999999E-2</v>
      </c>
      <c r="R2747">
        <v>-7.1667469999999997E-2</v>
      </c>
      <c r="S2747">
        <v>2.9863279999999999</v>
      </c>
      <c r="T2747">
        <v>3.5208459999999998E-3</v>
      </c>
      <c r="U2747">
        <v>-0.30035400000000001</v>
      </c>
      <c r="V2747">
        <v>6.4715560000000005E-2</v>
      </c>
      <c r="W2747">
        <v>2.0539100000000001E-2</v>
      </c>
      <c r="X2747">
        <v>0.99769229999999998</v>
      </c>
      <c r="Y2747">
        <v>9.3102660000000004E-2</v>
      </c>
      <c r="Z2747" s="1">
        <v>4.6512279999999997E-5</v>
      </c>
      <c r="AA2747">
        <v>0.99565650000000006</v>
      </c>
      <c r="AB2747">
        <v>45</v>
      </c>
      <c r="AC2747">
        <v>218.5675</v>
      </c>
      <c r="AD2747">
        <v>0.25818000000000002</v>
      </c>
      <c r="AE2747">
        <v>-22.025200000000002</v>
      </c>
      <c r="AF2747">
        <v>20.4943410029185</v>
      </c>
      <c r="AG2747">
        <v>0.25818000000000002</v>
      </c>
      <c r="AH2747">
        <v>218.716049170145</v>
      </c>
      <c r="AI2747">
        <v>89.932661088449194</v>
      </c>
      <c r="AJ2747">
        <v>84.646846733381594</v>
      </c>
      <c r="AK2747">
        <v>219.67429261216199</v>
      </c>
      <c r="AL2747">
        <v>88.823113430895702</v>
      </c>
      <c r="AM2747">
        <v>86.288694244270602</v>
      </c>
      <c r="AN2747">
        <v>0.99999994190710495</v>
      </c>
    </row>
    <row r="2748" spans="1:40" x14ac:dyDescent="0.25">
      <c r="A2748" t="str">
        <f>"20190312154607273"</f>
        <v>20190312154607273</v>
      </c>
      <c r="B2748" t="str">
        <f>"1552376767269552"</f>
        <v>1552376767269552</v>
      </c>
      <c r="C2748" t="s">
        <v>40</v>
      </c>
      <c r="D2748">
        <v>4.4762110000000002</v>
      </c>
      <c r="E2748">
        <v>0.50964390000000004</v>
      </c>
      <c r="F2748" t="s">
        <v>66</v>
      </c>
      <c r="G2748">
        <v>-168.41499999999999</v>
      </c>
      <c r="H2748">
        <v>0.72446060000000001</v>
      </c>
      <c r="I2748">
        <v>193.6336</v>
      </c>
      <c r="J2748">
        <v>-386.54230000000001</v>
      </c>
      <c r="K2748">
        <v>1.107985</v>
      </c>
      <c r="L2748">
        <v>215.1935</v>
      </c>
      <c r="M2748">
        <v>0.99993730000000003</v>
      </c>
      <c r="N2748">
        <v>0</v>
      </c>
      <c r="O2748">
        <v>-7.4790439999999998E-3</v>
      </c>
      <c r="P2748">
        <v>0.99741760000000002</v>
      </c>
      <c r="Q2748">
        <v>1.4766639999999999E-2</v>
      </c>
      <c r="R2748">
        <v>-7.0285630000000002E-2</v>
      </c>
      <c r="S2748">
        <v>2.9868769999999998</v>
      </c>
      <c r="T2748">
        <v>-5.2404399999999999E-3</v>
      </c>
      <c r="U2748">
        <v>-0.29467769999999999</v>
      </c>
      <c r="V2748">
        <v>6.2859600000000002E-2</v>
      </c>
      <c r="W2748">
        <v>2.299899E-2</v>
      </c>
      <c r="X2748">
        <v>0.99775729999999996</v>
      </c>
      <c r="Y2748">
        <v>9.0734759999999998E-2</v>
      </c>
      <c r="Z2748" s="1">
        <v>-6.6314449999999898E-5</v>
      </c>
      <c r="AA2748">
        <v>0.99587510000000001</v>
      </c>
      <c r="AB2748">
        <v>45</v>
      </c>
      <c r="AC2748">
        <v>218.12729999999999</v>
      </c>
      <c r="AD2748">
        <v>-0.38352439999999999</v>
      </c>
      <c r="AE2748">
        <v>-21.559899999999999</v>
      </c>
      <c r="AF2748">
        <v>19.927795615874</v>
      </c>
      <c r="AG2748">
        <v>-0.38352439999999999</v>
      </c>
      <c r="AH2748">
        <v>218.28178365271799</v>
      </c>
      <c r="AI2748">
        <v>90.100252535367204</v>
      </c>
      <c r="AJ2748">
        <v>84.783704561190902</v>
      </c>
      <c r="AK2748">
        <v>219.18987477455599</v>
      </c>
      <c r="AL2748">
        <v>88.682138683660298</v>
      </c>
      <c r="AM2748">
        <v>86.395079184723997</v>
      </c>
      <c r="AN2748">
        <v>0.99999995627823401</v>
      </c>
    </row>
    <row r="2749" spans="1:40" x14ac:dyDescent="0.25">
      <c r="A2749" t="str">
        <f>"20190312154607294"</f>
        <v>20190312154607294</v>
      </c>
      <c r="B2749" t="str">
        <f>"1552376767290048"</f>
        <v>1552376767290048</v>
      </c>
      <c r="C2749" t="s">
        <v>40</v>
      </c>
      <c r="D2749">
        <v>4.5638730000000001</v>
      </c>
      <c r="E2749">
        <v>0.50926700000000003</v>
      </c>
      <c r="F2749" t="s">
        <v>47</v>
      </c>
      <c r="G2749">
        <v>-285.69569999999999</v>
      </c>
      <c r="H2749">
        <v>0.86678319999999998</v>
      </c>
      <c r="I2749">
        <v>205.5428</v>
      </c>
      <c r="J2749">
        <v>-386.1241</v>
      </c>
      <c r="K2749">
        <v>1.1080129999999999</v>
      </c>
      <c r="L2749">
        <v>215.1901</v>
      </c>
      <c r="M2749">
        <v>0.99993379999999998</v>
      </c>
      <c r="N2749">
        <v>0</v>
      </c>
      <c r="O2749">
        <v>-7.9150209999999995E-3</v>
      </c>
      <c r="P2749">
        <v>0.99743729999999997</v>
      </c>
      <c r="Q2749">
        <v>1.521312E-2</v>
      </c>
      <c r="R2749">
        <v>-6.9913740000000002E-2</v>
      </c>
      <c r="S2749">
        <v>2.9877319999999998</v>
      </c>
      <c r="T2749">
        <v>-7.1460009999999999E-3</v>
      </c>
      <c r="U2749">
        <v>-0.28591919999999998</v>
      </c>
      <c r="V2749">
        <v>6.205227E-2</v>
      </c>
      <c r="W2749">
        <v>2.3470459999999999E-2</v>
      </c>
      <c r="X2749">
        <v>0.99779689999999999</v>
      </c>
      <c r="Y2749">
        <v>8.7380020000000003E-2</v>
      </c>
      <c r="Z2749" s="1">
        <v>-8.5372090000000001E-5</v>
      </c>
      <c r="AA2749">
        <v>0.99617509999999998</v>
      </c>
      <c r="AB2749">
        <v>45</v>
      </c>
      <c r="AC2749">
        <v>100.4284</v>
      </c>
      <c r="AD2749">
        <v>-0.241229799999999</v>
      </c>
      <c r="AE2749">
        <v>-9.6472999999999995</v>
      </c>
      <c r="AF2749">
        <v>8.8520265606951902</v>
      </c>
      <c r="AG2749">
        <v>-0.241229799999999</v>
      </c>
      <c r="AH2749">
        <v>100.501040626373</v>
      </c>
      <c r="AI2749">
        <v>90.1369948044522</v>
      </c>
      <c r="AJ2749">
        <v>84.966437465826601</v>
      </c>
      <c r="AK2749">
        <v>100.890414475467</v>
      </c>
      <c r="AL2749">
        <v>88.655118205574396</v>
      </c>
      <c r="AM2749">
        <v>86.441399685545605</v>
      </c>
      <c r="AN2749">
        <v>1.00000000017718</v>
      </c>
    </row>
    <row r="2750" spans="1:40" x14ac:dyDescent="0.25">
      <c r="A2750" t="str">
        <f>"20190312154607320"</f>
        <v>20190312154607320</v>
      </c>
      <c r="B2750" t="str">
        <f>"1552376767309568"</f>
        <v>1552376767309568</v>
      </c>
      <c r="C2750" t="s">
        <v>40</v>
      </c>
      <c r="D2750">
        <v>4.5141439999999999</v>
      </c>
      <c r="E2750">
        <v>0.50888599999999995</v>
      </c>
      <c r="F2750" t="s">
        <v>47</v>
      </c>
      <c r="G2750">
        <v>-285.72629999999998</v>
      </c>
      <c r="H2750">
        <v>0.73015339999999995</v>
      </c>
      <c r="I2750">
        <v>205.72559999999999</v>
      </c>
      <c r="J2750">
        <v>-385.61630000000002</v>
      </c>
      <c r="K2750">
        <v>1.108039</v>
      </c>
      <c r="L2750">
        <v>215.1858</v>
      </c>
      <c r="M2750">
        <v>0.99992939999999997</v>
      </c>
      <c r="N2750">
        <v>0</v>
      </c>
      <c r="O2750">
        <v>-8.4232100000000004E-3</v>
      </c>
      <c r="P2750">
        <v>0.99742030000000004</v>
      </c>
      <c r="Q2750">
        <v>1.634033E-2</v>
      </c>
      <c r="R2750">
        <v>-6.9899290000000003E-2</v>
      </c>
      <c r="S2750">
        <v>2.9881289999999998</v>
      </c>
      <c r="T2750">
        <v>-1.12462E-2</v>
      </c>
      <c r="U2750">
        <v>-0.28169250000000001</v>
      </c>
      <c r="V2750">
        <v>6.1531450000000001E-2</v>
      </c>
      <c r="W2750">
        <v>2.4625979999999999E-2</v>
      </c>
      <c r="X2750">
        <v>0.9978013</v>
      </c>
      <c r="Y2750">
        <v>8.5464239999999997E-2</v>
      </c>
      <c r="Z2750">
        <v>-1.2884219999999901E-4</v>
      </c>
      <c r="AA2750">
        <v>0.99634120000000004</v>
      </c>
      <c r="AB2750">
        <v>45</v>
      </c>
      <c r="AC2750">
        <v>99.89</v>
      </c>
      <c r="AD2750">
        <v>-0.37788559999999899</v>
      </c>
      <c r="AE2750">
        <v>-9.4602000000000093</v>
      </c>
      <c r="AF2750">
        <v>8.61831812529927</v>
      </c>
      <c r="AG2750">
        <v>-0.37788559999999899</v>
      </c>
      <c r="AH2750">
        <v>99.964726217571197</v>
      </c>
      <c r="AI2750">
        <v>90.215787409357901</v>
      </c>
      <c r="AJ2750">
        <v>85.072509258815799</v>
      </c>
      <c r="AK2750">
        <v>100.336258115346</v>
      </c>
      <c r="AL2750">
        <v>88.588892624763105</v>
      </c>
      <c r="AM2750">
        <v>86.471207624504004</v>
      </c>
      <c r="AN2750">
        <v>0.99999999625587599</v>
      </c>
    </row>
    <row r="2751" spans="1:40" x14ac:dyDescent="0.25">
      <c r="A2751" t="str">
        <f>"20190312154607342"</f>
        <v>20190312154607342</v>
      </c>
      <c r="B2751" t="str">
        <f>"1552376767339826"</f>
        <v>1552376767339826</v>
      </c>
      <c r="C2751" t="s">
        <v>40</v>
      </c>
      <c r="D2751">
        <v>4.5173050000000003</v>
      </c>
      <c r="E2751">
        <v>0.50848420000000005</v>
      </c>
      <c r="F2751" t="s">
        <v>47</v>
      </c>
      <c r="G2751">
        <v>-285.73719999999997</v>
      </c>
      <c r="H2751">
        <v>0.68116599999999905</v>
      </c>
      <c r="I2751">
        <v>205.88659999999999</v>
      </c>
      <c r="J2751">
        <v>-385.15210000000002</v>
      </c>
      <c r="K2751">
        <v>1.108063</v>
      </c>
      <c r="L2751">
        <v>215.1816</v>
      </c>
      <c r="M2751">
        <v>0.99992539999999996</v>
      </c>
      <c r="N2751">
        <v>0</v>
      </c>
      <c r="O2751">
        <v>-8.8690639999999994E-3</v>
      </c>
      <c r="P2751">
        <v>0.99747529999999995</v>
      </c>
      <c r="Q2751">
        <v>1.6119660000000001E-2</v>
      </c>
      <c r="R2751">
        <v>-6.9165389999999993E-2</v>
      </c>
      <c r="S2751">
        <v>2.9884949999999999</v>
      </c>
      <c r="T2751">
        <v>-1.2772560000000001E-2</v>
      </c>
      <c r="U2751">
        <v>-0.27824399999999999</v>
      </c>
      <c r="V2751">
        <v>6.0350500000000001E-2</v>
      </c>
      <c r="W2751">
        <v>2.4431959999999999E-2</v>
      </c>
      <c r="X2751">
        <v>0.99787820000000005</v>
      </c>
      <c r="Y2751">
        <v>8.386863E-2</v>
      </c>
      <c r="Z2751">
        <v>-1.410153E-4</v>
      </c>
      <c r="AA2751">
        <v>0.99647680000000005</v>
      </c>
      <c r="AB2751">
        <v>45</v>
      </c>
      <c r="AC2751">
        <v>99.414900000000003</v>
      </c>
      <c r="AD2751">
        <v>-0.42689700000000003</v>
      </c>
      <c r="AE2751">
        <v>-9.2950000000000106</v>
      </c>
      <c r="AF2751">
        <v>8.4127324052449399</v>
      </c>
      <c r="AG2751">
        <v>-0.42689700000000003</v>
      </c>
      <c r="AH2751">
        <v>99.491611849361803</v>
      </c>
      <c r="AI2751">
        <v>90.244968115173606</v>
      </c>
      <c r="AJ2751">
        <v>85.166726442014493</v>
      </c>
      <c r="AK2751">
        <v>99.847569504494899</v>
      </c>
      <c r="AL2751">
        <v>88.600012506847705</v>
      </c>
      <c r="AM2751">
        <v>86.539034239857202</v>
      </c>
      <c r="AN2751">
        <v>1.00000000277746</v>
      </c>
    </row>
    <row r="2752" spans="1:40" x14ac:dyDescent="0.25">
      <c r="A2752" t="str">
        <f>"20190312154607365"</f>
        <v>20190312154607365</v>
      </c>
      <c r="B2752" t="str">
        <f>"1552376767359344"</f>
        <v>1552376767359344</v>
      </c>
      <c r="C2752" t="s">
        <v>40</v>
      </c>
      <c r="D2752">
        <v>4.5368729999999999</v>
      </c>
      <c r="E2752">
        <v>0.50820019999999999</v>
      </c>
      <c r="F2752" t="s">
        <v>43</v>
      </c>
      <c r="G2752">
        <v>-218.13050000000001</v>
      </c>
      <c r="H2752">
        <v>-0.05</v>
      </c>
      <c r="I2752">
        <v>199.94669999999999</v>
      </c>
      <c r="J2752">
        <v>-384.71449999999999</v>
      </c>
      <c r="K2752">
        <v>1.108074</v>
      </c>
      <c r="L2752">
        <v>215.17750000000001</v>
      </c>
      <c r="M2752">
        <v>0.99992159999999997</v>
      </c>
      <c r="N2752">
        <v>0</v>
      </c>
      <c r="O2752">
        <v>-9.2727230000000001E-3</v>
      </c>
      <c r="P2752">
        <v>0.99752560000000001</v>
      </c>
      <c r="Q2752">
        <v>1.571848E-2</v>
      </c>
      <c r="R2752">
        <v>-6.8528049999999993E-2</v>
      </c>
      <c r="S2752">
        <v>2.9890140000000001</v>
      </c>
      <c r="T2752">
        <v>-2.0724650000000001E-2</v>
      </c>
      <c r="U2752">
        <v>-0.272644</v>
      </c>
      <c r="V2752">
        <v>5.9308560000000003E-2</v>
      </c>
      <c r="W2752">
        <v>2.4054900000000001E-2</v>
      </c>
      <c r="X2752">
        <v>0.9979498</v>
      </c>
      <c r="Y2752">
        <v>8.1597929999999999E-2</v>
      </c>
      <c r="Z2752">
        <v>-2.181405E-4</v>
      </c>
      <c r="AA2752">
        <v>0.99666529999999998</v>
      </c>
      <c r="AB2752">
        <v>45</v>
      </c>
      <c r="AC2752">
        <v>166.58399999999901</v>
      </c>
      <c r="AD2752">
        <v>-1.158074</v>
      </c>
      <c r="AE2752">
        <v>-15.2308</v>
      </c>
      <c r="AF2752">
        <v>13.6847472758596</v>
      </c>
      <c r="AG2752">
        <v>-1.158074</v>
      </c>
      <c r="AH2752">
        <v>166.71008349430701</v>
      </c>
      <c r="AI2752">
        <v>90.396672270557602</v>
      </c>
      <c r="AJ2752">
        <v>85.307277063371004</v>
      </c>
      <c r="AK2752">
        <v>167.27481992838099</v>
      </c>
      <c r="AL2752">
        <v>88.621622764648095</v>
      </c>
      <c r="AM2752">
        <v>86.598889109846994</v>
      </c>
      <c r="AN2752">
        <v>0.99999997341166103</v>
      </c>
    </row>
    <row r="2753" spans="1:40" x14ac:dyDescent="0.25">
      <c r="A2753" t="str">
        <f>"20190312154607409"</f>
        <v>20190312154607409</v>
      </c>
      <c r="B2753" t="str">
        <f>"1552376767399360"</f>
        <v>1552376767399360</v>
      </c>
      <c r="C2753" t="s">
        <v>40</v>
      </c>
      <c r="D2753">
        <v>4.5355499999999997</v>
      </c>
      <c r="E2753">
        <v>0.50804380000000005</v>
      </c>
      <c r="F2753" t="s">
        <v>54</v>
      </c>
      <c r="G2753">
        <v>-271.10079999999999</v>
      </c>
      <c r="H2753">
        <v>8.0001559999999999E-2</v>
      </c>
      <c r="I2753">
        <v>204.9803</v>
      </c>
      <c r="J2753">
        <v>-383.83499999999998</v>
      </c>
      <c r="K2753">
        <v>1.1080939999999999</v>
      </c>
      <c r="L2753">
        <v>215.1687</v>
      </c>
      <c r="M2753">
        <v>0.99991379999999996</v>
      </c>
      <c r="N2753">
        <v>0</v>
      </c>
      <c r="O2753">
        <v>-1.004357E-2</v>
      </c>
      <c r="P2753">
        <v>0.99754909999999997</v>
      </c>
      <c r="Q2753">
        <v>1.416659E-2</v>
      </c>
      <c r="R2753">
        <v>-6.8522780000000005E-2</v>
      </c>
      <c r="S2753">
        <v>2.9894409999999998</v>
      </c>
      <c r="T2753">
        <v>-2.7050970000000001E-2</v>
      </c>
      <c r="U2753">
        <v>-0.26831050000000001</v>
      </c>
      <c r="V2753">
        <v>5.852984E-2</v>
      </c>
      <c r="W2753">
        <v>2.2548019999999998E-2</v>
      </c>
      <c r="X2753">
        <v>0.998031</v>
      </c>
      <c r="Y2753">
        <v>7.9382369999999994E-2</v>
      </c>
      <c r="Z2753">
        <v>-2.67741E-4</v>
      </c>
      <c r="AA2753">
        <v>0.99684419999999996</v>
      </c>
      <c r="AB2753">
        <v>45</v>
      </c>
      <c r="AC2753">
        <v>112.7342</v>
      </c>
      <c r="AD2753">
        <v>-1.02809244</v>
      </c>
      <c r="AE2753">
        <v>-10.1884</v>
      </c>
      <c r="AF2753">
        <v>9.0548447946807098</v>
      </c>
      <c r="AG2753">
        <v>-1.02809244</v>
      </c>
      <c r="AH2753">
        <v>112.821538029606</v>
      </c>
      <c r="AI2753">
        <v>90.520423140463393</v>
      </c>
      <c r="AJ2753">
        <v>85.411383774569302</v>
      </c>
      <c r="AK2753">
        <v>113.188986353296</v>
      </c>
      <c r="AL2753">
        <v>88.707984143086605</v>
      </c>
      <c r="AM2753">
        <v>86.643715302162306</v>
      </c>
      <c r="AN2753">
        <v>1.00000001616867</v>
      </c>
    </row>
    <row r="2754" spans="1:40" x14ac:dyDescent="0.25">
      <c r="A2754" t="str">
        <f>"20190312154607429"</f>
        <v>20190312154607429</v>
      </c>
      <c r="B2754" t="str">
        <f>"1552376767419856"</f>
        <v>1552376767419856</v>
      </c>
      <c r="C2754" t="s">
        <v>40</v>
      </c>
      <c r="D2754">
        <v>4.6059960000000002</v>
      </c>
      <c r="E2754">
        <v>0.50797369999999997</v>
      </c>
      <c r="F2754" t="s">
        <v>57</v>
      </c>
      <c r="G2754">
        <v>-301.77690000000001</v>
      </c>
      <c r="H2754" s="1">
        <v>2.7302289999999999E-6</v>
      </c>
      <c r="I2754">
        <v>207.83930000000001</v>
      </c>
      <c r="J2754">
        <v>-383.39839999999998</v>
      </c>
      <c r="K2754">
        <v>1.1080989999999999</v>
      </c>
      <c r="L2754">
        <v>215.16399999999999</v>
      </c>
      <c r="M2754">
        <v>0.99990979999999996</v>
      </c>
      <c r="N2754">
        <v>0</v>
      </c>
      <c r="O2754">
        <v>-1.0410900000000001E-2</v>
      </c>
      <c r="P2754">
        <v>0.99750589999999995</v>
      </c>
      <c r="Q2754">
        <v>1.340129E-2</v>
      </c>
      <c r="R2754">
        <v>-6.9302669999999997E-2</v>
      </c>
      <c r="S2754">
        <v>2.9895939999999999</v>
      </c>
      <c r="T2754">
        <v>-4.0370700000000002E-2</v>
      </c>
      <c r="U2754">
        <v>-0.26702880000000001</v>
      </c>
      <c r="V2754">
        <v>5.8941540000000001E-2</v>
      </c>
      <c r="W2754">
        <v>2.1802910000000002E-2</v>
      </c>
      <c r="X2754">
        <v>0.99802329999999995</v>
      </c>
      <c r="Y2754">
        <v>7.8584290000000001E-2</v>
      </c>
      <c r="Z2754">
        <v>-3.8922559999999998E-4</v>
      </c>
      <c r="AA2754">
        <v>0.9969074</v>
      </c>
      <c r="AB2754">
        <v>45</v>
      </c>
      <c r="AC2754">
        <v>81.621499999999898</v>
      </c>
      <c r="AD2754">
        <v>-1.108096269771</v>
      </c>
      <c r="AE2754">
        <v>-7.3247</v>
      </c>
      <c r="AF2754">
        <v>6.4733355802752497</v>
      </c>
      <c r="AG2754">
        <v>-1.108096269771</v>
      </c>
      <c r="AH2754">
        <v>81.678401903173807</v>
      </c>
      <c r="AI2754">
        <v>90.774830558885597</v>
      </c>
      <c r="AJ2754">
        <v>85.468555215075995</v>
      </c>
      <c r="AK2754">
        <v>81.942011742050397</v>
      </c>
      <c r="AL2754">
        <v>88.750686269274894</v>
      </c>
      <c r="AM2754">
        <v>86.620135654659705</v>
      </c>
      <c r="AN2754">
        <v>0.99999998968246395</v>
      </c>
    </row>
    <row r="2755" spans="1:40" x14ac:dyDescent="0.25">
      <c r="A2755" t="str">
        <f>"20190312154607452"</f>
        <v>20190312154607452</v>
      </c>
      <c r="B2755" t="str">
        <f>"1552376767439380"</f>
        <v>1552376767439380</v>
      </c>
      <c r="C2755" t="s">
        <v>40</v>
      </c>
      <c r="D2755">
        <v>4.6267589999999998</v>
      </c>
      <c r="E2755">
        <v>0.50796229999999998</v>
      </c>
      <c r="F2755" t="s">
        <v>57</v>
      </c>
      <c r="G2755">
        <v>-316.51889999999997</v>
      </c>
      <c r="H2755">
        <v>7.9999290000000001E-2</v>
      </c>
      <c r="I2755">
        <v>209.1532</v>
      </c>
      <c r="J2755">
        <v>-382.93799999999999</v>
      </c>
      <c r="K2755">
        <v>1.1081080000000001</v>
      </c>
      <c r="L2755">
        <v>215.15899999999999</v>
      </c>
      <c r="M2755">
        <v>0.99990559999999995</v>
      </c>
      <c r="N2755">
        <v>0</v>
      </c>
      <c r="O2755">
        <v>-1.078872E-2</v>
      </c>
      <c r="P2755">
        <v>0.99745209999999995</v>
      </c>
      <c r="Q2755">
        <v>1.226147E-2</v>
      </c>
      <c r="R2755">
        <v>-7.0279750000000002E-2</v>
      </c>
      <c r="S2755">
        <v>2.9894409999999998</v>
      </c>
      <c r="T2755">
        <v>-4.595494E-2</v>
      </c>
      <c r="U2755">
        <v>-0.26867679999999999</v>
      </c>
      <c r="V2755">
        <v>5.9539889999999998E-2</v>
      </c>
      <c r="W2755">
        <v>2.0683549999999998E-2</v>
      </c>
      <c r="X2755">
        <v>0.9980116</v>
      </c>
      <c r="Y2755">
        <v>7.8755480000000003E-2</v>
      </c>
      <c r="Z2755">
        <v>-4.3858930000000002E-4</v>
      </c>
      <c r="AA2755">
        <v>0.9968939</v>
      </c>
      <c r="AB2755">
        <v>45</v>
      </c>
      <c r="AC2755">
        <v>66.4191</v>
      </c>
      <c r="AD2755">
        <v>-1.0281087099999999</v>
      </c>
      <c r="AE2755">
        <v>-6.0058000000000202</v>
      </c>
      <c r="AF2755">
        <v>5.2875907779335298</v>
      </c>
      <c r="AG2755">
        <v>-1.0281087099999999</v>
      </c>
      <c r="AH2755">
        <v>66.4642354997155</v>
      </c>
      <c r="AI2755">
        <v>90.8834240765364</v>
      </c>
      <c r="AJ2755">
        <v>85.451389682333499</v>
      </c>
      <c r="AK2755">
        <v>66.682158215793393</v>
      </c>
      <c r="AL2755">
        <v>88.8148353425115</v>
      </c>
      <c r="AM2755">
        <v>86.585865500909705</v>
      </c>
      <c r="AN2755">
        <v>0.99999998073818697</v>
      </c>
    </row>
    <row r="2756" spans="1:40" x14ac:dyDescent="0.25">
      <c r="A2756" t="str">
        <f>"20190312154607475"</f>
        <v>20190312154607475</v>
      </c>
      <c r="B2756" t="str">
        <f>"1552376767469633"</f>
        <v>1552376767469633</v>
      </c>
      <c r="C2756" t="s">
        <v>40</v>
      </c>
      <c r="D2756">
        <v>4.5936510000000004</v>
      </c>
      <c r="E2756">
        <v>0.50797510000000001</v>
      </c>
      <c r="F2756" t="s">
        <v>54</v>
      </c>
      <c r="G2756">
        <v>-321.83780000000002</v>
      </c>
      <c r="H2756">
        <v>2.2363089999999999E-2</v>
      </c>
      <c r="I2756">
        <v>209.6163</v>
      </c>
      <c r="J2756">
        <v>-382.47030000000001</v>
      </c>
      <c r="K2756">
        <v>1.1081219999999901</v>
      </c>
      <c r="L2756">
        <v>215.15369999999999</v>
      </c>
      <c r="M2756">
        <v>0.99990140000000005</v>
      </c>
      <c r="N2756">
        <v>0</v>
      </c>
      <c r="O2756">
        <v>-1.1159499999999999E-2</v>
      </c>
      <c r="P2756">
        <v>0.99736360000000002</v>
      </c>
      <c r="Q2756">
        <v>1.164106E-2</v>
      </c>
      <c r="R2756">
        <v>-7.1626860000000001E-2</v>
      </c>
      <c r="S2756">
        <v>2.9891969999999999</v>
      </c>
      <c r="T2756">
        <v>-5.3117749999999998E-2</v>
      </c>
      <c r="U2756">
        <v>-0.27116390000000001</v>
      </c>
      <c r="V2756">
        <v>6.0516399999999998E-2</v>
      </c>
      <c r="W2756">
        <v>2.0082860000000001E-2</v>
      </c>
      <c r="X2756">
        <v>0.9979652</v>
      </c>
      <c r="Y2756">
        <v>7.9213160000000005E-2</v>
      </c>
      <c r="Z2756">
        <v>-5.0444759999999998E-4</v>
      </c>
      <c r="AA2756">
        <v>0.99685760000000001</v>
      </c>
      <c r="AB2756">
        <v>45</v>
      </c>
      <c r="AC2756">
        <v>60.632499999999901</v>
      </c>
      <c r="AD2756">
        <v>-1.08575890999999</v>
      </c>
      <c r="AE2756">
        <v>-5.5373999999999901</v>
      </c>
      <c r="AF2756">
        <v>4.8588570072711201</v>
      </c>
      <c r="AG2756">
        <v>-1.08575890999999</v>
      </c>
      <c r="AH2756">
        <v>60.6712266481791</v>
      </c>
      <c r="AI2756">
        <v>91.0219718827517</v>
      </c>
      <c r="AJ2756">
        <v>85.421237893368698</v>
      </c>
      <c r="AK2756">
        <v>60.875160014758599</v>
      </c>
      <c r="AL2756">
        <v>88.8492595750307</v>
      </c>
      <c r="AM2756">
        <v>86.529845274438998</v>
      </c>
      <c r="AN2756">
        <v>1.0000000481728799</v>
      </c>
    </row>
    <row r="2757" spans="1:40" x14ac:dyDescent="0.25">
      <c r="A2757" t="str">
        <f>"20190312154607497"</f>
        <v>20190312154607497</v>
      </c>
      <c r="B2757" t="str">
        <f>"1552376767490129"</f>
        <v>1552376767490129</v>
      </c>
      <c r="C2757" t="s">
        <v>40</v>
      </c>
      <c r="D2757">
        <v>4.6371869999999999</v>
      </c>
      <c r="E2757">
        <v>0.50785919999999996</v>
      </c>
      <c r="F2757" t="s">
        <v>54</v>
      </c>
      <c r="G2757">
        <v>-327.46069999999997</v>
      </c>
      <c r="H2757" s="1">
        <v>2.4334069999999998E-6</v>
      </c>
      <c r="I2757">
        <v>210.08969999999999</v>
      </c>
      <c r="J2757">
        <v>-382.01839999999999</v>
      </c>
      <c r="K2757">
        <v>1.108128</v>
      </c>
      <c r="L2757">
        <v>215.14840000000001</v>
      </c>
      <c r="M2757">
        <v>0.99989740000000005</v>
      </c>
      <c r="N2757">
        <v>0</v>
      </c>
      <c r="O2757">
        <v>-1.1501519999999999E-2</v>
      </c>
      <c r="P2757">
        <v>0.99726930000000003</v>
      </c>
      <c r="Q2757">
        <v>1.140994E-2</v>
      </c>
      <c r="R2757">
        <v>-7.2967959999999998E-2</v>
      </c>
      <c r="S2757">
        <v>2.9888919999999999</v>
      </c>
      <c r="T2757">
        <v>-6.0208560000000001E-2</v>
      </c>
      <c r="U2757">
        <v>-0.27514650000000002</v>
      </c>
      <c r="V2757">
        <v>6.151587E-2</v>
      </c>
      <c r="W2757">
        <v>1.9870229999999999E-2</v>
      </c>
      <c r="X2757">
        <v>0.99790829999999997</v>
      </c>
      <c r="Y2757">
        <v>8.0195379999999997E-2</v>
      </c>
      <c r="Z2757">
        <v>-5.7479699999999896E-4</v>
      </c>
      <c r="AA2757">
        <v>0.99677899999999997</v>
      </c>
      <c r="AB2757">
        <v>45</v>
      </c>
      <c r="AC2757">
        <v>54.557699999999997</v>
      </c>
      <c r="AD2757">
        <v>-1.1081255665930001</v>
      </c>
      <c r="AE2757">
        <v>-5.0587000000000097</v>
      </c>
      <c r="AF2757">
        <v>4.4290344388252798</v>
      </c>
      <c r="AG2757">
        <v>-1.1081255665930001</v>
      </c>
      <c r="AH2757">
        <v>54.5899473376424</v>
      </c>
      <c r="AI2757">
        <v>91.159084205610398</v>
      </c>
      <c r="AJ2757">
        <v>85.361593539773096</v>
      </c>
      <c r="AK2757">
        <v>54.780531566042796</v>
      </c>
      <c r="AL2757">
        <v>88.861444754785097</v>
      </c>
      <c r="AM2757">
        <v>86.472476192821304</v>
      </c>
      <c r="AN2757">
        <v>1.0000000017555</v>
      </c>
    </row>
    <row r="2758" spans="1:40" x14ac:dyDescent="0.25">
      <c r="A2758" t="str">
        <f>"20190312154607520"</f>
        <v>20190312154607520</v>
      </c>
      <c r="B2758" t="str">
        <f>"1552376767509648"</f>
        <v>1552376767509648</v>
      </c>
      <c r="C2758" t="s">
        <v>40</v>
      </c>
      <c r="D2758">
        <v>4.6303590000000003</v>
      </c>
      <c r="E2758">
        <v>0.47776089999999999</v>
      </c>
      <c r="F2758" t="s">
        <v>54</v>
      </c>
      <c r="G2758">
        <v>-330.02600000000001</v>
      </c>
      <c r="H2758" s="1">
        <v>-1.3346060000000001E-6</v>
      </c>
      <c r="I2758">
        <v>210.30690000000001</v>
      </c>
      <c r="J2758">
        <v>-381.55520000000001</v>
      </c>
      <c r="K2758">
        <v>1.10815</v>
      </c>
      <c r="L2758">
        <v>215.1429</v>
      </c>
      <c r="M2758">
        <v>0.99989320000000004</v>
      </c>
      <c r="N2758">
        <v>0</v>
      </c>
      <c r="O2758">
        <v>-1.1833130000000001E-2</v>
      </c>
      <c r="P2758">
        <v>0.99720450000000005</v>
      </c>
      <c r="Q2758">
        <v>1.1083279999999999E-2</v>
      </c>
      <c r="R2758">
        <v>-7.3894150000000006E-2</v>
      </c>
      <c r="S2758">
        <v>2.988556</v>
      </c>
      <c r="T2758">
        <v>-6.3695909999999994E-2</v>
      </c>
      <c r="U2758">
        <v>-0.27828979999999998</v>
      </c>
      <c r="V2758">
        <v>6.2110680000000001E-2</v>
      </c>
      <c r="W2758">
        <v>1.9564160000000001E-2</v>
      </c>
      <c r="X2758">
        <v>0.99787749999999997</v>
      </c>
      <c r="Y2758">
        <v>8.0912739999999997E-2</v>
      </c>
      <c r="Z2758">
        <v>-6.0869919999999896E-4</v>
      </c>
      <c r="AA2758">
        <v>0.99672099999999997</v>
      </c>
      <c r="AB2758">
        <v>45</v>
      </c>
      <c r="AC2758">
        <v>51.529200000000003</v>
      </c>
      <c r="AD2758">
        <v>-1.1081513346059999</v>
      </c>
      <c r="AE2758">
        <v>-4.8359999999999799</v>
      </c>
      <c r="AF2758">
        <v>4.2239508057770303</v>
      </c>
      <c r="AG2758">
        <v>-1.1081513346059999</v>
      </c>
      <c r="AH2758">
        <v>51.559182279508804</v>
      </c>
      <c r="AI2758">
        <v>91.227147414097004</v>
      </c>
      <c r="AJ2758">
        <v>85.316541519007799</v>
      </c>
      <c r="AK2758">
        <v>51.743782593869398</v>
      </c>
      <c r="AL2758">
        <v>88.878984680742406</v>
      </c>
      <c r="AM2758">
        <v>86.438345546199599</v>
      </c>
      <c r="AN2758">
        <v>0.99999999896640901</v>
      </c>
    </row>
    <row r="2759" spans="1:40" x14ac:dyDescent="0.25">
      <c r="A2759" t="str">
        <f>"20190312154607544"</f>
        <v>20190312154607544</v>
      </c>
      <c r="B2759" t="str">
        <f>"1552376767539904"</f>
        <v>1552376767539904</v>
      </c>
      <c r="C2759" t="s">
        <v>40</v>
      </c>
      <c r="D2759">
        <v>4.5125659999999996</v>
      </c>
      <c r="E2759">
        <v>0.46273999999999998</v>
      </c>
      <c r="F2759" t="s">
        <v>54</v>
      </c>
      <c r="G2759">
        <v>-333.8646</v>
      </c>
      <c r="H2759" s="1">
        <v>5.2538289999999999E-7</v>
      </c>
      <c r="I2759">
        <v>214.48759999999999</v>
      </c>
      <c r="J2759">
        <v>-381.07479999999998</v>
      </c>
      <c r="K2759">
        <v>1.108171</v>
      </c>
      <c r="L2759">
        <v>215.137</v>
      </c>
      <c r="M2759">
        <v>0.99988929999999998</v>
      </c>
      <c r="N2759">
        <v>0</v>
      </c>
      <c r="O2759">
        <v>-1.215482E-2</v>
      </c>
      <c r="P2759">
        <v>0.99713189999999996</v>
      </c>
      <c r="Q2759">
        <v>1.1595009999999999E-2</v>
      </c>
      <c r="R2759">
        <v>-7.4789809999999998E-2</v>
      </c>
      <c r="S2759">
        <v>3.0061339999999999</v>
      </c>
      <c r="T2759">
        <v>-6.9851159999999995E-2</v>
      </c>
      <c r="U2759">
        <v>-4.1305540000000002E-2</v>
      </c>
      <c r="V2759">
        <v>6.2685519999999995E-2</v>
      </c>
      <c r="W2759">
        <v>2.0097159999999999E-2</v>
      </c>
      <c r="X2759">
        <v>0.99783100000000002</v>
      </c>
      <c r="Y2759">
        <v>1.5868410000000001E-3</v>
      </c>
      <c r="Z2759">
        <v>2.63947E-4</v>
      </c>
      <c r="AA2759">
        <v>0.99999870000000002</v>
      </c>
      <c r="AB2759">
        <v>46</v>
      </c>
      <c r="AC2759">
        <v>47.210199999999901</v>
      </c>
      <c r="AD2759">
        <v>-1.1081704746170999</v>
      </c>
      <c r="AE2759">
        <v>-0.64940000000001397</v>
      </c>
      <c r="AF2759">
        <v>7.5457840066248699E-2</v>
      </c>
      <c r="AG2759">
        <v>-1.1081704746170999</v>
      </c>
      <c r="AH2759">
        <v>47.188610436680598</v>
      </c>
      <c r="AI2759">
        <v>91.345276779263898</v>
      </c>
      <c r="AJ2759">
        <v>89.908380178141599</v>
      </c>
      <c r="AK2759">
        <v>47.201681014888003</v>
      </c>
      <c r="AL2759">
        <v>88.848440067632296</v>
      </c>
      <c r="AM2759">
        <v>86.405301070266802</v>
      </c>
      <c r="AN2759">
        <v>1.0000000374093601</v>
      </c>
    </row>
    <row r="2760" spans="1:40" x14ac:dyDescent="0.25">
      <c r="A2760" t="str">
        <f>"20190312154607587"</f>
        <v>20190312154607587</v>
      </c>
      <c r="B2760" t="str">
        <f>"1552376767579921"</f>
        <v>1552376767579921</v>
      </c>
      <c r="C2760" t="s">
        <v>40</v>
      </c>
      <c r="D2760">
        <v>4.4267830000000004</v>
      </c>
      <c r="E2760">
        <v>0.45835559999999997</v>
      </c>
      <c r="F2760" t="s">
        <v>54</v>
      </c>
      <c r="G2760">
        <v>-267.76900000000001</v>
      </c>
      <c r="H2760" s="1">
        <v>2.4530040000000002E-6</v>
      </c>
      <c r="I2760">
        <v>217.922</v>
      </c>
      <c r="J2760">
        <v>-380.18759999999997</v>
      </c>
      <c r="K2760">
        <v>1.1082110000000001</v>
      </c>
      <c r="L2760">
        <v>215.12569999999999</v>
      </c>
      <c r="M2760">
        <v>0.99988259999999995</v>
      </c>
      <c r="N2760">
        <v>0</v>
      </c>
      <c r="O2760">
        <v>-1.267716E-2</v>
      </c>
      <c r="P2760">
        <v>0.99709950000000003</v>
      </c>
      <c r="Q2760">
        <v>1.1699299999999999E-2</v>
      </c>
      <c r="R2760">
        <v>-7.5206060000000005E-2</v>
      </c>
      <c r="S2760">
        <v>3.0145870000000001</v>
      </c>
      <c r="T2760">
        <v>-2.9483680000000002E-2</v>
      </c>
      <c r="U2760">
        <v>7.4096679999999998E-2</v>
      </c>
      <c r="V2760">
        <v>6.2578750000000002E-2</v>
      </c>
      <c r="W2760">
        <v>2.024304E-2</v>
      </c>
      <c r="X2760">
        <v>0.99783469999999996</v>
      </c>
      <c r="Y2760">
        <v>-3.7241400000000001E-2</v>
      </c>
      <c r="Z2760">
        <v>3.0605699999999999E-4</v>
      </c>
      <c r="AA2760">
        <v>0.99930629999999998</v>
      </c>
      <c r="AB2760">
        <v>46</v>
      </c>
      <c r="AC2760">
        <v>112.418599999999</v>
      </c>
      <c r="AD2760">
        <v>-1.1082085469959999</v>
      </c>
      <c r="AE2760">
        <v>2.7963</v>
      </c>
      <c r="AF2760">
        <v>-4.2208667232165098</v>
      </c>
      <c r="AG2760">
        <v>-1.1082085469959999</v>
      </c>
      <c r="AH2760">
        <v>112.36320264730401</v>
      </c>
      <c r="AI2760">
        <v>90.564676557695606</v>
      </c>
      <c r="AJ2760">
        <v>92.151275398853898</v>
      </c>
      <c r="AK2760">
        <v>112.447913058616</v>
      </c>
      <c r="AL2760">
        <v>88.840079997590493</v>
      </c>
      <c r="AM2760">
        <v>86.411421050549606</v>
      </c>
      <c r="AN2760">
        <v>0.99999998457204597</v>
      </c>
    </row>
    <row r="2761" spans="1:40" x14ac:dyDescent="0.25">
      <c r="A2761" t="str">
        <f>"20190312154607608"</f>
        <v>20190312154607608</v>
      </c>
      <c r="B2761" t="str">
        <f>"1552376767600113"</f>
        <v>1552376767600113</v>
      </c>
      <c r="C2761" t="s">
        <v>40</v>
      </c>
      <c r="D2761">
        <v>4.4232050000000003</v>
      </c>
      <c r="E2761">
        <v>0.45743240000000002</v>
      </c>
      <c r="F2761" t="s">
        <v>54</v>
      </c>
      <c r="G2761">
        <v>-240.99950000000001</v>
      </c>
      <c r="H2761">
        <v>8.0000070000000006E-2</v>
      </c>
      <c r="I2761">
        <v>220.09190000000001</v>
      </c>
      <c r="J2761">
        <v>-379.74209999999999</v>
      </c>
      <c r="K2761">
        <v>1.1082350000000001</v>
      </c>
      <c r="L2761">
        <v>215.1199</v>
      </c>
      <c r="M2761">
        <v>0.99987950000000003</v>
      </c>
      <c r="N2761">
        <v>0</v>
      </c>
      <c r="O2761">
        <v>-1.290764E-2</v>
      </c>
      <c r="P2761">
        <v>0.99708529999999995</v>
      </c>
      <c r="Q2761">
        <v>1.162619E-2</v>
      </c>
      <c r="R2761">
        <v>-7.5406029999999999E-2</v>
      </c>
      <c r="S2761">
        <v>3.0171199999999998</v>
      </c>
      <c r="T2761">
        <v>-2.2288079999999998E-2</v>
      </c>
      <c r="U2761">
        <v>0.1076508</v>
      </c>
      <c r="V2761">
        <v>6.2547649999999996E-2</v>
      </c>
      <c r="W2761">
        <v>2.0190119999999999E-2</v>
      </c>
      <c r="X2761">
        <v>0.99783770000000005</v>
      </c>
      <c r="Y2761">
        <v>-4.855255E-2</v>
      </c>
      <c r="Z2761">
        <v>2.7460119999999998E-4</v>
      </c>
      <c r="AA2761">
        <v>0.99882059999999995</v>
      </c>
      <c r="AB2761">
        <v>46</v>
      </c>
      <c r="AC2761">
        <v>138.74259999999899</v>
      </c>
      <c r="AD2761">
        <v>-1.02823493</v>
      </c>
      <c r="AE2761">
        <v>4.9720000000000004</v>
      </c>
      <c r="AF2761">
        <v>-6.7621209746516904</v>
      </c>
      <c r="AG2761">
        <v>-1.02823493</v>
      </c>
      <c r="AH2761">
        <v>138.65925572609501</v>
      </c>
      <c r="AI2761">
        <v>90.424367727714397</v>
      </c>
      <c r="AJ2761">
        <v>92.791982955372404</v>
      </c>
      <c r="AK2761">
        <v>138.827852917423</v>
      </c>
      <c r="AL2761">
        <v>88.843112684568894</v>
      </c>
      <c r="AM2761">
        <v>86.4132105789365</v>
      </c>
      <c r="AN2761">
        <v>0.99999996250371204</v>
      </c>
    </row>
    <row r="2762" spans="1:40" x14ac:dyDescent="0.25">
      <c r="A2762" t="str">
        <f>"20190312154607631"</f>
        <v>20190312154607631</v>
      </c>
      <c r="B2762" t="str">
        <f>"1552376767619633"</f>
        <v>1552376767619633</v>
      </c>
      <c r="C2762" t="s">
        <v>40</v>
      </c>
      <c r="D2762">
        <v>4.4001109999999999</v>
      </c>
      <c r="E2762">
        <v>0.45708670000000001</v>
      </c>
      <c r="F2762" t="s">
        <v>54</v>
      </c>
      <c r="G2762">
        <v>-246.47380000000001</v>
      </c>
      <c r="H2762">
        <v>8.0000210000000002E-2</v>
      </c>
      <c r="I2762">
        <v>220.16720000000001</v>
      </c>
      <c r="J2762">
        <v>-379.2835</v>
      </c>
      <c r="K2762">
        <v>1.1082540000000001</v>
      </c>
      <c r="L2762">
        <v>215.1139</v>
      </c>
      <c r="M2762">
        <v>0.9998766</v>
      </c>
      <c r="N2762">
        <v>0</v>
      </c>
      <c r="O2762">
        <v>-1.31231E-2</v>
      </c>
      <c r="P2762">
        <v>0.99714449999999999</v>
      </c>
      <c r="Q2762">
        <v>1.1583080000000001E-2</v>
      </c>
      <c r="R2762">
        <v>-7.4625339999999998E-2</v>
      </c>
      <c r="S2762">
        <v>3.0176699999999999</v>
      </c>
      <c r="T2762">
        <v>-2.3282890000000001E-2</v>
      </c>
      <c r="U2762">
        <v>0.1142883</v>
      </c>
      <c r="V2762">
        <v>6.1550130000000002E-2</v>
      </c>
      <c r="W2762">
        <v>2.0169619999999999E-2</v>
      </c>
      <c r="X2762">
        <v>0.99790020000000001</v>
      </c>
      <c r="Y2762">
        <v>-5.0954939999999997E-2</v>
      </c>
      <c r="Z2762">
        <v>2.9772019999999998E-4</v>
      </c>
      <c r="AA2762">
        <v>0.9987009</v>
      </c>
      <c r="AB2762">
        <v>46</v>
      </c>
      <c r="AC2762">
        <v>132.80969999999999</v>
      </c>
      <c r="AD2762">
        <v>-1.0282537899999999</v>
      </c>
      <c r="AE2762">
        <v>5.0533000000000001</v>
      </c>
      <c r="AF2762">
        <v>-6.7953980297329597</v>
      </c>
      <c r="AG2762">
        <v>-1.0282537899999999</v>
      </c>
      <c r="AH2762">
        <v>132.72400083906999</v>
      </c>
      <c r="AI2762">
        <v>90.443298578787804</v>
      </c>
      <c r="AJ2762">
        <v>92.930954076064793</v>
      </c>
      <c r="AK2762">
        <v>132.90182519050899</v>
      </c>
      <c r="AL2762">
        <v>88.8442875544945</v>
      </c>
      <c r="AM2762">
        <v>86.470487999203797</v>
      </c>
      <c r="AN2762">
        <v>1.0000000206170001</v>
      </c>
    </row>
    <row r="2763" spans="1:40" x14ac:dyDescent="0.25">
      <c r="A2763" t="str">
        <f>"20190312154607652"</f>
        <v>20190312154607652</v>
      </c>
      <c r="B2763" t="str">
        <f>"1552376767649889"</f>
        <v>1552376767649889</v>
      </c>
      <c r="C2763" t="s">
        <v>40</v>
      </c>
      <c r="D2763">
        <v>4.3963590000000003</v>
      </c>
      <c r="E2763">
        <v>0.45668829999999999</v>
      </c>
      <c r="F2763" t="s">
        <v>54</v>
      </c>
      <c r="G2763">
        <v>-251.93170000000001</v>
      </c>
      <c r="H2763">
        <v>8.0000340000000003E-2</v>
      </c>
      <c r="I2763">
        <v>220.16030000000001</v>
      </c>
      <c r="J2763">
        <v>-378.83479999999997</v>
      </c>
      <c r="K2763">
        <v>1.1082700000000001</v>
      </c>
      <c r="L2763">
        <v>215.1079</v>
      </c>
      <c r="M2763">
        <v>0.99987389999999998</v>
      </c>
      <c r="N2763">
        <v>0</v>
      </c>
      <c r="O2763">
        <v>-1.3308149999999999E-2</v>
      </c>
      <c r="P2763">
        <v>0.99716819999999895</v>
      </c>
      <c r="Q2763">
        <v>1.0907790000000001E-2</v>
      </c>
      <c r="R2763">
        <v>-7.440977E-2</v>
      </c>
      <c r="S2763">
        <v>3.017792</v>
      </c>
      <c r="T2763">
        <v>-2.4366019999999999E-2</v>
      </c>
      <c r="U2763">
        <v>0.1195831</v>
      </c>
      <c r="V2763">
        <v>6.1147729999999997E-2</v>
      </c>
      <c r="W2763">
        <v>1.9515060000000001E-2</v>
      </c>
      <c r="X2763">
        <v>0.99793790000000004</v>
      </c>
      <c r="Y2763">
        <v>-5.288752E-2</v>
      </c>
      <c r="Z2763">
        <v>3.2083950000000002E-4</v>
      </c>
      <c r="AA2763">
        <v>0.99860040000000005</v>
      </c>
      <c r="AB2763">
        <v>46</v>
      </c>
      <c r="AC2763">
        <v>126.903099999999</v>
      </c>
      <c r="AD2763">
        <v>-1.0282696600000001</v>
      </c>
      <c r="AE2763">
        <v>5.0523999999999996</v>
      </c>
      <c r="AF2763">
        <v>-6.7404195863184997</v>
      </c>
      <c r="AG2763">
        <v>-1.0282696600000001</v>
      </c>
      <c r="AH2763">
        <v>126.816307350808</v>
      </c>
      <c r="AI2763">
        <v>90.463908657057402</v>
      </c>
      <c r="AJ2763">
        <v>93.042467833486697</v>
      </c>
      <c r="AK2763">
        <v>126.999474033509</v>
      </c>
      <c r="AL2763">
        <v>88.881798405358794</v>
      </c>
      <c r="AM2763">
        <v>86.493637477444906</v>
      </c>
      <c r="AN2763">
        <v>0.99999996735368202</v>
      </c>
    </row>
    <row r="2764" spans="1:40" x14ac:dyDescent="0.25">
      <c r="A2764" t="str">
        <f>"20190312154607676"</f>
        <v>20190312154607676</v>
      </c>
      <c r="B2764" t="str">
        <f>"1552376767669409"</f>
        <v>1552376767669409</v>
      </c>
      <c r="C2764" t="s">
        <v>40</v>
      </c>
      <c r="D2764">
        <v>4.3858379999999997</v>
      </c>
      <c r="E2764">
        <v>0.45646730000000002</v>
      </c>
      <c r="F2764" t="s">
        <v>54</v>
      </c>
      <c r="G2764">
        <v>-273.63990000000001</v>
      </c>
      <c r="H2764" s="1">
        <v>1.902929E-7</v>
      </c>
      <c r="I2764">
        <v>219.41849999999999</v>
      </c>
      <c r="J2764">
        <v>-378.36079999999998</v>
      </c>
      <c r="K2764">
        <v>1.108295</v>
      </c>
      <c r="L2764">
        <v>215.10149999999999</v>
      </c>
      <c r="M2764">
        <v>0.99987159999999997</v>
      </c>
      <c r="N2764">
        <v>0</v>
      </c>
      <c r="O2764">
        <v>-1.347624E-2</v>
      </c>
      <c r="P2764">
        <v>0.99718739999999995</v>
      </c>
      <c r="Q2764">
        <v>9.7597770000000007E-3</v>
      </c>
      <c r="R2764">
        <v>-7.4314480000000002E-2</v>
      </c>
      <c r="S2764">
        <v>3.0181269999999998</v>
      </c>
      <c r="T2764">
        <v>-3.179717E-2</v>
      </c>
      <c r="U2764">
        <v>0.1236725</v>
      </c>
      <c r="V2764">
        <v>6.0882140000000001E-2</v>
      </c>
      <c r="W2764">
        <v>1.8388970000000001E-2</v>
      </c>
      <c r="X2764">
        <v>0.99797550000000002</v>
      </c>
      <c r="Y2764">
        <v>-5.4400179999999999E-2</v>
      </c>
      <c r="Z2764">
        <v>4.2836159999999997E-4</v>
      </c>
      <c r="AA2764">
        <v>0.99851909999999999</v>
      </c>
      <c r="AB2764">
        <v>46</v>
      </c>
      <c r="AC2764">
        <v>104.72089999999901</v>
      </c>
      <c r="AD2764">
        <v>-1.1082948097070999</v>
      </c>
      <c r="AE2764">
        <v>4.3170000000000002</v>
      </c>
      <c r="AF2764">
        <v>-5.7272645752704801</v>
      </c>
      <c r="AG2764">
        <v>-1.1082948097070999</v>
      </c>
      <c r="AH2764">
        <v>104.641509944677</v>
      </c>
      <c r="AI2764">
        <v>90.605910147842394</v>
      </c>
      <c r="AJ2764">
        <v>93.132800810631807</v>
      </c>
      <c r="AK2764">
        <v>104.803985994819</v>
      </c>
      <c r="AL2764">
        <v>88.946330180781104</v>
      </c>
      <c r="AM2764">
        <v>86.508960526143198</v>
      </c>
      <c r="AN2764">
        <v>0.99999994389444302</v>
      </c>
    </row>
    <row r="2765" spans="1:40" x14ac:dyDescent="0.25">
      <c r="A2765" t="str">
        <f>"20190312154607698"</f>
        <v>20190312154607698</v>
      </c>
      <c r="B2765" t="str">
        <f>"1552376767689851"</f>
        <v>1552376767689851</v>
      </c>
      <c r="C2765" t="s">
        <v>40</v>
      </c>
      <c r="D2765">
        <v>4.3911540000000002</v>
      </c>
      <c r="E2765">
        <v>0.45627200000000001</v>
      </c>
      <c r="F2765" t="s">
        <v>57</v>
      </c>
      <c r="G2765">
        <v>-288.13080000000002</v>
      </c>
      <c r="H2765" s="1">
        <v>2.9795489999999999E-6</v>
      </c>
      <c r="I2765">
        <v>218.85849999999999</v>
      </c>
      <c r="J2765">
        <v>-377.91460000000001</v>
      </c>
      <c r="K2765">
        <v>1.108317</v>
      </c>
      <c r="L2765">
        <v>215.09540000000001</v>
      </c>
      <c r="M2765">
        <v>0.99986949999999997</v>
      </c>
      <c r="N2765">
        <v>0</v>
      </c>
      <c r="O2765">
        <v>-1.3609639999999999E-2</v>
      </c>
      <c r="P2765">
        <v>0.99721839999999995</v>
      </c>
      <c r="Q2765">
        <v>9.0946970000000005E-3</v>
      </c>
      <c r="R2765">
        <v>-7.3977130000000002E-2</v>
      </c>
      <c r="S2765">
        <v>3.0181879999999999</v>
      </c>
      <c r="T2765">
        <v>-3.7072300000000002E-2</v>
      </c>
      <c r="U2765">
        <v>0.12567139999999999</v>
      </c>
      <c r="V2765">
        <v>6.0409869999999997E-2</v>
      </c>
      <c r="W2765">
        <v>1.7745339999999998E-2</v>
      </c>
      <c r="X2765">
        <v>0.99801589999999996</v>
      </c>
      <c r="Y2765">
        <v>-5.519131E-2</v>
      </c>
      <c r="Z2765">
        <v>5.0589919999999896E-4</v>
      </c>
      <c r="AA2765">
        <v>0.99847569999999997</v>
      </c>
      <c r="AB2765">
        <v>46</v>
      </c>
      <c r="AC2765">
        <v>89.7837999999999</v>
      </c>
      <c r="AD2765">
        <v>-1.108314020451</v>
      </c>
      <c r="AE2765">
        <v>3.7630999999999699</v>
      </c>
      <c r="AF2765">
        <v>-4.9839648100611598</v>
      </c>
      <c r="AG2765">
        <v>-1.108314020451</v>
      </c>
      <c r="AH2765">
        <v>89.710621440956103</v>
      </c>
      <c r="AI2765">
        <v>90.706724882156394</v>
      </c>
      <c r="AJ2765">
        <v>93.179856477464099</v>
      </c>
      <c r="AK2765">
        <v>89.855794829929494</v>
      </c>
      <c r="AL2765">
        <v>88.983213536315503</v>
      </c>
      <c r="AM2765">
        <v>86.536114618971197</v>
      </c>
      <c r="AN2765">
        <v>0.99999999306897103</v>
      </c>
    </row>
    <row r="2766" spans="1:40" x14ac:dyDescent="0.25">
      <c r="A2766" t="str">
        <f>"20190312154607721"</f>
        <v>20190312154607721</v>
      </c>
      <c r="B2766" t="str">
        <f>"1552376767710347"</f>
        <v>1552376767710347</v>
      </c>
      <c r="C2766" t="s">
        <v>40</v>
      </c>
      <c r="D2766">
        <v>4.5890259999999996</v>
      </c>
      <c r="E2766">
        <v>0.45628279999999899</v>
      </c>
      <c r="F2766" t="s">
        <v>57</v>
      </c>
      <c r="G2766">
        <v>-294.84449999999998</v>
      </c>
      <c r="H2766" s="1">
        <v>1.753745E-6</v>
      </c>
      <c r="I2766">
        <v>218.62639999999999</v>
      </c>
      <c r="J2766">
        <v>-377.43520000000001</v>
      </c>
      <c r="K2766">
        <v>1.1083510000000001</v>
      </c>
      <c r="L2766">
        <v>215.08879999999999</v>
      </c>
      <c r="M2766">
        <v>0.99986770000000003</v>
      </c>
      <c r="N2766">
        <v>0</v>
      </c>
      <c r="O2766">
        <v>-1.3728229999999999E-2</v>
      </c>
      <c r="P2766">
        <v>0.99722880000000003</v>
      </c>
      <c r="Q2766">
        <v>8.5853679999999995E-3</v>
      </c>
      <c r="R2766">
        <v>-7.3898640000000002E-2</v>
      </c>
      <c r="S2766">
        <v>3.0182500000000001</v>
      </c>
      <c r="T2766">
        <v>-4.0269260000000001E-2</v>
      </c>
      <c r="U2766">
        <v>0.12829589999999999</v>
      </c>
      <c r="V2766">
        <v>6.0211199999999999E-2</v>
      </c>
      <c r="W2766">
        <v>1.725809E-2</v>
      </c>
      <c r="X2766">
        <v>0.99803640000000005</v>
      </c>
      <c r="Y2766">
        <v>-5.617453E-2</v>
      </c>
      <c r="Z2766">
        <v>5.5763860000000005E-4</v>
      </c>
      <c r="AA2766">
        <v>0.9984208</v>
      </c>
      <c r="AB2766">
        <v>46</v>
      </c>
      <c r="AC2766">
        <v>82.590699999999998</v>
      </c>
      <c r="AD2766">
        <v>-1.108349246255</v>
      </c>
      <c r="AE2766">
        <v>3.5375999999999901</v>
      </c>
      <c r="AF2766">
        <v>-4.6702943478122902</v>
      </c>
      <c r="AG2766">
        <v>-1.108349246255</v>
      </c>
      <c r="AH2766">
        <v>82.519515735173798</v>
      </c>
      <c r="AI2766">
        <v>90.768284588431897</v>
      </c>
      <c r="AJ2766">
        <v>93.239270053025294</v>
      </c>
      <c r="AK2766">
        <v>82.659001714964305</v>
      </c>
      <c r="AL2766">
        <v>89.011135132505004</v>
      </c>
      <c r="AM2766">
        <v>86.547549445886304</v>
      </c>
      <c r="AN2766">
        <v>0.99999994300042205</v>
      </c>
    </row>
    <row r="2767" spans="1:40" x14ac:dyDescent="0.25">
      <c r="A2767" t="str">
        <f>"20190312154607745"</f>
        <v>20190312154607745</v>
      </c>
      <c r="B2767" t="str">
        <f>"1552376767739627"</f>
        <v>1552376767739627</v>
      </c>
      <c r="C2767" t="s">
        <v>40</v>
      </c>
      <c r="D2767">
        <v>4.4628750000000004</v>
      </c>
      <c r="E2767">
        <v>0.50126490000000001</v>
      </c>
      <c r="F2767" t="s">
        <v>57</v>
      </c>
      <c r="G2767">
        <v>-298.5752</v>
      </c>
      <c r="H2767" s="1">
        <v>2.415509E-6</v>
      </c>
      <c r="I2767">
        <v>218.44290000000001</v>
      </c>
      <c r="J2767">
        <v>-376.95049999999998</v>
      </c>
      <c r="K2767">
        <v>1.1083750000000001</v>
      </c>
      <c r="L2767">
        <v>215.0821</v>
      </c>
      <c r="M2767">
        <v>0.99986629999999999</v>
      </c>
      <c r="N2767">
        <v>0</v>
      </c>
      <c r="O2767">
        <v>-1.382334E-2</v>
      </c>
      <c r="P2767">
        <v>0.99723519999999999</v>
      </c>
      <c r="Q2767">
        <v>8.2520219999999995E-3</v>
      </c>
      <c r="R2767">
        <v>-7.385311E-2</v>
      </c>
      <c r="S2767">
        <v>3.0182500000000001</v>
      </c>
      <c r="T2767">
        <v>-4.2420390000000002E-2</v>
      </c>
      <c r="U2767">
        <v>0.12837219999999999</v>
      </c>
      <c r="V2767">
        <v>6.0069190000000001E-2</v>
      </c>
      <c r="W2767">
        <v>1.6946760000000002E-2</v>
      </c>
      <c r="X2767">
        <v>0.99805029999999995</v>
      </c>
      <c r="Y2767">
        <v>-5.6293990000000002E-2</v>
      </c>
      <c r="Z2767">
        <v>5.8959910000000004E-4</v>
      </c>
      <c r="AA2767">
        <v>0.99841400000000002</v>
      </c>
      <c r="AB2767">
        <v>46</v>
      </c>
      <c r="AC2767">
        <v>78.375299999999896</v>
      </c>
      <c r="AD2767">
        <v>-1.108372584491</v>
      </c>
      <c r="AE2767">
        <v>3.36080000000001</v>
      </c>
      <c r="AF2767">
        <v>-4.4430416709468696</v>
      </c>
      <c r="AG2767">
        <v>-1.108372584491</v>
      </c>
      <c r="AH2767">
        <v>78.305719863779899</v>
      </c>
      <c r="AI2767">
        <v>90.809632725660705</v>
      </c>
      <c r="AJ2767">
        <v>93.247462365181804</v>
      </c>
      <c r="AK2767">
        <v>78.439498165532598</v>
      </c>
      <c r="AL2767">
        <v>89.028975645502101</v>
      </c>
      <c r="AM2767">
        <v>86.555720386477105</v>
      </c>
      <c r="AN2767">
        <v>0.99999995079591997</v>
      </c>
    </row>
    <row r="2768" spans="1:40" x14ac:dyDescent="0.25">
      <c r="A2768" t="str">
        <f>"20190312154607766"</f>
        <v>20190312154607766</v>
      </c>
      <c r="B2768" t="str">
        <f>"1552376767760123"</f>
        <v>1552376767760123</v>
      </c>
      <c r="C2768" t="s">
        <v>40</v>
      </c>
      <c r="D2768">
        <v>4.453449</v>
      </c>
      <c r="E2768">
        <v>0.50990369999999996</v>
      </c>
      <c r="F2768" t="s">
        <v>57</v>
      </c>
      <c r="G2768">
        <v>-300.31420000000003</v>
      </c>
      <c r="H2768" s="1">
        <v>2.6906300000000001E-6</v>
      </c>
      <c r="I2768">
        <v>209.20699999999999</v>
      </c>
      <c r="J2768">
        <v>-376.49439999999998</v>
      </c>
      <c r="K2768">
        <v>1.1084000000000001</v>
      </c>
      <c r="L2768">
        <v>215.07579999999999</v>
      </c>
      <c r="M2768">
        <v>0.99986520000000001</v>
      </c>
      <c r="N2768">
        <v>0</v>
      </c>
      <c r="O2768">
        <v>-1.3890120000000001E-2</v>
      </c>
      <c r="P2768">
        <v>0.99721890000000002</v>
      </c>
      <c r="Q2768">
        <v>7.5954600000000001E-3</v>
      </c>
      <c r="R2768">
        <v>-7.4140410000000004E-2</v>
      </c>
      <c r="S2768">
        <v>2.99173</v>
      </c>
      <c r="T2768">
        <v>-4.3268679999999997E-2</v>
      </c>
      <c r="U2768">
        <v>-0.2293549</v>
      </c>
      <c r="V2768">
        <v>6.0288590000000003E-2</v>
      </c>
      <c r="W2768">
        <v>1.6310270000000002E-2</v>
      </c>
      <c r="X2768">
        <v>0.99804769999999998</v>
      </c>
      <c r="Y2768">
        <v>6.2576229999999997E-2</v>
      </c>
      <c r="Z2768">
        <v>-2.5126519999999999E-4</v>
      </c>
      <c r="AA2768">
        <v>0.99804009999999999</v>
      </c>
      <c r="AB2768">
        <v>46</v>
      </c>
      <c r="AC2768">
        <v>76.1801999999999</v>
      </c>
      <c r="AD2768">
        <v>-1.1083973093699999</v>
      </c>
      <c r="AE2768">
        <v>-5.8687999999999896</v>
      </c>
      <c r="AF2768">
        <v>4.8090290738599597</v>
      </c>
      <c r="AG2768">
        <v>-1.1083973093699999</v>
      </c>
      <c r="AH2768">
        <v>76.238327703710496</v>
      </c>
      <c r="AI2768">
        <v>90.831288851276895</v>
      </c>
      <c r="AJ2768">
        <v>86.390627933562399</v>
      </c>
      <c r="AK2768">
        <v>76.397892093218104</v>
      </c>
      <c r="AL2768">
        <v>89.065448904366093</v>
      </c>
      <c r="AM2768">
        <v>86.543161778233696</v>
      </c>
      <c r="AN2768">
        <v>0.99999997523347495</v>
      </c>
    </row>
    <row r="2769" spans="1:40" x14ac:dyDescent="0.25">
      <c r="A2769" t="str">
        <f>"20190312154607788"</f>
        <v>20190312154607788</v>
      </c>
      <c r="B2769" t="str">
        <f>"1552376767779642"</f>
        <v>1552376767779642</v>
      </c>
      <c r="C2769" t="s">
        <v>40</v>
      </c>
      <c r="D2769">
        <v>4.4438110000000002</v>
      </c>
      <c r="E2769">
        <v>0.51404649999999996</v>
      </c>
      <c r="F2769" t="s">
        <v>57</v>
      </c>
      <c r="G2769">
        <v>-302.38929999999999</v>
      </c>
      <c r="H2769" s="1">
        <v>2.643048E-6</v>
      </c>
      <c r="I2769">
        <v>207.65649999999999</v>
      </c>
      <c r="J2769">
        <v>-376.02769999999998</v>
      </c>
      <c r="K2769">
        <v>1.1084210000000001</v>
      </c>
      <c r="L2769">
        <v>215.0692</v>
      </c>
      <c r="M2769">
        <v>0.99986430000000004</v>
      </c>
      <c r="N2769">
        <v>0</v>
      </c>
      <c r="O2769">
        <v>-1.3942009999999999E-2</v>
      </c>
      <c r="P2769">
        <v>0.99718609999999996</v>
      </c>
      <c r="Q2769">
        <v>7.3731159999999999E-3</v>
      </c>
      <c r="R2769">
        <v>-7.4603559999999999E-2</v>
      </c>
      <c r="S2769">
        <v>2.98645</v>
      </c>
      <c r="T2769">
        <v>-4.4668670000000001E-2</v>
      </c>
      <c r="U2769">
        <v>-0.29899599999999998</v>
      </c>
      <c r="V2769">
        <v>6.0699330000000003E-2</v>
      </c>
      <c r="W2769">
        <v>1.6107639999999999E-2</v>
      </c>
      <c r="X2769">
        <v>0.99802610000000003</v>
      </c>
      <c r="Y2769">
        <v>8.5728689999999996E-2</v>
      </c>
      <c r="Z2769">
        <v>-4.3152529999999998E-4</v>
      </c>
      <c r="AA2769">
        <v>0.99631840000000005</v>
      </c>
      <c r="AB2769">
        <v>46</v>
      </c>
      <c r="AC2769">
        <v>73.638399999999905</v>
      </c>
      <c r="AD2769">
        <v>-1.1084183569520001</v>
      </c>
      <c r="AE2769">
        <v>-7.4127000000000001</v>
      </c>
      <c r="AF2769">
        <v>6.3838407660814704</v>
      </c>
      <c r="AG2769">
        <v>-1.1084183569520001</v>
      </c>
      <c r="AH2769">
        <v>73.718059502876898</v>
      </c>
      <c r="AI2769">
        <v>90.858217974000794</v>
      </c>
      <c r="AJ2769">
        <v>85.050644246619797</v>
      </c>
      <c r="AK2769">
        <v>74.002258823973804</v>
      </c>
      <c r="AL2769">
        <v>89.0770602787711</v>
      </c>
      <c r="AM2769">
        <v>86.519593247936498</v>
      </c>
      <c r="AN2769">
        <v>0.99999998050501404</v>
      </c>
    </row>
    <row r="2770" spans="1:40" x14ac:dyDescent="0.25">
      <c r="A2770" t="str">
        <f>"20190312154607810"</f>
        <v>20190312154607810</v>
      </c>
      <c r="B2770" t="str">
        <f>"1552376767799547"</f>
        <v>1552376767799547</v>
      </c>
      <c r="C2770" t="s">
        <v>40</v>
      </c>
      <c r="D2770">
        <v>4.4513680000000004</v>
      </c>
      <c r="E2770">
        <v>0.51648859999999996</v>
      </c>
      <c r="F2770" t="s">
        <v>57</v>
      </c>
      <c r="G2770">
        <v>-300.553</v>
      </c>
      <c r="H2770" s="1">
        <v>3.321184E-6</v>
      </c>
      <c r="I2770">
        <v>206.63810000000001</v>
      </c>
      <c r="J2770">
        <v>-375.58780000000002</v>
      </c>
      <c r="K2770">
        <v>1.1084419999999999</v>
      </c>
      <c r="L2770">
        <v>215.06309999999999</v>
      </c>
      <c r="M2770">
        <v>0.99986379999999997</v>
      </c>
      <c r="N2770">
        <v>0</v>
      </c>
      <c r="O2770">
        <v>-1.397749E-2</v>
      </c>
      <c r="P2770">
        <v>0.99714979999999998</v>
      </c>
      <c r="Q2770">
        <v>6.8595829999999998E-3</v>
      </c>
      <c r="R2770">
        <v>-7.5138079999999996E-2</v>
      </c>
      <c r="S2770">
        <v>2.9837950000000002</v>
      </c>
      <c r="T2770">
        <v>-4.3819900000000002E-2</v>
      </c>
      <c r="U2770">
        <v>-0.33331300000000003</v>
      </c>
      <c r="V2770">
        <v>6.1197689999999999E-2</v>
      </c>
      <c r="W2770">
        <v>1.5613230000000001E-2</v>
      </c>
      <c r="X2770">
        <v>0.99800350000000004</v>
      </c>
      <c r="Y2770">
        <v>9.7105880000000006E-2</v>
      </c>
      <c r="Z2770">
        <v>-5.0620929999999997E-4</v>
      </c>
      <c r="AA2770">
        <v>0.99527390000000004</v>
      </c>
      <c r="AB2770">
        <v>46</v>
      </c>
      <c r="AC2770">
        <v>75.034800000000004</v>
      </c>
      <c r="AD2770">
        <v>-1.1084386788159999</v>
      </c>
      <c r="AE2770">
        <v>-8.4249999999999794</v>
      </c>
      <c r="AF2770">
        <v>7.3737492674405898</v>
      </c>
      <c r="AG2770">
        <v>-1.1084386788159999</v>
      </c>
      <c r="AH2770">
        <v>75.129043513639701</v>
      </c>
      <c r="AI2770">
        <v>90.841227517827306</v>
      </c>
      <c r="AJ2770">
        <v>84.394499342536193</v>
      </c>
      <c r="AK2770">
        <v>75.498172122496698</v>
      </c>
      <c r="AL2770">
        <v>89.105391429552299</v>
      </c>
      <c r="AM2770">
        <v>86.491009892293903</v>
      </c>
      <c r="AN2770">
        <v>0.99999995811230802</v>
      </c>
    </row>
    <row r="2771" spans="1:40" x14ac:dyDescent="0.25">
      <c r="A2771" t="str">
        <f>"20190312154607843"</f>
        <v>20190312154607843</v>
      </c>
      <c r="B2771" t="str">
        <f>"1552376767839562"</f>
        <v>1552376767839562</v>
      </c>
      <c r="C2771" t="s">
        <v>40</v>
      </c>
      <c r="D2771">
        <v>4.4711720000000001</v>
      </c>
      <c r="E2771">
        <v>0.51929320000000001</v>
      </c>
      <c r="F2771" t="s">
        <v>57</v>
      </c>
      <c r="G2771">
        <v>-304.60079999999999</v>
      </c>
      <c r="H2771" s="1">
        <v>2.4263010000000002E-6</v>
      </c>
      <c r="I2771">
        <v>206.6283</v>
      </c>
      <c r="J2771">
        <v>-374.89960000000002</v>
      </c>
      <c r="K2771">
        <v>1.1084639999999999</v>
      </c>
      <c r="L2771">
        <v>215.05350000000001</v>
      </c>
      <c r="M2771">
        <v>0.99986299999999995</v>
      </c>
      <c r="N2771">
        <v>0</v>
      </c>
      <c r="O2771">
        <v>-1.401353E-2</v>
      </c>
      <c r="P2771">
        <v>0.99708070000000004</v>
      </c>
      <c r="Q2771">
        <v>6.7575509999999997E-3</v>
      </c>
      <c r="R2771">
        <v>-7.6056940000000003E-2</v>
      </c>
      <c r="S2771">
        <v>2.9822389999999999</v>
      </c>
      <c r="T2771">
        <v>-4.6566719999999999E-2</v>
      </c>
      <c r="U2771">
        <v>-0.35435489999999997</v>
      </c>
      <c r="V2771">
        <v>6.2080580000000003E-2</v>
      </c>
      <c r="W2771">
        <v>1.553885E-2</v>
      </c>
      <c r="X2771">
        <v>0.99795020000000001</v>
      </c>
      <c r="Y2771">
        <v>0.1040532</v>
      </c>
      <c r="Z2771">
        <v>-5.9148779999999997E-4</v>
      </c>
      <c r="AA2771">
        <v>0.9945716</v>
      </c>
      <c r="AB2771">
        <v>46</v>
      </c>
      <c r="AC2771">
        <v>70.2988</v>
      </c>
      <c r="AD2771">
        <v>-1.108461573699</v>
      </c>
      <c r="AE2771">
        <v>-8.4252000000000091</v>
      </c>
      <c r="AF2771">
        <v>7.43737712290479</v>
      </c>
      <c r="AG2771">
        <v>-1.108461573699</v>
      </c>
      <c r="AH2771">
        <v>70.392714303875294</v>
      </c>
      <c r="AI2771">
        <v>90.897159094665099</v>
      </c>
      <c r="AJ2771">
        <v>83.968762000260895</v>
      </c>
      <c r="AK2771">
        <v>70.793202304993102</v>
      </c>
      <c r="AL2771">
        <v>89.109653669081396</v>
      </c>
      <c r="AM2771">
        <v>86.440325822724901</v>
      </c>
      <c r="AN2771">
        <v>1.00000002797624</v>
      </c>
    </row>
    <row r="2772" spans="1:40" x14ac:dyDescent="0.25">
      <c r="A2772" t="str">
        <f>"20190312154607864"</f>
        <v>20190312154607864</v>
      </c>
      <c r="B2772" t="str">
        <f>"1552376767860059"</f>
        <v>1552376767860059</v>
      </c>
      <c r="C2772" t="s">
        <v>40</v>
      </c>
      <c r="D2772">
        <v>4.4787860000000004</v>
      </c>
      <c r="E2772">
        <v>0.52016119999999999</v>
      </c>
      <c r="F2772" t="s">
        <v>57</v>
      </c>
      <c r="G2772">
        <v>-313.84870000000001</v>
      </c>
      <c r="H2772">
        <v>7.9999429999999996E-2</v>
      </c>
      <c r="I2772">
        <v>207.28360000000001</v>
      </c>
      <c r="J2772">
        <v>-374.44299999999998</v>
      </c>
      <c r="K2772">
        <v>1.108482</v>
      </c>
      <c r="L2772">
        <v>215.047</v>
      </c>
      <c r="M2772">
        <v>0.99986260000000005</v>
      </c>
      <c r="N2772">
        <v>0</v>
      </c>
      <c r="O2772">
        <v>-1.402786E-2</v>
      </c>
      <c r="P2772">
        <v>0.99707060000000003</v>
      </c>
      <c r="Q2772">
        <v>6.5674799999999997E-3</v>
      </c>
      <c r="R2772">
        <v>-7.620296E-2</v>
      </c>
      <c r="S2772">
        <v>2.9802249999999999</v>
      </c>
      <c r="T2772">
        <v>-5.0204869999999999E-2</v>
      </c>
      <c r="U2772">
        <v>-0.37928770000000001</v>
      </c>
      <c r="V2772">
        <v>6.2211860000000001E-2</v>
      </c>
      <c r="W2772">
        <v>1.536768E-2</v>
      </c>
      <c r="X2772">
        <v>0.99794470000000002</v>
      </c>
      <c r="Y2772">
        <v>0.1123075</v>
      </c>
      <c r="Z2772">
        <v>-7.0680199999999997E-4</v>
      </c>
      <c r="AA2772">
        <v>0.99367329999999998</v>
      </c>
      <c r="AB2772">
        <v>47</v>
      </c>
      <c r="AC2772">
        <v>60.594299999999997</v>
      </c>
      <c r="AD2772">
        <v>-1.02848257</v>
      </c>
      <c r="AE2772">
        <v>-7.7633999999999901</v>
      </c>
      <c r="AF2772">
        <v>6.9106358068253897</v>
      </c>
      <c r="AG2772">
        <v>-1.02848257</v>
      </c>
      <c r="AH2772">
        <v>60.680046400003597</v>
      </c>
      <c r="AI2772">
        <v>90.9647933362304</v>
      </c>
      <c r="AJ2772">
        <v>83.502779797903798</v>
      </c>
      <c r="AK2772">
        <v>61.080951979794499</v>
      </c>
      <c r="AL2772">
        <v>89.119462180377695</v>
      </c>
      <c r="AM2772">
        <v>86.4327980905841</v>
      </c>
      <c r="AN2772">
        <v>1.0000000526856601</v>
      </c>
    </row>
    <row r="2773" spans="1:40" x14ac:dyDescent="0.25">
      <c r="A2773" t="str">
        <f>"20190312154607886"</f>
        <v>20190312154607886</v>
      </c>
      <c r="B2773" t="str">
        <f>"1552376767879578"</f>
        <v>1552376767879578</v>
      </c>
      <c r="C2773" t="s">
        <v>40</v>
      </c>
      <c r="D2773">
        <v>4.4952160000000001</v>
      </c>
      <c r="E2773">
        <v>0.52077229999999997</v>
      </c>
      <c r="F2773" t="s">
        <v>57</v>
      </c>
      <c r="G2773">
        <v>-315.35840000000002</v>
      </c>
      <c r="H2773">
        <v>7.9999310000000004E-2</v>
      </c>
      <c r="I2773">
        <v>207.3792</v>
      </c>
      <c r="J2773">
        <v>-373.9853</v>
      </c>
      <c r="K2773">
        <v>1.108495</v>
      </c>
      <c r="L2773">
        <v>215.04060000000001</v>
      </c>
      <c r="M2773">
        <v>0.99986240000000004</v>
      </c>
      <c r="N2773">
        <v>0</v>
      </c>
      <c r="O2773">
        <v>-1.4037920000000001E-2</v>
      </c>
      <c r="P2773">
        <v>0.99709449999999999</v>
      </c>
      <c r="Q2773">
        <v>6.8263619999999999E-3</v>
      </c>
      <c r="R2773">
        <v>-7.5869720000000002E-2</v>
      </c>
      <c r="S2773">
        <v>2.9796140000000002</v>
      </c>
      <c r="T2773">
        <v>-5.1866049999999997E-2</v>
      </c>
      <c r="U2773">
        <v>-0.38668819999999998</v>
      </c>
      <c r="V2773">
        <v>6.1867800000000001E-2</v>
      </c>
      <c r="W2773">
        <v>1.564422E-2</v>
      </c>
      <c r="X2773">
        <v>0.99796180000000001</v>
      </c>
      <c r="Y2773">
        <v>0.1147493</v>
      </c>
      <c r="Z2773">
        <v>-7.5120669999999897E-4</v>
      </c>
      <c r="AA2773">
        <v>0.9933942</v>
      </c>
      <c r="AB2773">
        <v>47</v>
      </c>
      <c r="AC2773">
        <v>58.6268999999999</v>
      </c>
      <c r="AD2773">
        <v>-1.02849569</v>
      </c>
      <c r="AE2773">
        <v>-7.6614000000000102</v>
      </c>
      <c r="AF2773">
        <v>6.8355447549956398</v>
      </c>
      <c r="AG2773">
        <v>-1.02849569</v>
      </c>
      <c r="AH2773">
        <v>58.710911546016703</v>
      </c>
      <c r="AI2773">
        <v>90.996870487376697</v>
      </c>
      <c r="AJ2773">
        <v>83.359113714463604</v>
      </c>
      <c r="AK2773">
        <v>59.116441114516398</v>
      </c>
      <c r="AL2773">
        <v>89.103615707967094</v>
      </c>
      <c r="AM2773">
        <v>86.452536456851405</v>
      </c>
      <c r="AN2773">
        <v>1.0000000602777399</v>
      </c>
    </row>
    <row r="2774" spans="1:40" x14ac:dyDescent="0.25">
      <c r="A2774" t="str">
        <f>"20190312154607909"</f>
        <v>20190312154607909</v>
      </c>
      <c r="B2774" t="str">
        <f>"1552376767900074"</f>
        <v>1552376767900074</v>
      </c>
      <c r="C2774" t="s">
        <v>40</v>
      </c>
      <c r="D2774">
        <v>4.5229609999999996</v>
      </c>
      <c r="E2774">
        <v>0.52127760000000001</v>
      </c>
      <c r="F2774" t="s">
        <v>57</v>
      </c>
      <c r="G2774">
        <v>-315.5883</v>
      </c>
      <c r="H2774">
        <v>7.9999269999999997E-2</v>
      </c>
      <c r="I2774">
        <v>207.38640000000001</v>
      </c>
      <c r="J2774">
        <v>-373.50720000000001</v>
      </c>
      <c r="K2774">
        <v>1.108506</v>
      </c>
      <c r="L2774">
        <v>215.03389999999999</v>
      </c>
      <c r="M2774">
        <v>0.99986209999999998</v>
      </c>
      <c r="N2774">
        <v>0</v>
      </c>
      <c r="O2774">
        <v>-1.4045490000000001E-2</v>
      </c>
      <c r="P2774">
        <v>0.99710109999999996</v>
      </c>
      <c r="Q2774">
        <v>7.4518850000000001E-3</v>
      </c>
      <c r="R2774">
        <v>-7.5725639999999997E-2</v>
      </c>
      <c r="S2774">
        <v>2.9794010000000002</v>
      </c>
      <c r="T2774">
        <v>-5.2473659999999998E-2</v>
      </c>
      <c r="U2774">
        <v>-0.39051819999999998</v>
      </c>
      <c r="V2774">
        <v>6.1715560000000003E-2</v>
      </c>
      <c r="W2774">
        <v>1.6288819999999999E-2</v>
      </c>
      <c r="X2774">
        <v>0.99796090000000004</v>
      </c>
      <c r="Y2774">
        <v>0.11600580000000001</v>
      </c>
      <c r="Z2774">
        <v>-7.7088199999999997E-4</v>
      </c>
      <c r="AA2774">
        <v>0.99324820000000003</v>
      </c>
      <c r="AB2774">
        <v>47</v>
      </c>
      <c r="AC2774">
        <v>57.918900000000001</v>
      </c>
      <c r="AD2774">
        <v>-1.0285067299999999</v>
      </c>
      <c r="AE2774">
        <v>-7.6474999999999698</v>
      </c>
      <c r="AF2774">
        <v>6.8310971253020201</v>
      </c>
      <c r="AG2774">
        <v>-1.0285067299999999</v>
      </c>
      <c r="AH2774">
        <v>58.002626462047097</v>
      </c>
      <c r="AI2774">
        <v>91.008895122919796</v>
      </c>
      <c r="AJ2774">
        <v>83.283090922595804</v>
      </c>
      <c r="AK2774">
        <v>58.4125533641933</v>
      </c>
      <c r="AL2774">
        <v>89.066678129111807</v>
      </c>
      <c r="AM2774">
        <v>86.461240416313501</v>
      </c>
      <c r="AN2774">
        <v>1.00000004696595</v>
      </c>
    </row>
    <row r="2775" spans="1:40" x14ac:dyDescent="0.25">
      <c r="A2775" t="str">
        <f>"20190312154607932"</f>
        <v>20190312154607932</v>
      </c>
      <c r="B2775" t="str">
        <f>"1552376767919598"</f>
        <v>1552376767919598</v>
      </c>
      <c r="C2775" t="s">
        <v>40</v>
      </c>
      <c r="D2775">
        <v>4.5479979999999998</v>
      </c>
      <c r="E2775">
        <v>0.52173000000000003</v>
      </c>
      <c r="F2775" t="s">
        <v>57</v>
      </c>
      <c r="G2775">
        <v>-314.60750000000002</v>
      </c>
      <c r="H2775">
        <v>7.9999399999999998E-2</v>
      </c>
      <c r="I2775">
        <v>207.2473</v>
      </c>
      <c r="J2775">
        <v>-373.0437</v>
      </c>
      <c r="K2775">
        <v>1.1085179999999999</v>
      </c>
      <c r="L2775">
        <v>215.0274</v>
      </c>
      <c r="M2775">
        <v>0.99986200000000003</v>
      </c>
      <c r="N2775">
        <v>0</v>
      </c>
      <c r="O2775">
        <v>-1.4051060000000001E-2</v>
      </c>
      <c r="P2775">
        <v>0.99715699999999996</v>
      </c>
      <c r="Q2775">
        <v>8.3950550000000002E-3</v>
      </c>
      <c r="R2775">
        <v>-7.4883829999999998E-2</v>
      </c>
      <c r="S2775">
        <v>2.9791560000000001</v>
      </c>
      <c r="T2775">
        <v>-5.2022100000000002E-2</v>
      </c>
      <c r="U2775">
        <v>-0.39384459999999999</v>
      </c>
      <c r="V2775">
        <v>6.0867490000000003E-2</v>
      </c>
      <c r="W2775">
        <v>1.7250459999999999E-2</v>
      </c>
      <c r="X2775">
        <v>0.99799680000000002</v>
      </c>
      <c r="Y2775">
        <v>0.117101</v>
      </c>
      <c r="Z2775">
        <v>-7.736787E-4</v>
      </c>
      <c r="AA2775">
        <v>0.99311970000000005</v>
      </c>
      <c r="AB2775">
        <v>47</v>
      </c>
      <c r="AC2775">
        <v>58.4361999999999</v>
      </c>
      <c r="AD2775">
        <v>-1.0285185999999999</v>
      </c>
      <c r="AE2775">
        <v>-7.7801</v>
      </c>
      <c r="AF2775">
        <v>6.9560917174096302</v>
      </c>
      <c r="AG2775">
        <v>-1.0285185999999999</v>
      </c>
      <c r="AH2775">
        <v>58.521940151122301</v>
      </c>
      <c r="AI2775">
        <v>90.999828488350403</v>
      </c>
      <c r="AJ2775">
        <v>83.221457322756805</v>
      </c>
      <c r="AK2775">
        <v>58.942875239871903</v>
      </c>
      <c r="AL2775">
        <v>89.011572441777901</v>
      </c>
      <c r="AM2775">
        <v>86.509872800565105</v>
      </c>
      <c r="AN2775">
        <v>1.00000002125967</v>
      </c>
    </row>
    <row r="2776" spans="1:40" x14ac:dyDescent="0.25">
      <c r="A2776" t="str">
        <f>"20190312154607955"</f>
        <v>20190312154607955</v>
      </c>
      <c r="B2776" t="str">
        <f>"1552376767949850"</f>
        <v>1552376767949850</v>
      </c>
      <c r="C2776" t="s">
        <v>40</v>
      </c>
      <c r="D2776">
        <v>4.5761900000000004</v>
      </c>
      <c r="E2776">
        <v>0.52225319999999997</v>
      </c>
      <c r="F2776" t="s">
        <v>57</v>
      </c>
      <c r="G2776">
        <v>-311.75310000000002</v>
      </c>
      <c r="H2776">
        <v>7.9999360000000005E-2</v>
      </c>
      <c r="I2776">
        <v>206.8998</v>
      </c>
      <c r="J2776">
        <v>-372.54790000000003</v>
      </c>
      <c r="K2776">
        <v>1.1085320000000001</v>
      </c>
      <c r="L2776">
        <v>215.0204</v>
      </c>
      <c r="M2776">
        <v>0.99986169999999996</v>
      </c>
      <c r="N2776">
        <v>0</v>
      </c>
      <c r="O2776">
        <v>-1.4054489999999999E-2</v>
      </c>
      <c r="P2776">
        <v>0.99718680000000004</v>
      </c>
      <c r="Q2776">
        <v>8.2723459999999999E-3</v>
      </c>
      <c r="R2776">
        <v>-7.449923E-2</v>
      </c>
      <c r="S2776">
        <v>2.9793400000000001</v>
      </c>
      <c r="T2776">
        <v>-4.999638E-2</v>
      </c>
      <c r="U2776">
        <v>-0.3950806</v>
      </c>
      <c r="V2776">
        <v>6.0478610000000002E-2</v>
      </c>
      <c r="W2776">
        <v>1.7146999999999999E-2</v>
      </c>
      <c r="X2776">
        <v>0.99802219999999997</v>
      </c>
      <c r="Y2776">
        <v>0.11749560000000001</v>
      </c>
      <c r="Z2776">
        <v>-7.4673070000000005E-4</v>
      </c>
      <c r="AA2776">
        <v>0.99307310000000004</v>
      </c>
      <c r="AB2776">
        <v>47</v>
      </c>
      <c r="AC2776">
        <v>60.794800000000002</v>
      </c>
      <c r="AD2776">
        <v>-1.0285326400000001</v>
      </c>
      <c r="AE2776">
        <v>-8.1205999999999907</v>
      </c>
      <c r="AF2776">
        <v>7.2632817173186597</v>
      </c>
      <c r="AG2776">
        <v>-1.0285326400000001</v>
      </c>
      <c r="AH2776">
        <v>60.885808883679601</v>
      </c>
      <c r="AI2776">
        <v>90.960982494363407</v>
      </c>
      <c r="AJ2776">
        <v>83.197134313895802</v>
      </c>
      <c r="AK2776">
        <v>61.326135245233303</v>
      </c>
      <c r="AL2776">
        <v>89.017501115862203</v>
      </c>
      <c r="AM2776">
        <v>86.532204536741503</v>
      </c>
      <c r="AN2776">
        <v>0.99999999678468598</v>
      </c>
    </row>
    <row r="2777" spans="1:40" x14ac:dyDescent="0.25">
      <c r="A2777" t="str">
        <f>"20190312154607979"</f>
        <v>20190312154607979</v>
      </c>
      <c r="B2777" t="str">
        <f>"1552376767969370"</f>
        <v>1552376767969370</v>
      </c>
      <c r="C2777" t="s">
        <v>40</v>
      </c>
      <c r="D2777">
        <v>4.6201400000000001</v>
      </c>
      <c r="E2777">
        <v>0.52256729999999996</v>
      </c>
      <c r="F2777" t="s">
        <v>57</v>
      </c>
      <c r="G2777">
        <v>-313.08640000000003</v>
      </c>
      <c r="H2777">
        <v>7.999945E-2</v>
      </c>
      <c r="I2777">
        <v>207.07320000000001</v>
      </c>
      <c r="J2777">
        <v>-372.06139999999999</v>
      </c>
      <c r="K2777">
        <v>1.108544</v>
      </c>
      <c r="L2777">
        <v>215.01349999999999</v>
      </c>
      <c r="M2777">
        <v>0.99986169999999996</v>
      </c>
      <c r="N2777">
        <v>0</v>
      </c>
      <c r="O2777">
        <v>-1.4049320000000001E-2</v>
      </c>
      <c r="P2777">
        <v>0.99723010000000001</v>
      </c>
      <c r="Q2777">
        <v>8.9390709999999998E-3</v>
      </c>
      <c r="R2777">
        <v>-7.384259E-2</v>
      </c>
      <c r="S2777">
        <v>2.979187</v>
      </c>
      <c r="T2777">
        <v>-5.1532389999999997E-2</v>
      </c>
      <c r="U2777">
        <v>-0.39817809999999998</v>
      </c>
      <c r="V2777">
        <v>5.9826079999999997E-2</v>
      </c>
      <c r="W2777">
        <v>1.7832589999999999E-2</v>
      </c>
      <c r="X2777">
        <v>0.99804950000000003</v>
      </c>
      <c r="Y2777">
        <v>0.1185208</v>
      </c>
      <c r="Z2777">
        <v>-7.7857149999999999E-4</v>
      </c>
      <c r="AA2777">
        <v>0.99295129999999998</v>
      </c>
      <c r="AB2777">
        <v>47</v>
      </c>
      <c r="AC2777">
        <v>58.974999999999902</v>
      </c>
      <c r="AD2777">
        <v>-1.0285445499999999</v>
      </c>
      <c r="AE2777">
        <v>-7.9402999999999704</v>
      </c>
      <c r="AF2777">
        <v>7.1088010432972997</v>
      </c>
      <c r="AG2777">
        <v>-1.0285445499999999</v>
      </c>
      <c r="AH2777">
        <v>59.063094033444202</v>
      </c>
      <c r="AI2777">
        <v>90.990519804943204</v>
      </c>
      <c r="AJ2777">
        <v>83.136925290424401</v>
      </c>
      <c r="AK2777">
        <v>59.498252352216099</v>
      </c>
      <c r="AL2777">
        <v>88.978213677848103</v>
      </c>
      <c r="AM2777">
        <v>86.5696238605601</v>
      </c>
      <c r="AN2777">
        <v>0.99999998278226199</v>
      </c>
    </row>
    <row r="2778" spans="1:40" x14ac:dyDescent="0.25">
      <c r="A2778" t="str">
        <f>"20190312154608002"</f>
        <v>20190312154608002</v>
      </c>
      <c r="B2778" t="str">
        <f>"1552376767989867"</f>
        <v>1552376767989867</v>
      </c>
      <c r="C2778" t="s">
        <v>40</v>
      </c>
      <c r="D2778">
        <v>4.5686859999999996</v>
      </c>
      <c r="E2778">
        <v>0.52284339999999996</v>
      </c>
      <c r="F2778" t="s">
        <v>57</v>
      </c>
      <c r="G2778">
        <v>-311.7636</v>
      </c>
      <c r="H2778">
        <v>7.999937E-2</v>
      </c>
      <c r="I2778">
        <v>206.9504</v>
      </c>
      <c r="J2778">
        <v>-371.56709999999998</v>
      </c>
      <c r="K2778">
        <v>1.1085609999999999</v>
      </c>
      <c r="L2778">
        <v>215.00659999999999</v>
      </c>
      <c r="M2778">
        <v>0.99986189999999997</v>
      </c>
      <c r="N2778">
        <v>0</v>
      </c>
      <c r="O2778">
        <v>-1.402489E-2</v>
      </c>
      <c r="P2778">
        <v>0.99723649999999997</v>
      </c>
      <c r="Q2778">
        <v>8.7145399999999998E-3</v>
      </c>
      <c r="R2778">
        <v>-7.3781970000000002E-2</v>
      </c>
      <c r="S2778">
        <v>2.9792480000000001</v>
      </c>
      <c r="T2778">
        <v>-5.0819280000000001E-2</v>
      </c>
      <c r="U2778">
        <v>-0.39839170000000002</v>
      </c>
      <c r="V2778">
        <v>5.9789059999999998E-2</v>
      </c>
      <c r="W2778">
        <v>1.762758E-2</v>
      </c>
      <c r="X2778">
        <v>0.99805540000000004</v>
      </c>
      <c r="Y2778">
        <v>0.1186128</v>
      </c>
      <c r="Z2778">
        <v>-7.6897479999999904E-4</v>
      </c>
      <c r="AA2778">
        <v>0.9929403</v>
      </c>
      <c r="AB2778">
        <v>47</v>
      </c>
      <c r="AC2778">
        <v>59.8034999999999</v>
      </c>
      <c r="AD2778">
        <v>-1.02856163</v>
      </c>
      <c r="AE2778">
        <v>-8.0561999999999898</v>
      </c>
      <c r="AF2778">
        <v>7.2145406676583796</v>
      </c>
      <c r="AG2778">
        <v>-1.02856163</v>
      </c>
      <c r="AH2778">
        <v>59.893208440822796</v>
      </c>
      <c r="AI2778">
        <v>90.976798908811503</v>
      </c>
      <c r="AJ2778">
        <v>83.131430167714498</v>
      </c>
      <c r="AK2778">
        <v>60.334931452748499</v>
      </c>
      <c r="AL2778">
        <v>88.989961772499399</v>
      </c>
      <c r="AM2778">
        <v>86.571761709102503</v>
      </c>
      <c r="AN2778">
        <v>1.0000000223707399</v>
      </c>
    </row>
    <row r="2779" spans="1:40" x14ac:dyDescent="0.25">
      <c r="A2779" t="str">
        <f>"20190312154608043"</f>
        <v>20190312154608043</v>
      </c>
      <c r="B2779" t="str">
        <f>"1552376768039642"</f>
        <v>1552376768039642</v>
      </c>
      <c r="C2779" t="s">
        <v>40</v>
      </c>
      <c r="D2779">
        <v>4.6227159999999996</v>
      </c>
      <c r="E2779">
        <v>0.52342370000000005</v>
      </c>
      <c r="F2779" t="s">
        <v>57</v>
      </c>
      <c r="G2779">
        <v>-312.7423</v>
      </c>
      <c r="H2779">
        <v>7.999945E-2</v>
      </c>
      <c r="I2779">
        <v>207.0976</v>
      </c>
      <c r="J2779">
        <v>-370.70429999999999</v>
      </c>
      <c r="K2779">
        <v>1.1085959999999999</v>
      </c>
      <c r="L2779">
        <v>214.99459999999999</v>
      </c>
      <c r="M2779">
        <v>0.99986330000000001</v>
      </c>
      <c r="N2779">
        <v>0</v>
      </c>
      <c r="O2779">
        <v>-1.390398E-2</v>
      </c>
      <c r="P2779">
        <v>0.99721439999999995</v>
      </c>
      <c r="Q2779">
        <v>8.2698219999999996E-3</v>
      </c>
      <c r="R2779">
        <v>-7.412763E-2</v>
      </c>
      <c r="S2779">
        <v>2.979095</v>
      </c>
      <c r="T2779">
        <v>-5.208993E-2</v>
      </c>
      <c r="U2779">
        <v>-0.40054319999999999</v>
      </c>
      <c r="V2779">
        <v>6.0253800000000003E-2</v>
      </c>
      <c r="W2779">
        <v>1.7220429999999998E-2</v>
      </c>
      <c r="X2779">
        <v>0.99803450000000005</v>
      </c>
      <c r="Y2779">
        <v>0.11944299999999999</v>
      </c>
      <c r="Z2779">
        <v>-7.9753020000000003E-4</v>
      </c>
      <c r="AA2779">
        <v>0.99284079999999997</v>
      </c>
      <c r="AB2779">
        <v>47</v>
      </c>
      <c r="AC2779">
        <v>57.961999999999897</v>
      </c>
      <c r="AD2779">
        <v>-1.0285965499999901</v>
      </c>
      <c r="AE2779">
        <v>-7.8969999999999896</v>
      </c>
      <c r="AF2779">
        <v>7.0881103004473101</v>
      </c>
      <c r="AG2779">
        <v>-1.0285965499999901</v>
      </c>
      <c r="AH2779">
        <v>58.048253243280897</v>
      </c>
      <c r="AI2779">
        <v>91.007673777383104</v>
      </c>
      <c r="AJ2779">
        <v>83.038236023237303</v>
      </c>
      <c r="AK2779">
        <v>58.488452049015997</v>
      </c>
      <c r="AL2779">
        <v>89.0132932325279</v>
      </c>
      <c r="AM2779">
        <v>86.545106157367499</v>
      </c>
      <c r="AN2779">
        <v>0.99999996340703601</v>
      </c>
    </row>
    <row r="2780" spans="1:40" x14ac:dyDescent="0.25">
      <c r="A2780" t="str">
        <f>"20190312154608065"</f>
        <v>20190312154608065</v>
      </c>
      <c r="B2780" t="str">
        <f>"1552376768060139"</f>
        <v>1552376768060139</v>
      </c>
      <c r="C2780" t="s">
        <v>40</v>
      </c>
      <c r="D2780">
        <v>4.6750619999999996</v>
      </c>
      <c r="E2780">
        <v>0.52336070000000001</v>
      </c>
      <c r="F2780" t="s">
        <v>57</v>
      </c>
      <c r="G2780">
        <v>-316.44279999999998</v>
      </c>
      <c r="H2780">
        <v>7.9999100000000004E-2</v>
      </c>
      <c r="I2780">
        <v>207.5986</v>
      </c>
      <c r="J2780">
        <v>-370.22359999999998</v>
      </c>
      <c r="K2780">
        <v>1.108627</v>
      </c>
      <c r="L2780">
        <v>214.988</v>
      </c>
      <c r="M2780">
        <v>0.99986459999999999</v>
      </c>
      <c r="N2780">
        <v>0</v>
      </c>
      <c r="O2780">
        <v>-1.378834E-2</v>
      </c>
      <c r="P2780">
        <v>0.99722120000000003</v>
      </c>
      <c r="Q2780">
        <v>7.5555029999999999E-3</v>
      </c>
      <c r="R2780">
        <v>-7.4114719999999995E-2</v>
      </c>
      <c r="S2780">
        <v>2.9786679999999999</v>
      </c>
      <c r="T2780">
        <v>-5.6464550000000002E-2</v>
      </c>
      <c r="U2780">
        <v>-0.40600589999999998</v>
      </c>
      <c r="V2780">
        <v>6.0354789999999998E-2</v>
      </c>
      <c r="W2780">
        <v>1.653435E-2</v>
      </c>
      <c r="X2780">
        <v>0.99804000000000004</v>
      </c>
      <c r="Y2780">
        <v>0.12136130000000001</v>
      </c>
      <c r="Z2780">
        <v>-8.8479279999999997E-4</v>
      </c>
      <c r="AA2780">
        <v>0.99260800000000005</v>
      </c>
      <c r="AB2780">
        <v>47</v>
      </c>
      <c r="AC2780">
        <v>53.780799999999999</v>
      </c>
      <c r="AD2780">
        <v>-1.0286279</v>
      </c>
      <c r="AE2780">
        <v>-7.3893999999999904</v>
      </c>
      <c r="AF2780">
        <v>6.6447339059035899</v>
      </c>
      <c r="AG2780">
        <v>-1.0286279</v>
      </c>
      <c r="AH2780">
        <v>53.858241530216297</v>
      </c>
      <c r="AI2780">
        <v>91.085916428668895</v>
      </c>
      <c r="AJ2780">
        <v>82.966703076792697</v>
      </c>
      <c r="AK2780">
        <v>54.276336876801501</v>
      </c>
      <c r="AL2780">
        <v>89.052608323015505</v>
      </c>
      <c r="AM2780">
        <v>86.539348576020899</v>
      </c>
      <c r="AN2780">
        <v>0.99999996350293197</v>
      </c>
    </row>
    <row r="2781" spans="1:40" x14ac:dyDescent="0.25">
      <c r="A2781" t="str">
        <f>"20190312154608087"</f>
        <v>20190312154608087</v>
      </c>
      <c r="B2781" t="str">
        <f>"1552376768079658"</f>
        <v>1552376768079658</v>
      </c>
      <c r="C2781" t="s">
        <v>40</v>
      </c>
      <c r="D2781">
        <v>4.678401</v>
      </c>
      <c r="E2781">
        <v>0.51521070000000002</v>
      </c>
      <c r="F2781" t="s">
        <v>57</v>
      </c>
      <c r="G2781">
        <v>-318.86869999999999</v>
      </c>
      <c r="H2781">
        <v>7.9998650000000004E-2</v>
      </c>
      <c r="I2781">
        <v>207.9958</v>
      </c>
      <c r="J2781">
        <v>-369.76389999999998</v>
      </c>
      <c r="K2781">
        <v>1.1086769999999999</v>
      </c>
      <c r="L2781">
        <v>214.98179999999999</v>
      </c>
      <c r="M2781">
        <v>0.99986569999999997</v>
      </c>
      <c r="N2781">
        <v>0</v>
      </c>
      <c r="O2781">
        <v>-1.364251E-2</v>
      </c>
      <c r="P2781">
        <v>0.99716629999999995</v>
      </c>
      <c r="Q2781">
        <v>7.23589E-3</v>
      </c>
      <c r="R2781">
        <v>-7.4881779999999995E-2</v>
      </c>
      <c r="S2781">
        <v>2.9786990000000002</v>
      </c>
      <c r="T2781">
        <v>-5.9662699999999902E-2</v>
      </c>
      <c r="U2781">
        <v>-0.40556340000000002</v>
      </c>
      <c r="V2781">
        <v>6.126678E-2</v>
      </c>
      <c r="W2781">
        <v>1.632219E-2</v>
      </c>
      <c r="X2781">
        <v>0.99798799999999999</v>
      </c>
      <c r="Y2781">
        <v>0.1213577</v>
      </c>
      <c r="Z2781">
        <v>-9.3776649999999999E-4</v>
      </c>
      <c r="AA2781">
        <v>0.99260839999999995</v>
      </c>
      <c r="AB2781">
        <v>47</v>
      </c>
      <c r="AC2781">
        <v>50.895199999999903</v>
      </c>
      <c r="AD2781">
        <v>-1.0286783500000001</v>
      </c>
      <c r="AE2781">
        <v>-6.98599999999999</v>
      </c>
      <c r="AF2781">
        <v>6.2884614895868802</v>
      </c>
      <c r="AG2781">
        <v>-1.0286783500000001</v>
      </c>
      <c r="AH2781">
        <v>50.965338662813402</v>
      </c>
      <c r="AI2781">
        <v>91.147593875787507</v>
      </c>
      <c r="AJ2781">
        <v>82.965996536568497</v>
      </c>
      <c r="AK2781">
        <v>51.362132666674199</v>
      </c>
      <c r="AL2781">
        <v>89.064765908476403</v>
      </c>
      <c r="AM2781">
        <v>86.487003859515298</v>
      </c>
      <c r="AN2781">
        <v>1.0000000401809801</v>
      </c>
    </row>
    <row r="2782" spans="1:40" x14ac:dyDescent="0.25">
      <c r="A2782" t="str">
        <f>"20190312154608110"</f>
        <v>20190312154608110</v>
      </c>
      <c r="B2782" t="str">
        <f>"1552376768100154"</f>
        <v>1552376768100154</v>
      </c>
      <c r="C2782" t="s">
        <v>40</v>
      </c>
      <c r="D2782">
        <v>4.7024369999999998</v>
      </c>
      <c r="E2782">
        <v>0.51553609999999905</v>
      </c>
      <c r="F2782" t="s">
        <v>54</v>
      </c>
      <c r="G2782">
        <v>-336.8347</v>
      </c>
      <c r="H2782" s="1">
        <v>2.2491690000000002E-6</v>
      </c>
      <c r="I2782">
        <v>211.21109999999999</v>
      </c>
      <c r="J2782">
        <v>-369.27460000000002</v>
      </c>
      <c r="K2782">
        <v>1.1087819999999999</v>
      </c>
      <c r="L2782">
        <v>214.9753</v>
      </c>
      <c r="M2782">
        <v>0.99986569999999997</v>
      </c>
      <c r="N2782">
        <v>0</v>
      </c>
      <c r="O2782">
        <v>-1.345212E-2</v>
      </c>
      <c r="P2782">
        <v>0.99714740000000002</v>
      </c>
      <c r="Q2782">
        <v>6.8279169999999898E-3</v>
      </c>
      <c r="R2782">
        <v>-7.5170989999999993E-2</v>
      </c>
      <c r="S2782">
        <v>2.9835820000000002</v>
      </c>
      <c r="T2782">
        <v>-0.10045279999999999</v>
      </c>
      <c r="U2782">
        <v>-0.34164430000000001</v>
      </c>
      <c r="V2782">
        <v>6.1744599999999997E-2</v>
      </c>
      <c r="W2782">
        <v>1.6197280000000001E-2</v>
      </c>
      <c r="X2782">
        <v>0.99796059999999998</v>
      </c>
      <c r="Y2782">
        <v>0.1003405</v>
      </c>
      <c r="Z2782">
        <v>-1.2319500000000001E-3</v>
      </c>
      <c r="AA2782">
        <v>0.99495239999999996</v>
      </c>
      <c r="AB2782">
        <v>47</v>
      </c>
      <c r="AC2782">
        <v>32.439900000000002</v>
      </c>
      <c r="AD2782">
        <v>-1.108779750831</v>
      </c>
      <c r="AE2782">
        <v>-3.76420000000001</v>
      </c>
      <c r="AF2782">
        <v>3.3236236226612799</v>
      </c>
      <c r="AG2782">
        <v>-1.108779750831</v>
      </c>
      <c r="AH2782">
        <v>32.450197218152297</v>
      </c>
      <c r="AI2782">
        <v>91.946782006037694</v>
      </c>
      <c r="AJ2782">
        <v>84.152027011790807</v>
      </c>
      <c r="AK2782">
        <v>32.638798476934497</v>
      </c>
      <c r="AL2782">
        <v>89.071923682460607</v>
      </c>
      <c r="AM2782">
        <v>86.459578440533093</v>
      </c>
      <c r="AN2782">
        <v>1.0000000533304501</v>
      </c>
    </row>
    <row r="2783" spans="1:40" x14ac:dyDescent="0.25">
      <c r="A2783" t="str">
        <f>"20190312154608132"</f>
        <v>20190312154608132</v>
      </c>
      <c r="B2783" t="str">
        <f>"1552376768119676"</f>
        <v>1552376768119676</v>
      </c>
      <c r="C2783" t="s">
        <v>40</v>
      </c>
      <c r="D2783">
        <v>4.6915250000000004</v>
      </c>
      <c r="E2783">
        <v>0.51562540000000001</v>
      </c>
      <c r="F2783" t="s">
        <v>54</v>
      </c>
      <c r="G2783">
        <v>-338.42469999999997</v>
      </c>
      <c r="H2783" s="1">
        <v>3.0866490000000001E-6</v>
      </c>
      <c r="I2783">
        <v>211.40799999999999</v>
      </c>
      <c r="J2783">
        <v>-368.81920000000002</v>
      </c>
      <c r="K2783">
        <v>1.1089209999999901</v>
      </c>
      <c r="L2783">
        <v>214.9693</v>
      </c>
      <c r="M2783">
        <v>0.99986450000000004</v>
      </c>
      <c r="N2783">
        <v>0</v>
      </c>
      <c r="O2783">
        <v>-1.324762E-2</v>
      </c>
      <c r="P2783">
        <v>0.99716570000000004</v>
      </c>
      <c r="Q2783">
        <v>6.5932810000000003E-3</v>
      </c>
      <c r="R2783">
        <v>-7.4951699999999996E-2</v>
      </c>
      <c r="S2783">
        <v>2.9833069999999999</v>
      </c>
      <c r="T2783">
        <v>-0.10722329999999999</v>
      </c>
      <c r="U2783">
        <v>-0.34497070000000002</v>
      </c>
      <c r="V2783">
        <v>6.1727650000000002E-2</v>
      </c>
      <c r="W2783">
        <v>1.6378449999999999E-2</v>
      </c>
      <c r="X2783">
        <v>0.99795869999999998</v>
      </c>
      <c r="Y2783">
        <v>0.1016413</v>
      </c>
      <c r="Z2783">
        <v>-1.3455800000000001E-3</v>
      </c>
      <c r="AA2783">
        <v>0.99482020000000004</v>
      </c>
      <c r="AB2783">
        <v>47</v>
      </c>
      <c r="AC2783">
        <v>30.394500000000001</v>
      </c>
      <c r="AD2783">
        <v>-1.1089179133510001</v>
      </c>
      <c r="AE2783">
        <v>-3.5613000000000099</v>
      </c>
      <c r="AF2783">
        <v>3.1541718019732201</v>
      </c>
      <c r="AG2783">
        <v>-1.1089179133510001</v>
      </c>
      <c r="AH2783">
        <v>30.399097451621099</v>
      </c>
      <c r="AI2783">
        <v>92.078000174039701</v>
      </c>
      <c r="AJ2783">
        <v>84.0762599678947</v>
      </c>
      <c r="AK2783">
        <v>30.5824071087949</v>
      </c>
      <c r="AL2783">
        <v>89.061542037246895</v>
      </c>
      <c r="AM2783">
        <v>86.460541157066302</v>
      </c>
      <c r="AN2783">
        <v>1.0000000616522999</v>
      </c>
    </row>
    <row r="2784" spans="1:40" x14ac:dyDescent="0.25">
      <c r="A2784" t="str">
        <f>"20190312154608156"</f>
        <v>20190312154608156</v>
      </c>
      <c r="B2784" t="str">
        <f>"1552376768149931"</f>
        <v>1552376768149931</v>
      </c>
      <c r="C2784" t="s">
        <v>40</v>
      </c>
      <c r="D2784">
        <v>4.6867739999999998</v>
      </c>
      <c r="E2784">
        <v>0.51593299999999997</v>
      </c>
      <c r="F2784" t="s">
        <v>54</v>
      </c>
      <c r="G2784">
        <v>-338.3535</v>
      </c>
      <c r="H2784" s="1">
        <v>3.047192E-6</v>
      </c>
      <c r="I2784">
        <v>211.44470000000001</v>
      </c>
      <c r="J2784">
        <v>-368.31389999999999</v>
      </c>
      <c r="K2784">
        <v>1.109046</v>
      </c>
      <c r="L2784">
        <v>214.96279999999999</v>
      </c>
      <c r="M2784">
        <v>0.99986350000000002</v>
      </c>
      <c r="N2784">
        <v>0</v>
      </c>
      <c r="O2784">
        <v>-1.2981940000000001E-2</v>
      </c>
      <c r="P2784">
        <v>0.99715949999999998</v>
      </c>
      <c r="Q2784">
        <v>6.4058860000000004E-3</v>
      </c>
      <c r="R2784">
        <v>-7.5047550000000005E-2</v>
      </c>
      <c r="S2784">
        <v>2.983276</v>
      </c>
      <c r="T2784">
        <v>-0.1085882</v>
      </c>
      <c r="U2784">
        <v>-0.34513850000000001</v>
      </c>
      <c r="V2784">
        <v>6.2087379999999998E-2</v>
      </c>
      <c r="W2784">
        <v>1.6645440000000001E-2</v>
      </c>
      <c r="X2784">
        <v>0.99793189999999998</v>
      </c>
      <c r="Y2784">
        <v>0.1019602</v>
      </c>
      <c r="Z2784">
        <v>-1.37811799999999E-3</v>
      </c>
      <c r="AA2784">
        <v>0.99478750000000005</v>
      </c>
      <c r="AB2784">
        <v>47</v>
      </c>
      <c r="AC2784">
        <v>29.9604</v>
      </c>
      <c r="AD2784">
        <v>-1.1090429528079999</v>
      </c>
      <c r="AE2784">
        <v>-3.5180999999999698</v>
      </c>
      <c r="AF2784">
        <v>3.1246157847510898</v>
      </c>
      <c r="AG2784">
        <v>-1.1090429528079999</v>
      </c>
      <c r="AH2784">
        <v>29.9630505427637</v>
      </c>
      <c r="AI2784">
        <v>92.108337854691101</v>
      </c>
      <c r="AJ2784">
        <v>84.046582916936401</v>
      </c>
      <c r="AK2784">
        <v>30.145938331750401</v>
      </c>
      <c r="AL2784">
        <v>89.046242488817597</v>
      </c>
      <c r="AM2784">
        <v>86.439871800067905</v>
      </c>
      <c r="AN2784">
        <v>0.99999999523283301</v>
      </c>
    </row>
    <row r="2785" spans="1:40" x14ac:dyDescent="0.25">
      <c r="A2785" t="str">
        <f>"20190312154608179"</f>
        <v>20190312154608179</v>
      </c>
      <c r="B2785" t="str">
        <f>"1552376768169450"</f>
        <v>1552376768169450</v>
      </c>
      <c r="C2785" t="s">
        <v>40</v>
      </c>
      <c r="D2785">
        <v>4.6923959999999996</v>
      </c>
      <c r="E2785">
        <v>0.51612239999999998</v>
      </c>
      <c r="F2785" t="s">
        <v>54</v>
      </c>
      <c r="G2785">
        <v>-337.63369999999998</v>
      </c>
      <c r="H2785" s="1">
        <v>2.6666590000000002E-6</v>
      </c>
      <c r="I2785">
        <v>211.38669999999999</v>
      </c>
      <c r="J2785">
        <v>-367.83150000000001</v>
      </c>
      <c r="K2785">
        <v>1.1091279999999999</v>
      </c>
      <c r="L2785">
        <v>214.95670000000001</v>
      </c>
      <c r="M2785">
        <v>0.99986359999999996</v>
      </c>
      <c r="N2785">
        <v>0</v>
      </c>
      <c r="O2785">
        <v>-1.269175E-2</v>
      </c>
      <c r="P2785">
        <v>0.99718770000000001</v>
      </c>
      <c r="Q2785">
        <v>6.3390249999999999E-3</v>
      </c>
      <c r="R2785">
        <v>-7.4678259999999996E-2</v>
      </c>
      <c r="S2785">
        <v>2.983063</v>
      </c>
      <c r="T2785">
        <v>-0.107833399999999</v>
      </c>
      <c r="U2785">
        <v>-0.34770200000000001</v>
      </c>
      <c r="V2785">
        <v>6.2005860000000003E-2</v>
      </c>
      <c r="W2785">
        <v>1.6931990000000001E-2</v>
      </c>
      <c r="X2785">
        <v>0.99793209999999999</v>
      </c>
      <c r="Y2785">
        <v>0.10310030000000001</v>
      </c>
      <c r="Z2785">
        <v>-1.399551E-3</v>
      </c>
      <c r="AA2785">
        <v>0.99467000000000005</v>
      </c>
      <c r="AB2785">
        <v>47</v>
      </c>
      <c r="AC2785">
        <v>30.197800000000001</v>
      </c>
      <c r="AD2785">
        <v>-1.1091253333409901</v>
      </c>
      <c r="AE2785">
        <v>-3.5700000000000198</v>
      </c>
      <c r="AF2785">
        <v>3.1821944939562599</v>
      </c>
      <c r="AG2785">
        <v>-1.1091253333409901</v>
      </c>
      <c r="AH2785">
        <v>30.200500760020699</v>
      </c>
      <c r="AI2785">
        <v>92.0916956852124</v>
      </c>
      <c r="AJ2785">
        <v>83.985000146053196</v>
      </c>
      <c r="AK2785">
        <v>30.387937853010602</v>
      </c>
      <c r="AL2785">
        <v>89.029822022531604</v>
      </c>
      <c r="AM2785">
        <v>86.444534918619297</v>
      </c>
      <c r="AN2785">
        <v>0.99999994758505295</v>
      </c>
    </row>
    <row r="2786" spans="1:40" x14ac:dyDescent="0.25">
      <c r="A2786" t="str">
        <f>"20190312154608211"</f>
        <v>20190312154608211</v>
      </c>
      <c r="B2786" t="str">
        <f>"1552376768199707"</f>
        <v>1552376768199707</v>
      </c>
      <c r="C2786" t="s">
        <v>40</v>
      </c>
      <c r="D2786">
        <v>4.704796</v>
      </c>
      <c r="E2786">
        <v>0.51638439999999997</v>
      </c>
      <c r="F2786" t="s">
        <v>54</v>
      </c>
      <c r="G2786">
        <v>-337.10250000000002</v>
      </c>
      <c r="H2786" s="1">
        <v>2.3847889999999999E-6</v>
      </c>
      <c r="I2786">
        <v>211.3683</v>
      </c>
      <c r="J2786">
        <v>-367.15269999999998</v>
      </c>
      <c r="K2786">
        <v>1.109213</v>
      </c>
      <c r="L2786">
        <v>214.9485</v>
      </c>
      <c r="M2786">
        <v>0.99986489999999995</v>
      </c>
      <c r="N2786">
        <v>0</v>
      </c>
      <c r="O2786">
        <v>-1.2249919999999999E-2</v>
      </c>
      <c r="P2786">
        <v>0.99731119999999995</v>
      </c>
      <c r="Q2786">
        <v>6.5039090000000004E-3</v>
      </c>
      <c r="R2786">
        <v>-7.2993840000000004E-2</v>
      </c>
      <c r="S2786">
        <v>2.9830930000000002</v>
      </c>
      <c r="T2786">
        <v>-0.107671</v>
      </c>
      <c r="U2786">
        <v>-0.34835820000000001</v>
      </c>
      <c r="V2786">
        <v>6.0758590000000001E-2</v>
      </c>
      <c r="W2786">
        <v>1.7480260000000001E-2</v>
      </c>
      <c r="X2786">
        <v>0.99799939999999998</v>
      </c>
      <c r="Y2786">
        <v>0.1037539</v>
      </c>
      <c r="Z2786">
        <v>-1.4250459999999999E-3</v>
      </c>
      <c r="AA2786">
        <v>0.99460199999999999</v>
      </c>
      <c r="AB2786">
        <v>47</v>
      </c>
      <c r="AC2786">
        <v>30.050199999999901</v>
      </c>
      <c r="AD2786">
        <v>-1.109210615211</v>
      </c>
      <c r="AE2786">
        <v>-3.5801999999999898</v>
      </c>
      <c r="AF2786">
        <v>3.2074876717314398</v>
      </c>
      <c r="AG2786">
        <v>-1.109210615211</v>
      </c>
      <c r="AH2786">
        <v>30.051433048968399</v>
      </c>
      <c r="AI2786">
        <v>92.101923077664296</v>
      </c>
      <c r="AJ2786">
        <v>83.907698798869404</v>
      </c>
      <c r="AK2786">
        <v>30.242469370900199</v>
      </c>
      <c r="AL2786">
        <v>88.998403848971904</v>
      </c>
      <c r="AM2786">
        <v>86.5161107604916</v>
      </c>
      <c r="AN2786">
        <v>0.99999998407440704</v>
      </c>
    </row>
    <row r="2787" spans="1:40" x14ac:dyDescent="0.25">
      <c r="A2787" t="str">
        <f>"20190312154608233"</f>
        <v>20190312154608233</v>
      </c>
      <c r="B2787" t="str">
        <f>"1552376768229963"</f>
        <v>1552376768229963</v>
      </c>
      <c r="C2787" t="s">
        <v>40</v>
      </c>
      <c r="D2787">
        <v>4.7044750000000004</v>
      </c>
      <c r="E2787">
        <v>0.51658870000000001</v>
      </c>
      <c r="F2787" t="s">
        <v>54</v>
      </c>
      <c r="G2787">
        <v>-335.8963</v>
      </c>
      <c r="H2787" s="1">
        <v>1.7445270000000001E-6</v>
      </c>
      <c r="I2787">
        <v>211.33070000000001</v>
      </c>
      <c r="J2787">
        <v>-366.68020000000001</v>
      </c>
      <c r="K2787">
        <v>1.1092470000000001</v>
      </c>
      <c r="L2787">
        <v>214.94290000000001</v>
      </c>
      <c r="M2787">
        <v>0.99986649999999999</v>
      </c>
      <c r="N2787">
        <v>0</v>
      </c>
      <c r="O2787">
        <v>-1.193665E-2</v>
      </c>
      <c r="P2787">
        <v>0.99739279999999997</v>
      </c>
      <c r="Q2787">
        <v>6.5366469999999996E-3</v>
      </c>
      <c r="R2787">
        <v>-7.186903E-2</v>
      </c>
      <c r="S2787">
        <v>2.9834900000000002</v>
      </c>
      <c r="T2787">
        <v>-0.1058764</v>
      </c>
      <c r="U2787">
        <v>-0.34532170000000001</v>
      </c>
      <c r="V2787">
        <v>5.9943999999999997E-2</v>
      </c>
      <c r="W2787">
        <v>1.7734380000000001E-2</v>
      </c>
      <c r="X2787">
        <v>0.99804420000000005</v>
      </c>
      <c r="Y2787">
        <v>0.1030536</v>
      </c>
      <c r="Z2787">
        <v>-1.399897E-3</v>
      </c>
      <c r="AA2787">
        <v>0.99467479999999997</v>
      </c>
      <c r="AB2787">
        <v>47</v>
      </c>
      <c r="AC2787">
        <v>30.783899999999999</v>
      </c>
      <c r="AD2787">
        <v>-1.1092452554729999</v>
      </c>
      <c r="AE2787">
        <v>-3.6122000000000001</v>
      </c>
      <c r="AF2787">
        <v>3.2403130283597101</v>
      </c>
      <c r="AG2787">
        <v>-1.1092452554729999</v>
      </c>
      <c r="AH2787">
        <v>30.785397984187501</v>
      </c>
      <c r="AI2787">
        <v>92.052235528628501</v>
      </c>
      <c r="AJ2787">
        <v>83.991463763595306</v>
      </c>
      <c r="AK2787">
        <v>30.9753253833331</v>
      </c>
      <c r="AL2787">
        <v>88.983841612337201</v>
      </c>
      <c r="AM2787">
        <v>86.5628604141464</v>
      </c>
      <c r="AN2787">
        <v>1.0000000082618099</v>
      </c>
    </row>
    <row r="2788" spans="1:40" x14ac:dyDescent="0.25">
      <c r="A2788" t="str">
        <f>"20190312154608256"</f>
        <v>20190312154608256</v>
      </c>
      <c r="B2788" t="str">
        <f>"1552376768249483"</f>
        <v>1552376768249483</v>
      </c>
      <c r="C2788" t="s">
        <v>40</v>
      </c>
      <c r="D2788">
        <v>4.7233070000000001</v>
      </c>
      <c r="E2788">
        <v>0.51670870000000002</v>
      </c>
      <c r="F2788" t="s">
        <v>54</v>
      </c>
      <c r="G2788">
        <v>-335.38959999999997</v>
      </c>
      <c r="H2788" s="1">
        <v>1.474475E-6</v>
      </c>
      <c r="I2788">
        <v>211.34039999999999</v>
      </c>
      <c r="J2788">
        <v>-366.2167</v>
      </c>
      <c r="K2788">
        <v>1.109275</v>
      </c>
      <c r="L2788">
        <v>214.93770000000001</v>
      </c>
      <c r="M2788">
        <v>0.99986799999999998</v>
      </c>
      <c r="N2788">
        <v>0</v>
      </c>
      <c r="O2788">
        <v>-1.1624860000000001E-2</v>
      </c>
      <c r="P2788">
        <v>0.99745090000000003</v>
      </c>
      <c r="Q2788">
        <v>6.4397580000000003E-3</v>
      </c>
      <c r="R2788">
        <v>-7.106672E-2</v>
      </c>
      <c r="S2788">
        <v>2.9837340000000001</v>
      </c>
      <c r="T2788">
        <v>-0.105772699999999</v>
      </c>
      <c r="U2788">
        <v>-0.34352110000000002</v>
      </c>
      <c r="V2788">
        <v>5.9451160000000003E-2</v>
      </c>
      <c r="W2788">
        <v>1.7828779999999999E-2</v>
      </c>
      <c r="X2788">
        <v>0.99807199999999996</v>
      </c>
      <c r="Y2788">
        <v>0.1027622</v>
      </c>
      <c r="Z2788">
        <v>-1.4043230000000001E-3</v>
      </c>
      <c r="AA2788">
        <v>0.99470499999999995</v>
      </c>
      <c r="AB2788">
        <v>47</v>
      </c>
      <c r="AC2788">
        <v>30.827100000000002</v>
      </c>
      <c r="AD2788">
        <v>-1.1092735255249999</v>
      </c>
      <c r="AE2788">
        <v>-3.5973000000000099</v>
      </c>
      <c r="AF2788">
        <v>3.23454117696373</v>
      </c>
      <c r="AG2788">
        <v>-1.1092735255249999</v>
      </c>
      <c r="AH2788">
        <v>30.827457519912599</v>
      </c>
      <c r="AI2788">
        <v>92.049560549331602</v>
      </c>
      <c r="AJ2788">
        <v>84.010212196762694</v>
      </c>
      <c r="AK2788">
        <v>31.0165259421799</v>
      </c>
      <c r="AL2788">
        <v>88.978432038825204</v>
      </c>
      <c r="AM2788">
        <v>86.591147263602593</v>
      </c>
      <c r="AN2788">
        <v>1.00000001150281</v>
      </c>
    </row>
    <row r="2789" spans="1:40" x14ac:dyDescent="0.25">
      <c r="A2789" t="str">
        <f>"20190312154608276"</f>
        <v>20190312154608276</v>
      </c>
      <c r="B2789" t="str">
        <f>"1552376768269979"</f>
        <v>1552376768269979</v>
      </c>
      <c r="C2789" t="s">
        <v>40</v>
      </c>
      <c r="D2789">
        <v>4.7393489999999998</v>
      </c>
      <c r="E2789">
        <v>0.51677189999999995</v>
      </c>
      <c r="F2789" t="s">
        <v>54</v>
      </c>
      <c r="G2789">
        <v>-334.97629999999998</v>
      </c>
      <c r="H2789" s="1">
        <v>1.253938E-6</v>
      </c>
      <c r="I2789">
        <v>211.3546</v>
      </c>
      <c r="J2789">
        <v>-365.75900000000001</v>
      </c>
      <c r="K2789">
        <v>1.1092959999999901</v>
      </c>
      <c r="L2789">
        <v>214.93260000000001</v>
      </c>
      <c r="M2789">
        <v>0.99986960000000003</v>
      </c>
      <c r="N2789">
        <v>0</v>
      </c>
      <c r="O2789">
        <v>-1.1309710000000001E-2</v>
      </c>
      <c r="P2789">
        <v>0.99748179999999997</v>
      </c>
      <c r="Q2789">
        <v>5.9891559999999998E-3</v>
      </c>
      <c r="R2789">
        <v>-7.0669360000000001E-2</v>
      </c>
      <c r="S2789">
        <v>2.983978</v>
      </c>
      <c r="T2789">
        <v>-0.1059543</v>
      </c>
      <c r="U2789">
        <v>-0.34223940000000003</v>
      </c>
      <c r="V2789">
        <v>5.9367639999999999E-2</v>
      </c>
      <c r="W2789">
        <v>1.7544629999999999E-2</v>
      </c>
      <c r="X2789">
        <v>0.99808200000000002</v>
      </c>
      <c r="Y2789">
        <v>0.1026445</v>
      </c>
      <c r="Z2789">
        <v>-1.4157149999999999E-3</v>
      </c>
      <c r="AA2789">
        <v>0.99471710000000002</v>
      </c>
      <c r="AB2789">
        <v>47</v>
      </c>
      <c r="AC2789">
        <v>30.782699999999998</v>
      </c>
      <c r="AD2789">
        <v>-1.10929474606199</v>
      </c>
      <c r="AE2789">
        <v>-3.5779999999999998</v>
      </c>
      <c r="AF2789">
        <v>3.2254717792970902</v>
      </c>
      <c r="AG2789">
        <v>-1.10929474606199</v>
      </c>
      <c r="AH2789">
        <v>30.781759004718602</v>
      </c>
      <c r="AI2789">
        <v>92.052669491163698</v>
      </c>
      <c r="AJ2789">
        <v>84.018082079951796</v>
      </c>
      <c r="AK2789">
        <v>30.970161292076899</v>
      </c>
      <c r="AL2789">
        <v>88.994715174666197</v>
      </c>
      <c r="AM2789">
        <v>86.595958949184805</v>
      </c>
      <c r="AN2789">
        <v>1.0000000047224999</v>
      </c>
    </row>
    <row r="2790" spans="1:40" x14ac:dyDescent="0.25">
      <c r="A2790" t="str">
        <f>"20190312154608299"</f>
        <v>20190312154608299</v>
      </c>
      <c r="B2790" t="str">
        <f>"1552376768289499"</f>
        <v>1552376768289499</v>
      </c>
      <c r="C2790" t="s">
        <v>40</v>
      </c>
      <c r="D2790">
        <v>4.7041139999999997</v>
      </c>
      <c r="E2790">
        <v>0.51696830000000005</v>
      </c>
      <c r="F2790" t="s">
        <v>54</v>
      </c>
      <c r="G2790">
        <v>-334.73270000000002</v>
      </c>
      <c r="H2790" s="1">
        <v>1.1231370000000001E-6</v>
      </c>
      <c r="I2790">
        <v>211.38079999999999</v>
      </c>
      <c r="J2790">
        <v>-365.30540000000002</v>
      </c>
      <c r="K2790">
        <v>1.109318</v>
      </c>
      <c r="L2790">
        <v>214.92769999999999</v>
      </c>
      <c r="M2790">
        <v>0.99987170000000003</v>
      </c>
      <c r="N2790">
        <v>0</v>
      </c>
      <c r="O2790">
        <v>-1.099058E-2</v>
      </c>
      <c r="P2790">
        <v>0.99748020000000004</v>
      </c>
      <c r="Q2790">
        <v>5.8299210000000001E-3</v>
      </c>
      <c r="R2790">
        <v>-7.0710190000000006E-2</v>
      </c>
      <c r="S2790">
        <v>2.9840089999999999</v>
      </c>
      <c r="T2790">
        <v>-0.1066883</v>
      </c>
      <c r="U2790">
        <v>-0.34159850000000003</v>
      </c>
      <c r="V2790">
        <v>5.9726199999999903E-2</v>
      </c>
      <c r="W2790">
        <v>1.752985E-2</v>
      </c>
      <c r="X2790">
        <v>0.99806090000000003</v>
      </c>
      <c r="Y2790">
        <v>0.1027488</v>
      </c>
      <c r="Z2790">
        <v>-1.438742E-3</v>
      </c>
      <c r="AA2790">
        <v>0.99470630000000004</v>
      </c>
      <c r="AB2790">
        <v>47</v>
      </c>
      <c r="AC2790">
        <v>30.572700000000001</v>
      </c>
      <c r="AD2790">
        <v>-1.109316876863</v>
      </c>
      <c r="AE2790">
        <v>-3.5468999999999902</v>
      </c>
      <c r="AF2790">
        <v>3.2064857289219901</v>
      </c>
      <c r="AG2790">
        <v>-1.109316876863</v>
      </c>
      <c r="AH2790">
        <v>30.5701251862954</v>
      </c>
      <c r="AI2790">
        <v>92.066886479875294</v>
      </c>
      <c r="AJ2790">
        <v>84.012168185084093</v>
      </c>
      <c r="AK2790">
        <v>30.7578394652298</v>
      </c>
      <c r="AL2790">
        <v>88.995562169320806</v>
      </c>
      <c r="AM2790">
        <v>86.575376275977902</v>
      </c>
      <c r="AN2790">
        <v>1.0000000373581299</v>
      </c>
    </row>
    <row r="2791" spans="1:40" x14ac:dyDescent="0.25">
      <c r="A2791" t="str">
        <f>"20190312154608345"</f>
        <v>20190312154608345</v>
      </c>
      <c r="B2791" t="str">
        <f>"1552376768339275"</f>
        <v>1552376768339275</v>
      </c>
      <c r="C2791" t="s">
        <v>40</v>
      </c>
      <c r="D2791">
        <v>4.7256989999999996</v>
      </c>
      <c r="E2791">
        <v>0.51733209999999996</v>
      </c>
      <c r="F2791" t="s">
        <v>54</v>
      </c>
      <c r="G2791">
        <v>-334.30329999999998</v>
      </c>
      <c r="H2791" s="1">
        <v>8.9539369999999995E-7</v>
      </c>
      <c r="I2791">
        <v>211.3629</v>
      </c>
      <c r="J2791">
        <v>-364.35090000000002</v>
      </c>
      <c r="K2791">
        <v>1.109334</v>
      </c>
      <c r="L2791">
        <v>214.91800000000001</v>
      </c>
      <c r="M2791">
        <v>0.99987590000000004</v>
      </c>
      <c r="N2791">
        <v>0</v>
      </c>
      <c r="O2791">
        <v>-1.030552E-2</v>
      </c>
      <c r="P2791">
        <v>0.99749239999999995</v>
      </c>
      <c r="Q2791">
        <v>5.8535840000000002E-3</v>
      </c>
      <c r="R2791">
        <v>-7.0530860000000001E-2</v>
      </c>
      <c r="S2791">
        <v>2.9838870000000002</v>
      </c>
      <c r="T2791">
        <v>-0.10676919999999999</v>
      </c>
      <c r="U2791">
        <v>-0.3431091</v>
      </c>
      <c r="V2791">
        <v>6.0229919999999999E-2</v>
      </c>
      <c r="W2791">
        <v>1.7800170000000001E-2</v>
      </c>
      <c r="X2791">
        <v>0.99802579999999996</v>
      </c>
      <c r="Y2791">
        <v>0.1039306</v>
      </c>
      <c r="Z2791">
        <v>-1.485335E-3</v>
      </c>
      <c r="AA2791">
        <v>0.99458340000000001</v>
      </c>
      <c r="AB2791">
        <v>47</v>
      </c>
      <c r="AC2791">
        <v>30.047599999999999</v>
      </c>
      <c r="AD2791">
        <v>-1.1093331046063</v>
      </c>
      <c r="AE2791">
        <v>-3.5550999999999999</v>
      </c>
      <c r="AF2791">
        <v>3.2408766402310598</v>
      </c>
      <c r="AG2791">
        <v>-1.1093331046063</v>
      </c>
      <c r="AH2791">
        <v>30.042260804624298</v>
      </c>
      <c r="AI2791">
        <v>92.102541271715396</v>
      </c>
      <c r="AJ2791">
        <v>83.842899314173593</v>
      </c>
      <c r="AK2791">
        <v>30.236920074426099</v>
      </c>
      <c r="AL2791">
        <v>88.980071512754506</v>
      </c>
      <c r="AM2791">
        <v>86.546442066204094</v>
      </c>
      <c r="AN2791">
        <v>0.99999999339043699</v>
      </c>
    </row>
    <row r="2792" spans="1:40" x14ac:dyDescent="0.25">
      <c r="A2792" t="str">
        <f>"20190312154608369"</f>
        <v>20190312154608369</v>
      </c>
      <c r="B2792" t="str">
        <f>"1552376768359771"</f>
        <v>1552376768359771</v>
      </c>
      <c r="C2792" t="s">
        <v>40</v>
      </c>
      <c r="D2792">
        <v>4.7197009999999997</v>
      </c>
      <c r="E2792">
        <v>0.51734159999999996</v>
      </c>
      <c r="F2792" t="s">
        <v>54</v>
      </c>
      <c r="G2792">
        <v>-333.37740000000002</v>
      </c>
      <c r="H2792" s="1">
        <v>4.0403920000000002E-7</v>
      </c>
      <c r="I2792">
        <v>211.3322</v>
      </c>
      <c r="J2792">
        <v>-363.83659999999998</v>
      </c>
      <c r="K2792">
        <v>1.109334</v>
      </c>
      <c r="L2792">
        <v>214.91309999999999</v>
      </c>
      <c r="M2792">
        <v>0.99987859999999995</v>
      </c>
      <c r="N2792">
        <v>0</v>
      </c>
      <c r="O2792">
        <v>-9.9331339999999997E-3</v>
      </c>
      <c r="P2792">
        <v>0.99750810000000001</v>
      </c>
      <c r="Q2792">
        <v>6.1177200000000001E-3</v>
      </c>
      <c r="R2792">
        <v>-7.0289279999999996E-2</v>
      </c>
      <c r="S2792">
        <v>2.9837340000000001</v>
      </c>
      <c r="T2792">
        <v>-0.1068641</v>
      </c>
      <c r="U2792">
        <v>-0.34542850000000003</v>
      </c>
      <c r="V2792">
        <v>6.0359200000000002E-2</v>
      </c>
      <c r="W2792">
        <v>1.8168710000000001E-2</v>
      </c>
      <c r="X2792">
        <v>0.99801139999999999</v>
      </c>
      <c r="Y2792">
        <v>0.1050686</v>
      </c>
      <c r="Z2792">
        <v>-1.520254E-3</v>
      </c>
      <c r="AA2792">
        <v>0.99446380000000001</v>
      </c>
      <c r="AB2792">
        <v>47</v>
      </c>
      <c r="AC2792">
        <v>30.4591999999999</v>
      </c>
      <c r="AD2792">
        <v>-1.1093335959607999</v>
      </c>
      <c r="AE2792">
        <v>-3.5808999999999802</v>
      </c>
      <c r="AF2792">
        <v>3.2738628139353501</v>
      </c>
      <c r="AG2792">
        <v>-1.1093335959607999</v>
      </c>
      <c r="AH2792">
        <v>30.453425284033901</v>
      </c>
      <c r="AI2792">
        <v>92.074262225596499</v>
      </c>
      <c r="AJ2792">
        <v>83.864044219978595</v>
      </c>
      <c r="AK2792">
        <v>30.6489789435444</v>
      </c>
      <c r="AL2792">
        <v>88.958952363753099</v>
      </c>
      <c r="AM2792">
        <v>86.538997389972195</v>
      </c>
      <c r="AN2792">
        <v>1.00000004478883</v>
      </c>
    </row>
    <row r="2793" spans="1:40" x14ac:dyDescent="0.25">
      <c r="A2793" t="str">
        <f>"20190312154608391"</f>
        <v>20190312154608391</v>
      </c>
      <c r="B2793" t="str">
        <f>"1552376768380266"</f>
        <v>1552376768380266</v>
      </c>
      <c r="C2793" t="s">
        <v>40</v>
      </c>
      <c r="D2793">
        <v>4.6616960000000001</v>
      </c>
      <c r="E2793">
        <v>0.52938669999999899</v>
      </c>
      <c r="F2793" t="s">
        <v>54</v>
      </c>
      <c r="G2793">
        <v>-332.81560000000002</v>
      </c>
      <c r="H2793" s="1">
        <v>1.053206E-7</v>
      </c>
      <c r="I2793">
        <v>211.32640000000001</v>
      </c>
      <c r="J2793">
        <v>-363.37470000000002</v>
      </c>
      <c r="K2793">
        <v>1.1093360000000001</v>
      </c>
      <c r="L2793">
        <v>214.90870000000001</v>
      </c>
      <c r="M2793">
        <v>0.99988089999999996</v>
      </c>
      <c r="N2793">
        <v>0</v>
      </c>
      <c r="O2793">
        <v>-9.5989060000000008E-3</v>
      </c>
      <c r="P2793">
        <v>0.99756769999999995</v>
      </c>
      <c r="Q2793">
        <v>6.0383600000000004E-3</v>
      </c>
      <c r="R2793">
        <v>-6.9444399999999906E-2</v>
      </c>
      <c r="S2793">
        <v>2.9838260000000001</v>
      </c>
      <c r="T2793">
        <v>-0.10670350000000001</v>
      </c>
      <c r="U2793">
        <v>-0.34498600000000001</v>
      </c>
      <c r="V2793">
        <v>5.9847339999999999E-2</v>
      </c>
      <c r="W2793">
        <v>1.8170140000000001E-2</v>
      </c>
      <c r="X2793">
        <v>0.99804219999999999</v>
      </c>
      <c r="Y2793">
        <v>0.1052519</v>
      </c>
      <c r="Z2793">
        <v>-1.5331069999999999E-3</v>
      </c>
      <c r="AA2793">
        <v>0.99444440000000001</v>
      </c>
      <c r="AB2793">
        <v>47</v>
      </c>
      <c r="AC2793">
        <v>30.559100000000001</v>
      </c>
      <c r="AD2793">
        <v>-1.1093358946793901</v>
      </c>
      <c r="AE2793">
        <v>-3.5823</v>
      </c>
      <c r="AF2793">
        <v>3.2845099759270102</v>
      </c>
      <c r="AG2793">
        <v>-1.1093358946793901</v>
      </c>
      <c r="AH2793">
        <v>30.552364866194999</v>
      </c>
      <c r="AI2793">
        <v>92.067555058452399</v>
      </c>
      <c r="AJ2793">
        <v>83.864024256473002</v>
      </c>
      <c r="AK2793">
        <v>30.7484248511415</v>
      </c>
      <c r="AL2793">
        <v>88.958870418043304</v>
      </c>
      <c r="AM2793">
        <v>86.568382703203696</v>
      </c>
      <c r="AN2793">
        <v>1.0000000455367599</v>
      </c>
    </row>
    <row r="2794" spans="1:40" x14ac:dyDescent="0.25">
      <c r="A2794" t="str">
        <f>"20190312154608412"</f>
        <v>20190312154608412</v>
      </c>
      <c r="B2794" t="str">
        <f>"1552376768399787"</f>
        <v>1552376768399787</v>
      </c>
      <c r="C2794" t="s">
        <v>40</v>
      </c>
      <c r="D2794">
        <v>4.6541790000000001</v>
      </c>
      <c r="E2794">
        <v>0.53837309999999905</v>
      </c>
      <c r="F2794" t="s">
        <v>41</v>
      </c>
      <c r="G2794">
        <v>-362.40190000000001</v>
      </c>
      <c r="H2794">
        <v>0.98654569999999997</v>
      </c>
      <c r="I2794">
        <v>214.76779999999999</v>
      </c>
      <c r="J2794">
        <v>-362.91149999999999</v>
      </c>
      <c r="K2794">
        <v>1.1093379999999999</v>
      </c>
      <c r="L2794">
        <v>214.90459999999999</v>
      </c>
      <c r="M2794">
        <v>0.99988310000000002</v>
      </c>
      <c r="N2794">
        <v>0</v>
      </c>
      <c r="O2794">
        <v>-9.2637280000000006E-3</v>
      </c>
      <c r="P2794">
        <v>0.99767539999999999</v>
      </c>
      <c r="Q2794">
        <v>5.4780949999999997E-3</v>
      </c>
      <c r="R2794">
        <v>-6.7926429999999996E-2</v>
      </c>
      <c r="S2794">
        <v>2.9796749999999999</v>
      </c>
      <c r="T2794">
        <v>-0.37630520000000001</v>
      </c>
      <c r="U2794">
        <v>-0.4300079</v>
      </c>
      <c r="V2794">
        <v>5.8663279999999998E-2</v>
      </c>
      <c r="W2794">
        <v>1.768861E-2</v>
      </c>
      <c r="X2794">
        <v>0.99812109999999998</v>
      </c>
      <c r="Y2794">
        <v>0.13269829999999999</v>
      </c>
      <c r="Z2794">
        <v>-7.1443840000000002E-3</v>
      </c>
      <c r="AA2794">
        <v>0.99113070000000003</v>
      </c>
      <c r="AB2794">
        <v>47</v>
      </c>
      <c r="AC2794">
        <v>0.50959999999997696</v>
      </c>
      <c r="AD2794">
        <v>-0.12279229999999899</v>
      </c>
      <c r="AE2794">
        <v>-0.13679999999999301</v>
      </c>
      <c r="AF2794">
        <v>0.125287648761613</v>
      </c>
      <c r="AG2794">
        <v>-0.12279229999999899</v>
      </c>
      <c r="AH2794">
        <v>0.48460048269662098</v>
      </c>
      <c r="AI2794">
        <v>103.78372717175699</v>
      </c>
      <c r="AJ2794">
        <v>75.504273056787298</v>
      </c>
      <c r="AK2794">
        <v>0.51537614584039604</v>
      </c>
      <c r="AL2794">
        <v>88.986464441978697</v>
      </c>
      <c r="AM2794">
        <v>86.636383948367495</v>
      </c>
      <c r="AN2794">
        <v>0.99999999880464996</v>
      </c>
    </row>
    <row r="2795" spans="1:40" x14ac:dyDescent="0.25">
      <c r="A2795" t="str">
        <f>"20190312154608479"</f>
        <v>20190312154608479</v>
      </c>
      <c r="B2795" t="str">
        <f>"1552376768470059"</f>
        <v>1552376768470059</v>
      </c>
      <c r="C2795" t="s">
        <v>40</v>
      </c>
      <c r="D2795">
        <v>4.6273390000000001</v>
      </c>
      <c r="E2795">
        <v>0.53857109999999997</v>
      </c>
      <c r="F2795" t="s">
        <v>41</v>
      </c>
      <c r="G2795">
        <v>-361.17829999999998</v>
      </c>
      <c r="H2795">
        <v>0.88145599999999902</v>
      </c>
      <c r="I2795">
        <v>214.77029999999999</v>
      </c>
      <c r="J2795">
        <v>-361.4862</v>
      </c>
      <c r="K2795">
        <v>1.1085069999999999</v>
      </c>
      <c r="L2795">
        <v>214.89250000000001</v>
      </c>
      <c r="M2795">
        <v>0.99992499999999995</v>
      </c>
      <c r="N2795">
        <v>0</v>
      </c>
      <c r="O2795">
        <v>-8.2670109999999995E-3</v>
      </c>
      <c r="P2795">
        <v>0.99775749999999996</v>
      </c>
      <c r="Q2795">
        <v>8.2165019999999901E-3</v>
      </c>
      <c r="R2795">
        <v>-6.6427120000000006E-2</v>
      </c>
      <c r="S2795">
        <v>2.9810180000000002</v>
      </c>
      <c r="T2795">
        <v>-0.85550759999999904</v>
      </c>
      <c r="U2795">
        <v>-0.47434999999999999</v>
      </c>
      <c r="V2795">
        <v>5.8161499999999998E-2</v>
      </c>
      <c r="W2795">
        <v>1.7294319999999998E-2</v>
      </c>
      <c r="X2795">
        <v>0.99815739999999997</v>
      </c>
      <c r="Y2795">
        <v>0.143646</v>
      </c>
      <c r="Z2795">
        <v>-1.777368E-2</v>
      </c>
      <c r="AA2795">
        <v>0.9894695</v>
      </c>
      <c r="AB2795">
        <v>48</v>
      </c>
      <c r="AC2795">
        <v>0.30790000000001699</v>
      </c>
      <c r="AD2795">
        <v>-0.227051</v>
      </c>
      <c r="AE2795">
        <v>-0.12220000000002</v>
      </c>
      <c r="AF2795">
        <v>8.1406581262924896E-2</v>
      </c>
      <c r="AG2795">
        <v>-0.227051</v>
      </c>
      <c r="AH2795">
        <v>0.210166383900001</v>
      </c>
      <c r="AI2795">
        <v>135.211389720044</v>
      </c>
      <c r="AJ2795">
        <v>68.826447405688</v>
      </c>
      <c r="AK2795">
        <v>0.319920454168719</v>
      </c>
      <c r="AL2795">
        <v>89.009059077093298</v>
      </c>
      <c r="AM2795">
        <v>86.665210637750405</v>
      </c>
      <c r="AN2795">
        <v>1.00000002438063</v>
      </c>
    </row>
    <row r="2796" spans="1:40" x14ac:dyDescent="0.25">
      <c r="A2796" t="str">
        <f>"20190312154608503"</f>
        <v>20190312154608503</v>
      </c>
      <c r="B2796" t="str">
        <f>"1552376768489579"</f>
        <v>1552376768489579</v>
      </c>
      <c r="C2796" t="s">
        <v>40</v>
      </c>
      <c r="D2796">
        <v>4.640828</v>
      </c>
      <c r="E2796">
        <v>0.53873169999999904</v>
      </c>
      <c r="F2796" t="s">
        <v>41</v>
      </c>
      <c r="G2796">
        <v>-360.74239999999998</v>
      </c>
      <c r="H2796">
        <v>0.89687099999999897</v>
      </c>
      <c r="I2796">
        <v>214.773</v>
      </c>
      <c r="J2796">
        <v>-360.99079999999998</v>
      </c>
      <c r="K2796">
        <v>1.108258</v>
      </c>
      <c r="L2796">
        <v>214.88849999999999</v>
      </c>
      <c r="M2796">
        <v>0.99993889999999996</v>
      </c>
      <c r="N2796">
        <v>0</v>
      </c>
      <c r="O2796">
        <v>-7.9119789999999995E-3</v>
      </c>
      <c r="P2796">
        <v>0.99760760000000004</v>
      </c>
      <c r="Q2796">
        <v>9.5352739999999998E-3</v>
      </c>
      <c r="R2796">
        <v>-6.8471630000000006E-2</v>
      </c>
      <c r="S2796">
        <v>2.981903</v>
      </c>
      <c r="T2796">
        <v>-0.84851529999999997</v>
      </c>
      <c r="U2796">
        <v>-0.47787479999999899</v>
      </c>
      <c r="V2796">
        <v>6.0562150000000002E-2</v>
      </c>
      <c r="W2796">
        <v>1.7294799999999999E-2</v>
      </c>
      <c r="X2796">
        <v>0.99801459999999997</v>
      </c>
      <c r="Y2796">
        <v>0.14511079999999901</v>
      </c>
      <c r="Z2796">
        <v>-1.7928960000000001E-2</v>
      </c>
      <c r="AA2796">
        <v>0.98925300000000005</v>
      </c>
      <c r="AB2796">
        <v>48</v>
      </c>
      <c r="AC2796">
        <v>0.24840000000000301</v>
      </c>
      <c r="AD2796">
        <v>-0.21138699999999999</v>
      </c>
      <c r="AE2796">
        <v>-0.11549999999999699</v>
      </c>
      <c r="AF2796">
        <v>7.1159095819505899E-2</v>
      </c>
      <c r="AG2796">
        <v>-0.21138699999999999</v>
      </c>
      <c r="AH2796">
        <v>0.156260379173919</v>
      </c>
      <c r="AI2796">
        <v>140.91460605277501</v>
      </c>
      <c r="AJ2796">
        <v>65.516051509628099</v>
      </c>
      <c r="AK2796">
        <v>0.27233322747403799</v>
      </c>
      <c r="AL2796">
        <v>89.009031559693696</v>
      </c>
      <c r="AM2796">
        <v>86.527399753866007</v>
      </c>
      <c r="AN2796">
        <v>1.0000000129664099</v>
      </c>
    </row>
    <row r="2797" spans="1:40" x14ac:dyDescent="0.25">
      <c r="A2797" t="str">
        <f>"20190312154608525"</f>
        <v>20190312154608525</v>
      </c>
      <c r="B2797" t="str">
        <f>"1552376768519838"</f>
        <v>1552376768519838</v>
      </c>
      <c r="C2797" t="s">
        <v>40</v>
      </c>
      <c r="D2797">
        <v>4.519037</v>
      </c>
      <c r="E2797">
        <v>0.53909849999999904</v>
      </c>
      <c r="F2797" t="s">
        <v>41</v>
      </c>
      <c r="G2797">
        <v>-360.30380000000002</v>
      </c>
      <c r="H2797">
        <v>0.91395090000000001</v>
      </c>
      <c r="I2797">
        <v>214.77680000000001</v>
      </c>
      <c r="J2797">
        <v>-360.50779999999997</v>
      </c>
      <c r="K2797">
        <v>1.1081719999999999</v>
      </c>
      <c r="L2797">
        <v>214.88480000000001</v>
      </c>
      <c r="M2797">
        <v>0.99994870000000002</v>
      </c>
      <c r="N2797">
        <v>0</v>
      </c>
      <c r="O2797">
        <v>-7.5426269999999997E-3</v>
      </c>
      <c r="P2797">
        <v>0.99743649999999995</v>
      </c>
      <c r="Q2797">
        <v>1.0545850000000001E-2</v>
      </c>
      <c r="R2797">
        <v>-7.0779700000000001E-2</v>
      </c>
      <c r="S2797">
        <v>2.9819640000000001</v>
      </c>
      <c r="T2797">
        <v>-0.84343269999999904</v>
      </c>
      <c r="U2797">
        <v>-0.48464970000000002</v>
      </c>
      <c r="V2797">
        <v>6.3239539999999997E-2</v>
      </c>
      <c r="W2797">
        <v>1.7362019999999999E-2</v>
      </c>
      <c r="X2797">
        <v>0.99784729999999999</v>
      </c>
      <c r="Y2797">
        <v>0.14761749999999901</v>
      </c>
      <c r="Z2797">
        <v>-1.8269560000000001E-2</v>
      </c>
      <c r="AA2797">
        <v>0.98887570000000002</v>
      </c>
      <c r="AB2797">
        <v>48</v>
      </c>
      <c r="AC2797">
        <v>0.20399999999995</v>
      </c>
      <c r="AD2797">
        <v>-0.19422109999999901</v>
      </c>
      <c r="AE2797">
        <v>-0.108000000000004</v>
      </c>
      <c r="AF2797">
        <v>6.2329431851909298E-2</v>
      </c>
      <c r="AG2797">
        <v>-0.19422109999999901</v>
      </c>
      <c r="AH2797">
        <v>0.119912019339331</v>
      </c>
      <c r="AI2797">
        <v>145.16885491572299</v>
      </c>
      <c r="AJ2797">
        <v>62.5349036372032</v>
      </c>
      <c r="AK2797">
        <v>0.23661294584664599</v>
      </c>
      <c r="AL2797">
        <v>89.005179503030504</v>
      </c>
      <c r="AM2797">
        <v>86.373674300843206</v>
      </c>
      <c r="AN2797">
        <v>0.99999995663759</v>
      </c>
    </row>
    <row r="2798" spans="1:40" x14ac:dyDescent="0.25">
      <c r="A2798" t="str">
        <f>"20190312154608548"</f>
        <v>20190312154608548</v>
      </c>
      <c r="B2798" t="str">
        <f>"1552376768539354"</f>
        <v>1552376768539354</v>
      </c>
      <c r="C2798" t="s">
        <v>40</v>
      </c>
      <c r="D2798">
        <v>4.6243650000000001</v>
      </c>
      <c r="E2798">
        <v>0.53955129999999996</v>
      </c>
      <c r="F2798" t="s">
        <v>41</v>
      </c>
      <c r="G2798">
        <v>-359.47579999999999</v>
      </c>
      <c r="H2798">
        <v>0.81540199999999996</v>
      </c>
      <c r="I2798">
        <v>214.71379999999999</v>
      </c>
      <c r="J2798">
        <v>-360.0016</v>
      </c>
      <c r="K2798">
        <v>1.1082650000000001</v>
      </c>
      <c r="L2798">
        <v>214.88120000000001</v>
      </c>
      <c r="M2798">
        <v>0.99995480000000003</v>
      </c>
      <c r="N2798">
        <v>0</v>
      </c>
      <c r="O2798">
        <v>-7.1152639999999996E-3</v>
      </c>
      <c r="P2798">
        <v>0.99728950000000005</v>
      </c>
      <c r="Q2798">
        <v>1.1886539999999999E-2</v>
      </c>
      <c r="R2798">
        <v>-7.2609279999999998E-2</v>
      </c>
      <c r="S2798">
        <v>2.9816280000000002</v>
      </c>
      <c r="T2798">
        <v>-0.84583899999999901</v>
      </c>
      <c r="U2798">
        <v>-0.49382019999999999</v>
      </c>
      <c r="V2798">
        <v>6.549381E-2</v>
      </c>
      <c r="W2798">
        <v>1.8244989999999999E-2</v>
      </c>
      <c r="X2798">
        <v>0.99768610000000002</v>
      </c>
      <c r="Y2798">
        <v>0.15084979999999901</v>
      </c>
      <c r="Z2798">
        <v>-1.888225E-2</v>
      </c>
      <c r="AA2798">
        <v>0.98837629999999999</v>
      </c>
      <c r="AB2798">
        <v>49</v>
      </c>
      <c r="AC2798">
        <v>0.52580000000000304</v>
      </c>
      <c r="AD2798">
        <v>-0.29286299999999998</v>
      </c>
      <c r="AE2798">
        <v>-0.16740000000001401</v>
      </c>
      <c r="AF2798">
        <v>0.127687328967448</v>
      </c>
      <c r="AG2798">
        <v>-0.29286299999999998</v>
      </c>
      <c r="AH2798">
        <v>0.41116129490415798</v>
      </c>
      <c r="AI2798">
        <v>124.224924132479</v>
      </c>
      <c r="AJ2798">
        <v>72.747667368065393</v>
      </c>
      <c r="AK2798">
        <v>0.52069799421075702</v>
      </c>
      <c r="AL2798">
        <v>88.954581004065403</v>
      </c>
      <c r="AM2798">
        <v>86.244166902971799</v>
      </c>
      <c r="AN2798">
        <v>0.99999993647081098</v>
      </c>
    </row>
    <row r="2799" spans="1:40" x14ac:dyDescent="0.25">
      <c r="A2799" t="str">
        <f>"20190312154608592"</f>
        <v>20190312154608592</v>
      </c>
      <c r="B2799" t="str">
        <f>"1552376768579878"</f>
        <v>1552376768579878</v>
      </c>
      <c r="C2799" t="s">
        <v>40</v>
      </c>
      <c r="D2799">
        <v>4.6198930000000002</v>
      </c>
      <c r="E2799">
        <v>0.53969230000000001</v>
      </c>
      <c r="F2799" t="s">
        <v>41</v>
      </c>
      <c r="G2799">
        <v>-359.03339999999997</v>
      </c>
      <c r="H2799">
        <v>0.83551489999999995</v>
      </c>
      <c r="I2799">
        <v>214.71780000000001</v>
      </c>
      <c r="J2799">
        <v>-359.04739999999998</v>
      </c>
      <c r="K2799">
        <v>1.1086400000000001</v>
      </c>
      <c r="L2799">
        <v>214.8751</v>
      </c>
      <c r="M2799">
        <v>0.99996110000000005</v>
      </c>
      <c r="N2799">
        <v>0</v>
      </c>
      <c r="O2799">
        <v>-6.1703969999999898E-3</v>
      </c>
      <c r="P2799">
        <v>0.99720929999999997</v>
      </c>
      <c r="Q2799">
        <v>1.280739E-2</v>
      </c>
      <c r="R2799">
        <v>-7.3551999999999895E-2</v>
      </c>
      <c r="S2799">
        <v>2.9815670000000001</v>
      </c>
      <c r="T2799">
        <v>-0.83989609999999904</v>
      </c>
      <c r="U2799">
        <v>-0.50244140000000004</v>
      </c>
      <c r="V2799">
        <v>6.7372169999999995E-2</v>
      </c>
      <c r="W2799">
        <v>1.9192770000000001E-2</v>
      </c>
      <c r="X2799">
        <v>0.99754330000000002</v>
      </c>
      <c r="Y2799">
        <v>0.15447130000000001</v>
      </c>
      <c r="Z2799">
        <v>-1.9506969999999998E-2</v>
      </c>
      <c r="AA2799">
        <v>0.98780469999999998</v>
      </c>
      <c r="AB2799">
        <v>49</v>
      </c>
      <c r="AC2799">
        <v>1.4000000000009999E-2</v>
      </c>
      <c r="AD2799">
        <v>-0.27312510000000001</v>
      </c>
      <c r="AE2799">
        <v>-0.157299999999992</v>
      </c>
      <c r="AF2799">
        <v>3.9389739969920998E-2</v>
      </c>
      <c r="AG2799">
        <v>-0.27312510000000001</v>
      </c>
      <c r="AH2799">
        <v>3.7508817476614499E-3</v>
      </c>
      <c r="AI2799">
        <v>171.75684792691499</v>
      </c>
      <c r="AJ2799">
        <v>5.4395794760402199</v>
      </c>
      <c r="AK2799">
        <v>0.275976341338878</v>
      </c>
      <c r="AL2799">
        <v>88.900267762011595</v>
      </c>
      <c r="AM2799">
        <v>86.136220050877199</v>
      </c>
      <c r="AN2799">
        <v>1.00000000354283</v>
      </c>
    </row>
    <row r="2800" spans="1:40" x14ac:dyDescent="0.25">
      <c r="A2800" t="str">
        <f>"20190312154608613"</f>
        <v>20190312154608613</v>
      </c>
      <c r="B2800" t="str">
        <f>"1552376768599399"</f>
        <v>1552376768599399</v>
      </c>
      <c r="C2800" t="s">
        <v>40</v>
      </c>
      <c r="D2800">
        <v>4.6383609999999997</v>
      </c>
      <c r="E2800">
        <v>0.53947029999999996</v>
      </c>
      <c r="F2800" t="s">
        <v>41</v>
      </c>
      <c r="G2800">
        <v>-358.15289999999999</v>
      </c>
      <c r="H2800">
        <v>0.85984749999999999</v>
      </c>
      <c r="I2800">
        <v>214.72290000000001</v>
      </c>
      <c r="J2800">
        <v>-358.58789999999999</v>
      </c>
      <c r="K2800">
        <v>1.1088039999999999</v>
      </c>
      <c r="L2800">
        <v>214.8725</v>
      </c>
      <c r="M2800">
        <v>0.99996350000000001</v>
      </c>
      <c r="N2800">
        <v>0</v>
      </c>
      <c r="O2800">
        <v>-5.6257420000000004E-3</v>
      </c>
      <c r="P2800">
        <v>0.99726020000000004</v>
      </c>
      <c r="Q2800">
        <v>1.237664E-2</v>
      </c>
      <c r="R2800">
        <v>-7.2932799999999895E-2</v>
      </c>
      <c r="S2800">
        <v>2.9816889999999998</v>
      </c>
      <c r="T2800">
        <v>-0.82939619999999903</v>
      </c>
      <c r="U2800">
        <v>-0.50639339999999999</v>
      </c>
      <c r="V2800">
        <v>6.7293350000000002E-2</v>
      </c>
      <c r="W2800">
        <v>1.889385E-2</v>
      </c>
      <c r="X2800">
        <v>0.9975543</v>
      </c>
      <c r="Y2800">
        <v>0.15632509999999999</v>
      </c>
      <c r="Z2800">
        <v>-1.9668129999999999E-2</v>
      </c>
      <c r="AA2800">
        <v>0.98750979999999999</v>
      </c>
      <c r="AB2800">
        <v>49</v>
      </c>
      <c r="AC2800">
        <v>0.435000000000002</v>
      </c>
      <c r="AD2800">
        <v>-0.2489565</v>
      </c>
      <c r="AE2800">
        <v>-0.14959999999999199</v>
      </c>
      <c r="AF2800">
        <v>0.11381412584815</v>
      </c>
      <c r="AG2800">
        <v>-0.2489565</v>
      </c>
      <c r="AH2800">
        <v>0.33709834145767398</v>
      </c>
      <c r="AI2800">
        <v>124.981331641818</v>
      </c>
      <c r="AJ2800">
        <v>71.343833798295407</v>
      </c>
      <c r="AK2800">
        <v>0.43424450019354699</v>
      </c>
      <c r="AL2800">
        <v>88.917397694023805</v>
      </c>
      <c r="AM2800">
        <v>86.140769121085896</v>
      </c>
      <c r="AN2800">
        <v>0.99999997698526699</v>
      </c>
    </row>
    <row r="2801" spans="1:40" x14ac:dyDescent="0.25">
      <c r="A2801" t="str">
        <f>"20190312154608635"</f>
        <v>20190312154608635</v>
      </c>
      <c r="B2801" t="str">
        <f>"1552376768629654"</f>
        <v>1552376768629654</v>
      </c>
      <c r="C2801" t="s">
        <v>40</v>
      </c>
      <c r="D2801">
        <v>4.6239679999999996</v>
      </c>
      <c r="E2801">
        <v>0.53944289999999995</v>
      </c>
      <c r="F2801" t="s">
        <v>41</v>
      </c>
      <c r="G2801">
        <v>-357.71429999999998</v>
      </c>
      <c r="H2801">
        <v>0.86583509999999997</v>
      </c>
      <c r="I2801">
        <v>214.72540000000001</v>
      </c>
      <c r="J2801">
        <v>-358.11610000000002</v>
      </c>
      <c r="K2801">
        <v>1.108943</v>
      </c>
      <c r="L2801">
        <v>214.87029999999999</v>
      </c>
      <c r="M2801">
        <v>0.99996600000000002</v>
      </c>
      <c r="N2801">
        <v>0</v>
      </c>
      <c r="O2801">
        <v>-4.9996060000000002E-3</v>
      </c>
      <c r="P2801">
        <v>0.99730030000000003</v>
      </c>
      <c r="Q2801">
        <v>1.1558010000000001E-2</v>
      </c>
      <c r="R2801">
        <v>-7.2517429999999994E-2</v>
      </c>
      <c r="S2801">
        <v>2.9818419999999999</v>
      </c>
      <c r="T2801">
        <v>-0.82939309999999999</v>
      </c>
      <c r="U2801">
        <v>-0.50166319999999998</v>
      </c>
      <c r="V2801">
        <v>6.7500669999999999E-2</v>
      </c>
      <c r="W2801">
        <v>1.8224959999999998E-2</v>
      </c>
      <c r="X2801">
        <v>0.99755280000000002</v>
      </c>
      <c r="Y2801">
        <v>0.15542049999999999</v>
      </c>
      <c r="Z2801">
        <v>-1.9716640000000001E-2</v>
      </c>
      <c r="AA2801">
        <v>0.98765159999999996</v>
      </c>
      <c r="AB2801">
        <v>49</v>
      </c>
      <c r="AC2801">
        <v>0.40180000000003702</v>
      </c>
      <c r="AD2801">
        <v>-0.24310789999999899</v>
      </c>
      <c r="AE2801">
        <v>-0.14489999999997799</v>
      </c>
      <c r="AF2801">
        <v>0.107926396476589</v>
      </c>
      <c r="AG2801">
        <v>-0.24310789999999899</v>
      </c>
      <c r="AH2801">
        <v>0.30402886053635197</v>
      </c>
      <c r="AI2801">
        <v>126.999845829047</v>
      </c>
      <c r="AJ2801">
        <v>70.455781858939503</v>
      </c>
      <c r="AK2801">
        <v>0.40395928772323703</v>
      </c>
      <c r="AL2801">
        <v>88.955728936743796</v>
      </c>
      <c r="AM2801">
        <v>86.128909741835201</v>
      </c>
      <c r="AN2801">
        <v>1.00000003920264</v>
      </c>
    </row>
    <row r="2802" spans="1:40" x14ac:dyDescent="0.25">
      <c r="A2802" t="str">
        <f>"20190312154608657"</f>
        <v>20190312154608657</v>
      </c>
      <c r="B2802" t="str">
        <f>"1552376768650151"</f>
        <v>1552376768650151</v>
      </c>
      <c r="C2802" t="s">
        <v>40</v>
      </c>
      <c r="D2802">
        <v>4.6340240000000001</v>
      </c>
      <c r="E2802">
        <v>0.53956389999999999</v>
      </c>
      <c r="F2802" t="s">
        <v>41</v>
      </c>
      <c r="G2802">
        <v>-357.27339999999998</v>
      </c>
      <c r="H2802">
        <v>0.87542739999999997</v>
      </c>
      <c r="I2802">
        <v>214.7285</v>
      </c>
      <c r="J2802">
        <v>-357.60910000000001</v>
      </c>
      <c r="K2802">
        <v>1.1090719999999901</v>
      </c>
      <c r="L2802">
        <v>214.8682</v>
      </c>
      <c r="M2802">
        <v>0.99996839999999998</v>
      </c>
      <c r="N2802">
        <v>0</v>
      </c>
      <c r="O2802">
        <v>-4.2464390000000003E-3</v>
      </c>
      <c r="P2802">
        <v>0.99733110000000003</v>
      </c>
      <c r="Q2802">
        <v>1.099645E-2</v>
      </c>
      <c r="R2802">
        <v>-7.2181330000000002E-2</v>
      </c>
      <c r="S2802">
        <v>2.9813540000000001</v>
      </c>
      <c r="T2802">
        <v>-0.82625939999999998</v>
      </c>
      <c r="U2802">
        <v>-0.50010679999999996</v>
      </c>
      <c r="V2802">
        <v>6.7913420000000002E-2</v>
      </c>
      <c r="W2802">
        <v>1.784022E-2</v>
      </c>
      <c r="X2802">
        <v>0.99753170000000002</v>
      </c>
      <c r="Y2802">
        <v>0.15569</v>
      </c>
      <c r="Z2802">
        <v>-1.9888570000000001E-2</v>
      </c>
      <c r="AA2802">
        <v>0.98760570000000003</v>
      </c>
      <c r="AB2802">
        <v>49</v>
      </c>
      <c r="AC2802">
        <v>0.33570000000003097</v>
      </c>
      <c r="AD2802">
        <v>-0.23364459999999901</v>
      </c>
      <c r="AE2802">
        <v>-0.13970000000000399</v>
      </c>
      <c r="AF2802">
        <v>9.7864775386323793E-2</v>
      </c>
      <c r="AG2802">
        <v>-0.23364459999999901</v>
      </c>
      <c r="AH2802">
        <v>0.23801410072972301</v>
      </c>
      <c r="AI2802">
        <v>132.236056433871</v>
      </c>
      <c r="AJ2802">
        <v>67.648898864209102</v>
      </c>
      <c r="AK2802">
        <v>0.34758887427067398</v>
      </c>
      <c r="AL2802">
        <v>88.977776458358406</v>
      </c>
      <c r="AM2802">
        <v>86.105229477088301</v>
      </c>
      <c r="AN2802">
        <v>0.99999999928531702</v>
      </c>
    </row>
    <row r="2803" spans="1:40" x14ac:dyDescent="0.25">
      <c r="A2803" t="str">
        <f>"20190312154608679"</f>
        <v>20190312154608679</v>
      </c>
      <c r="B2803" t="str">
        <f>"1552376768669670"</f>
        <v>1552376768669670</v>
      </c>
      <c r="C2803" t="s">
        <v>40</v>
      </c>
      <c r="D2803">
        <v>4.6021700000000001</v>
      </c>
      <c r="E2803">
        <v>0.53966569999999903</v>
      </c>
      <c r="F2803" t="s">
        <v>41</v>
      </c>
      <c r="G2803">
        <v>-356.82870000000003</v>
      </c>
      <c r="H2803">
        <v>0.89302669999999995</v>
      </c>
      <c r="I2803">
        <v>214.73679999999999</v>
      </c>
      <c r="J2803">
        <v>-357.13400000000001</v>
      </c>
      <c r="K2803">
        <v>1.1091690000000001</v>
      </c>
      <c r="L2803">
        <v>214.86660000000001</v>
      </c>
      <c r="M2803">
        <v>0.99997029999999998</v>
      </c>
      <c r="N2803">
        <v>0</v>
      </c>
      <c r="O2803">
        <v>-3.4710090000000002E-3</v>
      </c>
      <c r="P2803">
        <v>0.99737229999999999</v>
      </c>
      <c r="Q2803">
        <v>9.7154159999999993E-3</v>
      </c>
      <c r="R2803">
        <v>-7.1795090000000006E-2</v>
      </c>
      <c r="S2803">
        <v>2.9808650000000001</v>
      </c>
      <c r="T2803">
        <v>-0.82534159999999901</v>
      </c>
      <c r="U2803">
        <v>-0.50097659999999999</v>
      </c>
      <c r="V2803">
        <v>6.8300040000000006E-2</v>
      </c>
      <c r="W2803">
        <v>1.6734120000000002E-2</v>
      </c>
      <c r="X2803">
        <v>0.99752450000000004</v>
      </c>
      <c r="Y2803">
        <v>0.15670680000000001</v>
      </c>
      <c r="Z2803">
        <v>-2.021647E-2</v>
      </c>
      <c r="AA2803">
        <v>0.98743829999999999</v>
      </c>
      <c r="AB2803">
        <v>49</v>
      </c>
      <c r="AC2803">
        <v>0.30529999999998803</v>
      </c>
      <c r="AD2803">
        <v>-0.21614230000000001</v>
      </c>
      <c r="AE2803">
        <v>-0.12980000000001701</v>
      </c>
      <c r="AF2803">
        <v>9.0375983730297899E-2</v>
      </c>
      <c r="AG2803">
        <v>-0.21614230000000001</v>
      </c>
      <c r="AH2803">
        <v>0.21463763339855499</v>
      </c>
      <c r="AI2803">
        <v>132.86417452061301</v>
      </c>
      <c r="AJ2803">
        <v>67.165837158290003</v>
      </c>
      <c r="AK2803">
        <v>0.31773357700350402</v>
      </c>
      <c r="AL2803">
        <v>89.041160821888596</v>
      </c>
      <c r="AM2803">
        <v>86.0830978228433</v>
      </c>
      <c r="AN2803">
        <v>1.0000000271682099</v>
      </c>
    </row>
    <row r="2804" spans="1:40" x14ac:dyDescent="0.25">
      <c r="A2804" t="str">
        <f>"20190312154608701"</f>
        <v>20190312154608701</v>
      </c>
      <c r="B2804" t="str">
        <f>"1552376768699927"</f>
        <v>1552376768699927</v>
      </c>
      <c r="C2804" t="s">
        <v>40</v>
      </c>
      <c r="D2804">
        <v>4.2564440000000001</v>
      </c>
      <c r="E2804">
        <v>0.53988049999999999</v>
      </c>
      <c r="F2804" t="s">
        <v>41</v>
      </c>
      <c r="G2804">
        <v>-356.38699999999898</v>
      </c>
      <c r="H2804">
        <v>0.90164580000000005</v>
      </c>
      <c r="I2804">
        <v>214.7406</v>
      </c>
      <c r="J2804">
        <v>-356.6422</v>
      </c>
      <c r="K2804">
        <v>1.1092500000000001</v>
      </c>
      <c r="L2804">
        <v>214.86539999999999</v>
      </c>
      <c r="M2804">
        <v>0.99997159999999996</v>
      </c>
      <c r="N2804">
        <v>0</v>
      </c>
      <c r="O2804">
        <v>-2.6110790000000001E-3</v>
      </c>
      <c r="P2804">
        <v>0.99746009999999996</v>
      </c>
      <c r="Q2804">
        <v>7.4366240000000002E-3</v>
      </c>
      <c r="R2804">
        <v>-7.0840139999999996E-2</v>
      </c>
      <c r="S2804">
        <v>2.979889</v>
      </c>
      <c r="T2804">
        <v>-0.82792199999999905</v>
      </c>
      <c r="U2804">
        <v>-0.50117489999999998</v>
      </c>
      <c r="V2804">
        <v>6.8204570000000006E-2</v>
      </c>
      <c r="W2804">
        <v>1.46363E-2</v>
      </c>
      <c r="X2804">
        <v>0.99756400000000001</v>
      </c>
      <c r="Y2804">
        <v>0.1575704</v>
      </c>
      <c r="Z2804">
        <v>-2.0633499999999999E-2</v>
      </c>
      <c r="AA2804">
        <v>0.98729219999999895</v>
      </c>
      <c r="AB2804">
        <v>49</v>
      </c>
      <c r="AC2804">
        <v>0.25520000000005799</v>
      </c>
      <c r="AD2804">
        <v>-0.20760419999999999</v>
      </c>
      <c r="AE2804">
        <v>-0.124799999999993</v>
      </c>
      <c r="AF2804">
        <v>8.0918256255710294E-2</v>
      </c>
      <c r="AG2804">
        <v>-0.20760419999999999</v>
      </c>
      <c r="AH2804">
        <v>0.166568136006362</v>
      </c>
      <c r="AI2804">
        <v>138.26704467660801</v>
      </c>
      <c r="AJ2804">
        <v>64.089669971889705</v>
      </c>
      <c r="AK2804">
        <v>0.27819455779317198</v>
      </c>
      <c r="AL2804">
        <v>89.161371846355294</v>
      </c>
      <c r="AM2804">
        <v>86.0887102721574</v>
      </c>
      <c r="AN2804">
        <v>1.00000000937128</v>
      </c>
    </row>
    <row r="2805" spans="1:40" x14ac:dyDescent="0.25">
      <c r="A2805" t="str">
        <f>"20190312154608724"</f>
        <v>20190312154608724</v>
      </c>
      <c r="B2805" t="str">
        <f>"1552376768709687"</f>
        <v>1552376768709687</v>
      </c>
      <c r="C2805" t="s">
        <v>40</v>
      </c>
      <c r="D2805">
        <v>3.8973460000000002</v>
      </c>
      <c r="E2805">
        <v>0.54652299999999998</v>
      </c>
      <c r="F2805" t="s">
        <v>41</v>
      </c>
      <c r="G2805">
        <v>-355.94349999999997</v>
      </c>
      <c r="H2805">
        <v>0.91359040000000002</v>
      </c>
      <c r="I2805">
        <v>214.74770000000001</v>
      </c>
      <c r="J2805">
        <v>-356.15980000000002</v>
      </c>
      <c r="K2805">
        <v>1.109318</v>
      </c>
      <c r="L2805">
        <v>214.8646</v>
      </c>
      <c r="M2805">
        <v>0.99997239999999998</v>
      </c>
      <c r="N2805">
        <v>0</v>
      </c>
      <c r="O2805">
        <v>-1.726242E-3</v>
      </c>
      <c r="P2805">
        <v>0.99757870000000004</v>
      </c>
      <c r="Q2805">
        <v>4.9721390000000004E-3</v>
      </c>
      <c r="R2805">
        <v>-6.9368559999999996E-2</v>
      </c>
      <c r="S2805">
        <v>2.9783019999999998</v>
      </c>
      <c r="T2805">
        <v>-0.83397030000000005</v>
      </c>
      <c r="U2805">
        <v>-0.50106809999999902</v>
      </c>
      <c r="V2805">
        <v>6.7618730000000002E-2</v>
      </c>
      <c r="W2805">
        <v>1.234149E-2</v>
      </c>
      <c r="X2805">
        <v>0.99763489999999999</v>
      </c>
      <c r="Y2805">
        <v>0.1583444</v>
      </c>
      <c r="Z2805">
        <v>-2.1136470000000001E-2</v>
      </c>
      <c r="AA2805">
        <v>0.98715770000000003</v>
      </c>
      <c r="AB2805">
        <v>49</v>
      </c>
      <c r="AC2805">
        <v>0.21630000000004601</v>
      </c>
      <c r="AD2805">
        <v>-0.1957276</v>
      </c>
      <c r="AE2805">
        <v>-0.116899999999986</v>
      </c>
      <c r="AF2805">
        <v>7.1325757880234694E-2</v>
      </c>
      <c r="AG2805">
        <v>-0.1957276</v>
      </c>
      <c r="AH2805">
        <v>0.13252042649085399</v>
      </c>
      <c r="AI2805">
        <v>142.443134972076</v>
      </c>
      <c r="AJ2805">
        <v>61.709768003211302</v>
      </c>
      <c r="AK2805">
        <v>0.246897388759516</v>
      </c>
      <c r="AL2805">
        <v>89.292866758012494</v>
      </c>
      <c r="AM2805">
        <v>86.122477920059296</v>
      </c>
      <c r="AN2805">
        <v>0.99999999936012096</v>
      </c>
    </row>
    <row r="2806" spans="1:40" x14ac:dyDescent="0.25">
      <c r="A2806" t="str">
        <f>"20190312154608745"</f>
        <v>20190312154608745</v>
      </c>
      <c r="B2806" t="str">
        <f>"1552376768709687"</f>
        <v>1552376768709687</v>
      </c>
      <c r="C2806" t="s">
        <v>40</v>
      </c>
      <c r="D2806">
        <v>3.8973460000000002</v>
      </c>
      <c r="E2806">
        <v>0.54652299999999998</v>
      </c>
      <c r="F2806" t="s">
        <v>54</v>
      </c>
      <c r="G2806">
        <v>-354.08909999999997</v>
      </c>
      <c r="H2806" s="1">
        <v>6.4436970000000002E-7</v>
      </c>
      <c r="I2806">
        <v>214.4992</v>
      </c>
      <c r="J2806">
        <v>-355.68049999999999</v>
      </c>
      <c r="K2806">
        <v>1.1093759999999999</v>
      </c>
      <c r="L2806">
        <v>214.86429999999999</v>
      </c>
      <c r="M2806">
        <v>0.99997250000000004</v>
      </c>
      <c r="N2806">
        <v>0</v>
      </c>
      <c r="O2806">
        <v>-8.1876279999999995E-4</v>
      </c>
      <c r="P2806">
        <v>0.99762309999999998</v>
      </c>
      <c r="Q2806">
        <v>3.666444E-3</v>
      </c>
      <c r="R2806">
        <v>-6.8811310000000001E-2</v>
      </c>
      <c r="S2806">
        <v>2.9786990000000002</v>
      </c>
      <c r="T2806">
        <v>-1.5957730000000001</v>
      </c>
      <c r="U2806">
        <v>-0.52557369999999903</v>
      </c>
      <c r="V2806">
        <v>6.796787E-2</v>
      </c>
      <c r="W2806">
        <v>1.119525E-2</v>
      </c>
      <c r="X2806">
        <v>0.99762470000000003</v>
      </c>
      <c r="Y2806">
        <v>0.15306539999999999</v>
      </c>
      <c r="Z2806">
        <v>-3.7765510000000002E-2</v>
      </c>
      <c r="AA2806">
        <v>0.98749419999999999</v>
      </c>
      <c r="AB2806">
        <v>49</v>
      </c>
      <c r="AC2806">
        <v>1.5914000000000199</v>
      </c>
      <c r="AD2806">
        <v>-1.1093753556303001</v>
      </c>
      <c r="AE2806">
        <v>-0.36509999999998399</v>
      </c>
      <c r="AF2806">
        <v>0.248893171928633</v>
      </c>
      <c r="AG2806">
        <v>-1.1093753556303001</v>
      </c>
      <c r="AH2806">
        <v>1.0889672368013501</v>
      </c>
      <c r="AI2806">
        <v>134.80253550281199</v>
      </c>
      <c r="AJ2806">
        <v>77.125679727885796</v>
      </c>
      <c r="AK2806">
        <v>1.57432878825845</v>
      </c>
      <c r="AL2806">
        <v>89.358546026891702</v>
      </c>
      <c r="AM2806">
        <v>86.102478689412493</v>
      </c>
      <c r="AN2806">
        <v>1.0000000035124901</v>
      </c>
    </row>
    <row r="2807" spans="1:40" x14ac:dyDescent="0.25">
      <c r="A2807" t="str">
        <f>"20190312154608859"</f>
        <v>20190312154608859</v>
      </c>
      <c r="B2807" t="str">
        <f>"1552376768850231"</f>
        <v>1552376768850231</v>
      </c>
      <c r="C2807" t="s">
        <v>40</v>
      </c>
      <c r="D2807">
        <v>4.0493889999999997</v>
      </c>
      <c r="E2807">
        <v>0.52736810000000001</v>
      </c>
      <c r="F2807" t="s">
        <v>54</v>
      </c>
      <c r="G2807">
        <v>-353.61599999999999</v>
      </c>
      <c r="H2807" s="1">
        <v>3.925142E-7</v>
      </c>
      <c r="I2807">
        <v>214.5009</v>
      </c>
      <c r="J2807">
        <v>-353.16419999999999</v>
      </c>
      <c r="K2807">
        <v>1.109591</v>
      </c>
      <c r="L2807">
        <v>214.86959999999999</v>
      </c>
      <c r="M2807">
        <v>0.99995959999999995</v>
      </c>
      <c r="N2807">
        <v>0</v>
      </c>
      <c r="O2807">
        <v>4.1256030000000003E-3</v>
      </c>
      <c r="P2807">
        <v>0.99786160000000002</v>
      </c>
      <c r="Q2807">
        <v>6.8224490000000004E-3</v>
      </c>
      <c r="R2807">
        <v>-6.5005869999999993E-2</v>
      </c>
      <c r="S2807">
        <v>2.9768979999999998</v>
      </c>
      <c r="T2807">
        <v>-1.59968</v>
      </c>
      <c r="U2807">
        <v>-0.5239258</v>
      </c>
      <c r="V2807">
        <v>6.907953E-2</v>
      </c>
      <c r="W2807">
        <v>1.498817E-2</v>
      </c>
      <c r="X2807">
        <v>0.99749860000000001</v>
      </c>
      <c r="Y2807">
        <v>0.15630849999999999</v>
      </c>
      <c r="Z2807">
        <v>-4.1152830000000001E-2</v>
      </c>
      <c r="AA2807">
        <v>0.98685060000000002</v>
      </c>
      <c r="AB2807">
        <v>50</v>
      </c>
      <c r="AC2807">
        <v>-0.45179999999999099</v>
      </c>
      <c r="AD2807">
        <v>-1.1095906074858</v>
      </c>
      <c r="AE2807">
        <v>-0.36869999999998898</v>
      </c>
      <c r="AF2807">
        <v>7.9392788179573695E-2</v>
      </c>
      <c r="AG2807">
        <v>-1.1095906074858</v>
      </c>
      <c r="AH2807">
        <v>-9.8110419806348104E-2</v>
      </c>
      <c r="AI2807">
        <v>173.51082003411599</v>
      </c>
      <c r="AJ2807">
        <v>-51.019567630079898</v>
      </c>
      <c r="AK2807">
        <v>1.11674535392371</v>
      </c>
      <c r="AL2807">
        <v>89.141208996388102</v>
      </c>
      <c r="AM2807">
        <v>86.038434268838898</v>
      </c>
      <c r="AN2807">
        <v>1.00000004185346</v>
      </c>
    </row>
    <row r="2808" spans="1:40" x14ac:dyDescent="0.25">
      <c r="A2808" t="str">
        <f>"20190312154608880"</f>
        <v>20190312154608880</v>
      </c>
      <c r="B2808" t="str">
        <f>"1552376768869750"</f>
        <v>1552376768869750</v>
      </c>
      <c r="C2808" t="s">
        <v>40</v>
      </c>
      <c r="D2808">
        <v>4.6455659999999996</v>
      </c>
      <c r="E2808">
        <v>0.525053199999999</v>
      </c>
      <c r="F2808" t="s">
        <v>41</v>
      </c>
      <c r="G2808">
        <v>-352.4162</v>
      </c>
      <c r="H2808">
        <v>0.90389699999999995</v>
      </c>
      <c r="I2808">
        <v>214.77350000000001</v>
      </c>
      <c r="J2808">
        <v>-352.69389999999999</v>
      </c>
      <c r="K2808">
        <v>1.109613</v>
      </c>
      <c r="L2808">
        <v>214.87200000000001</v>
      </c>
      <c r="M2808">
        <v>0.99995469999999997</v>
      </c>
      <c r="N2808">
        <v>0</v>
      </c>
      <c r="O2808">
        <v>5.0607320000000001E-3</v>
      </c>
      <c r="P2808">
        <v>0.99793209999999999</v>
      </c>
      <c r="Q2808">
        <v>7.9724429999999992E-3</v>
      </c>
      <c r="R2808">
        <v>-6.3781340000000006E-2</v>
      </c>
      <c r="S2808">
        <v>2.9870299999999999</v>
      </c>
      <c r="T2808">
        <v>-0.82144419999999996</v>
      </c>
      <c r="U2808">
        <v>-0.38410949999999999</v>
      </c>
      <c r="V2808">
        <v>6.8783769999999994E-2</v>
      </c>
      <c r="W2808">
        <v>1.6222070000000002E-2</v>
      </c>
      <c r="X2808">
        <v>0.99749969999999999</v>
      </c>
      <c r="Y2808">
        <v>0.12770909999999999</v>
      </c>
      <c r="Z2808">
        <v>-1.8534470000000001E-2</v>
      </c>
      <c r="AA2808">
        <v>0.99163849999999998</v>
      </c>
      <c r="AB2808">
        <v>50</v>
      </c>
      <c r="AC2808">
        <v>0.27769999999998102</v>
      </c>
      <c r="AD2808">
        <v>-0.20571599999999901</v>
      </c>
      <c r="AE2808">
        <v>-9.8500000000001295E-2</v>
      </c>
      <c r="AF2808">
        <v>6.7165289500153894E-2</v>
      </c>
      <c r="AG2808">
        <v>-0.20571599999999901</v>
      </c>
      <c r="AH2808">
        <v>0.186359428910542</v>
      </c>
      <c r="AI2808">
        <v>136.081421910676</v>
      </c>
      <c r="AJ2808">
        <v>70.180469658942101</v>
      </c>
      <c r="AK2808">
        <v>0.28558726427049003</v>
      </c>
      <c r="AL2808">
        <v>89.070503090487904</v>
      </c>
      <c r="AM2808">
        <v>86.055346158364699</v>
      </c>
      <c r="AN2808">
        <v>1.0000000070352899</v>
      </c>
    </row>
    <row r="2809" spans="1:40" x14ac:dyDescent="0.25">
      <c r="A2809" t="str">
        <f>"20190312154608901"</f>
        <v>20190312154608901</v>
      </c>
      <c r="B2809" t="str">
        <f>"1552376768890247"</f>
        <v>1552376768890247</v>
      </c>
      <c r="C2809" t="s">
        <v>40</v>
      </c>
      <c r="D2809">
        <v>5.1628619999999996</v>
      </c>
      <c r="E2809">
        <v>0.51853669999999996</v>
      </c>
      <c r="F2809" t="s">
        <v>41</v>
      </c>
      <c r="G2809">
        <v>-351.95359999999999</v>
      </c>
      <c r="H2809">
        <v>0.9442469</v>
      </c>
      <c r="I2809">
        <v>214.7807</v>
      </c>
      <c r="J2809">
        <v>-352.21429999999998</v>
      </c>
      <c r="K2809">
        <v>1.109626</v>
      </c>
      <c r="L2809">
        <v>214.87479999999999</v>
      </c>
      <c r="M2809">
        <v>0.99994890000000003</v>
      </c>
      <c r="N2809">
        <v>0</v>
      </c>
      <c r="O2809">
        <v>6.0154029999999999E-3</v>
      </c>
      <c r="P2809">
        <v>0.99799450000000001</v>
      </c>
      <c r="Q2809">
        <v>8.0616330000000003E-3</v>
      </c>
      <c r="R2809">
        <v>-6.2787200000000001E-2</v>
      </c>
      <c r="S2809">
        <v>2.9880979999999999</v>
      </c>
      <c r="T2809">
        <v>-0.6675721</v>
      </c>
      <c r="U2809">
        <v>-0.36697390000000002</v>
      </c>
      <c r="V2809">
        <v>6.8741140000000006E-2</v>
      </c>
      <c r="W2809">
        <v>1.6391800000000002E-2</v>
      </c>
      <c r="X2809">
        <v>0.99749989999999999</v>
      </c>
      <c r="Y2809">
        <v>0.1246891</v>
      </c>
      <c r="Z2809">
        <v>-1.503208E-2</v>
      </c>
      <c r="AA2809">
        <v>0.99208200000000002</v>
      </c>
      <c r="AB2809">
        <v>50</v>
      </c>
      <c r="AC2809">
        <v>0.260699999999985</v>
      </c>
      <c r="AD2809">
        <v>-0.165379099999999</v>
      </c>
      <c r="AE2809">
        <v>-9.4099999999997394E-2</v>
      </c>
      <c r="AF2809">
        <v>7.0548819347982197E-2</v>
      </c>
      <c r="AG2809">
        <v>-0.165379099999999</v>
      </c>
      <c r="AH2809">
        <v>0.19183096040519501</v>
      </c>
      <c r="AI2809">
        <v>128.977204180233</v>
      </c>
      <c r="AJ2809">
        <v>69.808216368390902</v>
      </c>
      <c r="AK2809">
        <v>0.26291918910224799</v>
      </c>
      <c r="AL2809">
        <v>89.060777018389402</v>
      </c>
      <c r="AM2809">
        <v>86.057784006778405</v>
      </c>
      <c r="AN2809">
        <v>1.0000000429678699</v>
      </c>
    </row>
    <row r="2810" spans="1:40" x14ac:dyDescent="0.25">
      <c r="A2810" t="str">
        <f>"20190312154608925"</f>
        <v>20190312154608925</v>
      </c>
      <c r="B2810" t="str">
        <f>"1552376768919527"</f>
        <v>1552376768919527</v>
      </c>
      <c r="C2810" t="s">
        <v>40</v>
      </c>
      <c r="D2810">
        <v>4.6191459999999998</v>
      </c>
      <c r="E2810">
        <v>0.51549920000000005</v>
      </c>
      <c r="F2810" t="s">
        <v>41</v>
      </c>
      <c r="G2810">
        <v>-351.4896</v>
      </c>
      <c r="H2810">
        <v>0.98465910000000001</v>
      </c>
      <c r="I2810">
        <v>214.7979</v>
      </c>
      <c r="J2810">
        <v>-351.71420000000001</v>
      </c>
      <c r="K2810">
        <v>1.109648</v>
      </c>
      <c r="L2810">
        <v>214.8783</v>
      </c>
      <c r="M2810">
        <v>0.99994159999999999</v>
      </c>
      <c r="N2810">
        <v>0</v>
      </c>
      <c r="O2810">
        <v>7.0109219999999898E-3</v>
      </c>
      <c r="P2810">
        <v>0.99808140000000001</v>
      </c>
      <c r="Q2810">
        <v>8.2010620000000003E-3</v>
      </c>
      <c r="R2810">
        <v>-6.136987E-2</v>
      </c>
      <c r="S2810">
        <v>2.9902340000000001</v>
      </c>
      <c r="T2810">
        <v>-0.51577340000000005</v>
      </c>
      <c r="U2810">
        <v>-0.31721500000000002</v>
      </c>
      <c r="V2810">
        <v>6.8316230000000006E-2</v>
      </c>
      <c r="W2810">
        <v>1.6619700000000001E-2</v>
      </c>
      <c r="X2810">
        <v>0.99752529999999995</v>
      </c>
      <c r="Y2810">
        <v>0.1107413</v>
      </c>
      <c r="Z2810">
        <v>-1.065199E-2</v>
      </c>
      <c r="AA2810">
        <v>0.99379220000000001</v>
      </c>
      <c r="AB2810">
        <v>50</v>
      </c>
      <c r="AC2810">
        <v>0.22460000000000899</v>
      </c>
      <c r="AD2810">
        <v>-0.124988899999999</v>
      </c>
      <c r="AE2810">
        <v>-8.0399999999997293E-2</v>
      </c>
      <c r="AF2810">
        <v>6.4317013074957602E-2</v>
      </c>
      <c r="AG2810">
        <v>-0.124988899999999</v>
      </c>
      <c r="AH2810">
        <v>0.175777855942745</v>
      </c>
      <c r="AI2810">
        <v>123.733589628145</v>
      </c>
      <c r="AJ2810">
        <v>69.902457126980394</v>
      </c>
      <c r="AK2810">
        <v>0.22507056212202201</v>
      </c>
      <c r="AL2810">
        <v>89.047717512599803</v>
      </c>
      <c r="AM2810">
        <v>86.082175374628704</v>
      </c>
      <c r="AN2810">
        <v>1.0000000229247901</v>
      </c>
    </row>
    <row r="2811" spans="1:40" x14ac:dyDescent="0.25">
      <c r="A2811" t="str">
        <f>"20190312154608946"</f>
        <v>20190312154608946</v>
      </c>
      <c r="B2811" t="str">
        <f>"1552376768940023"</f>
        <v>1552376768940023</v>
      </c>
      <c r="C2811" t="s">
        <v>40</v>
      </c>
      <c r="D2811">
        <v>4.6239160000000004</v>
      </c>
      <c r="E2811">
        <v>0.51300270000000003</v>
      </c>
      <c r="F2811" t="s">
        <v>41</v>
      </c>
      <c r="G2811">
        <v>-350.6028</v>
      </c>
      <c r="H2811">
        <v>0.9736264</v>
      </c>
      <c r="I2811">
        <v>214.7688</v>
      </c>
      <c r="J2811">
        <v>-351.21910000000003</v>
      </c>
      <c r="K2811">
        <v>1.109675</v>
      </c>
      <c r="L2811">
        <v>214.88229999999999</v>
      </c>
      <c r="M2811">
        <v>0.99993339999999997</v>
      </c>
      <c r="N2811">
        <v>0</v>
      </c>
      <c r="O2811">
        <v>7.9957589999999999E-3</v>
      </c>
      <c r="P2811">
        <v>0.99813810000000003</v>
      </c>
      <c r="Q2811">
        <v>8.4061259999999999E-3</v>
      </c>
      <c r="R2811">
        <v>-6.0415389999999999E-2</v>
      </c>
      <c r="S2811">
        <v>2.9907530000000002</v>
      </c>
      <c r="T2811">
        <v>-0.36607499999999998</v>
      </c>
      <c r="U2811">
        <v>-0.2941742</v>
      </c>
      <c r="V2811">
        <v>6.8342979999999998E-2</v>
      </c>
      <c r="W2811">
        <v>1.693532E-2</v>
      </c>
      <c r="X2811">
        <v>0.99751809999999996</v>
      </c>
      <c r="Y2811">
        <v>0.1050078</v>
      </c>
      <c r="Z2811">
        <v>-7.3603269999999998E-3</v>
      </c>
      <c r="AA2811">
        <v>0.99444410000000005</v>
      </c>
      <c r="AB2811">
        <v>50</v>
      </c>
      <c r="AC2811">
        <v>0.61630000000002305</v>
      </c>
      <c r="AD2811">
        <v>-0.13604859999999899</v>
      </c>
      <c r="AE2811">
        <v>-0.113499999999987</v>
      </c>
      <c r="AF2811">
        <v>0.11309395236836201</v>
      </c>
      <c r="AG2811">
        <v>-0.13604859999999899</v>
      </c>
      <c r="AH2811">
        <v>0.58767431569167305</v>
      </c>
      <c r="AI2811">
        <v>102.807501347238</v>
      </c>
      <c r="AJ2811">
        <v>79.106983514234201</v>
      </c>
      <c r="AK2811">
        <v>0.61372678363253297</v>
      </c>
      <c r="AL2811">
        <v>89.029631216051001</v>
      </c>
      <c r="AM2811">
        <v>86.080617884468296</v>
      </c>
      <c r="AN2811">
        <v>0.99999996390319501</v>
      </c>
    </row>
    <row r="2812" spans="1:40" x14ac:dyDescent="0.25">
      <c r="A2812" t="str">
        <f>"20190312154608970"</f>
        <v>20190312154608970</v>
      </c>
      <c r="B2812" t="str">
        <f>"1552376768959543"</f>
        <v>1552376768959543</v>
      </c>
      <c r="C2812" t="s">
        <v>40</v>
      </c>
      <c r="D2812">
        <v>4.6438199999999998</v>
      </c>
      <c r="E2812">
        <v>0.51236349999999997</v>
      </c>
      <c r="F2812" t="s">
        <v>41</v>
      </c>
      <c r="G2812">
        <v>-350.14499999999998</v>
      </c>
      <c r="H2812">
        <v>0.99809780000000003</v>
      </c>
      <c r="I2812">
        <v>214.78399999999999</v>
      </c>
      <c r="J2812">
        <v>-350.70850000000002</v>
      </c>
      <c r="K2812">
        <v>1.1097049999999999</v>
      </c>
      <c r="L2812">
        <v>214.8869</v>
      </c>
      <c r="M2812">
        <v>0.99992349999999997</v>
      </c>
      <c r="N2812">
        <v>0</v>
      </c>
      <c r="O2812">
        <v>9.0124679999999992E-3</v>
      </c>
      <c r="P2812">
        <v>0.99819380000000002</v>
      </c>
      <c r="Q2812">
        <v>8.4407909999999996E-3</v>
      </c>
      <c r="R2812">
        <v>-5.9482390000000003E-2</v>
      </c>
      <c r="S2812">
        <v>2.9916689999999999</v>
      </c>
      <c r="T2812">
        <v>-0.3108341</v>
      </c>
      <c r="U2812">
        <v>-0.27339170000000002</v>
      </c>
      <c r="V2812">
        <v>6.8423429999999993E-2</v>
      </c>
      <c r="W2812">
        <v>1.7102659999999999E-2</v>
      </c>
      <c r="X2812">
        <v>0.9975098</v>
      </c>
      <c r="Y2812">
        <v>9.9397979999999997E-2</v>
      </c>
      <c r="Z2812">
        <v>-6.0713119999999997E-3</v>
      </c>
      <c r="AA2812">
        <v>0.99502919999999995</v>
      </c>
      <c r="AB2812">
        <v>50</v>
      </c>
      <c r="AC2812">
        <v>0.56350000000003297</v>
      </c>
      <c r="AD2812">
        <v>-0.111607199999999</v>
      </c>
      <c r="AE2812">
        <v>-0.102899999999976</v>
      </c>
      <c r="AF2812">
        <v>0.10402549663590201</v>
      </c>
      <c r="AG2812">
        <v>-0.111607199999999</v>
      </c>
      <c r="AH2812">
        <v>0.541975152323244</v>
      </c>
      <c r="AI2812">
        <v>101.43302620876401</v>
      </c>
      <c r="AJ2812">
        <v>79.134914010141003</v>
      </c>
      <c r="AK2812">
        <v>0.56304043973589502</v>
      </c>
      <c r="AL2812">
        <v>89.020042019727299</v>
      </c>
      <c r="AM2812">
        <v>86.075986036701494</v>
      </c>
      <c r="AN2812">
        <v>1.00000003392403</v>
      </c>
    </row>
    <row r="2813" spans="1:40" x14ac:dyDescent="0.25">
      <c r="A2813" t="str">
        <f>"20190312154608994"</f>
        <v>20190312154608994</v>
      </c>
      <c r="B2813" t="str">
        <f>"1552376768980039"</f>
        <v>1552376768980039</v>
      </c>
      <c r="C2813" t="s">
        <v>40</v>
      </c>
      <c r="D2813">
        <v>4.6097260000000002</v>
      </c>
      <c r="E2813">
        <v>0.51215480000000002</v>
      </c>
      <c r="F2813" t="s">
        <v>41</v>
      </c>
      <c r="G2813">
        <v>-349.68900000000002</v>
      </c>
      <c r="H2813">
        <v>1.0174780000000001</v>
      </c>
      <c r="I2813">
        <v>214.79570000000001</v>
      </c>
      <c r="J2813">
        <v>-350.17230000000001</v>
      </c>
      <c r="K2813">
        <v>1.1097490000000001</v>
      </c>
      <c r="L2813">
        <v>214.89230000000001</v>
      </c>
      <c r="M2813">
        <v>0.99991180000000002</v>
      </c>
      <c r="N2813">
        <v>0</v>
      </c>
      <c r="O2813">
        <v>1.0078429999999999E-2</v>
      </c>
      <c r="P2813">
        <v>0.99824170000000001</v>
      </c>
      <c r="Q2813">
        <v>8.0537930000000001E-3</v>
      </c>
      <c r="R2813">
        <v>-5.8728820000000001E-2</v>
      </c>
      <c r="S2813">
        <v>2.9918209999999998</v>
      </c>
      <c r="T2813">
        <v>-0.27073819999999998</v>
      </c>
      <c r="U2813">
        <v>-0.26696779999999998</v>
      </c>
      <c r="V2813">
        <v>6.8733989999999995E-2</v>
      </c>
      <c r="W2813">
        <v>1.6904809999999999E-2</v>
      </c>
      <c r="X2813">
        <v>0.99749180000000004</v>
      </c>
      <c r="Y2813">
        <v>9.8473630000000006E-2</v>
      </c>
      <c r="Z2813">
        <v>-5.3462249999999996E-3</v>
      </c>
      <c r="AA2813">
        <v>0.99512529999999999</v>
      </c>
      <c r="AB2813">
        <v>50</v>
      </c>
      <c r="AC2813">
        <v>0.48329999999998502</v>
      </c>
      <c r="AD2813">
        <v>-9.22709999999997E-2</v>
      </c>
      <c r="AE2813">
        <v>-9.6599999999995106E-2</v>
      </c>
      <c r="AF2813">
        <v>9.8030250410394495E-2</v>
      </c>
      <c r="AG2813">
        <v>-9.22709999999997E-2</v>
      </c>
      <c r="AH2813">
        <v>0.46596974143314002</v>
      </c>
      <c r="AI2813">
        <v>100.96671485148499</v>
      </c>
      <c r="AJ2813">
        <v>78.119424296350104</v>
      </c>
      <c r="AK2813">
        <v>0.48502749135259599</v>
      </c>
      <c r="AL2813">
        <v>89.031379607730997</v>
      </c>
      <c r="AM2813">
        <v>86.058160849375497</v>
      </c>
      <c r="AN2813">
        <v>1.0000000125248401</v>
      </c>
    </row>
    <row r="2814" spans="1:40" x14ac:dyDescent="0.25">
      <c r="A2814" t="str">
        <f>"20190312154609018"</f>
        <v>20190312154609018</v>
      </c>
      <c r="B2814" t="str">
        <f>"1552376769010294"</f>
        <v>1552376769010294</v>
      </c>
      <c r="C2814" t="s">
        <v>40</v>
      </c>
      <c r="D2814">
        <v>4.6365210000000001</v>
      </c>
      <c r="E2814">
        <v>0.51146190000000002</v>
      </c>
      <c r="F2814" t="s">
        <v>41</v>
      </c>
      <c r="G2814">
        <v>-349.23399999999998</v>
      </c>
      <c r="H2814">
        <v>1.034524</v>
      </c>
      <c r="I2814">
        <v>214.80930000000001</v>
      </c>
      <c r="J2814">
        <v>-349.66019999999997</v>
      </c>
      <c r="K2814">
        <v>1.109812</v>
      </c>
      <c r="L2814">
        <v>214.898</v>
      </c>
      <c r="M2814">
        <v>0.99989879999999998</v>
      </c>
      <c r="N2814">
        <v>0</v>
      </c>
      <c r="O2814">
        <v>1.1094990000000001E-2</v>
      </c>
      <c r="P2814">
        <v>0.99827399999999999</v>
      </c>
      <c r="Q2814">
        <v>7.6365690000000002E-3</v>
      </c>
      <c r="R2814">
        <v>-5.8232329999999999E-2</v>
      </c>
      <c r="S2814">
        <v>2.9916990000000001</v>
      </c>
      <c r="T2814">
        <v>-0.2399461</v>
      </c>
      <c r="U2814">
        <v>-0.26400759999999901</v>
      </c>
      <c r="V2814">
        <v>6.9252030000000006E-2</v>
      </c>
      <c r="W2814">
        <v>1.6748430000000002E-2</v>
      </c>
      <c r="X2814">
        <v>0.99745859999999997</v>
      </c>
      <c r="Y2814">
        <v>9.8602529999999994E-2</v>
      </c>
      <c r="Z2814">
        <v>-4.8270489999999999E-3</v>
      </c>
      <c r="AA2814">
        <v>0.99511519999999998</v>
      </c>
      <c r="AB2814">
        <v>50</v>
      </c>
      <c r="AC2814">
        <v>0.42619999999993702</v>
      </c>
      <c r="AD2814">
        <v>-7.5287999999999994E-2</v>
      </c>
      <c r="AE2814">
        <v>-8.8699999999988594E-2</v>
      </c>
      <c r="AF2814">
        <v>9.0710307425964795E-2</v>
      </c>
      <c r="AG2814">
        <v>-7.5287999999999994E-2</v>
      </c>
      <c r="AH2814">
        <v>0.41284168966612</v>
      </c>
      <c r="AI2814">
        <v>100.09940730358301</v>
      </c>
      <c r="AJ2814">
        <v>77.607787735416593</v>
      </c>
      <c r="AK2814">
        <v>0.42934240827536502</v>
      </c>
      <c r="AL2814">
        <v>89.040340784203195</v>
      </c>
      <c r="AM2814">
        <v>86.028414620581401</v>
      </c>
      <c r="AN2814">
        <v>1.0000000061402701</v>
      </c>
    </row>
    <row r="2815" spans="1:40" x14ac:dyDescent="0.25">
      <c r="A2815" t="str">
        <f>"20190312154609038"</f>
        <v>20190312154609038</v>
      </c>
      <c r="B2815" t="str">
        <f>"1552376769029815"</f>
        <v>1552376769029815</v>
      </c>
      <c r="C2815" t="s">
        <v>40</v>
      </c>
      <c r="D2815">
        <v>4.6507899999999998</v>
      </c>
      <c r="E2815">
        <v>0.51121379999999905</v>
      </c>
      <c r="F2815" t="s">
        <v>41</v>
      </c>
      <c r="G2815">
        <v>-348.78</v>
      </c>
      <c r="H2815">
        <v>1.0479019999999999</v>
      </c>
      <c r="I2815">
        <v>214.8219</v>
      </c>
      <c r="J2815">
        <v>-349.19150000000002</v>
      </c>
      <c r="K2815">
        <v>1.10989</v>
      </c>
      <c r="L2815">
        <v>214.90369999999999</v>
      </c>
      <c r="M2815">
        <v>0.99988500000000002</v>
      </c>
      <c r="N2815">
        <v>0</v>
      </c>
      <c r="O2815">
        <v>1.202109E-2</v>
      </c>
      <c r="P2815">
        <v>0.99830050000000004</v>
      </c>
      <c r="Q2815">
        <v>7.4946969999999998E-3</v>
      </c>
      <c r="R2815">
        <v>-5.7794499999999999E-2</v>
      </c>
      <c r="S2815">
        <v>2.99173</v>
      </c>
      <c r="T2815">
        <v>-0.21050859999999999</v>
      </c>
      <c r="U2815">
        <v>-0.25808720000000002</v>
      </c>
      <c r="V2815">
        <v>6.9737339999999995E-2</v>
      </c>
      <c r="W2815">
        <v>1.6947710000000001E-2</v>
      </c>
      <c r="X2815">
        <v>0.99742140000000001</v>
      </c>
      <c r="Y2815">
        <v>9.7649360000000004E-2</v>
      </c>
      <c r="Z2815">
        <v>-4.2682689999999999E-3</v>
      </c>
      <c r="AA2815">
        <v>0.99521170000000003</v>
      </c>
      <c r="AB2815">
        <v>50</v>
      </c>
      <c r="AC2815">
        <v>0.411500000000046</v>
      </c>
      <c r="AD2815">
        <v>-6.1987999999999897E-2</v>
      </c>
      <c r="AE2815">
        <v>-8.1799999999986994E-2</v>
      </c>
      <c r="AF2815">
        <v>8.4887914644558596E-2</v>
      </c>
      <c r="AG2815">
        <v>-6.1987999999999897E-2</v>
      </c>
      <c r="AH2815">
        <v>0.40171758609474101</v>
      </c>
      <c r="AI2815">
        <v>98.585308678956395</v>
      </c>
      <c r="AJ2815">
        <v>78.0682199657887</v>
      </c>
      <c r="AK2815">
        <v>0.41524148296441599</v>
      </c>
      <c r="AL2815">
        <v>89.028921240220697</v>
      </c>
      <c r="AM2815">
        <v>86.000523549850698</v>
      </c>
      <c r="AN2815">
        <v>0.99999998532123902</v>
      </c>
    </row>
    <row r="2816" spans="1:40" x14ac:dyDescent="0.25">
      <c r="A2816" t="str">
        <f>"20190312154609060"</f>
        <v>20190312154609060</v>
      </c>
      <c r="B2816" t="str">
        <f>"1552376769050311"</f>
        <v>1552376769050311</v>
      </c>
      <c r="C2816" t="s">
        <v>40</v>
      </c>
      <c r="D2816">
        <v>4.6738</v>
      </c>
      <c r="E2816">
        <v>0.51100000000000001</v>
      </c>
      <c r="F2816" t="s">
        <v>41</v>
      </c>
      <c r="G2816">
        <v>-348.32839999999999</v>
      </c>
      <c r="H2816">
        <v>1.0532319999999999</v>
      </c>
      <c r="I2816">
        <v>214.82980000000001</v>
      </c>
      <c r="J2816">
        <v>-348.71260000000001</v>
      </c>
      <c r="K2816">
        <v>1.109982</v>
      </c>
      <c r="L2816">
        <v>214.90989999999999</v>
      </c>
      <c r="M2816">
        <v>0.99986889999999995</v>
      </c>
      <c r="N2816">
        <v>0</v>
      </c>
      <c r="O2816">
        <v>1.29552E-2</v>
      </c>
      <c r="P2816">
        <v>0.9983358</v>
      </c>
      <c r="Q2816">
        <v>7.4121229999999996E-3</v>
      </c>
      <c r="R2816">
        <v>-5.7190360000000003E-2</v>
      </c>
      <c r="S2816">
        <v>2.9917600000000002</v>
      </c>
      <c r="T2816">
        <v>-0.19661429999999999</v>
      </c>
      <c r="U2816">
        <v>-0.25512699999999999</v>
      </c>
      <c r="V2816">
        <v>7.006395E-2</v>
      </c>
      <c r="W2816">
        <v>1.732531E-2</v>
      </c>
      <c r="X2816">
        <v>0.9973921</v>
      </c>
      <c r="Y2816">
        <v>9.7633079999999997E-2</v>
      </c>
      <c r="Z2816">
        <v>-4.0479950000000004E-3</v>
      </c>
      <c r="AA2816">
        <v>0.99521420000000005</v>
      </c>
      <c r="AB2816">
        <v>50</v>
      </c>
      <c r="AC2816">
        <v>0.38420000000002102</v>
      </c>
      <c r="AD2816">
        <v>-5.6750000000000002E-2</v>
      </c>
      <c r="AE2816">
        <v>-8.0099999999987403E-2</v>
      </c>
      <c r="AF2816">
        <v>8.33285612308549E-2</v>
      </c>
      <c r="AG2816">
        <v>-5.6750000000000002E-2</v>
      </c>
      <c r="AH2816">
        <v>0.37528310132775</v>
      </c>
      <c r="AI2816">
        <v>98.3975710494949</v>
      </c>
      <c r="AJ2816">
        <v>77.481039862817198</v>
      </c>
      <c r="AK2816">
        <v>0.38858926613968398</v>
      </c>
      <c r="AL2816">
        <v>89.007283252505204</v>
      </c>
      <c r="AM2816">
        <v>85.981735839601996</v>
      </c>
      <c r="AN2816">
        <v>1.0000000622992999</v>
      </c>
    </row>
    <row r="2817" spans="1:40" x14ac:dyDescent="0.25">
      <c r="A2817" t="str">
        <f>"20190312154609082"</f>
        <v>20190312154609082</v>
      </c>
      <c r="B2817" t="str">
        <f>"1552376769069831"</f>
        <v>1552376769069831</v>
      </c>
      <c r="C2817" t="s">
        <v>40</v>
      </c>
      <c r="D2817">
        <v>4.6580019999999998</v>
      </c>
      <c r="E2817">
        <v>0.5109496</v>
      </c>
      <c r="F2817" t="s">
        <v>54</v>
      </c>
      <c r="G2817">
        <v>-330.8066</v>
      </c>
      <c r="H2817" s="1">
        <v>-1.054508E-6</v>
      </c>
      <c r="I2817">
        <v>213.40280000000001</v>
      </c>
      <c r="J2817">
        <v>-348.20929999999998</v>
      </c>
      <c r="K2817">
        <v>1.1100840000000001</v>
      </c>
      <c r="L2817">
        <v>214.9171</v>
      </c>
      <c r="M2817">
        <v>0.99985049999999998</v>
      </c>
      <c r="N2817">
        <v>0</v>
      </c>
      <c r="O2817">
        <v>1.3930639999999999E-2</v>
      </c>
      <c r="P2817">
        <v>0.99833110000000003</v>
      </c>
      <c r="Q2817">
        <v>6.6656909999999996E-3</v>
      </c>
      <c r="R2817">
        <v>-5.7368170000000003E-2</v>
      </c>
      <c r="S2817">
        <v>2.9919739999999999</v>
      </c>
      <c r="T2817">
        <v>-0.18547079999999999</v>
      </c>
      <c r="U2817">
        <v>-0.25183109999999997</v>
      </c>
      <c r="V2817">
        <v>7.1214990000000006E-2</v>
      </c>
      <c r="W2817">
        <v>1.7129370000000001E-2</v>
      </c>
      <c r="X2817">
        <v>0.99731389999999998</v>
      </c>
      <c r="Y2817">
        <v>9.7533930000000005E-2</v>
      </c>
      <c r="Z2817">
        <v>-3.8761809999999998E-3</v>
      </c>
      <c r="AA2817">
        <v>0.99522469999999996</v>
      </c>
      <c r="AB2817">
        <v>50</v>
      </c>
      <c r="AC2817">
        <v>17.4026999999999</v>
      </c>
      <c r="AD2817">
        <v>-1.1100850545080001</v>
      </c>
      <c r="AE2817">
        <v>-1.51429999999999</v>
      </c>
      <c r="AF2817">
        <v>1.74953130075833</v>
      </c>
      <c r="AG2817">
        <v>-1.1100850545080001</v>
      </c>
      <c r="AH2817">
        <v>17.310011079939098</v>
      </c>
      <c r="AI2817">
        <v>93.650785181094193</v>
      </c>
      <c r="AJ2817">
        <v>84.228686038097294</v>
      </c>
      <c r="AK2817">
        <v>17.433577721976299</v>
      </c>
      <c r="AL2817">
        <v>89.0185113945696</v>
      </c>
      <c r="AM2817">
        <v>85.9156245406339</v>
      </c>
      <c r="AN2817">
        <v>1.00000000262525</v>
      </c>
    </row>
    <row r="2818" spans="1:40" x14ac:dyDescent="0.25">
      <c r="A2818" t="str">
        <f>"20190312154609104"</f>
        <v>20190312154609104</v>
      </c>
      <c r="B2818" t="str">
        <f>"1552376769100087"</f>
        <v>1552376769100087</v>
      </c>
      <c r="C2818" t="s">
        <v>40</v>
      </c>
      <c r="D2818">
        <v>4.7167579999999996</v>
      </c>
      <c r="E2818">
        <v>0.51056789999999996</v>
      </c>
      <c r="F2818" t="s">
        <v>54</v>
      </c>
      <c r="G2818">
        <v>-329.60829999999999</v>
      </c>
      <c r="H2818" s="1">
        <v>3.576295E-6</v>
      </c>
      <c r="I2818">
        <v>213.34739999999999</v>
      </c>
      <c r="J2818">
        <v>-347.6961</v>
      </c>
      <c r="K2818">
        <v>1.1101639999999999</v>
      </c>
      <c r="L2818">
        <v>214.92490000000001</v>
      </c>
      <c r="M2818">
        <v>0.9998302</v>
      </c>
      <c r="N2818">
        <v>0</v>
      </c>
      <c r="O2818">
        <v>1.4929909999999999E-2</v>
      </c>
      <c r="P2818">
        <v>0.99835130000000005</v>
      </c>
      <c r="Q2818">
        <v>5.8747890000000001E-3</v>
      </c>
      <c r="R2818">
        <v>-5.7099949999999997E-2</v>
      </c>
      <c r="S2818">
        <v>2.99173</v>
      </c>
      <c r="T2818">
        <v>-0.17854249999999999</v>
      </c>
      <c r="U2818">
        <v>-0.25245669999999998</v>
      </c>
      <c r="V2818">
        <v>7.1944709999999995E-2</v>
      </c>
      <c r="W2818">
        <v>1.6885730000000002E-2</v>
      </c>
      <c r="X2818">
        <v>0.99726570000000003</v>
      </c>
      <c r="Y2818">
        <v>9.8753640000000004E-2</v>
      </c>
      <c r="Z2818">
        <v>-3.8277129999999999E-3</v>
      </c>
      <c r="AA2818">
        <v>0.99510460000000001</v>
      </c>
      <c r="AB2818">
        <v>50</v>
      </c>
      <c r="AC2818">
        <v>18.087800000000001</v>
      </c>
      <c r="AD2818">
        <v>-1.110160423705</v>
      </c>
      <c r="AE2818">
        <v>-1.5775000000000099</v>
      </c>
      <c r="AF2818">
        <v>1.8405082097179399</v>
      </c>
      <c r="AG2818">
        <v>-1.110160423705</v>
      </c>
      <c r="AH2818">
        <v>17.994954478682999</v>
      </c>
      <c r="AI2818">
        <v>93.511991486551196</v>
      </c>
      <c r="AJ2818">
        <v>84.160144885032594</v>
      </c>
      <c r="AK2818">
        <v>18.1228671386807</v>
      </c>
      <c r="AL2818">
        <v>89.032472977179793</v>
      </c>
      <c r="AM2818">
        <v>85.873718173578496</v>
      </c>
      <c r="AN2818">
        <v>1.0000000227855499</v>
      </c>
    </row>
    <row r="2819" spans="1:40" x14ac:dyDescent="0.25">
      <c r="A2819" t="str">
        <f>"20190312154609126"</f>
        <v>20190312154609126</v>
      </c>
      <c r="B2819" t="str">
        <f>"1552376769119607"</f>
        <v>1552376769119607</v>
      </c>
      <c r="C2819" t="s">
        <v>40</v>
      </c>
      <c r="D2819">
        <v>4.7280670000000002</v>
      </c>
      <c r="E2819">
        <v>0.51031320000000002</v>
      </c>
      <c r="F2819" t="s">
        <v>41</v>
      </c>
      <c r="G2819">
        <v>-346.55029999999999</v>
      </c>
      <c r="H2819">
        <v>1.043631</v>
      </c>
      <c r="I2819">
        <v>214.82929999999999</v>
      </c>
      <c r="J2819">
        <v>-347.22649999999999</v>
      </c>
      <c r="K2819">
        <v>1.1102289999999999</v>
      </c>
      <c r="L2819">
        <v>214.9325</v>
      </c>
      <c r="M2819">
        <v>0.99981109999999895</v>
      </c>
      <c r="N2819">
        <v>0</v>
      </c>
      <c r="O2819">
        <v>1.5848129999999998E-2</v>
      </c>
      <c r="P2819">
        <v>0.99838839999999995</v>
      </c>
      <c r="Q2819">
        <v>5.4263069999999896E-3</v>
      </c>
      <c r="R2819">
        <v>-5.6492559999999997E-2</v>
      </c>
      <c r="S2819">
        <v>2.99173</v>
      </c>
      <c r="T2819">
        <v>-0.17385829999999999</v>
      </c>
      <c r="U2819">
        <v>-0.24884029999999999</v>
      </c>
      <c r="V2819">
        <v>7.2254070000000004E-2</v>
      </c>
      <c r="W2819">
        <v>1.689527E-2</v>
      </c>
      <c r="X2819">
        <v>0.9972432</v>
      </c>
      <c r="Y2819">
        <v>9.8482390000000003E-2</v>
      </c>
      <c r="Z2819">
        <v>-3.7730279999999999E-3</v>
      </c>
      <c r="AA2819">
        <v>0.99513160000000001</v>
      </c>
      <c r="AB2819">
        <v>50</v>
      </c>
      <c r="AC2819">
        <v>0.67619999999999403</v>
      </c>
      <c r="AD2819">
        <v>-6.6598000000000102E-2</v>
      </c>
      <c r="AE2819">
        <v>-0.103200000000015</v>
      </c>
      <c r="AF2819">
        <v>0.112834637573858</v>
      </c>
      <c r="AG2819">
        <v>-6.6598000000000102E-2</v>
      </c>
      <c r="AH2819">
        <v>0.66814593555981705</v>
      </c>
      <c r="AI2819">
        <v>95.613240400304093</v>
      </c>
      <c r="AJ2819">
        <v>80.414489097107193</v>
      </c>
      <c r="AK2819">
        <v>0.68087145647730596</v>
      </c>
      <c r="AL2819">
        <v>89.031926324169007</v>
      </c>
      <c r="AM2819">
        <v>85.855943799052895</v>
      </c>
      <c r="AN2819">
        <v>1.0000000503630799</v>
      </c>
    </row>
    <row r="2820" spans="1:40" x14ac:dyDescent="0.25">
      <c r="A2820" t="str">
        <f>"20190312154609149"</f>
        <v>20190312154609149</v>
      </c>
      <c r="B2820" t="str">
        <f>"1552376769140102"</f>
        <v>1552376769140102</v>
      </c>
      <c r="C2820" t="s">
        <v>40</v>
      </c>
      <c r="D2820">
        <v>4.7385000000000002</v>
      </c>
      <c r="E2820">
        <v>0.51024029999999998</v>
      </c>
      <c r="F2820" t="s">
        <v>41</v>
      </c>
      <c r="G2820">
        <v>-346.10340000000002</v>
      </c>
      <c r="H2820">
        <v>1.046081</v>
      </c>
      <c r="I2820">
        <v>214.84020000000001</v>
      </c>
      <c r="J2820">
        <v>-346.70940000000002</v>
      </c>
      <c r="K2820">
        <v>1.110276</v>
      </c>
      <c r="L2820">
        <v>214.94139999999999</v>
      </c>
      <c r="M2820">
        <v>0.99978920000000004</v>
      </c>
      <c r="N2820">
        <v>0</v>
      </c>
      <c r="O2820">
        <v>1.6859260000000001E-2</v>
      </c>
      <c r="P2820">
        <v>0.99848619999999999</v>
      </c>
      <c r="Q2820">
        <v>5.3840169999999996E-3</v>
      </c>
      <c r="R2820">
        <v>-5.4738790000000002E-2</v>
      </c>
      <c r="S2820">
        <v>2.991943</v>
      </c>
      <c r="T2820">
        <v>-0.17105039999999999</v>
      </c>
      <c r="U2820">
        <v>-0.24517820000000001</v>
      </c>
      <c r="V2820">
        <v>7.1509760000000006E-2</v>
      </c>
      <c r="W2820">
        <v>1.7305770000000002E-2</v>
      </c>
      <c r="X2820">
        <v>0.9972898</v>
      </c>
      <c r="Y2820">
        <v>9.8278050000000006E-2</v>
      </c>
      <c r="Z2820">
        <v>-3.763972E-3</v>
      </c>
      <c r="AA2820">
        <v>0.99515189999999998</v>
      </c>
      <c r="AB2820">
        <v>50</v>
      </c>
      <c r="AC2820">
        <v>0.60599999999999399</v>
      </c>
      <c r="AD2820">
        <v>-6.4195000000000002E-2</v>
      </c>
      <c r="AE2820">
        <v>-0.101199999999977</v>
      </c>
      <c r="AF2820">
        <v>0.110199952539127</v>
      </c>
      <c r="AG2820">
        <v>-6.4195000000000002E-2</v>
      </c>
      <c r="AH2820">
        <v>0.59768256252473095</v>
      </c>
      <c r="AI2820">
        <v>96.029572962294196</v>
      </c>
      <c r="AJ2820">
        <v>79.553203797065194</v>
      </c>
      <c r="AK2820">
        <v>0.61113785115205799</v>
      </c>
      <c r="AL2820">
        <v>89.008402958043007</v>
      </c>
      <c r="AM2820">
        <v>85.898677470263095</v>
      </c>
      <c r="AN2820">
        <v>1.00000004031729</v>
      </c>
    </row>
    <row r="2821" spans="1:40" x14ac:dyDescent="0.25">
      <c r="A2821" t="str">
        <f>"20190312154609172"</f>
        <v>20190312154609172</v>
      </c>
      <c r="B2821" t="str">
        <f>"1552376769159623"</f>
        <v>1552376769159623</v>
      </c>
      <c r="C2821" t="s">
        <v>40</v>
      </c>
      <c r="D2821">
        <v>4.8155809999999999</v>
      </c>
      <c r="E2821">
        <v>0.51000459999999903</v>
      </c>
      <c r="F2821" t="s">
        <v>41</v>
      </c>
      <c r="G2821">
        <v>-345.65339999999998</v>
      </c>
      <c r="H2821">
        <v>1.0517049999999999</v>
      </c>
      <c r="I2821">
        <v>214.85650000000001</v>
      </c>
      <c r="J2821">
        <v>-346.21140000000003</v>
      </c>
      <c r="K2821">
        <v>1.1103130000000001</v>
      </c>
      <c r="L2821">
        <v>214.9504</v>
      </c>
      <c r="M2821">
        <v>0.99976770000000004</v>
      </c>
      <c r="N2821">
        <v>0</v>
      </c>
      <c r="O2821">
        <v>1.7829560000000001E-2</v>
      </c>
      <c r="P2821">
        <v>0.99856690000000004</v>
      </c>
      <c r="Q2821">
        <v>6.3242319999999999E-3</v>
      </c>
      <c r="R2821">
        <v>-5.3147609999999998E-2</v>
      </c>
      <c r="S2821">
        <v>2.99234</v>
      </c>
      <c r="T2821">
        <v>-0.16616029999999901</v>
      </c>
      <c r="U2821">
        <v>-0.23957819999999999</v>
      </c>
      <c r="V2821">
        <v>7.0883959999999996E-2</v>
      </c>
      <c r="W2821">
        <v>1.8640219999999999E-2</v>
      </c>
      <c r="X2821">
        <v>0.99731040000000004</v>
      </c>
      <c r="Y2821">
        <v>9.7393320000000005E-2</v>
      </c>
      <c r="Z2821">
        <v>-3.6855880000000001E-3</v>
      </c>
      <c r="AA2821">
        <v>0.99523910000000004</v>
      </c>
      <c r="AB2821">
        <v>50</v>
      </c>
      <c r="AC2821">
        <v>0.55800000000004901</v>
      </c>
      <c r="AD2821">
        <v>-5.8607999999999903E-2</v>
      </c>
      <c r="AE2821">
        <v>-9.3899999999990699E-2</v>
      </c>
      <c r="AF2821">
        <v>0.10273258250947299</v>
      </c>
      <c r="AG2821">
        <v>-5.8607999999999903E-2</v>
      </c>
      <c r="AH2821">
        <v>0.55033300769330795</v>
      </c>
      <c r="AI2821">
        <v>95.9763613858334</v>
      </c>
      <c r="AJ2821">
        <v>79.426098867699594</v>
      </c>
      <c r="AK2821">
        <v>0.56289901450422597</v>
      </c>
      <c r="AL2821">
        <v>88.931932222006296</v>
      </c>
      <c r="AM2821">
        <v>85.934531993848097</v>
      </c>
      <c r="AN2821">
        <v>1.00000001376754</v>
      </c>
    </row>
    <row r="2822" spans="1:40" x14ac:dyDescent="0.25">
      <c r="A2822" t="str">
        <f>"20190312154609194"</f>
        <v>20190312154609194</v>
      </c>
      <c r="B2822" t="str">
        <f>"1552376769189879"</f>
        <v>1552376769189879</v>
      </c>
      <c r="C2822" t="s">
        <v>40</v>
      </c>
      <c r="D2822">
        <v>4.762893</v>
      </c>
      <c r="E2822">
        <v>0.50979969999999997</v>
      </c>
      <c r="F2822" t="s">
        <v>54</v>
      </c>
      <c r="G2822">
        <v>-325.78649999999999</v>
      </c>
      <c r="H2822" s="1">
        <v>1.5424799999999999E-6</v>
      </c>
      <c r="I2822">
        <v>213.36060000000001</v>
      </c>
      <c r="J2822">
        <v>-345.70870000000002</v>
      </c>
      <c r="K2822">
        <v>1.110333</v>
      </c>
      <c r="L2822">
        <v>214.96010000000001</v>
      </c>
      <c r="M2822">
        <v>0.99974549999999995</v>
      </c>
      <c r="N2822">
        <v>0</v>
      </c>
      <c r="O2822">
        <v>1.8804729999999999E-2</v>
      </c>
      <c r="P2822">
        <v>0.99867309999999998</v>
      </c>
      <c r="Q2822">
        <v>8.0856130000000002E-3</v>
      </c>
      <c r="R2822">
        <v>-5.0862360000000002E-2</v>
      </c>
      <c r="S2822">
        <v>2.9929809999999999</v>
      </c>
      <c r="T2822">
        <v>-0.1627005</v>
      </c>
      <c r="U2822">
        <v>-0.23297119999999999</v>
      </c>
      <c r="V2822">
        <v>6.9567799999999999E-2</v>
      </c>
      <c r="W2822">
        <v>2.0756489999999999E-2</v>
      </c>
      <c r="X2822">
        <v>0.99736119999999995</v>
      </c>
      <c r="Y2822">
        <v>9.6171400000000004E-2</v>
      </c>
      <c r="Z2822">
        <v>-3.6282739999999999E-3</v>
      </c>
      <c r="AA2822">
        <v>0.99535819999999997</v>
      </c>
      <c r="AB2822">
        <v>50</v>
      </c>
      <c r="AC2822">
        <v>19.9222</v>
      </c>
      <c r="AD2822">
        <v>-1.1103314575200001</v>
      </c>
      <c r="AE2822">
        <v>-1.5994999999999999</v>
      </c>
      <c r="AF2822">
        <v>1.9678045500035</v>
      </c>
      <c r="AG2822">
        <v>-1.1103314575200001</v>
      </c>
      <c r="AH2822">
        <v>19.827402614021398</v>
      </c>
      <c r="AI2822">
        <v>93.1895696303921</v>
      </c>
      <c r="AJ2822">
        <v>84.332142841567304</v>
      </c>
      <c r="AK2822">
        <v>19.955725622263799</v>
      </c>
      <c r="AL2822">
        <v>88.810655238824495</v>
      </c>
      <c r="AM2822">
        <v>86.009975283774594</v>
      </c>
      <c r="AN2822">
        <v>0.99999993696969802</v>
      </c>
    </row>
    <row r="2823" spans="1:40" x14ac:dyDescent="0.25">
      <c r="A2823" t="str">
        <f>"20190312154609217"</f>
        <v>20190312154609217</v>
      </c>
      <c r="B2823" t="str">
        <f>"1552376769209399"</f>
        <v>1552376769209399</v>
      </c>
      <c r="C2823" t="s">
        <v>40</v>
      </c>
      <c r="D2823">
        <v>4.7707009999999999</v>
      </c>
      <c r="E2823">
        <v>0.50980209999999904</v>
      </c>
      <c r="F2823" t="s">
        <v>54</v>
      </c>
      <c r="G2823">
        <v>-324.30340000000001</v>
      </c>
      <c r="H2823" s="1">
        <v>7.532905E-7</v>
      </c>
      <c r="I2823">
        <v>213.3537</v>
      </c>
      <c r="J2823">
        <v>-345.22190000000001</v>
      </c>
      <c r="K2823">
        <v>1.1103459999999901</v>
      </c>
      <c r="L2823">
        <v>214.9699</v>
      </c>
      <c r="M2823">
        <v>0.99972329999999998</v>
      </c>
      <c r="N2823">
        <v>0</v>
      </c>
      <c r="O2823">
        <v>1.9744810000000002E-2</v>
      </c>
      <c r="P2823">
        <v>0.99873230000000002</v>
      </c>
      <c r="Q2823">
        <v>8.7547459999999903E-3</v>
      </c>
      <c r="R2823">
        <v>-4.9571560000000001E-2</v>
      </c>
      <c r="S2823">
        <v>2.9938349999999998</v>
      </c>
      <c r="T2823">
        <v>-0.15529570000000001</v>
      </c>
      <c r="U2823">
        <v>-0.22468569999999999</v>
      </c>
      <c r="V2823">
        <v>6.9213960000000005E-2</v>
      </c>
      <c r="W2823">
        <v>2.1733309999999999E-2</v>
      </c>
      <c r="X2823">
        <v>0.9973651</v>
      </c>
      <c r="Y2823">
        <v>9.4362829999999995E-2</v>
      </c>
      <c r="Z2823">
        <v>-3.4646149999999999E-3</v>
      </c>
      <c r="AA2823">
        <v>0.99553190000000003</v>
      </c>
      <c r="AB2823">
        <v>50</v>
      </c>
      <c r="AC2823">
        <v>20.918499999999899</v>
      </c>
      <c r="AD2823">
        <v>-1.1103452467095001</v>
      </c>
      <c r="AE2823">
        <v>-1.6161999999999901</v>
      </c>
      <c r="AF2823">
        <v>2.0232837858961701</v>
      </c>
      <c r="AG2823">
        <v>-1.1103452467095001</v>
      </c>
      <c r="AH2823">
        <v>20.824184365428099</v>
      </c>
      <c r="AI2823">
        <v>93.037841879724297</v>
      </c>
      <c r="AJ2823">
        <v>84.450544232896107</v>
      </c>
      <c r="AK2823">
        <v>20.951687243047999</v>
      </c>
      <c r="AL2823">
        <v>88.754675045774505</v>
      </c>
      <c r="AM2823">
        <v>86.030220013135207</v>
      </c>
      <c r="AN2823">
        <v>1.00000002586022</v>
      </c>
    </row>
    <row r="2824" spans="1:40" x14ac:dyDescent="0.25">
      <c r="A2824" t="str">
        <f>"20190312154609239"</f>
        <v>20190312154609239</v>
      </c>
      <c r="B2824" t="str">
        <f>"1552376769229895"</f>
        <v>1552376769229895</v>
      </c>
      <c r="C2824" t="s">
        <v>40</v>
      </c>
      <c r="D2824">
        <v>4.7904390000000001</v>
      </c>
      <c r="E2824">
        <v>0.50982179999999999</v>
      </c>
      <c r="F2824" t="s">
        <v>54</v>
      </c>
      <c r="G2824">
        <v>-323.24110000000002</v>
      </c>
      <c r="H2824" s="1">
        <v>1.8797119999999999E-7</v>
      </c>
      <c r="I2824">
        <v>213.34800000000001</v>
      </c>
      <c r="J2824">
        <v>-344.72289999999998</v>
      </c>
      <c r="K2824">
        <v>1.110363</v>
      </c>
      <c r="L2824">
        <v>214.98050000000001</v>
      </c>
      <c r="M2824">
        <v>0.99970020000000004</v>
      </c>
      <c r="N2824">
        <v>0</v>
      </c>
      <c r="O2824">
        <v>2.0701859999999999E-2</v>
      </c>
      <c r="P2824">
        <v>0.99872019999999995</v>
      </c>
      <c r="Q2824">
        <v>1.139563E-2</v>
      </c>
      <c r="R2824">
        <v>-4.9275729999999997E-2</v>
      </c>
      <c r="S2824">
        <v>2.9941409999999999</v>
      </c>
      <c r="T2824">
        <v>-0.1512473</v>
      </c>
      <c r="U2824">
        <v>-0.22093199999999999</v>
      </c>
      <c r="V2824">
        <v>6.9864590000000004E-2</v>
      </c>
      <c r="W2824">
        <v>2.4655050000000001E-2</v>
      </c>
      <c r="X2824">
        <v>0.99725169999999996</v>
      </c>
      <c r="Y2824">
        <v>9.4074169999999999E-2</v>
      </c>
      <c r="Z2824">
        <v>-3.4152119999999999E-3</v>
      </c>
      <c r="AA2824">
        <v>0.99555930000000004</v>
      </c>
      <c r="AB2824">
        <v>50</v>
      </c>
      <c r="AC2824">
        <v>21.4817999999999</v>
      </c>
      <c r="AD2824">
        <v>-1.1103628120288001</v>
      </c>
      <c r="AE2824">
        <v>-1.63250000000002</v>
      </c>
      <c r="AF2824">
        <v>2.0713989269225999</v>
      </c>
      <c r="AG2824">
        <v>-1.1103628120288001</v>
      </c>
      <c r="AH2824">
        <v>21.386586293298802</v>
      </c>
      <c r="AI2824">
        <v>92.9582330407234</v>
      </c>
      <c r="AJ2824">
        <v>84.467870022746794</v>
      </c>
      <c r="AK2824">
        <v>21.515335748472801</v>
      </c>
      <c r="AL2824">
        <v>88.587226455029906</v>
      </c>
      <c r="AM2824">
        <v>85.992569839125906</v>
      </c>
      <c r="AN2824">
        <v>0.999999942789628</v>
      </c>
    </row>
    <row r="2825" spans="1:40" x14ac:dyDescent="0.25">
      <c r="A2825" t="str">
        <f>"20190312154609262"</f>
        <v>20190312154609262</v>
      </c>
      <c r="B2825" t="str">
        <f>"1552376769249415"</f>
        <v>1552376769249415</v>
      </c>
      <c r="C2825" t="s">
        <v>40</v>
      </c>
      <c r="D2825">
        <v>4.7829739999999896</v>
      </c>
      <c r="E2825">
        <v>0.50989220000000002</v>
      </c>
      <c r="F2825" t="s">
        <v>54</v>
      </c>
      <c r="G2825">
        <v>-321.2518</v>
      </c>
      <c r="H2825" s="1">
        <v>-8.7066419999999897E-7</v>
      </c>
      <c r="I2825">
        <v>213.2527</v>
      </c>
      <c r="J2825">
        <v>-344.21600000000001</v>
      </c>
      <c r="K2825">
        <v>1.110376</v>
      </c>
      <c r="L2825">
        <v>214.99160000000001</v>
      </c>
      <c r="M2825">
        <v>0.99967649999999997</v>
      </c>
      <c r="N2825">
        <v>0</v>
      </c>
      <c r="O2825">
        <v>2.1662669999999998E-2</v>
      </c>
      <c r="P2825">
        <v>0.99869439999999998</v>
      </c>
      <c r="Q2825">
        <v>1.3209139999999999E-2</v>
      </c>
      <c r="R2825">
        <v>-4.9342789999999997E-2</v>
      </c>
      <c r="S2825">
        <v>2.9945979999999999</v>
      </c>
      <c r="T2825">
        <v>-0.1416675</v>
      </c>
      <c r="U2825">
        <v>-0.22044369999999999</v>
      </c>
      <c r="V2825">
        <v>7.08844E-2</v>
      </c>
      <c r="W2825">
        <v>2.6720029999999999E-2</v>
      </c>
      <c r="X2825">
        <v>0.99712659999999997</v>
      </c>
      <c r="Y2825">
        <v>9.487437E-2</v>
      </c>
      <c r="Z2825">
        <v>-3.2629550000000001E-3</v>
      </c>
      <c r="AA2825">
        <v>0.99548389999999998</v>
      </c>
      <c r="AB2825">
        <v>50</v>
      </c>
      <c r="AC2825">
        <v>22.964200000000002</v>
      </c>
      <c r="AD2825">
        <v>-1.1103768706641901</v>
      </c>
      <c r="AE2825">
        <v>-1.7388999999999999</v>
      </c>
      <c r="AF2825">
        <v>2.2308161078146802</v>
      </c>
      <c r="AG2825">
        <v>-1.1103768706641901</v>
      </c>
      <c r="AH2825">
        <v>22.867977885469401</v>
      </c>
      <c r="AI2825">
        <v>92.7667558640767</v>
      </c>
      <c r="AJ2825">
        <v>84.428313773737102</v>
      </c>
      <c r="AK2825">
        <v>23.003345188735199</v>
      </c>
      <c r="AL2825">
        <v>88.468872832915594</v>
      </c>
      <c r="AM2825">
        <v>85.933759965340698</v>
      </c>
      <c r="AN2825">
        <v>1.0000000072970601</v>
      </c>
    </row>
    <row r="2826" spans="1:40" x14ac:dyDescent="0.25">
      <c r="A2826" t="str">
        <f>"20190312154609281"</f>
        <v>20190312154609281</v>
      </c>
      <c r="B2826" t="str">
        <f>"1552376769269911"</f>
        <v>1552376769269911</v>
      </c>
      <c r="C2826" t="s">
        <v>40</v>
      </c>
      <c r="D2826">
        <v>4.82822</v>
      </c>
      <c r="E2826">
        <v>0.51001700000000005</v>
      </c>
      <c r="F2826" t="s">
        <v>57</v>
      </c>
      <c r="G2826">
        <v>-319.65660000000003</v>
      </c>
      <c r="H2826" s="1">
        <v>5.1879529999999999E-6</v>
      </c>
      <c r="I2826">
        <v>213.1798</v>
      </c>
      <c r="J2826">
        <v>-343.7731</v>
      </c>
      <c r="K2826">
        <v>1.110379</v>
      </c>
      <c r="L2826">
        <v>215.0018</v>
      </c>
      <c r="M2826">
        <v>0.99965579999999998</v>
      </c>
      <c r="N2826">
        <v>0</v>
      </c>
      <c r="O2826">
        <v>2.2486599999999999E-2</v>
      </c>
      <c r="P2826">
        <v>0.99867019999999995</v>
      </c>
      <c r="Q2826">
        <v>1.3223159999999999E-2</v>
      </c>
      <c r="R2826">
        <v>-4.9830659999999999E-2</v>
      </c>
      <c r="S2826">
        <v>2.9947810000000001</v>
      </c>
      <c r="T2826">
        <v>-0.13539889999999999</v>
      </c>
      <c r="U2826">
        <v>-0.22093199999999999</v>
      </c>
      <c r="V2826">
        <v>7.2194309999999998E-2</v>
      </c>
      <c r="W2826">
        <v>2.69269E-2</v>
      </c>
      <c r="X2826">
        <v>0.997027</v>
      </c>
      <c r="Y2826">
        <v>9.5861230000000006E-2</v>
      </c>
      <c r="Z2826">
        <v>-3.1779780000000001E-3</v>
      </c>
      <c r="AA2826">
        <v>0.99538959999999999</v>
      </c>
      <c r="AB2826">
        <v>50</v>
      </c>
      <c r="AC2826">
        <v>24.116499999999899</v>
      </c>
      <c r="AD2826">
        <v>-1.1103738120469999</v>
      </c>
      <c r="AE2826">
        <v>-1.8220000000000001</v>
      </c>
      <c r="AF2826">
        <v>2.3589146106084602</v>
      </c>
      <c r="AG2826">
        <v>-1.1103738120469999</v>
      </c>
      <c r="AH2826">
        <v>24.0187987358998</v>
      </c>
      <c r="AI2826">
        <v>92.634207416712897</v>
      </c>
      <c r="AJ2826">
        <v>84.390901692556398</v>
      </c>
      <c r="AK2826">
        <v>24.159886192991198</v>
      </c>
      <c r="AL2826">
        <v>88.457015711942702</v>
      </c>
      <c r="AM2826">
        <v>85.858464592972695</v>
      </c>
      <c r="AN2826">
        <v>0.999999957534492</v>
      </c>
    </row>
    <row r="2827" spans="1:40" x14ac:dyDescent="0.25">
      <c r="A2827" t="str">
        <f>"20190312154609305"</f>
        <v>20190312154609305</v>
      </c>
      <c r="B2827" t="str">
        <f>"1552376769299747"</f>
        <v>1552376769299747</v>
      </c>
      <c r="C2827" t="s">
        <v>40</v>
      </c>
      <c r="D2827">
        <v>4.8181520000000004</v>
      </c>
      <c r="E2827">
        <v>0.510243</v>
      </c>
      <c r="F2827" t="s">
        <v>57</v>
      </c>
      <c r="G2827">
        <v>-319.07929999999999</v>
      </c>
      <c r="H2827" s="1">
        <v>4.9319509999999997E-6</v>
      </c>
      <c r="I2827">
        <v>213.15819999999999</v>
      </c>
      <c r="J2827">
        <v>-343.26490000000001</v>
      </c>
      <c r="K2827">
        <v>1.1103670000000001</v>
      </c>
      <c r="L2827">
        <v>215.0138</v>
      </c>
      <c r="M2827">
        <v>0.99963190000000002</v>
      </c>
      <c r="N2827">
        <v>0</v>
      </c>
      <c r="O2827">
        <v>2.3407540000000001E-2</v>
      </c>
      <c r="P2827">
        <v>0.99863840000000004</v>
      </c>
      <c r="Q2827">
        <v>1.4927660000000001E-2</v>
      </c>
      <c r="R2827">
        <v>-4.9985599999999998E-2</v>
      </c>
      <c r="S2827">
        <v>2.9946290000000002</v>
      </c>
      <c r="T2827">
        <v>-0.13465559999999999</v>
      </c>
      <c r="U2827">
        <v>-0.22357179999999999</v>
      </c>
      <c r="V2827">
        <v>7.326307E-2</v>
      </c>
      <c r="W2827">
        <v>2.8822549999999999E-2</v>
      </c>
      <c r="X2827">
        <v>0.99689609999999995</v>
      </c>
      <c r="Y2827">
        <v>9.7653080000000003E-2</v>
      </c>
      <c r="Z2827">
        <v>-3.2421680000000001E-3</v>
      </c>
      <c r="AA2827">
        <v>0.99521519999999997</v>
      </c>
      <c r="AB2827">
        <v>50</v>
      </c>
      <c r="AC2827">
        <v>24.185600000000001</v>
      </c>
      <c r="AD2827">
        <v>-1.1103620680490001</v>
      </c>
      <c r="AE2827">
        <v>-1.8555999999999999</v>
      </c>
      <c r="AF2827">
        <v>2.4162072307533502</v>
      </c>
      <c r="AG2827">
        <v>-1.1103620680490001</v>
      </c>
      <c r="AH2827">
        <v>24.085065126972701</v>
      </c>
      <c r="AI2827">
        <v>92.626398566828698</v>
      </c>
      <c r="AJ2827">
        <v>84.271269635267004</v>
      </c>
      <c r="AK2827">
        <v>24.231411916655301</v>
      </c>
      <c r="AL2827">
        <v>88.348360838192207</v>
      </c>
      <c r="AM2827">
        <v>85.796821785152204</v>
      </c>
      <c r="AN2827">
        <v>1.0000000255047601</v>
      </c>
    </row>
    <row r="2828" spans="1:40" x14ac:dyDescent="0.25">
      <c r="A2828" t="str">
        <f>"20190312154609328"</f>
        <v>20190312154609328</v>
      </c>
      <c r="B2828" t="str">
        <f>"1552376769320243"</f>
        <v>1552376769320243</v>
      </c>
      <c r="C2828" t="s">
        <v>40</v>
      </c>
      <c r="D2828">
        <v>4.7804080000000004</v>
      </c>
      <c r="E2828">
        <v>0.51038419999999995</v>
      </c>
      <c r="F2828" t="s">
        <v>57</v>
      </c>
      <c r="G2828">
        <v>-317.49650000000003</v>
      </c>
      <c r="H2828" s="1">
        <v>4.2300180000000002E-6</v>
      </c>
      <c r="I2828">
        <v>213.06819999999999</v>
      </c>
      <c r="J2828">
        <v>-342.75040000000001</v>
      </c>
      <c r="K2828">
        <v>1.1103379999999901</v>
      </c>
      <c r="L2828">
        <v>215.0266</v>
      </c>
      <c r="M2828">
        <v>0.99960830000000001</v>
      </c>
      <c r="N2828">
        <v>0</v>
      </c>
      <c r="O2828">
        <v>2.4302219999999999E-2</v>
      </c>
      <c r="P2828">
        <v>0.99864629999999999</v>
      </c>
      <c r="Q2828">
        <v>1.472297E-2</v>
      </c>
      <c r="R2828">
        <v>-4.9889450000000002E-2</v>
      </c>
      <c r="S2828">
        <v>2.99472</v>
      </c>
      <c r="T2828">
        <v>-0.1290425</v>
      </c>
      <c r="U2828">
        <v>-0.22611999999999999</v>
      </c>
      <c r="V2828">
        <v>7.4062030000000001E-2</v>
      </c>
      <c r="W2828">
        <v>2.8782510000000001E-2</v>
      </c>
      <c r="X2828">
        <v>0.99683820000000001</v>
      </c>
      <c r="Y2828">
        <v>9.939104E-2</v>
      </c>
      <c r="Z2828">
        <v>-3.1828239999999999E-3</v>
      </c>
      <c r="AA2828">
        <v>0.99504329999999996</v>
      </c>
      <c r="AB2828">
        <v>49</v>
      </c>
      <c r="AC2828">
        <v>25.253899999999899</v>
      </c>
      <c r="AD2828">
        <v>-1.11033376998199</v>
      </c>
      <c r="AE2828">
        <v>-1.9584000000000099</v>
      </c>
      <c r="AF2828">
        <v>2.5666745167813101</v>
      </c>
      <c r="AG2828">
        <v>-1.11033376998199</v>
      </c>
      <c r="AH2828">
        <v>25.150514590713399</v>
      </c>
      <c r="AI2828">
        <v>92.514782711351302</v>
      </c>
      <c r="AJ2828">
        <v>84.172991777301903</v>
      </c>
      <c r="AK2828">
        <v>25.3055140894933</v>
      </c>
      <c r="AL2828">
        <v>88.350655882917493</v>
      </c>
      <c r="AM2828">
        <v>85.750905696943093</v>
      </c>
      <c r="AN2828">
        <v>1.0000000070744299</v>
      </c>
    </row>
    <row r="2829" spans="1:40" x14ac:dyDescent="0.25">
      <c r="A2829" t="str">
        <f>"20190312154609350"</f>
        <v>20190312154609350</v>
      </c>
      <c r="B2829" t="str">
        <f>"1552376769339762"</f>
        <v>1552376769339762</v>
      </c>
      <c r="C2829" t="s">
        <v>40</v>
      </c>
      <c r="D2829">
        <v>4.7857949999999896</v>
      </c>
      <c r="E2829">
        <v>0.51053579999999998</v>
      </c>
      <c r="F2829" t="s">
        <v>57</v>
      </c>
      <c r="G2829">
        <v>-317.0446</v>
      </c>
      <c r="H2829" s="1">
        <v>4.0296189999999998E-6</v>
      </c>
      <c r="I2829">
        <v>213.0797</v>
      </c>
      <c r="J2829">
        <v>-342.2602</v>
      </c>
      <c r="K2829">
        <v>1.1102959999999999</v>
      </c>
      <c r="L2829">
        <v>215.03899999999999</v>
      </c>
      <c r="M2829">
        <v>0.99958599999999997</v>
      </c>
      <c r="N2829">
        <v>0</v>
      </c>
      <c r="O2829">
        <v>2.512352E-2</v>
      </c>
      <c r="P2829">
        <v>0.99866549999999998</v>
      </c>
      <c r="Q2829">
        <v>1.2264209999999999E-2</v>
      </c>
      <c r="R2829">
        <v>-5.0169730000000003E-2</v>
      </c>
      <c r="S2829">
        <v>2.9946290000000002</v>
      </c>
      <c r="T2829">
        <v>-0.12934960000000001</v>
      </c>
      <c r="U2829">
        <v>-0.2268066</v>
      </c>
      <c r="V2829">
        <v>7.5171000000000002E-2</v>
      </c>
      <c r="W2829">
        <v>2.6460729999999998E-2</v>
      </c>
      <c r="X2829">
        <v>0.99681949999999997</v>
      </c>
      <c r="Y2829">
        <v>0.10043539999999999</v>
      </c>
      <c r="Z2829">
        <v>-3.2483960000000002E-3</v>
      </c>
      <c r="AA2829">
        <v>0.99493830000000005</v>
      </c>
      <c r="AB2829">
        <v>49</v>
      </c>
      <c r="AC2829">
        <v>25.215599999999899</v>
      </c>
      <c r="AD2829">
        <v>-1.1102919703809999</v>
      </c>
      <c r="AE2829">
        <v>-1.95930000000001</v>
      </c>
      <c r="AF2829">
        <v>2.5872622476533498</v>
      </c>
      <c r="AG2829">
        <v>-1.1102919703809999</v>
      </c>
      <c r="AH2829">
        <v>25.110018444736401</v>
      </c>
      <c r="AI2829">
        <v>92.518487208449301</v>
      </c>
      <c r="AJ2829">
        <v>84.117171848832896</v>
      </c>
      <c r="AK2829">
        <v>25.267364336088299</v>
      </c>
      <c r="AL2829">
        <v>88.483734845932304</v>
      </c>
      <c r="AM2829">
        <v>85.687439421404093</v>
      </c>
      <c r="AN2829">
        <v>0.99999998252669098</v>
      </c>
    </row>
    <row r="2830" spans="1:40" x14ac:dyDescent="0.25">
      <c r="A2830" t="str">
        <f>"20190312154609372"</f>
        <v>20190312154609372</v>
      </c>
      <c r="B2830" t="str">
        <f>"1552376769360258"</f>
        <v>1552376769360258</v>
      </c>
      <c r="C2830" t="s">
        <v>40</v>
      </c>
      <c r="D2830">
        <v>4.7928519999999999</v>
      </c>
      <c r="E2830">
        <v>0.51067580000000001</v>
      </c>
      <c r="F2830" t="s">
        <v>57</v>
      </c>
      <c r="G2830">
        <v>-317.87479999999999</v>
      </c>
      <c r="H2830" s="1">
        <v>4.3978030000000004E-6</v>
      </c>
      <c r="I2830">
        <v>213.1747</v>
      </c>
      <c r="J2830">
        <v>-341.76580000000001</v>
      </c>
      <c r="K2830">
        <v>1.110277</v>
      </c>
      <c r="L2830">
        <v>215.05199999999999</v>
      </c>
      <c r="M2830">
        <v>0.99956409999999996</v>
      </c>
      <c r="N2830">
        <v>0</v>
      </c>
      <c r="O2830">
        <v>2.591307E-2</v>
      </c>
      <c r="P2830">
        <v>0.99866180000000004</v>
      </c>
      <c r="Q2830">
        <v>1.224599E-2</v>
      </c>
      <c r="R2830">
        <v>-5.0246850000000003E-2</v>
      </c>
      <c r="S2830">
        <v>2.9941710000000001</v>
      </c>
      <c r="T2830">
        <v>-0.13632759999999999</v>
      </c>
      <c r="U2830">
        <v>-0.22891239999999999</v>
      </c>
      <c r="V2830">
        <v>7.6037789999999994E-2</v>
      </c>
      <c r="W2830">
        <v>2.6559389999999999E-2</v>
      </c>
      <c r="X2830">
        <v>0.9967511</v>
      </c>
      <c r="Y2830">
        <v>0.10191310000000001</v>
      </c>
      <c r="Z2830">
        <v>-3.4933609999999999E-3</v>
      </c>
      <c r="AA2830">
        <v>0.99478719999999998</v>
      </c>
      <c r="AB2830">
        <v>49</v>
      </c>
      <c r="AC2830">
        <v>23.890999999999998</v>
      </c>
      <c r="AD2830">
        <v>-1.110272602197</v>
      </c>
      <c r="AE2830">
        <v>-1.87730000000001</v>
      </c>
      <c r="AF2830">
        <v>2.4904749508998001</v>
      </c>
      <c r="AG2830">
        <v>-1.110272602197</v>
      </c>
      <c r="AH2830">
        <v>23.783275119445999</v>
      </c>
      <c r="AI2830">
        <v>92.658279830127</v>
      </c>
      <c r="AJ2830">
        <v>84.022036604663896</v>
      </c>
      <c r="AK2830">
        <v>23.9390757160653</v>
      </c>
      <c r="AL2830">
        <v>88.478080008880099</v>
      </c>
      <c r="AM2830">
        <v>85.637604336671799</v>
      </c>
      <c r="AN2830">
        <v>0.99999995102823103</v>
      </c>
    </row>
    <row r="2831" spans="1:40" x14ac:dyDescent="0.25">
      <c r="A2831" t="str">
        <f>"20190312154609397"</f>
        <v>20190312154609397</v>
      </c>
      <c r="B2831" t="str">
        <f>"1552376769389538"</f>
        <v>1552376769389538</v>
      </c>
      <c r="C2831" t="s">
        <v>40</v>
      </c>
      <c r="D2831">
        <v>4.7401470000000003</v>
      </c>
      <c r="E2831">
        <v>0.51094139999999999</v>
      </c>
      <c r="F2831" t="s">
        <v>57</v>
      </c>
      <c r="G2831">
        <v>-317.33449999999999</v>
      </c>
      <c r="H2831" s="1">
        <v>4.1581769999999998E-6</v>
      </c>
      <c r="I2831">
        <v>213.1737</v>
      </c>
      <c r="J2831">
        <v>-341.23379999999997</v>
      </c>
      <c r="K2831">
        <v>1.110263</v>
      </c>
      <c r="L2831">
        <v>215.06639999999999</v>
      </c>
      <c r="M2831">
        <v>0.99954169999999998</v>
      </c>
      <c r="N2831">
        <v>0</v>
      </c>
      <c r="O2831">
        <v>2.67078E-2</v>
      </c>
      <c r="P2831">
        <v>0.99866619999999995</v>
      </c>
      <c r="Q2831">
        <v>1.516434E-2</v>
      </c>
      <c r="R2831">
        <v>-4.9362200000000002E-2</v>
      </c>
      <c r="S2831">
        <v>2.99411</v>
      </c>
      <c r="T2831">
        <v>-0.1360662</v>
      </c>
      <c r="U2831">
        <v>-0.23019410000000001</v>
      </c>
      <c r="V2831">
        <v>7.5941439999999999E-2</v>
      </c>
      <c r="W2831">
        <v>2.9580869999999999E-2</v>
      </c>
      <c r="X2831">
        <v>0.99667340000000004</v>
      </c>
      <c r="Y2831">
        <v>0.10312739999999999</v>
      </c>
      <c r="Z2831">
        <v>-3.5502789999999999E-3</v>
      </c>
      <c r="AA2831">
        <v>0.99466180000000004</v>
      </c>
      <c r="AB2831">
        <v>49</v>
      </c>
      <c r="AC2831">
        <v>23.899299999999901</v>
      </c>
      <c r="AD2831">
        <v>-1.1102588418229999</v>
      </c>
      <c r="AE2831">
        <v>-1.8926999999999901</v>
      </c>
      <c r="AF2831">
        <v>2.5249719921883602</v>
      </c>
      <c r="AG2831">
        <v>-1.1102588418229999</v>
      </c>
      <c r="AH2831">
        <v>23.789197743766501</v>
      </c>
      <c r="AI2831">
        <v>92.657192065062006</v>
      </c>
      <c r="AJ2831">
        <v>83.941341855081703</v>
      </c>
      <c r="AK2831">
        <v>23.9485717225309</v>
      </c>
      <c r="AL2831">
        <v>88.304893719472602</v>
      </c>
      <c r="AM2831">
        <v>85.642772422553904</v>
      </c>
      <c r="AN2831">
        <v>0.99999999822339503</v>
      </c>
    </row>
    <row r="2832" spans="1:40" x14ac:dyDescent="0.25">
      <c r="A2832" t="str">
        <f>"20190312154609419"</f>
        <v>20190312154609419</v>
      </c>
      <c r="B2832" t="str">
        <f>"1552376769409565"</f>
        <v>1552376769409565</v>
      </c>
      <c r="C2832" t="s">
        <v>40</v>
      </c>
      <c r="D2832">
        <v>4.726826</v>
      </c>
      <c r="E2832">
        <v>0.51107979999999997</v>
      </c>
      <c r="F2832" t="s">
        <v>57</v>
      </c>
      <c r="G2832">
        <v>-315.14269999999999</v>
      </c>
      <c r="H2832" s="1">
        <v>3.1862399999999999E-6</v>
      </c>
      <c r="I2832">
        <v>213.0676</v>
      </c>
      <c r="J2832">
        <v>-340.75729999999999</v>
      </c>
      <c r="K2832">
        <v>1.1102479999999999</v>
      </c>
      <c r="L2832">
        <v>215.0796</v>
      </c>
      <c r="M2832">
        <v>0.99952260000000004</v>
      </c>
      <c r="N2832">
        <v>0</v>
      </c>
      <c r="O2832">
        <v>2.736303E-2</v>
      </c>
      <c r="P2832">
        <v>0.99865630000000005</v>
      </c>
      <c r="Q2832">
        <v>1.7776360000000001E-2</v>
      </c>
      <c r="R2832">
        <v>-4.8679630000000002E-2</v>
      </c>
      <c r="S2832">
        <v>2.9945979999999999</v>
      </c>
      <c r="T2832">
        <v>-0.12742999999999999</v>
      </c>
      <c r="U2832">
        <v>-0.22941590000000001</v>
      </c>
      <c r="V2832">
        <v>7.5909580000000004E-2</v>
      </c>
      <c r="W2832">
        <v>3.2269899999999997E-2</v>
      </c>
      <c r="X2832">
        <v>0.99659240000000004</v>
      </c>
      <c r="Y2832">
        <v>0.10352550000000001</v>
      </c>
      <c r="Z2832">
        <v>-3.360937E-3</v>
      </c>
      <c r="AA2832">
        <v>0.99462110000000004</v>
      </c>
      <c r="AB2832">
        <v>49</v>
      </c>
      <c r="AC2832">
        <v>25.614599999999999</v>
      </c>
      <c r="AD2832">
        <v>-1.1102448137599901</v>
      </c>
      <c r="AE2832">
        <v>-2.012</v>
      </c>
      <c r="AF2832">
        <v>2.7071568847709</v>
      </c>
      <c r="AG2832">
        <v>-1.1102448137599901</v>
      </c>
      <c r="AH2832">
        <v>25.502328899475199</v>
      </c>
      <c r="AI2832">
        <v>92.478889695320305</v>
      </c>
      <c r="AJ2832">
        <v>83.940555120387401</v>
      </c>
      <c r="AK2832">
        <v>25.6696342249408</v>
      </c>
      <c r="AL2832">
        <v>88.150749899099495</v>
      </c>
      <c r="AM2832">
        <v>85.644240759457404</v>
      </c>
      <c r="AN2832">
        <v>1.00000001125977</v>
      </c>
    </row>
    <row r="2833" spans="1:40" x14ac:dyDescent="0.25">
      <c r="A2833" t="str">
        <f>"20190312154609462"</f>
        <v>20190312154609462</v>
      </c>
      <c r="B2833" t="str">
        <f>"1552376769449585"</f>
        <v>1552376769449585</v>
      </c>
      <c r="C2833" t="s">
        <v>40</v>
      </c>
      <c r="D2833">
        <v>4.6754680000000004</v>
      </c>
      <c r="E2833">
        <v>0.4795587</v>
      </c>
      <c r="F2833" t="s">
        <v>57</v>
      </c>
      <c r="G2833">
        <v>-312.90219999999999</v>
      </c>
      <c r="H2833" s="1">
        <v>2.1926520000000001E-6</v>
      </c>
      <c r="I2833">
        <v>212.95480000000001</v>
      </c>
      <c r="J2833">
        <v>-339.80439999999999</v>
      </c>
      <c r="K2833">
        <v>1.1101620000000001</v>
      </c>
      <c r="L2833">
        <v>215.10669999999999</v>
      </c>
      <c r="M2833">
        <v>0.99948910000000002</v>
      </c>
      <c r="N2833">
        <v>0</v>
      </c>
      <c r="O2833">
        <v>2.8491639999999999E-2</v>
      </c>
      <c r="P2833">
        <v>0.99873420000000002</v>
      </c>
      <c r="Q2833">
        <v>1.8804399999999999E-2</v>
      </c>
      <c r="R2833">
        <v>-4.6651320000000003E-2</v>
      </c>
      <c r="S2833">
        <v>2.9949949999999999</v>
      </c>
      <c r="T2833">
        <v>-0.11937440000000001</v>
      </c>
      <c r="U2833">
        <v>-0.22845460000000001</v>
      </c>
      <c r="V2833">
        <v>7.5017490000000006E-2</v>
      </c>
      <c r="W2833">
        <v>3.341322E-2</v>
      </c>
      <c r="X2833">
        <v>0.99662229999999996</v>
      </c>
      <c r="Y2833">
        <v>0.1043341</v>
      </c>
      <c r="Z2833">
        <v>-3.209272E-3</v>
      </c>
      <c r="AA2833">
        <v>0.99453709999999995</v>
      </c>
      <c r="AB2833">
        <v>49</v>
      </c>
      <c r="AC2833">
        <v>26.902200000000001</v>
      </c>
      <c r="AD2833">
        <v>-1.1101598073479999</v>
      </c>
      <c r="AE2833">
        <v>-2.1518999999999799</v>
      </c>
      <c r="AF2833">
        <v>2.91266589733016</v>
      </c>
      <c r="AG2833">
        <v>-1.1101598073479999</v>
      </c>
      <c r="AH2833">
        <v>26.784636425423098</v>
      </c>
      <c r="AI2833">
        <v>92.359521928266204</v>
      </c>
      <c r="AJ2833">
        <v>83.793819841984799</v>
      </c>
      <c r="AK2833">
        <v>26.965400532338201</v>
      </c>
      <c r="AL2833">
        <v>88.085207181074693</v>
      </c>
      <c r="AM2833">
        <v>85.695364784542505</v>
      </c>
      <c r="AN2833">
        <v>1.00000003796697</v>
      </c>
    </row>
    <row r="2834" spans="1:40" x14ac:dyDescent="0.25">
      <c r="A2834" t="str">
        <f>"20190312154609484"</f>
        <v>20190312154609484</v>
      </c>
      <c r="B2834" t="str">
        <f>"1552376769479838"</f>
        <v>1552376769479838</v>
      </c>
      <c r="C2834" t="s">
        <v>40</v>
      </c>
      <c r="D2834">
        <v>4.6500399999999997</v>
      </c>
      <c r="E2834">
        <v>0.4757036</v>
      </c>
      <c r="F2834" t="s">
        <v>57</v>
      </c>
      <c r="G2834">
        <v>-296.94929999999999</v>
      </c>
      <c r="H2834" s="1">
        <v>2.1271029999999998E-6</v>
      </c>
      <c r="I2834">
        <v>215.50299999999999</v>
      </c>
      <c r="J2834">
        <v>-339.3064</v>
      </c>
      <c r="K2834">
        <v>1.1100969999999999</v>
      </c>
      <c r="L2834">
        <v>215.12119999999999</v>
      </c>
      <c r="M2834">
        <v>0.99947399999999997</v>
      </c>
      <c r="N2834">
        <v>0</v>
      </c>
      <c r="O2834">
        <v>2.8987260000000001E-2</v>
      </c>
      <c r="P2834">
        <v>0.99875659999999999</v>
      </c>
      <c r="Q2834">
        <v>2.0161789999999999E-2</v>
      </c>
      <c r="R2834">
        <v>-4.5596320000000003E-2</v>
      </c>
      <c r="S2834">
        <v>3.0066220000000001</v>
      </c>
      <c r="T2834">
        <v>-7.7886460000000005E-2</v>
      </c>
      <c r="U2834">
        <v>2.7801510000000001E-2</v>
      </c>
      <c r="V2834">
        <v>7.4460719999999994E-2</v>
      </c>
      <c r="W2834">
        <v>3.4814779999999997E-2</v>
      </c>
      <c r="X2834">
        <v>0.9966161</v>
      </c>
      <c r="Y2834">
        <v>1.9730270000000001E-2</v>
      </c>
      <c r="Z2834">
        <v>-1.006255E-3</v>
      </c>
      <c r="AA2834">
        <v>0.9998049</v>
      </c>
      <c r="AB2834">
        <v>49</v>
      </c>
      <c r="AC2834">
        <v>42.357100000000003</v>
      </c>
      <c r="AD2834">
        <v>-1.1100948728969999</v>
      </c>
      <c r="AE2834">
        <v>0.38179999999999797</v>
      </c>
      <c r="AF2834">
        <v>0.84572573559405195</v>
      </c>
      <c r="AG2834">
        <v>-1.1100948728969999</v>
      </c>
      <c r="AH2834">
        <v>42.321299071731701</v>
      </c>
      <c r="AI2834">
        <v>91.502233730646395</v>
      </c>
      <c r="AJ2834">
        <v>88.855184795838795</v>
      </c>
      <c r="AK2834">
        <v>42.344302069648499</v>
      </c>
      <c r="AL2834">
        <v>88.004856979266194</v>
      </c>
      <c r="AM2834">
        <v>85.727167982034203</v>
      </c>
      <c r="AN2834">
        <v>1.0000000592542799</v>
      </c>
    </row>
    <row r="2835" spans="1:40" x14ac:dyDescent="0.25">
      <c r="A2835" t="str">
        <f>"20190312154609507"</f>
        <v>20190312154609507</v>
      </c>
      <c r="B2835" t="str">
        <f>"1552376769499866"</f>
        <v>1552376769499866</v>
      </c>
      <c r="C2835" t="s">
        <v>40</v>
      </c>
      <c r="D2835">
        <v>4.6240439999999996</v>
      </c>
      <c r="E2835">
        <v>0.474746</v>
      </c>
      <c r="F2835" t="s">
        <v>57</v>
      </c>
      <c r="G2835">
        <v>-287.18180000000001</v>
      </c>
      <c r="H2835" s="1">
        <v>3.7192650000000002E-6</v>
      </c>
      <c r="I2835">
        <v>216.18350000000001</v>
      </c>
      <c r="J2835">
        <v>-338.8</v>
      </c>
      <c r="K2835">
        <v>1.110025</v>
      </c>
      <c r="L2835">
        <v>215.13630000000001</v>
      </c>
      <c r="M2835">
        <v>0.99946049999999997</v>
      </c>
      <c r="N2835">
        <v>0</v>
      </c>
      <c r="O2835">
        <v>2.9419919999999999E-2</v>
      </c>
      <c r="P2835">
        <v>0.99874249999999998</v>
      </c>
      <c r="Q2835">
        <v>2.2101059999999999E-2</v>
      </c>
      <c r="R2835">
        <v>-4.499993E-2</v>
      </c>
      <c r="S2835">
        <v>3.0078130000000001</v>
      </c>
      <c r="T2835">
        <v>-6.405711E-2</v>
      </c>
      <c r="U2835">
        <v>6.1294559999999998E-2</v>
      </c>
      <c r="V2835">
        <v>7.4298690000000001E-2</v>
      </c>
      <c r="W2835">
        <v>3.6789049999999997E-2</v>
      </c>
      <c r="X2835">
        <v>0.99655720000000003</v>
      </c>
      <c r="Y2835">
        <v>9.0428369999999998E-3</v>
      </c>
      <c r="Z2835">
        <v>-7.2264080000000004E-4</v>
      </c>
      <c r="AA2835">
        <v>0.99995889999999998</v>
      </c>
      <c r="AB2835">
        <v>49</v>
      </c>
      <c r="AC2835">
        <v>51.618200000000002</v>
      </c>
      <c r="AD2835">
        <v>-1.1100212807350001</v>
      </c>
      <c r="AE2835">
        <v>1.0471999999999999</v>
      </c>
      <c r="AF2835">
        <v>0.47180050301839099</v>
      </c>
      <c r="AG2835">
        <v>-1.1100212807350001</v>
      </c>
      <c r="AH2835">
        <v>51.602810160984802</v>
      </c>
      <c r="AI2835">
        <v>91.232240467101207</v>
      </c>
      <c r="AJ2835">
        <v>89.476163714444397</v>
      </c>
      <c r="AK2835">
        <v>51.616903815213199</v>
      </c>
      <c r="AL2835">
        <v>87.891666919972295</v>
      </c>
      <c r="AM2835">
        <v>85.736180478508302</v>
      </c>
      <c r="AN2835">
        <v>0.99999999120372896</v>
      </c>
    </row>
    <row r="2836" spans="1:40" x14ac:dyDescent="0.25">
      <c r="A2836" t="str">
        <f>"20190312154609529"</f>
        <v>20190312154609529</v>
      </c>
      <c r="B2836" t="str">
        <f>"1552376769520362"</f>
        <v>1552376769520362</v>
      </c>
      <c r="C2836" t="s">
        <v>40</v>
      </c>
      <c r="D2836">
        <v>4.5836119999999996</v>
      </c>
      <c r="E2836">
        <v>0.47437960000000001</v>
      </c>
      <c r="F2836" t="s">
        <v>57</v>
      </c>
      <c r="G2836">
        <v>-280.2731</v>
      </c>
      <c r="H2836" s="1">
        <v>6.7441439999999999E-6</v>
      </c>
      <c r="I2836">
        <v>216.5093</v>
      </c>
      <c r="J2836">
        <v>-338.32600000000002</v>
      </c>
      <c r="K2836">
        <v>1.109944</v>
      </c>
      <c r="L2836">
        <v>215.15049999999999</v>
      </c>
      <c r="M2836">
        <v>0.99944960000000005</v>
      </c>
      <c r="N2836">
        <v>0</v>
      </c>
      <c r="O2836">
        <v>2.9770290000000001E-2</v>
      </c>
      <c r="P2836">
        <v>0.99874560000000001</v>
      </c>
      <c r="Q2836">
        <v>2.1875200000000001E-2</v>
      </c>
      <c r="R2836">
        <v>-4.5042609999999997E-2</v>
      </c>
      <c r="S2836">
        <v>3.0082089999999999</v>
      </c>
      <c r="T2836">
        <v>-5.7053569999999998E-2</v>
      </c>
      <c r="U2836">
        <v>7.0571899999999896E-2</v>
      </c>
      <c r="V2836">
        <v>7.4697139999999995E-2</v>
      </c>
      <c r="W2836">
        <v>3.65913E-2</v>
      </c>
      <c r="X2836">
        <v>0.9965347</v>
      </c>
      <c r="Y2836">
        <v>6.3158909999999997E-3</v>
      </c>
      <c r="Z2836">
        <v>-6.2432220000000003E-4</v>
      </c>
      <c r="AA2836">
        <v>0.99997990000000003</v>
      </c>
      <c r="AB2836">
        <v>49</v>
      </c>
      <c r="AC2836">
        <v>58.052899999999902</v>
      </c>
      <c r="AD2836">
        <v>-1.1099372558559999</v>
      </c>
      <c r="AE2836">
        <v>1.3588</v>
      </c>
      <c r="AF2836">
        <v>0.37010399345295197</v>
      </c>
      <c r="AG2836">
        <v>-1.1099372558559999</v>
      </c>
      <c r="AH2836">
        <v>58.046412353388099</v>
      </c>
      <c r="AI2836">
        <v>91.095428235087098</v>
      </c>
      <c r="AJ2836">
        <v>89.634686992770398</v>
      </c>
      <c r="AK2836">
        <v>58.058202906888802</v>
      </c>
      <c r="AL2836">
        <v>87.903004806843597</v>
      </c>
      <c r="AM2836">
        <v>85.713302991984804</v>
      </c>
      <c r="AN2836">
        <v>0.99999999713197896</v>
      </c>
    </row>
    <row r="2837" spans="1:40" x14ac:dyDescent="0.25">
      <c r="A2837" t="str">
        <f>"20190312154609552"</f>
        <v>20190312154609552</v>
      </c>
      <c r="B2837" t="str">
        <f>"1552376769539882"</f>
        <v>1552376769539882</v>
      </c>
      <c r="C2837" t="s">
        <v>40</v>
      </c>
      <c r="D2837">
        <v>4.6062500000000002</v>
      </c>
      <c r="E2837">
        <v>0.47423989999999999</v>
      </c>
      <c r="F2837" t="s">
        <v>57</v>
      </c>
      <c r="G2837">
        <v>-281.54719999999998</v>
      </c>
      <c r="H2837" s="1">
        <v>6.1755000000000004E-6</v>
      </c>
      <c r="I2837">
        <v>216.53970000000001</v>
      </c>
      <c r="J2837">
        <v>-337.8032</v>
      </c>
      <c r="K2837">
        <v>1.1098709999999901</v>
      </c>
      <c r="L2837">
        <v>215.16630000000001</v>
      </c>
      <c r="M2837">
        <v>0.99943939999999998</v>
      </c>
      <c r="N2837">
        <v>0</v>
      </c>
      <c r="O2837">
        <v>3.009949E-2</v>
      </c>
      <c r="P2837">
        <v>0.99871580000000004</v>
      </c>
      <c r="Q2837">
        <v>2.0821780000000002E-2</v>
      </c>
      <c r="R2837">
        <v>-4.6192329999999997E-2</v>
      </c>
      <c r="S2837">
        <v>3.0083310000000001</v>
      </c>
      <c r="T2837">
        <v>-5.880821E-2</v>
      </c>
      <c r="U2837">
        <v>7.3608399999999893E-2</v>
      </c>
      <c r="V2837">
        <v>7.6181860000000004E-2</v>
      </c>
      <c r="W2837">
        <v>3.5563419999999998E-2</v>
      </c>
      <c r="X2837">
        <v>0.99645950000000005</v>
      </c>
      <c r="Y2837">
        <v>5.6371210000000001E-3</v>
      </c>
      <c r="Z2837">
        <v>-6.4328159999999998E-4</v>
      </c>
      <c r="AA2837">
        <v>0.99998390000000004</v>
      </c>
      <c r="AB2837">
        <v>49</v>
      </c>
      <c r="AC2837">
        <v>56.256</v>
      </c>
      <c r="AD2837">
        <v>-1.10986482449999</v>
      </c>
      <c r="AE2837">
        <v>1.3734</v>
      </c>
      <c r="AF2837">
        <v>0.32055660274145997</v>
      </c>
      <c r="AG2837">
        <v>-1.10986482449999</v>
      </c>
      <c r="AH2837">
        <v>56.249967501438697</v>
      </c>
      <c r="AI2837">
        <v>91.130334659970302</v>
      </c>
      <c r="AJ2837">
        <v>89.673487071605194</v>
      </c>
      <c r="AK2837">
        <v>56.261828981798502</v>
      </c>
      <c r="AL2837">
        <v>87.961936332893103</v>
      </c>
      <c r="AM2837">
        <v>85.628096787853806</v>
      </c>
      <c r="AN2837">
        <v>0.99999998388770295</v>
      </c>
    </row>
    <row r="2838" spans="1:40" x14ac:dyDescent="0.25">
      <c r="A2838" t="str">
        <f>"20190312154609572"</f>
        <v>20190312154609572</v>
      </c>
      <c r="B2838" t="str">
        <f>"1552376769559401"</f>
        <v>1552376769559401</v>
      </c>
      <c r="C2838" t="s">
        <v>40</v>
      </c>
      <c r="D2838">
        <v>4.5934359999999996</v>
      </c>
      <c r="E2838">
        <v>0.47414260000000003</v>
      </c>
      <c r="F2838" t="s">
        <v>57</v>
      </c>
      <c r="G2838">
        <v>-288.54739999999998</v>
      </c>
      <c r="H2838" s="1">
        <v>3.095499E-6</v>
      </c>
      <c r="I2838">
        <v>216.33590000000001</v>
      </c>
      <c r="J2838">
        <v>-337.38220000000001</v>
      </c>
      <c r="K2838">
        <v>1.1098159999999999</v>
      </c>
      <c r="L2838">
        <v>215.17910000000001</v>
      </c>
      <c r="M2838">
        <v>0.99943199999999999</v>
      </c>
      <c r="N2838">
        <v>0</v>
      </c>
      <c r="O2838">
        <v>3.0326789999999999E-2</v>
      </c>
      <c r="P2838">
        <v>0.99862150000000005</v>
      </c>
      <c r="Q2838">
        <v>1.9541679999999999E-2</v>
      </c>
      <c r="R2838">
        <v>-4.8720079999999999E-2</v>
      </c>
      <c r="S2838">
        <v>3.0085449999999998</v>
      </c>
      <c r="T2838">
        <v>-6.7790749999999997E-2</v>
      </c>
      <c r="U2838">
        <v>7.1441649999999995E-2</v>
      </c>
      <c r="V2838">
        <v>7.8938910000000001E-2</v>
      </c>
      <c r="W2838">
        <v>3.4299620000000003E-2</v>
      </c>
      <c r="X2838">
        <v>0.99628919999999999</v>
      </c>
      <c r="Y2838">
        <v>6.583523E-3</v>
      </c>
      <c r="Z2838">
        <v>-7.5724880000000003E-4</v>
      </c>
      <c r="AA2838">
        <v>0.99997809999999998</v>
      </c>
      <c r="AB2838">
        <v>49</v>
      </c>
      <c r="AC2838">
        <v>48.834800000000001</v>
      </c>
      <c r="AD2838">
        <v>-1.1098129045009999</v>
      </c>
      <c r="AE2838">
        <v>1.1568000000000001</v>
      </c>
      <c r="AF2838">
        <v>0.32472725511334399</v>
      </c>
      <c r="AG2838">
        <v>-1.1098129045009999</v>
      </c>
      <c r="AH2838">
        <v>48.822217955630002</v>
      </c>
      <c r="AI2838">
        <v>91.302178459502699</v>
      </c>
      <c r="AJ2838">
        <v>89.618918852193104</v>
      </c>
      <c r="AK2838">
        <v>48.835909928865398</v>
      </c>
      <c r="AL2838">
        <v>88.034390980924996</v>
      </c>
      <c r="AM2838">
        <v>85.469751917398398</v>
      </c>
      <c r="AN2838">
        <v>0.99999999274038598</v>
      </c>
    </row>
    <row r="2839" spans="1:40" x14ac:dyDescent="0.25">
      <c r="A2839" t="str">
        <f>"20190312154609597"</f>
        <v>20190312154609597</v>
      </c>
      <c r="B2839" t="str">
        <f>"1552376769589657"</f>
        <v>1552376769589657</v>
      </c>
      <c r="C2839" t="s">
        <v>40</v>
      </c>
      <c r="D2839">
        <v>4.6124970000000003</v>
      </c>
      <c r="E2839">
        <v>0.4740413</v>
      </c>
      <c r="F2839" t="s">
        <v>57</v>
      </c>
      <c r="G2839">
        <v>-293.5675</v>
      </c>
      <c r="H2839" s="1">
        <v>1.5272299999999999E-6</v>
      </c>
      <c r="I2839">
        <v>216.12280000000001</v>
      </c>
      <c r="J2839">
        <v>-336.82530000000003</v>
      </c>
      <c r="K2839">
        <v>1.1097520000000001</v>
      </c>
      <c r="L2839">
        <v>215.1962</v>
      </c>
      <c r="M2839">
        <v>0.99942370000000003</v>
      </c>
      <c r="N2839">
        <v>0</v>
      </c>
      <c r="O2839">
        <v>3.0581400000000002E-2</v>
      </c>
      <c r="P2839">
        <v>0.99848769999999998</v>
      </c>
      <c r="Q2839">
        <v>1.8249020000000001E-2</v>
      </c>
      <c r="R2839">
        <v>-5.1860499999999997E-2</v>
      </c>
      <c r="S2839">
        <v>3.0088200000000001</v>
      </c>
      <c r="T2839">
        <v>-7.6212639999999998E-2</v>
      </c>
      <c r="U2839">
        <v>6.480408E-2</v>
      </c>
      <c r="V2839">
        <v>8.2335240000000004E-2</v>
      </c>
      <c r="W2839">
        <v>3.3022910000000003E-2</v>
      </c>
      <c r="X2839">
        <v>0.99605750000000004</v>
      </c>
      <c r="Y2839">
        <v>9.0419579999999992E-3</v>
      </c>
      <c r="Z2839">
        <v>-8.8881869999999903E-4</v>
      </c>
      <c r="AA2839">
        <v>0.99995880000000004</v>
      </c>
      <c r="AB2839">
        <v>49</v>
      </c>
      <c r="AC2839">
        <v>43.257800000000003</v>
      </c>
      <c r="AD2839">
        <v>-1.1097504727700001</v>
      </c>
      <c r="AE2839">
        <v>0.92660000000000697</v>
      </c>
      <c r="AF2839">
        <v>0.39660025446594699</v>
      </c>
      <c r="AG2839">
        <v>-1.1097504727700001</v>
      </c>
      <c r="AH2839">
        <v>43.237459370068201</v>
      </c>
      <c r="AI2839">
        <v>91.470192504262201</v>
      </c>
      <c r="AJ2839">
        <v>89.474463028039295</v>
      </c>
      <c r="AK2839">
        <v>43.253516974368203</v>
      </c>
      <c r="AL2839">
        <v>88.107582712335997</v>
      </c>
      <c r="AM2839">
        <v>85.274609142854899</v>
      </c>
      <c r="AN2839">
        <v>1.00000007381848</v>
      </c>
    </row>
    <row r="2840" spans="1:40" x14ac:dyDescent="0.25">
      <c r="A2840" t="str">
        <f>"20190312154609620"</f>
        <v>20190312154609620</v>
      </c>
      <c r="B2840" t="str">
        <f>"1552376769609686"</f>
        <v>1552376769609686</v>
      </c>
      <c r="C2840" t="s">
        <v>40</v>
      </c>
      <c r="D2840">
        <v>4.5980339999999904</v>
      </c>
      <c r="E2840">
        <v>0.47394920000000001</v>
      </c>
      <c r="F2840" t="s">
        <v>57</v>
      </c>
      <c r="G2840">
        <v>-297.64659999999998</v>
      </c>
      <c r="H2840" s="1">
        <v>2.2507910000000001E-6</v>
      </c>
      <c r="I2840">
        <v>215.93510000000001</v>
      </c>
      <c r="J2840">
        <v>-336.34010000000001</v>
      </c>
      <c r="K2840">
        <v>1.1097049999999999</v>
      </c>
      <c r="L2840">
        <v>215.21119999999999</v>
      </c>
      <c r="M2840">
        <v>0.99941780000000002</v>
      </c>
      <c r="N2840">
        <v>0</v>
      </c>
      <c r="O2840">
        <v>3.0766470000000001E-2</v>
      </c>
      <c r="P2840">
        <v>0.99832619999999905</v>
      </c>
      <c r="Q2840">
        <v>1.701329E-2</v>
      </c>
      <c r="R2840">
        <v>-5.5278720000000003E-2</v>
      </c>
      <c r="S2840">
        <v>3.0090330000000001</v>
      </c>
      <c r="T2840">
        <v>-8.5232020000000006E-2</v>
      </c>
      <c r="U2840">
        <v>5.6747440000000003E-2</v>
      </c>
      <c r="V2840">
        <v>8.5937340000000001E-2</v>
      </c>
      <c r="W2840">
        <v>3.1796640000000001E-2</v>
      </c>
      <c r="X2840">
        <v>0.99579300000000004</v>
      </c>
      <c r="Y2840">
        <v>1.19005E-2</v>
      </c>
      <c r="Z2840">
        <v>-1.039643E-3</v>
      </c>
      <c r="AA2840">
        <v>0.9999287</v>
      </c>
      <c r="AB2840">
        <v>49</v>
      </c>
      <c r="AC2840">
        <v>38.6935</v>
      </c>
      <c r="AD2840">
        <v>-1.1097027492089999</v>
      </c>
      <c r="AE2840">
        <v>0.72390000000001398</v>
      </c>
      <c r="AF2840">
        <v>0.46665096353950702</v>
      </c>
      <c r="AG2840">
        <v>-1.1097027492089999</v>
      </c>
      <c r="AH2840">
        <v>38.665661305008797</v>
      </c>
      <c r="AI2840">
        <v>91.643815397186799</v>
      </c>
      <c r="AJ2840">
        <v>89.308538073027094</v>
      </c>
      <c r="AK2840">
        <v>38.684396951057998</v>
      </c>
      <c r="AL2840">
        <v>88.177879557889199</v>
      </c>
      <c r="AM2840">
        <v>85.067571931849102</v>
      </c>
      <c r="AN2840">
        <v>0.99999997578528199</v>
      </c>
    </row>
    <row r="2841" spans="1:40" x14ac:dyDescent="0.25">
      <c r="A2841" t="str">
        <f>"20190312154609641"</f>
        <v>20190312154609641</v>
      </c>
      <c r="B2841" t="str">
        <f>"1552376769630182"</f>
        <v>1552376769630182</v>
      </c>
      <c r="C2841" t="s">
        <v>40</v>
      </c>
      <c r="D2841">
        <v>4.5688789999999999</v>
      </c>
      <c r="E2841">
        <v>0.47393229999999997</v>
      </c>
      <c r="F2841" t="s">
        <v>57</v>
      </c>
      <c r="G2841">
        <v>-299.92570000000001</v>
      </c>
      <c r="H2841" s="1">
        <v>2.655062E-6</v>
      </c>
      <c r="I2841">
        <v>215.7833</v>
      </c>
      <c r="J2841">
        <v>-335.87439999999998</v>
      </c>
      <c r="K2841">
        <v>1.1096569999999999</v>
      </c>
      <c r="L2841">
        <v>215.22559999999999</v>
      </c>
      <c r="M2841">
        <v>0.99941310000000005</v>
      </c>
      <c r="N2841">
        <v>0</v>
      </c>
      <c r="O2841">
        <v>3.091445E-2</v>
      </c>
      <c r="P2841">
        <v>0.99819170000000002</v>
      </c>
      <c r="Q2841">
        <v>1.5809879999999998E-2</v>
      </c>
      <c r="R2841">
        <v>-5.7995709999999999E-2</v>
      </c>
      <c r="S2841">
        <v>3.0091549999999998</v>
      </c>
      <c r="T2841">
        <v>-9.1701749999999999E-2</v>
      </c>
      <c r="U2841">
        <v>4.7271729999999998E-2</v>
      </c>
      <c r="V2841">
        <v>8.880188E-2</v>
      </c>
      <c r="W2841">
        <v>3.059798E-2</v>
      </c>
      <c r="X2841">
        <v>0.9955792</v>
      </c>
      <c r="Y2841">
        <v>1.519276E-2</v>
      </c>
      <c r="Z2841">
        <v>-1.1731770000000001E-3</v>
      </c>
      <c r="AA2841">
        <v>0.99988390000000005</v>
      </c>
      <c r="AB2841">
        <v>49</v>
      </c>
      <c r="AC2841">
        <v>35.948699999999903</v>
      </c>
      <c r="AD2841">
        <v>-1.1096543449380001</v>
      </c>
      <c r="AE2841">
        <v>0.55770000000001096</v>
      </c>
      <c r="AF2841">
        <v>0.55349467420911902</v>
      </c>
      <c r="AG2841">
        <v>-1.1096543449380001</v>
      </c>
      <c r="AH2841">
        <v>35.914545152138501</v>
      </c>
      <c r="AI2841">
        <v>91.769498928573995</v>
      </c>
      <c r="AJ2841">
        <v>89.117059723212705</v>
      </c>
      <c r="AK2841">
        <v>35.9359463852646</v>
      </c>
      <c r="AL2841">
        <v>88.246591170347202</v>
      </c>
      <c r="AM2841">
        <v>84.902923097874904</v>
      </c>
      <c r="AN2841">
        <v>0.99999997687212705</v>
      </c>
    </row>
    <row r="2842" spans="1:40" x14ac:dyDescent="0.25">
      <c r="A2842" t="str">
        <f>"20190312154609662"</f>
        <v>20190312154609662</v>
      </c>
      <c r="B2842" t="str">
        <f>"1552376769649702"</f>
        <v>1552376769649702</v>
      </c>
      <c r="C2842" t="s">
        <v>40</v>
      </c>
      <c r="D2842">
        <v>4.6161490000000001</v>
      </c>
      <c r="E2842">
        <v>0.4707906</v>
      </c>
      <c r="F2842" t="s">
        <v>57</v>
      </c>
      <c r="G2842">
        <v>-301.27379999999999</v>
      </c>
      <c r="H2842" s="1">
        <v>2.427305E-6</v>
      </c>
      <c r="I2842">
        <v>215.6797</v>
      </c>
      <c r="J2842">
        <v>-335.41120000000001</v>
      </c>
      <c r="K2842">
        <v>1.1096170000000001</v>
      </c>
      <c r="L2842">
        <v>215.24010000000001</v>
      </c>
      <c r="M2842">
        <v>0.99940910000000005</v>
      </c>
      <c r="N2842">
        <v>0</v>
      </c>
      <c r="O2842">
        <v>3.103183E-2</v>
      </c>
      <c r="P2842">
        <v>0.99809530000000002</v>
      </c>
      <c r="Q2842">
        <v>1.575588E-2</v>
      </c>
      <c r="R2842">
        <v>-5.9648479999999997E-2</v>
      </c>
      <c r="S2842">
        <v>3.009277</v>
      </c>
      <c r="T2842">
        <v>-9.6508739999999996E-2</v>
      </c>
      <c r="U2842">
        <v>3.9489749999999997E-2</v>
      </c>
      <c r="V2842">
        <v>9.057142E-2</v>
      </c>
      <c r="W2842">
        <v>3.0546509999999999E-2</v>
      </c>
      <c r="X2842">
        <v>0.99542140000000001</v>
      </c>
      <c r="Y2842">
        <v>1.7892189999999999E-2</v>
      </c>
      <c r="Z2842">
        <v>-1.281662E-3</v>
      </c>
      <c r="AA2842">
        <v>0.99983909999999998</v>
      </c>
      <c r="AB2842">
        <v>49</v>
      </c>
      <c r="AC2842">
        <v>34.1374</v>
      </c>
      <c r="AD2842">
        <v>-1.109614572695</v>
      </c>
      <c r="AE2842">
        <v>0.439599999999984</v>
      </c>
      <c r="AF2842">
        <v>0.61941916366594196</v>
      </c>
      <c r="AG2842">
        <v>-1.109614572695</v>
      </c>
      <c r="AH2842">
        <v>34.098578478270703</v>
      </c>
      <c r="AI2842">
        <v>91.863518417786096</v>
      </c>
      <c r="AJ2842">
        <v>88.959305565590199</v>
      </c>
      <c r="AK2842">
        <v>34.122250494934299</v>
      </c>
      <c r="AL2842">
        <v>88.249541634435005</v>
      </c>
      <c r="AM2842">
        <v>84.801086017005503</v>
      </c>
      <c r="AN2842">
        <v>1.00000001748597</v>
      </c>
    </row>
    <row r="2843" spans="1:40" x14ac:dyDescent="0.25">
      <c r="A2843" t="str">
        <f>"20190312154609685"</f>
        <v>20190312154609685</v>
      </c>
      <c r="B2843" t="str">
        <f>"1552376769679960"</f>
        <v>1552376769679960</v>
      </c>
      <c r="C2843" t="s">
        <v>40</v>
      </c>
      <c r="D2843">
        <v>4.5987730000000004</v>
      </c>
      <c r="E2843">
        <v>0.47079939999999998</v>
      </c>
      <c r="F2843" t="s">
        <v>57</v>
      </c>
      <c r="G2843">
        <v>-309.42239999999998</v>
      </c>
      <c r="H2843" s="1">
        <v>9.8188120000000007E-7</v>
      </c>
      <c r="I2843">
        <v>215.76580000000001</v>
      </c>
      <c r="J2843">
        <v>-334.92230000000001</v>
      </c>
      <c r="K2843">
        <v>1.1095790000000001</v>
      </c>
      <c r="L2843">
        <v>215.25540000000001</v>
      </c>
      <c r="M2843">
        <v>0.99940600000000002</v>
      </c>
      <c r="N2843">
        <v>0</v>
      </c>
      <c r="O2843">
        <v>3.1124039999999999E-2</v>
      </c>
      <c r="P2843">
        <v>0.99800299999999997</v>
      </c>
      <c r="Q2843">
        <v>1.8239350000000001E-2</v>
      </c>
      <c r="R2843">
        <v>-6.04769E-2</v>
      </c>
      <c r="S2843">
        <v>3.0113829999999999</v>
      </c>
      <c r="T2843">
        <v>-0.12857399999999999</v>
      </c>
      <c r="U2843">
        <v>6.0913090000000003E-2</v>
      </c>
      <c r="V2843">
        <v>9.1491050000000004E-2</v>
      </c>
      <c r="W2843">
        <v>3.3029570000000001E-2</v>
      </c>
      <c r="X2843">
        <v>0.99525799999999998</v>
      </c>
      <c r="Y2843">
        <v>1.0869180000000001E-2</v>
      </c>
      <c r="Z2843">
        <v>-1.5599170000000001E-3</v>
      </c>
      <c r="AA2843">
        <v>0.99993969999999999</v>
      </c>
      <c r="AB2843">
        <v>49</v>
      </c>
      <c r="AC2843">
        <v>25.4999</v>
      </c>
      <c r="AD2843">
        <v>-1.1095780181188</v>
      </c>
      <c r="AE2843">
        <v>0.51040000000000396</v>
      </c>
      <c r="AF2843">
        <v>0.28305840845641</v>
      </c>
      <c r="AG2843">
        <v>-1.1095780181188</v>
      </c>
      <c r="AH2843">
        <v>25.4552535274596</v>
      </c>
      <c r="AI2843">
        <v>92.495751860284699</v>
      </c>
      <c r="AJ2843">
        <v>89.3629062176323</v>
      </c>
      <c r="AK2843">
        <v>25.4809971859057</v>
      </c>
      <c r="AL2843">
        <v>88.107200822978697</v>
      </c>
      <c r="AM2843">
        <v>84.747734409977895</v>
      </c>
      <c r="AN2843">
        <v>1.0000000256442401</v>
      </c>
    </row>
    <row r="2844" spans="1:40" x14ac:dyDescent="0.25">
      <c r="A2844" t="str">
        <f>"20190312154609707"</f>
        <v>20190312154609707</v>
      </c>
      <c r="B2844" t="str">
        <f>"1552376769699478"</f>
        <v>1552376769699478</v>
      </c>
      <c r="C2844" t="s">
        <v>40</v>
      </c>
      <c r="D2844">
        <v>4.5900290000000004</v>
      </c>
      <c r="E2844">
        <v>0.47054279999999998</v>
      </c>
      <c r="F2844" t="s">
        <v>57</v>
      </c>
      <c r="G2844">
        <v>-306.25360000000001</v>
      </c>
      <c r="H2844" s="1">
        <v>1.5439689999999999E-6</v>
      </c>
      <c r="I2844">
        <v>215.81</v>
      </c>
      <c r="J2844">
        <v>-334.44959999999998</v>
      </c>
      <c r="K2844">
        <v>1.109558</v>
      </c>
      <c r="L2844">
        <v>215.27010000000001</v>
      </c>
      <c r="M2844">
        <v>0.99940399999999996</v>
      </c>
      <c r="N2844">
        <v>0</v>
      </c>
      <c r="O2844">
        <v>3.1187869999999999E-2</v>
      </c>
      <c r="P2844">
        <v>0.99794559999999999</v>
      </c>
      <c r="Q2844">
        <v>2.0934950000000001E-2</v>
      </c>
      <c r="R2844">
        <v>-6.0551699999999903E-2</v>
      </c>
      <c r="S2844">
        <v>3.0116269999999998</v>
      </c>
      <c r="T2844">
        <v>-0.1165606</v>
      </c>
      <c r="U2844">
        <v>5.825806E-2</v>
      </c>
      <c r="V2844">
        <v>9.1629829999999995E-2</v>
      </c>
      <c r="W2844">
        <v>3.5723539999999998E-2</v>
      </c>
      <c r="X2844">
        <v>0.99515220000000004</v>
      </c>
      <c r="Y2844">
        <v>1.182192E-2</v>
      </c>
      <c r="Z2844">
        <v>-1.43507799999999E-3</v>
      </c>
      <c r="AA2844">
        <v>0.99992910000000002</v>
      </c>
      <c r="AB2844">
        <v>49</v>
      </c>
      <c r="AC2844">
        <v>28.195999999999898</v>
      </c>
      <c r="AD2844">
        <v>-1.1095564560310001</v>
      </c>
      <c r="AE2844">
        <v>0.53989999999998795</v>
      </c>
      <c r="AF2844">
        <v>0.33930693060392902</v>
      </c>
      <c r="AG2844">
        <v>-1.1095564560310001</v>
      </c>
      <c r="AH2844">
        <v>28.155536812465101</v>
      </c>
      <c r="AI2844">
        <v>92.256586861117</v>
      </c>
      <c r="AJ2844">
        <v>89.309552712151003</v>
      </c>
      <c r="AK2844">
        <v>28.1794339531573</v>
      </c>
      <c r="AL2844">
        <v>87.952756432827798</v>
      </c>
      <c r="AM2844">
        <v>84.7392559645521</v>
      </c>
      <c r="AN2844">
        <v>1.00000004911039</v>
      </c>
    </row>
    <row r="2845" spans="1:40" x14ac:dyDescent="0.25">
      <c r="A2845" t="str">
        <f>"20190312154609728"</f>
        <v>20190312154609728</v>
      </c>
      <c r="B2845" t="str">
        <f>"1552376769719973"</f>
        <v>1552376769719973</v>
      </c>
      <c r="C2845" t="s">
        <v>40</v>
      </c>
      <c r="D2845">
        <v>4.5820850000000002</v>
      </c>
      <c r="E2845">
        <v>0.47043639999999998</v>
      </c>
      <c r="F2845" t="s">
        <v>57</v>
      </c>
      <c r="G2845">
        <v>-303.6651</v>
      </c>
      <c r="H2845" s="1">
        <v>2.0031299999999999E-6</v>
      </c>
      <c r="I2845">
        <v>215.88489999999999</v>
      </c>
      <c r="J2845">
        <v>-333.97590000000002</v>
      </c>
      <c r="K2845">
        <v>1.109553</v>
      </c>
      <c r="L2845">
        <v>215.285</v>
      </c>
      <c r="M2845">
        <v>0.99940249999999997</v>
      </c>
      <c r="N2845">
        <v>0</v>
      </c>
      <c r="O2845">
        <v>3.1233199999999999E-2</v>
      </c>
      <c r="P2845">
        <v>0.99792709999999996</v>
      </c>
      <c r="Q2845">
        <v>2.1751039999999999E-2</v>
      </c>
      <c r="R2845">
        <v>-6.0571689999999997E-2</v>
      </c>
      <c r="S2845">
        <v>3.012146</v>
      </c>
      <c r="T2845">
        <v>-0.108566</v>
      </c>
      <c r="U2845">
        <v>6.0150149999999999E-2</v>
      </c>
      <c r="V2845">
        <v>9.169766E-2</v>
      </c>
      <c r="W2845">
        <v>3.6537920000000002E-2</v>
      </c>
      <c r="X2845">
        <v>0.99511640000000001</v>
      </c>
      <c r="Y2845">
        <v>1.124735E-2</v>
      </c>
      <c r="Z2845">
        <v>-1.3277579999999901E-3</v>
      </c>
      <c r="AA2845">
        <v>0.99993589999999999</v>
      </c>
      <c r="AB2845">
        <v>49</v>
      </c>
      <c r="AC2845">
        <v>30.3108</v>
      </c>
      <c r="AD2845">
        <v>-1.1095509968699999</v>
      </c>
      <c r="AE2845">
        <v>0.599899999999991</v>
      </c>
      <c r="AF2845">
        <v>0.34673532387689499</v>
      </c>
      <c r="AG2845">
        <v>-1.1095509968699999</v>
      </c>
      <c r="AH2845">
        <v>30.2741966475702</v>
      </c>
      <c r="AI2845">
        <v>92.098816534721607</v>
      </c>
      <c r="AJ2845">
        <v>89.343810760538204</v>
      </c>
      <c r="AK2845">
        <v>30.296506588305299</v>
      </c>
      <c r="AL2845">
        <v>87.906065444314393</v>
      </c>
      <c r="AM2845">
        <v>84.735195180811999</v>
      </c>
      <c r="AN2845">
        <v>1.00000006499817</v>
      </c>
    </row>
    <row r="2846" spans="1:40" x14ac:dyDescent="0.25">
      <c r="A2846" t="str">
        <f>"20190312154609751"</f>
        <v>20190312154609751</v>
      </c>
      <c r="B2846" t="str">
        <f>"1552376769739493"</f>
        <v>1552376769739493</v>
      </c>
      <c r="C2846" t="s">
        <v>40</v>
      </c>
      <c r="D2846">
        <v>4.5904730000000002</v>
      </c>
      <c r="E2846">
        <v>0.47026089999999998</v>
      </c>
      <c r="F2846" t="s">
        <v>57</v>
      </c>
      <c r="G2846">
        <v>-301.89850000000001</v>
      </c>
      <c r="H2846" s="1">
        <v>2.316494E-6</v>
      </c>
      <c r="I2846">
        <v>215.93350000000001</v>
      </c>
      <c r="J2846">
        <v>-333.47109999999998</v>
      </c>
      <c r="K2846">
        <v>1.1095549999999901</v>
      </c>
      <c r="L2846">
        <v>215.30080000000001</v>
      </c>
      <c r="M2846">
        <v>0.99940130000000005</v>
      </c>
      <c r="N2846">
        <v>0</v>
      </c>
      <c r="O2846">
        <v>3.1264180000000003E-2</v>
      </c>
      <c r="P2846">
        <v>0.99788779999999999</v>
      </c>
      <c r="Q2846">
        <v>2.172545E-2</v>
      </c>
      <c r="R2846">
        <v>-6.1219990000000002E-2</v>
      </c>
      <c r="S2846">
        <v>3.0121769999999999</v>
      </c>
      <c r="T2846">
        <v>-0.1041907</v>
      </c>
      <c r="U2846">
        <v>6.089783E-2</v>
      </c>
      <c r="V2846">
        <v>9.2378710000000003E-2</v>
      </c>
      <c r="W2846">
        <v>3.6510279999999999E-2</v>
      </c>
      <c r="X2846">
        <v>0.99505440000000001</v>
      </c>
      <c r="Y2846">
        <v>1.1032749999999999E-2</v>
      </c>
      <c r="Z2846">
        <v>-1.2716239999999901E-3</v>
      </c>
      <c r="AA2846">
        <v>0.99993829999999995</v>
      </c>
      <c r="AB2846">
        <v>49</v>
      </c>
      <c r="AC2846">
        <v>31.572599999999898</v>
      </c>
      <c r="AD2846">
        <v>-1.1095526835059999</v>
      </c>
      <c r="AE2846">
        <v>0.63269999999999904</v>
      </c>
      <c r="AF2846">
        <v>0.35437172417472002</v>
      </c>
      <c r="AG2846">
        <v>-1.1095526835059999</v>
      </c>
      <c r="AH2846">
        <v>31.538011009411498</v>
      </c>
      <c r="AI2846">
        <v>92.014789988306902</v>
      </c>
      <c r="AJ2846">
        <v>89.356232397255596</v>
      </c>
      <c r="AK2846">
        <v>31.5595124313753</v>
      </c>
      <c r="AL2846">
        <v>87.9076501104188</v>
      </c>
      <c r="AM2846">
        <v>84.695986409711495</v>
      </c>
      <c r="AN2846">
        <v>1.0000000427831499</v>
      </c>
    </row>
    <row r="2847" spans="1:40" x14ac:dyDescent="0.25">
      <c r="A2847" t="str">
        <f>"20190312154609774"</f>
        <v>20190312154609774</v>
      </c>
      <c r="B2847" t="str">
        <f>"1552376769759990"</f>
        <v>1552376769759990</v>
      </c>
      <c r="C2847" t="s">
        <v>40</v>
      </c>
      <c r="D2847">
        <v>4.567075</v>
      </c>
      <c r="E2847">
        <v>0.46994019999999997</v>
      </c>
      <c r="F2847" t="s">
        <v>57</v>
      </c>
      <c r="G2847">
        <v>-301.2706</v>
      </c>
      <c r="H2847" s="1">
        <v>2.4278779999999999E-6</v>
      </c>
      <c r="I2847">
        <v>215.94540000000001</v>
      </c>
      <c r="J2847">
        <v>-332.99540000000002</v>
      </c>
      <c r="K2847">
        <v>1.1095710000000001</v>
      </c>
      <c r="L2847">
        <v>215.31569999999999</v>
      </c>
      <c r="M2847">
        <v>0.99940110000000004</v>
      </c>
      <c r="N2847">
        <v>0</v>
      </c>
      <c r="O2847">
        <v>3.1270630000000001E-2</v>
      </c>
      <c r="P2847">
        <v>0.99784170000000005</v>
      </c>
      <c r="Q2847">
        <v>2.2296549999999998E-2</v>
      </c>
      <c r="R2847">
        <v>-6.1765819999999999E-2</v>
      </c>
      <c r="S2847">
        <v>3.0122990000000001</v>
      </c>
      <c r="T2847">
        <v>-0.1037965</v>
      </c>
      <c r="U2847">
        <v>6.0302729999999999E-2</v>
      </c>
      <c r="V2847">
        <v>9.2932280000000006E-2</v>
      </c>
      <c r="W2847">
        <v>3.707829E-2</v>
      </c>
      <c r="X2847">
        <v>0.99498180000000003</v>
      </c>
      <c r="Y2847">
        <v>1.1237540000000001E-2</v>
      </c>
      <c r="Z2847">
        <v>-1.2705170000000001E-3</v>
      </c>
      <c r="AA2847">
        <v>0.99993600000000005</v>
      </c>
      <c r="AB2847">
        <v>49</v>
      </c>
      <c r="AC2847">
        <v>31.724799999999998</v>
      </c>
      <c r="AD2847">
        <v>-1.1095685721220001</v>
      </c>
      <c r="AE2847">
        <v>0.62970000000001303</v>
      </c>
      <c r="AF2847">
        <v>0.36232840359303597</v>
      </c>
      <c r="AG2847">
        <v>-1.1095685721220001</v>
      </c>
      <c r="AH2847">
        <v>31.690225610279199</v>
      </c>
      <c r="AI2847">
        <v>92.005144674554003</v>
      </c>
      <c r="AJ2847">
        <v>89.344940485840098</v>
      </c>
      <c r="AK2847">
        <v>31.711714294857799</v>
      </c>
      <c r="AL2847">
        <v>87.875083382561598</v>
      </c>
      <c r="AM2847">
        <v>84.663998471552006</v>
      </c>
      <c r="AN2847">
        <v>0.99999999529328099</v>
      </c>
    </row>
    <row r="2848" spans="1:40" x14ac:dyDescent="0.25">
      <c r="A2848" t="str">
        <f>"20190312154609797"</f>
        <v>20190312154609797</v>
      </c>
      <c r="B2848" t="str">
        <f>"1552376769790246"</f>
        <v>1552376769790246</v>
      </c>
      <c r="C2848" t="s">
        <v>40</v>
      </c>
      <c r="D2848">
        <v>4.6667399999999999</v>
      </c>
      <c r="E2848">
        <v>0.46985209999999999</v>
      </c>
      <c r="F2848" t="s">
        <v>57</v>
      </c>
      <c r="G2848">
        <v>-300.45499999999998</v>
      </c>
      <c r="H2848" s="1">
        <v>2.5725459999999999E-6</v>
      </c>
      <c r="I2848">
        <v>215.9768</v>
      </c>
      <c r="J2848">
        <v>-332.48989999999998</v>
      </c>
      <c r="K2848">
        <v>1.109586</v>
      </c>
      <c r="L2848">
        <v>215.33150000000001</v>
      </c>
      <c r="M2848">
        <v>0.99940189999999995</v>
      </c>
      <c r="N2848">
        <v>0</v>
      </c>
      <c r="O2848">
        <v>3.1241669999999999E-2</v>
      </c>
      <c r="P2848">
        <v>0.99777669999999996</v>
      </c>
      <c r="Q2848">
        <v>2.2565180000000001E-2</v>
      </c>
      <c r="R2848">
        <v>-6.2712950000000003E-2</v>
      </c>
      <c r="S2848">
        <v>3.012543</v>
      </c>
      <c r="T2848">
        <v>-0.10272240000000001</v>
      </c>
      <c r="U2848">
        <v>6.1203E-2</v>
      </c>
      <c r="V2848">
        <v>9.3851519999999994E-2</v>
      </c>
      <c r="W2848">
        <v>3.7341319999999997E-2</v>
      </c>
      <c r="X2848">
        <v>0.99488569999999998</v>
      </c>
      <c r="Y2848">
        <v>1.091223E-2</v>
      </c>
      <c r="Z2848">
        <v>-1.25074E-3</v>
      </c>
      <c r="AA2848">
        <v>0.99993969999999999</v>
      </c>
      <c r="AB2848">
        <v>49</v>
      </c>
      <c r="AC2848">
        <v>32.034899999999901</v>
      </c>
      <c r="AD2848">
        <v>-1.109583427454</v>
      </c>
      <c r="AE2848">
        <v>0.64529999999999099</v>
      </c>
      <c r="AF2848">
        <v>0.355522501343702</v>
      </c>
      <c r="AG2848">
        <v>-1.109583427454</v>
      </c>
      <c r="AH2848">
        <v>32.001045378951602</v>
      </c>
      <c r="AI2848">
        <v>91.985718574469004</v>
      </c>
      <c r="AJ2848">
        <v>89.363486392044393</v>
      </c>
      <c r="AK2848">
        <v>32.022249717613001</v>
      </c>
      <c r="AL2848">
        <v>87.8600024804405</v>
      </c>
      <c r="AM2848">
        <v>84.611009128790499</v>
      </c>
      <c r="AN2848">
        <v>1.00000001902507</v>
      </c>
    </row>
    <row r="2849" spans="1:40" x14ac:dyDescent="0.25">
      <c r="A2849" t="str">
        <f>"20190312154609841"</f>
        <v>20190312154609841</v>
      </c>
      <c r="B2849" t="str">
        <f>"1552376769829794"</f>
        <v>1552376769829794</v>
      </c>
      <c r="C2849" t="s">
        <v>40</v>
      </c>
      <c r="D2849">
        <v>4.4955600000000002</v>
      </c>
      <c r="E2849">
        <v>0.50429860000000004</v>
      </c>
      <c r="F2849" t="s">
        <v>57</v>
      </c>
      <c r="G2849">
        <v>-299.49259999999998</v>
      </c>
      <c r="H2849" s="1">
        <v>2.5782460000000001E-6</v>
      </c>
      <c r="I2849">
        <v>215.98079999999999</v>
      </c>
      <c r="J2849">
        <v>-331.52890000000002</v>
      </c>
      <c r="K2849">
        <v>1.1096330000000001</v>
      </c>
      <c r="L2849">
        <v>215.3614</v>
      </c>
      <c r="M2849">
        <v>0.99940779999999996</v>
      </c>
      <c r="N2849">
        <v>0</v>
      </c>
      <c r="O2849">
        <v>3.1049480000000001E-2</v>
      </c>
      <c r="P2849">
        <v>0.99739029999999995</v>
      </c>
      <c r="Q2849">
        <v>2.449608E-2</v>
      </c>
      <c r="R2849">
        <v>-6.7920809999999998E-2</v>
      </c>
      <c r="S2849">
        <v>3.0126949999999999</v>
      </c>
      <c r="T2849">
        <v>-0.1013064</v>
      </c>
      <c r="U2849">
        <v>5.9280399999999997E-2</v>
      </c>
      <c r="V2849">
        <v>9.8862800000000001E-2</v>
      </c>
      <c r="W2849">
        <v>3.9245839999999997E-2</v>
      </c>
      <c r="X2849">
        <v>0.99432690000000001</v>
      </c>
      <c r="Y2849">
        <v>1.1359360000000001E-2</v>
      </c>
      <c r="Z2849">
        <v>-1.2345139999999999E-3</v>
      </c>
      <c r="AA2849">
        <v>0.99993469999999995</v>
      </c>
      <c r="AB2849">
        <v>49</v>
      </c>
      <c r="AC2849">
        <v>32.036299999999997</v>
      </c>
      <c r="AD2849">
        <v>-1.1096304217540001</v>
      </c>
      <c r="AE2849">
        <v>0.61939999999998396</v>
      </c>
      <c r="AF2849">
        <v>0.375268551422131</v>
      </c>
      <c r="AG2849">
        <v>-1.1096304217540001</v>
      </c>
      <c r="AH2849">
        <v>32.001706376096699</v>
      </c>
      <c r="AI2849">
        <v>91.985747652363798</v>
      </c>
      <c r="AJ2849">
        <v>89.328150866319504</v>
      </c>
      <c r="AK2849">
        <v>32.023137215776998</v>
      </c>
      <c r="AL2849">
        <v>87.750801452030402</v>
      </c>
      <c r="AM2849">
        <v>84.321922157989107</v>
      </c>
      <c r="AN2849">
        <v>1.00000003662237</v>
      </c>
    </row>
    <row r="2850" spans="1:40" x14ac:dyDescent="0.25">
      <c r="A2850" t="str">
        <f>"20190312154609862"</f>
        <v>20190312154609862</v>
      </c>
      <c r="B2850" t="str">
        <f>"1552376769860051"</f>
        <v>1552376769860051</v>
      </c>
      <c r="C2850" t="s">
        <v>40</v>
      </c>
      <c r="D2850">
        <v>4.505738</v>
      </c>
      <c r="E2850">
        <v>0.51480979999999998</v>
      </c>
      <c r="F2850" t="s">
        <v>41</v>
      </c>
      <c r="G2850">
        <v>-330.75979999999998</v>
      </c>
      <c r="H2850">
        <v>1.0122359999999999</v>
      </c>
      <c r="I2850">
        <v>215.30510000000001</v>
      </c>
      <c r="J2850">
        <v>-331.06869999999998</v>
      </c>
      <c r="K2850">
        <v>1.109632</v>
      </c>
      <c r="L2850">
        <v>215.37559999999999</v>
      </c>
      <c r="M2850">
        <v>0.99941270000000004</v>
      </c>
      <c r="N2850">
        <v>0</v>
      </c>
      <c r="O2850">
        <v>3.0888470000000001E-2</v>
      </c>
      <c r="P2850">
        <v>0.99711349999999999</v>
      </c>
      <c r="Q2850">
        <v>2.7933759999999998E-2</v>
      </c>
      <c r="R2850">
        <v>-7.0601739999999996E-2</v>
      </c>
      <c r="S2850">
        <v>3.0022890000000002</v>
      </c>
      <c r="T2850">
        <v>-0.3802855</v>
      </c>
      <c r="U2850">
        <v>-0.21879580000000001</v>
      </c>
      <c r="V2850">
        <v>0.1013801</v>
      </c>
      <c r="W2850">
        <v>4.2665710000000003E-2</v>
      </c>
      <c r="X2850">
        <v>0.99393240000000005</v>
      </c>
      <c r="Y2850">
        <v>0.10239910000000001</v>
      </c>
      <c r="Z2850">
        <v>-1.034382E-2</v>
      </c>
      <c r="AA2850">
        <v>0.99468959999999995</v>
      </c>
      <c r="AB2850">
        <v>49</v>
      </c>
      <c r="AC2850">
        <v>0.30889999999999401</v>
      </c>
      <c r="AD2850">
        <v>-9.7395999999999802E-2</v>
      </c>
      <c r="AE2850">
        <v>-7.04999999999813E-2</v>
      </c>
      <c r="AF2850">
        <v>7.3101371306132701E-2</v>
      </c>
      <c r="AG2850">
        <v>-9.7395999999999802E-2</v>
      </c>
      <c r="AH2850">
        <v>0.28010689070617201</v>
      </c>
      <c r="AI2850">
        <v>108.59507598946</v>
      </c>
      <c r="AJ2850">
        <v>75.373379038098193</v>
      </c>
      <c r="AK2850">
        <v>0.30543356319159898</v>
      </c>
      <c r="AL2850">
        <v>87.554692494606499</v>
      </c>
      <c r="AM2850">
        <v>84.176029809691101</v>
      </c>
      <c r="AN2850">
        <v>0.99999995162778499</v>
      </c>
    </row>
    <row r="2851" spans="1:40" x14ac:dyDescent="0.25">
      <c r="A2851" t="str">
        <f>"20190312154609885"</f>
        <v>20190312154609885</v>
      </c>
      <c r="B2851" t="str">
        <f>"1552376769879570"</f>
        <v>1552376769879570</v>
      </c>
      <c r="C2851" t="s">
        <v>40</v>
      </c>
      <c r="D2851">
        <v>4.4618909999999996</v>
      </c>
      <c r="E2851">
        <v>0.51716720000000005</v>
      </c>
      <c r="F2851" t="s">
        <v>41</v>
      </c>
      <c r="G2851">
        <v>-330.3415</v>
      </c>
      <c r="H2851">
        <v>0.98074360000000005</v>
      </c>
      <c r="I2851">
        <v>215.30170000000001</v>
      </c>
      <c r="J2851">
        <v>-330.58690000000001</v>
      </c>
      <c r="K2851">
        <v>1.1096029999999999</v>
      </c>
      <c r="L2851">
        <v>215.3903</v>
      </c>
      <c r="M2851">
        <v>0.99941970000000002</v>
      </c>
      <c r="N2851">
        <v>0</v>
      </c>
      <c r="O2851">
        <v>3.0660440000000001E-2</v>
      </c>
      <c r="P2851">
        <v>0.99682740000000003</v>
      </c>
      <c r="Q2851">
        <v>3.215631E-2</v>
      </c>
      <c r="R2851">
        <v>-7.280847E-2</v>
      </c>
      <c r="S2851">
        <v>3.0019840000000002</v>
      </c>
      <c r="T2851">
        <v>-0.53206009999999904</v>
      </c>
      <c r="U2851">
        <v>-0.30461120000000003</v>
      </c>
      <c r="V2851">
        <v>0.1033584</v>
      </c>
      <c r="W2851">
        <v>4.6867659999999998E-2</v>
      </c>
      <c r="X2851">
        <v>0.99353930000000001</v>
      </c>
      <c r="Y2851">
        <v>0.12894710000000001</v>
      </c>
      <c r="Z2851">
        <v>-1.6690969999999999E-2</v>
      </c>
      <c r="AA2851">
        <v>0.99151100000000003</v>
      </c>
      <c r="AB2851">
        <v>49</v>
      </c>
      <c r="AC2851">
        <v>0.24540000000001699</v>
      </c>
      <c r="AD2851">
        <v>-0.12885940000000001</v>
      </c>
      <c r="AE2851">
        <v>-8.8599999999985302E-2</v>
      </c>
      <c r="AF2851">
        <v>7.7241532081715594E-2</v>
      </c>
      <c r="AG2851">
        <v>-0.12885940000000001</v>
      </c>
      <c r="AH2851">
        <v>0.19500079495130301</v>
      </c>
      <c r="AI2851">
        <v>121.565400343329</v>
      </c>
      <c r="AJ2851">
        <v>68.391045427036005</v>
      </c>
      <c r="AK2851">
        <v>0.24616317612171601</v>
      </c>
      <c r="AL2851">
        <v>87.313696662788303</v>
      </c>
      <c r="AM2851">
        <v>84.060854521582598</v>
      </c>
      <c r="AN2851">
        <v>0.99999993852446001</v>
      </c>
    </row>
    <row r="2852" spans="1:40" x14ac:dyDescent="0.25">
      <c r="A2852" t="str">
        <f>"20190312154609908"</f>
        <v>20190312154609908</v>
      </c>
      <c r="B2852" t="str">
        <f>"1552376769899599"</f>
        <v>1552376769899599</v>
      </c>
      <c r="C2852" t="s">
        <v>40</v>
      </c>
      <c r="D2852">
        <v>4.493366</v>
      </c>
      <c r="E2852">
        <v>0.5182599</v>
      </c>
      <c r="F2852" t="s">
        <v>41</v>
      </c>
      <c r="G2852">
        <v>-329.50850000000003</v>
      </c>
      <c r="H2852">
        <v>0.90328120000000001</v>
      </c>
      <c r="I2852">
        <v>215.27199999999999</v>
      </c>
      <c r="J2852">
        <v>-330.08769999999998</v>
      </c>
      <c r="K2852">
        <v>1.109551</v>
      </c>
      <c r="L2852">
        <v>215.40539999999999</v>
      </c>
      <c r="M2852">
        <v>0.99942900000000001</v>
      </c>
      <c r="N2852">
        <v>0</v>
      </c>
      <c r="O2852">
        <v>3.0354530000000001E-2</v>
      </c>
      <c r="P2852">
        <v>0.99671319999999997</v>
      </c>
      <c r="Q2852">
        <v>3.4402439999999999E-2</v>
      </c>
      <c r="R2852">
        <v>-7.3346560000000005E-2</v>
      </c>
      <c r="S2852">
        <v>3.0040589999999998</v>
      </c>
      <c r="T2852">
        <v>-0.57476850000000002</v>
      </c>
      <c r="U2852">
        <v>-0.32864379999999999</v>
      </c>
      <c r="V2852">
        <v>0.1035972</v>
      </c>
      <c r="W2852">
        <v>4.9095270000000003E-2</v>
      </c>
      <c r="X2852">
        <v>0.99340689999999998</v>
      </c>
      <c r="Y2852">
        <v>0.13589609999999999</v>
      </c>
      <c r="Z2852">
        <v>-1.8587590000000001E-2</v>
      </c>
      <c r="AA2852">
        <v>0.99054869999999995</v>
      </c>
      <c r="AB2852">
        <v>48</v>
      </c>
      <c r="AC2852">
        <v>0.57919999999995697</v>
      </c>
      <c r="AD2852">
        <v>-0.206269799999999</v>
      </c>
      <c r="AE2852">
        <v>-0.13339999999996599</v>
      </c>
      <c r="AF2852">
        <v>0.13469881909963599</v>
      </c>
      <c r="AG2852">
        <v>-0.206269799999999</v>
      </c>
      <c r="AH2852">
        <v>0.51308760076457605</v>
      </c>
      <c r="AI2852">
        <v>111.248099742194</v>
      </c>
      <c r="AJ2852">
        <v>75.290304161787802</v>
      </c>
      <c r="AK2852">
        <v>0.569165958501758</v>
      </c>
      <c r="AL2852">
        <v>87.185916968580202</v>
      </c>
      <c r="AM2852">
        <v>84.046443416833</v>
      </c>
      <c r="AN2852">
        <v>0.99999999717591104</v>
      </c>
    </row>
    <row r="2853" spans="1:40" x14ac:dyDescent="0.25">
      <c r="A2853" t="str">
        <f>"20190312154609930"</f>
        <v>20190312154609930</v>
      </c>
      <c r="B2853" t="str">
        <f>"1552376769920093"</f>
        <v>1552376769920093</v>
      </c>
      <c r="C2853" t="s">
        <v>40</v>
      </c>
      <c r="D2853">
        <v>4.4902540000000002</v>
      </c>
      <c r="E2853">
        <v>0.51899839999999997</v>
      </c>
      <c r="F2853" t="s">
        <v>41</v>
      </c>
      <c r="G2853">
        <v>-329.07350000000002</v>
      </c>
      <c r="H2853">
        <v>0.91072090000000006</v>
      </c>
      <c r="I2853">
        <v>215.29060000000001</v>
      </c>
      <c r="J2853">
        <v>-329.59160000000003</v>
      </c>
      <c r="K2853">
        <v>1.1094740000000001</v>
      </c>
      <c r="L2853">
        <v>215.42019999999999</v>
      </c>
      <c r="M2853">
        <v>0.99944</v>
      </c>
      <c r="N2853">
        <v>0</v>
      </c>
      <c r="O2853">
        <v>2.9994070000000001E-2</v>
      </c>
      <c r="P2853">
        <v>0.99673409999999996</v>
      </c>
      <c r="Q2853">
        <v>3.4996449999999998E-2</v>
      </c>
      <c r="R2853">
        <v>-7.2778770000000007E-2</v>
      </c>
      <c r="S2853">
        <v>3.0052490000000001</v>
      </c>
      <c r="T2853">
        <v>-0.58920719999999904</v>
      </c>
      <c r="U2853">
        <v>-0.33924870000000001</v>
      </c>
      <c r="V2853">
        <v>0.1026802</v>
      </c>
      <c r="W2853">
        <v>4.9674860000000001E-2</v>
      </c>
      <c r="X2853">
        <v>0.9934733</v>
      </c>
      <c r="Y2853">
        <v>0.1387552</v>
      </c>
      <c r="Z2853">
        <v>-1.9242039999999998E-2</v>
      </c>
      <c r="AA2853">
        <v>0.99013980000000001</v>
      </c>
      <c r="AB2853">
        <v>48</v>
      </c>
      <c r="AC2853">
        <v>0.518100000000004</v>
      </c>
      <c r="AD2853">
        <v>-0.19875309999999999</v>
      </c>
      <c r="AE2853">
        <v>-0.12959999999998201</v>
      </c>
      <c r="AF2853">
        <v>0.12743401523987499</v>
      </c>
      <c r="AG2853">
        <v>-0.19875309999999999</v>
      </c>
      <c r="AH2853">
        <v>0.45145392008005097</v>
      </c>
      <c r="AI2853">
        <v>112.962121869958</v>
      </c>
      <c r="AJ2853">
        <v>74.236969972404694</v>
      </c>
      <c r="AK2853">
        <v>0.50946331070589601</v>
      </c>
      <c r="AL2853">
        <v>87.152668364201901</v>
      </c>
      <c r="AM2853">
        <v>84.099159954192103</v>
      </c>
      <c r="AN2853">
        <v>1.0000000065004699</v>
      </c>
    </row>
    <row r="2854" spans="1:40" x14ac:dyDescent="0.25">
      <c r="A2854" t="str">
        <f>"20190312154609951"</f>
        <v>20190312154609951</v>
      </c>
      <c r="B2854" t="str">
        <f>"1552376769939614"</f>
        <v>1552376769939614</v>
      </c>
      <c r="C2854" t="s">
        <v>40</v>
      </c>
      <c r="D2854">
        <v>4.5209549999999998</v>
      </c>
      <c r="E2854">
        <v>0.51922990000000002</v>
      </c>
      <c r="F2854" t="s">
        <v>41</v>
      </c>
      <c r="G2854">
        <v>-328.63850000000002</v>
      </c>
      <c r="H2854">
        <v>0.91915290000000005</v>
      </c>
      <c r="I2854">
        <v>215.31110000000001</v>
      </c>
      <c r="J2854">
        <v>-329.14319999999998</v>
      </c>
      <c r="K2854">
        <v>1.109407</v>
      </c>
      <c r="L2854">
        <v>215.43340000000001</v>
      </c>
      <c r="M2854">
        <v>0.99945090000000003</v>
      </c>
      <c r="N2854">
        <v>0</v>
      </c>
      <c r="O2854">
        <v>2.9627250000000001E-2</v>
      </c>
      <c r="P2854">
        <v>0.99686439999999998</v>
      </c>
      <c r="Q2854">
        <v>3.4063240000000002E-2</v>
      </c>
      <c r="R2854">
        <v>-7.1423520000000004E-2</v>
      </c>
      <c r="S2854">
        <v>3.0058590000000001</v>
      </c>
      <c r="T2854">
        <v>-0.60020220000000002</v>
      </c>
      <c r="U2854">
        <v>-0.34344479999999999</v>
      </c>
      <c r="V2854">
        <v>0.1009704</v>
      </c>
      <c r="W2854">
        <v>4.8731389999999999E-2</v>
      </c>
      <c r="X2854">
        <v>0.99369529999999995</v>
      </c>
      <c r="Y2854">
        <v>0.13960810000000001</v>
      </c>
      <c r="Z2854">
        <v>-1.9600650000000001E-2</v>
      </c>
      <c r="AA2854">
        <v>0.99001280000000003</v>
      </c>
      <c r="AB2854">
        <v>48</v>
      </c>
      <c r="AC2854">
        <v>0.50469999999995696</v>
      </c>
      <c r="AD2854">
        <v>-0.19025410000000001</v>
      </c>
      <c r="AE2854">
        <v>-0.122299999999995</v>
      </c>
      <c r="AF2854">
        <v>0.1209648081493</v>
      </c>
      <c r="AG2854">
        <v>-0.19025410000000001</v>
      </c>
      <c r="AH2854">
        <v>0.44158467078487901</v>
      </c>
      <c r="AI2854">
        <v>112.564604487856</v>
      </c>
      <c r="AJ2854">
        <v>74.680577111152502</v>
      </c>
      <c r="AK2854">
        <v>0.49580856068607398</v>
      </c>
      <c r="AL2854">
        <v>87.206790916981504</v>
      </c>
      <c r="AM2854">
        <v>84.198030376418899</v>
      </c>
      <c r="AN2854">
        <v>1.00000005964478</v>
      </c>
    </row>
    <row r="2855" spans="1:40" x14ac:dyDescent="0.25">
      <c r="A2855" t="str">
        <f>"20190312154609974"</f>
        <v>20190312154609974</v>
      </c>
      <c r="B2855" t="str">
        <f>"1552376769969869"</f>
        <v>1552376769969869</v>
      </c>
      <c r="C2855" t="s">
        <v>40</v>
      </c>
      <c r="D2855">
        <v>4.4927429999999999</v>
      </c>
      <c r="E2855">
        <v>0.51979969999999998</v>
      </c>
      <c r="F2855" t="s">
        <v>41</v>
      </c>
      <c r="G2855">
        <v>-328.20850000000002</v>
      </c>
      <c r="H2855">
        <v>0.91591389999999995</v>
      </c>
      <c r="I2855">
        <v>215.32689999999999</v>
      </c>
      <c r="J2855">
        <v>-328.64870000000002</v>
      </c>
      <c r="K2855">
        <v>1.109326</v>
      </c>
      <c r="L2855">
        <v>215.4477</v>
      </c>
      <c r="M2855">
        <v>0.99946389999999996</v>
      </c>
      <c r="N2855">
        <v>0</v>
      </c>
      <c r="O2855">
        <v>2.9185099999999999E-2</v>
      </c>
      <c r="P2855">
        <v>0.99705259999999996</v>
      </c>
      <c r="Q2855">
        <v>3.148347E-2</v>
      </c>
      <c r="R2855">
        <v>-6.9965699999999895E-2</v>
      </c>
      <c r="S2855">
        <v>3.0062869999999999</v>
      </c>
      <c r="T2855">
        <v>-0.62245879999999998</v>
      </c>
      <c r="U2855">
        <v>-0.34111019999999997</v>
      </c>
      <c r="V2855">
        <v>9.9082980000000001E-2</v>
      </c>
      <c r="W2855">
        <v>4.6143660000000003E-2</v>
      </c>
      <c r="X2855">
        <v>0.99400869999999997</v>
      </c>
      <c r="Y2855">
        <v>0.13818810000000001</v>
      </c>
      <c r="Z2855">
        <v>-2.007544E-2</v>
      </c>
      <c r="AA2855">
        <v>0.99020249999999999</v>
      </c>
      <c r="AB2855">
        <v>48</v>
      </c>
      <c r="AC2855">
        <v>0.44020000000000398</v>
      </c>
      <c r="AD2855">
        <v>-0.1934121</v>
      </c>
      <c r="AE2855">
        <v>-0.120800000000002</v>
      </c>
      <c r="AF2855">
        <v>0.113263188502202</v>
      </c>
      <c r="AG2855">
        <v>-0.1934121</v>
      </c>
      <c r="AH2855">
        <v>0.37005148752178901</v>
      </c>
      <c r="AI2855">
        <v>116.55481878226701</v>
      </c>
      <c r="AJ2855">
        <v>72.982005490210398</v>
      </c>
      <c r="AK2855">
        <v>0.43263713861986502</v>
      </c>
      <c r="AL2855">
        <v>87.355223864777301</v>
      </c>
      <c r="AM2855">
        <v>84.307549552361095</v>
      </c>
      <c r="AN2855">
        <v>0.99999998497978204</v>
      </c>
    </row>
    <row r="2856" spans="1:40" x14ac:dyDescent="0.25">
      <c r="A2856" t="str">
        <f>"20190312154609998"</f>
        <v>20190312154609998</v>
      </c>
      <c r="B2856" t="str">
        <f>"1552376769990366"</f>
        <v>1552376769990366</v>
      </c>
      <c r="C2856" t="s">
        <v>40</v>
      </c>
      <c r="D2856">
        <v>4.4072100000000001</v>
      </c>
      <c r="E2856">
        <v>0.52047900000000002</v>
      </c>
      <c r="F2856" t="s">
        <v>41</v>
      </c>
      <c r="G2856">
        <v>-327.77460000000002</v>
      </c>
      <c r="H2856">
        <v>0.92307720000000004</v>
      </c>
      <c r="I2856">
        <v>215.34829999999999</v>
      </c>
      <c r="J2856">
        <v>-328.13990000000001</v>
      </c>
      <c r="K2856">
        <v>1.1092519999999999</v>
      </c>
      <c r="L2856">
        <v>215.4622</v>
      </c>
      <c r="M2856">
        <v>0.99947799999999998</v>
      </c>
      <c r="N2856">
        <v>0</v>
      </c>
      <c r="O2856">
        <v>2.8699789999999999E-2</v>
      </c>
      <c r="P2856">
        <v>0.99731890000000001</v>
      </c>
      <c r="Q2856">
        <v>2.7015399999999998E-2</v>
      </c>
      <c r="R2856">
        <v>-6.8012980000000001E-2</v>
      </c>
      <c r="S2856">
        <v>3.005188</v>
      </c>
      <c r="T2856">
        <v>-0.64034869999999899</v>
      </c>
      <c r="U2856">
        <v>-0.34094239999999998</v>
      </c>
      <c r="V2856">
        <v>9.6656140000000001E-2</v>
      </c>
      <c r="W2856">
        <v>4.167191E-2</v>
      </c>
      <c r="X2856">
        <v>0.99444509999999997</v>
      </c>
      <c r="Y2856">
        <v>0.1375141</v>
      </c>
      <c r="Z2856">
        <v>-2.0474639999999999E-2</v>
      </c>
      <c r="AA2856">
        <v>0.9902881</v>
      </c>
      <c r="AB2856">
        <v>48</v>
      </c>
      <c r="AC2856">
        <v>0.36529999999999002</v>
      </c>
      <c r="AD2856">
        <v>-0.1861748</v>
      </c>
      <c r="AE2856">
        <v>-0.1139</v>
      </c>
      <c r="AF2856">
        <v>0.100538090179324</v>
      </c>
      <c r="AG2856">
        <v>-0.1861748</v>
      </c>
      <c r="AH2856">
        <v>0.29261103666621302</v>
      </c>
      <c r="AI2856">
        <v>121.036420381601</v>
      </c>
      <c r="AJ2856">
        <v>71.037814947598804</v>
      </c>
      <c r="AK2856">
        <v>0.36109580793858798</v>
      </c>
      <c r="AL2856">
        <v>87.611683871907601</v>
      </c>
      <c r="AM2856">
        <v>84.448514239633795</v>
      </c>
      <c r="AN2856">
        <v>1.0000000071983699</v>
      </c>
    </row>
    <row r="2857" spans="1:40" x14ac:dyDescent="0.25">
      <c r="A2857" t="str">
        <f>"20190312154610022"</f>
        <v>20190312154610022</v>
      </c>
      <c r="B2857" t="str">
        <f>"1552376770009416"</f>
        <v>1552376770009416</v>
      </c>
      <c r="C2857" t="s">
        <v>40</v>
      </c>
      <c r="D2857">
        <v>4.5092919999999896</v>
      </c>
      <c r="E2857">
        <v>0.52891440000000001</v>
      </c>
      <c r="F2857" t="s">
        <v>41</v>
      </c>
      <c r="G2857">
        <v>-327.33969999999999</v>
      </c>
      <c r="H2857">
        <v>0.93280079999999999</v>
      </c>
      <c r="I2857">
        <v>215.3716</v>
      </c>
      <c r="J2857">
        <v>-327.62920000000003</v>
      </c>
      <c r="K2857">
        <v>1.1091819999999999</v>
      </c>
      <c r="L2857">
        <v>215.47659999999999</v>
      </c>
      <c r="M2857">
        <v>0.99949250000000001</v>
      </c>
      <c r="N2857">
        <v>0</v>
      </c>
      <c r="O2857">
        <v>2.8192200000000001E-2</v>
      </c>
      <c r="P2857">
        <v>0.99751109999999998</v>
      </c>
      <c r="Q2857">
        <v>2.178571E-2</v>
      </c>
      <c r="R2857">
        <v>-6.7063049999999999E-2</v>
      </c>
      <c r="S2857">
        <v>3.002869</v>
      </c>
      <c r="T2857">
        <v>-0.66213429999999995</v>
      </c>
      <c r="U2857">
        <v>-0.33981319999999998</v>
      </c>
      <c r="V2857">
        <v>9.5204869999999997E-2</v>
      </c>
      <c r="W2857">
        <v>3.6437379999999998E-2</v>
      </c>
      <c r="X2857">
        <v>0.99479059999999997</v>
      </c>
      <c r="Y2857">
        <v>0.13650689999999999</v>
      </c>
      <c r="Z2857">
        <v>-2.0951870000000001E-2</v>
      </c>
      <c r="AA2857">
        <v>0.99041749999999995</v>
      </c>
      <c r="AB2857">
        <v>48</v>
      </c>
      <c r="AC2857">
        <v>0.28950000000003201</v>
      </c>
      <c r="AD2857">
        <v>-0.17638119999999899</v>
      </c>
      <c r="AE2857">
        <v>-0.104999999999989</v>
      </c>
      <c r="AF2857">
        <v>8.5178368935606E-2</v>
      </c>
      <c r="AG2857">
        <v>-0.17638119999999899</v>
      </c>
      <c r="AH2857">
        <v>0.215673546260094</v>
      </c>
      <c r="AI2857">
        <v>127.258157356594</v>
      </c>
      <c r="AJ2857">
        <v>68.448894481302204</v>
      </c>
      <c r="AK2857">
        <v>0.291343029441885</v>
      </c>
      <c r="AL2857">
        <v>87.911829651525295</v>
      </c>
      <c r="AM2857">
        <v>84.533247214863195</v>
      </c>
      <c r="AN2857">
        <v>0.99999999389066996</v>
      </c>
    </row>
    <row r="2858" spans="1:40" x14ac:dyDescent="0.25">
      <c r="A2858" t="str">
        <f>"20190312154610042"</f>
        <v>20190312154610042</v>
      </c>
      <c r="B2858" t="str">
        <f>"1552376770029912"</f>
        <v>1552376770029912</v>
      </c>
      <c r="C2858" t="s">
        <v>40</v>
      </c>
      <c r="D2858">
        <v>4.5220339999999997</v>
      </c>
      <c r="E2858">
        <v>0.52934789999999998</v>
      </c>
      <c r="F2858" t="s">
        <v>41</v>
      </c>
      <c r="G2858">
        <v>-326.9194</v>
      </c>
      <c r="H2858">
        <v>0.91022749999999997</v>
      </c>
      <c r="I2858">
        <v>215.38220000000001</v>
      </c>
      <c r="J2858">
        <v>-327.18700000000001</v>
      </c>
      <c r="K2858">
        <v>1.109138</v>
      </c>
      <c r="L2858">
        <v>215.48869999999999</v>
      </c>
      <c r="M2858">
        <v>0.99950510000000004</v>
      </c>
      <c r="N2858">
        <v>0</v>
      </c>
      <c r="O2858">
        <v>2.7742039999999999E-2</v>
      </c>
      <c r="P2858">
        <v>0.99766650000000001</v>
      </c>
      <c r="Q2858">
        <v>1.810846E-2</v>
      </c>
      <c r="R2858">
        <v>-6.5832790000000002E-2</v>
      </c>
      <c r="S2858">
        <v>2.9990839999999999</v>
      </c>
      <c r="T2858">
        <v>-0.84056309999999901</v>
      </c>
      <c r="U2858">
        <v>-0.39810180000000001</v>
      </c>
      <c r="V2858">
        <v>9.3529280000000006E-2</v>
      </c>
      <c r="W2858">
        <v>3.275745E-2</v>
      </c>
      <c r="X2858">
        <v>0.99507749999999995</v>
      </c>
      <c r="Y2858">
        <v>0.15221709999999999</v>
      </c>
      <c r="Z2858">
        <v>-2.8441979999999999E-2</v>
      </c>
      <c r="AA2858">
        <v>0.98793770000000003</v>
      </c>
      <c r="AB2858">
        <v>48</v>
      </c>
      <c r="AC2858">
        <v>0.26760000000001499</v>
      </c>
      <c r="AD2858">
        <v>-0.19891049999999999</v>
      </c>
      <c r="AE2858">
        <v>-0.106499999999982</v>
      </c>
      <c r="AF2858">
        <v>7.7106375865112403E-2</v>
      </c>
      <c r="AG2858">
        <v>-0.19891049999999999</v>
      </c>
      <c r="AH2858">
        <v>0.179111717618986</v>
      </c>
      <c r="AI2858">
        <v>135.56825091969199</v>
      </c>
      <c r="AJ2858">
        <v>66.708450962682406</v>
      </c>
      <c r="AK2858">
        <v>0.27855302475062999</v>
      </c>
      <c r="AL2858">
        <v>88.122800550898205</v>
      </c>
      <c r="AM2858">
        <v>84.630433024550996</v>
      </c>
      <c r="AN2858">
        <v>1.00000000387703</v>
      </c>
    </row>
    <row r="2859" spans="1:40" x14ac:dyDescent="0.25">
      <c r="A2859" t="str">
        <f>"20190312154610065"</f>
        <v>20190312154610065</v>
      </c>
      <c r="B2859" t="str">
        <f>"1552376770060169"</f>
        <v>1552376770060169</v>
      </c>
      <c r="C2859" t="s">
        <v>40</v>
      </c>
      <c r="D2859">
        <v>4.4867160000000004</v>
      </c>
      <c r="E2859">
        <v>0.52868549999999903</v>
      </c>
      <c r="F2859" t="s">
        <v>41</v>
      </c>
      <c r="G2859">
        <v>-326.48829999999998</v>
      </c>
      <c r="H2859">
        <v>0.91211350000000002</v>
      </c>
      <c r="I2859">
        <v>215.39580000000001</v>
      </c>
      <c r="J2859">
        <v>-326.71030000000002</v>
      </c>
      <c r="K2859">
        <v>1.109092</v>
      </c>
      <c r="L2859">
        <v>215.5016</v>
      </c>
      <c r="M2859">
        <v>0.99951849999999998</v>
      </c>
      <c r="N2859">
        <v>0</v>
      </c>
      <c r="O2859">
        <v>2.725027E-2</v>
      </c>
      <c r="P2859">
        <v>0.99781030000000004</v>
      </c>
      <c r="Q2859">
        <v>1.5544489999999999E-2</v>
      </c>
      <c r="R2859">
        <v>-6.4287070000000002E-2</v>
      </c>
      <c r="S2859">
        <v>2.996124</v>
      </c>
      <c r="T2859">
        <v>-0.84488529999999995</v>
      </c>
      <c r="U2859">
        <v>-0.39802549999999998</v>
      </c>
      <c r="V2859">
        <v>9.1497250000000002E-2</v>
      </c>
      <c r="W2859">
        <v>3.0191900000000001E-2</v>
      </c>
      <c r="X2859">
        <v>0.99534750000000005</v>
      </c>
      <c r="Y2859">
        <v>0.15178710000000001</v>
      </c>
      <c r="Z2859">
        <v>-2.8415070000000001E-2</v>
      </c>
      <c r="AA2859">
        <v>0.98800469999999896</v>
      </c>
      <c r="AB2859">
        <v>48</v>
      </c>
      <c r="AC2859">
        <v>0.222000000000036</v>
      </c>
      <c r="AD2859">
        <v>-0.196978499999999</v>
      </c>
      <c r="AE2859">
        <v>-0.105799999999987</v>
      </c>
      <c r="AF2859">
        <v>6.8112265524728904E-2</v>
      </c>
      <c r="AG2859">
        <v>-0.196978499999999</v>
      </c>
      <c r="AH2859">
        <v>0.133429818521421</v>
      </c>
      <c r="AI2859">
        <v>142.74571140432701</v>
      </c>
      <c r="AJ2859">
        <v>62.956934050882303</v>
      </c>
      <c r="AK2859">
        <v>0.24747389084067101</v>
      </c>
      <c r="AL2859">
        <v>88.269868587124506</v>
      </c>
      <c r="AM2859">
        <v>84.747850140106493</v>
      </c>
      <c r="AN2859">
        <v>0.99999997166971</v>
      </c>
    </row>
    <row r="2860" spans="1:40" x14ac:dyDescent="0.25">
      <c r="A2860" t="str">
        <f>"20190312154610085"</f>
        <v>20190312154610085</v>
      </c>
      <c r="B2860" t="str">
        <f>"1552376770079688"</f>
        <v>1552376770079688</v>
      </c>
      <c r="C2860" t="s">
        <v>40</v>
      </c>
      <c r="D2860">
        <v>4.5467440000000003</v>
      </c>
      <c r="E2860">
        <v>0.52880260000000001</v>
      </c>
      <c r="F2860" t="s">
        <v>41</v>
      </c>
      <c r="G2860">
        <v>-325.6687</v>
      </c>
      <c r="H2860">
        <v>0.80911180000000005</v>
      </c>
      <c r="I2860">
        <v>215.3663</v>
      </c>
      <c r="J2860">
        <v>-326.26139999999998</v>
      </c>
      <c r="K2860">
        <v>1.109065</v>
      </c>
      <c r="L2860">
        <v>215.51349999999999</v>
      </c>
      <c r="M2860">
        <v>0.99953119999999995</v>
      </c>
      <c r="N2860">
        <v>0</v>
      </c>
      <c r="O2860">
        <v>2.6783769999999998E-2</v>
      </c>
      <c r="P2860">
        <v>0.99792440000000004</v>
      </c>
      <c r="Q2860">
        <v>1.3744950000000001E-2</v>
      </c>
      <c r="R2860">
        <v>-6.2912789999999996E-2</v>
      </c>
      <c r="S2860">
        <v>2.9950260000000002</v>
      </c>
      <c r="T2860">
        <v>-0.86259789999999903</v>
      </c>
      <c r="U2860">
        <v>-0.3879089</v>
      </c>
      <c r="V2860">
        <v>8.9660589999999998E-2</v>
      </c>
      <c r="W2860">
        <v>2.839119E-2</v>
      </c>
      <c r="X2860">
        <v>0.9955676</v>
      </c>
      <c r="Y2860">
        <v>0.14796899999999999</v>
      </c>
      <c r="Z2860">
        <v>-2.833604E-2</v>
      </c>
      <c r="AA2860">
        <v>0.98858599999999996</v>
      </c>
      <c r="AB2860">
        <v>48</v>
      </c>
      <c r="AC2860">
        <v>0.59269999999997902</v>
      </c>
      <c r="AD2860">
        <v>-0.29995319999999898</v>
      </c>
      <c r="AE2860">
        <v>-0.147199999999998</v>
      </c>
      <c r="AF2860">
        <v>0.13133970660667199</v>
      </c>
      <c r="AG2860">
        <v>-0.29995319999999898</v>
      </c>
      <c r="AH2860">
        <v>0.47415960628581399</v>
      </c>
      <c r="AI2860">
        <v>121.368324531369</v>
      </c>
      <c r="AJ2860">
        <v>74.517549510884606</v>
      </c>
      <c r="AK2860">
        <v>0.57623725404982695</v>
      </c>
      <c r="AL2860">
        <v>88.373085963547197</v>
      </c>
      <c r="AM2860">
        <v>84.853838354850794</v>
      </c>
      <c r="AN2860">
        <v>0.99999996361926102</v>
      </c>
    </row>
    <row r="2861" spans="1:40" x14ac:dyDescent="0.25">
      <c r="A2861" t="str">
        <f>"20190312154610108"</f>
        <v>20190312154610108</v>
      </c>
      <c r="B2861" t="str">
        <f>"1552376770099714"</f>
        <v>1552376770099714</v>
      </c>
      <c r="C2861" t="s">
        <v>40</v>
      </c>
      <c r="D2861">
        <v>4.5399310000000002</v>
      </c>
      <c r="E2861">
        <v>0.5291981</v>
      </c>
      <c r="F2861" t="s">
        <v>41</v>
      </c>
      <c r="G2861">
        <v>-325.23820000000001</v>
      </c>
      <c r="H2861">
        <v>0.81224079999999999</v>
      </c>
      <c r="I2861">
        <v>215.38210000000001</v>
      </c>
      <c r="J2861">
        <v>-325.76900000000001</v>
      </c>
      <c r="K2861">
        <v>1.1090530000000001</v>
      </c>
      <c r="L2861">
        <v>215.5264</v>
      </c>
      <c r="M2861">
        <v>0.99954489999999996</v>
      </c>
      <c r="N2861">
        <v>0</v>
      </c>
      <c r="O2861">
        <v>2.627063E-2</v>
      </c>
      <c r="P2861">
        <v>0.99796189999999996</v>
      </c>
      <c r="Q2861">
        <v>1.4716679999999999E-2</v>
      </c>
      <c r="R2861">
        <v>-6.209075E-2</v>
      </c>
      <c r="S2861">
        <v>2.9939580000000001</v>
      </c>
      <c r="T2861">
        <v>-0.8685254</v>
      </c>
      <c r="U2861">
        <v>-0.38458249999999999</v>
      </c>
      <c r="V2861">
        <v>8.833162E-2</v>
      </c>
      <c r="W2861">
        <v>2.9359719999999999E-2</v>
      </c>
      <c r="X2861">
        <v>0.9956583</v>
      </c>
      <c r="Y2861">
        <v>0.1464097</v>
      </c>
      <c r="Z2861">
        <v>-2.8168599999999999E-2</v>
      </c>
      <c r="AA2861">
        <v>0.98882289999999995</v>
      </c>
      <c r="AB2861">
        <v>48</v>
      </c>
      <c r="AC2861">
        <v>0.53079999999999905</v>
      </c>
      <c r="AD2861">
        <v>-0.29681220000000003</v>
      </c>
      <c r="AE2861">
        <v>-0.14429999999998699</v>
      </c>
      <c r="AF2861">
        <v>0.122522241124058</v>
      </c>
      <c r="AG2861">
        <v>-0.29681220000000003</v>
      </c>
      <c r="AH2861">
        <v>0.40802403958098798</v>
      </c>
      <c r="AI2861">
        <v>124.86512631297499</v>
      </c>
      <c r="AJ2861">
        <v>73.285937923846504</v>
      </c>
      <c r="AK2861">
        <v>0.51922326461252599</v>
      </c>
      <c r="AL2861">
        <v>88.317570121604305</v>
      </c>
      <c r="AM2861">
        <v>84.930174861403898</v>
      </c>
      <c r="AN2861">
        <v>0.99999995930459495</v>
      </c>
    </row>
    <row r="2862" spans="1:40" x14ac:dyDescent="0.25">
      <c r="A2862" t="str">
        <f>"20190312154610130"</f>
        <v>20190312154610130</v>
      </c>
      <c r="B2862" t="str">
        <f>"1552376770120211"</f>
        <v>1552376770120211</v>
      </c>
      <c r="C2862" t="s">
        <v>40</v>
      </c>
      <c r="D2862">
        <v>4.5177239999999896</v>
      </c>
      <c r="E2862">
        <v>0.52946470000000001</v>
      </c>
      <c r="F2862" t="s">
        <v>41</v>
      </c>
      <c r="G2862">
        <v>-324.80200000000002</v>
      </c>
      <c r="H2862">
        <v>0.83043739999999999</v>
      </c>
      <c r="I2862">
        <v>215.40199999999999</v>
      </c>
      <c r="J2862">
        <v>-325.27539999999999</v>
      </c>
      <c r="K2862">
        <v>1.109057</v>
      </c>
      <c r="L2862">
        <v>215.53899999999999</v>
      </c>
      <c r="M2862">
        <v>0.99955839999999996</v>
      </c>
      <c r="N2862">
        <v>0</v>
      </c>
      <c r="O2862">
        <v>2.5754579999999999E-2</v>
      </c>
      <c r="P2862">
        <v>0.99789139999999998</v>
      </c>
      <c r="Q2862">
        <v>1.8780999999999999E-2</v>
      </c>
      <c r="R2862">
        <v>-6.2132519999999997E-2</v>
      </c>
      <c r="S2862">
        <v>2.9949650000000001</v>
      </c>
      <c r="T2862">
        <v>-0.8628074</v>
      </c>
      <c r="U2862">
        <v>-0.38436890000000001</v>
      </c>
      <c r="V2862">
        <v>8.7864310000000001E-2</v>
      </c>
      <c r="W2862">
        <v>3.341798E-2</v>
      </c>
      <c r="X2862">
        <v>0.99557169999999895</v>
      </c>
      <c r="Y2862">
        <v>0.1459231</v>
      </c>
      <c r="Z2862">
        <v>-2.7767819999999999E-2</v>
      </c>
      <c r="AA2862">
        <v>0.98890610000000001</v>
      </c>
      <c r="AB2862">
        <v>48</v>
      </c>
      <c r="AC2862">
        <v>0.47339999999996901</v>
      </c>
      <c r="AD2862">
        <v>-0.27861960000000002</v>
      </c>
      <c r="AE2862">
        <v>-0.13700000000000001</v>
      </c>
      <c r="AF2862">
        <v>0.11302328699587599</v>
      </c>
      <c r="AG2862">
        <v>-0.27861960000000002</v>
      </c>
      <c r="AH2862">
        <v>0.35594578875989002</v>
      </c>
      <c r="AI2862">
        <v>126.724825388246</v>
      </c>
      <c r="AJ2862">
        <v>72.383821465214297</v>
      </c>
      <c r="AK2862">
        <v>0.46594049989608399</v>
      </c>
      <c r="AL2862">
        <v>88.084934140111997</v>
      </c>
      <c r="AM2862">
        <v>84.956421189395101</v>
      </c>
      <c r="AN2862">
        <v>0.999999954099972</v>
      </c>
    </row>
    <row r="2863" spans="1:40" x14ac:dyDescent="0.25">
      <c r="A2863" t="str">
        <f>"20190312154610154"</f>
        <v>20190312154610154</v>
      </c>
      <c r="B2863" t="str">
        <f>"1552376770149491"</f>
        <v>1552376770149491</v>
      </c>
      <c r="C2863" t="s">
        <v>40</v>
      </c>
      <c r="D2863">
        <v>4.5422840000000004</v>
      </c>
      <c r="E2863">
        <v>0.53013920000000003</v>
      </c>
      <c r="F2863" t="s">
        <v>41</v>
      </c>
      <c r="G2863">
        <v>-324.36520000000002</v>
      </c>
      <c r="H2863">
        <v>0.85041739999999999</v>
      </c>
      <c r="I2863">
        <v>215.422</v>
      </c>
      <c r="J2863">
        <v>-324.79219999999998</v>
      </c>
      <c r="K2863">
        <v>1.109054</v>
      </c>
      <c r="L2863">
        <v>215.55099999999999</v>
      </c>
      <c r="M2863">
        <v>0.99957130000000005</v>
      </c>
      <c r="N2863">
        <v>0</v>
      </c>
      <c r="O2863">
        <v>2.5248610000000001E-2</v>
      </c>
      <c r="P2863">
        <v>0.99769359999999996</v>
      </c>
      <c r="Q2863">
        <v>2.247671E-2</v>
      </c>
      <c r="R2863">
        <v>-6.4048770000000005E-2</v>
      </c>
      <c r="S2863">
        <v>2.9983219999999999</v>
      </c>
      <c r="T2863">
        <v>-0.85201740000000004</v>
      </c>
      <c r="U2863">
        <v>-0.38565060000000001</v>
      </c>
      <c r="V2863">
        <v>8.9277659999999995E-2</v>
      </c>
      <c r="W2863">
        <v>3.710306E-2</v>
      </c>
      <c r="X2863">
        <v>0.99531539999999996</v>
      </c>
      <c r="Y2863">
        <v>0.14590229999999901</v>
      </c>
      <c r="Z2863">
        <v>-2.7260300000000001E-2</v>
      </c>
      <c r="AA2863">
        <v>0.98892340000000001</v>
      </c>
      <c r="AB2863">
        <v>48</v>
      </c>
      <c r="AC2863">
        <v>0.42699999999996402</v>
      </c>
      <c r="AD2863">
        <v>-0.258636599999999</v>
      </c>
      <c r="AE2863">
        <v>-0.12899999999999001</v>
      </c>
      <c r="AF2863">
        <v>0.104581379965239</v>
      </c>
      <c r="AG2863">
        <v>-0.258636599999999</v>
      </c>
      <c r="AH2863">
        <v>0.31702419303020901</v>
      </c>
      <c r="AI2863">
        <v>127.76703575679601</v>
      </c>
      <c r="AJ2863">
        <v>71.743075987946597</v>
      </c>
      <c r="AK2863">
        <v>0.42229669056416802</v>
      </c>
      <c r="AL2863">
        <v>87.873663074552695</v>
      </c>
      <c r="AM2863">
        <v>84.874408236640903</v>
      </c>
      <c r="AN2863">
        <v>0.99999994155679695</v>
      </c>
    </row>
    <row r="2864" spans="1:40" x14ac:dyDescent="0.25">
      <c r="A2864" t="str">
        <f>"20190312154610174"</f>
        <v>20190312154610174</v>
      </c>
      <c r="B2864" t="str">
        <f>"1552376770169987"</f>
        <v>1552376770169987</v>
      </c>
      <c r="C2864" t="s">
        <v>40</v>
      </c>
      <c r="D2864">
        <v>4.5390759999999997</v>
      </c>
      <c r="E2864">
        <v>0.53041090000000002</v>
      </c>
      <c r="F2864" t="s">
        <v>41</v>
      </c>
      <c r="G2864">
        <v>-323.92869999999999</v>
      </c>
      <c r="H2864">
        <v>0.86941000000000002</v>
      </c>
      <c r="I2864">
        <v>215.4366</v>
      </c>
      <c r="J2864">
        <v>-324.33920000000001</v>
      </c>
      <c r="K2864">
        <v>1.109048</v>
      </c>
      <c r="L2864">
        <v>215.56209999999999</v>
      </c>
      <c r="M2864">
        <v>0.99958320000000001</v>
      </c>
      <c r="N2864">
        <v>0</v>
      </c>
      <c r="O2864">
        <v>2.4773340000000001E-2</v>
      </c>
      <c r="P2864">
        <v>0.99751749999999995</v>
      </c>
      <c r="Q2864">
        <v>2.302334E-2</v>
      </c>
      <c r="R2864">
        <v>-6.6551879999999994E-2</v>
      </c>
      <c r="S2864">
        <v>3.0002439999999999</v>
      </c>
      <c r="T2864">
        <v>-0.83263180000000003</v>
      </c>
      <c r="U2864">
        <v>-0.39686579999999999</v>
      </c>
      <c r="V2864">
        <v>9.1303889999999999E-2</v>
      </c>
      <c r="W2864">
        <v>3.7639609999999997E-2</v>
      </c>
      <c r="X2864">
        <v>0.99511150000000004</v>
      </c>
      <c r="Y2864">
        <v>0.149188299999999</v>
      </c>
      <c r="Z2864">
        <v>-2.695699E-2</v>
      </c>
      <c r="AA2864">
        <v>0.98844129999999997</v>
      </c>
      <c r="AB2864">
        <v>48</v>
      </c>
      <c r="AC2864">
        <v>0.41050000000001302</v>
      </c>
      <c r="AD2864">
        <v>-0.23963799999999999</v>
      </c>
      <c r="AE2864">
        <v>-0.12549999999998801</v>
      </c>
      <c r="AF2864">
        <v>0.103404992212891</v>
      </c>
      <c r="AG2864">
        <v>-0.23963799999999999</v>
      </c>
      <c r="AH2864">
        <v>0.31049587815924801</v>
      </c>
      <c r="AI2864">
        <v>126.21351587665799</v>
      </c>
      <c r="AJ2864">
        <v>71.580603004173099</v>
      </c>
      <c r="AK2864">
        <v>0.40561885288091598</v>
      </c>
      <c r="AL2864">
        <v>87.842899699074906</v>
      </c>
      <c r="AM2864">
        <v>84.757651511122504</v>
      </c>
      <c r="AN2864">
        <v>1.00000001900116</v>
      </c>
    </row>
    <row r="2865" spans="1:40" x14ac:dyDescent="0.25">
      <c r="A2865" t="str">
        <f>"20190312154610198"</f>
        <v>20190312154610198</v>
      </c>
      <c r="B2865" t="str">
        <f>"1552376770189506"</f>
        <v>1552376770189506</v>
      </c>
      <c r="C2865" t="s">
        <v>40</v>
      </c>
      <c r="D2865">
        <v>4.5518749999999999</v>
      </c>
      <c r="E2865">
        <v>0.53059730000000005</v>
      </c>
      <c r="F2865" t="s">
        <v>41</v>
      </c>
      <c r="G2865">
        <v>-323.49770000000001</v>
      </c>
      <c r="H2865">
        <v>0.87588820000000001</v>
      </c>
      <c r="I2865">
        <v>215.44810000000001</v>
      </c>
      <c r="J2865">
        <v>-323.83510000000001</v>
      </c>
      <c r="K2865">
        <v>1.1090310000000001</v>
      </c>
      <c r="L2865">
        <v>215.57419999999999</v>
      </c>
      <c r="M2865">
        <v>0.99959620000000005</v>
      </c>
      <c r="N2865">
        <v>0</v>
      </c>
      <c r="O2865">
        <v>2.424374E-2</v>
      </c>
      <c r="P2865">
        <v>0.99723200000000001</v>
      </c>
      <c r="Q2865">
        <v>2.4057700000000001E-2</v>
      </c>
      <c r="R2865">
        <v>-7.0352410000000004E-2</v>
      </c>
      <c r="S2865">
        <v>2.9995419999999999</v>
      </c>
      <c r="T2865">
        <v>-0.83119920000000003</v>
      </c>
      <c r="U2865">
        <v>-0.40606690000000001</v>
      </c>
      <c r="V2865">
        <v>9.4571530000000001E-2</v>
      </c>
      <c r="W2865">
        <v>3.8659300000000001E-2</v>
      </c>
      <c r="X2865">
        <v>0.99476710000000002</v>
      </c>
      <c r="Y2865">
        <v>0.1516246</v>
      </c>
      <c r="Z2865">
        <v>-2.7099560000000002E-2</v>
      </c>
      <c r="AA2865">
        <v>0.98806660000000002</v>
      </c>
      <c r="AB2865">
        <v>48</v>
      </c>
      <c r="AC2865">
        <v>0.33740000000000198</v>
      </c>
      <c r="AD2865">
        <v>-0.23314279999999901</v>
      </c>
      <c r="AE2865">
        <v>-0.12609999999997901</v>
      </c>
      <c r="AF2865">
        <v>9.4607232121681595E-2</v>
      </c>
      <c r="AG2865">
        <v>-0.23314279999999901</v>
      </c>
      <c r="AH2865">
        <v>0.23555552556402901</v>
      </c>
      <c r="AI2865">
        <v>132.565858561174</v>
      </c>
      <c r="AJ2865">
        <v>68.117901988786201</v>
      </c>
      <c r="AK2865">
        <v>0.34466287758520098</v>
      </c>
      <c r="AL2865">
        <v>87.784433049171298</v>
      </c>
      <c r="AM2865">
        <v>84.569268532644202</v>
      </c>
      <c r="AN2865">
        <v>0.99999994950271898</v>
      </c>
    </row>
    <row r="2866" spans="1:40" x14ac:dyDescent="0.25">
      <c r="A2866" t="str">
        <f>"20190312154610221"</f>
        <v>20190312154610221</v>
      </c>
      <c r="B2866" t="str">
        <f>"1552376770210002"</f>
        <v>1552376770210002</v>
      </c>
      <c r="C2866" t="s">
        <v>40</v>
      </c>
      <c r="D2866">
        <v>4.610061</v>
      </c>
      <c r="E2866">
        <v>0.53082209999999996</v>
      </c>
      <c r="F2866" t="s">
        <v>41</v>
      </c>
      <c r="G2866">
        <v>-323.06200000000001</v>
      </c>
      <c r="H2866">
        <v>0.89531819999999895</v>
      </c>
      <c r="I2866">
        <v>215.46600000000001</v>
      </c>
      <c r="J2866">
        <v>-323.3426</v>
      </c>
      <c r="K2866">
        <v>1.1090260000000001</v>
      </c>
      <c r="L2866">
        <v>215.58580000000001</v>
      </c>
      <c r="M2866">
        <v>0.99960879999999996</v>
      </c>
      <c r="N2866">
        <v>0</v>
      </c>
      <c r="O2866">
        <v>2.372469E-2</v>
      </c>
      <c r="P2866">
        <v>0.99691870000000005</v>
      </c>
      <c r="Q2866">
        <v>2.453723E-2</v>
      </c>
      <c r="R2866">
        <v>-7.4508119999999997E-2</v>
      </c>
      <c r="S2866">
        <v>2.99884</v>
      </c>
      <c r="T2866">
        <v>-0.82898069999999902</v>
      </c>
      <c r="U2866">
        <v>-0.41856379999999999</v>
      </c>
      <c r="V2866">
        <v>9.820284E-2</v>
      </c>
      <c r="W2866">
        <v>3.9124340000000001E-2</v>
      </c>
      <c r="X2866">
        <v>0.99439699999999998</v>
      </c>
      <c r="Y2866">
        <v>0.1551091</v>
      </c>
      <c r="Z2866">
        <v>-2.7359000000000001E-2</v>
      </c>
      <c r="AA2866">
        <v>0.98751840000000002</v>
      </c>
      <c r="AB2866">
        <v>48</v>
      </c>
      <c r="AC2866">
        <v>0.28059999999999202</v>
      </c>
      <c r="AD2866">
        <v>-0.2137078</v>
      </c>
      <c r="AE2866">
        <v>-0.119800000000026</v>
      </c>
      <c r="AF2866">
        <v>8.48131363221548E-2</v>
      </c>
      <c r="AG2866">
        <v>-0.2137078</v>
      </c>
      <c r="AH2866">
        <v>0.186283886263685</v>
      </c>
      <c r="AI2866">
        <v>136.23575362386799</v>
      </c>
      <c r="AJ2866">
        <v>65.520714324199702</v>
      </c>
      <c r="AK2866">
        <v>0.29591549157680502</v>
      </c>
      <c r="AL2866">
        <v>87.757768051396795</v>
      </c>
      <c r="AM2866">
        <v>84.359976074106896</v>
      </c>
      <c r="AN2866">
        <v>0.99999995268674902</v>
      </c>
    </row>
    <row r="2867" spans="1:40" x14ac:dyDescent="0.25">
      <c r="A2867" t="str">
        <f>"20190312154610244"</f>
        <v>20190312154610244</v>
      </c>
      <c r="B2867" t="str">
        <f>"1552376770240258"</f>
        <v>1552376770240258</v>
      </c>
      <c r="C2867" t="s">
        <v>40</v>
      </c>
      <c r="D2867">
        <v>4.5737709999999998</v>
      </c>
      <c r="E2867">
        <v>0.53095319999999901</v>
      </c>
      <c r="F2867" t="s">
        <v>41</v>
      </c>
      <c r="G2867">
        <v>-322.62779999999998</v>
      </c>
      <c r="H2867">
        <v>0.91161420000000004</v>
      </c>
      <c r="I2867">
        <v>215.48230000000001</v>
      </c>
      <c r="J2867">
        <v>-322.86799999999999</v>
      </c>
      <c r="K2867">
        <v>1.10902099999999</v>
      </c>
      <c r="L2867">
        <v>215.5967</v>
      </c>
      <c r="M2867">
        <v>0.99962039999999996</v>
      </c>
      <c r="N2867">
        <v>0</v>
      </c>
      <c r="O2867">
        <v>2.3223540000000001E-2</v>
      </c>
      <c r="P2867">
        <v>0.99662799999999996</v>
      </c>
      <c r="Q2867">
        <v>2.5531399999999999E-2</v>
      </c>
      <c r="R2867">
        <v>-7.7979999999999994E-2</v>
      </c>
      <c r="S2867">
        <v>2.9972530000000002</v>
      </c>
      <c r="T2867">
        <v>-0.82778479999999999</v>
      </c>
      <c r="U2867">
        <v>-0.43278499999999998</v>
      </c>
      <c r="V2867">
        <v>0.10117039999999999</v>
      </c>
      <c r="W2867">
        <v>4.0104899999999999E-2</v>
      </c>
      <c r="X2867">
        <v>0.99406050000000001</v>
      </c>
      <c r="Y2867">
        <v>0.1591641</v>
      </c>
      <c r="Z2867">
        <v>-2.7737950000000001E-2</v>
      </c>
      <c r="AA2867">
        <v>0.98686240000000003</v>
      </c>
      <c r="AB2867">
        <v>48</v>
      </c>
      <c r="AC2867">
        <v>0.24020000000001501</v>
      </c>
      <c r="AD2867">
        <v>-0.19740679999999899</v>
      </c>
      <c r="AE2867">
        <v>-0.114399999999989</v>
      </c>
      <c r="AF2867">
        <v>7.7358637735237698E-2</v>
      </c>
      <c r="AG2867">
        <v>-0.19740679999999899</v>
      </c>
      <c r="AH2867">
        <v>0.15315785298564699</v>
      </c>
      <c r="AI2867">
        <v>139.00286230686601</v>
      </c>
      <c r="AJ2867">
        <v>63.202074677630598</v>
      </c>
      <c r="AK2867">
        <v>0.26155521682747002</v>
      </c>
      <c r="AL2867">
        <v>87.701542220137995</v>
      </c>
      <c r="AM2867">
        <v>84.188737707362804</v>
      </c>
      <c r="AN2867">
        <v>1.0000000652501999</v>
      </c>
    </row>
    <row r="2868" spans="1:40" x14ac:dyDescent="0.25">
      <c r="A2868" t="str">
        <f>"20190312154610265"</f>
        <v>20190312154610265</v>
      </c>
      <c r="B2868" t="str">
        <f>"1552376770259778"</f>
        <v>1552376770259778</v>
      </c>
      <c r="C2868" t="s">
        <v>40</v>
      </c>
      <c r="D2868">
        <v>4.6263019999999999</v>
      </c>
      <c r="E2868">
        <v>0.5309857</v>
      </c>
      <c r="F2868" t="s">
        <v>41</v>
      </c>
      <c r="G2868">
        <v>-321.81009999999998</v>
      </c>
      <c r="H2868">
        <v>0.81636980000000003</v>
      </c>
      <c r="I2868">
        <v>215.43979999999999</v>
      </c>
      <c r="J2868">
        <v>-322.40199999999999</v>
      </c>
      <c r="K2868">
        <v>1.109024</v>
      </c>
      <c r="L2868">
        <v>215.6071</v>
      </c>
      <c r="M2868">
        <v>0.99963179999999996</v>
      </c>
      <c r="N2868">
        <v>0</v>
      </c>
      <c r="O2868">
        <v>2.2730770000000001E-2</v>
      </c>
      <c r="P2868">
        <v>0.99636559999999996</v>
      </c>
      <c r="Q2868">
        <v>2.7612569999999999E-2</v>
      </c>
      <c r="R2868">
        <v>-8.0579919999999999E-2</v>
      </c>
      <c r="S2868">
        <v>2.9966430000000002</v>
      </c>
      <c r="T2868">
        <v>-0.82905519999999999</v>
      </c>
      <c r="U2868">
        <v>-0.4437103</v>
      </c>
      <c r="V2868">
        <v>0.1032771</v>
      </c>
      <c r="W2868">
        <v>4.2174999999999997E-2</v>
      </c>
      <c r="X2868">
        <v>0.99375809999999998</v>
      </c>
      <c r="Y2868">
        <v>0.16211900000000001</v>
      </c>
      <c r="Z2868">
        <v>-2.8043490000000001E-2</v>
      </c>
      <c r="AA2868">
        <v>0.98637260000000004</v>
      </c>
      <c r="AB2868">
        <v>48</v>
      </c>
      <c r="AC2868">
        <v>0.59190000000000897</v>
      </c>
      <c r="AD2868">
        <v>-0.29265419999999998</v>
      </c>
      <c r="AE2868">
        <v>-0.167300000000011</v>
      </c>
      <c r="AF2868">
        <v>0.14735478679005601</v>
      </c>
      <c r="AG2868">
        <v>-0.29265419999999998</v>
      </c>
      <c r="AH2868">
        <v>0.47941501944266102</v>
      </c>
      <c r="AI2868">
        <v>120.263552668757</v>
      </c>
      <c r="AJ2868">
        <v>72.914470726368705</v>
      </c>
      <c r="AK2868">
        <v>0.58068810460934195</v>
      </c>
      <c r="AL2868">
        <v>87.582833618304505</v>
      </c>
      <c r="AM2868">
        <v>84.066790105429405</v>
      </c>
      <c r="AN2868">
        <v>1.0000000256624999</v>
      </c>
    </row>
    <row r="2869" spans="1:40" x14ac:dyDescent="0.25">
      <c r="A2869" t="str">
        <f>"20190312154610287"</f>
        <v>20190312154610287</v>
      </c>
      <c r="B2869" t="str">
        <f>"1552376770280275"</f>
        <v>1552376770280275</v>
      </c>
      <c r="C2869" t="s">
        <v>40</v>
      </c>
      <c r="D2869">
        <v>4.6937089999999904</v>
      </c>
      <c r="E2869">
        <v>0.53094929999999996</v>
      </c>
      <c r="F2869" t="s">
        <v>41</v>
      </c>
      <c r="G2869">
        <v>-321.37860000000001</v>
      </c>
      <c r="H2869">
        <v>0.82818899999999995</v>
      </c>
      <c r="I2869">
        <v>215.4528</v>
      </c>
      <c r="J2869">
        <v>-321.95299999999997</v>
      </c>
      <c r="K2869">
        <v>1.109016</v>
      </c>
      <c r="L2869">
        <v>215.61699999999999</v>
      </c>
      <c r="M2869">
        <v>0.9996427</v>
      </c>
      <c r="N2869">
        <v>0</v>
      </c>
      <c r="O2869">
        <v>2.225512E-2</v>
      </c>
      <c r="P2869">
        <v>0.99619650000000004</v>
      </c>
      <c r="Q2869">
        <v>2.8050599999999998E-2</v>
      </c>
      <c r="R2869">
        <v>-8.2497500000000001E-2</v>
      </c>
      <c r="S2869">
        <v>2.9972530000000002</v>
      </c>
      <c r="T2869">
        <v>-0.82245759999999901</v>
      </c>
      <c r="U2869">
        <v>-0.45112609999999997</v>
      </c>
      <c r="V2869">
        <v>0.1047182</v>
      </c>
      <c r="W2869">
        <v>4.2605200000000003E-2</v>
      </c>
      <c r="X2869">
        <v>0.9935889</v>
      </c>
      <c r="Y2869">
        <v>0.1640662</v>
      </c>
      <c r="Z2869">
        <v>-2.7951380000000001E-2</v>
      </c>
      <c r="AA2869">
        <v>0.98605319999999996</v>
      </c>
      <c r="AB2869">
        <v>48</v>
      </c>
      <c r="AC2869">
        <v>0.57439999999996805</v>
      </c>
      <c r="AD2869">
        <v>-0.28082699999999999</v>
      </c>
      <c r="AE2869">
        <v>-0.164200000000022</v>
      </c>
      <c r="AF2869">
        <v>0.144920803632063</v>
      </c>
      <c r="AG2869">
        <v>-0.28082699999999999</v>
      </c>
      <c r="AH2869">
        <v>0.46733552337338902</v>
      </c>
      <c r="AI2869">
        <v>119.853590329922</v>
      </c>
      <c r="AJ2869">
        <v>72.771330248067002</v>
      </c>
      <c r="AK2869">
        <v>0.56415275826768996</v>
      </c>
      <c r="AL2869">
        <v>87.558162744142905</v>
      </c>
      <c r="AM2869">
        <v>83.983585788238798</v>
      </c>
      <c r="AN2869">
        <v>1.0000000033407399</v>
      </c>
    </row>
    <row r="2870" spans="1:40" x14ac:dyDescent="0.25">
      <c r="A2870" t="str">
        <f>"20190312154610309"</f>
        <v>20190312154610309</v>
      </c>
      <c r="B2870" t="str">
        <f>"1552376770299794"</f>
        <v>1552376770299794</v>
      </c>
      <c r="C2870" t="s">
        <v>40</v>
      </c>
      <c r="D2870">
        <v>4.6518769999999998</v>
      </c>
      <c r="E2870">
        <v>0.53100329999999996</v>
      </c>
      <c r="F2870" t="s">
        <v>41</v>
      </c>
      <c r="G2870">
        <v>-320.95</v>
      </c>
      <c r="H2870">
        <v>0.83380370000000004</v>
      </c>
      <c r="I2870">
        <v>215.46420000000001</v>
      </c>
      <c r="J2870">
        <v>-321.4606</v>
      </c>
      <c r="K2870">
        <v>1.109002</v>
      </c>
      <c r="L2870">
        <v>215.6275</v>
      </c>
      <c r="M2870">
        <v>0.99965409999999999</v>
      </c>
      <c r="N2870">
        <v>0</v>
      </c>
      <c r="O2870">
        <v>2.1733300000000001E-2</v>
      </c>
      <c r="P2870">
        <v>0.99615100000000001</v>
      </c>
      <c r="Q2870">
        <v>2.5664909999999999E-2</v>
      </c>
      <c r="R2870">
        <v>-8.3813029999999997E-2</v>
      </c>
      <c r="S2870">
        <v>2.996826</v>
      </c>
      <c r="T2870">
        <v>-0.82227019999999995</v>
      </c>
      <c r="U2870">
        <v>-0.4562988</v>
      </c>
      <c r="V2870">
        <v>0.1055098</v>
      </c>
      <c r="W2870">
        <v>4.0214960000000001E-2</v>
      </c>
      <c r="X2870">
        <v>0.99360479999999995</v>
      </c>
      <c r="Y2870">
        <v>0.1652169</v>
      </c>
      <c r="Z2870">
        <v>-2.7959899999999999E-2</v>
      </c>
      <c r="AA2870">
        <v>0.98586079999999998</v>
      </c>
      <c r="AB2870">
        <v>48</v>
      </c>
      <c r="AC2870">
        <v>0.51060000000001005</v>
      </c>
      <c r="AD2870">
        <v>-0.27519829999999901</v>
      </c>
      <c r="AE2870">
        <v>-0.16329999999999201</v>
      </c>
      <c r="AF2870">
        <v>0.137993681567499</v>
      </c>
      <c r="AG2870">
        <v>-0.27519829999999901</v>
      </c>
      <c r="AH2870">
        <v>0.40120018359686999</v>
      </c>
      <c r="AI2870">
        <v>122.96912321822001</v>
      </c>
      <c r="AJ2870">
        <v>71.019232456266096</v>
      </c>
      <c r="AK2870">
        <v>0.50570539624726596</v>
      </c>
      <c r="AL2870">
        <v>87.695231073815506</v>
      </c>
      <c r="AM2870">
        <v>83.938539312210295</v>
      </c>
      <c r="AN2870">
        <v>1.0000000297434399</v>
      </c>
    </row>
    <row r="2871" spans="1:40" x14ac:dyDescent="0.25">
      <c r="A2871" t="str">
        <f>"20190312154610332"</f>
        <v>20190312154610332</v>
      </c>
      <c r="B2871" t="str">
        <f>"1552376770330050"</f>
        <v>1552376770330050</v>
      </c>
      <c r="C2871" t="s">
        <v>40</v>
      </c>
      <c r="D2871">
        <v>4.7160019999999996</v>
      </c>
      <c r="E2871">
        <v>0.53098000000000001</v>
      </c>
      <c r="F2871" t="s">
        <v>41</v>
      </c>
      <c r="G2871">
        <v>-320.51839999999999</v>
      </c>
      <c r="H2871">
        <v>0.84818839999999995</v>
      </c>
      <c r="I2871">
        <v>215.48249999999999</v>
      </c>
      <c r="J2871">
        <v>-320.97269999999997</v>
      </c>
      <c r="K2871">
        <v>1.108989</v>
      </c>
      <c r="L2871">
        <v>215.6377</v>
      </c>
      <c r="M2871">
        <v>0.99966540000000004</v>
      </c>
      <c r="N2871">
        <v>0</v>
      </c>
      <c r="O2871">
        <v>2.121553E-2</v>
      </c>
      <c r="P2871">
        <v>0.99619409999999997</v>
      </c>
      <c r="Q2871">
        <v>2.3772499999999998E-2</v>
      </c>
      <c r="R2871">
        <v>-8.3860320000000002E-2</v>
      </c>
      <c r="S2871">
        <v>2.9942630000000001</v>
      </c>
      <c r="T2871">
        <v>-0.82889099999999905</v>
      </c>
      <c r="U2871">
        <v>-0.46026610000000001</v>
      </c>
      <c r="V2871">
        <v>0.1050401</v>
      </c>
      <c r="W2871">
        <v>3.832195E-2</v>
      </c>
      <c r="X2871">
        <v>0.99372939999999998</v>
      </c>
      <c r="Y2871">
        <v>0.165982399999999</v>
      </c>
      <c r="Z2871">
        <v>-2.8160830000000001E-2</v>
      </c>
      <c r="AA2871">
        <v>0.98572649999999995</v>
      </c>
      <c r="AB2871">
        <v>48</v>
      </c>
      <c r="AC2871">
        <v>0.45429999999998899</v>
      </c>
      <c r="AD2871">
        <v>-0.26080059999999999</v>
      </c>
      <c r="AE2871">
        <v>-0.155200000000007</v>
      </c>
      <c r="AF2871">
        <v>0.12725066065902199</v>
      </c>
      <c r="AG2871">
        <v>-0.26080059999999999</v>
      </c>
      <c r="AH2871">
        <v>0.34815785715616498</v>
      </c>
      <c r="AI2871">
        <v>125.128910181289</v>
      </c>
      <c r="AJ2871">
        <v>69.922792379862003</v>
      </c>
      <c r="AK2871">
        <v>0.45323677818342401</v>
      </c>
      <c r="AL2871">
        <v>87.803776352595094</v>
      </c>
      <c r="AM2871">
        <v>83.966074756876694</v>
      </c>
      <c r="AN2871">
        <v>1.00000005744208</v>
      </c>
    </row>
    <row r="2872" spans="1:40" x14ac:dyDescent="0.25">
      <c r="A2872" t="str">
        <f>"20190312154610354"</f>
        <v>20190312154610354</v>
      </c>
      <c r="B2872" t="str">
        <f>"1552376770349570"</f>
        <v>1552376770349570</v>
      </c>
      <c r="C2872" t="s">
        <v>40</v>
      </c>
      <c r="D2872">
        <v>4.7128079999999999</v>
      </c>
      <c r="E2872">
        <v>0.53089019999999898</v>
      </c>
      <c r="F2872" t="s">
        <v>41</v>
      </c>
      <c r="G2872">
        <v>-320.08760000000001</v>
      </c>
      <c r="H2872">
        <v>0.86188359999999997</v>
      </c>
      <c r="I2872">
        <v>215.50190000000001</v>
      </c>
      <c r="J2872">
        <v>-320.51549999999997</v>
      </c>
      <c r="K2872">
        <v>1.1089800000000001</v>
      </c>
      <c r="L2872">
        <v>215.64699999999999</v>
      </c>
      <c r="M2872">
        <v>0.9996756</v>
      </c>
      <c r="N2872">
        <v>0</v>
      </c>
      <c r="O2872">
        <v>2.0730140000000001E-2</v>
      </c>
      <c r="P2872">
        <v>0.99624769999999896</v>
      </c>
      <c r="Q2872">
        <v>2.2314210000000001E-2</v>
      </c>
      <c r="R2872">
        <v>-8.3624509999999999E-2</v>
      </c>
      <c r="S2872">
        <v>2.9927060000000001</v>
      </c>
      <c r="T2872">
        <v>-0.83549340000000005</v>
      </c>
      <c r="U2872">
        <v>-0.45947270000000001</v>
      </c>
      <c r="V2872">
        <v>0.1043205</v>
      </c>
      <c r="W2872">
        <v>3.6864330000000001E-2</v>
      </c>
      <c r="X2872">
        <v>0.99386030000000003</v>
      </c>
      <c r="Y2872">
        <v>0.16525570000000001</v>
      </c>
      <c r="Z2872">
        <v>-2.8160319999999999E-2</v>
      </c>
      <c r="AA2872">
        <v>0.98584870000000002</v>
      </c>
      <c r="AB2872">
        <v>48</v>
      </c>
      <c r="AC2872">
        <v>0.42789999999996498</v>
      </c>
      <c r="AD2872">
        <v>-0.24709639999999899</v>
      </c>
      <c r="AE2872">
        <v>-0.145100000000013</v>
      </c>
      <c r="AF2872">
        <v>0.11849997726256301</v>
      </c>
      <c r="AG2872">
        <v>-0.24709639999999899</v>
      </c>
      <c r="AH2872">
        <v>0.32700202971172099</v>
      </c>
      <c r="AI2872">
        <v>125.391232457355</v>
      </c>
      <c r="AJ2872">
        <v>70.080344472286797</v>
      </c>
      <c r="AK2872">
        <v>0.42664880515451298</v>
      </c>
      <c r="AL2872">
        <v>87.887350828273199</v>
      </c>
      <c r="AM2872">
        <v>84.007893187666696</v>
      </c>
      <c r="AN2872">
        <v>1.00000002073134</v>
      </c>
    </row>
    <row r="2873" spans="1:40" x14ac:dyDescent="0.25">
      <c r="A2873" t="str">
        <f>"20190312154610375"</f>
        <v>20190312154610375</v>
      </c>
      <c r="B2873" t="str">
        <f>"1552376770370066"</f>
        <v>1552376770370066</v>
      </c>
      <c r="C2873" t="s">
        <v>40</v>
      </c>
      <c r="D2873">
        <v>4.7283780000000002</v>
      </c>
      <c r="E2873">
        <v>0.53086160000000004</v>
      </c>
      <c r="F2873" t="s">
        <v>41</v>
      </c>
      <c r="G2873">
        <v>-319.65949999999998</v>
      </c>
      <c r="H2873">
        <v>0.86889950000000005</v>
      </c>
      <c r="I2873">
        <v>215.51580000000001</v>
      </c>
      <c r="J2873">
        <v>-320.05439999999999</v>
      </c>
      <c r="K2873">
        <v>1.1089830000000001</v>
      </c>
      <c r="L2873">
        <v>215.65629999999999</v>
      </c>
      <c r="M2873">
        <v>0.99968559999999995</v>
      </c>
      <c r="N2873">
        <v>0</v>
      </c>
      <c r="O2873">
        <v>2.0240290000000001E-2</v>
      </c>
      <c r="P2873">
        <v>0.99629420000000002</v>
      </c>
      <c r="Q2873">
        <v>2.0759010000000001E-2</v>
      </c>
      <c r="R2873">
        <v>-8.3471790000000004E-2</v>
      </c>
      <c r="S2873">
        <v>2.991638</v>
      </c>
      <c r="T2873">
        <v>-0.83903119999999998</v>
      </c>
      <c r="U2873">
        <v>-0.45793149999999999</v>
      </c>
      <c r="V2873">
        <v>0.1036789</v>
      </c>
      <c r="W2873">
        <v>3.5308949999999999E-2</v>
      </c>
      <c r="X2873">
        <v>0.99398390000000003</v>
      </c>
      <c r="Y2873">
        <v>0.16431999999999999</v>
      </c>
      <c r="Z2873">
        <v>-2.8023699999999999E-2</v>
      </c>
      <c r="AA2873">
        <v>0.98600889999999997</v>
      </c>
      <c r="AB2873">
        <v>48</v>
      </c>
      <c r="AC2873">
        <v>0.39490000000000602</v>
      </c>
      <c r="AD2873">
        <v>-0.24008350000000001</v>
      </c>
      <c r="AE2873">
        <v>-0.14049999999997401</v>
      </c>
      <c r="AF2873">
        <v>0.11178873270988</v>
      </c>
      <c r="AG2873">
        <v>-0.24008350000000001</v>
      </c>
      <c r="AH2873">
        <v>0.29514293975397299</v>
      </c>
      <c r="AI2873">
        <v>127.260628554108</v>
      </c>
      <c r="AJ2873">
        <v>69.255249950145995</v>
      </c>
      <c r="AK2873">
        <v>0.39654276266217298</v>
      </c>
      <c r="AL2873">
        <v>87.976525615761304</v>
      </c>
      <c r="AM2873">
        <v>84.045215858255901</v>
      </c>
      <c r="AN2873">
        <v>1.0000000148572601</v>
      </c>
    </row>
    <row r="2874" spans="1:40" x14ac:dyDescent="0.25">
      <c r="A2874" t="str">
        <f>"20190312154610399"</f>
        <v>20190312154610399</v>
      </c>
      <c r="B2874" t="str">
        <f>"1552376770389586"</f>
        <v>1552376770389586</v>
      </c>
      <c r="C2874" t="s">
        <v>40</v>
      </c>
      <c r="D2874">
        <v>4.6871910000000003</v>
      </c>
      <c r="E2874">
        <v>0.53087030000000002</v>
      </c>
      <c r="F2874" t="s">
        <v>41</v>
      </c>
      <c r="G2874">
        <v>-319.23140000000001</v>
      </c>
      <c r="H2874">
        <v>0.87697340000000001</v>
      </c>
      <c r="I2874">
        <v>215.53039999999999</v>
      </c>
      <c r="J2874">
        <v>-319.54899999999998</v>
      </c>
      <c r="K2874">
        <v>1.1090009999999999</v>
      </c>
      <c r="L2874">
        <v>215.666</v>
      </c>
      <c r="M2874">
        <v>0.99969640000000004</v>
      </c>
      <c r="N2874">
        <v>0</v>
      </c>
      <c r="O2874">
        <v>1.9702999999999998E-2</v>
      </c>
      <c r="P2874">
        <v>0.99634400000000001</v>
      </c>
      <c r="Q2874">
        <v>2.102039E-2</v>
      </c>
      <c r="R2874">
        <v>-8.2808199999999998E-2</v>
      </c>
      <c r="S2874">
        <v>2.9904480000000002</v>
      </c>
      <c r="T2874">
        <v>-0.84295180000000003</v>
      </c>
      <c r="U2874">
        <v>-0.45733639999999998</v>
      </c>
      <c r="V2874">
        <v>0.1024825</v>
      </c>
      <c r="W2874">
        <v>3.5570570000000003E-2</v>
      </c>
      <c r="X2874">
        <v>0.99409860000000005</v>
      </c>
      <c r="Y2874">
        <v>0.16363449999999999</v>
      </c>
      <c r="Z2874">
        <v>-2.7918789999999999E-2</v>
      </c>
      <c r="AA2874">
        <v>0.9861259</v>
      </c>
      <c r="AB2874">
        <v>48</v>
      </c>
      <c r="AC2874">
        <v>0.31760000000002703</v>
      </c>
      <c r="AD2874">
        <v>-0.2320276</v>
      </c>
      <c r="AE2874">
        <v>-0.13560000000000999</v>
      </c>
      <c r="AF2874">
        <v>9.7718502185694403E-2</v>
      </c>
      <c r="AG2874">
        <v>-0.2320276</v>
      </c>
      <c r="AH2874">
        <v>0.21693453018612199</v>
      </c>
      <c r="AI2874">
        <v>134.28073616566701</v>
      </c>
      <c r="AJ2874">
        <v>65.750741720513503</v>
      </c>
      <c r="AK2874">
        <v>0.33233462536763902</v>
      </c>
      <c r="AL2874">
        <v>87.9615263954489</v>
      </c>
      <c r="AM2874">
        <v>84.114120053249593</v>
      </c>
      <c r="AN2874">
        <v>0.99999997738916702</v>
      </c>
    </row>
    <row r="2875" spans="1:40" x14ac:dyDescent="0.25">
      <c r="A2875" t="str">
        <f>"20190312154610422"</f>
        <v>20190312154610422</v>
      </c>
      <c r="B2875" t="str">
        <f>"1552376770410083"</f>
        <v>1552376770410083</v>
      </c>
      <c r="C2875" t="s">
        <v>40</v>
      </c>
      <c r="D2875">
        <v>4.7681760000000004</v>
      </c>
      <c r="E2875">
        <v>0.53086429999999996</v>
      </c>
      <c r="F2875" t="s">
        <v>41</v>
      </c>
      <c r="G2875">
        <v>-318.79860000000002</v>
      </c>
      <c r="H2875">
        <v>0.8975514</v>
      </c>
      <c r="I2875">
        <v>215.55170000000001</v>
      </c>
      <c r="J2875">
        <v>-319.06560000000002</v>
      </c>
      <c r="K2875">
        <v>1.109011</v>
      </c>
      <c r="L2875">
        <v>215.67519999999999</v>
      </c>
      <c r="M2875">
        <v>0.99970630000000005</v>
      </c>
      <c r="N2875">
        <v>0</v>
      </c>
      <c r="O2875">
        <v>1.9189029999999999E-2</v>
      </c>
      <c r="P2875">
        <v>0.99629749999999995</v>
      </c>
      <c r="Q2875">
        <v>2.365126E-2</v>
      </c>
      <c r="R2875">
        <v>-8.265438E-2</v>
      </c>
      <c r="S2875">
        <v>2.991028</v>
      </c>
      <c r="T2875">
        <v>-0.8428428</v>
      </c>
      <c r="U2875">
        <v>-0.45448300000000003</v>
      </c>
      <c r="V2875">
        <v>0.10182090000000001</v>
      </c>
      <c r="W2875">
        <v>3.8199009999999999E-2</v>
      </c>
      <c r="X2875">
        <v>0.99406910000000004</v>
      </c>
      <c r="Y2875">
        <v>0.16225529999999999</v>
      </c>
      <c r="Z2875">
        <v>-2.7581040000000001E-2</v>
      </c>
      <c r="AA2875">
        <v>0.98636330000000005</v>
      </c>
      <c r="AB2875">
        <v>48</v>
      </c>
      <c r="AC2875">
        <v>0.26699999999999502</v>
      </c>
      <c r="AD2875">
        <v>-0.211459599999999</v>
      </c>
      <c r="AE2875">
        <v>-0.123499999999978</v>
      </c>
      <c r="AF2875">
        <v>8.4790647475750797E-2</v>
      </c>
      <c r="AG2875">
        <v>-0.211459599999999</v>
      </c>
      <c r="AH2875">
        <v>0.17444592639192799</v>
      </c>
      <c r="AI2875">
        <v>137.471456369496</v>
      </c>
      <c r="AJ2875">
        <v>64.077610588913998</v>
      </c>
      <c r="AK2875">
        <v>0.286942498710551</v>
      </c>
      <c r="AL2875">
        <v>87.810825369875801</v>
      </c>
      <c r="AM2875">
        <v>84.151681188115504</v>
      </c>
      <c r="AN2875">
        <v>1.0000000178082999</v>
      </c>
    </row>
    <row r="2876" spans="1:40" x14ac:dyDescent="0.25">
      <c r="A2876" t="str">
        <f>"20190312154610490"</f>
        <v>20190312154610490</v>
      </c>
      <c r="B2876" t="str">
        <f>"1552376770480355"</f>
        <v>1552376770480355</v>
      </c>
      <c r="C2876" t="s">
        <v>40</v>
      </c>
      <c r="D2876">
        <v>4.7651909999999997</v>
      </c>
      <c r="E2876">
        <v>0.53089169999999997</v>
      </c>
      <c r="F2876" t="s">
        <v>41</v>
      </c>
      <c r="G2876">
        <v>-317.12900000000002</v>
      </c>
      <c r="H2876">
        <v>0.82919759999999998</v>
      </c>
      <c r="I2876">
        <v>215.5384</v>
      </c>
      <c r="J2876">
        <v>-317.6232</v>
      </c>
      <c r="K2876">
        <v>1.1089880000000001</v>
      </c>
      <c r="L2876">
        <v>215.70089999999999</v>
      </c>
      <c r="M2876">
        <v>0.99973489999999998</v>
      </c>
      <c r="N2876">
        <v>0</v>
      </c>
      <c r="O2876">
        <v>1.7653309999999998E-2</v>
      </c>
      <c r="P2876">
        <v>0.99593640000000005</v>
      </c>
      <c r="Q2876">
        <v>2.345904E-2</v>
      </c>
      <c r="R2876">
        <v>-8.6952050000000003E-2</v>
      </c>
      <c r="S2876">
        <v>2.9933779999999999</v>
      </c>
      <c r="T2876">
        <v>-0.83251609999999998</v>
      </c>
      <c r="U2876">
        <v>-0.45657350000000002</v>
      </c>
      <c r="V2876">
        <v>0.1045832</v>
      </c>
      <c r="W2876">
        <v>3.798936E-2</v>
      </c>
      <c r="X2876">
        <v>0.99379030000000002</v>
      </c>
      <c r="Y2876">
        <v>0.16155919999999999</v>
      </c>
      <c r="Z2876">
        <v>-2.6721999999999999E-2</v>
      </c>
      <c r="AA2876">
        <v>0.98650119999999997</v>
      </c>
      <c r="AB2876">
        <v>47</v>
      </c>
      <c r="AC2876">
        <v>0.49419999999997699</v>
      </c>
      <c r="AD2876">
        <v>-0.279790399999999</v>
      </c>
      <c r="AE2876">
        <v>-0.16249999999999401</v>
      </c>
      <c r="AF2876">
        <v>0.13279026698302501</v>
      </c>
      <c r="AG2876">
        <v>-0.279790399999999</v>
      </c>
      <c r="AH2876">
        <v>0.38103849717966498</v>
      </c>
      <c r="AI2876">
        <v>124.73684031457999</v>
      </c>
      <c r="AJ2876">
        <v>70.786775218552293</v>
      </c>
      <c r="AK2876">
        <v>0.49102572159767799</v>
      </c>
      <c r="AL2876">
        <v>87.822846113671105</v>
      </c>
      <c r="AM2876">
        <v>83.992494024562305</v>
      </c>
      <c r="AN2876">
        <v>0.99999999878476897</v>
      </c>
    </row>
    <row r="2877" spans="1:40" x14ac:dyDescent="0.25">
      <c r="A2877" t="str">
        <f>"20190312154610510"</f>
        <v>20190312154610510</v>
      </c>
      <c r="B2877" t="str">
        <f>"1552376770499875"</f>
        <v>1552376770499875</v>
      </c>
      <c r="C2877" t="s">
        <v>40</v>
      </c>
      <c r="D2877">
        <v>4.7837620000000003</v>
      </c>
      <c r="E2877">
        <v>0.53085879999999996</v>
      </c>
      <c r="F2877" t="s">
        <v>41</v>
      </c>
      <c r="G2877">
        <v>-316.69749999999999</v>
      </c>
      <c r="H2877">
        <v>0.85035070000000001</v>
      </c>
      <c r="I2877">
        <v>215.55779999999999</v>
      </c>
      <c r="J2877">
        <v>-317.19</v>
      </c>
      <c r="K2877">
        <v>1.1089800000000001</v>
      </c>
      <c r="L2877">
        <v>215.70820000000001</v>
      </c>
      <c r="M2877">
        <v>0.99974300000000005</v>
      </c>
      <c r="N2877">
        <v>0</v>
      </c>
      <c r="O2877">
        <v>1.719161E-2</v>
      </c>
      <c r="P2877">
        <v>0.99571220000000005</v>
      </c>
      <c r="Q2877">
        <v>2.2584239999999998E-2</v>
      </c>
      <c r="R2877">
        <v>-8.9707670000000003E-2</v>
      </c>
      <c r="S2877">
        <v>2.9916079999999998</v>
      </c>
      <c r="T2877">
        <v>-0.8358004</v>
      </c>
      <c r="U2877">
        <v>-0.46229550000000003</v>
      </c>
      <c r="V2877">
        <v>0.1068741</v>
      </c>
      <c r="W2877">
        <v>3.710546E-2</v>
      </c>
      <c r="X2877">
        <v>0.99357989999999996</v>
      </c>
      <c r="Y2877">
        <v>0.1629427</v>
      </c>
      <c r="Z2877">
        <v>-2.689772E-2</v>
      </c>
      <c r="AA2877">
        <v>0.98626879999999995</v>
      </c>
      <c r="AB2877">
        <v>47</v>
      </c>
      <c r="AC2877">
        <v>0.49250000000000599</v>
      </c>
      <c r="AD2877">
        <v>-0.25862929999999901</v>
      </c>
      <c r="AE2877">
        <v>-0.15040000000001799</v>
      </c>
      <c r="AF2877">
        <v>0.12684874628857401</v>
      </c>
      <c r="AG2877">
        <v>-0.25862929999999901</v>
      </c>
      <c r="AH2877">
        <v>0.39117086038732501</v>
      </c>
      <c r="AI2877">
        <v>122.166833065517</v>
      </c>
      <c r="AJ2877">
        <v>72.033176777034001</v>
      </c>
      <c r="AK2877">
        <v>0.48579250845359201</v>
      </c>
      <c r="AL2877">
        <v>87.873525494366802</v>
      </c>
      <c r="AM2877">
        <v>83.860603358835704</v>
      </c>
      <c r="AN2877">
        <v>0.99999995304831402</v>
      </c>
    </row>
    <row r="2878" spans="1:40" x14ac:dyDescent="0.25">
      <c r="A2878" t="str">
        <f>"20190312154610533"</f>
        <v>20190312154610533</v>
      </c>
      <c r="B2878" t="str">
        <f>"1552376770530130"</f>
        <v>1552376770530130</v>
      </c>
      <c r="C2878" t="s">
        <v>40</v>
      </c>
      <c r="D2878">
        <v>4.7820980000000004</v>
      </c>
      <c r="E2878">
        <v>0.53090850000000001</v>
      </c>
      <c r="F2878" t="s">
        <v>41</v>
      </c>
      <c r="G2878">
        <v>-316.274</v>
      </c>
      <c r="H2878">
        <v>0.85165409999999997</v>
      </c>
      <c r="I2878">
        <v>215.5642</v>
      </c>
      <c r="J2878">
        <v>-316.72109999999998</v>
      </c>
      <c r="K2878">
        <v>1.1089719999999901</v>
      </c>
      <c r="L2878">
        <v>215.7159</v>
      </c>
      <c r="M2878">
        <v>0.99975159999999996</v>
      </c>
      <c r="N2878">
        <v>0</v>
      </c>
      <c r="O2878">
        <v>1.6691950000000001E-2</v>
      </c>
      <c r="P2878">
        <v>0.99546029999999996</v>
      </c>
      <c r="Q2878">
        <v>2.211805E-2</v>
      </c>
      <c r="R2878">
        <v>-9.2576779999999997E-2</v>
      </c>
      <c r="S2878">
        <v>2.989655</v>
      </c>
      <c r="T2878">
        <v>-0.83978469999999905</v>
      </c>
      <c r="U2878">
        <v>-0.4693756</v>
      </c>
      <c r="V2878">
        <v>0.1092407</v>
      </c>
      <c r="W2878">
        <v>3.6628939999999999E-2</v>
      </c>
      <c r="X2878">
        <v>0.99334020000000001</v>
      </c>
      <c r="Y2878">
        <v>0.16471069999999999</v>
      </c>
      <c r="Z2878">
        <v>-2.713865E-2</v>
      </c>
      <c r="AA2878">
        <v>0.98596850000000003</v>
      </c>
      <c r="AB2878">
        <v>47</v>
      </c>
      <c r="AC2878">
        <v>0.44709999999997702</v>
      </c>
      <c r="AD2878">
        <v>-0.25731789999999899</v>
      </c>
      <c r="AE2878">
        <v>-0.151700000000005</v>
      </c>
      <c r="AF2878">
        <v>0.122697245134753</v>
      </c>
      <c r="AG2878">
        <v>-0.25731789999999899</v>
      </c>
      <c r="AH2878">
        <v>0.34270870420308602</v>
      </c>
      <c r="AI2878">
        <v>125.256349636487</v>
      </c>
      <c r="AJ2878">
        <v>70.301516873814705</v>
      </c>
      <c r="AK2878">
        <v>0.44577614512289199</v>
      </c>
      <c r="AL2878">
        <v>87.900846713862094</v>
      </c>
      <c r="AM2878">
        <v>83.724224410538099</v>
      </c>
      <c r="AN2878">
        <v>0.99999998135902601</v>
      </c>
    </row>
    <row r="2879" spans="1:40" x14ac:dyDescent="0.25">
      <c r="A2879" t="str">
        <f>"20190312154610555"</f>
        <v>20190312154610555</v>
      </c>
      <c r="B2879" t="str">
        <f>"1552376770549650"</f>
        <v>1552376770549650</v>
      </c>
      <c r="C2879" t="s">
        <v>40</v>
      </c>
      <c r="D2879">
        <v>4.7964570000000002</v>
      </c>
      <c r="E2879">
        <v>0.53083089999999999</v>
      </c>
      <c r="F2879" t="s">
        <v>41</v>
      </c>
      <c r="G2879">
        <v>-315.84699999999998</v>
      </c>
      <c r="H2879">
        <v>0.86249050000000005</v>
      </c>
      <c r="I2879">
        <v>215.57589999999999</v>
      </c>
      <c r="J2879">
        <v>-316.24029999999999</v>
      </c>
      <c r="K2879">
        <v>1.1089850000000001</v>
      </c>
      <c r="L2879">
        <v>215.7235</v>
      </c>
      <c r="M2879">
        <v>0.99975999999999998</v>
      </c>
      <c r="N2879">
        <v>0</v>
      </c>
      <c r="O2879">
        <v>1.6179410000000002E-2</v>
      </c>
      <c r="P2879">
        <v>0.99531049999999999</v>
      </c>
      <c r="Q2879">
        <v>2.2978439999999999E-2</v>
      </c>
      <c r="R2879">
        <v>-9.3964690000000003E-2</v>
      </c>
      <c r="S2879">
        <v>2.9879150000000001</v>
      </c>
      <c r="T2879">
        <v>-0.8425068</v>
      </c>
      <c r="U2879">
        <v>-0.47828670000000001</v>
      </c>
      <c r="V2879">
        <v>0.1101179</v>
      </c>
      <c r="W2879">
        <v>3.7483320000000001E-2</v>
      </c>
      <c r="X2879">
        <v>0.99321150000000002</v>
      </c>
      <c r="Y2879">
        <v>0.16704459999999999</v>
      </c>
      <c r="Z2879">
        <v>-2.7412349999999999E-2</v>
      </c>
      <c r="AA2879">
        <v>0.98556820000000001</v>
      </c>
      <c r="AB2879">
        <v>47</v>
      </c>
      <c r="AC2879">
        <v>0.39330000000000997</v>
      </c>
      <c r="AD2879">
        <v>-0.24649450000000001</v>
      </c>
      <c r="AE2879">
        <v>-0.147600000000011</v>
      </c>
      <c r="AF2879">
        <v>0.11451631457092699</v>
      </c>
      <c r="AG2879">
        <v>-0.24649450000000001</v>
      </c>
      <c r="AH2879">
        <v>0.29075282542306502</v>
      </c>
      <c r="AI2879">
        <v>128.26647658213099</v>
      </c>
      <c r="AJ2879">
        <v>68.502434224963594</v>
      </c>
      <c r="AK2879">
        <v>0.39800845509191501</v>
      </c>
      <c r="AL2879">
        <v>87.851860776634695</v>
      </c>
      <c r="AM2879">
        <v>83.673423963071102</v>
      </c>
      <c r="AN2879">
        <v>1.00000001745544</v>
      </c>
    </row>
    <row r="2880" spans="1:40" x14ac:dyDescent="0.25">
      <c r="A2880" t="str">
        <f>"20190312154610576"</f>
        <v>20190312154610576</v>
      </c>
      <c r="B2880" t="str">
        <f>"1552376770570147"</f>
        <v>1552376770570147</v>
      </c>
      <c r="C2880" t="s">
        <v>40</v>
      </c>
      <c r="D2880">
        <v>4.7509480000000002</v>
      </c>
      <c r="E2880">
        <v>0.53075740000000005</v>
      </c>
      <c r="F2880" t="s">
        <v>41</v>
      </c>
      <c r="G2880">
        <v>-315.4187</v>
      </c>
      <c r="H2880">
        <v>0.87766710000000003</v>
      </c>
      <c r="I2880">
        <v>215.5909</v>
      </c>
      <c r="J2880">
        <v>-315.78960000000001</v>
      </c>
      <c r="K2880">
        <v>1.1089990000000001</v>
      </c>
      <c r="L2880">
        <v>215.73050000000001</v>
      </c>
      <c r="M2880">
        <v>0.99976770000000004</v>
      </c>
      <c r="N2880">
        <v>0</v>
      </c>
      <c r="O2880">
        <v>1.5698460000000001E-2</v>
      </c>
      <c r="P2880">
        <v>0.99520929999999996</v>
      </c>
      <c r="Q2880">
        <v>2.3452529999999999E-2</v>
      </c>
      <c r="R2880">
        <v>-9.4915029999999997E-2</v>
      </c>
      <c r="S2880">
        <v>2.9880680000000002</v>
      </c>
      <c r="T2880">
        <v>-0.84124489999999996</v>
      </c>
      <c r="U2880">
        <v>-0.48147580000000001</v>
      </c>
      <c r="V2880">
        <v>0.1105893</v>
      </c>
      <c r="W2880">
        <v>3.7952670000000001E-2</v>
      </c>
      <c r="X2880">
        <v>0.9931413</v>
      </c>
      <c r="Y2880">
        <v>0.16760799999999901</v>
      </c>
      <c r="Z2880">
        <v>-2.7314539999999998E-2</v>
      </c>
      <c r="AA2880">
        <v>0.9854752</v>
      </c>
      <c r="AB2880">
        <v>47</v>
      </c>
      <c r="AC2880">
        <v>0.370900000000006</v>
      </c>
      <c r="AD2880">
        <v>-0.23133190000000001</v>
      </c>
      <c r="AE2880">
        <v>-0.139600000000001</v>
      </c>
      <c r="AF2880">
        <v>0.108452277718396</v>
      </c>
      <c r="AG2880">
        <v>-0.23133190000000001</v>
      </c>
      <c r="AH2880">
        <v>0.27497005410504299</v>
      </c>
      <c r="AI2880">
        <v>128.047594874591</v>
      </c>
      <c r="AJ2880">
        <v>68.474986605695193</v>
      </c>
      <c r="AK2880">
        <v>0.37534634027048802</v>
      </c>
      <c r="AL2880">
        <v>87.824949859310195</v>
      </c>
      <c r="AM2880">
        <v>83.646116321894297</v>
      </c>
      <c r="AN2880">
        <v>1.00000002010015</v>
      </c>
    </row>
    <row r="2881" spans="1:40" x14ac:dyDescent="0.25">
      <c r="A2881" t="str">
        <f>"20190312154610600"</f>
        <v>20190312154610600</v>
      </c>
      <c r="B2881" t="str">
        <f>"1552376770589671"</f>
        <v>1552376770589671</v>
      </c>
      <c r="C2881" t="s">
        <v>40</v>
      </c>
      <c r="D2881">
        <v>4.734356</v>
      </c>
      <c r="E2881">
        <v>0.53056930000000002</v>
      </c>
      <c r="F2881" t="s">
        <v>41</v>
      </c>
      <c r="G2881">
        <v>-314.99360000000001</v>
      </c>
      <c r="H2881">
        <v>0.88545180000000001</v>
      </c>
      <c r="I2881">
        <v>215.6011</v>
      </c>
      <c r="J2881">
        <v>-315.30799999999999</v>
      </c>
      <c r="K2881">
        <v>1.109011</v>
      </c>
      <c r="L2881">
        <v>215.73759999999999</v>
      </c>
      <c r="M2881">
        <v>0.99977559999999999</v>
      </c>
      <c r="N2881">
        <v>0</v>
      </c>
      <c r="O2881">
        <v>1.5184680000000001E-2</v>
      </c>
      <c r="P2881">
        <v>0.99517409999999995</v>
      </c>
      <c r="Q2881">
        <v>2.317147E-2</v>
      </c>
      <c r="R2881">
        <v>-9.5350389999999993E-2</v>
      </c>
      <c r="S2881">
        <v>2.9879760000000002</v>
      </c>
      <c r="T2881">
        <v>-0.83909820000000002</v>
      </c>
      <c r="U2881">
        <v>-0.48504639999999999</v>
      </c>
      <c r="V2881">
        <v>0.1105129</v>
      </c>
      <c r="W2881">
        <v>3.766916E-2</v>
      </c>
      <c r="X2881">
        <v>0.9931605</v>
      </c>
      <c r="Y2881">
        <v>0.1682843</v>
      </c>
      <c r="Z2881">
        <v>-2.7197570000000001E-2</v>
      </c>
      <c r="AA2881">
        <v>0.98536319999999999</v>
      </c>
      <c r="AB2881">
        <v>47</v>
      </c>
      <c r="AC2881">
        <v>0.31439999999997698</v>
      </c>
      <c r="AD2881">
        <v>-0.22355920000000001</v>
      </c>
      <c r="AE2881">
        <v>-0.136499999999983</v>
      </c>
      <c r="AF2881">
        <v>9.9099484725292897E-2</v>
      </c>
      <c r="AG2881">
        <v>-0.22355920000000001</v>
      </c>
      <c r="AH2881">
        <v>0.21908616497400701</v>
      </c>
      <c r="AI2881">
        <v>132.91444352100501</v>
      </c>
      <c r="AJ2881">
        <v>65.661281474680706</v>
      </c>
      <c r="AK2881">
        <v>0.32832631856200101</v>
      </c>
      <c r="AL2881">
        <v>87.841205199320399</v>
      </c>
      <c r="AM2881">
        <v>83.650591751872895</v>
      </c>
      <c r="AN2881">
        <v>0.99999992272087901</v>
      </c>
    </row>
    <row r="2882" spans="1:40" x14ac:dyDescent="0.25">
      <c r="A2882" t="str">
        <f>"20190312154610622"</f>
        <v>20190312154610622</v>
      </c>
      <c r="B2882" t="str">
        <f>"1552376770619923"</f>
        <v>1552376770619923</v>
      </c>
      <c r="C2882" t="s">
        <v>40</v>
      </c>
      <c r="D2882">
        <v>4.6233680000000001</v>
      </c>
      <c r="E2882">
        <v>0.53039009999999998</v>
      </c>
      <c r="F2882" t="s">
        <v>41</v>
      </c>
      <c r="G2882">
        <v>-314.56610000000001</v>
      </c>
      <c r="H2882">
        <v>0.90045200000000003</v>
      </c>
      <c r="I2882">
        <v>215.61660000000001</v>
      </c>
      <c r="J2882">
        <v>-314.82130000000001</v>
      </c>
      <c r="K2882">
        <v>1.1090230000000001</v>
      </c>
      <c r="L2882">
        <v>215.74459999999999</v>
      </c>
      <c r="M2882">
        <v>0.99978339999999999</v>
      </c>
      <c r="N2882">
        <v>0</v>
      </c>
      <c r="O2882">
        <v>1.4665060000000001E-2</v>
      </c>
      <c r="P2882">
        <v>0.99523340000000005</v>
      </c>
      <c r="Q2882">
        <v>2.26886E-2</v>
      </c>
      <c r="R2882">
        <v>-9.4847020000000004E-2</v>
      </c>
      <c r="S2882">
        <v>2.9875790000000002</v>
      </c>
      <c r="T2882">
        <v>-0.83985509999999997</v>
      </c>
      <c r="U2882">
        <v>-0.48632809999999999</v>
      </c>
      <c r="V2882">
        <v>0.1094932</v>
      </c>
      <c r="W2882">
        <v>3.7186940000000002E-2</v>
      </c>
      <c r="X2882">
        <v>0.9932917</v>
      </c>
      <c r="Y2882">
        <v>0.16821410000000001</v>
      </c>
      <c r="Z2882">
        <v>-2.7071640000000001E-2</v>
      </c>
      <c r="AA2882">
        <v>0.98537870000000005</v>
      </c>
      <c r="AB2882">
        <v>47</v>
      </c>
      <c r="AC2882">
        <v>0.25520000000000198</v>
      </c>
      <c r="AD2882">
        <v>-0.20857099999999901</v>
      </c>
      <c r="AE2882">
        <v>-0.12799999999998499</v>
      </c>
      <c r="AF2882">
        <v>8.5890183745326795E-2</v>
      </c>
      <c r="AG2882">
        <v>-0.20857099999999901</v>
      </c>
      <c r="AH2882">
        <v>0.165153806580039</v>
      </c>
      <c r="AI2882">
        <v>138.250585823709</v>
      </c>
      <c r="AJ2882">
        <v>62.522781823964102</v>
      </c>
      <c r="AK2882">
        <v>0.27956173832032699</v>
      </c>
      <c r="AL2882">
        <v>87.868853942602797</v>
      </c>
      <c r="AM2882">
        <v>83.709529993725795</v>
      </c>
      <c r="AN2882">
        <v>1.0000000153208399</v>
      </c>
    </row>
    <row r="2883" spans="1:40" x14ac:dyDescent="0.25">
      <c r="A2883" t="str">
        <f>"20190312154610647"</f>
        <v>20190312154610647</v>
      </c>
      <c r="B2883" t="str">
        <f>"1552376770639443"</f>
        <v>1552376770639443</v>
      </c>
      <c r="C2883" t="s">
        <v>40</v>
      </c>
      <c r="D2883">
        <v>4.636171</v>
      </c>
      <c r="E2883">
        <v>0.53026870000000004</v>
      </c>
      <c r="F2883" t="s">
        <v>41</v>
      </c>
      <c r="G2883">
        <v>-314.13839999999999</v>
      </c>
      <c r="H2883">
        <v>0.91685839999999996</v>
      </c>
      <c r="I2883">
        <v>215.63390000000001</v>
      </c>
      <c r="J2883">
        <v>-314.32130000000001</v>
      </c>
      <c r="K2883">
        <v>1.109029</v>
      </c>
      <c r="L2883">
        <v>215.7516</v>
      </c>
      <c r="M2883">
        <v>0.99979119999999999</v>
      </c>
      <c r="N2883">
        <v>0</v>
      </c>
      <c r="O2883">
        <v>1.413059E-2</v>
      </c>
      <c r="P2883">
        <v>0.99523859999999997</v>
      </c>
      <c r="Q2883">
        <v>2.3491129999999999E-2</v>
      </c>
      <c r="R2883">
        <v>-9.4595639999999995E-2</v>
      </c>
      <c r="S2883">
        <v>2.9873349999999999</v>
      </c>
      <c r="T2883">
        <v>-0.84065759999999901</v>
      </c>
      <c r="U2883">
        <v>-0.48464970000000002</v>
      </c>
      <c r="V2883">
        <v>0.1087119</v>
      </c>
      <c r="W2883">
        <v>3.7988880000000003E-2</v>
      </c>
      <c r="X2883">
        <v>0.99334719999999999</v>
      </c>
      <c r="Y2883">
        <v>0.16720489999999999</v>
      </c>
      <c r="Z2883">
        <v>-2.6814649999999999E-2</v>
      </c>
      <c r="AA2883">
        <v>0.98555740000000003</v>
      </c>
      <c r="AB2883">
        <v>47</v>
      </c>
      <c r="AC2883">
        <v>0.18290000000001699</v>
      </c>
      <c r="AD2883">
        <v>-0.1921706</v>
      </c>
      <c r="AE2883">
        <v>-0.117699999999985</v>
      </c>
      <c r="AF2883">
        <v>6.7544166604570202E-2</v>
      </c>
      <c r="AG2883">
        <v>-0.1921706</v>
      </c>
      <c r="AH2883">
        <v>0.101770500390251</v>
      </c>
      <c r="AI2883">
        <v>147.55962833304599</v>
      </c>
      <c r="AJ2883">
        <v>56.428127789228697</v>
      </c>
      <c r="AK2883">
        <v>0.227703730088788</v>
      </c>
      <c r="AL2883">
        <v>87.822873738303798</v>
      </c>
      <c r="AM2883">
        <v>83.754406479924896</v>
      </c>
      <c r="AN2883">
        <v>1.0000000459765499</v>
      </c>
    </row>
    <row r="2884" spans="1:40" x14ac:dyDescent="0.25">
      <c r="A2884" t="str">
        <f>"20190312154610669"</f>
        <v>20190312154610669</v>
      </c>
      <c r="B2884" t="str">
        <f>"1552376770659939"</f>
        <v>1552376770659939</v>
      </c>
      <c r="C2884" t="s">
        <v>40</v>
      </c>
      <c r="D2884">
        <v>4.6561589999999997</v>
      </c>
      <c r="E2884">
        <v>0.53014850000000002</v>
      </c>
      <c r="F2884" t="s">
        <v>41</v>
      </c>
      <c r="G2884">
        <v>-313.33</v>
      </c>
      <c r="H2884">
        <v>0.83128359999999901</v>
      </c>
      <c r="I2884">
        <v>215.5908</v>
      </c>
      <c r="J2884">
        <v>-313.85289999999998</v>
      </c>
      <c r="K2884">
        <v>1.1090390000000001</v>
      </c>
      <c r="L2884">
        <v>215.7578</v>
      </c>
      <c r="M2884">
        <v>0.99979819999999997</v>
      </c>
      <c r="N2884">
        <v>0</v>
      </c>
      <c r="O2884">
        <v>1.3630099999999999E-2</v>
      </c>
      <c r="P2884">
        <v>0.99529869999999998</v>
      </c>
      <c r="Q2884">
        <v>2.3856800000000001E-2</v>
      </c>
      <c r="R2884">
        <v>-9.3869419999999995E-2</v>
      </c>
      <c r="S2884">
        <v>2.9880680000000002</v>
      </c>
      <c r="T2884">
        <v>-0.83717969999999897</v>
      </c>
      <c r="U2884">
        <v>-0.48408509999999999</v>
      </c>
      <c r="V2884">
        <v>0.1074898</v>
      </c>
      <c r="W2884">
        <v>3.8355779999999999E-2</v>
      </c>
      <c r="X2884">
        <v>0.99346599999999996</v>
      </c>
      <c r="Y2884">
        <v>0.16659289999999999</v>
      </c>
      <c r="Z2884">
        <v>-2.6481500000000002E-2</v>
      </c>
      <c r="AA2884">
        <v>0.98567009999999999</v>
      </c>
      <c r="AB2884">
        <v>47</v>
      </c>
      <c r="AC2884">
        <v>0.52289999999999204</v>
      </c>
      <c r="AD2884">
        <v>-0.27775539999999999</v>
      </c>
      <c r="AE2884">
        <v>-0.16700000000000101</v>
      </c>
      <c r="AF2884">
        <v>0.138620220303667</v>
      </c>
      <c r="AG2884">
        <v>-0.27775539999999999</v>
      </c>
      <c r="AH2884">
        <v>0.414457539238961</v>
      </c>
      <c r="AI2884">
        <v>122.43840350052901</v>
      </c>
      <c r="AJ2884">
        <v>71.506879441222097</v>
      </c>
      <c r="AK2884">
        <v>0.51782108834829399</v>
      </c>
      <c r="AL2884">
        <v>87.801836391812401</v>
      </c>
      <c r="AM2884">
        <v>83.824804387155098</v>
      </c>
      <c r="AN2884">
        <v>0.99999995805972297</v>
      </c>
    </row>
    <row r="2885" spans="1:40" x14ac:dyDescent="0.25">
      <c r="A2885" t="str">
        <f>"20190312154610689"</f>
        <v>20190312154610689</v>
      </c>
      <c r="B2885" t="str">
        <f>"1552376770679459"</f>
        <v>1552376770679459</v>
      </c>
      <c r="C2885" t="s">
        <v>40</v>
      </c>
      <c r="D2885">
        <v>4.6329260000000003</v>
      </c>
      <c r="E2885">
        <v>0.53005449999999998</v>
      </c>
      <c r="F2885" t="s">
        <v>41</v>
      </c>
      <c r="G2885">
        <v>-312.90460000000002</v>
      </c>
      <c r="H2885">
        <v>0.84394190000000002</v>
      </c>
      <c r="I2885">
        <v>215.60480000000001</v>
      </c>
      <c r="J2885">
        <v>-313.4332</v>
      </c>
      <c r="K2885">
        <v>1.109046</v>
      </c>
      <c r="L2885">
        <v>215.76320000000001</v>
      </c>
      <c r="M2885">
        <v>0.99980429999999998</v>
      </c>
      <c r="N2885">
        <v>0</v>
      </c>
      <c r="O2885">
        <v>1.318158E-2</v>
      </c>
      <c r="P2885">
        <v>0.99530759999999996</v>
      </c>
      <c r="Q2885">
        <v>2.5412319999999999E-2</v>
      </c>
      <c r="R2885">
        <v>-9.3366500000000005E-2</v>
      </c>
      <c r="S2885">
        <v>2.9887389999999998</v>
      </c>
      <c r="T2885">
        <v>-0.83544399999999996</v>
      </c>
      <c r="U2885">
        <v>-0.48152159999999999</v>
      </c>
      <c r="V2885">
        <v>0.10654329999999999</v>
      </c>
      <c r="W2885">
        <v>3.9910979999999999E-2</v>
      </c>
      <c r="X2885">
        <v>0.99350669999999996</v>
      </c>
      <c r="Y2885">
        <v>0.16538349999999999</v>
      </c>
      <c r="Z2885">
        <v>-2.613745E-2</v>
      </c>
      <c r="AA2885">
        <v>0.98588290000000001</v>
      </c>
      <c r="AB2885">
        <v>47</v>
      </c>
      <c r="AC2885">
        <v>0.52859999999998297</v>
      </c>
      <c r="AD2885">
        <v>-0.26510409999999901</v>
      </c>
      <c r="AE2885">
        <v>-0.15840000000000001</v>
      </c>
      <c r="AF2885">
        <v>0.13434753437678301</v>
      </c>
      <c r="AG2885">
        <v>-0.26510409999999901</v>
      </c>
      <c r="AH2885">
        <v>0.427743266765305</v>
      </c>
      <c r="AI2885">
        <v>120.595587067593</v>
      </c>
      <c r="AJ2885">
        <v>72.563303998295495</v>
      </c>
      <c r="AK2885">
        <v>0.52085866230003897</v>
      </c>
      <c r="AL2885">
        <v>87.712661683605305</v>
      </c>
      <c r="AM2885">
        <v>83.879014223635096</v>
      </c>
      <c r="AN2885">
        <v>0.99999996202216901</v>
      </c>
    </row>
    <row r="2886" spans="1:40" x14ac:dyDescent="0.25">
      <c r="A2886" t="str">
        <f>"20190312154610711"</f>
        <v>20190312154610711</v>
      </c>
      <c r="B2886" t="str">
        <f>"1552376770699954"</f>
        <v>1552376770699954</v>
      </c>
      <c r="C2886" t="s">
        <v>40</v>
      </c>
      <c r="D2886">
        <v>4.5963669999999999</v>
      </c>
      <c r="E2886">
        <v>0.52993029999999997</v>
      </c>
      <c r="F2886" t="s">
        <v>41</v>
      </c>
      <c r="G2886">
        <v>-312.48379999999997</v>
      </c>
      <c r="H2886">
        <v>0.84549180000000002</v>
      </c>
      <c r="I2886">
        <v>215.61070000000001</v>
      </c>
      <c r="J2886">
        <v>-312.96550000000002</v>
      </c>
      <c r="K2886">
        <v>1.109051</v>
      </c>
      <c r="L2886">
        <v>215.76900000000001</v>
      </c>
      <c r="M2886">
        <v>0.99981089999999995</v>
      </c>
      <c r="N2886">
        <v>0</v>
      </c>
      <c r="O2886">
        <v>1.2681319999999999E-2</v>
      </c>
      <c r="P2886">
        <v>0.99525589999999997</v>
      </c>
      <c r="Q2886">
        <v>2.67313E-2</v>
      </c>
      <c r="R2886">
        <v>-9.3550510000000003E-2</v>
      </c>
      <c r="S2886">
        <v>2.990265</v>
      </c>
      <c r="T2886">
        <v>-0.83009529999999998</v>
      </c>
      <c r="U2886">
        <v>-0.48008729999999999</v>
      </c>
      <c r="V2886">
        <v>0.1062313</v>
      </c>
      <c r="W2886">
        <v>4.1227880000000001E-2</v>
      </c>
      <c r="X2886">
        <v>0.99348639999999999</v>
      </c>
      <c r="Y2886">
        <v>0.16449169999999999</v>
      </c>
      <c r="Z2886">
        <v>-2.5708129999999999E-2</v>
      </c>
      <c r="AA2886">
        <v>0.98604340000000001</v>
      </c>
      <c r="AB2886">
        <v>47</v>
      </c>
      <c r="AC2886">
        <v>0.48170000000004598</v>
      </c>
      <c r="AD2886">
        <v>-0.26355919999999999</v>
      </c>
      <c r="AE2886">
        <v>-0.158299999999996</v>
      </c>
      <c r="AF2886">
        <v>0.129427002773042</v>
      </c>
      <c r="AG2886">
        <v>-0.26355919999999999</v>
      </c>
      <c r="AH2886">
        <v>0.377624322972892</v>
      </c>
      <c r="AI2886">
        <v>123.434285571244</v>
      </c>
      <c r="AJ2886">
        <v>71.081355857091793</v>
      </c>
      <c r="AK2886">
        <v>0.47834603609958798</v>
      </c>
      <c r="AL2886">
        <v>87.637146847185207</v>
      </c>
      <c r="AM2886">
        <v>83.896679593010703</v>
      </c>
      <c r="AN2886">
        <v>1.00000002708697</v>
      </c>
    </row>
    <row r="2887" spans="1:40" x14ac:dyDescent="0.25">
      <c r="A2887" t="str">
        <f>"20190312154610735"</f>
        <v>20190312154610735</v>
      </c>
      <c r="B2887" t="str">
        <f>"1552376770730211"</f>
        <v>1552376770730211</v>
      </c>
      <c r="C2887" t="s">
        <v>40</v>
      </c>
      <c r="D2887">
        <v>4.6410770000000001</v>
      </c>
      <c r="E2887">
        <v>0.52972089999999905</v>
      </c>
      <c r="F2887" t="s">
        <v>41</v>
      </c>
      <c r="G2887">
        <v>-312.05869999999999</v>
      </c>
      <c r="H2887">
        <v>0.85887719999999901</v>
      </c>
      <c r="I2887">
        <v>215.6234</v>
      </c>
      <c r="J2887">
        <v>-312.4803</v>
      </c>
      <c r="K2887">
        <v>1.109057</v>
      </c>
      <c r="L2887">
        <v>215.7747</v>
      </c>
      <c r="M2887">
        <v>0.99981710000000001</v>
      </c>
      <c r="N2887">
        <v>0</v>
      </c>
      <c r="O2887">
        <v>1.216271E-2</v>
      </c>
      <c r="P2887">
        <v>0.99518569999999995</v>
      </c>
      <c r="Q2887">
        <v>2.7654580000000002E-2</v>
      </c>
      <c r="R2887">
        <v>-9.4023999999999996E-2</v>
      </c>
      <c r="S2887">
        <v>2.9913639999999999</v>
      </c>
      <c r="T2887">
        <v>-0.82537150000000004</v>
      </c>
      <c r="U2887">
        <v>-0.47988890000000001</v>
      </c>
      <c r="V2887">
        <v>0.1061896</v>
      </c>
      <c r="W2887">
        <v>4.2147850000000001E-2</v>
      </c>
      <c r="X2887">
        <v>0.99345229999999995</v>
      </c>
      <c r="Y2887">
        <v>0.16397539999999999</v>
      </c>
      <c r="Z2887">
        <v>-2.534902E-2</v>
      </c>
      <c r="AA2887">
        <v>0.98613870000000003</v>
      </c>
      <c r="AB2887">
        <v>47</v>
      </c>
      <c r="AC2887">
        <v>0.42160000000001202</v>
      </c>
      <c r="AD2887">
        <v>-0.25017980000000001</v>
      </c>
      <c r="AE2887">
        <v>-0.151299999999992</v>
      </c>
      <c r="AF2887">
        <v>0.119224566417861</v>
      </c>
      <c r="AG2887">
        <v>-0.25017980000000001</v>
      </c>
      <c r="AH2887">
        <v>0.31992611436969198</v>
      </c>
      <c r="AI2887">
        <v>126.232613276259</v>
      </c>
      <c r="AJ2887">
        <v>69.561446169236504</v>
      </c>
      <c r="AK2887">
        <v>0.42326959283801202</v>
      </c>
      <c r="AL2887">
        <v>87.584390696059103</v>
      </c>
      <c r="AM2887">
        <v>83.898849482515203</v>
      </c>
      <c r="AN2887">
        <v>1.0000000723915301</v>
      </c>
    </row>
    <row r="2888" spans="1:40" x14ac:dyDescent="0.25">
      <c r="A2888" t="str">
        <f>"20190312154610755"</f>
        <v>20190312154610755</v>
      </c>
      <c r="B2888" t="str">
        <f>"1552376770749731"</f>
        <v>1552376770749731</v>
      </c>
      <c r="C2888" t="s">
        <v>40</v>
      </c>
      <c r="D2888">
        <v>4.5942290000000003</v>
      </c>
      <c r="E2888">
        <v>0.52963839999999995</v>
      </c>
      <c r="F2888" t="s">
        <v>41</v>
      </c>
      <c r="G2888">
        <v>-311.63249999999999</v>
      </c>
      <c r="H2888">
        <v>0.87604439999999995</v>
      </c>
      <c r="I2888">
        <v>215.6386</v>
      </c>
      <c r="J2888">
        <v>-312.03390000000002</v>
      </c>
      <c r="K2888">
        <v>1.1090599999999999</v>
      </c>
      <c r="L2888">
        <v>215.77979999999999</v>
      </c>
      <c r="M2888">
        <v>0.99982300000000002</v>
      </c>
      <c r="N2888">
        <v>0</v>
      </c>
      <c r="O2888">
        <v>1.168487E-2</v>
      </c>
      <c r="P2888">
        <v>0.99510100000000001</v>
      </c>
      <c r="Q2888">
        <v>2.8356869999999999E-2</v>
      </c>
      <c r="R2888">
        <v>-9.4710489999999994E-2</v>
      </c>
      <c r="S2888">
        <v>2.9920040000000001</v>
      </c>
      <c r="T2888">
        <v>-0.82227549999999905</v>
      </c>
      <c r="U2888">
        <v>-0.47998049999999998</v>
      </c>
      <c r="V2888">
        <v>0.1064011</v>
      </c>
      <c r="W2888">
        <v>4.2846740000000001E-2</v>
      </c>
      <c r="X2888">
        <v>0.9933997</v>
      </c>
      <c r="Y2888">
        <v>0.16358239999999999</v>
      </c>
      <c r="Z2888">
        <v>-2.507113E-2</v>
      </c>
      <c r="AA2888">
        <v>0.98621110000000001</v>
      </c>
      <c r="AB2888">
        <v>47</v>
      </c>
      <c r="AC2888">
        <v>0.40140000000002302</v>
      </c>
      <c r="AD2888">
        <v>-0.23301559999999999</v>
      </c>
      <c r="AE2888">
        <v>-0.14119999999999699</v>
      </c>
      <c r="AF2888">
        <v>0.112226563406358</v>
      </c>
      <c r="AG2888">
        <v>-0.23301559999999999</v>
      </c>
      <c r="AH2888">
        <v>0.30750700578773899</v>
      </c>
      <c r="AI2888">
        <v>125.44451163827</v>
      </c>
      <c r="AJ2888">
        <v>69.950136504216601</v>
      </c>
      <c r="AK2888">
        <v>0.40181044036448499</v>
      </c>
      <c r="AL2888">
        <v>87.544310865669999</v>
      </c>
      <c r="AM2888">
        <v>83.886468379565102</v>
      </c>
      <c r="AN2888">
        <v>1.0000000005849601</v>
      </c>
    </row>
    <row r="2889" spans="1:40" x14ac:dyDescent="0.25">
      <c r="A2889" t="str">
        <f>"20190312154610778"</f>
        <v>20190312154610778</v>
      </c>
      <c r="B2889" t="str">
        <f>"1552376770770227"</f>
        <v>1552376770770227</v>
      </c>
      <c r="C2889" t="s">
        <v>40</v>
      </c>
      <c r="D2889">
        <v>4.5925060000000002</v>
      </c>
      <c r="E2889">
        <v>0.52951369999999998</v>
      </c>
      <c r="F2889" t="s">
        <v>41</v>
      </c>
      <c r="G2889">
        <v>-311.21039999999999</v>
      </c>
      <c r="H2889">
        <v>0.88332009999999905</v>
      </c>
      <c r="I2889">
        <v>215.6474</v>
      </c>
      <c r="J2889">
        <v>-311.56139999999999</v>
      </c>
      <c r="K2889">
        <v>1.1090629999999999</v>
      </c>
      <c r="L2889">
        <v>215.78489999999999</v>
      </c>
      <c r="M2889">
        <v>0.99982879999999996</v>
      </c>
      <c r="N2889">
        <v>0</v>
      </c>
      <c r="O2889">
        <v>1.1179430000000001E-2</v>
      </c>
      <c r="P2889">
        <v>0.99500759999999999</v>
      </c>
      <c r="Q2889">
        <v>2.9270689999999999E-2</v>
      </c>
      <c r="R2889">
        <v>-9.5412559999999993E-2</v>
      </c>
      <c r="S2889">
        <v>2.9923709999999999</v>
      </c>
      <c r="T2889">
        <v>-0.82028909999999999</v>
      </c>
      <c r="U2889">
        <v>-0.48092649999999998</v>
      </c>
      <c r="V2889">
        <v>0.1066009</v>
      </c>
      <c r="W2889">
        <v>4.3756639999999999E-2</v>
      </c>
      <c r="X2889">
        <v>0.99333859999999996</v>
      </c>
      <c r="Y2889">
        <v>0.1634253</v>
      </c>
      <c r="Z2889">
        <v>-2.4852860000000001E-2</v>
      </c>
      <c r="AA2889">
        <v>0.98624270000000003</v>
      </c>
      <c r="AB2889">
        <v>47</v>
      </c>
      <c r="AC2889">
        <v>0.35099999999999898</v>
      </c>
      <c r="AD2889">
        <v>-0.2257429</v>
      </c>
      <c r="AE2889">
        <v>-0.13749999999998799</v>
      </c>
      <c r="AF2889">
        <v>0.104089259308783</v>
      </c>
      <c r="AG2889">
        <v>-0.2257429</v>
      </c>
      <c r="AH2889">
        <v>0.25720621612644601</v>
      </c>
      <c r="AI2889">
        <v>129.13096855076799</v>
      </c>
      <c r="AJ2889">
        <v>67.967221983384903</v>
      </c>
      <c r="AK2889">
        <v>0.357700249395978</v>
      </c>
      <c r="AL2889">
        <v>87.492128449711004</v>
      </c>
      <c r="AM2889">
        <v>83.8747016893753</v>
      </c>
      <c r="AN2889">
        <v>0.99999998483742902</v>
      </c>
    </row>
    <row r="2890" spans="1:40" x14ac:dyDescent="0.25">
      <c r="A2890" t="str">
        <f>"20190312154610801"</f>
        <v>20190312154610801</v>
      </c>
      <c r="B2890" t="str">
        <f>"1552376770789746"</f>
        <v>1552376770789746</v>
      </c>
      <c r="C2890" t="s">
        <v>40</v>
      </c>
      <c r="D2890">
        <v>4.6010809999999998</v>
      </c>
      <c r="E2890">
        <v>0.52946280000000001</v>
      </c>
      <c r="F2890" t="s">
        <v>41</v>
      </c>
      <c r="G2890">
        <v>-310.786</v>
      </c>
      <c r="H2890">
        <v>0.89727449999999997</v>
      </c>
      <c r="I2890">
        <v>215.66</v>
      </c>
      <c r="J2890">
        <v>-311.0849</v>
      </c>
      <c r="K2890">
        <v>1.1090679999999999</v>
      </c>
      <c r="L2890">
        <v>215.78980000000001</v>
      </c>
      <c r="M2890">
        <v>0.99983440000000001</v>
      </c>
      <c r="N2890">
        <v>0</v>
      </c>
      <c r="O2890">
        <v>1.066916E-2</v>
      </c>
      <c r="P2890">
        <v>0.99495129999999998</v>
      </c>
      <c r="Q2890">
        <v>3.0585580000000001E-2</v>
      </c>
      <c r="R2890">
        <v>-9.5585320000000001E-2</v>
      </c>
      <c r="S2890">
        <v>2.9928889999999999</v>
      </c>
      <c r="T2890">
        <v>-0.81731489999999996</v>
      </c>
      <c r="U2890">
        <v>-0.48162840000000001</v>
      </c>
      <c r="V2890">
        <v>0.1062678</v>
      </c>
      <c r="W2890">
        <v>4.5069039999999998E-2</v>
      </c>
      <c r="X2890">
        <v>0.99331559999999997</v>
      </c>
      <c r="Y2890">
        <v>0.1631946</v>
      </c>
      <c r="Z2890">
        <v>-2.459455E-2</v>
      </c>
      <c r="AA2890">
        <v>0.98628729999999998</v>
      </c>
      <c r="AB2890">
        <v>47</v>
      </c>
      <c r="AC2890">
        <v>0.298900000000003</v>
      </c>
      <c r="AD2890">
        <v>-0.211793499999999</v>
      </c>
      <c r="AE2890">
        <v>-0.12980000000001701</v>
      </c>
      <c r="AF2890">
        <v>9.3489931425557296E-2</v>
      </c>
      <c r="AG2890">
        <v>-0.211793499999999</v>
      </c>
      <c r="AH2890">
        <v>0.209149147015006</v>
      </c>
      <c r="AI2890">
        <v>132.752946038776</v>
      </c>
      <c r="AJ2890">
        <v>65.915296710227594</v>
      </c>
      <c r="AK2890">
        <v>0.31199394163558603</v>
      </c>
      <c r="AL2890">
        <v>87.416859159096404</v>
      </c>
      <c r="AM2890">
        <v>83.893556500658704</v>
      </c>
      <c r="AN2890">
        <v>0.99999997244336003</v>
      </c>
    </row>
    <row r="2891" spans="1:40" x14ac:dyDescent="0.25">
      <c r="A2891" t="str">
        <f>"20190312154610824"</f>
        <v>20190312154610824</v>
      </c>
      <c r="B2891" t="str">
        <f>"1552376770820003"</f>
        <v>1552376770820003</v>
      </c>
      <c r="C2891" t="s">
        <v>40</v>
      </c>
      <c r="D2891">
        <v>4.6876930000000003</v>
      </c>
      <c r="E2891">
        <v>0.51439639999999998</v>
      </c>
      <c r="F2891" t="s">
        <v>41</v>
      </c>
      <c r="G2891">
        <v>-310.36130000000003</v>
      </c>
      <c r="H2891">
        <v>0.91258240000000002</v>
      </c>
      <c r="I2891">
        <v>215.673</v>
      </c>
      <c r="J2891">
        <v>-310.59960000000001</v>
      </c>
      <c r="K2891">
        <v>1.1090719999999901</v>
      </c>
      <c r="L2891">
        <v>215.7946</v>
      </c>
      <c r="M2891">
        <v>0.99983979999999995</v>
      </c>
      <c r="N2891">
        <v>0</v>
      </c>
      <c r="O2891">
        <v>1.014966E-2</v>
      </c>
      <c r="P2891">
        <v>0.99481109999999995</v>
      </c>
      <c r="Q2891">
        <v>3.1907079999999997E-2</v>
      </c>
      <c r="R2891">
        <v>-9.6608009999999994E-2</v>
      </c>
      <c r="S2891">
        <v>2.9938959999999999</v>
      </c>
      <c r="T2891">
        <v>-0.81299219999999905</v>
      </c>
      <c r="U2891">
        <v>-0.48194890000000001</v>
      </c>
      <c r="V2891">
        <v>0.1067746</v>
      </c>
      <c r="W2891">
        <v>4.6385160000000002E-2</v>
      </c>
      <c r="X2891">
        <v>0.99320070000000005</v>
      </c>
      <c r="Y2891">
        <v>0.16283320000000001</v>
      </c>
      <c r="Z2891">
        <v>-2.42752E-2</v>
      </c>
      <c r="AA2891">
        <v>0.98635490000000003</v>
      </c>
      <c r="AB2891">
        <v>47</v>
      </c>
      <c r="AC2891">
        <v>0.238299999999981</v>
      </c>
      <c r="AD2891">
        <v>-0.19648959999999899</v>
      </c>
      <c r="AE2891">
        <v>-0.1216</v>
      </c>
      <c r="AF2891">
        <v>8.05580334988895E-2</v>
      </c>
      <c r="AG2891">
        <v>-0.19648959999999899</v>
      </c>
      <c r="AH2891">
        <v>0.15398875094755801</v>
      </c>
      <c r="AI2891">
        <v>138.50845862798599</v>
      </c>
      <c r="AJ2891">
        <v>62.384029935328599</v>
      </c>
      <c r="AK2891">
        <v>0.262317165065035</v>
      </c>
      <c r="AL2891">
        <v>87.341372179927404</v>
      </c>
      <c r="AM2891">
        <v>83.863951589161303</v>
      </c>
      <c r="AN2891">
        <v>1.0000000143769301</v>
      </c>
    </row>
    <row r="2892" spans="1:40" x14ac:dyDescent="0.25">
      <c r="A2892" t="str">
        <f>"20190312154610848"</f>
        <v>20190312154610848</v>
      </c>
      <c r="B2892" t="str">
        <f>"1552376770840499"</f>
        <v>1552376770840499</v>
      </c>
      <c r="C2892" t="s">
        <v>40</v>
      </c>
      <c r="D2892">
        <v>4.7005819999999998</v>
      </c>
      <c r="E2892">
        <v>0.5118279</v>
      </c>
      <c r="F2892" t="s">
        <v>41</v>
      </c>
      <c r="G2892">
        <v>-309.47800000000001</v>
      </c>
      <c r="H2892">
        <v>1.008748</v>
      </c>
      <c r="I2892">
        <v>215.64840000000001</v>
      </c>
      <c r="J2892">
        <v>-310.11059999999998</v>
      </c>
      <c r="K2892">
        <v>1.1090869999999999</v>
      </c>
      <c r="L2892">
        <v>215.79920000000001</v>
      </c>
      <c r="M2892">
        <v>0.99984510000000004</v>
      </c>
      <c r="N2892">
        <v>0</v>
      </c>
      <c r="O2892">
        <v>9.6263410000000001E-3</v>
      </c>
      <c r="P2892">
        <v>0.99468109999999998</v>
      </c>
      <c r="Q2892">
        <v>3.301842E-2</v>
      </c>
      <c r="R2892">
        <v>-9.7569470000000005E-2</v>
      </c>
      <c r="S2892">
        <v>2.9865110000000001</v>
      </c>
      <c r="T2892">
        <v>-0.26725919999999997</v>
      </c>
      <c r="U2892">
        <v>-0.38845829999999998</v>
      </c>
      <c r="V2892">
        <v>0.1072162</v>
      </c>
      <c r="W2892">
        <v>4.7492109999999997E-2</v>
      </c>
      <c r="X2892">
        <v>0.99310080000000001</v>
      </c>
      <c r="Y2892">
        <v>0.13794529999999999</v>
      </c>
      <c r="Z2892">
        <v>-6.9906489999999998E-3</v>
      </c>
      <c r="AA2892">
        <v>0.99041520000000005</v>
      </c>
      <c r="AB2892">
        <v>47</v>
      </c>
      <c r="AC2892">
        <v>0.63259999999996797</v>
      </c>
      <c r="AD2892">
        <v>-0.100339</v>
      </c>
      <c r="AE2892">
        <v>-0.15080000000000299</v>
      </c>
      <c r="AF2892">
        <v>0.153235445046324</v>
      </c>
      <c r="AG2892">
        <v>-0.100339</v>
      </c>
      <c r="AH2892">
        <v>0.61644409543650602</v>
      </c>
      <c r="AI2892">
        <v>98.976463124599604</v>
      </c>
      <c r="AJ2892">
        <v>76.040376179510304</v>
      </c>
      <c r="AK2892">
        <v>0.64308035216299198</v>
      </c>
      <c r="AL2892">
        <v>87.277878608816195</v>
      </c>
      <c r="AM2892">
        <v>83.838153799072501</v>
      </c>
      <c r="AN2892">
        <v>1.00000000650766</v>
      </c>
    </row>
    <row r="2893" spans="1:40" x14ac:dyDescent="0.25">
      <c r="A2893" t="str">
        <f>"20190312154610869"</f>
        <v>20190312154610869</v>
      </c>
      <c r="B2893" t="str">
        <f>"1552376770860019"</f>
        <v>1552376770860019</v>
      </c>
      <c r="C2893" t="s">
        <v>40</v>
      </c>
      <c r="D2893">
        <v>4.6972610000000001</v>
      </c>
      <c r="E2893">
        <v>0.51164120000000002</v>
      </c>
      <c r="F2893" t="s">
        <v>41</v>
      </c>
      <c r="G2893">
        <v>-309.04969999999997</v>
      </c>
      <c r="H2893">
        <v>1.029817</v>
      </c>
      <c r="I2893">
        <v>215.66659999999999</v>
      </c>
      <c r="J2893">
        <v>-309.65870000000001</v>
      </c>
      <c r="K2893">
        <v>1.1090979999999999</v>
      </c>
      <c r="L2893">
        <v>215.8032</v>
      </c>
      <c r="M2893">
        <v>0.99984969999999995</v>
      </c>
      <c r="N2893">
        <v>0</v>
      </c>
      <c r="O2893">
        <v>9.1433799999999996E-3</v>
      </c>
      <c r="P2893">
        <v>0.99452810000000003</v>
      </c>
      <c r="Q2893">
        <v>3.5137269999999998E-2</v>
      </c>
      <c r="R2893">
        <v>-9.8386119999999994E-2</v>
      </c>
      <c r="S2893">
        <v>2.9868769999999998</v>
      </c>
      <c r="T2893">
        <v>-0.22322910000000001</v>
      </c>
      <c r="U2893">
        <v>-0.37286380000000002</v>
      </c>
      <c r="V2893">
        <v>0.1075545</v>
      </c>
      <c r="W2893">
        <v>4.9605320000000001E-2</v>
      </c>
      <c r="X2893">
        <v>0.99296090000000004</v>
      </c>
      <c r="Y2893">
        <v>0.13255210000000001</v>
      </c>
      <c r="Z2893">
        <v>-5.6072350000000003E-3</v>
      </c>
      <c r="AA2893">
        <v>0.99116020000000005</v>
      </c>
      <c r="AB2893">
        <v>47</v>
      </c>
      <c r="AC2893">
        <v>0.60900000000003696</v>
      </c>
      <c r="AD2893">
        <v>-7.9280999999999893E-2</v>
      </c>
      <c r="AE2893">
        <v>-0.13660000000001499</v>
      </c>
      <c r="AF2893">
        <v>0.139905745864009</v>
      </c>
      <c r="AG2893">
        <v>-7.9280999999999893E-2</v>
      </c>
      <c r="AH2893">
        <v>0.59807510573702405</v>
      </c>
      <c r="AI2893">
        <v>97.354826991212093</v>
      </c>
      <c r="AJ2893">
        <v>76.833739011687399</v>
      </c>
      <c r="AK2893">
        <v>0.61931649969068103</v>
      </c>
      <c r="AL2893">
        <v>87.156657622473901</v>
      </c>
      <c r="AM2893">
        <v>83.817997423524901</v>
      </c>
      <c r="AN2893">
        <v>1.00000000358568</v>
      </c>
    </row>
    <row r="2894" spans="1:40" x14ac:dyDescent="0.25">
      <c r="A2894" t="str">
        <f>"20190312154610890"</f>
        <v>20190312154610890</v>
      </c>
      <c r="B2894" t="str">
        <f>"1552376770880516"</f>
        <v>1552376770880516</v>
      </c>
      <c r="C2894" t="s">
        <v>40</v>
      </c>
      <c r="D2894">
        <v>4.7302400000000002</v>
      </c>
      <c r="E2894">
        <v>0.51137929999999998</v>
      </c>
      <c r="F2894" t="s">
        <v>57</v>
      </c>
      <c r="G2894">
        <v>-293.17430000000002</v>
      </c>
      <c r="H2894" s="1">
        <v>1.457475E-6</v>
      </c>
      <c r="I2894">
        <v>213.7354</v>
      </c>
      <c r="J2894">
        <v>-309.21789999999999</v>
      </c>
      <c r="K2894">
        <v>1.10911</v>
      </c>
      <c r="L2894">
        <v>215.80680000000001</v>
      </c>
      <c r="M2894">
        <v>0.99985389999999996</v>
      </c>
      <c r="N2894">
        <v>0</v>
      </c>
      <c r="O2894">
        <v>8.6749240000000005E-3</v>
      </c>
      <c r="P2894">
        <v>0.99443389999999998</v>
      </c>
      <c r="Q2894">
        <v>3.6610810000000001E-2</v>
      </c>
      <c r="R2894">
        <v>-9.8798150000000001E-2</v>
      </c>
      <c r="S2894">
        <v>2.986542</v>
      </c>
      <c r="T2894">
        <v>-0.2009397</v>
      </c>
      <c r="U2894">
        <v>-0.37463380000000002</v>
      </c>
      <c r="V2894">
        <v>0.107502399999999</v>
      </c>
      <c r="W2894">
        <v>5.107594E-2</v>
      </c>
      <c r="X2894">
        <v>0.992892</v>
      </c>
      <c r="Y2894">
        <v>0.13275410000000001</v>
      </c>
      <c r="Z2894">
        <v>-5.0244399999999998E-3</v>
      </c>
      <c r="AA2894">
        <v>0.99113629999999997</v>
      </c>
      <c r="AB2894">
        <v>47</v>
      </c>
      <c r="AC2894">
        <v>16.043599999999898</v>
      </c>
      <c r="AD2894">
        <v>-1.109108542525</v>
      </c>
      <c r="AE2894">
        <v>-2.0714000000000099</v>
      </c>
      <c r="AF2894">
        <v>2.20017175216943</v>
      </c>
      <c r="AG2894">
        <v>-1.109108542525</v>
      </c>
      <c r="AH2894">
        <v>15.950048243018999</v>
      </c>
      <c r="AI2894">
        <v>93.940543775882105</v>
      </c>
      <c r="AJ2894">
        <v>82.146104706170902</v>
      </c>
      <c r="AK2894">
        <v>16.139235311896801</v>
      </c>
      <c r="AL2894">
        <v>87.072290377138401</v>
      </c>
      <c r="AM2894">
        <v>83.820543383727099</v>
      </c>
      <c r="AN2894">
        <v>1.0000000206583199</v>
      </c>
    </row>
    <row r="2895" spans="1:40" x14ac:dyDescent="0.25">
      <c r="A2895" t="str">
        <f>"20190312154610912"</f>
        <v>20190312154610912</v>
      </c>
      <c r="B2895" t="str">
        <f>"1552376770900036"</f>
        <v>1552376770900036</v>
      </c>
      <c r="C2895" t="s">
        <v>40</v>
      </c>
      <c r="D2895">
        <v>4.7276059999999998</v>
      </c>
      <c r="E2895">
        <v>0.51141759999999903</v>
      </c>
      <c r="F2895" t="s">
        <v>57</v>
      </c>
      <c r="G2895">
        <v>-291.88529999999997</v>
      </c>
      <c r="H2895" s="1">
        <v>1.2288270000000001E-6</v>
      </c>
      <c r="I2895">
        <v>213.63390000000001</v>
      </c>
      <c r="J2895">
        <v>-308.76440000000002</v>
      </c>
      <c r="K2895">
        <v>1.1091150000000001</v>
      </c>
      <c r="L2895">
        <v>215.81039999999999</v>
      </c>
      <c r="M2895">
        <v>0.99985800000000002</v>
      </c>
      <c r="N2895">
        <v>0</v>
      </c>
      <c r="O2895">
        <v>8.1979210000000004E-3</v>
      </c>
      <c r="P2895">
        <v>0.99438510000000002</v>
      </c>
      <c r="Q2895">
        <v>3.695992E-2</v>
      </c>
      <c r="R2895">
        <v>-9.9159750000000005E-2</v>
      </c>
      <c r="S2895">
        <v>2.9866329999999999</v>
      </c>
      <c r="T2895">
        <v>-0.19111410000000001</v>
      </c>
      <c r="U2895">
        <v>-0.37442019999999998</v>
      </c>
      <c r="V2895">
        <v>0.1073896</v>
      </c>
      <c r="W2895">
        <v>5.1423099999999999E-2</v>
      </c>
      <c r="X2895">
        <v>0.99288620000000005</v>
      </c>
      <c r="Y2895">
        <v>0.13223969999999999</v>
      </c>
      <c r="Z2895">
        <v>-4.7323759999999999E-3</v>
      </c>
      <c r="AA2895">
        <v>0.99120649999999999</v>
      </c>
      <c r="AB2895">
        <v>47</v>
      </c>
      <c r="AC2895">
        <v>16.879100000000001</v>
      </c>
      <c r="AD2895">
        <v>-1.1091137711729999</v>
      </c>
      <c r="AE2895">
        <v>-2.1764999999999701</v>
      </c>
      <c r="AF2895">
        <v>2.3050257131974501</v>
      </c>
      <c r="AG2895">
        <v>-1.1091137711729999</v>
      </c>
      <c r="AH2895">
        <v>16.789381882515599</v>
      </c>
      <c r="AI2895">
        <v>93.744469112153098</v>
      </c>
      <c r="AJ2895">
        <v>82.182694243172904</v>
      </c>
      <c r="AK2895">
        <v>16.983127535670601</v>
      </c>
      <c r="AL2895">
        <v>87.052373145012794</v>
      </c>
      <c r="AM2895">
        <v>83.826941489400795</v>
      </c>
      <c r="AN2895">
        <v>0.99999993377610197</v>
      </c>
    </row>
    <row r="2896" spans="1:40" x14ac:dyDescent="0.25">
      <c r="A2896" t="str">
        <f>"20190312154610934"</f>
        <v>20190312154610934</v>
      </c>
      <c r="B2896" t="str">
        <f>"1552376770930291"</f>
        <v>1552376770930291</v>
      </c>
      <c r="C2896" t="s">
        <v>40</v>
      </c>
      <c r="D2896">
        <v>4.7802129999999998</v>
      </c>
      <c r="E2896">
        <v>0.51155799999999996</v>
      </c>
      <c r="F2896" t="s">
        <v>57</v>
      </c>
      <c r="G2896">
        <v>-291.14499999999998</v>
      </c>
      <c r="H2896" s="1">
        <v>1.097511E-6</v>
      </c>
      <c r="I2896">
        <v>213.59</v>
      </c>
      <c r="J2896">
        <v>-308.30619999999999</v>
      </c>
      <c r="K2896">
        <v>1.1091139999999999</v>
      </c>
      <c r="L2896">
        <v>215.81379999999999</v>
      </c>
      <c r="M2896">
        <v>0.99986180000000002</v>
      </c>
      <c r="N2896">
        <v>0</v>
      </c>
      <c r="O2896">
        <v>7.723588E-3</v>
      </c>
      <c r="P2896">
        <v>0.99443130000000002</v>
      </c>
      <c r="Q2896">
        <v>3.6583209999999998E-2</v>
      </c>
      <c r="R2896">
        <v>-9.8834690000000003E-2</v>
      </c>
      <c r="S2896">
        <v>2.9864199999999999</v>
      </c>
      <c r="T2896">
        <v>-0.18799009999999999</v>
      </c>
      <c r="U2896">
        <v>-0.37635800000000003</v>
      </c>
      <c r="V2896">
        <v>0.1065922</v>
      </c>
      <c r="W2896">
        <v>5.1048320000000001E-2</v>
      </c>
      <c r="X2896">
        <v>0.99299150000000003</v>
      </c>
      <c r="Y2896">
        <v>0.13242119999999999</v>
      </c>
      <c r="Z2896">
        <v>-4.6312760000000001E-3</v>
      </c>
      <c r="AA2896">
        <v>0.99118269999999997</v>
      </c>
      <c r="AB2896">
        <v>47</v>
      </c>
      <c r="AC2896">
        <v>17.161200000000001</v>
      </c>
      <c r="AD2896">
        <v>-1.1091129024890001</v>
      </c>
      <c r="AE2896">
        <v>-2.2237999999999798</v>
      </c>
      <c r="AF2896">
        <v>2.34665414277509</v>
      </c>
      <c r="AG2896">
        <v>-1.1091129024890001</v>
      </c>
      <c r="AH2896">
        <v>17.073374026965102</v>
      </c>
      <c r="AI2896">
        <v>93.682278418868805</v>
      </c>
      <c r="AJ2896">
        <v>82.174002310855997</v>
      </c>
      <c r="AK2896">
        <v>17.269540172248899</v>
      </c>
      <c r="AL2896">
        <v>87.073874815755204</v>
      </c>
      <c r="AM2896">
        <v>83.873073149979902</v>
      </c>
      <c r="AN2896">
        <v>0.99999997357395498</v>
      </c>
    </row>
    <row r="2897" spans="1:40" x14ac:dyDescent="0.25">
      <c r="A2897" t="str">
        <f>"20190312154610957"</f>
        <v>20190312154610957</v>
      </c>
      <c r="B2897" t="str">
        <f>"1552376770949812"</f>
        <v>1552376770949812</v>
      </c>
      <c r="C2897" t="s">
        <v>40</v>
      </c>
      <c r="D2897">
        <v>4.7549539999999997</v>
      </c>
      <c r="E2897">
        <v>0.5116984</v>
      </c>
      <c r="F2897" t="s">
        <v>57</v>
      </c>
      <c r="G2897">
        <v>-290.91199999999998</v>
      </c>
      <c r="H2897" s="1">
        <v>1.056194E-6</v>
      </c>
      <c r="I2897">
        <v>213.62090000000001</v>
      </c>
      <c r="J2897">
        <v>-307.82960000000003</v>
      </c>
      <c r="K2897">
        <v>1.109118</v>
      </c>
      <c r="L2897">
        <v>215.81710000000001</v>
      </c>
      <c r="M2897">
        <v>0.99986540000000002</v>
      </c>
      <c r="N2897">
        <v>0</v>
      </c>
      <c r="O2897">
        <v>7.2409650000000002E-3</v>
      </c>
      <c r="P2897">
        <v>0.99456529999999999</v>
      </c>
      <c r="Q2897">
        <v>3.5584379999999999E-2</v>
      </c>
      <c r="R2897">
        <v>-9.7844920000000002E-2</v>
      </c>
      <c r="S2897">
        <v>2.9863590000000002</v>
      </c>
      <c r="T2897">
        <v>-0.19042110000000001</v>
      </c>
      <c r="U2897">
        <v>-0.37649539999999998</v>
      </c>
      <c r="V2897">
        <v>0.1051212</v>
      </c>
      <c r="W2897">
        <v>5.0053470000000003E-2</v>
      </c>
      <c r="X2897">
        <v>0.99319900000000005</v>
      </c>
      <c r="Y2897">
        <v>0.13198480000000001</v>
      </c>
      <c r="Z2897">
        <v>-4.6466540000000001E-3</v>
      </c>
      <c r="AA2897">
        <v>0.99124089999999998</v>
      </c>
      <c r="AB2897">
        <v>47</v>
      </c>
      <c r="AC2897">
        <v>16.917599999999901</v>
      </c>
      <c r="AD2897">
        <v>-1.109116943806</v>
      </c>
      <c r="AE2897">
        <v>-2.1962000000000002</v>
      </c>
      <c r="AF2897">
        <v>2.3088960293103402</v>
      </c>
      <c r="AG2897">
        <v>-1.109116943806</v>
      </c>
      <c r="AH2897">
        <v>16.830113309957</v>
      </c>
      <c r="AI2897">
        <v>93.735494601512997</v>
      </c>
      <c r="AJ2897">
        <v>82.188447274827993</v>
      </c>
      <c r="AK2897">
        <v>17.023920091894102</v>
      </c>
      <c r="AL2897">
        <v>87.130948671971794</v>
      </c>
      <c r="AM2897">
        <v>83.958249522711398</v>
      </c>
      <c r="AN2897">
        <v>1.00000003507473</v>
      </c>
    </row>
    <row r="2898" spans="1:40" x14ac:dyDescent="0.25">
      <c r="A2898" t="str">
        <f>"20190312154610979"</f>
        <v>20190312154610979</v>
      </c>
      <c r="B2898" t="str">
        <f>"1552376770970307"</f>
        <v>1552376770970307</v>
      </c>
      <c r="C2898" t="s">
        <v>40</v>
      </c>
      <c r="D2898">
        <v>4.7456110000000002</v>
      </c>
      <c r="E2898">
        <v>0.51186480000000001</v>
      </c>
      <c r="F2898" t="s">
        <v>57</v>
      </c>
      <c r="G2898">
        <v>-290.7672</v>
      </c>
      <c r="H2898" s="1">
        <v>1.030496E-6</v>
      </c>
      <c r="I2898">
        <v>213.6772</v>
      </c>
      <c r="J2898">
        <v>-307.37720000000002</v>
      </c>
      <c r="K2898">
        <v>1.1091249999999999</v>
      </c>
      <c r="L2898">
        <v>215.8201</v>
      </c>
      <c r="M2898">
        <v>0.9998686</v>
      </c>
      <c r="N2898">
        <v>0</v>
      </c>
      <c r="O2898">
        <v>6.7961100000000002E-3</v>
      </c>
      <c r="P2898">
        <v>0.99470590000000003</v>
      </c>
      <c r="Q2898">
        <v>3.4166500000000002E-2</v>
      </c>
      <c r="R2898">
        <v>-9.691719E-2</v>
      </c>
      <c r="S2898">
        <v>2.9864809999999999</v>
      </c>
      <c r="T2898">
        <v>-0.19413159999999999</v>
      </c>
      <c r="U2898">
        <v>-0.37455749999999999</v>
      </c>
      <c r="V2898">
        <v>0.1037486</v>
      </c>
      <c r="W2898">
        <v>4.8640900000000001E-2</v>
      </c>
      <c r="X2898">
        <v>0.9934134</v>
      </c>
      <c r="Y2898">
        <v>0.13089780000000001</v>
      </c>
      <c r="Z2898">
        <v>-4.6730699999999997E-3</v>
      </c>
      <c r="AA2898">
        <v>0.99138490000000001</v>
      </c>
      <c r="AB2898">
        <v>47</v>
      </c>
      <c r="AC2898">
        <v>16.61</v>
      </c>
      <c r="AD2898">
        <v>-1.1091239695039901</v>
      </c>
      <c r="AE2898">
        <v>-2.1428999999999898</v>
      </c>
      <c r="AF2898">
        <v>2.2458959951233002</v>
      </c>
      <c r="AG2898">
        <v>-1.1091239695039901</v>
      </c>
      <c r="AH2898">
        <v>16.5225860949236</v>
      </c>
      <c r="AI2898">
        <v>93.805483915431594</v>
      </c>
      <c r="AJ2898">
        <v>82.259292503605295</v>
      </c>
      <c r="AK2898">
        <v>16.711375050091</v>
      </c>
      <c r="AL2898">
        <v>87.211981450993207</v>
      </c>
      <c r="AM2898">
        <v>84.037844073160798</v>
      </c>
      <c r="AN2898">
        <v>0.99999994622716304</v>
      </c>
    </row>
    <row r="2899" spans="1:40" x14ac:dyDescent="0.25">
      <c r="A2899" t="str">
        <f>"20190312154611004"</f>
        <v>20190312154611004</v>
      </c>
      <c r="B2899" t="str">
        <f>"1552376770999587"</f>
        <v>1552376770999587</v>
      </c>
      <c r="C2899" t="s">
        <v>40</v>
      </c>
      <c r="D2899">
        <v>4.7858369999999999</v>
      </c>
      <c r="E2899">
        <v>0.51197429999999999</v>
      </c>
      <c r="F2899" t="s">
        <v>57</v>
      </c>
      <c r="G2899">
        <v>-290.726</v>
      </c>
      <c r="H2899" s="1">
        <v>1.0231960000000001E-6</v>
      </c>
      <c r="I2899">
        <v>213.74</v>
      </c>
      <c r="J2899">
        <v>-306.84690000000001</v>
      </c>
      <c r="K2899">
        <v>1.1091340000000001</v>
      </c>
      <c r="L2899">
        <v>215.82329999999999</v>
      </c>
      <c r="M2899">
        <v>0.99987199999999998</v>
      </c>
      <c r="N2899">
        <v>0</v>
      </c>
      <c r="O2899">
        <v>6.2943859999999999E-3</v>
      </c>
      <c r="P2899">
        <v>0.99480829999999998</v>
      </c>
      <c r="Q2899">
        <v>3.2207039999999999E-2</v>
      </c>
      <c r="R2899">
        <v>-9.6537220000000007E-2</v>
      </c>
      <c r="S2899">
        <v>2.9864809999999999</v>
      </c>
      <c r="T2899">
        <v>-0.19892779999999999</v>
      </c>
      <c r="U2899">
        <v>-0.3730774</v>
      </c>
      <c r="V2899">
        <v>0.1028656</v>
      </c>
      <c r="W2899">
        <v>4.668572E-2</v>
      </c>
      <c r="X2899">
        <v>0.99359909999999996</v>
      </c>
      <c r="Y2899">
        <v>0.12990539999999901</v>
      </c>
      <c r="Z2899">
        <v>-4.722268E-3</v>
      </c>
      <c r="AA2899">
        <v>0.99151520000000004</v>
      </c>
      <c r="AB2899">
        <v>47</v>
      </c>
      <c r="AC2899">
        <v>16.120899999999999</v>
      </c>
      <c r="AD2899">
        <v>-1.1091329768039999</v>
      </c>
      <c r="AE2899">
        <v>-2.0832999999999799</v>
      </c>
      <c r="AF2899">
        <v>2.17461625692974</v>
      </c>
      <c r="AG2899">
        <v>-1.1091329768039999</v>
      </c>
      <c r="AH2899">
        <v>16.032820222354601</v>
      </c>
      <c r="AI2899">
        <v>93.921560132176296</v>
      </c>
      <c r="AJ2899">
        <v>82.275807187481306</v>
      </c>
      <c r="AK2899">
        <v>16.217597112626802</v>
      </c>
      <c r="AL2899">
        <v>87.324132725380593</v>
      </c>
      <c r="AM2899">
        <v>84.089323892102598</v>
      </c>
      <c r="AN2899">
        <v>1.00000002981804</v>
      </c>
    </row>
    <row r="2900" spans="1:40" x14ac:dyDescent="0.25">
      <c r="A2900" t="str">
        <f>"20190312154611025"</f>
        <v>20190312154611025</v>
      </c>
      <c r="B2900" t="str">
        <f>"1552376771020083"</f>
        <v>1552376771020083</v>
      </c>
      <c r="C2900" t="s">
        <v>40</v>
      </c>
      <c r="D2900">
        <v>4.7220829999999996</v>
      </c>
      <c r="E2900">
        <v>0.5121329</v>
      </c>
      <c r="F2900" t="s">
        <v>41</v>
      </c>
      <c r="G2900">
        <v>-305.71690000000001</v>
      </c>
      <c r="H2900">
        <v>1.0315160000000001</v>
      </c>
      <c r="I2900">
        <v>215.68199999999999</v>
      </c>
      <c r="J2900">
        <v>-306.416</v>
      </c>
      <c r="K2900">
        <v>1.1091489999999999</v>
      </c>
      <c r="L2900">
        <v>215.82570000000001</v>
      </c>
      <c r="M2900">
        <v>0.99987429999999999</v>
      </c>
      <c r="N2900">
        <v>0</v>
      </c>
      <c r="O2900">
        <v>5.9075660000000004E-3</v>
      </c>
      <c r="P2900">
        <v>0.9947973</v>
      </c>
      <c r="Q2900">
        <v>3.1720999999999999E-2</v>
      </c>
      <c r="R2900">
        <v>-9.6809290000000006E-2</v>
      </c>
      <c r="S2900">
        <v>2.9861149999999999</v>
      </c>
      <c r="T2900">
        <v>-0.20516129999999999</v>
      </c>
      <c r="U2900">
        <v>-0.37298579999999998</v>
      </c>
      <c r="V2900">
        <v>0.10275040000000001</v>
      </c>
      <c r="W2900">
        <v>4.620225E-2</v>
      </c>
      <c r="X2900">
        <v>0.99363360000000001</v>
      </c>
      <c r="Y2900">
        <v>0.12948970000000001</v>
      </c>
      <c r="Z2900">
        <v>-4.8298480000000003E-3</v>
      </c>
      <c r="AA2900">
        <v>0.99156900000000003</v>
      </c>
      <c r="AB2900">
        <v>46</v>
      </c>
      <c r="AC2900">
        <v>0.69909999999998695</v>
      </c>
      <c r="AD2900">
        <v>-7.7632999999999994E-2</v>
      </c>
      <c r="AE2900">
        <v>-0.143699999999995</v>
      </c>
      <c r="AF2900">
        <v>0.14609933581419801</v>
      </c>
      <c r="AG2900">
        <v>-7.7632999999999994E-2</v>
      </c>
      <c r="AH2900">
        <v>0.69007413762130698</v>
      </c>
      <c r="AI2900">
        <v>96.280690237312598</v>
      </c>
      <c r="AJ2900">
        <v>78.046118462456405</v>
      </c>
      <c r="AK2900">
        <v>0.70962963158829595</v>
      </c>
      <c r="AL2900">
        <v>87.351863391997298</v>
      </c>
      <c r="AM2900">
        <v>84.096100068453296</v>
      </c>
      <c r="AN2900">
        <v>1.00000001182709</v>
      </c>
    </row>
    <row r="2901" spans="1:40" x14ac:dyDescent="0.25">
      <c r="A2901" t="str">
        <f>"20190312154611050"</f>
        <v>20190312154611050</v>
      </c>
      <c r="B2901" t="str">
        <f>"1552376771039603"</f>
        <v>1552376771039603</v>
      </c>
      <c r="C2901" t="s">
        <v>40</v>
      </c>
      <c r="D2901">
        <v>4.7168919999999996</v>
      </c>
      <c r="E2901">
        <v>0.51206969999999996</v>
      </c>
      <c r="F2901" t="s">
        <v>41</v>
      </c>
      <c r="G2901">
        <v>-305.3023</v>
      </c>
      <c r="H2901">
        <v>1.031644</v>
      </c>
      <c r="I2901">
        <v>215.6857</v>
      </c>
      <c r="J2901">
        <v>-305.90629999999999</v>
      </c>
      <c r="K2901">
        <v>1.1091839999999999</v>
      </c>
      <c r="L2901">
        <v>215.82830000000001</v>
      </c>
      <c r="M2901">
        <v>0.99987689999999996</v>
      </c>
      <c r="N2901">
        <v>0</v>
      </c>
      <c r="O2901">
        <v>5.471605E-3</v>
      </c>
      <c r="P2901">
        <v>0.99468210000000001</v>
      </c>
      <c r="Q2901">
        <v>3.2332300000000001E-2</v>
      </c>
      <c r="R2901">
        <v>-9.7786239999999996E-2</v>
      </c>
      <c r="S2901">
        <v>2.98584</v>
      </c>
      <c r="T2901">
        <v>-0.20786479999999999</v>
      </c>
      <c r="U2901">
        <v>-0.37495420000000002</v>
      </c>
      <c r="V2901">
        <v>0.1032918</v>
      </c>
      <c r="W2901">
        <v>4.681337E-2</v>
      </c>
      <c r="X2901">
        <v>0.99354889999999996</v>
      </c>
      <c r="Y2901">
        <v>0.1297044</v>
      </c>
      <c r="Z2901">
        <v>-4.8708179999999998E-3</v>
      </c>
      <c r="AA2901">
        <v>0.99154070000000005</v>
      </c>
      <c r="AB2901">
        <v>46</v>
      </c>
      <c r="AC2901">
        <v>0.60399999999998499</v>
      </c>
      <c r="AD2901">
        <v>-7.7539999999999901E-2</v>
      </c>
      <c r="AE2901">
        <v>-0.14260000000001499</v>
      </c>
      <c r="AF2901">
        <v>0.14366043966405301</v>
      </c>
      <c r="AG2901">
        <v>-7.7539999999999901E-2</v>
      </c>
      <c r="AH2901">
        <v>0.59393885301198601</v>
      </c>
      <c r="AI2901">
        <v>97.231783565980706</v>
      </c>
      <c r="AJ2901">
        <v>76.402596528407997</v>
      </c>
      <c r="AK2901">
        <v>0.61596601744062396</v>
      </c>
      <c r="AL2901">
        <v>87.316810973876997</v>
      </c>
      <c r="AM2901">
        <v>84.064711079782001</v>
      </c>
      <c r="AN2901">
        <v>1.0000000521246</v>
      </c>
    </row>
    <row r="2902" spans="1:40" x14ac:dyDescent="0.25">
      <c r="A2902" t="str">
        <f>"20190312154611090"</f>
        <v>20190312154611090</v>
      </c>
      <c r="B2902" t="str">
        <f>"1552376771079619"</f>
        <v>1552376771079619</v>
      </c>
      <c r="C2902" t="s">
        <v>40</v>
      </c>
      <c r="D2902">
        <v>4.7203569999999999</v>
      </c>
      <c r="E2902">
        <v>0.492504</v>
      </c>
      <c r="F2902" t="s">
        <v>41</v>
      </c>
      <c r="G2902">
        <v>-304.88350000000003</v>
      </c>
      <c r="H2902">
        <v>1.0387919999999999</v>
      </c>
      <c r="I2902">
        <v>215.69880000000001</v>
      </c>
      <c r="J2902">
        <v>-305.06360000000001</v>
      </c>
      <c r="K2902">
        <v>1.109243</v>
      </c>
      <c r="L2902">
        <v>215.8323</v>
      </c>
      <c r="M2902">
        <v>0.9998804</v>
      </c>
      <c r="N2902">
        <v>0</v>
      </c>
      <c r="O2902">
        <v>4.8022179999999996E-3</v>
      </c>
      <c r="P2902">
        <v>0.99440949999999995</v>
      </c>
      <c r="Q2902">
        <v>3.6572639999999997E-2</v>
      </c>
      <c r="R2902">
        <v>-9.9057519999999996E-2</v>
      </c>
      <c r="S2902">
        <v>2.9855649999999998</v>
      </c>
      <c r="T2902">
        <v>-0.20554420000000001</v>
      </c>
      <c r="U2902">
        <v>-0.37783810000000001</v>
      </c>
      <c r="V2902">
        <v>0.1038972</v>
      </c>
      <c r="W2902">
        <v>5.1053080000000001E-2</v>
      </c>
      <c r="X2902">
        <v>0.99327690000000002</v>
      </c>
      <c r="Y2902">
        <v>0.1300027</v>
      </c>
      <c r="Z2902">
        <v>-4.7810760000000004E-3</v>
      </c>
      <c r="AA2902">
        <v>0.99150210000000005</v>
      </c>
      <c r="AB2902">
        <v>46</v>
      </c>
      <c r="AC2902">
        <v>0.180099999999981</v>
      </c>
      <c r="AD2902">
        <v>-7.0451E-2</v>
      </c>
      <c r="AE2902">
        <v>-0.13349999999999701</v>
      </c>
      <c r="AF2902">
        <v>0.122286785371992</v>
      </c>
      <c r="AG2902">
        <v>-7.0451E-2</v>
      </c>
      <c r="AH2902">
        <v>0.16332710063720399</v>
      </c>
      <c r="AI2902">
        <v>109.049322192034</v>
      </c>
      <c r="AJ2902">
        <v>53.1769513295379</v>
      </c>
      <c r="AK2902">
        <v>0.21585444883108401</v>
      </c>
      <c r="AL2902">
        <v>87.073601875375502</v>
      </c>
      <c r="AM2902">
        <v>84.028551491525107</v>
      </c>
      <c r="AN2902">
        <v>1.0000000226094601</v>
      </c>
    </row>
    <row r="2903" spans="1:40" x14ac:dyDescent="0.25">
      <c r="A2903" t="str">
        <f>"20190312154611112"</f>
        <v>20190312154611112</v>
      </c>
      <c r="B2903" t="str">
        <f>"1552376771109875"</f>
        <v>1552376771109875</v>
      </c>
      <c r="C2903" t="s">
        <v>40</v>
      </c>
      <c r="D2903">
        <v>4.6583259999999997</v>
      </c>
      <c r="E2903">
        <v>0.4913729</v>
      </c>
      <c r="F2903" t="s">
        <v>54</v>
      </c>
      <c r="G2903">
        <v>-279.44830000000002</v>
      </c>
      <c r="H2903" s="1">
        <v>3.5233639999999999E-6</v>
      </c>
      <c r="I2903">
        <v>213.87860000000001</v>
      </c>
      <c r="J2903">
        <v>-304.60309999999998</v>
      </c>
      <c r="K2903">
        <v>1.10927</v>
      </c>
      <c r="L2903">
        <v>215.83430000000001</v>
      </c>
      <c r="M2903">
        <v>0.99988189999999999</v>
      </c>
      <c r="N2903">
        <v>0</v>
      </c>
      <c r="O2903">
        <v>4.4650769999999996E-3</v>
      </c>
      <c r="P2903">
        <v>0.99431460000000005</v>
      </c>
      <c r="Q2903">
        <v>3.6311650000000001E-2</v>
      </c>
      <c r="R2903">
        <v>-0.1000982</v>
      </c>
      <c r="S2903">
        <v>2.9988709999999998</v>
      </c>
      <c r="T2903">
        <v>-0.12986249999999999</v>
      </c>
      <c r="U2903">
        <v>-0.22872919999999999</v>
      </c>
      <c r="V2903">
        <v>0.1045994</v>
      </c>
      <c r="W2903">
        <v>5.0793070000000003E-2</v>
      </c>
      <c r="X2903">
        <v>0.99321649999999995</v>
      </c>
      <c r="Y2903">
        <v>8.0423659999999994E-2</v>
      </c>
      <c r="Z2903">
        <v>-1.9310029999999999E-3</v>
      </c>
      <c r="AA2903">
        <v>0.9967589</v>
      </c>
      <c r="AB2903">
        <v>46</v>
      </c>
      <c r="AC2903">
        <v>25.154799999999899</v>
      </c>
      <c r="AD2903">
        <v>-1.1092664766360001</v>
      </c>
      <c r="AE2903">
        <v>-1.9557</v>
      </c>
      <c r="AF2903">
        <v>2.0640211873879202</v>
      </c>
      <c r="AG2903">
        <v>-1.1092664766360001</v>
      </c>
      <c r="AH2903">
        <v>25.097304928742702</v>
      </c>
      <c r="AI2903">
        <v>92.522243599064595</v>
      </c>
      <c r="AJ2903">
        <v>85.298532577457493</v>
      </c>
      <c r="AK2903">
        <v>25.206454932506301</v>
      </c>
      <c r="AL2903">
        <v>87.088518618298593</v>
      </c>
      <c r="AM2903">
        <v>83.9881244958232</v>
      </c>
      <c r="AN2903">
        <v>0.99999999315631705</v>
      </c>
    </row>
    <row r="2904" spans="1:40" x14ac:dyDescent="0.25">
      <c r="A2904" t="str">
        <f>"20190312154611134"</f>
        <v>20190312154611134</v>
      </c>
      <c r="B2904" t="str">
        <f>"1552376771130371"</f>
        <v>1552376771130371</v>
      </c>
      <c r="C2904" t="s">
        <v>40</v>
      </c>
      <c r="D2904">
        <v>4.6359979999999998</v>
      </c>
      <c r="E2904">
        <v>0.49133670000000002</v>
      </c>
      <c r="F2904" t="s">
        <v>54</v>
      </c>
      <c r="G2904">
        <v>-275.45929999999998</v>
      </c>
      <c r="H2904" s="1">
        <v>1.409958E-6</v>
      </c>
      <c r="I2904">
        <v>213.6651</v>
      </c>
      <c r="J2904">
        <v>-304.15179999999998</v>
      </c>
      <c r="K2904">
        <v>1.1092900000000001</v>
      </c>
      <c r="L2904">
        <v>215.83600000000001</v>
      </c>
      <c r="M2904">
        <v>0.99988339999999998</v>
      </c>
      <c r="N2904">
        <v>0</v>
      </c>
      <c r="O2904">
        <v>4.1512850000000002E-3</v>
      </c>
      <c r="P2904">
        <v>0.99420830000000004</v>
      </c>
      <c r="Q2904">
        <v>3.608273E-2</v>
      </c>
      <c r="R2904">
        <v>-0.1012305</v>
      </c>
      <c r="S2904">
        <v>2.99884</v>
      </c>
      <c r="T2904">
        <v>-0.1141413</v>
      </c>
      <c r="U2904">
        <v>-0.2232056</v>
      </c>
      <c r="V2904">
        <v>0.1054165</v>
      </c>
      <c r="W2904">
        <v>5.056401E-2</v>
      </c>
      <c r="X2904">
        <v>0.99314179999999996</v>
      </c>
      <c r="Y2904">
        <v>7.8305570000000005E-2</v>
      </c>
      <c r="Z2904">
        <v>-1.6453850000000001E-3</v>
      </c>
      <c r="AA2904">
        <v>0.99692800000000004</v>
      </c>
      <c r="AB2904">
        <v>46</v>
      </c>
      <c r="AC2904">
        <v>28.6924999999999</v>
      </c>
      <c r="AD2904">
        <v>-1.109288590042</v>
      </c>
      <c r="AE2904">
        <v>-2.1708999999999801</v>
      </c>
      <c r="AF2904">
        <v>2.2866065749125899</v>
      </c>
      <c r="AG2904">
        <v>-1.109288590042</v>
      </c>
      <c r="AH2904">
        <v>28.640674338764899</v>
      </c>
      <c r="AI2904">
        <v>92.210999137359394</v>
      </c>
      <c r="AJ2904">
        <v>85.435316822207596</v>
      </c>
      <c r="AK2904">
        <v>28.753214035714699</v>
      </c>
      <c r="AL2904">
        <v>87.101659684660603</v>
      </c>
      <c r="AM2904">
        <v>83.941057118201698</v>
      </c>
      <c r="AN2904">
        <v>0.99999999624338398</v>
      </c>
    </row>
    <row r="2905" spans="1:40" x14ac:dyDescent="0.25">
      <c r="A2905" t="str">
        <f>"20190312154611157"</f>
        <v>20190312154611157</v>
      </c>
      <c r="B2905" t="str">
        <f>"1552376771149892"</f>
        <v>1552376771149892</v>
      </c>
      <c r="C2905" t="s">
        <v>40</v>
      </c>
      <c r="D2905">
        <v>4.5889689999999996</v>
      </c>
      <c r="E2905">
        <v>0.49138850000000001</v>
      </c>
      <c r="F2905" t="s">
        <v>54</v>
      </c>
      <c r="G2905">
        <v>-274.11790000000002</v>
      </c>
      <c r="H2905" s="1">
        <v>7.0046029999999999E-7</v>
      </c>
      <c r="I2905">
        <v>213.56540000000001</v>
      </c>
      <c r="J2905">
        <v>-303.67</v>
      </c>
      <c r="K2905">
        <v>1.10931</v>
      </c>
      <c r="L2905">
        <v>215.83779999999999</v>
      </c>
      <c r="M2905">
        <v>0.99988469999999996</v>
      </c>
      <c r="N2905">
        <v>0</v>
      </c>
      <c r="O2905">
        <v>3.8326219999999999E-3</v>
      </c>
      <c r="P2905">
        <v>0.9940717</v>
      </c>
      <c r="Q2905">
        <v>3.4792070000000001E-2</v>
      </c>
      <c r="R2905">
        <v>-0.10300819999999999</v>
      </c>
      <c r="S2905">
        <v>2.998383</v>
      </c>
      <c r="T2905">
        <v>-0.1107436</v>
      </c>
      <c r="U2905">
        <v>-0.22668460000000001</v>
      </c>
      <c r="V2905">
        <v>0.1068728</v>
      </c>
      <c r="W2905">
        <v>4.9272910000000003E-2</v>
      </c>
      <c r="X2905">
        <v>0.99305109999999996</v>
      </c>
      <c r="Y2905">
        <v>7.9152459999999994E-2</v>
      </c>
      <c r="Z2905">
        <v>-1.6004750000000001E-3</v>
      </c>
      <c r="AA2905">
        <v>0.9968612</v>
      </c>
      <c r="AB2905">
        <v>46</v>
      </c>
      <c r="AC2905">
        <v>29.552099999999999</v>
      </c>
      <c r="AD2905">
        <v>-1.1093092995397</v>
      </c>
      <c r="AE2905">
        <v>-2.27239999999997</v>
      </c>
      <c r="AF2905">
        <v>2.3823204696278699</v>
      </c>
      <c r="AG2905">
        <v>-1.1093092995397</v>
      </c>
      <c r="AH2905">
        <v>29.501847276165901</v>
      </c>
      <c r="AI2905">
        <v>92.146403992548898</v>
      </c>
      <c r="AJ2905">
        <v>85.383293388566997</v>
      </c>
      <c r="AK2905">
        <v>29.6186598388291</v>
      </c>
      <c r="AL2905">
        <v>87.175726765678306</v>
      </c>
      <c r="AM2905">
        <v>83.8574332618347</v>
      </c>
      <c r="AN2905">
        <v>1.0000000511254501</v>
      </c>
    </row>
    <row r="2906" spans="1:40" x14ac:dyDescent="0.25">
      <c r="A2906" t="str">
        <f>"20190312154611190"</f>
        <v>20190312154611190</v>
      </c>
      <c r="B2906" t="str">
        <f>"1552376771180151"</f>
        <v>1552376771180151</v>
      </c>
      <c r="C2906" t="s">
        <v>40</v>
      </c>
      <c r="D2906">
        <v>4.6051169999999999</v>
      </c>
      <c r="E2906">
        <v>0.49130370000000001</v>
      </c>
      <c r="F2906" t="s">
        <v>54</v>
      </c>
      <c r="G2906">
        <v>-273.88580000000002</v>
      </c>
      <c r="H2906" s="1">
        <v>5.786055E-7</v>
      </c>
      <c r="I2906">
        <v>213.52860000000001</v>
      </c>
      <c r="J2906">
        <v>-302.99119999999999</v>
      </c>
      <c r="K2906">
        <v>1.109343</v>
      </c>
      <c r="L2906">
        <v>215.84</v>
      </c>
      <c r="M2906">
        <v>0.99988630000000001</v>
      </c>
      <c r="N2906">
        <v>0</v>
      </c>
      <c r="O2906">
        <v>3.4079380000000001E-3</v>
      </c>
      <c r="P2906">
        <v>0.99391070000000004</v>
      </c>
      <c r="Q2906">
        <v>3.4613449999999997E-2</v>
      </c>
      <c r="R2906">
        <v>-0.10461189999999999</v>
      </c>
      <c r="S2906">
        <v>2.997681</v>
      </c>
      <c r="T2906">
        <v>-0.11164830000000001</v>
      </c>
      <c r="U2906">
        <v>-0.23240659999999999</v>
      </c>
      <c r="V2906">
        <v>0.1080504</v>
      </c>
      <c r="W2906">
        <v>4.9094310000000002E-2</v>
      </c>
      <c r="X2906">
        <v>0.99293240000000005</v>
      </c>
      <c r="Y2906">
        <v>8.0636589999999994E-2</v>
      </c>
      <c r="Z2906">
        <v>-1.625596E-3</v>
      </c>
      <c r="AA2906">
        <v>0.99674220000000002</v>
      </c>
      <c r="AB2906">
        <v>46</v>
      </c>
      <c r="AC2906">
        <v>29.1053999999999</v>
      </c>
      <c r="AD2906">
        <v>-1.1093424213945</v>
      </c>
      <c r="AE2906">
        <v>-2.3113999999999901</v>
      </c>
      <c r="AF2906">
        <v>2.40711171500095</v>
      </c>
      <c r="AG2906">
        <v>-1.1093424213945</v>
      </c>
      <c r="AH2906">
        <v>29.0554079406532</v>
      </c>
      <c r="AI2906">
        <v>92.179046725963602</v>
      </c>
      <c r="AJ2906">
        <v>85.2641137014473</v>
      </c>
      <c r="AK2906">
        <v>29.176044248906901</v>
      </c>
      <c r="AL2906">
        <v>87.185971893661801</v>
      </c>
      <c r="AM2906">
        <v>83.789539508304301</v>
      </c>
      <c r="AN2906">
        <v>0.999999945592146</v>
      </c>
    </row>
    <row r="2907" spans="1:40" x14ac:dyDescent="0.25">
      <c r="A2907" t="str">
        <f>"20190312154611214"</f>
        <v>20190312154611214</v>
      </c>
      <c r="B2907" t="str">
        <f>"1552376771210403"</f>
        <v>1552376771210403</v>
      </c>
      <c r="C2907" t="s">
        <v>40</v>
      </c>
      <c r="D2907">
        <v>4.5487590000000004</v>
      </c>
      <c r="E2907">
        <v>0.49090089999999997</v>
      </c>
      <c r="F2907" t="s">
        <v>54</v>
      </c>
      <c r="G2907">
        <v>-272.19560000000001</v>
      </c>
      <c r="H2907" s="1">
        <v>-3.1550619999999998E-7</v>
      </c>
      <c r="I2907">
        <v>213.4066</v>
      </c>
      <c r="J2907">
        <v>-302.50209999999998</v>
      </c>
      <c r="K2907">
        <v>1.1093630000000001</v>
      </c>
      <c r="L2907">
        <v>215.84139999999999</v>
      </c>
      <c r="M2907">
        <v>0.99988739999999998</v>
      </c>
      <c r="N2907">
        <v>0</v>
      </c>
      <c r="O2907">
        <v>3.1144620000000001E-3</v>
      </c>
      <c r="P2907">
        <v>0.99380480000000004</v>
      </c>
      <c r="Q2907">
        <v>3.5420720000000003E-2</v>
      </c>
      <c r="R2907">
        <v>-0.1053453</v>
      </c>
      <c r="S2907">
        <v>2.9972530000000002</v>
      </c>
      <c r="T2907">
        <v>-0.1079695</v>
      </c>
      <c r="U2907">
        <v>-0.23683170000000001</v>
      </c>
      <c r="V2907">
        <v>0.1084905</v>
      </c>
      <c r="W2907">
        <v>4.9901559999999998E-2</v>
      </c>
      <c r="X2907">
        <v>0.99284419999999995</v>
      </c>
      <c r="Y2907">
        <v>8.1820699999999996E-2</v>
      </c>
      <c r="Z2907">
        <v>-1.5829349999999999E-3</v>
      </c>
      <c r="AA2907">
        <v>0.99664580000000003</v>
      </c>
      <c r="AB2907">
        <v>46</v>
      </c>
      <c r="AC2907">
        <v>30.3064999999999</v>
      </c>
      <c r="AD2907">
        <v>-1.1093633155061999</v>
      </c>
      <c r="AE2907">
        <v>-2.4347999999999899</v>
      </c>
      <c r="AF2907">
        <v>2.52582412666426</v>
      </c>
      <c r="AG2907">
        <v>-1.1093633155061999</v>
      </c>
      <c r="AH2907">
        <v>30.258485395630299</v>
      </c>
      <c r="AI2907">
        <v>92.092417145637398</v>
      </c>
      <c r="AJ2907">
        <v>85.228303012132102</v>
      </c>
      <c r="AK2907">
        <v>30.3839828350761</v>
      </c>
      <c r="AL2907">
        <v>87.139663205899396</v>
      </c>
      <c r="AM2907">
        <v>83.763892977935896</v>
      </c>
      <c r="AN2907">
        <v>0.99999997987716105</v>
      </c>
    </row>
    <row r="2908" spans="1:40" x14ac:dyDescent="0.25">
      <c r="A2908" t="str">
        <f>"20190312154611238"</f>
        <v>20190312154611238</v>
      </c>
      <c r="B2908" t="str">
        <f>"1552376771229924"</f>
        <v>1552376771229924</v>
      </c>
      <c r="C2908" t="s">
        <v>40</v>
      </c>
      <c r="D2908">
        <v>4.5008080000000001</v>
      </c>
      <c r="E2908">
        <v>0.49081069999999999</v>
      </c>
      <c r="F2908" t="s">
        <v>54</v>
      </c>
      <c r="G2908">
        <v>-270.90010000000001</v>
      </c>
      <c r="H2908" s="1">
        <v>-1.002617E-6</v>
      </c>
      <c r="I2908">
        <v>213.3544</v>
      </c>
      <c r="J2908">
        <v>-302.00810000000001</v>
      </c>
      <c r="K2908">
        <v>1.1093839999999999</v>
      </c>
      <c r="L2908">
        <v>215.84270000000001</v>
      </c>
      <c r="M2908">
        <v>0.9998882</v>
      </c>
      <c r="N2908">
        <v>0</v>
      </c>
      <c r="O2908">
        <v>2.8249320000000001E-3</v>
      </c>
      <c r="P2908">
        <v>0.9937397</v>
      </c>
      <c r="Q2908">
        <v>3.5472869999999997E-2</v>
      </c>
      <c r="R2908">
        <v>-0.1059398</v>
      </c>
      <c r="S2908">
        <v>2.9974370000000001</v>
      </c>
      <c r="T2908">
        <v>-0.1052227</v>
      </c>
      <c r="U2908">
        <v>-0.2358856</v>
      </c>
      <c r="V2908">
        <v>0.1087954</v>
      </c>
      <c r="W2908">
        <v>4.9953459999999998E-2</v>
      </c>
      <c r="X2908">
        <v>0.99280820000000003</v>
      </c>
      <c r="Y2908">
        <v>8.1217999999999999E-2</v>
      </c>
      <c r="Z2908">
        <v>-1.521908E-3</v>
      </c>
      <c r="AA2908">
        <v>0.9966952</v>
      </c>
      <c r="AB2908">
        <v>46</v>
      </c>
      <c r="AC2908">
        <v>31.108000000000001</v>
      </c>
      <c r="AD2908">
        <v>-1.109385002617</v>
      </c>
      <c r="AE2908">
        <v>-2.4883000000000002</v>
      </c>
      <c r="AF2908">
        <v>2.5729260733236701</v>
      </c>
      <c r="AG2908">
        <v>-1.109385002617</v>
      </c>
      <c r="AH2908">
        <v>31.061592686205501</v>
      </c>
      <c r="AI2908">
        <v>92.038511057174304</v>
      </c>
      <c r="AJ2908">
        <v>85.264826634019101</v>
      </c>
      <c r="AK2908">
        <v>31.187709500162999</v>
      </c>
      <c r="AL2908">
        <v>87.136685769228905</v>
      </c>
      <c r="AM2908">
        <v>83.746280820913398</v>
      </c>
      <c r="AN2908">
        <v>0.99999995460718405</v>
      </c>
    </row>
    <row r="2909" spans="1:40" x14ac:dyDescent="0.25">
      <c r="A2909" t="str">
        <f>"20190312154611260"</f>
        <v>20190312154611260</v>
      </c>
      <c r="B2909" t="str">
        <f>"1552376771250419"</f>
        <v>1552376771250419</v>
      </c>
      <c r="C2909" t="s">
        <v>40</v>
      </c>
      <c r="D2909">
        <v>4.529528</v>
      </c>
      <c r="E2909">
        <v>0.49063709999999999</v>
      </c>
      <c r="F2909" t="s">
        <v>54</v>
      </c>
      <c r="G2909">
        <v>-269.83390000000003</v>
      </c>
      <c r="H2909" s="1">
        <v>3.7539639999999998E-6</v>
      </c>
      <c r="I2909">
        <v>213.2972</v>
      </c>
      <c r="J2909">
        <v>-301.56459999999998</v>
      </c>
      <c r="K2909">
        <v>1.1094040000000001</v>
      </c>
      <c r="L2909">
        <v>215.84370000000001</v>
      </c>
      <c r="M2909">
        <v>0.99988900000000003</v>
      </c>
      <c r="N2909">
        <v>0</v>
      </c>
      <c r="O2909">
        <v>2.5687629999999999E-3</v>
      </c>
      <c r="P2909">
        <v>0.99376730000000002</v>
      </c>
      <c r="Q2909">
        <v>3.4497979999999998E-2</v>
      </c>
      <c r="R2909">
        <v>-0.1060046</v>
      </c>
      <c r="S2909">
        <v>2.9973139999999998</v>
      </c>
      <c r="T2909">
        <v>-0.1033486</v>
      </c>
      <c r="U2909">
        <v>-0.23713680000000001</v>
      </c>
      <c r="V2909">
        <v>0.1086032</v>
      </c>
      <c r="W2909">
        <v>4.897953E-2</v>
      </c>
      <c r="X2909">
        <v>0.99287780000000003</v>
      </c>
      <c r="Y2909">
        <v>8.1381190000000006E-2</v>
      </c>
      <c r="Z2909">
        <v>-1.4888449999999999E-3</v>
      </c>
      <c r="AA2909">
        <v>0.99668190000000001</v>
      </c>
      <c r="AB2909">
        <v>46</v>
      </c>
      <c r="AC2909">
        <v>31.730699999999899</v>
      </c>
      <c r="AD2909">
        <v>-1.109400246036</v>
      </c>
      <c r="AE2909">
        <v>-2.5465</v>
      </c>
      <c r="AF2909">
        <v>2.6248209476623501</v>
      </c>
      <c r="AG2909">
        <v>-1.109400246036</v>
      </c>
      <c r="AH2909">
        <v>31.685568312740799</v>
      </c>
      <c r="AI2909">
        <v>91.998426419398697</v>
      </c>
      <c r="AJ2909">
        <v>85.264451143273305</v>
      </c>
      <c r="AK2909">
        <v>31.813451450833799</v>
      </c>
      <c r="AL2909">
        <v>87.192556342714695</v>
      </c>
      <c r="AM2909">
        <v>83.757675610393804</v>
      </c>
      <c r="AN2909">
        <v>0.99999998757105002</v>
      </c>
    </row>
    <row r="2910" spans="1:40" x14ac:dyDescent="0.25">
      <c r="A2910" t="str">
        <f>"20190312154611281"</f>
        <v>20190312154611281</v>
      </c>
      <c r="B2910" t="str">
        <f>"1552376771269940"</f>
        <v>1552376771269940</v>
      </c>
      <c r="C2910" t="s">
        <v>40</v>
      </c>
      <c r="D2910">
        <v>4.4975899999999998</v>
      </c>
      <c r="E2910">
        <v>0.4905175</v>
      </c>
      <c r="F2910" t="s">
        <v>54</v>
      </c>
      <c r="G2910">
        <v>-270.04860000000002</v>
      </c>
      <c r="H2910" s="1">
        <v>-1.456217E-6</v>
      </c>
      <c r="I2910">
        <v>213.36439999999999</v>
      </c>
      <c r="J2910">
        <v>-301.1241</v>
      </c>
      <c r="K2910">
        <v>1.1094189999999999</v>
      </c>
      <c r="L2910">
        <v>215.84469999999999</v>
      </c>
      <c r="M2910">
        <v>0.99988969999999999</v>
      </c>
      <c r="N2910">
        <v>0</v>
      </c>
      <c r="O2910">
        <v>2.3166100000000002E-3</v>
      </c>
      <c r="P2910">
        <v>0.99374309999999999</v>
      </c>
      <c r="Q2910">
        <v>3.4360599999999998E-2</v>
      </c>
      <c r="R2910">
        <v>-0.1062752</v>
      </c>
      <c r="S2910">
        <v>2.9973139999999998</v>
      </c>
      <c r="T2910">
        <v>-0.1055093</v>
      </c>
      <c r="U2910">
        <v>-0.23579410000000001</v>
      </c>
      <c r="V2910">
        <v>0.1086222</v>
      </c>
      <c r="W2910">
        <v>4.8841420000000003E-2</v>
      </c>
      <c r="X2910">
        <v>0.9928825</v>
      </c>
      <c r="Y2910">
        <v>8.0684560000000002E-2</v>
      </c>
      <c r="Z2910">
        <v>-1.49888E-3</v>
      </c>
      <c r="AA2910">
        <v>0.99673860000000003</v>
      </c>
      <c r="AB2910">
        <v>46</v>
      </c>
      <c r="AC2910">
        <v>31.075499999999899</v>
      </c>
      <c r="AD2910">
        <v>-1.109420456217</v>
      </c>
      <c r="AE2910">
        <v>-2.4803000000000002</v>
      </c>
      <c r="AF2910">
        <v>2.5490625694901001</v>
      </c>
      <c r="AG2910">
        <v>-1.109420456217</v>
      </c>
      <c r="AH2910">
        <v>31.030370757964199</v>
      </c>
      <c r="AI2910">
        <v>92.040740126100602</v>
      </c>
      <c r="AJ2910">
        <v>85.303848397811294</v>
      </c>
      <c r="AK2910">
        <v>31.1546536348676</v>
      </c>
      <c r="AL2910">
        <v>87.200478875346803</v>
      </c>
      <c r="AM2910">
        <v>83.756621467911003</v>
      </c>
      <c r="AN2910">
        <v>0.99999996272335201</v>
      </c>
    </row>
    <row r="2911" spans="1:40" x14ac:dyDescent="0.25">
      <c r="A2911" t="str">
        <f>"20190312154611302"</f>
        <v>20190312154611302</v>
      </c>
      <c r="B2911" t="str">
        <f>"1552376771290435"</f>
        <v>1552376771290435</v>
      </c>
      <c r="C2911" t="s">
        <v>40</v>
      </c>
      <c r="D2911">
        <v>4.4802739999999996</v>
      </c>
      <c r="E2911">
        <v>0.49034949999999999</v>
      </c>
      <c r="F2911" t="s">
        <v>54</v>
      </c>
      <c r="G2911">
        <v>-269.7285</v>
      </c>
      <c r="H2911" s="1">
        <v>3.694562E-6</v>
      </c>
      <c r="I2911">
        <v>213.3734</v>
      </c>
      <c r="J2911">
        <v>-300.69310000000002</v>
      </c>
      <c r="K2911">
        <v>1.109445</v>
      </c>
      <c r="L2911">
        <v>215.84549999999999</v>
      </c>
      <c r="M2911">
        <v>0.9998901</v>
      </c>
      <c r="N2911">
        <v>0</v>
      </c>
      <c r="O2911">
        <v>2.0715740000000001E-3</v>
      </c>
      <c r="P2911">
        <v>0.99365630000000005</v>
      </c>
      <c r="Q2911">
        <v>3.472016E-2</v>
      </c>
      <c r="R2911">
        <v>-0.10696550000000001</v>
      </c>
      <c r="S2911">
        <v>2.9973450000000001</v>
      </c>
      <c r="T2911">
        <v>-0.1059163</v>
      </c>
      <c r="U2911">
        <v>-0.23593140000000001</v>
      </c>
      <c r="V2911">
        <v>0.1090681</v>
      </c>
      <c r="W2911">
        <v>4.9199090000000001E-2</v>
      </c>
      <c r="X2911">
        <v>0.99281600000000003</v>
      </c>
      <c r="Y2911">
        <v>8.0484769999999997E-2</v>
      </c>
      <c r="Z2911">
        <v>-1.4924719999999999E-3</v>
      </c>
      <c r="AA2911">
        <v>0.99675469999999999</v>
      </c>
      <c r="AB2911">
        <v>46</v>
      </c>
      <c r="AC2911">
        <v>30.964600000000001</v>
      </c>
      <c r="AD2911">
        <v>-1.1094413054379999</v>
      </c>
      <c r="AE2911">
        <v>-2.4720999999999802</v>
      </c>
      <c r="AF2911">
        <v>2.5330159235397498</v>
      </c>
      <c r="AG2911">
        <v>-1.1094413054379999</v>
      </c>
      <c r="AH2911">
        <v>30.919969989944601</v>
      </c>
      <c r="AI2911">
        <v>92.048096546136307</v>
      </c>
      <c r="AJ2911">
        <v>85.316691547439603</v>
      </c>
      <c r="AK2911">
        <v>31.043382126601401</v>
      </c>
      <c r="AL2911">
        <v>87.179961346756699</v>
      </c>
      <c r="AM2911">
        <v>83.7307791488346</v>
      </c>
      <c r="AN2911">
        <v>1.0000000053752101</v>
      </c>
    </row>
    <row r="2912" spans="1:40" x14ac:dyDescent="0.25">
      <c r="A2912" t="str">
        <f>"20190312154611325"</f>
        <v>20190312154611325</v>
      </c>
      <c r="B2912" t="str">
        <f>"1552376771319715"</f>
        <v>1552376771319715</v>
      </c>
      <c r="C2912" t="s">
        <v>40</v>
      </c>
      <c r="D2912">
        <v>4.4441470000000001</v>
      </c>
      <c r="E2912">
        <v>0.4903904</v>
      </c>
      <c r="F2912" t="s">
        <v>54</v>
      </c>
      <c r="G2912">
        <v>-268.63659999999999</v>
      </c>
      <c r="H2912" s="1">
        <v>3.1160579999999998E-6</v>
      </c>
      <c r="I2912">
        <v>213.315</v>
      </c>
      <c r="J2912">
        <v>-300.23390000000001</v>
      </c>
      <c r="K2912">
        <v>1.1094729999999999</v>
      </c>
      <c r="L2912">
        <v>215.84620000000001</v>
      </c>
      <c r="M2912">
        <v>0.99989059999999996</v>
      </c>
      <c r="N2912">
        <v>0</v>
      </c>
      <c r="O2912">
        <v>1.8119430000000001E-3</v>
      </c>
      <c r="P2912">
        <v>0.99355059999999995</v>
      </c>
      <c r="Q2912">
        <v>3.5633570000000003E-2</v>
      </c>
      <c r="R2912">
        <v>-0.1076474</v>
      </c>
      <c r="S2912">
        <v>2.9973450000000001</v>
      </c>
      <c r="T2912">
        <v>-0.1037351</v>
      </c>
      <c r="U2912">
        <v>-0.2366028</v>
      </c>
      <c r="V2912">
        <v>0.1094919</v>
      </c>
      <c r="W2912">
        <v>5.0123019999999997E-2</v>
      </c>
      <c r="X2912">
        <v>0.99272309999999997</v>
      </c>
      <c r="Y2912">
        <v>8.0450129999999995E-2</v>
      </c>
      <c r="Z2912">
        <v>-1.4521740000000001E-3</v>
      </c>
      <c r="AA2912">
        <v>0.99675760000000002</v>
      </c>
      <c r="AB2912">
        <v>46</v>
      </c>
      <c r="AC2912">
        <v>31.597300000000001</v>
      </c>
      <c r="AD2912">
        <v>-1.1094698839420001</v>
      </c>
      <c r="AE2912">
        <v>-2.5312000000000099</v>
      </c>
      <c r="AF2912">
        <v>2.58528742026173</v>
      </c>
      <c r="AG2912">
        <v>-1.1094698839420001</v>
      </c>
      <c r="AH2912">
        <v>31.554006073391601</v>
      </c>
      <c r="AI2912">
        <v>92.007026698774197</v>
      </c>
      <c r="AJ2912">
        <v>85.316095976971894</v>
      </c>
      <c r="AK2912">
        <v>31.679171923337499</v>
      </c>
      <c r="AL2912">
        <v>87.126958564801996</v>
      </c>
      <c r="AM2912">
        <v>83.706030050406596</v>
      </c>
      <c r="AN2912">
        <v>0.99999997328656898</v>
      </c>
    </row>
    <row r="2913" spans="1:40" x14ac:dyDescent="0.25">
      <c r="A2913" t="str">
        <f>"20190312154611347"</f>
        <v>20190312154611347</v>
      </c>
      <c r="B2913" t="str">
        <f>"1552376771340212"</f>
        <v>1552376771340212</v>
      </c>
      <c r="C2913" t="s">
        <v>40</v>
      </c>
      <c r="D2913">
        <v>4.4524220000000003</v>
      </c>
      <c r="E2913">
        <v>0.4903458</v>
      </c>
      <c r="F2913" t="s">
        <v>54</v>
      </c>
      <c r="G2913">
        <v>-267.62689999999998</v>
      </c>
      <c r="H2913" s="1">
        <v>2.5817230000000002E-6</v>
      </c>
      <c r="I2913">
        <v>213.2465</v>
      </c>
      <c r="J2913">
        <v>-299.76690000000002</v>
      </c>
      <c r="K2913">
        <v>1.109499</v>
      </c>
      <c r="L2913">
        <v>215.8468</v>
      </c>
      <c r="M2913">
        <v>0.99989030000000001</v>
      </c>
      <c r="N2913">
        <v>0</v>
      </c>
      <c r="O2913">
        <v>1.5546309999999999E-3</v>
      </c>
      <c r="P2913">
        <v>0.99346469999999998</v>
      </c>
      <c r="Q2913">
        <v>3.6456040000000002E-2</v>
      </c>
      <c r="R2913">
        <v>-0.1081627</v>
      </c>
      <c r="S2913">
        <v>2.9972840000000001</v>
      </c>
      <c r="T2913">
        <v>-0.10198409999999999</v>
      </c>
      <c r="U2913">
        <v>-0.23896790000000001</v>
      </c>
      <c r="V2913">
        <v>0.1097516</v>
      </c>
      <c r="W2913">
        <v>5.0999269999999999E-2</v>
      </c>
      <c r="X2913">
        <v>0.99264980000000003</v>
      </c>
      <c r="Y2913">
        <v>8.0978270000000005E-2</v>
      </c>
      <c r="Z2913">
        <v>-1.42789E-3</v>
      </c>
      <c r="AA2913">
        <v>0.99671480000000001</v>
      </c>
      <c r="AB2913">
        <v>46</v>
      </c>
      <c r="AC2913">
        <v>32.14</v>
      </c>
      <c r="AD2913">
        <v>-1.109496418277</v>
      </c>
      <c r="AE2913">
        <v>-2.6002999999999998</v>
      </c>
      <c r="AF2913">
        <v>2.64713409339174</v>
      </c>
      <c r="AG2913">
        <v>-1.109496418277</v>
      </c>
      <c r="AH2913">
        <v>32.097916472596197</v>
      </c>
      <c r="AI2913">
        <v>91.973004519101707</v>
      </c>
      <c r="AJ2913">
        <v>85.285452475247396</v>
      </c>
      <c r="AK2913">
        <v>32.225991731711296</v>
      </c>
      <c r="AL2913">
        <v>87.076688864908306</v>
      </c>
      <c r="AM2913">
        <v>83.690759731399496</v>
      </c>
      <c r="AN2913">
        <v>0.99999998234156595</v>
      </c>
    </row>
    <row r="2914" spans="1:40" x14ac:dyDescent="0.25">
      <c r="A2914" t="str">
        <f>"20190312154611370"</f>
        <v>20190312154611370</v>
      </c>
      <c r="B2914" t="str">
        <f>"1552376771359732"</f>
        <v>1552376771359732</v>
      </c>
      <c r="C2914" t="s">
        <v>40</v>
      </c>
      <c r="D2914">
        <v>4.4231910000000001</v>
      </c>
      <c r="E2914">
        <v>0.49026819999999999</v>
      </c>
      <c r="F2914" t="s">
        <v>54</v>
      </c>
      <c r="G2914">
        <v>-265.90280000000001</v>
      </c>
      <c r="H2914" s="1">
        <v>1.6692689999999901E-6</v>
      </c>
      <c r="I2914">
        <v>213.1317</v>
      </c>
      <c r="J2914">
        <v>-299.30799999999999</v>
      </c>
      <c r="K2914">
        <v>1.109518</v>
      </c>
      <c r="L2914">
        <v>215.84729999999999</v>
      </c>
      <c r="M2914">
        <v>0.99988909999999998</v>
      </c>
      <c r="N2914">
        <v>0</v>
      </c>
      <c r="O2914">
        <v>1.308717E-3</v>
      </c>
      <c r="P2914">
        <v>0.99344520000000003</v>
      </c>
      <c r="Q2914">
        <v>3.6521629999999999E-2</v>
      </c>
      <c r="R2914">
        <v>-0.108320899999999</v>
      </c>
      <c r="S2914">
        <v>2.9971920000000001</v>
      </c>
      <c r="T2914">
        <v>-9.8197580000000007E-2</v>
      </c>
      <c r="U2914">
        <v>-0.24031069999999999</v>
      </c>
      <c r="V2914">
        <v>0.1096647</v>
      </c>
      <c r="W2914">
        <v>5.116213E-2</v>
      </c>
      <c r="X2914">
        <v>0.99265099999999995</v>
      </c>
      <c r="Y2914">
        <v>8.1182749999999998E-2</v>
      </c>
      <c r="Z2914">
        <v>-1.370221E-3</v>
      </c>
      <c r="AA2914">
        <v>0.99669830000000004</v>
      </c>
      <c r="AB2914">
        <v>46</v>
      </c>
      <c r="AC2914">
        <v>33.405199999999901</v>
      </c>
      <c r="AD2914">
        <v>-1.1095163307310001</v>
      </c>
      <c r="AE2914">
        <v>-2.71559999999999</v>
      </c>
      <c r="AF2914">
        <v>2.7562997558573601</v>
      </c>
      <c r="AG2914">
        <v>-1.1095163307310001</v>
      </c>
      <c r="AH2914">
        <v>33.365051633278298</v>
      </c>
      <c r="AI2914">
        <v>91.898142113469106</v>
      </c>
      <c r="AJ2914">
        <v>85.277496992371098</v>
      </c>
      <c r="AK2914">
        <v>33.4970877140629</v>
      </c>
      <c r="AL2914">
        <v>87.067345407712494</v>
      </c>
      <c r="AM2914">
        <v>83.695722633657397</v>
      </c>
      <c r="AN2914">
        <v>0.99999995888661197</v>
      </c>
    </row>
    <row r="2915" spans="1:40" x14ac:dyDescent="0.25">
      <c r="A2915" t="str">
        <f>"20190312154611391"</f>
        <v>20190312154611391</v>
      </c>
      <c r="B2915" t="str">
        <f>"1552376771380228"</f>
        <v>1552376771380228</v>
      </c>
      <c r="C2915" t="s">
        <v>40</v>
      </c>
      <c r="D2915">
        <v>4.4710809999999999</v>
      </c>
      <c r="E2915">
        <v>0.49023250000000002</v>
      </c>
      <c r="F2915" t="s">
        <v>54</v>
      </c>
      <c r="G2915">
        <v>-265.31079999999997</v>
      </c>
      <c r="H2915" s="1">
        <v>1.354696E-6</v>
      </c>
      <c r="I2915">
        <v>213.12110000000001</v>
      </c>
      <c r="J2915">
        <v>-298.86380000000003</v>
      </c>
      <c r="K2915">
        <v>1.109537</v>
      </c>
      <c r="L2915">
        <v>215.8477</v>
      </c>
      <c r="M2915">
        <v>0.99988770000000005</v>
      </c>
      <c r="N2915">
        <v>0</v>
      </c>
      <c r="O2915">
        <v>1.0765659999999999E-3</v>
      </c>
      <c r="P2915">
        <v>0.9935657</v>
      </c>
      <c r="Q2915">
        <v>3.4657460000000001E-2</v>
      </c>
      <c r="R2915">
        <v>-0.1078259</v>
      </c>
      <c r="S2915">
        <v>2.9971920000000001</v>
      </c>
      <c r="T2915">
        <v>-9.781492E-2</v>
      </c>
      <c r="U2915">
        <v>-0.2403412</v>
      </c>
      <c r="V2915">
        <v>0.1089371</v>
      </c>
      <c r="W2915">
        <v>4.942245E-2</v>
      </c>
      <c r="X2915">
        <v>0.99281929999999996</v>
      </c>
      <c r="Y2915">
        <v>8.0962000000000006E-2</v>
      </c>
      <c r="Z2915">
        <v>-1.3537250000000001E-3</v>
      </c>
      <c r="AA2915">
        <v>0.9967163</v>
      </c>
      <c r="AB2915">
        <v>46</v>
      </c>
      <c r="AC2915">
        <v>33.552999999999997</v>
      </c>
      <c r="AD2915">
        <v>-1.109535645304</v>
      </c>
      <c r="AE2915">
        <v>-2.7265999999999901</v>
      </c>
      <c r="AF2915">
        <v>2.7597265039776002</v>
      </c>
      <c r="AG2915">
        <v>-1.109535645304</v>
      </c>
      <c r="AH2915">
        <v>33.513638025766902</v>
      </c>
      <c r="AI2915">
        <v>91.889806323295005</v>
      </c>
      <c r="AJ2915">
        <v>85.292521606399205</v>
      </c>
      <c r="AK2915">
        <v>33.645372541362697</v>
      </c>
      <c r="AL2915">
        <v>87.167148205276106</v>
      </c>
      <c r="AM2915">
        <v>83.738269810717796</v>
      </c>
      <c r="AN2915">
        <v>1.00000001638645</v>
      </c>
    </row>
    <row r="2916" spans="1:40" x14ac:dyDescent="0.25">
      <c r="A2916" t="str">
        <f>"20190312154611415"</f>
        <v>20190312154611415</v>
      </c>
      <c r="B2916" t="str">
        <f>"1552376771410298"</f>
        <v>1552376771410298</v>
      </c>
      <c r="C2916" t="s">
        <v>40</v>
      </c>
      <c r="D2916">
        <v>4.4348519999999896</v>
      </c>
      <c r="E2916">
        <v>0.49022900000000003</v>
      </c>
      <c r="F2916" t="s">
        <v>54</v>
      </c>
      <c r="G2916">
        <v>-266.42680000000001</v>
      </c>
      <c r="H2916" s="1">
        <v>1.9423739999999999E-6</v>
      </c>
      <c r="I2916">
        <v>213.26300000000001</v>
      </c>
      <c r="J2916">
        <v>-298.39479999999998</v>
      </c>
      <c r="K2916">
        <v>1.109561</v>
      </c>
      <c r="L2916">
        <v>215.84800000000001</v>
      </c>
      <c r="M2916">
        <v>0.99988540000000004</v>
      </c>
      <c r="N2916">
        <v>0</v>
      </c>
      <c r="O2916">
        <v>8.4337349999999997E-4</v>
      </c>
      <c r="P2916">
        <v>0.99374499999999999</v>
      </c>
      <c r="Q2916">
        <v>3.2038110000000002E-2</v>
      </c>
      <c r="R2916">
        <v>-0.10698100000000001</v>
      </c>
      <c r="S2916">
        <v>2.9971009999999998</v>
      </c>
      <c r="T2916">
        <v>-0.10251830000000001</v>
      </c>
      <c r="U2916">
        <v>-0.23881530000000001</v>
      </c>
      <c r="V2916">
        <v>0.10785790000000001</v>
      </c>
      <c r="W2916">
        <v>4.69696E-2</v>
      </c>
      <c r="X2916">
        <v>0.99305619999999994</v>
      </c>
      <c r="Y2916">
        <v>8.0224009999999998E-2</v>
      </c>
      <c r="Z2916">
        <v>-1.3982930000000001E-3</v>
      </c>
      <c r="AA2916">
        <v>0.99677590000000005</v>
      </c>
      <c r="AB2916">
        <v>46</v>
      </c>
      <c r="AC2916">
        <v>31.9679999999999</v>
      </c>
      <c r="AD2916">
        <v>-1.1095590576259999</v>
      </c>
      <c r="AE2916">
        <v>-2.5849999999999702</v>
      </c>
      <c r="AF2916">
        <v>2.6088407359811798</v>
      </c>
      <c r="AG2916">
        <v>-1.1095590576259999</v>
      </c>
      <c r="AH2916">
        <v>31.927595740452599</v>
      </c>
      <c r="AI2916">
        <v>91.983755948111906</v>
      </c>
      <c r="AJ2916">
        <v>85.328673581087699</v>
      </c>
      <c r="AK2916">
        <v>32.053214207842601</v>
      </c>
      <c r="AL2916">
        <v>87.307849773099605</v>
      </c>
      <c r="AM2916">
        <v>83.801284529297902</v>
      </c>
      <c r="AN2916">
        <v>1.0000000431375</v>
      </c>
    </row>
    <row r="2917" spans="1:40" x14ac:dyDescent="0.25">
      <c r="A2917" t="str">
        <f>"20190312154611439"</f>
        <v>20190312154611439</v>
      </c>
      <c r="B2917" t="str">
        <f>"1552376771429818"</f>
        <v>1552376771429818</v>
      </c>
      <c r="C2917" t="s">
        <v>40</v>
      </c>
      <c r="D2917">
        <v>4.4654850000000001</v>
      </c>
      <c r="E2917">
        <v>0.49026160000000002</v>
      </c>
      <c r="F2917" t="s">
        <v>54</v>
      </c>
      <c r="G2917">
        <v>-268.2783</v>
      </c>
      <c r="H2917" s="1">
        <v>2.918257E-6</v>
      </c>
      <c r="I2917">
        <v>213.4776</v>
      </c>
      <c r="J2917">
        <v>-297.89530000000002</v>
      </c>
      <c r="K2917">
        <v>1.1096010000000001</v>
      </c>
      <c r="L2917">
        <v>215.84809999999999</v>
      </c>
      <c r="M2917">
        <v>0.99988239999999995</v>
      </c>
      <c r="N2917">
        <v>0</v>
      </c>
      <c r="O2917">
        <v>6.0988630000000002E-4</v>
      </c>
      <c r="P2917">
        <v>0.99387740000000002</v>
      </c>
      <c r="Q2917">
        <v>3.1082559999999999E-2</v>
      </c>
      <c r="R2917">
        <v>-0.106027</v>
      </c>
      <c r="S2917">
        <v>2.9970400000000001</v>
      </c>
      <c r="T2917">
        <v>-0.11041719999999999</v>
      </c>
      <c r="U2917">
        <v>-0.2358856</v>
      </c>
      <c r="V2917">
        <v>0.1066704</v>
      </c>
      <c r="W2917">
        <v>4.6220820000000003E-2</v>
      </c>
      <c r="X2917">
        <v>0.99321959999999998</v>
      </c>
      <c r="Y2917">
        <v>7.9017920000000005E-2</v>
      </c>
      <c r="Z2917">
        <v>-1.475285E-3</v>
      </c>
      <c r="AA2917">
        <v>0.99687210000000004</v>
      </c>
      <c r="AB2917">
        <v>46</v>
      </c>
      <c r="AC2917">
        <v>29.617000000000001</v>
      </c>
      <c r="AD2917">
        <v>-1.109598081743</v>
      </c>
      <c r="AE2917">
        <v>-2.3704999999999901</v>
      </c>
      <c r="AF2917">
        <v>2.3852380281442498</v>
      </c>
      <c r="AG2917">
        <v>-1.109598081743</v>
      </c>
      <c r="AH2917">
        <v>29.574301764708</v>
      </c>
      <c r="AI2917">
        <v>92.141724282688401</v>
      </c>
      <c r="AJ2917">
        <v>85.388939359883295</v>
      </c>
      <c r="AK2917">
        <v>29.6910743022869</v>
      </c>
      <c r="AL2917">
        <v>87.350798388944298</v>
      </c>
      <c r="AM2917">
        <v>83.870009829531497</v>
      </c>
      <c r="AN2917">
        <v>1.0000000561308899</v>
      </c>
    </row>
    <row r="2918" spans="1:40" x14ac:dyDescent="0.25">
      <c r="A2918" t="str">
        <f>"20190312154611462"</f>
        <v>20190312154611462</v>
      </c>
      <c r="B2918" t="str">
        <f>"1552376771450315"</f>
        <v>1552376771450315</v>
      </c>
      <c r="C2918" t="s">
        <v>40</v>
      </c>
      <c r="D2918">
        <v>4.4568289999999999</v>
      </c>
      <c r="E2918">
        <v>0.49028519999999998</v>
      </c>
      <c r="F2918" t="s">
        <v>54</v>
      </c>
      <c r="G2918">
        <v>-268.63510000000002</v>
      </c>
      <c r="H2918" s="1">
        <v>3.104197E-6</v>
      </c>
      <c r="I2918">
        <v>213.5677</v>
      </c>
      <c r="J2918">
        <v>-297.44229999999999</v>
      </c>
      <c r="K2918">
        <v>1.109639</v>
      </c>
      <c r="L2918">
        <v>215.84819999999999</v>
      </c>
      <c r="M2918">
        <v>0.99987969999999904</v>
      </c>
      <c r="N2918">
        <v>0</v>
      </c>
      <c r="O2918">
        <v>4.0762570000000002E-4</v>
      </c>
      <c r="P2918">
        <v>0.9939654</v>
      </c>
      <c r="Q2918">
        <v>3.0808329999999998E-2</v>
      </c>
      <c r="R2918">
        <v>-0.105281</v>
      </c>
      <c r="S2918">
        <v>2.997131</v>
      </c>
      <c r="T2918">
        <v>-0.1136562</v>
      </c>
      <c r="U2918">
        <v>-0.2335815</v>
      </c>
      <c r="V2918">
        <v>0.105722</v>
      </c>
      <c r="W2918">
        <v>4.6146039999999999E-2</v>
      </c>
      <c r="X2918">
        <v>0.9933244</v>
      </c>
      <c r="Y2918">
        <v>7.8049800000000003E-2</v>
      </c>
      <c r="Z2918">
        <v>-1.49255E-3</v>
      </c>
      <c r="AA2918">
        <v>0.99694839999999996</v>
      </c>
      <c r="AB2918">
        <v>46</v>
      </c>
      <c r="AC2918">
        <v>28.807199999999899</v>
      </c>
      <c r="AD2918">
        <v>-1.1096358958029999</v>
      </c>
      <c r="AE2918">
        <v>-2.28049999999998</v>
      </c>
      <c r="AF2918">
        <v>2.2888688332766498</v>
      </c>
      <c r="AG2918">
        <v>-1.1096358958029999</v>
      </c>
      <c r="AH2918">
        <v>28.763855510932899</v>
      </c>
      <c r="AI2918">
        <v>92.202274345384396</v>
      </c>
      <c r="AJ2918">
        <v>85.450305038643407</v>
      </c>
      <c r="AK2918">
        <v>28.876107705350901</v>
      </c>
      <c r="AL2918">
        <v>87.355087344774404</v>
      </c>
      <c r="AM2918">
        <v>83.924737953823794</v>
      </c>
      <c r="AN2918">
        <v>0.99999998096352005</v>
      </c>
    </row>
    <row r="2919" spans="1:40" x14ac:dyDescent="0.25">
      <c r="A2919" t="str">
        <f>"20190312154611505"</f>
        <v>20190312154611505</v>
      </c>
      <c r="B2919" t="str">
        <f>"1552376771500091"</f>
        <v>1552376771500091</v>
      </c>
      <c r="C2919" t="s">
        <v>40</v>
      </c>
      <c r="D2919">
        <v>4.5048059999999897</v>
      </c>
      <c r="E2919">
        <v>0.49032999999999999</v>
      </c>
      <c r="F2919" t="s">
        <v>54</v>
      </c>
      <c r="G2919">
        <v>-268.45859999999999</v>
      </c>
      <c r="H2919" s="1">
        <v>3.0085340000000002E-6</v>
      </c>
      <c r="I2919">
        <v>213.60769999999999</v>
      </c>
      <c r="J2919">
        <v>-296.57310000000001</v>
      </c>
      <c r="K2919">
        <v>1.1097440000000001</v>
      </c>
      <c r="L2919">
        <v>215.84809999999999</v>
      </c>
      <c r="M2919">
        <v>0.99987380000000003</v>
      </c>
      <c r="N2919">
        <v>0</v>
      </c>
      <c r="O2919" s="1">
        <v>3.683507E-5</v>
      </c>
      <c r="P2919">
        <v>0.99408079999999999</v>
      </c>
      <c r="Q2919">
        <v>3.1716179999999997E-2</v>
      </c>
      <c r="R2919">
        <v>-0.10391</v>
      </c>
      <c r="S2919">
        <v>2.9972530000000002</v>
      </c>
      <c r="T2919">
        <v>-0.1147493</v>
      </c>
      <c r="U2919">
        <v>-0.23168949999999999</v>
      </c>
      <c r="V2919">
        <v>0.1039795</v>
      </c>
      <c r="W2919">
        <v>4.7435890000000001E-2</v>
      </c>
      <c r="X2919">
        <v>0.99344759999999999</v>
      </c>
      <c r="Y2919">
        <v>7.7051259999999996E-2</v>
      </c>
      <c r="Z2919">
        <v>-1.473621E-3</v>
      </c>
      <c r="AA2919">
        <v>0.99702599999999997</v>
      </c>
      <c r="AB2919">
        <v>46</v>
      </c>
      <c r="AC2919">
        <v>28.1145</v>
      </c>
      <c r="AD2919">
        <v>-1.1097409914659999</v>
      </c>
      <c r="AE2919">
        <v>-2.24039999999999</v>
      </c>
      <c r="AF2919">
        <v>2.23797085195881</v>
      </c>
      <c r="AG2919">
        <v>-1.1097409914659999</v>
      </c>
      <c r="AH2919">
        <v>28.0709573577195</v>
      </c>
      <c r="AI2919">
        <v>92.256765901876605</v>
      </c>
      <c r="AJ2919">
        <v>85.441707280112297</v>
      </c>
      <c r="AK2919">
        <v>28.181885770495601</v>
      </c>
      <c r="AL2919">
        <v>87.281103440621294</v>
      </c>
      <c r="AM2919">
        <v>84.024874978798593</v>
      </c>
      <c r="AN2919">
        <v>1.0000000170130501</v>
      </c>
    </row>
    <row r="2920" spans="1:40" x14ac:dyDescent="0.25">
      <c r="A2920" t="str">
        <f>"20190312154611528"</f>
        <v>20190312154611528</v>
      </c>
      <c r="B2920" t="str">
        <f>"1552376771520164"</f>
        <v>1552376771520164</v>
      </c>
      <c r="C2920" t="s">
        <v>40</v>
      </c>
      <c r="D2920">
        <v>4.5221869999999997</v>
      </c>
      <c r="E2920">
        <v>0.49037589999999998</v>
      </c>
      <c r="F2920" t="s">
        <v>54</v>
      </c>
      <c r="G2920">
        <v>-266.95859999999999</v>
      </c>
      <c r="H2920" s="1">
        <v>2.2109389999999999E-6</v>
      </c>
      <c r="I2920">
        <v>213.59370000000001</v>
      </c>
      <c r="J2920">
        <v>-296.08600000000001</v>
      </c>
      <c r="K2920">
        <v>1.1098129999999999</v>
      </c>
      <c r="L2920">
        <v>215.84790000000001</v>
      </c>
      <c r="M2920">
        <v>0.99986989999999998</v>
      </c>
      <c r="N2920">
        <v>0</v>
      </c>
      <c r="O2920">
        <v>-1.647048E-4</v>
      </c>
      <c r="P2920">
        <v>0.99402420000000002</v>
      </c>
      <c r="Q2920">
        <v>3.2492809999999997E-2</v>
      </c>
      <c r="R2920">
        <v>-0.10421329999999999</v>
      </c>
      <c r="S2920">
        <v>2.9975890000000001</v>
      </c>
      <c r="T2920">
        <v>-0.112328399999999</v>
      </c>
      <c r="U2920">
        <v>-0.22819519999999999</v>
      </c>
      <c r="V2920">
        <v>0.1040803</v>
      </c>
      <c r="W2920">
        <v>4.8463260000000001E-2</v>
      </c>
      <c r="X2920">
        <v>0.99338749999999998</v>
      </c>
      <c r="Y2920">
        <v>7.5689670000000001E-2</v>
      </c>
      <c r="Z2920">
        <v>-1.4094509999999999E-3</v>
      </c>
      <c r="AA2920">
        <v>0.99713050000000003</v>
      </c>
      <c r="AB2920">
        <v>45</v>
      </c>
      <c r="AC2920">
        <v>29.127400000000002</v>
      </c>
      <c r="AD2920">
        <v>-1.1098107890609901</v>
      </c>
      <c r="AE2920">
        <v>-2.2541999999999902</v>
      </c>
      <c r="AF2920">
        <v>2.2461604539934301</v>
      </c>
      <c r="AG2920">
        <v>-1.1098107890609901</v>
      </c>
      <c r="AH2920">
        <v>29.0857967703657</v>
      </c>
      <c r="AI2920">
        <v>92.178663005670003</v>
      </c>
      <c r="AJ2920">
        <v>85.584078695527595</v>
      </c>
      <c r="AK2920">
        <v>29.193500827061101</v>
      </c>
      <c r="AL2920">
        <v>87.222171809905802</v>
      </c>
      <c r="AM2920">
        <v>84.0187653078236</v>
      </c>
      <c r="AN2920">
        <v>1.00000006078708</v>
      </c>
    </row>
    <row r="2921" spans="1:40" x14ac:dyDescent="0.25">
      <c r="A2921" t="str">
        <f>"20190312154611548"</f>
        <v>20190312154611548</v>
      </c>
      <c r="B2921" t="str">
        <f>"1552376771539684"</f>
        <v>1552376771539684</v>
      </c>
      <c r="C2921" t="s">
        <v>40</v>
      </c>
      <c r="D2921">
        <v>4.5218689999999997</v>
      </c>
      <c r="E2921">
        <v>0.4904056</v>
      </c>
      <c r="F2921" t="s">
        <v>54</v>
      </c>
      <c r="G2921">
        <v>-265.81220000000002</v>
      </c>
      <c r="H2921" s="1">
        <v>1.6035580000000001E-6</v>
      </c>
      <c r="I2921">
        <v>213.5326</v>
      </c>
      <c r="J2921">
        <v>-295.68880000000001</v>
      </c>
      <c r="K2921">
        <v>1.109872</v>
      </c>
      <c r="L2921">
        <v>215.8477</v>
      </c>
      <c r="M2921">
        <v>0.99986620000000004</v>
      </c>
      <c r="N2921">
        <v>0</v>
      </c>
      <c r="O2921">
        <v>-3.2135939999999998E-4</v>
      </c>
      <c r="P2921">
        <v>0.99393860000000001</v>
      </c>
      <c r="Q2921">
        <v>3.3424839999999997E-2</v>
      </c>
      <c r="R2921">
        <v>-0.10473200000000001</v>
      </c>
      <c r="S2921">
        <v>2.9975890000000001</v>
      </c>
      <c r="T2921">
        <v>-0.1098891</v>
      </c>
      <c r="U2921">
        <v>-0.22924800000000001</v>
      </c>
      <c r="V2921">
        <v>0.10444199999999999</v>
      </c>
      <c r="W2921">
        <v>4.9607720000000001E-2</v>
      </c>
      <c r="X2921">
        <v>0.99329299999999998</v>
      </c>
      <c r="Y2921">
        <v>7.5883880000000001E-2</v>
      </c>
      <c r="Z2921">
        <v>-1.376667E-3</v>
      </c>
      <c r="AA2921">
        <v>0.99711570000000005</v>
      </c>
      <c r="AB2921">
        <v>45</v>
      </c>
      <c r="AC2921">
        <v>29.8766</v>
      </c>
      <c r="AD2921">
        <v>-1.109870396442</v>
      </c>
      <c r="AE2921">
        <v>-2.3151000000000002</v>
      </c>
      <c r="AF2921">
        <v>2.30233918303795</v>
      </c>
      <c r="AG2921">
        <v>-1.109870396442</v>
      </c>
      <c r="AH2921">
        <v>29.836413747418302</v>
      </c>
      <c r="AI2921">
        <v>92.124027321971596</v>
      </c>
      <c r="AJ2921">
        <v>85.587491754000894</v>
      </c>
      <c r="AK2921">
        <v>29.945686890064501</v>
      </c>
      <c r="AL2921">
        <v>87.156519991370502</v>
      </c>
      <c r="AM2921">
        <v>83.997563939366302</v>
      </c>
      <c r="AN2921">
        <v>1.00000002054829</v>
      </c>
    </row>
    <row r="2922" spans="1:40" x14ac:dyDescent="0.25">
      <c r="A2922" t="str">
        <f>"20190312154611569"</f>
        <v>20190312154611569</v>
      </c>
      <c r="B2922" t="str">
        <f>"1552376771560180"</f>
        <v>1552376771560180</v>
      </c>
      <c r="C2922" t="s">
        <v>40</v>
      </c>
      <c r="D2922">
        <v>4.4838040000000001</v>
      </c>
      <c r="E2922">
        <v>0.49042910000000001</v>
      </c>
      <c r="F2922" t="s">
        <v>54</v>
      </c>
      <c r="G2922">
        <v>-264.6053</v>
      </c>
      <c r="H2922" s="1">
        <v>9.6482939999999999E-7</v>
      </c>
      <c r="I2922">
        <v>213.45230000000001</v>
      </c>
      <c r="J2922">
        <v>-295.24529999999999</v>
      </c>
      <c r="K2922">
        <v>1.1099250000000001</v>
      </c>
      <c r="L2922">
        <v>215.84739999999999</v>
      </c>
      <c r="M2922">
        <v>0.99986229999999998</v>
      </c>
      <c r="N2922">
        <v>0</v>
      </c>
      <c r="O2922">
        <v>-4.8164030000000002E-4</v>
      </c>
      <c r="P2922">
        <v>0.99383659999999996</v>
      </c>
      <c r="Q2922">
        <v>3.4213889999999997E-2</v>
      </c>
      <c r="R2922">
        <v>-0.1054426</v>
      </c>
      <c r="S2922">
        <v>2.997528</v>
      </c>
      <c r="T2922">
        <v>-0.10703</v>
      </c>
      <c r="U2922">
        <v>-0.23100280000000001</v>
      </c>
      <c r="V2922">
        <v>0.1049923</v>
      </c>
      <c r="W2922">
        <v>5.0634480000000003E-2</v>
      </c>
      <c r="X2922">
        <v>0.99318309999999999</v>
      </c>
      <c r="Y2922">
        <v>7.6308290000000001E-2</v>
      </c>
      <c r="Z2922">
        <v>-1.342719E-3</v>
      </c>
      <c r="AA2922">
        <v>0.99708339999999995</v>
      </c>
      <c r="AB2922">
        <v>45</v>
      </c>
      <c r="AC2922">
        <v>30.639999999999901</v>
      </c>
      <c r="AD2922">
        <v>-1.1099240351705999</v>
      </c>
      <c r="AE2922">
        <v>-2.3950999999999798</v>
      </c>
      <c r="AF2922">
        <v>2.3772396998901901</v>
      </c>
      <c r="AG2922">
        <v>-1.1099240351705999</v>
      </c>
      <c r="AH2922">
        <v>30.6012382852389</v>
      </c>
      <c r="AI2922">
        <v>92.071005129033793</v>
      </c>
      <c r="AJ2922">
        <v>85.557931561522693</v>
      </c>
      <c r="AK2922">
        <v>30.713498409405499</v>
      </c>
      <c r="AL2922">
        <v>87.097616743487805</v>
      </c>
      <c r="AM2922">
        <v>83.965507350500204</v>
      </c>
      <c r="AN2922">
        <v>0.999999951874884</v>
      </c>
    </row>
    <row r="2923" spans="1:40" x14ac:dyDescent="0.25">
      <c r="A2923" t="str">
        <f>"20190312154611592"</f>
        <v>20190312154611592</v>
      </c>
      <c r="B2923" t="str">
        <f>"1552376771590435"</f>
        <v>1552376771590435</v>
      </c>
      <c r="C2923" t="s">
        <v>40</v>
      </c>
      <c r="D2923">
        <v>4.5006690000000003</v>
      </c>
      <c r="E2923">
        <v>0.4905253</v>
      </c>
      <c r="F2923" t="s">
        <v>54</v>
      </c>
      <c r="G2923">
        <v>-263.41489999999999</v>
      </c>
      <c r="H2923" s="1">
        <v>3.3492399999999999E-7</v>
      </c>
      <c r="I2923">
        <v>213.3706</v>
      </c>
      <c r="J2923">
        <v>-294.79770000000002</v>
      </c>
      <c r="K2923">
        <v>1.1099779999999999</v>
      </c>
      <c r="L2923">
        <v>215.84710000000001</v>
      </c>
      <c r="M2923">
        <v>0.99985780000000002</v>
      </c>
      <c r="N2923">
        <v>0</v>
      </c>
      <c r="O2923">
        <v>-6.2770190000000002E-4</v>
      </c>
      <c r="P2923">
        <v>0.99372389999999999</v>
      </c>
      <c r="Q2923">
        <v>3.442866E-2</v>
      </c>
      <c r="R2923">
        <v>-0.1064321</v>
      </c>
      <c r="S2923">
        <v>2.9974669999999999</v>
      </c>
      <c r="T2923">
        <v>-0.10452160000000001</v>
      </c>
      <c r="U2923">
        <v>-0.2332458</v>
      </c>
      <c r="V2923">
        <v>0.1058354</v>
      </c>
      <c r="W2923">
        <v>5.1115939999999999E-2</v>
      </c>
      <c r="X2923">
        <v>0.99306899999999998</v>
      </c>
      <c r="Y2923">
        <v>7.6907809999999993E-2</v>
      </c>
      <c r="Z2923">
        <v>-1.316607E-3</v>
      </c>
      <c r="AA2923">
        <v>0.99703739999999996</v>
      </c>
      <c r="AB2923">
        <v>45</v>
      </c>
      <c r="AC2923">
        <v>31.3828</v>
      </c>
      <c r="AD2923">
        <v>-1.109977665076</v>
      </c>
      <c r="AE2923">
        <v>-2.4765000000000099</v>
      </c>
      <c r="AF2923">
        <v>2.45374711615082</v>
      </c>
      <c r="AG2923">
        <v>-1.109977665076</v>
      </c>
      <c r="AH2923">
        <v>31.345379242899099</v>
      </c>
      <c r="AI2923">
        <v>92.021884857056406</v>
      </c>
      <c r="AJ2923">
        <v>85.523958065930898</v>
      </c>
      <c r="AK2923">
        <v>31.460860210873999</v>
      </c>
      <c r="AL2923">
        <v>87.069995502429805</v>
      </c>
      <c r="AM2923">
        <v>83.9167179027842</v>
      </c>
      <c r="AN2923">
        <v>1.0000000049881199</v>
      </c>
    </row>
    <row r="2924" spans="1:40" x14ac:dyDescent="0.25">
      <c r="A2924" t="str">
        <f>"20190312154611614"</f>
        <v>20190312154611614</v>
      </c>
      <c r="B2924" t="str">
        <f>"1552376771609666"</f>
        <v>1552376771609666</v>
      </c>
      <c r="C2924" t="s">
        <v>40</v>
      </c>
      <c r="D2924">
        <v>4.4879499999999997</v>
      </c>
      <c r="E2924">
        <v>0.49058089999999999</v>
      </c>
      <c r="F2924" t="s">
        <v>54</v>
      </c>
      <c r="G2924">
        <v>-262.71230000000003</v>
      </c>
      <c r="H2924" s="1">
        <v>-3.6255919999999998E-8</v>
      </c>
      <c r="I2924">
        <v>213.30789999999999</v>
      </c>
      <c r="J2924">
        <v>-294.36649999999997</v>
      </c>
      <c r="K2924">
        <v>1.1100289999999999</v>
      </c>
      <c r="L2924">
        <v>215.8467</v>
      </c>
      <c r="M2924">
        <v>0.99985290000000004</v>
      </c>
      <c r="N2924">
        <v>0</v>
      </c>
      <c r="O2924">
        <v>-7.5612869999999895E-4</v>
      </c>
      <c r="P2924">
        <v>0.99358820000000003</v>
      </c>
      <c r="Q2924">
        <v>3.465211E-2</v>
      </c>
      <c r="R2924">
        <v>-0.10761999999999999</v>
      </c>
      <c r="S2924">
        <v>2.9971009999999998</v>
      </c>
      <c r="T2924">
        <v>-0.1036832</v>
      </c>
      <c r="U2924">
        <v>-0.23718259999999999</v>
      </c>
      <c r="V2924">
        <v>0.1068947</v>
      </c>
      <c r="W2924">
        <v>5.1626440000000003E-2</v>
      </c>
      <c r="X2924">
        <v>0.99292910000000001</v>
      </c>
      <c r="Y2924">
        <v>7.8090820000000005E-2</v>
      </c>
      <c r="Z2924">
        <v>-1.322134E-3</v>
      </c>
      <c r="AA2924">
        <v>0.99694539999999998</v>
      </c>
      <c r="AB2924">
        <v>45</v>
      </c>
      <c r="AC2924">
        <v>31.6541999999999</v>
      </c>
      <c r="AD2924">
        <v>-1.11002903625592</v>
      </c>
      <c r="AE2924">
        <v>-2.5388000000000002</v>
      </c>
      <c r="AF2924">
        <v>2.5117920536403799</v>
      </c>
      <c r="AG2924">
        <v>-1.11002903625592</v>
      </c>
      <c r="AH2924">
        <v>31.617478774958801</v>
      </c>
      <c r="AI2924">
        <v>92.004409069237795</v>
      </c>
      <c r="AJ2924">
        <v>85.457782500156995</v>
      </c>
      <c r="AK2924">
        <v>31.7365125347294</v>
      </c>
      <c r="AL2924">
        <v>87.040707267206699</v>
      </c>
      <c r="AM2924">
        <v>83.855435065155007</v>
      </c>
      <c r="AN2924">
        <v>0.99999998191098605</v>
      </c>
    </row>
    <row r="2925" spans="1:40" x14ac:dyDescent="0.25">
      <c r="A2925" t="str">
        <f>"20190312154611638"</f>
        <v>20190312154611638</v>
      </c>
      <c r="B2925" t="str">
        <f>"1552376771630162"</f>
        <v>1552376771630162</v>
      </c>
      <c r="C2925" t="s">
        <v>40</v>
      </c>
      <c r="D2925">
        <v>4.4964930000000001</v>
      </c>
      <c r="E2925">
        <v>0.49063780000000001</v>
      </c>
      <c r="F2925" t="s">
        <v>54</v>
      </c>
      <c r="G2925">
        <v>-261.9966</v>
      </c>
      <c r="H2925" s="1">
        <v>-4.1425149999999998E-7</v>
      </c>
      <c r="I2925">
        <v>213.24279999999999</v>
      </c>
      <c r="J2925">
        <v>-293.88290000000001</v>
      </c>
      <c r="K2925">
        <v>1.110093</v>
      </c>
      <c r="L2925">
        <v>215.84620000000001</v>
      </c>
      <c r="M2925">
        <v>0.99984680000000004</v>
      </c>
      <c r="N2925">
        <v>0</v>
      </c>
      <c r="O2925">
        <v>-8.9035030000000003E-4</v>
      </c>
      <c r="P2925">
        <v>0.99347260000000004</v>
      </c>
      <c r="Q2925">
        <v>3.3964429999999997E-2</v>
      </c>
      <c r="R2925">
        <v>-0.1088996</v>
      </c>
      <c r="S2925">
        <v>2.9968569999999999</v>
      </c>
      <c r="T2925">
        <v>-0.10276830000000001</v>
      </c>
      <c r="U2925">
        <v>-0.2410736</v>
      </c>
      <c r="V2925">
        <v>0.1080393</v>
      </c>
      <c r="W2925">
        <v>5.1285949999999997E-2</v>
      </c>
      <c r="X2925">
        <v>0.99282289999999995</v>
      </c>
      <c r="Y2925">
        <v>7.9249739999999999E-2</v>
      </c>
      <c r="Z2925">
        <v>-1.325751E-3</v>
      </c>
      <c r="AA2925">
        <v>0.99685389999999996</v>
      </c>
      <c r="AB2925">
        <v>45</v>
      </c>
      <c r="AC2925">
        <v>31.886299999999999</v>
      </c>
      <c r="AD2925">
        <v>-1.1100934142515</v>
      </c>
      <c r="AE2925">
        <v>-2.6034000000000201</v>
      </c>
      <c r="AF2925">
        <v>2.5719080831067598</v>
      </c>
      <c r="AG2925">
        <v>-1.1100934142515</v>
      </c>
      <c r="AH2925">
        <v>31.8502580402915</v>
      </c>
      <c r="AI2925">
        <v>91.989680083807997</v>
      </c>
      <c r="AJ2925">
        <v>85.383383182977894</v>
      </c>
      <c r="AK2925">
        <v>31.973206842753001</v>
      </c>
      <c r="AL2925">
        <v>87.060241912380107</v>
      </c>
      <c r="AM2925">
        <v>83.789492983233401</v>
      </c>
      <c r="AN2925">
        <v>1.00000002488815</v>
      </c>
    </row>
    <row r="2926" spans="1:40" x14ac:dyDescent="0.25">
      <c r="A2926" t="str">
        <f>"20190312154611662"</f>
        <v>20190312154611662</v>
      </c>
      <c r="B2926" t="str">
        <f>"1552376771649682"</f>
        <v>1552376771649682</v>
      </c>
      <c r="C2926" t="s">
        <v>40</v>
      </c>
      <c r="D2926">
        <v>4.5163250000000001</v>
      </c>
      <c r="E2926">
        <v>0.49068289999999998</v>
      </c>
      <c r="F2926" t="s">
        <v>54</v>
      </c>
      <c r="G2926">
        <v>-262.10809999999998</v>
      </c>
      <c r="H2926" s="1">
        <v>-3.5497540000000001E-7</v>
      </c>
      <c r="I2926">
        <v>213.244</v>
      </c>
      <c r="J2926">
        <v>-293.4076</v>
      </c>
      <c r="K2926">
        <v>1.1101540000000001</v>
      </c>
      <c r="L2926">
        <v>215.84559999999999</v>
      </c>
      <c r="M2926">
        <v>0.99984050000000002</v>
      </c>
      <c r="N2926">
        <v>0</v>
      </c>
      <c r="O2926">
        <v>-1.014813E-3</v>
      </c>
      <c r="P2926">
        <v>0.99331069999999999</v>
      </c>
      <c r="Q2926">
        <v>3.2875389999999997E-2</v>
      </c>
      <c r="R2926">
        <v>-0.110694899999999</v>
      </c>
      <c r="S2926">
        <v>2.9963989999999998</v>
      </c>
      <c r="T2926">
        <v>-0.104683</v>
      </c>
      <c r="U2926">
        <v>-0.24539179999999999</v>
      </c>
      <c r="V2926">
        <v>0.1097094</v>
      </c>
      <c r="W2926">
        <v>5.053829E-2</v>
      </c>
      <c r="X2926">
        <v>0.99267799999999995</v>
      </c>
      <c r="Y2926">
        <v>8.056249E-2</v>
      </c>
      <c r="Z2926">
        <v>-1.36911E-3</v>
      </c>
      <c r="AA2926">
        <v>0.99674859999999998</v>
      </c>
      <c r="AB2926">
        <v>45</v>
      </c>
      <c r="AC2926">
        <v>31.299499999999998</v>
      </c>
      <c r="AD2926">
        <v>-1.1101543549754</v>
      </c>
      <c r="AE2926">
        <v>-2.6015999999999599</v>
      </c>
      <c r="AF2926">
        <v>2.56662372810329</v>
      </c>
      <c r="AG2926">
        <v>-1.1101543549754</v>
      </c>
      <c r="AH2926">
        <v>31.2630643383817</v>
      </c>
      <c r="AI2926">
        <v>92.026910464217593</v>
      </c>
      <c r="AJ2926">
        <v>85.306677335243407</v>
      </c>
      <c r="AK2926">
        <v>31.387882883038301</v>
      </c>
      <c r="AL2926">
        <v>87.103135059743707</v>
      </c>
      <c r="AM2926">
        <v>83.693343832313303</v>
      </c>
      <c r="AN2926">
        <v>0.99999994144423998</v>
      </c>
    </row>
    <row r="2927" spans="1:40" x14ac:dyDescent="0.25">
      <c r="A2927" t="str">
        <f>"20190312154611684"</f>
        <v>20190312154611684</v>
      </c>
      <c r="B2927" t="str">
        <f>"1552376771679938"</f>
        <v>1552376771679938</v>
      </c>
      <c r="C2927" t="s">
        <v>40</v>
      </c>
      <c r="D2927">
        <v>4.4930890000000003</v>
      </c>
      <c r="E2927">
        <v>0.4907569</v>
      </c>
      <c r="F2927" t="s">
        <v>54</v>
      </c>
      <c r="G2927">
        <v>-262.57650000000001</v>
      </c>
      <c r="H2927" s="1">
        <v>-1.065398E-7</v>
      </c>
      <c r="I2927">
        <v>213.26259999999999</v>
      </c>
      <c r="J2927">
        <v>-292.98520000000002</v>
      </c>
      <c r="K2927">
        <v>1.1102019999999999</v>
      </c>
      <c r="L2927">
        <v>215.8451</v>
      </c>
      <c r="M2927">
        <v>0.99983509999999998</v>
      </c>
      <c r="N2927">
        <v>0</v>
      </c>
      <c r="O2927">
        <v>-1.120738E-3</v>
      </c>
      <c r="P2927">
        <v>0.99311729999999998</v>
      </c>
      <c r="Q2927">
        <v>3.2431590000000003E-2</v>
      </c>
      <c r="R2927">
        <v>-0.11254400000000001</v>
      </c>
      <c r="S2927">
        <v>2.995819</v>
      </c>
      <c r="T2927">
        <v>-0.10787239999999999</v>
      </c>
      <c r="U2927">
        <v>-0.25099179999999999</v>
      </c>
      <c r="V2927">
        <v>0.1114526</v>
      </c>
      <c r="W2927">
        <v>5.0380179999999997E-2</v>
      </c>
      <c r="X2927">
        <v>0.99249189999999998</v>
      </c>
      <c r="Y2927">
        <v>8.2318890000000006E-2</v>
      </c>
      <c r="Z2927">
        <v>-1.4387079999999999E-3</v>
      </c>
      <c r="AA2927">
        <v>0.99660499999999996</v>
      </c>
      <c r="AB2927">
        <v>44</v>
      </c>
      <c r="AC2927">
        <v>30.4087</v>
      </c>
      <c r="AD2927">
        <v>-1.1102021065398</v>
      </c>
      <c r="AE2927">
        <v>-2.5825000000000098</v>
      </c>
      <c r="AF2927">
        <v>2.5450445105450101</v>
      </c>
      <c r="AG2927">
        <v>-1.1102021065398</v>
      </c>
      <c r="AH2927">
        <v>30.371382545843002</v>
      </c>
      <c r="AI2927">
        <v>92.086165015922603</v>
      </c>
      <c r="AJ2927">
        <v>85.209950604076397</v>
      </c>
      <c r="AK2927">
        <v>30.498043839301499</v>
      </c>
      <c r="AL2927">
        <v>87.112205843393497</v>
      </c>
      <c r="AM2927">
        <v>83.592771204242297</v>
      </c>
      <c r="AN2927">
        <v>1.0000000080746001</v>
      </c>
    </row>
    <row r="2928" spans="1:40" x14ac:dyDescent="0.25">
      <c r="A2928" t="str">
        <f>"20190312154611705"</f>
        <v>20190312154611705</v>
      </c>
      <c r="B2928" t="str">
        <f>"1552376771700434"</f>
        <v>1552376771700434</v>
      </c>
      <c r="C2928" t="s">
        <v>40</v>
      </c>
      <c r="D2928">
        <v>4.4832839999999896</v>
      </c>
      <c r="E2928">
        <v>0.49076189999999997</v>
      </c>
      <c r="F2928" t="s">
        <v>54</v>
      </c>
      <c r="G2928">
        <v>-262.53019999999998</v>
      </c>
      <c r="H2928" s="1">
        <v>-1.298076E-7</v>
      </c>
      <c r="I2928">
        <v>213.2312</v>
      </c>
      <c r="J2928">
        <v>-292.5573</v>
      </c>
      <c r="K2928">
        <v>1.110239</v>
      </c>
      <c r="L2928">
        <v>215.84460000000001</v>
      </c>
      <c r="M2928">
        <v>0.99983010000000005</v>
      </c>
      <c r="N2928">
        <v>0</v>
      </c>
      <c r="O2928">
        <v>-1.2233210000000001E-3</v>
      </c>
      <c r="P2928">
        <v>0.99296439999999997</v>
      </c>
      <c r="Q2928">
        <v>3.1908329999999999E-2</v>
      </c>
      <c r="R2928">
        <v>-0.1140336</v>
      </c>
      <c r="S2928">
        <v>2.995209</v>
      </c>
      <c r="T2928">
        <v>-0.1091869</v>
      </c>
      <c r="U2928">
        <v>-0.25708009999999998</v>
      </c>
      <c r="V2928">
        <v>0.1128392</v>
      </c>
      <c r="W2928">
        <v>5.0124920000000003E-2</v>
      </c>
      <c r="X2928">
        <v>0.99234809999999996</v>
      </c>
      <c r="Y2928">
        <v>8.4242170000000005E-2</v>
      </c>
      <c r="Z2928">
        <v>-1.4876469999999999E-3</v>
      </c>
      <c r="AA2928">
        <v>0.9964442</v>
      </c>
      <c r="AB2928">
        <v>44</v>
      </c>
      <c r="AC2928">
        <v>30.027100000000001</v>
      </c>
      <c r="AD2928">
        <v>-1.1102391298076</v>
      </c>
      <c r="AE2928">
        <v>-2.6134000000000102</v>
      </c>
      <c r="AF2928">
        <v>2.5731676686359402</v>
      </c>
      <c r="AG2928">
        <v>-1.1102391298076</v>
      </c>
      <c r="AH2928">
        <v>29.989584002752899</v>
      </c>
      <c r="AI2928">
        <v>92.112414307041604</v>
      </c>
      <c r="AJ2928">
        <v>85.095915957889702</v>
      </c>
      <c r="AK2928">
        <v>30.120241888710598</v>
      </c>
      <c r="AL2928">
        <v>87.126849562445301</v>
      </c>
      <c r="AM2928">
        <v>83.512801115779794</v>
      </c>
      <c r="AN2928">
        <v>0.99999997211762703</v>
      </c>
    </row>
    <row r="2929" spans="1:40" x14ac:dyDescent="0.25">
      <c r="A2929" t="str">
        <f>"20190312154611726"</f>
        <v>20190312154611726</v>
      </c>
      <c r="B2929" t="str">
        <f>"1552376771720460"</f>
        <v>1552376771720460</v>
      </c>
      <c r="C2929" t="s">
        <v>40</v>
      </c>
      <c r="D2929">
        <v>4.4919000000000002</v>
      </c>
      <c r="E2929">
        <v>0.49076029999999998</v>
      </c>
      <c r="F2929" t="s">
        <v>54</v>
      </c>
      <c r="G2929">
        <v>-262.4622</v>
      </c>
      <c r="H2929" s="1">
        <v>-1.652192E-7</v>
      </c>
      <c r="I2929">
        <v>213.21430000000001</v>
      </c>
      <c r="J2929">
        <v>-292.15010000000001</v>
      </c>
      <c r="K2929">
        <v>1.1102669999999999</v>
      </c>
      <c r="L2929">
        <v>215.84399999999999</v>
      </c>
      <c r="M2929">
        <v>0.99982570000000004</v>
      </c>
      <c r="N2929">
        <v>0</v>
      </c>
      <c r="O2929">
        <v>-1.3186020000000001E-3</v>
      </c>
      <c r="P2929">
        <v>0.99281640000000004</v>
      </c>
      <c r="Q2929">
        <v>3.1162059999999998E-2</v>
      </c>
      <c r="R2929">
        <v>-0.1155196</v>
      </c>
      <c r="S2929">
        <v>2.9947509999999999</v>
      </c>
      <c r="T2929">
        <v>-0.1104796</v>
      </c>
      <c r="U2929">
        <v>-0.26173400000000002</v>
      </c>
      <c r="V2929">
        <v>0.11422980000000001</v>
      </c>
      <c r="W2929">
        <v>4.9612000000000003E-2</v>
      </c>
      <c r="X2929">
        <v>0.99221479999999995</v>
      </c>
      <c r="Y2929">
        <v>8.5694839999999994E-2</v>
      </c>
      <c r="Z2929">
        <v>-1.528604E-3</v>
      </c>
      <c r="AA2929">
        <v>0.99632019999999999</v>
      </c>
      <c r="AB2929">
        <v>44</v>
      </c>
      <c r="AC2929">
        <v>29.687899999999999</v>
      </c>
      <c r="AD2929">
        <v>-1.1102671652192</v>
      </c>
      <c r="AE2929">
        <v>-2.6297000000000099</v>
      </c>
      <c r="AF2929">
        <v>2.58695443020006</v>
      </c>
      <c r="AG2929">
        <v>-1.1102671652192</v>
      </c>
      <c r="AH2929">
        <v>29.6501961433523</v>
      </c>
      <c r="AI2929">
        <v>92.136360175729493</v>
      </c>
      <c r="AJ2929">
        <v>85.013619117535896</v>
      </c>
      <c r="AK2929">
        <v>29.783538368390001</v>
      </c>
      <c r="AL2929">
        <v>87.156274414722702</v>
      </c>
      <c r="AM2929">
        <v>83.4326741632714</v>
      </c>
      <c r="AN2929">
        <v>1.0000000035455301</v>
      </c>
    </row>
    <row r="2930" spans="1:40" x14ac:dyDescent="0.25">
      <c r="A2930" t="str">
        <f>"20190312154611748"</f>
        <v>20190312154611748</v>
      </c>
      <c r="B2930" t="str">
        <f>"1552376771739980"</f>
        <v>1552376771739980</v>
      </c>
      <c r="C2930" t="s">
        <v>40</v>
      </c>
      <c r="D2930">
        <v>4.4741339999999896</v>
      </c>
      <c r="E2930">
        <v>0.49067870000000002</v>
      </c>
      <c r="F2930" t="s">
        <v>54</v>
      </c>
      <c r="G2930">
        <v>-262.62509999999997</v>
      </c>
      <c r="H2930" s="1">
        <v>-7.8748140000000003E-8</v>
      </c>
      <c r="I2930">
        <v>213.21899999999999</v>
      </c>
      <c r="J2930">
        <v>-291.70510000000002</v>
      </c>
      <c r="K2930">
        <v>1.110287</v>
      </c>
      <c r="L2930">
        <v>215.8433</v>
      </c>
      <c r="M2930">
        <v>0.99982119999999997</v>
      </c>
      <c r="N2930">
        <v>0</v>
      </c>
      <c r="O2930">
        <v>-1.420391E-3</v>
      </c>
      <c r="P2930">
        <v>0.99280440000000003</v>
      </c>
      <c r="Q2930">
        <v>3.0183669999999999E-2</v>
      </c>
      <c r="R2930">
        <v>-0.1158829</v>
      </c>
      <c r="S2930">
        <v>2.9942319999999998</v>
      </c>
      <c r="T2930">
        <v>-0.112595899999999</v>
      </c>
      <c r="U2930">
        <v>-0.26620480000000002</v>
      </c>
      <c r="V2930">
        <v>0.1144907</v>
      </c>
      <c r="W2930">
        <v>4.8860479999999998E-2</v>
      </c>
      <c r="X2930">
        <v>0.99222200000000005</v>
      </c>
      <c r="Y2930">
        <v>8.7081370000000005E-2</v>
      </c>
      <c r="Z2930">
        <v>-1.5802209999999999E-3</v>
      </c>
      <c r="AA2930">
        <v>0.99619999999999997</v>
      </c>
      <c r="AB2930">
        <v>44</v>
      </c>
      <c r="AC2930">
        <v>29.08</v>
      </c>
      <c r="AD2930">
        <v>-1.11028707874813</v>
      </c>
      <c r="AE2930">
        <v>-2.6242999999999701</v>
      </c>
      <c r="AF2930">
        <v>2.5792555112095799</v>
      </c>
      <c r="AG2930">
        <v>-1.11028707874813</v>
      </c>
      <c r="AH2930">
        <v>29.041705423667</v>
      </c>
      <c r="AI2930">
        <v>92.180820660691197</v>
      </c>
      <c r="AJ2930">
        <v>84.924756056800405</v>
      </c>
      <c r="AK2930">
        <v>29.177147741072801</v>
      </c>
      <c r="AL2930">
        <v>87.199385566636707</v>
      </c>
      <c r="AM2930">
        <v>83.417853262975697</v>
      </c>
      <c r="AN2930">
        <v>0.99999998208815999</v>
      </c>
    </row>
    <row r="2931" spans="1:40" x14ac:dyDescent="0.25">
      <c r="A2931" t="str">
        <f>"20190312154611771"</f>
        <v>20190312154611771</v>
      </c>
      <c r="B2931" t="str">
        <f>"1552376771760476"</f>
        <v>1552376771760476</v>
      </c>
      <c r="C2931" t="s">
        <v>40</v>
      </c>
      <c r="D2931">
        <v>4.4195599999999997</v>
      </c>
      <c r="E2931">
        <v>0.4906683</v>
      </c>
      <c r="F2931" t="s">
        <v>54</v>
      </c>
      <c r="G2931">
        <v>-263.06610000000001</v>
      </c>
      <c r="H2931" s="1">
        <v>1.5285339999999999E-7</v>
      </c>
      <c r="I2931">
        <v>213.28960000000001</v>
      </c>
      <c r="J2931">
        <v>-291.2681</v>
      </c>
      <c r="K2931">
        <v>1.1102879999999999</v>
      </c>
      <c r="L2931">
        <v>215.8426</v>
      </c>
      <c r="M2931">
        <v>0.9998184</v>
      </c>
      <c r="N2931">
        <v>0</v>
      </c>
      <c r="O2931">
        <v>-1.518782E-3</v>
      </c>
      <c r="P2931">
        <v>0.99292959999999997</v>
      </c>
      <c r="Q2931">
        <v>2.8965609999999999E-2</v>
      </c>
      <c r="R2931">
        <v>-0.1151176</v>
      </c>
      <c r="S2931">
        <v>2.9941409999999999</v>
      </c>
      <c r="T2931">
        <v>-0.116078</v>
      </c>
      <c r="U2931">
        <v>-0.26698300000000003</v>
      </c>
      <c r="V2931">
        <v>0.11362659999999999</v>
      </c>
      <c r="W2931">
        <v>4.7786450000000001E-2</v>
      </c>
      <c r="X2931">
        <v>0.99237359999999997</v>
      </c>
      <c r="Y2931">
        <v>8.7239059999999993E-2</v>
      </c>
      <c r="Z2931">
        <v>-1.628329E-3</v>
      </c>
      <c r="AA2931">
        <v>0.99618609999999996</v>
      </c>
      <c r="AB2931">
        <v>44</v>
      </c>
      <c r="AC2931">
        <v>28.202000000000002</v>
      </c>
      <c r="AD2931">
        <v>-1.1102878471466</v>
      </c>
      <c r="AE2931">
        <v>-2.5529999999999902</v>
      </c>
      <c r="AF2931">
        <v>2.5063036203432998</v>
      </c>
      <c r="AG2931">
        <v>-1.1102878471466</v>
      </c>
      <c r="AH2931">
        <v>28.162550500650202</v>
      </c>
      <c r="AI2931">
        <v>92.248796329251107</v>
      </c>
      <c r="AJ2931">
        <v>84.914405678208496</v>
      </c>
      <c r="AK2931">
        <v>28.295645383036199</v>
      </c>
      <c r="AL2931">
        <v>87.260994859750596</v>
      </c>
      <c r="AM2931">
        <v>83.468089266749999</v>
      </c>
      <c r="AN2931">
        <v>0.99999995550405996</v>
      </c>
    </row>
    <row r="2932" spans="1:40" x14ac:dyDescent="0.25">
      <c r="A2932" t="str">
        <f>"20190312154611793"</f>
        <v>20190312154611793</v>
      </c>
      <c r="B2932" t="str">
        <f>"1552376771789756"</f>
        <v>1552376771789756</v>
      </c>
      <c r="C2932" t="s">
        <v>40</v>
      </c>
      <c r="D2932">
        <v>4.3823400000000001</v>
      </c>
      <c r="E2932">
        <v>0.51742540000000004</v>
      </c>
      <c r="F2932" t="s">
        <v>54</v>
      </c>
      <c r="G2932">
        <v>-263.65890000000002</v>
      </c>
      <c r="H2932" s="1">
        <v>4.6332300000000003E-7</v>
      </c>
      <c r="I2932">
        <v>213.40280000000001</v>
      </c>
      <c r="J2932">
        <v>-290.83620000000002</v>
      </c>
      <c r="K2932">
        <v>1.1102559999999999</v>
      </c>
      <c r="L2932">
        <v>215.84180000000001</v>
      </c>
      <c r="M2932">
        <v>0.99981900000000001</v>
      </c>
      <c r="N2932">
        <v>0</v>
      </c>
      <c r="O2932">
        <v>-1.6107370000000001E-3</v>
      </c>
      <c r="P2932">
        <v>0.99318499999999998</v>
      </c>
      <c r="Q2932">
        <v>2.741377E-2</v>
      </c>
      <c r="R2932">
        <v>-0.11327959999999999</v>
      </c>
      <c r="S2932">
        <v>2.9941710000000001</v>
      </c>
      <c r="T2932">
        <v>-0.1204085</v>
      </c>
      <c r="U2932">
        <v>-0.26458739999999997</v>
      </c>
      <c r="V2932">
        <v>0.1116962</v>
      </c>
      <c r="W2932">
        <v>4.6201289999999999E-2</v>
      </c>
      <c r="X2932">
        <v>0.99266779999999999</v>
      </c>
      <c r="Y2932">
        <v>8.6351639999999993E-2</v>
      </c>
      <c r="Z2932">
        <v>-1.6675800000000001E-3</v>
      </c>
      <c r="AA2932">
        <v>0.99626329999999996</v>
      </c>
      <c r="AB2932">
        <v>44</v>
      </c>
      <c r="AC2932">
        <v>27.177299999999999</v>
      </c>
      <c r="AD2932">
        <v>-1.1102555366769999</v>
      </c>
      <c r="AE2932">
        <v>-2.4389999999999898</v>
      </c>
      <c r="AF2932">
        <v>2.39125457724285</v>
      </c>
      <c r="AG2932">
        <v>-1.1102555366769999</v>
      </c>
      <c r="AH2932">
        <v>27.136267834122599</v>
      </c>
      <c r="AI2932">
        <v>92.333863749494</v>
      </c>
      <c r="AJ2932">
        <v>84.964089886240998</v>
      </c>
      <c r="AK2932">
        <v>27.264038544851498</v>
      </c>
      <c r="AL2932">
        <v>87.351918372323993</v>
      </c>
      <c r="AM2932">
        <v>83.580012190443298</v>
      </c>
      <c r="AN2932">
        <v>0.99999998072447105</v>
      </c>
    </row>
    <row r="2933" spans="1:40" x14ac:dyDescent="0.25">
      <c r="A2933" t="str">
        <f>"20190312154611815"</f>
        <v>20190312154611815</v>
      </c>
      <c r="B2933" t="str">
        <f>"1552376771810254"</f>
        <v>1552376771810254</v>
      </c>
      <c r="C2933" t="s">
        <v>40</v>
      </c>
      <c r="D2933">
        <v>4.3000040000000004</v>
      </c>
      <c r="E2933">
        <v>0.52140329999999901</v>
      </c>
      <c r="F2933" t="s">
        <v>41</v>
      </c>
      <c r="G2933">
        <v>-289.952</v>
      </c>
      <c r="H2933">
        <v>0.94900229999999997</v>
      </c>
      <c r="I2933">
        <v>215.7056</v>
      </c>
      <c r="J2933">
        <v>-290.40960000000001</v>
      </c>
      <c r="K2933">
        <v>1.1102000000000001</v>
      </c>
      <c r="L2933">
        <v>215.84100000000001</v>
      </c>
      <c r="M2933">
        <v>0.99982329999999997</v>
      </c>
      <c r="N2933">
        <v>0</v>
      </c>
      <c r="O2933">
        <v>-1.690205E-3</v>
      </c>
      <c r="P2933">
        <v>0.99336869999999999</v>
      </c>
      <c r="Q2933">
        <v>2.7218840000000001E-2</v>
      </c>
      <c r="R2933">
        <v>-0.11170389999999999</v>
      </c>
      <c r="S2933">
        <v>2.9833370000000001</v>
      </c>
      <c r="T2933">
        <v>-0.5441319</v>
      </c>
      <c r="U2933">
        <v>-0.4582214</v>
      </c>
      <c r="V2933">
        <v>0.11004129999999999</v>
      </c>
      <c r="W2933">
        <v>4.5779269999999997E-2</v>
      </c>
      <c r="X2933">
        <v>0.99287219999999998</v>
      </c>
      <c r="Y2933">
        <v>0.14778729999999901</v>
      </c>
      <c r="Z2933">
        <v>-1.298711E-2</v>
      </c>
      <c r="AA2933">
        <v>0.98893390000000003</v>
      </c>
      <c r="AB2933">
        <v>44</v>
      </c>
      <c r="AC2933">
        <v>0.457600000000013</v>
      </c>
      <c r="AD2933">
        <v>-0.1611977</v>
      </c>
      <c r="AE2933">
        <v>-0.13539999999997501</v>
      </c>
      <c r="AF2933">
        <v>0.120838268100124</v>
      </c>
      <c r="AG2933">
        <v>-0.1611977</v>
      </c>
      <c r="AH2933">
        <v>0.41093901480047901</v>
      </c>
      <c r="AI2933">
        <v>110.623007193612</v>
      </c>
      <c r="AJ2933">
        <v>73.613815184959194</v>
      </c>
      <c r="AK2933">
        <v>0.45766522634772699</v>
      </c>
      <c r="AL2933">
        <v>87.3761240463717</v>
      </c>
      <c r="AM2933">
        <v>83.675646173366303</v>
      </c>
      <c r="AN2933">
        <v>1.00000001740013</v>
      </c>
    </row>
    <row r="2934" spans="1:40" x14ac:dyDescent="0.25">
      <c r="A2934" t="str">
        <f>"20190312154611839"</f>
        <v>20190312154611839</v>
      </c>
      <c r="B2934" t="str">
        <f>"1552376771829772"</f>
        <v>1552376771829772</v>
      </c>
      <c r="C2934" t="s">
        <v>40</v>
      </c>
      <c r="D2934">
        <v>4.3525269999999896</v>
      </c>
      <c r="E2934">
        <v>0.52119789999999999</v>
      </c>
      <c r="F2934" t="s">
        <v>41</v>
      </c>
      <c r="G2934">
        <v>-289.57549999999998</v>
      </c>
      <c r="H2934">
        <v>0.92231989999999997</v>
      </c>
      <c r="I2934">
        <v>215.7063</v>
      </c>
      <c r="J2934">
        <v>-289.93860000000001</v>
      </c>
      <c r="K2934">
        <v>1.1101240000000001</v>
      </c>
      <c r="L2934">
        <v>215.84010000000001</v>
      </c>
      <c r="M2934">
        <v>0.99982969999999904</v>
      </c>
      <c r="N2934">
        <v>0</v>
      </c>
      <c r="O2934">
        <v>-1.775752E-3</v>
      </c>
      <c r="P2934">
        <v>0.99349670000000001</v>
      </c>
      <c r="Q2934">
        <v>2.810576E-2</v>
      </c>
      <c r="R2934">
        <v>-0.11033759999999999</v>
      </c>
      <c r="S2934">
        <v>2.9843139999999999</v>
      </c>
      <c r="T2934">
        <v>-0.67224169999999905</v>
      </c>
      <c r="U2934">
        <v>-0.48153689999999999</v>
      </c>
      <c r="V2934">
        <v>0.1085894</v>
      </c>
      <c r="W2934">
        <v>4.6315130000000003E-2</v>
      </c>
      <c r="X2934">
        <v>0.99300719999999998</v>
      </c>
      <c r="Y2934">
        <v>0.15382789999999999</v>
      </c>
      <c r="Z2934">
        <v>-1.6612490000000001E-2</v>
      </c>
      <c r="AA2934">
        <v>0.987958</v>
      </c>
      <c r="AB2934">
        <v>44</v>
      </c>
      <c r="AC2934">
        <v>0.36310000000003101</v>
      </c>
      <c r="AD2934">
        <v>-0.187804099999999</v>
      </c>
      <c r="AE2934">
        <v>-0.133800000000007</v>
      </c>
      <c r="AF2934">
        <v>0.107770808454942</v>
      </c>
      <c r="AG2934">
        <v>-0.187804099999999</v>
      </c>
      <c r="AH2934">
        <v>0.29407199936357897</v>
      </c>
      <c r="AI2934">
        <v>120.948338163721</v>
      </c>
      <c r="AJ2934">
        <v>69.873244720567399</v>
      </c>
      <c r="AK2934">
        <v>0.365189359020132</v>
      </c>
      <c r="AL2934">
        <v>87.345388946260499</v>
      </c>
      <c r="AM2934">
        <v>83.759269474225903</v>
      </c>
      <c r="AN2934">
        <v>1.00000002415555</v>
      </c>
    </row>
    <row r="2935" spans="1:40" x14ac:dyDescent="0.25">
      <c r="A2935" t="str">
        <f>"20190312154611862"</f>
        <v>20190312154611862</v>
      </c>
      <c r="B2935" t="str">
        <f>"1552376771860029"</f>
        <v>1552376771860029</v>
      </c>
      <c r="C2935" t="s">
        <v>40</v>
      </c>
      <c r="D2935">
        <v>4.2621960000000003</v>
      </c>
      <c r="E2935">
        <v>0.52175760000000004</v>
      </c>
      <c r="F2935" t="s">
        <v>41</v>
      </c>
      <c r="G2935">
        <v>-289.18310000000002</v>
      </c>
      <c r="H2935">
        <v>0.93059429999999999</v>
      </c>
      <c r="I2935">
        <v>215.71969999999999</v>
      </c>
      <c r="J2935">
        <v>-289.48790000000002</v>
      </c>
      <c r="K2935">
        <v>1.1100460000000001</v>
      </c>
      <c r="L2935">
        <v>215.83920000000001</v>
      </c>
      <c r="M2935">
        <v>0.99983630000000001</v>
      </c>
      <c r="N2935">
        <v>0</v>
      </c>
      <c r="O2935">
        <v>-1.8581769999999999E-3</v>
      </c>
      <c r="P2935">
        <v>0.9935254</v>
      </c>
      <c r="Q2935">
        <v>2.8130510000000001E-2</v>
      </c>
      <c r="R2935">
        <v>-0.1100724</v>
      </c>
      <c r="S2935">
        <v>2.9869690000000002</v>
      </c>
      <c r="T2935">
        <v>-0.70995649999999999</v>
      </c>
      <c r="U2935">
        <v>-0.47499079999999999</v>
      </c>
      <c r="V2935">
        <v>0.1082409</v>
      </c>
      <c r="W2935">
        <v>4.5980760000000002E-2</v>
      </c>
      <c r="X2935">
        <v>0.99306079999999997</v>
      </c>
      <c r="Y2935">
        <v>0.15115439999999999</v>
      </c>
      <c r="Z2935">
        <v>-1.717751E-2</v>
      </c>
      <c r="AA2935">
        <v>0.98836089999999999</v>
      </c>
      <c r="AB2935">
        <v>44</v>
      </c>
      <c r="AC2935">
        <v>0.30480000000000002</v>
      </c>
      <c r="AD2935">
        <v>-0.17945169999999899</v>
      </c>
      <c r="AE2935">
        <v>-0.119500000000016</v>
      </c>
      <c r="AF2935">
        <v>9.1455720210286306E-2</v>
      </c>
      <c r="AG2935">
        <v>-0.17945169999999899</v>
      </c>
      <c r="AH2935">
        <v>0.23455129626167801</v>
      </c>
      <c r="AI2935">
        <v>125.481835653497</v>
      </c>
      <c r="AJ2935">
        <v>68.698305539499003</v>
      </c>
      <c r="AK2935">
        <v>0.30916237153008302</v>
      </c>
      <c r="AL2935">
        <v>87.364567403547795</v>
      </c>
      <c r="AM2935">
        <v>83.7794739358079</v>
      </c>
      <c r="AN2935">
        <v>1.0000000376098099</v>
      </c>
    </row>
    <row r="2936" spans="1:40" x14ac:dyDescent="0.25">
      <c r="A2936" t="str">
        <f>"20190312154611886"</f>
        <v>20190312154611886</v>
      </c>
      <c r="B2936" t="str">
        <f>"1552376771880524"</f>
        <v>1552376771880524</v>
      </c>
      <c r="C2936" t="s">
        <v>40</v>
      </c>
      <c r="D2936">
        <v>4.3505039999999999</v>
      </c>
      <c r="E2936">
        <v>0.52235699999999996</v>
      </c>
      <c r="F2936" t="s">
        <v>41</v>
      </c>
      <c r="G2936">
        <v>-288.79149999999998</v>
      </c>
      <c r="H2936">
        <v>0.93765779999999999</v>
      </c>
      <c r="I2936">
        <v>215.7277</v>
      </c>
      <c r="J2936">
        <v>-289.05529999999999</v>
      </c>
      <c r="K2936">
        <v>1.1099829999999999</v>
      </c>
      <c r="L2936">
        <v>215.8383</v>
      </c>
      <c r="M2936">
        <v>0.99984240000000002</v>
      </c>
      <c r="N2936">
        <v>0</v>
      </c>
      <c r="O2936">
        <v>-1.9358890000000001E-3</v>
      </c>
      <c r="P2936">
        <v>0.99348729999999996</v>
      </c>
      <c r="Q2936">
        <v>2.649089E-2</v>
      </c>
      <c r="R2936">
        <v>-0.1108204</v>
      </c>
      <c r="S2936">
        <v>2.987549</v>
      </c>
      <c r="T2936">
        <v>-0.73964949999999996</v>
      </c>
      <c r="U2936">
        <v>-0.47788999999999998</v>
      </c>
      <c r="V2936">
        <v>0.108909199999999</v>
      </c>
      <c r="W2936">
        <v>4.3996260000000002E-2</v>
      </c>
      <c r="X2936">
        <v>0.9930776</v>
      </c>
      <c r="Y2936">
        <v>0.1516323</v>
      </c>
      <c r="Z2936">
        <v>-1.791011E-2</v>
      </c>
      <c r="AA2936">
        <v>0.98827469999999995</v>
      </c>
      <c r="AB2936">
        <v>44</v>
      </c>
      <c r="AC2936">
        <v>0.26380000000000298</v>
      </c>
      <c r="AD2936">
        <v>-0.17232519999999901</v>
      </c>
      <c r="AE2936">
        <v>-0.110600000000005</v>
      </c>
      <c r="AF2936">
        <v>8.0773774302838705E-2</v>
      </c>
      <c r="AG2936">
        <v>-0.17232519999999901</v>
      </c>
      <c r="AH2936">
        <v>0.193710305911067</v>
      </c>
      <c r="AI2936">
        <v>129.388720505398</v>
      </c>
      <c r="AJ2936">
        <v>67.364726173431194</v>
      </c>
      <c r="AK2936">
        <v>0.27155857523990101</v>
      </c>
      <c r="AL2936">
        <v>87.478386044080594</v>
      </c>
      <c r="AM2936">
        <v>83.741476117888595</v>
      </c>
      <c r="AN2936">
        <v>1.00000000218019</v>
      </c>
    </row>
    <row r="2937" spans="1:40" x14ac:dyDescent="0.25">
      <c r="A2937" t="str">
        <f>"20190312154611904"</f>
        <v>20190312154611904</v>
      </c>
      <c r="B2937" t="str">
        <f>"1552376771900044"</f>
        <v>1552376771900044</v>
      </c>
      <c r="C2937" t="s">
        <v>40</v>
      </c>
      <c r="D2937">
        <v>4.3191030000000001</v>
      </c>
      <c r="E2937">
        <v>0.5227463</v>
      </c>
      <c r="F2937" t="s">
        <v>41</v>
      </c>
      <c r="G2937">
        <v>-288.04849999999999</v>
      </c>
      <c r="H2937">
        <v>0.85803759999999996</v>
      </c>
      <c r="I2937">
        <v>215.67500000000001</v>
      </c>
      <c r="J2937">
        <v>-288.66379999999998</v>
      </c>
      <c r="K2937">
        <v>1.1099399999999999</v>
      </c>
      <c r="L2937">
        <v>215.83750000000001</v>
      </c>
      <c r="M2937">
        <v>0.99984770000000001</v>
      </c>
      <c r="N2937">
        <v>0</v>
      </c>
      <c r="O2937">
        <v>-1.997946E-3</v>
      </c>
      <c r="P2937">
        <v>0.99340220000000001</v>
      </c>
      <c r="Q2937">
        <v>2.387063E-2</v>
      </c>
      <c r="R2937">
        <v>-0.1121718</v>
      </c>
      <c r="S2937">
        <v>2.9855960000000001</v>
      </c>
      <c r="T2937">
        <v>-0.74715600000000004</v>
      </c>
      <c r="U2937">
        <v>-0.48381039999999997</v>
      </c>
      <c r="V2937">
        <v>0.1101964</v>
      </c>
      <c r="W2937">
        <v>4.1070660000000002E-2</v>
      </c>
      <c r="X2937">
        <v>0.99306090000000002</v>
      </c>
      <c r="Y2937">
        <v>0.15343679999999901</v>
      </c>
      <c r="Z2937">
        <v>-1.830099E-2</v>
      </c>
      <c r="AA2937">
        <v>0.98798900000000001</v>
      </c>
      <c r="AB2937">
        <v>43</v>
      </c>
      <c r="AC2937">
        <v>0.61529999999998997</v>
      </c>
      <c r="AD2937">
        <v>-0.25190239999999903</v>
      </c>
      <c r="AE2937">
        <v>-0.16249999999999401</v>
      </c>
      <c r="AF2937">
        <v>0.139425228156873</v>
      </c>
      <c r="AG2937">
        <v>-0.25190239999999903</v>
      </c>
      <c r="AH2937">
        <v>0.53223391080787097</v>
      </c>
      <c r="AI2937">
        <v>114.60037711474</v>
      </c>
      <c r="AJ2937">
        <v>75.320520952986797</v>
      </c>
      <c r="AK2937">
        <v>0.60511746726251103</v>
      </c>
      <c r="AL2937">
        <v>87.646162458025003</v>
      </c>
      <c r="AM2937">
        <v>83.667998210287394</v>
      </c>
      <c r="AN2937">
        <v>0.99999999839730203</v>
      </c>
    </row>
    <row r="2938" spans="1:40" x14ac:dyDescent="0.25">
      <c r="A2938" t="str">
        <f>"20190312154611928"</f>
        <v>20190312154611928</v>
      </c>
      <c r="B2938" t="str">
        <f>"1552376771920540"</f>
        <v>1552376771920540</v>
      </c>
      <c r="C2938" t="s">
        <v>40</v>
      </c>
      <c r="D2938">
        <v>4.3369960000000001</v>
      </c>
      <c r="E2938">
        <v>0.52307399999999904</v>
      </c>
      <c r="F2938" t="s">
        <v>41</v>
      </c>
      <c r="G2938">
        <v>-287.6617</v>
      </c>
      <c r="H2938">
        <v>0.85584009999999999</v>
      </c>
      <c r="I2938">
        <v>215.67250000000001</v>
      </c>
      <c r="J2938">
        <v>-288.22309999999999</v>
      </c>
      <c r="K2938">
        <v>1.1099209999999999</v>
      </c>
      <c r="L2938">
        <v>215.8365</v>
      </c>
      <c r="M2938">
        <v>0.9998534</v>
      </c>
      <c r="N2938">
        <v>0</v>
      </c>
      <c r="O2938">
        <v>-2.0517949999999999E-3</v>
      </c>
      <c r="P2938">
        <v>0.99320489999999995</v>
      </c>
      <c r="Q2938">
        <v>2.3306830000000001E-2</v>
      </c>
      <c r="R2938">
        <v>-0.11402320000000001</v>
      </c>
      <c r="S2938">
        <v>2.9827270000000001</v>
      </c>
      <c r="T2938">
        <v>-0.75635240000000004</v>
      </c>
      <c r="U2938">
        <v>-0.490448</v>
      </c>
      <c r="V2938">
        <v>0.1119926</v>
      </c>
      <c r="W2938">
        <v>4.0178279999999997E-2</v>
      </c>
      <c r="X2938">
        <v>0.99289640000000001</v>
      </c>
      <c r="Y2938">
        <v>0.1554953</v>
      </c>
      <c r="Z2938">
        <v>-1.8775340000000001E-2</v>
      </c>
      <c r="AA2938">
        <v>0.98765820000000004</v>
      </c>
      <c r="AB2938">
        <v>43</v>
      </c>
      <c r="AC2938">
        <v>0.56139999999999102</v>
      </c>
      <c r="AD2938">
        <v>-0.254080899999999</v>
      </c>
      <c r="AE2938">
        <v>-0.16399999999998699</v>
      </c>
      <c r="AF2938">
        <v>0.13699327261734001</v>
      </c>
      <c r="AG2938">
        <v>-0.254080899999999</v>
      </c>
      <c r="AH2938">
        <v>0.47255200859051999</v>
      </c>
      <c r="AI2938">
        <v>117.312529908884</v>
      </c>
      <c r="AJ2938">
        <v>73.833076417779793</v>
      </c>
      <c r="AK2938">
        <v>0.55374151127593196</v>
      </c>
      <c r="AL2938">
        <v>87.697334196574005</v>
      </c>
      <c r="AM2938">
        <v>83.564588303701598</v>
      </c>
      <c r="AN2938">
        <v>0.99999994888573795</v>
      </c>
    </row>
    <row r="2939" spans="1:40" x14ac:dyDescent="0.25">
      <c r="A2939" t="str">
        <f>"20190312154611949"</f>
        <v>20190312154611949</v>
      </c>
      <c r="B2939" t="str">
        <f>"1552376771940060"</f>
        <v>1552376771940060</v>
      </c>
      <c r="C2939" t="s">
        <v>40</v>
      </c>
      <c r="D2939">
        <v>4.3070089999999999</v>
      </c>
      <c r="E2939">
        <v>0.52336609999999995</v>
      </c>
      <c r="F2939" t="s">
        <v>41</v>
      </c>
      <c r="G2939">
        <v>-287.26949999999999</v>
      </c>
      <c r="H2939">
        <v>0.86756730000000004</v>
      </c>
      <c r="I2939">
        <v>215.67679999999999</v>
      </c>
      <c r="J2939">
        <v>-287.8066</v>
      </c>
      <c r="K2939">
        <v>1.10991</v>
      </c>
      <c r="L2939">
        <v>215.8357</v>
      </c>
      <c r="M2939">
        <v>0.99985809999999997</v>
      </c>
      <c r="N2939">
        <v>0</v>
      </c>
      <c r="O2939">
        <v>-2.0857710000000002E-3</v>
      </c>
      <c r="P2939">
        <v>0.99306260000000002</v>
      </c>
      <c r="Q2939">
        <v>2.4640370000000002E-2</v>
      </c>
      <c r="R2939">
        <v>-0.1149762</v>
      </c>
      <c r="S2939">
        <v>2.9810789999999998</v>
      </c>
      <c r="T2939">
        <v>-0.75764639999999905</v>
      </c>
      <c r="U2939">
        <v>-0.4985504</v>
      </c>
      <c r="V2939">
        <v>0.1129112</v>
      </c>
      <c r="W2939">
        <v>4.1224070000000002E-2</v>
      </c>
      <c r="X2939">
        <v>0.99274949999999995</v>
      </c>
      <c r="Y2939">
        <v>0.15806419999999999</v>
      </c>
      <c r="Z2939">
        <v>-1.9123270000000001E-2</v>
      </c>
      <c r="AA2939">
        <v>0.98724369999999995</v>
      </c>
      <c r="AB2939">
        <v>43</v>
      </c>
      <c r="AC2939">
        <v>0.53710000000000901</v>
      </c>
      <c r="AD2939">
        <v>-0.242342699999999</v>
      </c>
      <c r="AE2939">
        <v>-0.158900000000016</v>
      </c>
      <c r="AF2939">
        <v>0.132900099298048</v>
      </c>
      <c r="AG2939">
        <v>-0.242342699999999</v>
      </c>
      <c r="AH2939">
        <v>0.45268658667435402</v>
      </c>
      <c r="AI2939">
        <v>117.18795229584001</v>
      </c>
      <c r="AJ2939">
        <v>73.638772825973504</v>
      </c>
      <c r="AK2939">
        <v>0.53039378426938399</v>
      </c>
      <c r="AL2939">
        <v>87.637365186360199</v>
      </c>
      <c r="AM2939">
        <v>83.511299358405097</v>
      </c>
      <c r="AN2939">
        <v>0.999999966391526</v>
      </c>
    </row>
    <row r="2940" spans="1:40" x14ac:dyDescent="0.25">
      <c r="A2940" t="str">
        <f>"20190312154611973"</f>
        <v>20190312154611973</v>
      </c>
      <c r="B2940" t="str">
        <f>"1552376771970317"</f>
        <v>1552376771970317</v>
      </c>
      <c r="C2940" t="s">
        <v>40</v>
      </c>
      <c r="D2940">
        <v>4.330546</v>
      </c>
      <c r="E2940">
        <v>0.52331810000000001</v>
      </c>
      <c r="F2940" t="s">
        <v>41</v>
      </c>
      <c r="G2940">
        <v>-286.87909999999999</v>
      </c>
      <c r="H2940">
        <v>0.87559580000000004</v>
      </c>
      <c r="I2940">
        <v>215.67850000000001</v>
      </c>
      <c r="J2940">
        <v>-287.35649999999998</v>
      </c>
      <c r="K2940">
        <v>1.109909</v>
      </c>
      <c r="L2940">
        <v>215.8347</v>
      </c>
      <c r="M2940">
        <v>0.99986299999999995</v>
      </c>
      <c r="N2940">
        <v>0</v>
      </c>
      <c r="O2940">
        <v>-2.1053479999999999E-3</v>
      </c>
      <c r="P2940">
        <v>0.99299990000000005</v>
      </c>
      <c r="Q2940">
        <v>2.5266239999999999E-2</v>
      </c>
      <c r="R2940">
        <v>-0.11538229999999999</v>
      </c>
      <c r="S2940">
        <v>2.9812620000000001</v>
      </c>
      <c r="T2940">
        <v>-0.75317909999999999</v>
      </c>
      <c r="U2940">
        <v>-0.50401309999999999</v>
      </c>
      <c r="V2940">
        <v>0.1132972</v>
      </c>
      <c r="W2940">
        <v>4.1567090000000001E-2</v>
      </c>
      <c r="X2940">
        <v>0.99269130000000005</v>
      </c>
      <c r="Y2940">
        <v>0.15979979999999999</v>
      </c>
      <c r="Z2940">
        <v>-1.921958E-2</v>
      </c>
      <c r="AA2940">
        <v>0.98696229999999996</v>
      </c>
      <c r="AB2940">
        <v>43</v>
      </c>
      <c r="AC2940">
        <v>0.477399999999988</v>
      </c>
      <c r="AD2940">
        <v>-0.2343132</v>
      </c>
      <c r="AE2940">
        <v>-0.15619999999998399</v>
      </c>
      <c r="AF2940">
        <v>0.12745920434981201</v>
      </c>
      <c r="AG2940">
        <v>-0.2343132</v>
      </c>
      <c r="AH2940">
        <v>0.392351790439049</v>
      </c>
      <c r="AI2940">
        <v>119.595826585411</v>
      </c>
      <c r="AJ2940">
        <v>72.003119975577803</v>
      </c>
      <c r="AK2940">
        <v>0.474434876382897</v>
      </c>
      <c r="AL2940">
        <v>87.617694920540501</v>
      </c>
      <c r="AM2940">
        <v>83.488928690346498</v>
      </c>
      <c r="AN2940">
        <v>1.0000000477972899</v>
      </c>
    </row>
    <row r="2941" spans="1:40" x14ac:dyDescent="0.25">
      <c r="A2941" t="str">
        <f>"20190312154611996"</f>
        <v>20190312154611996</v>
      </c>
      <c r="B2941" t="str">
        <f>"1552376771989836"</f>
        <v>1552376771989836</v>
      </c>
      <c r="C2941" t="s">
        <v>40</v>
      </c>
      <c r="D2941">
        <v>4.3006399999999996</v>
      </c>
      <c r="E2941">
        <v>0.52321499999999999</v>
      </c>
      <c r="F2941" t="s">
        <v>41</v>
      </c>
      <c r="G2941">
        <v>-286.48680000000002</v>
      </c>
      <c r="H2941">
        <v>0.88927040000000002</v>
      </c>
      <c r="I2941">
        <v>215.68709999999999</v>
      </c>
      <c r="J2941">
        <v>-286.89830000000001</v>
      </c>
      <c r="K2941">
        <v>1.109896</v>
      </c>
      <c r="L2941">
        <v>215.8338</v>
      </c>
      <c r="M2941">
        <v>0.99986699999999995</v>
      </c>
      <c r="N2941">
        <v>0</v>
      </c>
      <c r="O2941">
        <v>-2.1131790000000002E-3</v>
      </c>
      <c r="P2941">
        <v>0.99306939999999999</v>
      </c>
      <c r="Q2941">
        <v>2.404444E-2</v>
      </c>
      <c r="R2941">
        <v>-0.11504540000000001</v>
      </c>
      <c r="S2941">
        <v>2.9816889999999998</v>
      </c>
      <c r="T2941">
        <v>-0.75645649999999998</v>
      </c>
      <c r="U2941">
        <v>-0.50534060000000003</v>
      </c>
      <c r="V2941">
        <v>0.1129512</v>
      </c>
      <c r="W2941">
        <v>4.008871E-2</v>
      </c>
      <c r="X2941">
        <v>0.99279150000000005</v>
      </c>
      <c r="Y2941">
        <v>0.16014600000000001</v>
      </c>
      <c r="Z2941">
        <v>-1.9338379999999999E-2</v>
      </c>
      <c r="AA2941">
        <v>0.98690389999999995</v>
      </c>
      <c r="AB2941">
        <v>43</v>
      </c>
      <c r="AC2941">
        <v>0.41149999999998899</v>
      </c>
      <c r="AD2941">
        <v>-0.22062560000000001</v>
      </c>
      <c r="AE2941">
        <v>-0.14670000000000899</v>
      </c>
      <c r="AF2941">
        <v>0.116195259914139</v>
      </c>
      <c r="AG2941">
        <v>-0.22062560000000001</v>
      </c>
      <c r="AH2941">
        <v>0.32812365812114103</v>
      </c>
      <c r="AI2941">
        <v>122.367264715489</v>
      </c>
      <c r="AJ2941">
        <v>70.499910242375293</v>
      </c>
      <c r="AK2941">
        <v>0.41211907116836199</v>
      </c>
      <c r="AL2941">
        <v>87.7024704821509</v>
      </c>
      <c r="AM2941">
        <v>83.5092925383927</v>
      </c>
      <c r="AN2941">
        <v>1.00000002036157</v>
      </c>
    </row>
    <row r="2942" spans="1:40" x14ac:dyDescent="0.25">
      <c r="A2942" t="str">
        <f>"20190312154612021"</f>
        <v>20190312154612021</v>
      </c>
      <c r="B2942" t="str">
        <f>"1552376772010333"</f>
        <v>1552376772010333</v>
      </c>
      <c r="C2942" t="s">
        <v>40</v>
      </c>
      <c r="D2942">
        <v>4.3116339999999997</v>
      </c>
      <c r="E2942">
        <v>0.52306779999999997</v>
      </c>
      <c r="F2942" t="s">
        <v>41</v>
      </c>
      <c r="G2942">
        <v>-286.09410000000003</v>
      </c>
      <c r="H2942">
        <v>0.90467059999999999</v>
      </c>
      <c r="I2942">
        <v>215.69759999999999</v>
      </c>
      <c r="J2942">
        <v>-286.41879999999998</v>
      </c>
      <c r="K2942">
        <v>1.1098889999999999</v>
      </c>
      <c r="L2942">
        <v>215.83269999999999</v>
      </c>
      <c r="M2942">
        <v>0.99987099999999995</v>
      </c>
      <c r="N2942">
        <v>0</v>
      </c>
      <c r="O2942">
        <v>-2.11466E-3</v>
      </c>
      <c r="P2942">
        <v>0.99321539999999997</v>
      </c>
      <c r="Q2942">
        <v>2.0789330000000002E-2</v>
      </c>
      <c r="R2942">
        <v>-0.11441560000000001</v>
      </c>
      <c r="S2942">
        <v>2.9810789999999998</v>
      </c>
      <c r="T2942">
        <v>-0.76076290000000002</v>
      </c>
      <c r="U2942">
        <v>-0.50358579999999997</v>
      </c>
      <c r="V2942">
        <v>0.1123188</v>
      </c>
      <c r="W2942">
        <v>3.6595580000000003E-2</v>
      </c>
      <c r="X2942">
        <v>0.99299809999999999</v>
      </c>
      <c r="Y2942">
        <v>0.15957360000000001</v>
      </c>
      <c r="Z2942">
        <v>-1.9378079999999999E-2</v>
      </c>
      <c r="AA2942">
        <v>0.98699579999999998</v>
      </c>
      <c r="AB2942">
        <v>43</v>
      </c>
      <c r="AC2942">
        <v>0.32469999999994997</v>
      </c>
      <c r="AD2942">
        <v>-0.205218399999999</v>
      </c>
      <c r="AE2942">
        <v>-0.135099999999994</v>
      </c>
      <c r="AF2942">
        <v>0.100270274093157</v>
      </c>
      <c r="AG2942">
        <v>-0.205218399999999</v>
      </c>
      <c r="AH2942">
        <v>0.24243443540212301</v>
      </c>
      <c r="AI2942">
        <v>128.033418378053</v>
      </c>
      <c r="AJ2942">
        <v>67.530135560352704</v>
      </c>
      <c r="AK2942">
        <v>0.33308133396217698</v>
      </c>
      <c r="AL2942">
        <v>87.902759397300699</v>
      </c>
      <c r="AM2942">
        <v>83.546657283102405</v>
      </c>
      <c r="AN2942">
        <v>0.99999998795629297</v>
      </c>
    </row>
    <row r="2943" spans="1:40" x14ac:dyDescent="0.25">
      <c r="A2943" t="str">
        <f>"20190312154612040"</f>
        <v>20190312154612040</v>
      </c>
      <c r="B2943" t="str">
        <f>"1552376772029852"</f>
        <v>1552376772029852</v>
      </c>
      <c r="C2943" t="s">
        <v>40</v>
      </c>
      <c r="D2943">
        <v>4.295337</v>
      </c>
      <c r="E2943">
        <v>0.52296560000000003</v>
      </c>
      <c r="F2943" t="s">
        <v>41</v>
      </c>
      <c r="G2943">
        <v>-285.70010000000002</v>
      </c>
      <c r="H2943">
        <v>0.92376210000000003</v>
      </c>
      <c r="I2943">
        <v>215.71190000000001</v>
      </c>
      <c r="J2943">
        <v>-286.04509999999999</v>
      </c>
      <c r="K2943">
        <v>1.109885</v>
      </c>
      <c r="L2943">
        <v>215.83199999999999</v>
      </c>
      <c r="M2943">
        <v>0.99987369999999998</v>
      </c>
      <c r="N2943">
        <v>0</v>
      </c>
      <c r="O2943">
        <v>-2.1140719999999998E-3</v>
      </c>
      <c r="P2943">
        <v>0.99329290000000003</v>
      </c>
      <c r="Q2943">
        <v>1.8675580000000001E-2</v>
      </c>
      <c r="R2943">
        <v>-0.11410869999999999</v>
      </c>
      <c r="S2943">
        <v>2.979034</v>
      </c>
      <c r="T2943">
        <v>-0.7715379</v>
      </c>
      <c r="U2943">
        <v>-0.50012209999999901</v>
      </c>
      <c r="V2943">
        <v>0.1120116</v>
      </c>
      <c r="W2943">
        <v>3.4318210000000002E-2</v>
      </c>
      <c r="X2943">
        <v>0.9931141</v>
      </c>
      <c r="Y2943">
        <v>0.1584595</v>
      </c>
      <c r="Z2943">
        <v>-1.9517840000000002E-2</v>
      </c>
      <c r="AA2943">
        <v>0.98717250000000001</v>
      </c>
      <c r="AB2943">
        <v>43</v>
      </c>
      <c r="AC2943">
        <v>0.34499999999997</v>
      </c>
      <c r="AD2943">
        <v>-0.18612290000000001</v>
      </c>
      <c r="AE2943">
        <v>-0.120099999999979</v>
      </c>
      <c r="AF2943">
        <v>9.4769326070601595E-2</v>
      </c>
      <c r="AG2943">
        <v>-0.18612290000000001</v>
      </c>
      <c r="AH2943">
        <v>0.27410011631322401</v>
      </c>
      <c r="AI2943">
        <v>122.690600260677</v>
      </c>
      <c r="AJ2943">
        <v>70.927320732265102</v>
      </c>
      <c r="AK2943">
        <v>0.344606780013407</v>
      </c>
      <c r="AL2943">
        <v>88.033325193667494</v>
      </c>
      <c r="AM2943">
        <v>83.564904775153195</v>
      </c>
      <c r="AN2943">
        <v>0.99999997684548603</v>
      </c>
    </row>
    <row r="2944" spans="1:40" x14ac:dyDescent="0.25">
      <c r="A2944" t="str">
        <f>"20190312154612068"</f>
        <v>20190312154612068</v>
      </c>
      <c r="B2944" t="str">
        <f>"1552376772060108"</f>
        <v>1552376772060108</v>
      </c>
      <c r="C2944" t="s">
        <v>40</v>
      </c>
      <c r="D2944">
        <v>4.3286980000000002</v>
      </c>
      <c r="E2944">
        <v>0.5227773</v>
      </c>
      <c r="F2944" t="s">
        <v>41</v>
      </c>
      <c r="G2944">
        <v>-285.31630000000001</v>
      </c>
      <c r="H2944">
        <v>0.91922939999999997</v>
      </c>
      <c r="I2944">
        <v>215.7099</v>
      </c>
      <c r="J2944">
        <v>-285.51369999999997</v>
      </c>
      <c r="K2944">
        <v>1.1099460000000001</v>
      </c>
      <c r="L2944">
        <v>215.83080000000001</v>
      </c>
      <c r="M2944">
        <v>0.99987420000000005</v>
      </c>
      <c r="N2944">
        <v>0</v>
      </c>
      <c r="O2944">
        <v>-2.1132299999999998E-3</v>
      </c>
      <c r="P2944">
        <v>0.99333760000000004</v>
      </c>
      <c r="Q2944">
        <v>1.9569070000000001E-2</v>
      </c>
      <c r="R2944">
        <v>-0.1135674</v>
      </c>
      <c r="S2944">
        <v>2.977722</v>
      </c>
      <c r="T2944">
        <v>-0.77897759999999905</v>
      </c>
      <c r="U2944">
        <v>-0.49774170000000001</v>
      </c>
      <c r="V2944">
        <v>0.11147070000000001</v>
      </c>
      <c r="W2944">
        <v>3.518172E-2</v>
      </c>
      <c r="X2944">
        <v>0.99314480000000005</v>
      </c>
      <c r="Y2944">
        <v>0.15768799999999999</v>
      </c>
      <c r="Z2944">
        <v>-1.961123E-2</v>
      </c>
      <c r="AA2944">
        <v>0.98729420000000001</v>
      </c>
      <c r="AB2944">
        <v>43</v>
      </c>
      <c r="AC2944">
        <v>0.197399999999959</v>
      </c>
      <c r="AD2944">
        <v>-0.19071659999999899</v>
      </c>
      <c r="AE2944">
        <v>-0.120900000000006</v>
      </c>
      <c r="AF2944">
        <v>7.1766817244525605E-2</v>
      </c>
      <c r="AG2944">
        <v>-0.19071659999999899</v>
      </c>
      <c r="AH2944">
        <v>0.117735545495618</v>
      </c>
      <c r="AI2944">
        <v>144.133781816219</v>
      </c>
      <c r="AJ2944">
        <v>58.635207889878302</v>
      </c>
      <c r="AK2944">
        <v>0.235340086356149</v>
      </c>
      <c r="AL2944">
        <v>87.9838199244154</v>
      </c>
      <c r="AM2944">
        <v>83.595917141926705</v>
      </c>
      <c r="AN2944">
        <v>1.00000003207384</v>
      </c>
    </row>
    <row r="2945" spans="1:40" x14ac:dyDescent="0.25">
      <c r="A2945" t="str">
        <f>"20190312154612090"</f>
        <v>20190312154612090</v>
      </c>
      <c r="B2945" t="str">
        <f>"1552376772079630"</f>
        <v>1552376772079630</v>
      </c>
      <c r="C2945" t="s">
        <v>40</v>
      </c>
      <c r="D2945">
        <v>4.3353479999999998</v>
      </c>
      <c r="E2945">
        <v>0.52275799999999994</v>
      </c>
      <c r="F2945" t="s">
        <v>41</v>
      </c>
      <c r="G2945">
        <v>-284.5693</v>
      </c>
      <c r="H2945">
        <v>0.86375329999999995</v>
      </c>
      <c r="I2945">
        <v>215.6738</v>
      </c>
      <c r="J2945">
        <v>-285.10019999999997</v>
      </c>
      <c r="K2945">
        <v>1.1100570000000001</v>
      </c>
      <c r="L2945">
        <v>215.83</v>
      </c>
      <c r="M2945">
        <v>0.9998707</v>
      </c>
      <c r="N2945">
        <v>0</v>
      </c>
      <c r="O2945">
        <v>-2.1133129999999999E-3</v>
      </c>
      <c r="P2945">
        <v>0.99327169999999998</v>
      </c>
      <c r="Q2945">
        <v>2.2000280000000001E-2</v>
      </c>
      <c r="R2945">
        <v>-0.1137005</v>
      </c>
      <c r="S2945">
        <v>2.9788209999999999</v>
      </c>
      <c r="T2945">
        <v>-0.77654529999999999</v>
      </c>
      <c r="U2945">
        <v>-0.4949036</v>
      </c>
      <c r="V2945">
        <v>0.11160340000000001</v>
      </c>
      <c r="W2945">
        <v>3.7826400000000003E-2</v>
      </c>
      <c r="X2945">
        <v>0.99303260000000004</v>
      </c>
      <c r="Y2945">
        <v>0.156777</v>
      </c>
      <c r="Z2945">
        <v>-1.9430429999999999E-2</v>
      </c>
      <c r="AA2945">
        <v>0.98744290000000001</v>
      </c>
      <c r="AB2945">
        <v>43</v>
      </c>
      <c r="AC2945">
        <v>0.53089999999997395</v>
      </c>
      <c r="AD2945">
        <v>-0.24630369999999899</v>
      </c>
      <c r="AE2945">
        <v>-0.156200000000012</v>
      </c>
      <c r="AF2945">
        <v>0.12943738158691701</v>
      </c>
      <c r="AG2945">
        <v>-0.24630369999999899</v>
      </c>
      <c r="AH2945">
        <v>0.44339676985461801</v>
      </c>
      <c r="AI2945">
        <v>118.068163314706</v>
      </c>
      <c r="AJ2945">
        <v>73.726300582663399</v>
      </c>
      <c r="AK2945">
        <v>0.52346942976956801</v>
      </c>
      <c r="AL2945">
        <v>87.832189644065195</v>
      </c>
      <c r="AM2945">
        <v>83.587638467656902</v>
      </c>
      <c r="AN2945">
        <v>0.99999995004563802</v>
      </c>
    </row>
    <row r="2946" spans="1:40" x14ac:dyDescent="0.25">
      <c r="A2946" t="str">
        <f>"20190312154612112"</f>
        <v>20190312154612112</v>
      </c>
      <c r="B2946" t="str">
        <f>"1552376772100125"</f>
        <v>1552376772100125</v>
      </c>
      <c r="C2946" t="s">
        <v>40</v>
      </c>
      <c r="D2946">
        <v>4.3696199999999896</v>
      </c>
      <c r="E2946">
        <v>0.52271089999999998</v>
      </c>
      <c r="F2946" t="s">
        <v>41</v>
      </c>
      <c r="G2946">
        <v>-284.18259999999998</v>
      </c>
      <c r="H2946">
        <v>0.87312710000000004</v>
      </c>
      <c r="I2946">
        <v>215.6773</v>
      </c>
      <c r="J2946">
        <v>-284.6979</v>
      </c>
      <c r="K2946">
        <v>1.1101799999999999</v>
      </c>
      <c r="L2946">
        <v>215.82910000000001</v>
      </c>
      <c r="M2946">
        <v>0.99986549999999996</v>
      </c>
      <c r="N2946">
        <v>0</v>
      </c>
      <c r="O2946">
        <v>-2.1144190000000002E-3</v>
      </c>
      <c r="P2946">
        <v>0.99324800000000002</v>
      </c>
      <c r="Q2946">
        <v>2.4225900000000002E-2</v>
      </c>
      <c r="R2946">
        <v>-0.1134545</v>
      </c>
      <c r="S2946">
        <v>2.9806210000000002</v>
      </c>
      <c r="T2946">
        <v>-0.76964290000000002</v>
      </c>
      <c r="U2946">
        <v>-0.49588009999999899</v>
      </c>
      <c r="V2946">
        <v>0.111356399999999</v>
      </c>
      <c r="W2946">
        <v>4.0387439999999997E-2</v>
      </c>
      <c r="X2946">
        <v>0.99295949999999999</v>
      </c>
      <c r="Y2946">
        <v>0.15707839999999901</v>
      </c>
      <c r="Z2946">
        <v>-1.9289279999999999E-2</v>
      </c>
      <c r="AA2946">
        <v>0.98739770000000004</v>
      </c>
      <c r="AB2946">
        <v>43</v>
      </c>
      <c r="AC2946">
        <v>0.51530000000002396</v>
      </c>
      <c r="AD2946">
        <v>-0.23705289999999901</v>
      </c>
      <c r="AE2946">
        <v>-0.15180000000000801</v>
      </c>
      <c r="AF2946">
        <v>0.12614583422933501</v>
      </c>
      <c r="AG2946">
        <v>-0.23705289999999901</v>
      </c>
      <c r="AH2946">
        <v>0.43157929871920098</v>
      </c>
      <c r="AI2946">
        <v>117.798622516988</v>
      </c>
      <c r="AJ2946">
        <v>73.706945031832802</v>
      </c>
      <c r="AK2946">
        <v>0.50829867201752799</v>
      </c>
      <c r="AL2946">
        <v>87.685340549694999</v>
      </c>
      <c r="AM2946">
        <v>83.601245324343097</v>
      </c>
      <c r="AN2946">
        <v>0.99999998088548103</v>
      </c>
    </row>
    <row r="2947" spans="1:40" x14ac:dyDescent="0.25">
      <c r="A2947" t="str">
        <f>"20190312154612130"</f>
        <v>20190312154612130</v>
      </c>
      <c r="B2947" t="str">
        <f>"1552376772119644"</f>
        <v>1552376772119644</v>
      </c>
      <c r="C2947" t="s">
        <v>40</v>
      </c>
      <c r="D2947">
        <v>4.3309059999999997</v>
      </c>
      <c r="E2947">
        <v>0.52263709999999997</v>
      </c>
      <c r="F2947" t="s">
        <v>41</v>
      </c>
      <c r="G2947">
        <v>-283.79809999999998</v>
      </c>
      <c r="H2947">
        <v>0.87990740000000001</v>
      </c>
      <c r="I2947">
        <v>215.67959999999999</v>
      </c>
      <c r="J2947">
        <v>-284.32859999999999</v>
      </c>
      <c r="K2947">
        <v>1.1102860000000001</v>
      </c>
      <c r="L2947">
        <v>215.82830000000001</v>
      </c>
      <c r="M2947">
        <v>0.99985959999999996</v>
      </c>
      <c r="N2947">
        <v>0</v>
      </c>
      <c r="O2947">
        <v>-2.1154949999999998E-3</v>
      </c>
      <c r="P2947">
        <v>0.99325030000000003</v>
      </c>
      <c r="Q2947">
        <v>2.4104420000000001E-2</v>
      </c>
      <c r="R2947">
        <v>-0.113459199999999</v>
      </c>
      <c r="S2947">
        <v>2.9824830000000002</v>
      </c>
      <c r="T2947">
        <v>-0.76325989999999999</v>
      </c>
      <c r="U2947">
        <v>-0.49484250000000002</v>
      </c>
      <c r="V2947">
        <v>0.1113599</v>
      </c>
      <c r="W2947">
        <v>4.0617559999999997E-2</v>
      </c>
      <c r="X2947">
        <v>0.99294970000000005</v>
      </c>
      <c r="Y2947">
        <v>0.15673999999999999</v>
      </c>
      <c r="Z2947">
        <v>-1.9080699999999999E-2</v>
      </c>
      <c r="AA2947">
        <v>0.98745550000000004</v>
      </c>
      <c r="AB2947">
        <v>43</v>
      </c>
      <c r="AC2947">
        <v>0.53050000000001696</v>
      </c>
      <c r="AD2947">
        <v>-0.23037859999999999</v>
      </c>
      <c r="AE2947">
        <v>-0.14870000000001901</v>
      </c>
      <c r="AF2947">
        <v>0.125613691675314</v>
      </c>
      <c r="AG2947">
        <v>-0.23037859999999999</v>
      </c>
      <c r="AH2947">
        <v>0.45181380037555302</v>
      </c>
      <c r="AI2947">
        <v>116.16323803426801</v>
      </c>
      <c r="AJ2947">
        <v>74.462956335708498</v>
      </c>
      <c r="AK2947">
        <v>0.52248330986172298</v>
      </c>
      <c r="AL2947">
        <v>87.672144768335201</v>
      </c>
      <c r="AM2947">
        <v>83.600983244567701</v>
      </c>
      <c r="AN2947">
        <v>0.99999996011922598</v>
      </c>
    </row>
    <row r="2948" spans="1:40" x14ac:dyDescent="0.25">
      <c r="A2948" t="str">
        <f>"20190312154612151"</f>
        <v>20190312154612151</v>
      </c>
      <c r="B2948" t="str">
        <f>"1552376772140141"</f>
        <v>1552376772140141</v>
      </c>
      <c r="C2948" t="s">
        <v>40</v>
      </c>
      <c r="D2948">
        <v>4.3728720000000001</v>
      </c>
      <c r="E2948">
        <v>0.52258660000000001</v>
      </c>
      <c r="F2948" t="s">
        <v>41</v>
      </c>
      <c r="G2948">
        <v>-283.41890000000001</v>
      </c>
      <c r="H2948">
        <v>0.8770926</v>
      </c>
      <c r="I2948">
        <v>215.67760000000001</v>
      </c>
      <c r="J2948">
        <v>-283.92700000000002</v>
      </c>
      <c r="K2948">
        <v>1.1103889999999901</v>
      </c>
      <c r="L2948">
        <v>215.82749999999999</v>
      </c>
      <c r="M2948">
        <v>0.99985239999999997</v>
      </c>
      <c r="N2948">
        <v>0</v>
      </c>
      <c r="O2948">
        <v>-2.116532E-3</v>
      </c>
      <c r="P2948">
        <v>0.99326599999999998</v>
      </c>
      <c r="Q2948">
        <v>2.318651E-2</v>
      </c>
      <c r="R2948">
        <v>-0.11351360000000001</v>
      </c>
      <c r="S2948">
        <v>2.982513</v>
      </c>
      <c r="T2948">
        <v>-0.76455010000000001</v>
      </c>
      <c r="U2948">
        <v>-0.49391170000000001</v>
      </c>
      <c r="V2948">
        <v>0.1114129</v>
      </c>
      <c r="W2948">
        <v>4.0122049999999999E-2</v>
      </c>
      <c r="X2948">
        <v>0.99296399999999996</v>
      </c>
      <c r="Y2948">
        <v>0.15643080000000001</v>
      </c>
      <c r="Z2948">
        <v>-1.907323E-2</v>
      </c>
      <c r="AA2948">
        <v>0.98750470000000001</v>
      </c>
      <c r="AB2948">
        <v>43</v>
      </c>
      <c r="AC2948">
        <v>0.50810000000001299</v>
      </c>
      <c r="AD2948">
        <v>-0.23329639999999899</v>
      </c>
      <c r="AE2948">
        <v>-0.149899999999973</v>
      </c>
      <c r="AF2948">
        <v>0.12464928727561</v>
      </c>
      <c r="AG2948">
        <v>-0.23329639999999899</v>
      </c>
      <c r="AH2948">
        <v>0.425829652980246</v>
      </c>
      <c r="AI2948">
        <v>117.73536745198</v>
      </c>
      <c r="AJ2948">
        <v>73.684137613915695</v>
      </c>
      <c r="AK2948">
        <v>0.50129387431780403</v>
      </c>
      <c r="AL2948">
        <v>87.700558792234503</v>
      </c>
      <c r="AM2948">
        <v>83.598054444948403</v>
      </c>
      <c r="AN2948">
        <v>1.0000000592392999</v>
      </c>
    </row>
    <row r="2949" spans="1:40" x14ac:dyDescent="0.25">
      <c r="A2949" t="str">
        <f>"20190312154612173"</f>
        <v>20190312154612173</v>
      </c>
      <c r="B2949" t="str">
        <f>"1552376772170398"</f>
        <v>1552376772170398</v>
      </c>
      <c r="C2949" t="s">
        <v>40</v>
      </c>
      <c r="D2949">
        <v>4.3696109999999999</v>
      </c>
      <c r="E2949">
        <v>0.52260949999999995</v>
      </c>
      <c r="F2949" t="s">
        <v>41</v>
      </c>
      <c r="G2949">
        <v>-283.03809999999999</v>
      </c>
      <c r="H2949">
        <v>0.88172379999999995</v>
      </c>
      <c r="I2949">
        <v>215.68020000000001</v>
      </c>
      <c r="J2949">
        <v>-283.51330000000002</v>
      </c>
      <c r="K2949">
        <v>1.110498</v>
      </c>
      <c r="L2949">
        <v>215.82660000000001</v>
      </c>
      <c r="M2949">
        <v>0.99984340000000005</v>
      </c>
      <c r="N2949">
        <v>0</v>
      </c>
      <c r="O2949">
        <v>-2.117028E-3</v>
      </c>
      <c r="P2949">
        <v>0.99316950000000004</v>
      </c>
      <c r="Q2949">
        <v>2.2921440000000001E-2</v>
      </c>
      <c r="R2949">
        <v>-0.1144071</v>
      </c>
      <c r="S2949">
        <v>2.9818730000000002</v>
      </c>
      <c r="T2949">
        <v>-0.76703100000000002</v>
      </c>
      <c r="U2949">
        <v>-0.49360660000000001</v>
      </c>
      <c r="V2949">
        <v>0.112306</v>
      </c>
      <c r="W2949">
        <v>4.0367430000000003E-2</v>
      </c>
      <c r="X2949">
        <v>0.9928534</v>
      </c>
      <c r="Y2949">
        <v>0.1563359</v>
      </c>
      <c r="Z2949">
        <v>-1.912523E-2</v>
      </c>
      <c r="AA2949">
        <v>0.98751880000000003</v>
      </c>
      <c r="AB2949">
        <v>43</v>
      </c>
      <c r="AC2949">
        <v>0.47520000000002899</v>
      </c>
      <c r="AD2949">
        <v>-0.22877419999999901</v>
      </c>
      <c r="AE2949">
        <v>-0.146399999999999</v>
      </c>
      <c r="AF2949">
        <v>0.119993247766727</v>
      </c>
      <c r="AG2949">
        <v>-0.22877419999999901</v>
      </c>
      <c r="AH2949">
        <v>0.39243746954703401</v>
      </c>
      <c r="AI2949">
        <v>119.13876767305101</v>
      </c>
      <c r="AJ2949">
        <v>72.998254545848994</v>
      </c>
      <c r="AK2949">
        <v>0.46983314229599199</v>
      </c>
      <c r="AL2949">
        <v>87.686488065611101</v>
      </c>
      <c r="AM2949">
        <v>83.546454030884306</v>
      </c>
      <c r="AN2949">
        <v>1.0000000204661801</v>
      </c>
    </row>
    <row r="2950" spans="1:40" x14ac:dyDescent="0.25">
      <c r="A2950" t="str">
        <f>"20190312154612195"</f>
        <v>20190312154612195</v>
      </c>
      <c r="B2950" t="str">
        <f>"1552376772189917"</f>
        <v>1552376772189917</v>
      </c>
      <c r="C2950" t="s">
        <v>40</v>
      </c>
      <c r="D2950">
        <v>4.3888049999999996</v>
      </c>
      <c r="E2950">
        <v>0.52262749999999902</v>
      </c>
      <c r="F2950" t="s">
        <v>41</v>
      </c>
      <c r="G2950">
        <v>-282.65750000000003</v>
      </c>
      <c r="H2950">
        <v>0.88990809999999998</v>
      </c>
      <c r="I2950">
        <v>215.684</v>
      </c>
      <c r="J2950">
        <v>-283.101</v>
      </c>
      <c r="K2950">
        <v>1.1106149999999999</v>
      </c>
      <c r="L2950">
        <v>215.82570000000001</v>
      </c>
      <c r="M2950">
        <v>0.99983270000000002</v>
      </c>
      <c r="N2950">
        <v>0</v>
      </c>
      <c r="O2950">
        <v>-2.1173030000000001E-3</v>
      </c>
      <c r="P2950">
        <v>0.99309599999999998</v>
      </c>
      <c r="Q2950">
        <v>2.347602E-2</v>
      </c>
      <c r="R2950">
        <v>-0.1149314</v>
      </c>
      <c r="S2950">
        <v>2.9811709999999998</v>
      </c>
      <c r="T2950">
        <v>-0.7683951</v>
      </c>
      <c r="U2950">
        <v>-0.4964905</v>
      </c>
      <c r="V2950">
        <v>0.1128301</v>
      </c>
      <c r="W2950">
        <v>4.1509919999999999E-2</v>
      </c>
      <c r="X2950">
        <v>0.99274680000000004</v>
      </c>
      <c r="Y2950">
        <v>0.15725500000000001</v>
      </c>
      <c r="Z2950">
        <v>-1.9276769999999999E-2</v>
      </c>
      <c r="AA2950">
        <v>0.98736990000000002</v>
      </c>
      <c r="AB2950">
        <v>42</v>
      </c>
      <c r="AC2950">
        <v>0.44349999999997097</v>
      </c>
      <c r="AD2950">
        <v>-0.22070689999999901</v>
      </c>
      <c r="AE2950">
        <v>-0.141699999999985</v>
      </c>
      <c r="AF2950">
        <v>0.114933355642068</v>
      </c>
      <c r="AG2950">
        <v>-0.22070689999999901</v>
      </c>
      <c r="AH2950">
        <v>0.362369527811642</v>
      </c>
      <c r="AI2950">
        <v>120.137896402721</v>
      </c>
      <c r="AJ2950">
        <v>72.402446485019695</v>
      </c>
      <c r="AK2950">
        <v>0.43958262776546198</v>
      </c>
      <c r="AL2950">
        <v>87.620973133368295</v>
      </c>
      <c r="AM2950">
        <v>83.515902766042799</v>
      </c>
      <c r="AN2950">
        <v>0.99999995691732702</v>
      </c>
    </row>
    <row r="2951" spans="1:40" x14ac:dyDescent="0.25">
      <c r="A2951" t="str">
        <f>"20190312154612218"</f>
        <v>20190312154612218</v>
      </c>
      <c r="B2951" t="str">
        <f>"1552376772210413"</f>
        <v>1552376772210413</v>
      </c>
      <c r="C2951" t="s">
        <v>40</v>
      </c>
      <c r="D2951">
        <v>4.4108929999999997</v>
      </c>
      <c r="E2951">
        <v>0.52264060000000001</v>
      </c>
      <c r="F2951" t="s">
        <v>41</v>
      </c>
      <c r="G2951">
        <v>-282.2783</v>
      </c>
      <c r="H2951">
        <v>0.89902879999999996</v>
      </c>
      <c r="I2951">
        <v>215.68799999999999</v>
      </c>
      <c r="J2951">
        <v>-282.67309999999998</v>
      </c>
      <c r="K2951">
        <v>1.110716</v>
      </c>
      <c r="L2951">
        <v>215.82480000000001</v>
      </c>
      <c r="M2951">
        <v>0.99982070000000001</v>
      </c>
      <c r="N2951">
        <v>0</v>
      </c>
      <c r="O2951">
        <v>-2.1179160000000001E-3</v>
      </c>
      <c r="P2951">
        <v>0.99302749999999995</v>
      </c>
      <c r="Q2951">
        <v>2.4215469999999999E-2</v>
      </c>
      <c r="R2951">
        <v>-0.1153706</v>
      </c>
      <c r="S2951">
        <v>2.981293</v>
      </c>
      <c r="T2951">
        <v>-0.76673719999999901</v>
      </c>
      <c r="U2951">
        <v>-0.49836730000000001</v>
      </c>
      <c r="V2951">
        <v>0.1132688</v>
      </c>
      <c r="W2951">
        <v>4.2904860000000003E-2</v>
      </c>
      <c r="X2951">
        <v>0.99263760000000001</v>
      </c>
      <c r="Y2951">
        <v>0.15785550000000001</v>
      </c>
      <c r="Z2951">
        <v>-1.9310089999999999E-2</v>
      </c>
      <c r="AA2951">
        <v>0.98727339999999997</v>
      </c>
      <c r="AB2951">
        <v>42</v>
      </c>
      <c r="AC2951">
        <v>0.394799999999975</v>
      </c>
      <c r="AD2951">
        <v>-0.21168719999999999</v>
      </c>
      <c r="AE2951">
        <v>-0.13680000000002199</v>
      </c>
      <c r="AF2951">
        <v>0.10819255831574</v>
      </c>
      <c r="AG2951">
        <v>-0.21168719999999999</v>
      </c>
      <c r="AH2951">
        <v>0.31439108655034298</v>
      </c>
      <c r="AI2951">
        <v>122.484041542885</v>
      </c>
      <c r="AJ2951">
        <v>71.009934917348104</v>
      </c>
      <c r="AK2951">
        <v>0.39415587731384899</v>
      </c>
      <c r="AL2951">
        <v>87.540977833648199</v>
      </c>
      <c r="AM2951">
        <v>83.490197671009099</v>
      </c>
      <c r="AN2951">
        <v>1.0000000264994</v>
      </c>
    </row>
    <row r="2952" spans="1:40" x14ac:dyDescent="0.25">
      <c r="A2952" t="str">
        <f>"20190312154612240"</f>
        <v>20190312154612240</v>
      </c>
      <c r="B2952" t="str">
        <f>"1552376772229933"</f>
        <v>1552376772229933</v>
      </c>
      <c r="C2952" t="s">
        <v>40</v>
      </c>
      <c r="D2952">
        <v>4.3344870000000002</v>
      </c>
      <c r="E2952">
        <v>0.52253470000000002</v>
      </c>
      <c r="F2952" t="s">
        <v>41</v>
      </c>
      <c r="G2952">
        <v>-281.89929999999998</v>
      </c>
      <c r="H2952">
        <v>0.91207360000000004</v>
      </c>
      <c r="I2952">
        <v>215.6952</v>
      </c>
      <c r="J2952">
        <v>-282.2593</v>
      </c>
      <c r="K2952">
        <v>1.1108039999999999</v>
      </c>
      <c r="L2952">
        <v>215.82390000000001</v>
      </c>
      <c r="M2952">
        <v>0.99980849999999999</v>
      </c>
      <c r="N2952">
        <v>0</v>
      </c>
      <c r="O2952">
        <v>-2.1185069999999999E-3</v>
      </c>
      <c r="P2952">
        <v>0.99302029999999997</v>
      </c>
      <c r="Q2952">
        <v>2.4273929999999999E-2</v>
      </c>
      <c r="R2952">
        <v>-0.11541949999999999</v>
      </c>
      <c r="S2952">
        <v>2.9817499999999999</v>
      </c>
      <c r="T2952">
        <v>-0.76547719999999997</v>
      </c>
      <c r="U2952">
        <v>-0.49934390000000001</v>
      </c>
      <c r="V2952">
        <v>0.1133171</v>
      </c>
      <c r="W2952">
        <v>4.3594199999999902E-2</v>
      </c>
      <c r="X2952">
        <v>0.99260199999999998</v>
      </c>
      <c r="Y2952">
        <v>0.15815309999999999</v>
      </c>
      <c r="Z2952">
        <v>-1.9313210000000001E-2</v>
      </c>
      <c r="AA2952">
        <v>0.98722569999999998</v>
      </c>
      <c r="AB2952">
        <v>42</v>
      </c>
      <c r="AC2952">
        <v>0.36000000000001298</v>
      </c>
      <c r="AD2952">
        <v>-0.1987304</v>
      </c>
      <c r="AE2952">
        <v>-0.128700000000009</v>
      </c>
      <c r="AF2952">
        <v>0.100721672131597</v>
      </c>
      <c r="AG2952">
        <v>-0.1987304</v>
      </c>
      <c r="AH2952">
        <v>0.28363346717228499</v>
      </c>
      <c r="AI2952">
        <v>123.435337177335</v>
      </c>
      <c r="AJ2952">
        <v>70.449434588085495</v>
      </c>
      <c r="AK2952">
        <v>0.36067515969542002</v>
      </c>
      <c r="AL2952">
        <v>87.501444441068202</v>
      </c>
      <c r="AM2952">
        <v>83.487214040422103</v>
      </c>
      <c r="AN2952">
        <v>0.99999997491502401</v>
      </c>
    </row>
    <row r="2953" spans="1:40" x14ac:dyDescent="0.25">
      <c r="A2953" t="str">
        <f>"20190312154612264"</f>
        <v>20190312154612264</v>
      </c>
      <c r="B2953" t="str">
        <f>"1552376772260188"</f>
        <v>1552376772260188</v>
      </c>
      <c r="C2953" t="s">
        <v>40</v>
      </c>
      <c r="D2953">
        <v>4.460172</v>
      </c>
      <c r="E2953">
        <v>0.52244269999999904</v>
      </c>
      <c r="F2953" t="s">
        <v>41</v>
      </c>
      <c r="G2953">
        <v>-281.52359999999999</v>
      </c>
      <c r="H2953">
        <v>0.92126739999999996</v>
      </c>
      <c r="I2953">
        <v>215.70070000000001</v>
      </c>
      <c r="J2953">
        <v>-281.81819999999999</v>
      </c>
      <c r="K2953">
        <v>1.1108830000000001</v>
      </c>
      <c r="L2953">
        <v>215.82300000000001</v>
      </c>
      <c r="M2953">
        <v>0.99979560000000001</v>
      </c>
      <c r="N2953">
        <v>0</v>
      </c>
      <c r="O2953">
        <v>-2.1188639999999998E-3</v>
      </c>
      <c r="P2953">
        <v>0.99310030000000005</v>
      </c>
      <c r="Q2953">
        <v>2.3945520000000001E-2</v>
      </c>
      <c r="R2953">
        <v>-0.114798499999999</v>
      </c>
      <c r="S2953">
        <v>2.9818730000000002</v>
      </c>
      <c r="T2953">
        <v>-0.76818599999999904</v>
      </c>
      <c r="U2953">
        <v>-0.49865720000000002</v>
      </c>
      <c r="V2953">
        <v>0.1126954</v>
      </c>
      <c r="W2953">
        <v>4.3914799999999997E-2</v>
      </c>
      <c r="X2953">
        <v>0.9926587</v>
      </c>
      <c r="Y2953">
        <v>0.15789890000000001</v>
      </c>
      <c r="Z2953">
        <v>-1.934692E-2</v>
      </c>
      <c r="AA2953">
        <v>0.98726579999999997</v>
      </c>
      <c r="AB2953">
        <v>42</v>
      </c>
      <c r="AC2953">
        <v>0.29460000000000203</v>
      </c>
      <c r="AD2953">
        <v>-0.1896156</v>
      </c>
      <c r="AE2953">
        <v>-0.122299999999967</v>
      </c>
      <c r="AF2953">
        <v>8.9905525647987705E-2</v>
      </c>
      <c r="AG2953">
        <v>-0.1896156</v>
      </c>
      <c r="AH2953">
        <v>0.21786996307862999</v>
      </c>
      <c r="AI2953">
        <v>128.81698145383501</v>
      </c>
      <c r="AJ2953">
        <v>67.576174487339401</v>
      </c>
      <c r="AK2953">
        <v>0.30249694232716601</v>
      </c>
      <c r="AL2953">
        <v>87.483057940597604</v>
      </c>
      <c r="AM2953">
        <v>83.523007962926897</v>
      </c>
      <c r="AN2953">
        <v>1.00000002876294</v>
      </c>
    </row>
    <row r="2954" spans="1:40" x14ac:dyDescent="0.25">
      <c r="A2954" t="str">
        <f>"20190312154612288"</f>
        <v>20190312154612288</v>
      </c>
      <c r="B2954" t="str">
        <f>"1552376772280685"</f>
        <v>1552376772280685</v>
      </c>
      <c r="C2954" t="s">
        <v>40</v>
      </c>
      <c r="D2954">
        <v>4.4870890000000001</v>
      </c>
      <c r="E2954">
        <v>0.52248190000000005</v>
      </c>
      <c r="F2954" t="s">
        <v>41</v>
      </c>
      <c r="G2954">
        <v>-280.81439999999998</v>
      </c>
      <c r="H2954">
        <v>0.85140169999999904</v>
      </c>
      <c r="I2954">
        <v>215.6559</v>
      </c>
      <c r="J2954">
        <v>-281.37880000000001</v>
      </c>
      <c r="K2954">
        <v>1.110941</v>
      </c>
      <c r="L2954">
        <v>215.82210000000001</v>
      </c>
      <c r="M2954">
        <v>0.99978279999999997</v>
      </c>
      <c r="N2954">
        <v>0</v>
      </c>
      <c r="O2954">
        <v>-2.1191909999999999E-3</v>
      </c>
      <c r="P2954">
        <v>0.99313450000000003</v>
      </c>
      <c r="Q2954">
        <v>2.3032919999999998E-2</v>
      </c>
      <c r="R2954">
        <v>-0.1146891</v>
      </c>
      <c r="S2954">
        <v>2.982056</v>
      </c>
      <c r="T2954">
        <v>-0.77081429999999995</v>
      </c>
      <c r="U2954">
        <v>-0.49620059999999999</v>
      </c>
      <c r="V2954">
        <v>0.11258550000000001</v>
      </c>
      <c r="W2954">
        <v>4.3615639999999997E-2</v>
      </c>
      <c r="X2954">
        <v>0.99268429999999996</v>
      </c>
      <c r="Y2954">
        <v>0.1570896</v>
      </c>
      <c r="Z2954">
        <v>-1.9308829999999999E-2</v>
      </c>
      <c r="AA2954">
        <v>0.98739560000000004</v>
      </c>
      <c r="AB2954">
        <v>41</v>
      </c>
      <c r="AC2954">
        <v>0.56440000000003399</v>
      </c>
      <c r="AD2954">
        <v>-0.25953929999999997</v>
      </c>
      <c r="AE2954">
        <v>-0.16620000000000301</v>
      </c>
      <c r="AF2954">
        <v>0.138125642112576</v>
      </c>
      <c r="AG2954">
        <v>-0.25953929999999997</v>
      </c>
      <c r="AH2954">
        <v>0.47275780432388698</v>
      </c>
      <c r="AI2954">
        <v>117.787393585966</v>
      </c>
      <c r="AJ2954">
        <v>73.713221603871602</v>
      </c>
      <c r="AK2954">
        <v>0.55672190796001897</v>
      </c>
      <c r="AL2954">
        <v>87.500214835619104</v>
      </c>
      <c r="AM2954">
        <v>83.529436153496405</v>
      </c>
      <c r="AN2954">
        <v>0.99999996916467404</v>
      </c>
    </row>
    <row r="2955" spans="1:40" x14ac:dyDescent="0.25">
      <c r="A2955" t="str">
        <f>"20190312154612308"</f>
        <v>20190312154612308</v>
      </c>
      <c r="B2955" t="str">
        <f>"1552376772300205"</f>
        <v>1552376772300205</v>
      </c>
      <c r="C2955" t="s">
        <v>40</v>
      </c>
      <c r="D2955">
        <v>4.5169199999999998</v>
      </c>
      <c r="E2955">
        <v>0.52257439999999999</v>
      </c>
      <c r="F2955" t="s">
        <v>41</v>
      </c>
      <c r="G2955">
        <v>-280.4418</v>
      </c>
      <c r="H2955">
        <v>0.86746159999999894</v>
      </c>
      <c r="I2955">
        <v>215.6661</v>
      </c>
      <c r="J2955">
        <v>-280.98689999999999</v>
      </c>
      <c r="K2955">
        <v>1.1109770000000001</v>
      </c>
      <c r="L2955">
        <v>215.82130000000001</v>
      </c>
      <c r="M2955">
        <v>0.99977210000000005</v>
      </c>
      <c r="N2955">
        <v>0</v>
      </c>
      <c r="O2955">
        <v>-2.1196990000000001E-3</v>
      </c>
      <c r="P2955">
        <v>0.99325439999999998</v>
      </c>
      <c r="Q2955">
        <v>2.1380039999999999E-2</v>
      </c>
      <c r="R2955">
        <v>-0.1139698</v>
      </c>
      <c r="S2955">
        <v>2.9814449999999999</v>
      </c>
      <c r="T2955">
        <v>-0.77470169999999905</v>
      </c>
      <c r="U2955">
        <v>-0.49594120000000003</v>
      </c>
      <c r="V2955">
        <v>0.1118653</v>
      </c>
      <c r="W2955">
        <v>4.2477050000000002E-2</v>
      </c>
      <c r="X2955">
        <v>0.99281509999999995</v>
      </c>
      <c r="Y2955">
        <v>0.15699009999999999</v>
      </c>
      <c r="Z2955">
        <v>-1.9394310000000001E-2</v>
      </c>
      <c r="AA2955">
        <v>0.98740969999999995</v>
      </c>
      <c r="AB2955">
        <v>41</v>
      </c>
      <c r="AC2955">
        <v>0.54509999999999004</v>
      </c>
      <c r="AD2955">
        <v>-0.24351539999999999</v>
      </c>
      <c r="AE2955">
        <v>-0.155200000000007</v>
      </c>
      <c r="AF2955">
        <v>0.13003798199441299</v>
      </c>
      <c r="AG2955">
        <v>-0.24351539999999999</v>
      </c>
      <c r="AH2955">
        <v>0.46042923033968802</v>
      </c>
      <c r="AI2955">
        <v>116.975083516</v>
      </c>
      <c r="AJ2955">
        <v>74.228848888645103</v>
      </c>
      <c r="AK2955">
        <v>0.53684700143480102</v>
      </c>
      <c r="AL2955">
        <v>87.565511804068706</v>
      </c>
      <c r="AM2955">
        <v>83.571320073644102</v>
      </c>
      <c r="AN2955">
        <v>0.99999998395440104</v>
      </c>
    </row>
    <row r="2956" spans="1:40" x14ac:dyDescent="0.25">
      <c r="A2956" t="str">
        <f>"20190312154612329"</f>
        <v>20190312154612329</v>
      </c>
      <c r="B2956" t="str">
        <f>"1552376772319725"</f>
        <v>1552376772319725</v>
      </c>
      <c r="C2956" t="s">
        <v>40</v>
      </c>
      <c r="D2956">
        <v>4.5201279999999997</v>
      </c>
      <c r="E2956">
        <v>0.52257039999999999</v>
      </c>
      <c r="F2956" t="s">
        <v>41</v>
      </c>
      <c r="G2956">
        <v>-280.07560000000001</v>
      </c>
      <c r="H2956">
        <v>0.87245550000000005</v>
      </c>
      <c r="I2956">
        <v>215.66990000000001</v>
      </c>
      <c r="J2956">
        <v>-280.61419999999998</v>
      </c>
      <c r="K2956">
        <v>1.111008</v>
      </c>
      <c r="L2956">
        <v>215.82050000000001</v>
      </c>
      <c r="M2956">
        <v>0.9997625</v>
      </c>
      <c r="N2956">
        <v>0</v>
      </c>
      <c r="O2956">
        <v>-2.1199980000000001E-3</v>
      </c>
      <c r="P2956">
        <v>0.99332929999999997</v>
      </c>
      <c r="Q2956">
        <v>2.0082530000000001E-2</v>
      </c>
      <c r="R2956">
        <v>-0.1135512</v>
      </c>
      <c r="S2956">
        <v>2.9804689999999998</v>
      </c>
      <c r="T2956">
        <v>-0.78017780000000003</v>
      </c>
      <c r="U2956">
        <v>-0.494278</v>
      </c>
      <c r="V2956">
        <v>0.1114463</v>
      </c>
      <c r="W2956">
        <v>4.162855E-2</v>
      </c>
      <c r="X2956">
        <v>0.99289819999999995</v>
      </c>
      <c r="Y2956">
        <v>0.1564499</v>
      </c>
      <c r="Z2956">
        <v>-1.9464829999999999E-2</v>
      </c>
      <c r="AA2956">
        <v>0.98749410000000004</v>
      </c>
      <c r="AB2956">
        <v>41</v>
      </c>
      <c r="AC2956">
        <v>0.53859999999997399</v>
      </c>
      <c r="AD2956">
        <v>-0.238552499999999</v>
      </c>
      <c r="AE2956">
        <v>-0.15059999999999699</v>
      </c>
      <c r="AF2956">
        <v>0.126450419241111</v>
      </c>
      <c r="AG2956">
        <v>-0.238552499999999</v>
      </c>
      <c r="AH2956">
        <v>0.45595835632933801</v>
      </c>
      <c r="AI2956">
        <v>116.755437332624</v>
      </c>
      <c r="AJ2956">
        <v>74.499769433319798</v>
      </c>
      <c r="AK2956">
        <v>0.52990095913203905</v>
      </c>
      <c r="AL2956">
        <v>87.614170416471296</v>
      </c>
      <c r="AM2956">
        <v>83.595730312719496</v>
      </c>
      <c r="AN2956">
        <v>1.0000000247610099</v>
      </c>
    </row>
    <row r="2957" spans="1:40" x14ac:dyDescent="0.25">
      <c r="A2957" t="str">
        <f>"20190312154612356"</f>
        <v>20190312154612356</v>
      </c>
      <c r="B2957" t="str">
        <f>"1552376772349981"</f>
        <v>1552376772349981</v>
      </c>
      <c r="C2957" t="s">
        <v>40</v>
      </c>
      <c r="D2957">
        <v>4.5048000000000004</v>
      </c>
      <c r="E2957">
        <v>0.52268000000000003</v>
      </c>
      <c r="F2957" t="s">
        <v>41</v>
      </c>
      <c r="G2957">
        <v>-279.7131</v>
      </c>
      <c r="H2957">
        <v>0.87341789999999997</v>
      </c>
      <c r="I2957">
        <v>215.6713</v>
      </c>
      <c r="J2957">
        <v>-280.1377</v>
      </c>
      <c r="K2957">
        <v>1.1110359999999999</v>
      </c>
      <c r="L2957">
        <v>215.81950000000001</v>
      </c>
      <c r="M2957">
        <v>0.99975139999999996</v>
      </c>
      <c r="N2957">
        <v>0</v>
      </c>
      <c r="O2957">
        <v>-2.120116E-3</v>
      </c>
      <c r="P2957">
        <v>0.99333039999999995</v>
      </c>
      <c r="Q2957">
        <v>1.9623069999999999E-2</v>
      </c>
      <c r="R2957">
        <v>-0.113621</v>
      </c>
      <c r="S2957">
        <v>2.9796749999999999</v>
      </c>
      <c r="T2957">
        <v>-0.7856727</v>
      </c>
      <c r="U2957">
        <v>-0.49311830000000001</v>
      </c>
      <c r="V2957">
        <v>0.1115159</v>
      </c>
      <c r="W2957">
        <v>4.1665710000000002E-2</v>
      </c>
      <c r="X2957">
        <v>0.99288880000000002</v>
      </c>
      <c r="Y2957">
        <v>0.15605769999999999</v>
      </c>
      <c r="Z2957">
        <v>-1.955252E-2</v>
      </c>
      <c r="AA2957">
        <v>0.98755440000000005</v>
      </c>
      <c r="AB2957">
        <v>41</v>
      </c>
      <c r="AC2957">
        <v>0.42459999999999798</v>
      </c>
      <c r="AD2957">
        <v>-0.2376181</v>
      </c>
      <c r="AE2957">
        <v>-0.148200000000002</v>
      </c>
      <c r="AF2957">
        <v>0.11515190242062701</v>
      </c>
      <c r="AG2957">
        <v>-0.2376181</v>
      </c>
      <c r="AH2957">
        <v>0.33217806407442202</v>
      </c>
      <c r="AI2957">
        <v>124.05377675502299</v>
      </c>
      <c r="AJ2957">
        <v>70.880760216712801</v>
      </c>
      <c r="AK2957">
        <v>0.42434017996288098</v>
      </c>
      <c r="AL2957">
        <v>87.612039393163499</v>
      </c>
      <c r="AM2957">
        <v>83.591703840379495</v>
      </c>
      <c r="AN2957">
        <v>0.99999999825402697</v>
      </c>
    </row>
    <row r="2958" spans="1:40" x14ac:dyDescent="0.25">
      <c r="A2958" t="str">
        <f>"20190312154612374"</f>
        <v>20190312154612374</v>
      </c>
      <c r="B2958" t="str">
        <f>"1552376772370477"</f>
        <v>1552376772370477</v>
      </c>
      <c r="C2958" t="s">
        <v>40</v>
      </c>
      <c r="D2958">
        <v>4.5712669999999997</v>
      </c>
      <c r="E2958">
        <v>0.52271899999999905</v>
      </c>
      <c r="F2958" t="s">
        <v>41</v>
      </c>
      <c r="G2958">
        <v>-279.3417</v>
      </c>
      <c r="H2958">
        <v>0.90016960000000001</v>
      </c>
      <c r="I2958">
        <v>215.68700000000001</v>
      </c>
      <c r="J2958">
        <v>-279.81599999999997</v>
      </c>
      <c r="K2958">
        <v>1.111048</v>
      </c>
      <c r="L2958">
        <v>215.81880000000001</v>
      </c>
      <c r="M2958">
        <v>0.99974549999999995</v>
      </c>
      <c r="N2958">
        <v>0</v>
      </c>
      <c r="O2958">
        <v>-2.120327E-3</v>
      </c>
      <c r="P2958">
        <v>0.99332160000000003</v>
      </c>
      <c r="Q2958">
        <v>1.9605350000000001E-2</v>
      </c>
      <c r="R2958">
        <v>-0.1137017</v>
      </c>
      <c r="S2958">
        <v>2.9791560000000001</v>
      </c>
      <c r="T2958">
        <v>-0.78928540000000003</v>
      </c>
      <c r="U2958">
        <v>-0.494751</v>
      </c>
      <c r="V2958">
        <v>0.1115965</v>
      </c>
      <c r="W2958">
        <v>4.1910589999999998E-2</v>
      </c>
      <c r="X2958">
        <v>0.99286940000000001</v>
      </c>
      <c r="Y2958">
        <v>0.15654779999999999</v>
      </c>
      <c r="Z2958">
        <v>-1.9705279999999999E-2</v>
      </c>
      <c r="AA2958">
        <v>0.98747379999999996</v>
      </c>
      <c r="AB2958">
        <v>40</v>
      </c>
      <c r="AC2958">
        <v>0.47429999999997102</v>
      </c>
      <c r="AD2958">
        <v>-0.21087839999999999</v>
      </c>
      <c r="AE2958">
        <v>-0.131799999999998</v>
      </c>
      <c r="AF2958">
        <v>0.110513684398048</v>
      </c>
      <c r="AG2958">
        <v>-0.21087839999999999</v>
      </c>
      <c r="AH2958">
        <v>0.40099318925967198</v>
      </c>
      <c r="AI2958">
        <v>116.88447762057299</v>
      </c>
      <c r="AJ2958">
        <v>74.591798319320702</v>
      </c>
      <c r="AK2958">
        <v>0.46634591437948097</v>
      </c>
      <c r="AL2958">
        <v>87.597996446343402</v>
      </c>
      <c r="AM2958">
        <v>83.586986448168801</v>
      </c>
      <c r="AN2958">
        <v>0.99999996091137799</v>
      </c>
    </row>
    <row r="2959" spans="1:40" x14ac:dyDescent="0.25">
      <c r="A2959" t="str">
        <f>"20190312154612396"</f>
        <v>20190312154612396</v>
      </c>
      <c r="B2959" t="str">
        <f>"1552376772389997"</f>
        <v>1552376772389997</v>
      </c>
      <c r="C2959" t="s">
        <v>40</v>
      </c>
      <c r="D2959">
        <v>4.5213349999999997</v>
      </c>
      <c r="E2959">
        <v>0.52277680000000004</v>
      </c>
      <c r="F2959" t="s">
        <v>41</v>
      </c>
      <c r="G2959">
        <v>-278.98669999999998</v>
      </c>
      <c r="H2959">
        <v>0.89124239999999999</v>
      </c>
      <c r="I2959">
        <v>215.6808</v>
      </c>
      <c r="J2959">
        <v>-279.41789999999997</v>
      </c>
      <c r="K2959">
        <v>1.1110530000000001</v>
      </c>
      <c r="L2959">
        <v>215.81800000000001</v>
      </c>
      <c r="M2959">
        <v>0.99974030000000003</v>
      </c>
      <c r="N2959">
        <v>0</v>
      </c>
      <c r="O2959">
        <v>-2.1207029999999998E-3</v>
      </c>
      <c r="P2959">
        <v>0.99329480000000003</v>
      </c>
      <c r="Q2959">
        <v>1.9637129999999999E-2</v>
      </c>
      <c r="R2959">
        <v>-0.11392969999999999</v>
      </c>
      <c r="S2959">
        <v>2.9790649999999999</v>
      </c>
      <c r="T2959">
        <v>-0.78962730000000003</v>
      </c>
      <c r="U2959">
        <v>-0.49519350000000001</v>
      </c>
      <c r="V2959">
        <v>0.1118241</v>
      </c>
      <c r="W2959">
        <v>4.2174530000000002E-2</v>
      </c>
      <c r="X2959">
        <v>0.99283270000000001</v>
      </c>
      <c r="Y2959">
        <v>0.15668589999999999</v>
      </c>
      <c r="Z2959">
        <v>-1.9731660000000002E-2</v>
      </c>
      <c r="AA2959">
        <v>0.98745139999999998</v>
      </c>
      <c r="AB2959">
        <v>40</v>
      </c>
      <c r="AC2959">
        <v>0.43119999999998898</v>
      </c>
      <c r="AD2959">
        <v>-0.21981059999999999</v>
      </c>
      <c r="AE2959">
        <v>-0.13719999999997801</v>
      </c>
      <c r="AF2959">
        <v>0.110265574123733</v>
      </c>
      <c r="AG2959">
        <v>-0.21981059999999999</v>
      </c>
      <c r="AH2959">
        <v>0.34911029632806101</v>
      </c>
      <c r="AI2959">
        <v>120.98039655880901</v>
      </c>
      <c r="AJ2959">
        <v>72.471414492927394</v>
      </c>
      <c r="AK2959">
        <v>0.427028331274944</v>
      </c>
      <c r="AL2959">
        <v>87.582860618688599</v>
      </c>
      <c r="AM2959">
        <v>83.5737809133051</v>
      </c>
      <c r="AN2959">
        <v>1.0000000452554001</v>
      </c>
    </row>
    <row r="2960" spans="1:40" x14ac:dyDescent="0.25">
      <c r="A2960" t="str">
        <f>"20190312154612419"</f>
        <v>20190312154612419</v>
      </c>
      <c r="B2960" t="str">
        <f>"1552376772410492"</f>
        <v>1552376772410492</v>
      </c>
      <c r="C2960" t="s">
        <v>40</v>
      </c>
      <c r="D2960">
        <v>4.6257349999999997</v>
      </c>
      <c r="E2960">
        <v>0.52284609999999998</v>
      </c>
      <c r="F2960" t="s">
        <v>41</v>
      </c>
      <c r="G2960">
        <v>-278.62560000000002</v>
      </c>
      <c r="H2960">
        <v>0.90088000000000001</v>
      </c>
      <c r="I2960">
        <v>215.68539999999999</v>
      </c>
      <c r="J2960">
        <v>-279.01100000000002</v>
      </c>
      <c r="K2960">
        <v>1.11102099999999</v>
      </c>
      <c r="L2960">
        <v>215.81710000000001</v>
      </c>
      <c r="M2960">
        <v>0.9997376</v>
      </c>
      <c r="N2960">
        <v>0</v>
      </c>
      <c r="O2960">
        <v>-2.1212050000000001E-3</v>
      </c>
      <c r="P2960">
        <v>0.99328050000000001</v>
      </c>
      <c r="Q2960">
        <v>1.943858E-2</v>
      </c>
      <c r="R2960">
        <v>-0.1140891</v>
      </c>
      <c r="S2960">
        <v>2.9788510000000001</v>
      </c>
      <c r="T2960">
        <v>-0.79023909999999997</v>
      </c>
      <c r="U2960">
        <v>-0.49688719999999997</v>
      </c>
      <c r="V2960">
        <v>0.1119829</v>
      </c>
      <c r="W2960">
        <v>4.2092579999999997E-2</v>
      </c>
      <c r="X2960">
        <v>0.99281819999999998</v>
      </c>
      <c r="Y2960">
        <v>0.1572172</v>
      </c>
      <c r="Z2960">
        <v>-1.9815619999999999E-2</v>
      </c>
      <c r="AA2960">
        <v>0.98736520000000005</v>
      </c>
      <c r="AB2960">
        <v>40</v>
      </c>
      <c r="AC2960">
        <v>0.38539999999994701</v>
      </c>
      <c r="AD2960">
        <v>-0.210140999999999</v>
      </c>
      <c r="AE2960">
        <v>-0.13170000000002299</v>
      </c>
      <c r="AF2960">
        <v>0.103364728100829</v>
      </c>
      <c r="AG2960">
        <v>-0.210140999999999</v>
      </c>
      <c r="AH2960">
        <v>0.30459166943108301</v>
      </c>
      <c r="AI2960">
        <v>123.157259513214</v>
      </c>
      <c r="AJ2960">
        <v>71.2550959250554</v>
      </c>
      <c r="AK2960">
        <v>0.38421295134752098</v>
      </c>
      <c r="AL2960">
        <v>87.587559991297795</v>
      </c>
      <c r="AM2960">
        <v>83.564638423461602</v>
      </c>
      <c r="AN2960">
        <v>0.99999996671735203</v>
      </c>
    </row>
    <row r="2961" spans="1:40" x14ac:dyDescent="0.25">
      <c r="A2961" t="str">
        <f>"20190312154612441"</f>
        <v>20190312154612441</v>
      </c>
      <c r="B2961" t="str">
        <f>"1552376772430013"</f>
        <v>1552376772430013</v>
      </c>
      <c r="C2961" t="s">
        <v>40</v>
      </c>
      <c r="D2961">
        <v>4.6041100000000004</v>
      </c>
      <c r="E2961">
        <v>0.522883599999999</v>
      </c>
      <c r="F2961" t="s">
        <v>41</v>
      </c>
      <c r="G2961">
        <v>-278.26510000000002</v>
      </c>
      <c r="H2961">
        <v>0.91289880000000001</v>
      </c>
      <c r="I2961">
        <v>215.6926</v>
      </c>
      <c r="J2961">
        <v>-278.61290000000002</v>
      </c>
      <c r="K2961">
        <v>1.110975</v>
      </c>
      <c r="L2961">
        <v>215.81630000000001</v>
      </c>
      <c r="M2961">
        <v>0.99973829999999997</v>
      </c>
      <c r="N2961">
        <v>0</v>
      </c>
      <c r="O2961">
        <v>-2.1216999999999998E-3</v>
      </c>
      <c r="P2961">
        <v>0.99319979999999997</v>
      </c>
      <c r="Q2961">
        <v>1.943373E-2</v>
      </c>
      <c r="R2961">
        <v>-0.1147903</v>
      </c>
      <c r="S2961">
        <v>2.9786380000000001</v>
      </c>
      <c r="T2961">
        <v>-0.79115590000000002</v>
      </c>
      <c r="U2961">
        <v>-0.4974365</v>
      </c>
      <c r="V2961">
        <v>0.1126839</v>
      </c>
      <c r="W2961">
        <v>4.2056379999999997E-2</v>
      </c>
      <c r="X2961">
        <v>0.99274050000000003</v>
      </c>
      <c r="Y2961">
        <v>0.1573872</v>
      </c>
      <c r="Z2961">
        <v>-1.9860849999999999E-2</v>
      </c>
      <c r="AA2961">
        <v>0.98733720000000003</v>
      </c>
      <c r="AB2961">
        <v>40</v>
      </c>
      <c r="AC2961">
        <v>0.34780000000000599</v>
      </c>
      <c r="AD2961">
        <v>-0.19807619999999901</v>
      </c>
      <c r="AE2961">
        <v>-0.12370000000001299</v>
      </c>
      <c r="AF2961">
        <v>9.5472837816643397E-2</v>
      </c>
      <c r="AG2961">
        <v>-0.19807619999999901</v>
      </c>
      <c r="AH2961">
        <v>0.27025055995278602</v>
      </c>
      <c r="AI2961">
        <v>124.647517050761</v>
      </c>
      <c r="AJ2961">
        <v>70.542945492764403</v>
      </c>
      <c r="AK2961">
        <v>0.34840294046118098</v>
      </c>
      <c r="AL2961">
        <v>87.589636138657198</v>
      </c>
      <c r="AM2961">
        <v>83.524192396892204</v>
      </c>
      <c r="AN2961">
        <v>1.00000005037908</v>
      </c>
    </row>
    <row r="2962" spans="1:40" x14ac:dyDescent="0.25">
      <c r="A2962" t="str">
        <f>"20190312154612476"</f>
        <v>20190312154612476</v>
      </c>
      <c r="B2962" t="str">
        <f>"1552376772470030"</f>
        <v>1552376772470030</v>
      </c>
      <c r="C2962" t="s">
        <v>40</v>
      </c>
      <c r="D2962">
        <v>4.5846439999999999</v>
      </c>
      <c r="E2962">
        <v>0.52288389999999996</v>
      </c>
      <c r="F2962" t="s">
        <v>41</v>
      </c>
      <c r="G2962">
        <v>-277.90609999999998</v>
      </c>
      <c r="H2962">
        <v>0.92310210000000004</v>
      </c>
      <c r="I2962">
        <v>215.69749999999999</v>
      </c>
      <c r="J2962">
        <v>-278.00670000000002</v>
      </c>
      <c r="K2962">
        <v>1.110827</v>
      </c>
      <c r="L2962">
        <v>215.815</v>
      </c>
      <c r="M2962">
        <v>0.99975060000000004</v>
      </c>
      <c r="N2962">
        <v>0</v>
      </c>
      <c r="O2962">
        <v>-2.1219210000000001E-3</v>
      </c>
      <c r="P2962">
        <v>0.9930042</v>
      </c>
      <c r="Q2962">
        <v>2.0760770000000001E-2</v>
      </c>
      <c r="R2962">
        <v>-0.1162395</v>
      </c>
      <c r="S2962">
        <v>2.9783629999999999</v>
      </c>
      <c r="T2962">
        <v>-0.7917206</v>
      </c>
      <c r="U2962">
        <v>-0.49928280000000003</v>
      </c>
      <c r="V2962">
        <v>0.114133399999999</v>
      </c>
      <c r="W2962">
        <v>4.2831010000000003E-2</v>
      </c>
      <c r="X2962">
        <v>0.99254169999999997</v>
      </c>
      <c r="Y2962">
        <v>0.15796979999999999</v>
      </c>
      <c r="Z2962">
        <v>-1.9950900000000001E-2</v>
      </c>
      <c r="AA2962">
        <v>0.98724239999999996</v>
      </c>
      <c r="AB2962">
        <v>40</v>
      </c>
      <c r="AC2962">
        <v>0.100600000000042</v>
      </c>
      <c r="AD2962">
        <v>-0.1877249</v>
      </c>
      <c r="AE2962">
        <v>-0.117500000000006</v>
      </c>
      <c r="AF2962">
        <v>4.7429307112952797E-2</v>
      </c>
      <c r="AG2962">
        <v>-0.1877249</v>
      </c>
      <c r="AH2962">
        <v>4.0782335104289899E-2</v>
      </c>
      <c r="AI2962">
        <v>161.57139235077301</v>
      </c>
      <c r="AJ2962">
        <v>40.690760671564597</v>
      </c>
      <c r="AK2962">
        <v>0.19787212059758</v>
      </c>
      <c r="AL2962">
        <v>87.545212899275199</v>
      </c>
      <c r="AM2962">
        <v>83.440310401964595</v>
      </c>
      <c r="AN2962">
        <v>0.99999997732603396</v>
      </c>
    </row>
    <row r="2963" spans="1:40" x14ac:dyDescent="0.25">
      <c r="A2963" t="str">
        <f>"20190312154612503"</f>
        <v>20190312154612503</v>
      </c>
      <c r="B2963" t="str">
        <f>"1552376772490525"</f>
        <v>1552376772490525</v>
      </c>
      <c r="C2963" t="s">
        <v>40</v>
      </c>
      <c r="D2963">
        <v>4.6474989999999998</v>
      </c>
      <c r="E2963">
        <v>0.52281699999999998</v>
      </c>
      <c r="F2963" t="s">
        <v>41</v>
      </c>
      <c r="G2963">
        <v>-277.20920000000001</v>
      </c>
      <c r="H2963">
        <v>0.89951130000000001</v>
      </c>
      <c r="I2963">
        <v>215.68010000000001</v>
      </c>
      <c r="J2963">
        <v>-277.5412</v>
      </c>
      <c r="K2963">
        <v>1.110679</v>
      </c>
      <c r="L2963">
        <v>215.81399999999999</v>
      </c>
      <c r="M2963">
        <v>0.99976679999999996</v>
      </c>
      <c r="N2963">
        <v>0</v>
      </c>
      <c r="O2963">
        <v>-2.1218880000000002E-3</v>
      </c>
      <c r="P2963">
        <v>0.99283730000000003</v>
      </c>
      <c r="Q2963">
        <v>2.3192580000000001E-2</v>
      </c>
      <c r="R2963">
        <v>-0.11720270000000001</v>
      </c>
      <c r="S2963">
        <v>2.978729</v>
      </c>
      <c r="T2963">
        <v>-0.78933909999999996</v>
      </c>
      <c r="U2963">
        <v>-0.50350950000000005</v>
      </c>
      <c r="V2963">
        <v>0.115097</v>
      </c>
      <c r="W2963">
        <v>4.4529800000000001E-2</v>
      </c>
      <c r="X2963">
        <v>0.9923556</v>
      </c>
      <c r="Y2963">
        <v>0.15930129999999901</v>
      </c>
      <c r="Z2963">
        <v>-2.0060600000000001E-2</v>
      </c>
      <c r="AA2963">
        <v>0.98702619999999996</v>
      </c>
      <c r="AB2963">
        <v>40</v>
      </c>
      <c r="AC2963">
        <v>0.33199999999999302</v>
      </c>
      <c r="AD2963">
        <v>-0.21116770000000001</v>
      </c>
      <c r="AE2963">
        <v>-0.13390000000001101</v>
      </c>
      <c r="AF2963">
        <v>9.88125554379361E-2</v>
      </c>
      <c r="AG2963">
        <v>-0.21116770000000001</v>
      </c>
      <c r="AH2963">
        <v>0.24650894349094701</v>
      </c>
      <c r="AI2963">
        <v>128.489303033971</v>
      </c>
      <c r="AJ2963">
        <v>68.156729898829894</v>
      </c>
      <c r="AK2963">
        <v>0.33929688748423298</v>
      </c>
      <c r="AL2963">
        <v>87.447786278119196</v>
      </c>
      <c r="AM2963">
        <v>83.384187852467406</v>
      </c>
      <c r="AN2963">
        <v>0.99999992967419704</v>
      </c>
    </row>
    <row r="2964" spans="1:40" x14ac:dyDescent="0.25">
      <c r="A2964" t="str">
        <f>"20190312154612525"</f>
        <v>20190312154612525</v>
      </c>
      <c r="B2964" t="str">
        <f>"1552376772519805"</f>
        <v>1552376772519805</v>
      </c>
      <c r="C2964" t="s">
        <v>40</v>
      </c>
      <c r="D2964">
        <v>4.6582369999999997</v>
      </c>
      <c r="E2964">
        <v>0.52278089999999999</v>
      </c>
      <c r="F2964" t="s">
        <v>41</v>
      </c>
      <c r="G2964">
        <v>-276.84399999999999</v>
      </c>
      <c r="H2964">
        <v>0.9278864</v>
      </c>
      <c r="I2964">
        <v>215.69550000000001</v>
      </c>
      <c r="J2964">
        <v>-277.16160000000002</v>
      </c>
      <c r="K2964">
        <v>1.1105799999999999</v>
      </c>
      <c r="L2964">
        <v>215.81319999999999</v>
      </c>
      <c r="M2964">
        <v>0.99978060000000002</v>
      </c>
      <c r="N2964">
        <v>0</v>
      </c>
      <c r="O2964">
        <v>-2.1216450000000001E-3</v>
      </c>
      <c r="P2964">
        <v>0.99260939999999998</v>
      </c>
      <c r="Q2964">
        <v>2.492492E-2</v>
      </c>
      <c r="R2964">
        <v>-0.118766</v>
      </c>
      <c r="S2964">
        <v>2.980194</v>
      </c>
      <c r="T2964">
        <v>-0.78135909999999997</v>
      </c>
      <c r="U2964">
        <v>-0.50610350000000004</v>
      </c>
      <c r="V2964">
        <v>0.116661</v>
      </c>
      <c r="W2964">
        <v>4.5608259999999998E-2</v>
      </c>
      <c r="X2964">
        <v>0.99212400000000001</v>
      </c>
      <c r="Y2964">
        <v>0.1601397</v>
      </c>
      <c r="Z2964">
        <v>-1.9961059999999999E-2</v>
      </c>
      <c r="AA2964">
        <v>0.98689249999999995</v>
      </c>
      <c r="AB2964">
        <v>40</v>
      </c>
      <c r="AC2964">
        <v>0.31760000000002703</v>
      </c>
      <c r="AD2964">
        <v>-0.18269359999999901</v>
      </c>
      <c r="AE2964">
        <v>-0.117699999999985</v>
      </c>
      <c r="AF2964">
        <v>9.0651933240757696E-2</v>
      </c>
      <c r="AG2964">
        <v>-0.18269359999999901</v>
      </c>
      <c r="AH2964">
        <v>0.246216157072083</v>
      </c>
      <c r="AI2964">
        <v>124.849864265769</v>
      </c>
      <c r="AJ2964">
        <v>69.787288155889001</v>
      </c>
      <c r="AK2964">
        <v>0.31971412306088598</v>
      </c>
      <c r="AL2964">
        <v>87.385932310128794</v>
      </c>
      <c r="AM2964">
        <v>83.293550792474207</v>
      </c>
      <c r="AN2964">
        <v>0.99999996683861303</v>
      </c>
    </row>
    <row r="2965" spans="1:40" x14ac:dyDescent="0.25">
      <c r="A2965" t="str">
        <f>"20190312154612563"</f>
        <v>20190312154612563</v>
      </c>
      <c r="B2965" t="str">
        <f>"1552376772559823"</f>
        <v>1552376772559823</v>
      </c>
      <c r="C2965" t="s">
        <v>40</v>
      </c>
      <c r="D2965">
        <v>4.641832</v>
      </c>
      <c r="E2965">
        <v>0.52278150000000001</v>
      </c>
      <c r="F2965" t="s">
        <v>41</v>
      </c>
      <c r="G2965">
        <v>-276.1705</v>
      </c>
      <c r="H2965">
        <v>0.851998699999999</v>
      </c>
      <c r="I2965">
        <v>215.64359999999999</v>
      </c>
      <c r="J2965">
        <v>-276.46519999999998</v>
      </c>
      <c r="K2965">
        <v>1.1104050000000001</v>
      </c>
      <c r="L2965">
        <v>215.8117</v>
      </c>
      <c r="M2965">
        <v>0.99980449999999998</v>
      </c>
      <c r="N2965">
        <v>0</v>
      </c>
      <c r="O2965">
        <v>-2.121614E-3</v>
      </c>
      <c r="P2965">
        <v>0.99233870000000002</v>
      </c>
      <c r="Q2965">
        <v>2.5883150000000001E-2</v>
      </c>
      <c r="R2965">
        <v>-0.1208075</v>
      </c>
      <c r="S2965">
        <v>2.9808650000000001</v>
      </c>
      <c r="T2965">
        <v>-0.77772220000000003</v>
      </c>
      <c r="U2965">
        <v>-0.50993350000000004</v>
      </c>
      <c r="V2965">
        <v>0.118703</v>
      </c>
      <c r="W2965">
        <v>4.5391040000000001E-2</v>
      </c>
      <c r="X2965">
        <v>0.99189170000000004</v>
      </c>
      <c r="Y2965">
        <v>0.16134699999999999</v>
      </c>
      <c r="Z2965">
        <v>-2.0018660000000001E-2</v>
      </c>
      <c r="AA2965">
        <v>0.98669470000000004</v>
      </c>
      <c r="AB2965">
        <v>39</v>
      </c>
      <c r="AC2965">
        <v>0.29469999999997698</v>
      </c>
      <c r="AD2965">
        <v>-0.25840629999999998</v>
      </c>
      <c r="AE2965">
        <v>-0.16810000000000899</v>
      </c>
      <c r="AF2965">
        <v>0.10598907718837799</v>
      </c>
      <c r="AG2965">
        <v>-0.25840629999999998</v>
      </c>
      <c r="AH2965">
        <v>0.186731490152973</v>
      </c>
      <c r="AI2965">
        <v>140.27618543310601</v>
      </c>
      <c r="AJ2965">
        <v>60.420690087466099</v>
      </c>
      <c r="AK2965">
        <v>0.335970459680139</v>
      </c>
      <c r="AL2965">
        <v>87.398390949955896</v>
      </c>
      <c r="AM2965">
        <v>83.175677432976997</v>
      </c>
      <c r="AN2965">
        <v>0.99999994662508396</v>
      </c>
    </row>
    <row r="2966" spans="1:40" x14ac:dyDescent="0.25">
      <c r="A2966" t="str">
        <f>"20190312154612587"</f>
        <v>20190312154612587</v>
      </c>
      <c r="B2966" t="str">
        <f>"1552376772580316"</f>
        <v>1552376772580316</v>
      </c>
      <c r="C2966" t="s">
        <v>40</v>
      </c>
      <c r="D2966">
        <v>4.6871400000000003</v>
      </c>
      <c r="E2966">
        <v>0.52276309999999904</v>
      </c>
      <c r="F2966" t="s">
        <v>41</v>
      </c>
      <c r="G2966">
        <v>-275.78460000000001</v>
      </c>
      <c r="H2966">
        <v>0.93330919999999895</v>
      </c>
      <c r="I2966">
        <v>215.69380000000001</v>
      </c>
      <c r="J2966">
        <v>-276.06040000000002</v>
      </c>
      <c r="K2966">
        <v>1.110333</v>
      </c>
      <c r="L2966">
        <v>215.8109</v>
      </c>
      <c r="M2966">
        <v>0.99981679999999995</v>
      </c>
      <c r="N2966">
        <v>0</v>
      </c>
      <c r="O2966">
        <v>-2.1216130000000001E-3</v>
      </c>
      <c r="P2966">
        <v>0.99226879999999995</v>
      </c>
      <c r="Q2966">
        <v>2.5903969999999998E-2</v>
      </c>
      <c r="R2966">
        <v>-0.1213735</v>
      </c>
      <c r="S2966">
        <v>2.9806520000000001</v>
      </c>
      <c r="T2966">
        <v>-0.77559109999999998</v>
      </c>
      <c r="U2966">
        <v>-0.51524349999999997</v>
      </c>
      <c r="V2966">
        <v>0.1192694</v>
      </c>
      <c r="W2966">
        <v>4.4774639999999997E-2</v>
      </c>
      <c r="X2966">
        <v>0.99185179999999995</v>
      </c>
      <c r="Y2966">
        <v>0.16304009999999999</v>
      </c>
      <c r="Z2966">
        <v>-2.0179220000000001E-2</v>
      </c>
      <c r="AA2966">
        <v>0.98641310000000004</v>
      </c>
      <c r="AB2966">
        <v>39</v>
      </c>
      <c r="AC2966">
        <v>0.27580000000000299</v>
      </c>
      <c r="AD2966">
        <v>-0.17702380000000001</v>
      </c>
      <c r="AE2966">
        <v>-0.117099999999993</v>
      </c>
      <c r="AF2966">
        <v>8.6367523275328206E-2</v>
      </c>
      <c r="AG2966">
        <v>-0.17702380000000001</v>
      </c>
      <c r="AH2966">
        <v>0.204623223089023</v>
      </c>
      <c r="AI2966">
        <v>128.55598516489101</v>
      </c>
      <c r="AJ2966">
        <v>67.116328104165603</v>
      </c>
      <c r="AK2966">
        <v>0.28402013708625401</v>
      </c>
      <c r="AL2966">
        <v>87.433744090633397</v>
      </c>
      <c r="AM2966">
        <v>83.143150752935895</v>
      </c>
      <c r="AN2966">
        <v>0.99999997566336396</v>
      </c>
    </row>
    <row r="2967" spans="1:40" x14ac:dyDescent="0.25">
      <c r="A2967" t="str">
        <f>"20190312154612608"</f>
        <v>20190312154612608</v>
      </c>
      <c r="B2967" t="str">
        <f>"1552376772599837"</f>
        <v>1552376772599837</v>
      </c>
      <c r="C2967" t="s">
        <v>40</v>
      </c>
      <c r="D2967">
        <v>4.6271719999999998</v>
      </c>
      <c r="E2967">
        <v>0.52274920000000002</v>
      </c>
      <c r="F2967" t="s">
        <v>41</v>
      </c>
      <c r="G2967">
        <v>-275.1105</v>
      </c>
      <c r="H2967">
        <v>0.86309740000000001</v>
      </c>
      <c r="I2967">
        <v>215.64590000000001</v>
      </c>
      <c r="J2967">
        <v>-275.67099999999999</v>
      </c>
      <c r="K2967">
        <v>1.1102799999999999</v>
      </c>
      <c r="L2967">
        <v>215.81010000000001</v>
      </c>
      <c r="M2967">
        <v>0.99982749999999998</v>
      </c>
      <c r="N2967">
        <v>0</v>
      </c>
      <c r="O2967">
        <v>-2.1212760000000001E-3</v>
      </c>
      <c r="P2967">
        <v>0.99218390000000001</v>
      </c>
      <c r="Q2967">
        <v>2.565663E-2</v>
      </c>
      <c r="R2967">
        <v>-0.12212000000000001</v>
      </c>
      <c r="S2967">
        <v>2.9804080000000002</v>
      </c>
      <c r="T2967">
        <v>-0.77579049999999905</v>
      </c>
      <c r="U2967">
        <v>-0.51681520000000003</v>
      </c>
      <c r="V2967">
        <v>0.1200161</v>
      </c>
      <c r="W2967">
        <v>4.3960060000000002E-2</v>
      </c>
      <c r="X2967">
        <v>0.99179819999999996</v>
      </c>
      <c r="Y2967">
        <v>0.16353999999999999</v>
      </c>
      <c r="Z2967">
        <v>-2.024859E-2</v>
      </c>
      <c r="AA2967">
        <v>0.98632889999999995</v>
      </c>
      <c r="AB2967">
        <v>39</v>
      </c>
      <c r="AC2967">
        <v>0.56049999999999001</v>
      </c>
      <c r="AD2967">
        <v>-0.247182599999999</v>
      </c>
      <c r="AE2967">
        <v>-0.16419999999999299</v>
      </c>
      <c r="AF2967">
        <v>0.13824841587887299</v>
      </c>
      <c r="AG2967">
        <v>-0.247182599999999</v>
      </c>
      <c r="AH2967">
        <v>0.47565185769914298</v>
      </c>
      <c r="AI2967">
        <v>116.52013685474</v>
      </c>
      <c r="AJ2967">
        <v>73.793471207507096</v>
      </c>
      <c r="AK2967">
        <v>0.55358518040896298</v>
      </c>
      <c r="AL2967">
        <v>87.480462180495806</v>
      </c>
      <c r="AM2967">
        <v>83.100265885143997</v>
      </c>
      <c r="AN2967">
        <v>1.00000001032882</v>
      </c>
    </row>
    <row r="2968" spans="1:40" x14ac:dyDescent="0.25">
      <c r="A2968" t="str">
        <f>"20190312154612631"</f>
        <v>20190312154612631</v>
      </c>
      <c r="B2968" t="str">
        <f>"1552376772620333"</f>
        <v>1552376772620333</v>
      </c>
      <c r="C2968" t="s">
        <v>40</v>
      </c>
      <c r="D2968">
        <v>4.6925330000000001</v>
      </c>
      <c r="E2968">
        <v>0.52277379999999996</v>
      </c>
      <c r="F2968" t="s">
        <v>41</v>
      </c>
      <c r="G2968">
        <v>-274.75569999999999</v>
      </c>
      <c r="H2968">
        <v>0.87170599999999998</v>
      </c>
      <c r="I2968">
        <v>215.65039999999999</v>
      </c>
      <c r="J2968">
        <v>-275.27440000000001</v>
      </c>
      <c r="K2968">
        <v>1.1102399999999999</v>
      </c>
      <c r="L2968">
        <v>215.8092</v>
      </c>
      <c r="M2968">
        <v>0.99983719999999998</v>
      </c>
      <c r="N2968">
        <v>0</v>
      </c>
      <c r="O2968">
        <v>-2.1213500000000001E-3</v>
      </c>
      <c r="P2968">
        <v>0.99221459999999995</v>
      </c>
      <c r="Q2968">
        <v>2.53799E-2</v>
      </c>
      <c r="R2968">
        <v>-0.12192699999999999</v>
      </c>
      <c r="S2968">
        <v>2.9798279999999999</v>
      </c>
      <c r="T2968">
        <v>-0.77670779999999995</v>
      </c>
      <c r="U2968">
        <v>-0.51919559999999998</v>
      </c>
      <c r="V2968">
        <v>0.1198231</v>
      </c>
      <c r="W2968">
        <v>4.3159259999999998E-2</v>
      </c>
      <c r="X2968">
        <v>0.99185670000000004</v>
      </c>
      <c r="Y2968">
        <v>0.164299</v>
      </c>
      <c r="Z2968">
        <v>-2.037081E-2</v>
      </c>
      <c r="AA2968">
        <v>0.98620019999999997</v>
      </c>
      <c r="AB2968">
        <v>39</v>
      </c>
      <c r="AC2968">
        <v>0.51870000000002303</v>
      </c>
      <c r="AD2968">
        <v>-0.238533999999999</v>
      </c>
      <c r="AE2968">
        <v>-0.15880000000001299</v>
      </c>
      <c r="AF2968">
        <v>0.13214753392859599</v>
      </c>
      <c r="AG2968">
        <v>-0.238533999999999</v>
      </c>
      <c r="AH2968">
        <v>0.434937712987012</v>
      </c>
      <c r="AI2968">
        <v>117.688089525585</v>
      </c>
      <c r="AJ2968">
        <v>73.099595610877898</v>
      </c>
      <c r="AK2968">
        <v>0.51335392669948599</v>
      </c>
      <c r="AL2968">
        <v>87.526388220480897</v>
      </c>
      <c r="AM2968">
        <v>83.111657160759904</v>
      </c>
      <c r="AN2968">
        <v>1.00000000517612</v>
      </c>
    </row>
    <row r="2969" spans="1:40" x14ac:dyDescent="0.25">
      <c r="A2969" t="str">
        <f>"20190312154612655"</f>
        <v>20190312154612655</v>
      </c>
      <c r="B2969" t="str">
        <f>"1552376772649613"</f>
        <v>1552376772649613</v>
      </c>
      <c r="C2969" t="s">
        <v>40</v>
      </c>
      <c r="D2969">
        <v>4.6349410000000004</v>
      </c>
      <c r="E2969">
        <v>0.52266159999999995</v>
      </c>
      <c r="F2969" t="s">
        <v>41</v>
      </c>
      <c r="G2969">
        <v>-274.40050000000002</v>
      </c>
      <c r="H2969">
        <v>0.88214789999999998</v>
      </c>
      <c r="I2969">
        <v>215.6567</v>
      </c>
      <c r="J2969">
        <v>-274.85129999999998</v>
      </c>
      <c r="K2969">
        <v>1.1102110000000001</v>
      </c>
      <c r="L2969">
        <v>215.8083</v>
      </c>
      <c r="M2969">
        <v>0.99984620000000002</v>
      </c>
      <c r="N2969">
        <v>0</v>
      </c>
      <c r="O2969">
        <v>-2.1211670000000002E-3</v>
      </c>
      <c r="P2969">
        <v>0.99227390000000004</v>
      </c>
      <c r="Q2969">
        <v>2.5179759999999999E-2</v>
      </c>
      <c r="R2969">
        <v>-0.1214865</v>
      </c>
      <c r="S2969">
        <v>2.9795530000000001</v>
      </c>
      <c r="T2969">
        <v>-0.77772050000000004</v>
      </c>
      <c r="U2969">
        <v>-0.51997380000000004</v>
      </c>
      <c r="V2969">
        <v>0.11938269999999999</v>
      </c>
      <c r="W2969">
        <v>4.2458000000000003E-2</v>
      </c>
      <c r="X2969">
        <v>0.99194009999999999</v>
      </c>
      <c r="Y2969">
        <v>0.16454250000000001</v>
      </c>
      <c r="Z2969">
        <v>-2.0428979999999999E-2</v>
      </c>
      <c r="AA2969">
        <v>0.98615839999999999</v>
      </c>
      <c r="AB2969">
        <v>39</v>
      </c>
      <c r="AC2969">
        <v>0.45079999999995801</v>
      </c>
      <c r="AD2969">
        <v>-0.22806309999999999</v>
      </c>
      <c r="AE2969">
        <v>-0.15160000000000101</v>
      </c>
      <c r="AF2969">
        <v>0.122480365669314</v>
      </c>
      <c r="AG2969">
        <v>-0.22806309999999999</v>
      </c>
      <c r="AH2969">
        <v>0.36678311905723199</v>
      </c>
      <c r="AI2969">
        <v>120.531192096043</v>
      </c>
      <c r="AJ2969">
        <v>71.534221573212506</v>
      </c>
      <c r="AK2969">
        <v>0.44893660352153397</v>
      </c>
      <c r="AL2969">
        <v>87.566604401971802</v>
      </c>
      <c r="AM2969">
        <v>83.137304315905794</v>
      </c>
      <c r="AN2969">
        <v>1.0000000364056401</v>
      </c>
    </row>
    <row r="2970" spans="1:40" x14ac:dyDescent="0.25">
      <c r="A2970" t="str">
        <f>"20190312154612678"</f>
        <v>20190312154612678</v>
      </c>
      <c r="B2970" t="str">
        <f>"1552376772670109"</f>
        <v>1552376772670109</v>
      </c>
      <c r="C2970" t="s">
        <v>40</v>
      </c>
      <c r="D2970">
        <v>4.7318290000000003</v>
      </c>
      <c r="E2970">
        <v>0.52266979999999996</v>
      </c>
      <c r="F2970" t="s">
        <v>41</v>
      </c>
      <c r="G2970">
        <v>-274.04289999999997</v>
      </c>
      <c r="H2970">
        <v>0.89904189999999995</v>
      </c>
      <c r="I2970">
        <v>215.66739999999999</v>
      </c>
      <c r="J2970">
        <v>-274.43400000000003</v>
      </c>
      <c r="K2970">
        <v>1.1101859999999999</v>
      </c>
      <c r="L2970">
        <v>215.8075</v>
      </c>
      <c r="M2970">
        <v>0.99985380000000001</v>
      </c>
      <c r="N2970">
        <v>0</v>
      </c>
      <c r="O2970">
        <v>-2.1210479999999999E-3</v>
      </c>
      <c r="P2970">
        <v>0.99234650000000002</v>
      </c>
      <c r="Q2970">
        <v>2.5234309999999999E-2</v>
      </c>
      <c r="R2970">
        <v>-0.1208808</v>
      </c>
      <c r="S2970">
        <v>2.979584</v>
      </c>
      <c r="T2970">
        <v>-0.7783272</v>
      </c>
      <c r="U2970">
        <v>-0.5189667</v>
      </c>
      <c r="V2970">
        <v>0.11877699999999999</v>
      </c>
      <c r="W2970">
        <v>4.2074010000000002E-2</v>
      </c>
      <c r="X2970">
        <v>0.9920291</v>
      </c>
      <c r="Y2970">
        <v>0.16421949999999999</v>
      </c>
      <c r="Z2970">
        <v>-2.0403620000000001E-2</v>
      </c>
      <c r="AA2970">
        <v>0.9862128</v>
      </c>
      <c r="AB2970">
        <v>39</v>
      </c>
      <c r="AC2970">
        <v>0.39110000000005102</v>
      </c>
      <c r="AD2970">
        <v>-0.2111441</v>
      </c>
      <c r="AE2970">
        <v>-0.14010000000001799</v>
      </c>
      <c r="AF2970">
        <v>0.11067979563328199</v>
      </c>
      <c r="AG2970">
        <v>-0.2111441</v>
      </c>
      <c r="AH2970">
        <v>0.31104801887612898</v>
      </c>
      <c r="AI2970">
        <v>122.600315354843</v>
      </c>
      <c r="AJ2970">
        <v>70.412984476812795</v>
      </c>
      <c r="AK2970">
        <v>0.39189631048658802</v>
      </c>
      <c r="AL2970">
        <v>87.588624917200093</v>
      </c>
      <c r="AM2970">
        <v>83.172400128541398</v>
      </c>
      <c r="AN2970">
        <v>0.99999996664664403</v>
      </c>
    </row>
    <row r="2971" spans="1:40" x14ac:dyDescent="0.25">
      <c r="A2971" t="str">
        <f>"20190312154612710"</f>
        <v>20190312154612710</v>
      </c>
      <c r="B2971" t="str">
        <f>"1552376772700365"</f>
        <v>1552376772700365</v>
      </c>
      <c r="C2971" t="s">
        <v>40</v>
      </c>
      <c r="D2971">
        <v>4.7198520000000004</v>
      </c>
      <c r="E2971">
        <v>0.52268239999999999</v>
      </c>
      <c r="F2971" t="s">
        <v>41</v>
      </c>
      <c r="G2971">
        <v>-273.68610000000001</v>
      </c>
      <c r="H2971">
        <v>0.91485249999999996</v>
      </c>
      <c r="I2971">
        <v>215.6773</v>
      </c>
      <c r="J2971">
        <v>-273.90809999999999</v>
      </c>
      <c r="K2971">
        <v>1.1101620000000001</v>
      </c>
      <c r="L2971">
        <v>215.8064</v>
      </c>
      <c r="M2971">
        <v>0.99986169999999996</v>
      </c>
      <c r="N2971">
        <v>0</v>
      </c>
      <c r="O2971">
        <v>-2.1207159999999999E-3</v>
      </c>
      <c r="P2971">
        <v>0.99261440000000001</v>
      </c>
      <c r="Q2971">
        <v>2.369742E-2</v>
      </c>
      <c r="R2971">
        <v>-0.1189742</v>
      </c>
      <c r="S2971">
        <v>2.9798279999999999</v>
      </c>
      <c r="T2971">
        <v>-0.77830480000000002</v>
      </c>
      <c r="U2971">
        <v>-0.51803589999999999</v>
      </c>
      <c r="V2971">
        <v>0.1168701</v>
      </c>
      <c r="W2971">
        <v>4.0063929999999998E-2</v>
      </c>
      <c r="X2971">
        <v>0.99233879999999997</v>
      </c>
      <c r="Y2971">
        <v>0.163917799999999</v>
      </c>
      <c r="Z2971">
        <v>-2.0363579999999999E-2</v>
      </c>
      <c r="AA2971">
        <v>0.98626380000000002</v>
      </c>
      <c r="AB2971">
        <v>39</v>
      </c>
      <c r="AC2971">
        <v>0.22199999999997999</v>
      </c>
      <c r="AD2971">
        <v>-0.1953095</v>
      </c>
      <c r="AE2971">
        <v>-0.129099999999994</v>
      </c>
      <c r="AF2971">
        <v>8.1493302789476793E-2</v>
      </c>
      <c r="AG2971">
        <v>-0.1953095</v>
      </c>
      <c r="AH2971">
        <v>0.14082212224066401</v>
      </c>
      <c r="AI2971">
        <v>140.204064436827</v>
      </c>
      <c r="AJ2971">
        <v>59.942173496417297</v>
      </c>
      <c r="AK2971">
        <v>0.25420037234857001</v>
      </c>
      <c r="AL2971">
        <v>87.703891403921105</v>
      </c>
      <c r="AM2971">
        <v>83.283081074064398</v>
      </c>
      <c r="AN2971">
        <v>1.0000000163732401</v>
      </c>
    </row>
    <row r="2972" spans="1:40" x14ac:dyDescent="0.25">
      <c r="A2972" t="str">
        <f>"20190312154612731"</f>
        <v>20190312154612731</v>
      </c>
      <c r="B2972" t="str">
        <f>"1552376772719885"</f>
        <v>1552376772719885</v>
      </c>
      <c r="C2972" t="s">
        <v>40</v>
      </c>
      <c r="D2972">
        <v>4.7055439999999997</v>
      </c>
      <c r="E2972">
        <v>0.52270039999999995</v>
      </c>
      <c r="F2972" t="s">
        <v>41</v>
      </c>
      <c r="G2972">
        <v>-273.00310000000002</v>
      </c>
      <c r="H2972">
        <v>0.8722588</v>
      </c>
      <c r="I2972">
        <v>215.65010000000001</v>
      </c>
      <c r="J2972">
        <v>-273.51799999999997</v>
      </c>
      <c r="K2972">
        <v>1.1101460000000001</v>
      </c>
      <c r="L2972">
        <v>215.8056</v>
      </c>
      <c r="M2972">
        <v>0.9998669</v>
      </c>
      <c r="N2972">
        <v>0</v>
      </c>
      <c r="O2972">
        <v>-2.12071E-3</v>
      </c>
      <c r="P2972">
        <v>0.99283310000000002</v>
      </c>
      <c r="Q2972">
        <v>2.310678E-2</v>
      </c>
      <c r="R2972">
        <v>-0.1172557</v>
      </c>
      <c r="S2972">
        <v>2.9794010000000002</v>
      </c>
      <c r="T2972">
        <v>-0.78334399999999904</v>
      </c>
      <c r="U2972">
        <v>-0.51408390000000004</v>
      </c>
      <c r="V2972">
        <v>0.115151</v>
      </c>
      <c r="W2972">
        <v>3.9171980000000002E-2</v>
      </c>
      <c r="X2972">
        <v>0.99257530000000005</v>
      </c>
      <c r="Y2972">
        <v>0.16264319999999999</v>
      </c>
      <c r="Z2972">
        <v>-2.0332590000000001E-2</v>
      </c>
      <c r="AA2972">
        <v>0.9864754</v>
      </c>
      <c r="AB2972">
        <v>39</v>
      </c>
      <c r="AC2972">
        <v>0.51489999999995395</v>
      </c>
      <c r="AD2972">
        <v>-0.23788719999999899</v>
      </c>
      <c r="AE2972">
        <v>-0.15549999999998901</v>
      </c>
      <c r="AF2972">
        <v>0.12914545397817001</v>
      </c>
      <c r="AG2972">
        <v>-0.23788719999999899</v>
      </c>
      <c r="AH2972">
        <v>0.43093383054468698</v>
      </c>
      <c r="AI2972">
        <v>117.86951170402</v>
      </c>
      <c r="AJ2972">
        <v>73.317187181115003</v>
      </c>
      <c r="AK2972">
        <v>0.50889373597538501</v>
      </c>
      <c r="AL2972">
        <v>87.7550364060654</v>
      </c>
      <c r="AM2972">
        <v>83.382563502556806</v>
      </c>
      <c r="AN2972">
        <v>0.99999996149410397</v>
      </c>
    </row>
    <row r="2973" spans="1:40" x14ac:dyDescent="0.25">
      <c r="A2973" t="str">
        <f>"20190312154612753"</f>
        <v>20190312154612753</v>
      </c>
      <c r="B2973" t="str">
        <f>"1552376772750141"</f>
        <v>1552376772750141</v>
      </c>
      <c r="C2973" t="s">
        <v>40</v>
      </c>
      <c r="D2973">
        <v>4.6409029999999998</v>
      </c>
      <c r="E2973">
        <v>0.52266979999999996</v>
      </c>
      <c r="F2973" t="s">
        <v>41</v>
      </c>
      <c r="G2973">
        <v>-272.64980000000003</v>
      </c>
      <c r="H2973">
        <v>0.8813183</v>
      </c>
      <c r="I2973">
        <v>215.65690000000001</v>
      </c>
      <c r="J2973">
        <v>-273.13600000000002</v>
      </c>
      <c r="K2973">
        <v>1.110128</v>
      </c>
      <c r="L2973">
        <v>215.8048</v>
      </c>
      <c r="M2973">
        <v>0.99987110000000001</v>
      </c>
      <c r="N2973">
        <v>0</v>
      </c>
      <c r="O2973">
        <v>-2.1204940000000001E-3</v>
      </c>
      <c r="P2973">
        <v>0.99303969999999997</v>
      </c>
      <c r="Q2973">
        <v>2.2760590000000001E-2</v>
      </c>
      <c r="R2973">
        <v>-0.1155605</v>
      </c>
      <c r="S2973">
        <v>2.9796749999999999</v>
      </c>
      <c r="T2973">
        <v>-0.78532740000000001</v>
      </c>
      <c r="U2973">
        <v>-0.51022339999999999</v>
      </c>
      <c r="V2973">
        <v>0.1134556</v>
      </c>
      <c r="W2973">
        <v>3.8566870000000003E-2</v>
      </c>
      <c r="X2973">
        <v>0.99279430000000002</v>
      </c>
      <c r="Y2973">
        <v>0.16140099999999999</v>
      </c>
      <c r="Z2973">
        <v>-2.022293E-2</v>
      </c>
      <c r="AA2973">
        <v>0.98668169999999999</v>
      </c>
      <c r="AB2973">
        <v>39</v>
      </c>
      <c r="AC2973">
        <v>0.48619999999993901</v>
      </c>
      <c r="AD2973">
        <v>-0.22880969999999901</v>
      </c>
      <c r="AE2973">
        <v>-0.14789999999999201</v>
      </c>
      <c r="AF2973">
        <v>0.122114287371277</v>
      </c>
      <c r="AG2973">
        <v>-0.22880969999999901</v>
      </c>
      <c r="AH2973">
        <v>0.40451229623373602</v>
      </c>
      <c r="AI2973">
        <v>118.435857424275</v>
      </c>
      <c r="AJ2973">
        <v>73.201969914381095</v>
      </c>
      <c r="AK2973">
        <v>0.48051636371571699</v>
      </c>
      <c r="AL2973">
        <v>87.789733071587605</v>
      </c>
      <c r="AM2973">
        <v>83.480574560090304</v>
      </c>
      <c r="AN2973">
        <v>1.0000000493727199</v>
      </c>
    </row>
    <row r="2974" spans="1:40" x14ac:dyDescent="0.25">
      <c r="A2974" t="str">
        <f>"20190312154612775"</f>
        <v>20190312154612775</v>
      </c>
      <c r="B2974" t="str">
        <f>"1552376772769660"</f>
        <v>1552376772769660</v>
      </c>
      <c r="C2974" t="s">
        <v>40</v>
      </c>
      <c r="D2974">
        <v>4.7838699999999896</v>
      </c>
      <c r="E2974">
        <v>0.5205746</v>
      </c>
      <c r="F2974" t="s">
        <v>41</v>
      </c>
      <c r="G2974">
        <v>-272.29739999999998</v>
      </c>
      <c r="H2974">
        <v>0.88867059999999998</v>
      </c>
      <c r="I2974">
        <v>215.66239999999999</v>
      </c>
      <c r="J2974">
        <v>-272.7448</v>
      </c>
      <c r="K2974">
        <v>1.1101110000000001</v>
      </c>
      <c r="L2974">
        <v>215.8039</v>
      </c>
      <c r="M2974">
        <v>0.99987479999999995</v>
      </c>
      <c r="N2974">
        <v>0</v>
      </c>
      <c r="O2974">
        <v>-2.120168E-3</v>
      </c>
      <c r="P2974">
        <v>0.99325200000000002</v>
      </c>
      <c r="Q2974">
        <v>2.2712550000000001E-2</v>
      </c>
      <c r="R2974">
        <v>-0.113731</v>
      </c>
      <c r="S2974">
        <v>2.9803470000000001</v>
      </c>
      <c r="T2974">
        <v>-0.78708339999999999</v>
      </c>
      <c r="U2974">
        <v>-0.50466920000000004</v>
      </c>
      <c r="V2974">
        <v>0.11162610000000001</v>
      </c>
      <c r="W2974">
        <v>3.8286210000000001E-2</v>
      </c>
      <c r="X2974">
        <v>0.99301249999999996</v>
      </c>
      <c r="Y2974">
        <v>0.1596137</v>
      </c>
      <c r="Z2974">
        <v>-2.0034940000000001E-2</v>
      </c>
      <c r="AA2974">
        <v>0.98697619999999997</v>
      </c>
      <c r="AB2974">
        <v>39</v>
      </c>
      <c r="AC2974">
        <v>0.44740000000001601</v>
      </c>
      <c r="AD2974">
        <v>-0.22144040000000001</v>
      </c>
      <c r="AE2974">
        <v>-0.14150000000000701</v>
      </c>
      <c r="AF2974">
        <v>0.114951442142223</v>
      </c>
      <c r="AG2974">
        <v>-0.22144040000000001</v>
      </c>
      <c r="AH2974">
        <v>0.36615640542199701</v>
      </c>
      <c r="AI2974">
        <v>119.985102881061</v>
      </c>
      <c r="AJ2974">
        <v>72.570797907447201</v>
      </c>
      <c r="AK2974">
        <v>0.44308035166806298</v>
      </c>
      <c r="AL2974">
        <v>87.805825531075001</v>
      </c>
      <c r="AM2974">
        <v>83.586216328070904</v>
      </c>
      <c r="AN2974">
        <v>1.00000002261681</v>
      </c>
    </row>
    <row r="2975" spans="1:40" x14ac:dyDescent="0.25">
      <c r="A2975" t="str">
        <f>"20190312154612797"</f>
        <v>20190312154612797</v>
      </c>
      <c r="B2975" t="str">
        <f>"1552376772790158"</f>
        <v>1552376772790158</v>
      </c>
      <c r="C2975" t="s">
        <v>40</v>
      </c>
      <c r="D2975">
        <v>4.3411220000000004</v>
      </c>
      <c r="E2975">
        <v>0.51748499999999997</v>
      </c>
      <c r="F2975" t="s">
        <v>41</v>
      </c>
      <c r="G2975">
        <v>-271.95620000000002</v>
      </c>
      <c r="H2975">
        <v>0.87206149999999905</v>
      </c>
      <c r="I2975">
        <v>215.6773</v>
      </c>
      <c r="J2975">
        <v>-272.35140000000001</v>
      </c>
      <c r="K2975">
        <v>1.11009</v>
      </c>
      <c r="L2975">
        <v>215.8031</v>
      </c>
      <c r="M2975">
        <v>0.99987820000000005</v>
      </c>
      <c r="N2975">
        <v>0</v>
      </c>
      <c r="O2975">
        <v>-2.119976E-3</v>
      </c>
      <c r="P2975">
        <v>0.99342719999999995</v>
      </c>
      <c r="Q2975">
        <v>2.202525E-2</v>
      </c>
      <c r="R2975">
        <v>-0.1123291</v>
      </c>
      <c r="S2975">
        <v>2.9860530000000001</v>
      </c>
      <c r="T2975">
        <v>-0.90149159999999995</v>
      </c>
      <c r="U2975">
        <v>-0.47994999999999999</v>
      </c>
      <c r="V2975">
        <v>0.1102239</v>
      </c>
      <c r="W2975">
        <v>3.7394690000000001E-2</v>
      </c>
      <c r="X2975">
        <v>0.99320299999999995</v>
      </c>
      <c r="Y2975">
        <v>0.15016379999999999</v>
      </c>
      <c r="Z2975">
        <v>-2.1418159999999999E-2</v>
      </c>
      <c r="AA2975">
        <v>0.98842909999999995</v>
      </c>
      <c r="AB2975">
        <v>39</v>
      </c>
      <c r="AC2975">
        <v>0.39519999999998801</v>
      </c>
      <c r="AD2975">
        <v>-0.2380285</v>
      </c>
      <c r="AE2975">
        <v>-0.125799999999998</v>
      </c>
      <c r="AF2975">
        <v>9.3999508046356303E-2</v>
      </c>
      <c r="AG2975">
        <v>-0.2380285</v>
      </c>
      <c r="AH2975">
        <v>0.297479656415442</v>
      </c>
      <c r="AI2975">
        <v>127.342418984159</v>
      </c>
      <c r="AJ2975">
        <v>72.464175399758204</v>
      </c>
      <c r="AK2975">
        <v>0.392412563899599</v>
      </c>
      <c r="AL2975">
        <v>87.856942287586506</v>
      </c>
      <c r="AM2975">
        <v>83.667329667865303</v>
      </c>
      <c r="AN2975">
        <v>0.99999993509020002</v>
      </c>
    </row>
    <row r="2976" spans="1:40" x14ac:dyDescent="0.25">
      <c r="A2976" t="str">
        <f>"20190312154612934"</f>
        <v>20190312154612934</v>
      </c>
      <c r="B2976" t="str">
        <f>"1552376772930702"</f>
        <v>1552376772930702</v>
      </c>
      <c r="C2976" t="s">
        <v>40</v>
      </c>
      <c r="D2976">
        <v>4.9914550000000002</v>
      </c>
      <c r="E2976">
        <v>0.50064010000000003</v>
      </c>
      <c r="F2976" t="s">
        <v>41</v>
      </c>
      <c r="G2976">
        <v>-269.54899999999998</v>
      </c>
      <c r="H2976">
        <v>0.79960559999999903</v>
      </c>
      <c r="I2976">
        <v>215.7012</v>
      </c>
      <c r="J2976">
        <v>-269.9803</v>
      </c>
      <c r="K2976">
        <v>1.1101099999999999</v>
      </c>
      <c r="L2976">
        <v>215.79810000000001</v>
      </c>
      <c r="M2976">
        <v>0.99988999999999995</v>
      </c>
      <c r="N2976">
        <v>0</v>
      </c>
      <c r="O2976">
        <v>-2.118712E-3</v>
      </c>
      <c r="P2976">
        <v>0.99366180000000004</v>
      </c>
      <c r="Q2976">
        <v>2.486652E-2</v>
      </c>
      <c r="R2976">
        <v>-0.1096269</v>
      </c>
      <c r="S2976">
        <v>3.0072329999999998</v>
      </c>
      <c r="T2976">
        <v>-1.2174590000000001</v>
      </c>
      <c r="U2976">
        <v>-0.38253779999999998</v>
      </c>
      <c r="V2976">
        <v>0.107522699999999</v>
      </c>
      <c r="W2976">
        <v>3.9461200000000002E-2</v>
      </c>
      <c r="X2976">
        <v>0.99341919999999995</v>
      </c>
      <c r="Y2976">
        <v>0.115301</v>
      </c>
      <c r="Z2976">
        <v>-2.1551509999999999E-2</v>
      </c>
      <c r="AA2976">
        <v>0.9930968</v>
      </c>
      <c r="AB2976">
        <v>39</v>
      </c>
      <c r="AC2976">
        <v>0.43129999999996399</v>
      </c>
      <c r="AD2976">
        <v>-0.31050440000000001</v>
      </c>
      <c r="AE2976">
        <v>-9.6900000000005093E-2</v>
      </c>
      <c r="AF2976">
        <v>6.4273824977465394E-2</v>
      </c>
      <c r="AG2976">
        <v>-0.31050440000000001</v>
      </c>
      <c r="AH2976">
        <v>0.28894285817561199</v>
      </c>
      <c r="AI2976">
        <v>136.36944681803101</v>
      </c>
      <c r="AJ2976">
        <v>77.459042365769903</v>
      </c>
      <c r="AK2976">
        <v>0.42898960626952898</v>
      </c>
      <c r="AL2976">
        <v>87.738452611967901</v>
      </c>
      <c r="AM2976">
        <v>83.822640168010693</v>
      </c>
      <c r="AN2976">
        <v>1.0000000121246799</v>
      </c>
    </row>
    <row r="2977" spans="1:40" x14ac:dyDescent="0.25">
      <c r="A2977" t="str">
        <f>"20190312154612958"</f>
        <v>20190312154612958</v>
      </c>
      <c r="B2977" t="str">
        <f>"1552376772950222"</f>
        <v>1552376772950222</v>
      </c>
      <c r="C2977" t="s">
        <v>40</v>
      </c>
      <c r="D2977">
        <v>5.6648009999999998</v>
      </c>
      <c r="E2977">
        <v>0.49682110000000002</v>
      </c>
      <c r="F2977" t="s">
        <v>41</v>
      </c>
      <c r="G2977">
        <v>-269.1361</v>
      </c>
      <c r="H2977">
        <v>0.95260579999999995</v>
      </c>
      <c r="I2977">
        <v>215.7079</v>
      </c>
      <c r="J2977">
        <v>-269.59070000000003</v>
      </c>
      <c r="K2977">
        <v>1.110106</v>
      </c>
      <c r="L2977">
        <v>215.79730000000001</v>
      </c>
      <c r="M2977">
        <v>0.99989090000000003</v>
      </c>
      <c r="N2977">
        <v>0</v>
      </c>
      <c r="O2977">
        <v>-2.1183970000000002E-3</v>
      </c>
      <c r="P2977">
        <v>0.99367090000000002</v>
      </c>
      <c r="Q2977">
        <v>2.418354E-2</v>
      </c>
      <c r="R2977">
        <v>-0.1096964</v>
      </c>
      <c r="S2977">
        <v>2.997833</v>
      </c>
      <c r="T2977">
        <v>-0.55929680000000004</v>
      </c>
      <c r="U2977">
        <v>-0.3199921</v>
      </c>
      <c r="V2977">
        <v>0.1075923</v>
      </c>
      <c r="W2977">
        <v>3.8703130000000002E-2</v>
      </c>
      <c r="X2977">
        <v>0.99344149999999998</v>
      </c>
      <c r="Y2977">
        <v>0.1023217</v>
      </c>
      <c r="Z2977">
        <v>-9.0463699999999998E-3</v>
      </c>
      <c r="AA2977">
        <v>0.99471019999999999</v>
      </c>
      <c r="AB2977">
        <v>39</v>
      </c>
      <c r="AC2977">
        <v>0.45460000000002698</v>
      </c>
      <c r="AD2977">
        <v>-0.15750019999999901</v>
      </c>
      <c r="AE2977">
        <v>-8.9400000000011901E-2</v>
      </c>
      <c r="AF2977">
        <v>7.9275271159166993E-2</v>
      </c>
      <c r="AG2977">
        <v>-0.15750019999999901</v>
      </c>
      <c r="AH2977">
        <v>0.40767558551843902</v>
      </c>
      <c r="AI2977">
        <v>110.76840849681901</v>
      </c>
      <c r="AJ2977">
        <v>78.995779543190295</v>
      </c>
      <c r="AK2977">
        <v>0.44417368747507002</v>
      </c>
      <c r="AL2977">
        <v>87.781920060857104</v>
      </c>
      <c r="AM2977">
        <v>83.818810155456305</v>
      </c>
      <c r="AN2977">
        <v>1.00000002460666</v>
      </c>
    </row>
    <row r="2978" spans="1:40" x14ac:dyDescent="0.25">
      <c r="A2978" t="str">
        <f>"20190312154612976"</f>
        <v>20190312154612976</v>
      </c>
      <c r="B2978" t="str">
        <f>"1552376772969742"</f>
        <v>1552376772969742</v>
      </c>
      <c r="C2978" t="s">
        <v>40</v>
      </c>
      <c r="D2978">
        <v>4.8228479999999996</v>
      </c>
      <c r="E2978">
        <v>0.49875710000000001</v>
      </c>
      <c r="F2978" t="s">
        <v>41</v>
      </c>
      <c r="G2978">
        <v>-268.77809999999999</v>
      </c>
      <c r="H2978">
        <v>0.97514259999999997</v>
      </c>
      <c r="I2978">
        <v>215.7182</v>
      </c>
      <c r="J2978">
        <v>-269.2473</v>
      </c>
      <c r="K2978">
        <v>1.110093</v>
      </c>
      <c r="L2978">
        <v>215.79650000000001</v>
      </c>
      <c r="M2978">
        <v>0.9998918</v>
      </c>
      <c r="N2978">
        <v>0</v>
      </c>
      <c r="O2978">
        <v>-2.1183299999999999E-3</v>
      </c>
      <c r="P2978">
        <v>0.9935505</v>
      </c>
      <c r="Q2978">
        <v>2.3260650000000001E-2</v>
      </c>
      <c r="R2978">
        <v>-0.11098</v>
      </c>
      <c r="S2978">
        <v>2.9991150000000002</v>
      </c>
      <c r="T2978">
        <v>-0.4981737</v>
      </c>
      <c r="U2978">
        <v>-0.29092410000000002</v>
      </c>
      <c r="V2978">
        <v>0.1088761</v>
      </c>
      <c r="W2978">
        <v>3.7721089999999999E-2</v>
      </c>
      <c r="X2978">
        <v>0.99333939999999998</v>
      </c>
      <c r="Y2978">
        <v>9.3204809999999999E-2</v>
      </c>
      <c r="Z2978">
        <v>-7.3219679999999999E-3</v>
      </c>
      <c r="AA2978">
        <v>0.99561999999999995</v>
      </c>
      <c r="AB2978">
        <v>39</v>
      </c>
      <c r="AC2978">
        <v>0.46920000000000001</v>
      </c>
      <c r="AD2978">
        <v>-0.1349504</v>
      </c>
      <c r="AE2978">
        <v>-7.8300000000012901E-2</v>
      </c>
      <c r="AF2978">
        <v>7.1547458625907098E-2</v>
      </c>
      <c r="AG2978">
        <v>-0.1349504</v>
      </c>
      <c r="AH2978">
        <v>0.43440286997944</v>
      </c>
      <c r="AI2978">
        <v>107.041740867587</v>
      </c>
      <c r="AJ2978">
        <v>80.647181184081902</v>
      </c>
      <c r="AK2978">
        <v>0.46047421506785902</v>
      </c>
      <c r="AL2978">
        <v>87.838227933651794</v>
      </c>
      <c r="AM2978">
        <v>83.744999037723701</v>
      </c>
      <c r="AN2978">
        <v>1.0000000246871701</v>
      </c>
    </row>
    <row r="2979" spans="1:40" x14ac:dyDescent="0.25">
      <c r="A2979" t="str">
        <f>"20190312154613002"</f>
        <v>20190312154613002</v>
      </c>
      <c r="B2979" t="str">
        <f>"1552376772999998"</f>
        <v>1552376772999998</v>
      </c>
      <c r="C2979" t="s">
        <v>40</v>
      </c>
      <c r="D2979">
        <v>4.904795</v>
      </c>
      <c r="E2979">
        <v>0.49904140000000002</v>
      </c>
      <c r="F2979" t="s">
        <v>41</v>
      </c>
      <c r="G2979">
        <v>-268.41430000000003</v>
      </c>
      <c r="H2979">
        <v>1.0097229999999999</v>
      </c>
      <c r="I2979">
        <v>215.70959999999999</v>
      </c>
      <c r="J2979">
        <v>-268.78609999999998</v>
      </c>
      <c r="K2979">
        <v>1.1100730000000001</v>
      </c>
      <c r="L2979">
        <v>215.7955</v>
      </c>
      <c r="M2979">
        <v>0.99989280000000003</v>
      </c>
      <c r="N2979">
        <v>0</v>
      </c>
      <c r="O2979">
        <v>-2.1180729999999998E-3</v>
      </c>
      <c r="P2979">
        <v>0.99337920000000002</v>
      </c>
      <c r="Q2979">
        <v>2.269498E-2</v>
      </c>
      <c r="R2979">
        <v>-0.11261839999999999</v>
      </c>
      <c r="S2979">
        <v>2.993042</v>
      </c>
      <c r="T2979">
        <v>-0.36065209999999998</v>
      </c>
      <c r="U2979">
        <v>-0.31208799999999998</v>
      </c>
      <c r="V2979">
        <v>0.11051519999999999</v>
      </c>
      <c r="W2979">
        <v>3.708496E-2</v>
      </c>
      <c r="X2979">
        <v>0.99318229999999996</v>
      </c>
      <c r="Y2979">
        <v>0.100895</v>
      </c>
      <c r="Z2979">
        <v>-5.787019E-3</v>
      </c>
      <c r="AA2979">
        <v>0.99488030000000005</v>
      </c>
      <c r="AB2979">
        <v>39</v>
      </c>
      <c r="AC2979">
        <v>0.37179999999995</v>
      </c>
      <c r="AD2979">
        <v>-0.100349999999999</v>
      </c>
      <c r="AE2979">
        <v>-8.5900000000009399E-2</v>
      </c>
      <c r="AF2979">
        <v>7.96069092847555E-2</v>
      </c>
      <c r="AG2979">
        <v>-0.100349999999999</v>
      </c>
      <c r="AH2979">
        <v>0.347920264563576</v>
      </c>
      <c r="AI2979">
        <v>105.70397538768199</v>
      </c>
      <c r="AJ2979">
        <v>77.1121223433734</v>
      </c>
      <c r="AK2979">
        <v>0.37075044571768201</v>
      </c>
      <c r="AL2979">
        <v>87.874700950459001</v>
      </c>
      <c r="AM2979">
        <v>83.650598918821103</v>
      </c>
      <c r="AN2979">
        <v>0.99999999236126502</v>
      </c>
    </row>
    <row r="2980" spans="1:40" x14ac:dyDescent="0.25">
      <c r="A2980" t="str">
        <f>"20190312154613021"</f>
        <v>20190312154613021</v>
      </c>
      <c r="B2980" t="str">
        <f>"1552376773009757"</f>
        <v>1552376773009757</v>
      </c>
      <c r="C2980" t="s">
        <v>40</v>
      </c>
      <c r="D2980">
        <v>4.9191379999999896</v>
      </c>
      <c r="E2980">
        <v>0.49887769999999998</v>
      </c>
      <c r="F2980" t="s">
        <v>41</v>
      </c>
      <c r="G2980">
        <v>-268.05369999999999</v>
      </c>
      <c r="H2980">
        <v>1.03837</v>
      </c>
      <c r="I2980">
        <v>215.71690000000001</v>
      </c>
      <c r="J2980">
        <v>-268.4742</v>
      </c>
      <c r="K2980">
        <v>1.1100449999999999</v>
      </c>
      <c r="L2980">
        <v>215.79490000000001</v>
      </c>
      <c r="M2980">
        <v>0.99989340000000004</v>
      </c>
      <c r="N2980">
        <v>0</v>
      </c>
      <c r="O2980">
        <v>-2.1179100000000002E-3</v>
      </c>
      <c r="P2980">
        <v>0.99320819999999999</v>
      </c>
      <c r="Q2980">
        <v>2.259972E-2</v>
      </c>
      <c r="R2980">
        <v>-0.1141358</v>
      </c>
      <c r="S2980">
        <v>2.990265</v>
      </c>
      <c r="T2980">
        <v>-0.29281059999999998</v>
      </c>
      <c r="U2980">
        <v>-0.3206329</v>
      </c>
      <c r="V2980">
        <v>0.11203299999999999</v>
      </c>
      <c r="W2980">
        <v>3.69482E-2</v>
      </c>
      <c r="X2980">
        <v>0.99301729999999999</v>
      </c>
      <c r="Y2980">
        <v>0.1040263</v>
      </c>
      <c r="Z2980">
        <v>-4.8603029999999998E-3</v>
      </c>
      <c r="AA2980">
        <v>0.99456270000000002</v>
      </c>
      <c r="AB2980">
        <v>39</v>
      </c>
      <c r="AC2980">
        <v>0.42050000000000398</v>
      </c>
      <c r="AD2980">
        <v>-7.16750000000001E-2</v>
      </c>
      <c r="AE2980">
        <v>-7.80000000000029E-2</v>
      </c>
      <c r="AF2980">
        <v>7.5002524686757693E-2</v>
      </c>
      <c r="AG2980">
        <v>-7.16750000000001E-2</v>
      </c>
      <c r="AH2980">
        <v>0.40917169995735397</v>
      </c>
      <c r="AI2980">
        <v>99.776087717431494</v>
      </c>
      <c r="AJ2980">
        <v>79.612806773680504</v>
      </c>
      <c r="AK2980">
        <v>0.42211866149268801</v>
      </c>
      <c r="AL2980">
        <v>87.882542027404199</v>
      </c>
      <c r="AM2980">
        <v>83.5630635050032</v>
      </c>
      <c r="AN2980">
        <v>0.99999996033576399</v>
      </c>
    </row>
    <row r="2981" spans="1:40" x14ac:dyDescent="0.25">
      <c r="A2981" t="str">
        <f>"20190312154613044"</f>
        <v>20190312154613044</v>
      </c>
      <c r="B2981" t="str">
        <f>"1552376773040280"</f>
        <v>1552376773040280</v>
      </c>
      <c r="C2981" t="s">
        <v>40</v>
      </c>
      <c r="D2981">
        <v>4.9477529999999996</v>
      </c>
      <c r="E2981">
        <v>0.49858360000000002</v>
      </c>
      <c r="F2981" t="s">
        <v>41</v>
      </c>
      <c r="G2981">
        <v>-267.70800000000003</v>
      </c>
      <c r="H2981">
        <v>1.037536</v>
      </c>
      <c r="I2981">
        <v>215.71180000000001</v>
      </c>
      <c r="J2981">
        <v>-268.0881</v>
      </c>
      <c r="K2981">
        <v>1.110012</v>
      </c>
      <c r="L2981">
        <v>215.79400000000001</v>
      </c>
      <c r="M2981">
        <v>0.99989410000000001</v>
      </c>
      <c r="N2981">
        <v>0</v>
      </c>
      <c r="O2981">
        <v>-2.1179559999999998E-3</v>
      </c>
      <c r="P2981">
        <v>0.99308629999999998</v>
      </c>
      <c r="Q2981">
        <v>2.2192920000000001E-2</v>
      </c>
      <c r="R2981">
        <v>-0.11527129999999999</v>
      </c>
      <c r="S2981">
        <v>2.9897459999999998</v>
      </c>
      <c r="T2981">
        <v>-0.28293109999999999</v>
      </c>
      <c r="U2981">
        <v>-0.32377620000000001</v>
      </c>
      <c r="V2981">
        <v>0.113168699999999</v>
      </c>
      <c r="W2981">
        <v>3.649695E-2</v>
      </c>
      <c r="X2981">
        <v>0.99290529999999999</v>
      </c>
      <c r="Y2981">
        <v>0.1051052</v>
      </c>
      <c r="Z2981">
        <v>-4.7483789999999996E-3</v>
      </c>
      <c r="AA2981">
        <v>0.99444980000000005</v>
      </c>
      <c r="AB2981">
        <v>39</v>
      </c>
      <c r="AC2981">
        <v>0.38010000000002703</v>
      </c>
      <c r="AD2981">
        <v>-7.2475999999999902E-2</v>
      </c>
      <c r="AE2981">
        <v>-8.2200000000000203E-2</v>
      </c>
      <c r="AF2981">
        <v>7.8662512037065493E-2</v>
      </c>
      <c r="AG2981">
        <v>-7.2475999999999902E-2</v>
      </c>
      <c r="AH2981">
        <v>0.367508585641517</v>
      </c>
      <c r="AI2981">
        <v>100.91499247164001</v>
      </c>
      <c r="AJ2981">
        <v>77.9185586638703</v>
      </c>
      <c r="AK2981">
        <v>0.38275726236899799</v>
      </c>
      <c r="AL2981">
        <v>87.908414405156606</v>
      </c>
      <c r="AM2981">
        <v>83.497639885007004</v>
      </c>
      <c r="AN2981">
        <v>1.00000005839353</v>
      </c>
    </row>
    <row r="2982" spans="1:40" x14ac:dyDescent="0.25">
      <c r="A2982" t="str">
        <f>"20190312154613069"</f>
        <v>20190312154613069</v>
      </c>
      <c r="B2982" t="str">
        <f>"1552376773059802"</f>
        <v>1552376773059802</v>
      </c>
      <c r="C2982" t="s">
        <v>40</v>
      </c>
      <c r="D2982">
        <v>5.2568289999999998</v>
      </c>
      <c r="E2982">
        <v>0.49816159999999998</v>
      </c>
      <c r="F2982" t="s">
        <v>41</v>
      </c>
      <c r="G2982">
        <v>-267.02730000000003</v>
      </c>
      <c r="H2982">
        <v>1.0152129999999999</v>
      </c>
      <c r="I2982">
        <v>215.67859999999999</v>
      </c>
      <c r="J2982">
        <v>-267.64670000000001</v>
      </c>
      <c r="K2982">
        <v>1.10997099999999</v>
      </c>
      <c r="L2982">
        <v>215.79310000000001</v>
      </c>
      <c r="M2982">
        <v>0.99989459999999997</v>
      </c>
      <c r="N2982">
        <v>0</v>
      </c>
      <c r="O2982">
        <v>-2.1176540000000001E-3</v>
      </c>
      <c r="P2982">
        <v>0.99306950000000005</v>
      </c>
      <c r="Q2982">
        <v>2.1081550000000001E-2</v>
      </c>
      <c r="R2982">
        <v>-0.115623</v>
      </c>
      <c r="S2982">
        <v>2.989166</v>
      </c>
      <c r="T2982">
        <v>-0.26723859999999999</v>
      </c>
      <c r="U2982">
        <v>-0.32501219999999997</v>
      </c>
      <c r="V2982">
        <v>0.11352080000000001</v>
      </c>
      <c r="W2982">
        <v>3.5344220000000003E-2</v>
      </c>
      <c r="X2982">
        <v>0.99290670000000003</v>
      </c>
      <c r="Y2982">
        <v>0.10557950000000001</v>
      </c>
      <c r="Z2982">
        <v>-4.50797E-3</v>
      </c>
      <c r="AA2982">
        <v>0.99440070000000003</v>
      </c>
      <c r="AB2982">
        <v>39</v>
      </c>
      <c r="AC2982">
        <v>0.61939999999998396</v>
      </c>
      <c r="AD2982">
        <v>-9.4757999999999898E-2</v>
      </c>
      <c r="AE2982">
        <v>-0.11450000000002</v>
      </c>
      <c r="AF2982">
        <v>0.11068310455392601</v>
      </c>
      <c r="AG2982">
        <v>-9.4757999999999898E-2</v>
      </c>
      <c r="AH2982">
        <v>0.60592856185267696</v>
      </c>
      <c r="AI2982">
        <v>98.7457752570201</v>
      </c>
      <c r="AJ2982">
        <v>79.648087549951399</v>
      </c>
      <c r="AK2982">
        <v>0.62320081054708898</v>
      </c>
      <c r="AL2982">
        <v>87.974503400919005</v>
      </c>
      <c r="AM2982">
        <v>83.477592372152998</v>
      </c>
      <c r="AN2982">
        <v>0.99999995041246803</v>
      </c>
    </row>
    <row r="2983" spans="1:40" x14ac:dyDescent="0.25">
      <c r="A2983" t="str">
        <f>"20190312154613093"</f>
        <v>20190312154613093</v>
      </c>
      <c r="B2983" t="str">
        <f>"1552376773080297"</f>
        <v>1552376773080297</v>
      </c>
      <c r="C2983" t="s">
        <v>40</v>
      </c>
      <c r="D2983">
        <v>4.9637070000000003</v>
      </c>
      <c r="E2983">
        <v>0.49772880000000003</v>
      </c>
      <c r="F2983" t="s">
        <v>41</v>
      </c>
      <c r="G2983">
        <v>-266.67680000000001</v>
      </c>
      <c r="H2983">
        <v>1.0259830000000001</v>
      </c>
      <c r="I2983">
        <v>215.68799999999999</v>
      </c>
      <c r="J2983">
        <v>-267.2285</v>
      </c>
      <c r="K2983">
        <v>1.1099319999999999</v>
      </c>
      <c r="L2983">
        <v>215.79220000000001</v>
      </c>
      <c r="M2983">
        <v>0.99989519999999998</v>
      </c>
      <c r="N2983">
        <v>0</v>
      </c>
      <c r="O2983">
        <v>-2.117407E-3</v>
      </c>
      <c r="P2983">
        <v>0.99307999999999996</v>
      </c>
      <c r="Q2983">
        <v>1.9645630000000001E-2</v>
      </c>
      <c r="R2983">
        <v>-0.1157864</v>
      </c>
      <c r="S2983">
        <v>2.988861</v>
      </c>
      <c r="T2983">
        <v>-0.2589822</v>
      </c>
      <c r="U2983">
        <v>-0.32267760000000001</v>
      </c>
      <c r="V2983">
        <v>0.1136844</v>
      </c>
      <c r="W2983">
        <v>3.387453E-2</v>
      </c>
      <c r="X2983">
        <v>0.99293929999999997</v>
      </c>
      <c r="Y2983">
        <v>0.1048502</v>
      </c>
      <c r="Z2983">
        <v>-4.33842E-3</v>
      </c>
      <c r="AA2983">
        <v>0.99447859999999999</v>
      </c>
      <c r="AB2983">
        <v>39</v>
      </c>
      <c r="AC2983">
        <v>0.55169999999998198</v>
      </c>
      <c r="AD2983">
        <v>-8.3948999999999802E-2</v>
      </c>
      <c r="AE2983">
        <v>-0.10420000000002</v>
      </c>
      <c r="AF2983">
        <v>0.10077842558729599</v>
      </c>
      <c r="AG2983">
        <v>-8.3948999999999802E-2</v>
      </c>
      <c r="AH2983">
        <v>0.539850285207081</v>
      </c>
      <c r="AI2983">
        <v>98.691152675739602</v>
      </c>
      <c r="AJ2983">
        <v>79.425823040453395</v>
      </c>
      <c r="AK2983">
        <v>0.55555562827049199</v>
      </c>
      <c r="AL2983">
        <v>88.058761098276193</v>
      </c>
      <c r="AM2983">
        <v>83.4684863990027</v>
      </c>
      <c r="AN2983">
        <v>1.00000004003528</v>
      </c>
    </row>
    <row r="2984" spans="1:40" x14ac:dyDescent="0.25">
      <c r="A2984" t="str">
        <f>"20190312154613116"</f>
        <v>20190312154613116</v>
      </c>
      <c r="B2984" t="str">
        <f>"1552376773110552"</f>
        <v>1552376773110552</v>
      </c>
      <c r="C2984" t="s">
        <v>40</v>
      </c>
      <c r="D2984">
        <v>4.9388610000000002</v>
      </c>
      <c r="E2984">
        <v>0.49732189999999998</v>
      </c>
      <c r="F2984" t="s">
        <v>41</v>
      </c>
      <c r="G2984">
        <v>-266.32769999999999</v>
      </c>
      <c r="H2984">
        <v>1.034157</v>
      </c>
      <c r="I2984">
        <v>215.69579999999999</v>
      </c>
      <c r="J2984">
        <v>-266.83789999999999</v>
      </c>
      <c r="K2984">
        <v>1.1099049999999999</v>
      </c>
      <c r="L2984">
        <v>215.79140000000001</v>
      </c>
      <c r="M2984">
        <v>0.99989550000000005</v>
      </c>
      <c r="N2984">
        <v>0</v>
      </c>
      <c r="O2984">
        <v>-2.1172069999999999E-3</v>
      </c>
      <c r="P2984">
        <v>0.99309749999999997</v>
      </c>
      <c r="Q2984">
        <v>1.9335689999999999E-2</v>
      </c>
      <c r="R2984">
        <v>-0.115689</v>
      </c>
      <c r="S2984">
        <v>2.9886170000000001</v>
      </c>
      <c r="T2984">
        <v>-0.2514672</v>
      </c>
      <c r="U2984">
        <v>-0.31965640000000001</v>
      </c>
      <c r="V2984">
        <v>0.11358699999999999</v>
      </c>
      <c r="W2984">
        <v>3.3536650000000001E-2</v>
      </c>
      <c r="X2984">
        <v>0.99296189999999995</v>
      </c>
      <c r="Y2984">
        <v>0.1038902</v>
      </c>
      <c r="Z2984">
        <v>-4.1733539999999998E-3</v>
      </c>
      <c r="AA2984">
        <v>0.99458000000000002</v>
      </c>
      <c r="AB2984">
        <v>39</v>
      </c>
      <c r="AC2984">
        <v>0.51019999999999699</v>
      </c>
      <c r="AD2984">
        <v>-7.5747999999999899E-2</v>
      </c>
      <c r="AE2984">
        <v>-9.5600000000018698E-2</v>
      </c>
      <c r="AF2984">
        <v>9.2548665327839799E-2</v>
      </c>
      <c r="AG2984">
        <v>-7.5747999999999899E-2</v>
      </c>
      <c r="AH2984">
        <v>0.499758984304007</v>
      </c>
      <c r="AI2984">
        <v>98.476689391771899</v>
      </c>
      <c r="AJ2984">
        <v>79.508444811486598</v>
      </c>
      <c r="AK2984">
        <v>0.51386968907548602</v>
      </c>
      <c r="AL2984">
        <v>88.078131171039502</v>
      </c>
      <c r="AM2984">
        <v>83.474181282677606</v>
      </c>
      <c r="AN2984">
        <v>1.00000002415691</v>
      </c>
    </row>
    <row r="2985" spans="1:40" x14ac:dyDescent="0.25">
      <c r="A2985" t="str">
        <f>"20190312154613139"</f>
        <v>20190312154613139</v>
      </c>
      <c r="B2985" t="str">
        <f>"1552376773130578"</f>
        <v>1552376773130578</v>
      </c>
      <c r="C2985" t="s">
        <v>40</v>
      </c>
      <c r="D2985">
        <v>4.9501839999999904</v>
      </c>
      <c r="E2985">
        <v>0.49737959999999898</v>
      </c>
      <c r="F2985" t="s">
        <v>41</v>
      </c>
      <c r="G2985">
        <v>-265.97980000000001</v>
      </c>
      <c r="H2985">
        <v>1.0405340000000001</v>
      </c>
      <c r="I2985">
        <v>215.7004</v>
      </c>
      <c r="J2985">
        <v>-266.43959999999998</v>
      </c>
      <c r="K2985">
        <v>1.1098600000000001</v>
      </c>
      <c r="L2985">
        <v>215.79050000000001</v>
      </c>
      <c r="M2985">
        <v>0.99989589999999995</v>
      </c>
      <c r="N2985">
        <v>0</v>
      </c>
      <c r="O2985">
        <v>-2.1170289999999999E-3</v>
      </c>
      <c r="P2985">
        <v>0.99313969999999896</v>
      </c>
      <c r="Q2985">
        <v>1.9650689999999998E-2</v>
      </c>
      <c r="R2985">
        <v>-0.11527229999999999</v>
      </c>
      <c r="S2985">
        <v>2.9887079999999999</v>
      </c>
      <c r="T2985">
        <v>-0.24176839999999999</v>
      </c>
      <c r="U2985">
        <v>-0.31626890000000002</v>
      </c>
      <c r="V2985">
        <v>0.1131707</v>
      </c>
      <c r="W2985">
        <v>3.3827830000000003E-2</v>
      </c>
      <c r="X2985">
        <v>0.99299959999999998</v>
      </c>
      <c r="Y2985">
        <v>0.1028027</v>
      </c>
      <c r="Z2985">
        <v>-3.9692629999999998E-3</v>
      </c>
      <c r="AA2985">
        <v>0.99469379999999996</v>
      </c>
      <c r="AB2985">
        <v>39</v>
      </c>
      <c r="AC2985">
        <v>0.45979999999997201</v>
      </c>
      <c r="AD2985">
        <v>-6.9325999999999999E-2</v>
      </c>
      <c r="AE2985">
        <v>-9.0100000000006703E-2</v>
      </c>
      <c r="AF2985">
        <v>8.7216914474353396E-2</v>
      </c>
      <c r="AG2985">
        <v>-6.9325999999999999E-2</v>
      </c>
      <c r="AH2985">
        <v>0.45013525958922901</v>
      </c>
      <c r="AI2985">
        <v>98.597966723471103</v>
      </c>
      <c r="AJ2985">
        <v>79.034409765416896</v>
      </c>
      <c r="AK2985">
        <v>0.46371827263101201</v>
      </c>
      <c r="AL2985">
        <v>88.061438398727006</v>
      </c>
      <c r="AM2985">
        <v>83.498138172929302</v>
      </c>
      <c r="AN2985">
        <v>1.00000006751057</v>
      </c>
    </row>
    <row r="2986" spans="1:40" x14ac:dyDescent="0.25">
      <c r="A2986" t="str">
        <f>"20190312154613156"</f>
        <v>20190312154613156</v>
      </c>
      <c r="B2986" t="str">
        <f>"1552376773150099"</f>
        <v>1552376773150099</v>
      </c>
      <c r="C2986" t="s">
        <v>40</v>
      </c>
      <c r="D2986">
        <v>4.9056119999999996</v>
      </c>
      <c r="E2986">
        <v>0.49750620000000001</v>
      </c>
      <c r="F2986" t="s">
        <v>41</v>
      </c>
      <c r="G2986">
        <v>-265.63099999999997</v>
      </c>
      <c r="H2986">
        <v>1.0463469999999999</v>
      </c>
      <c r="I2986">
        <v>215.70500000000001</v>
      </c>
      <c r="J2986">
        <v>-266.1268</v>
      </c>
      <c r="K2986">
        <v>1.1098250000000001</v>
      </c>
      <c r="L2986">
        <v>215.78980000000001</v>
      </c>
      <c r="M2986">
        <v>0.99989620000000001</v>
      </c>
      <c r="N2986">
        <v>0</v>
      </c>
      <c r="O2986">
        <v>-2.1169079999999998E-3</v>
      </c>
      <c r="P2986">
        <v>0.99315850000000006</v>
      </c>
      <c r="Q2986">
        <v>1.908381E-2</v>
      </c>
      <c r="R2986">
        <v>-0.115206</v>
      </c>
      <c r="S2986">
        <v>2.9887389999999998</v>
      </c>
      <c r="T2986">
        <v>-0.23481089999999999</v>
      </c>
      <c r="U2986">
        <v>-0.31561280000000003</v>
      </c>
      <c r="V2986">
        <v>0.1131041</v>
      </c>
      <c r="W2986">
        <v>3.3244509999999998E-2</v>
      </c>
      <c r="X2986">
        <v>0.99302679999999999</v>
      </c>
      <c r="Y2986">
        <v>0.1026049</v>
      </c>
      <c r="Z2986">
        <v>-3.8476669999999999E-3</v>
      </c>
      <c r="AA2986">
        <v>0.99471469999999995</v>
      </c>
      <c r="AB2986">
        <v>39</v>
      </c>
      <c r="AC2986">
        <v>0.49580000000003099</v>
      </c>
      <c r="AD2986">
        <v>-6.3478000000000104E-2</v>
      </c>
      <c r="AE2986">
        <v>-8.4800000000001305E-2</v>
      </c>
      <c r="AF2986">
        <v>8.2437231895635593E-2</v>
      </c>
      <c r="AG2986">
        <v>-6.3478000000000104E-2</v>
      </c>
      <c r="AH2986">
        <v>0.48820321876942901</v>
      </c>
      <c r="AI2986">
        <v>97.305963719995702</v>
      </c>
      <c r="AJ2986">
        <v>80.415536295652799</v>
      </c>
      <c r="AK2986">
        <v>0.499167042685558</v>
      </c>
      <c r="AL2986">
        <v>88.094878814830196</v>
      </c>
      <c r="AM2986">
        <v>83.502108194495705</v>
      </c>
      <c r="AN2986">
        <v>0.99999998020009395</v>
      </c>
    </row>
    <row r="2987" spans="1:40" x14ac:dyDescent="0.25">
      <c r="A2987" t="str">
        <f>"20190312154613179"</f>
        <v>20190312154613179</v>
      </c>
      <c r="B2987" t="str">
        <f>"1552376773170594"</f>
        <v>1552376773170594</v>
      </c>
      <c r="C2987" t="s">
        <v>40</v>
      </c>
      <c r="D2987">
        <v>4.9720500000000003</v>
      </c>
      <c r="E2987">
        <v>0.49753969999999997</v>
      </c>
      <c r="F2987" t="s">
        <v>41</v>
      </c>
      <c r="G2987">
        <v>-265.2878</v>
      </c>
      <c r="H2987">
        <v>1.0449189999999999</v>
      </c>
      <c r="I2987">
        <v>215.70079999999999</v>
      </c>
      <c r="J2987">
        <v>-265.74709999999999</v>
      </c>
      <c r="K2987">
        <v>1.1097889999999999</v>
      </c>
      <c r="L2987">
        <v>215.78899999999999</v>
      </c>
      <c r="M2987">
        <v>0.99989629999999996</v>
      </c>
      <c r="N2987">
        <v>0</v>
      </c>
      <c r="O2987">
        <v>-2.1167759999999999E-3</v>
      </c>
      <c r="P2987">
        <v>0.99319860000000004</v>
      </c>
      <c r="Q2987">
        <v>1.85116E-2</v>
      </c>
      <c r="R2987">
        <v>-0.1149526</v>
      </c>
      <c r="S2987">
        <v>2.9884339999999998</v>
      </c>
      <c r="T2987">
        <v>-0.23139170000000001</v>
      </c>
      <c r="U2987">
        <v>-0.31608579999999997</v>
      </c>
      <c r="V2987">
        <v>0.1128508</v>
      </c>
      <c r="W2987">
        <v>3.2654509999999998E-2</v>
      </c>
      <c r="X2987">
        <v>0.99307520000000005</v>
      </c>
      <c r="Y2987">
        <v>0.1027796</v>
      </c>
      <c r="Z2987">
        <v>-3.7989030000000002E-3</v>
      </c>
      <c r="AA2987">
        <v>0.99469689999999999</v>
      </c>
      <c r="AB2987">
        <v>39</v>
      </c>
      <c r="AC2987">
        <v>0.459299999999984</v>
      </c>
      <c r="AD2987">
        <v>-6.4869999999999706E-2</v>
      </c>
      <c r="AE2987">
        <v>-8.8200000000028894E-2</v>
      </c>
      <c r="AF2987">
        <v>8.5581029759181595E-2</v>
      </c>
      <c r="AG2987">
        <v>-6.4869999999999706E-2</v>
      </c>
      <c r="AH2987">
        <v>0.45081279025016902</v>
      </c>
      <c r="AI2987">
        <v>98.046628521951703</v>
      </c>
      <c r="AJ2987">
        <v>79.251036923313904</v>
      </c>
      <c r="AK2987">
        <v>0.46342680264286001</v>
      </c>
      <c r="AL2987">
        <v>88.128701702872107</v>
      </c>
      <c r="AM2987">
        <v>83.5168496703279</v>
      </c>
      <c r="AN2987">
        <v>0.99999998646950905</v>
      </c>
    </row>
    <row r="2988" spans="1:40" x14ac:dyDescent="0.25">
      <c r="A2988" t="str">
        <f>"20190312154613199"</f>
        <v>20190312154613199</v>
      </c>
      <c r="B2988" t="str">
        <f>"1552376773190115"</f>
        <v>1552376773190115</v>
      </c>
      <c r="C2988" t="s">
        <v>40</v>
      </c>
      <c r="D2988">
        <v>4.9623520000000001</v>
      </c>
      <c r="E2988">
        <v>0.49755389999999999</v>
      </c>
      <c r="F2988" t="s">
        <v>41</v>
      </c>
      <c r="G2988">
        <v>-264.94099999999997</v>
      </c>
      <c r="H2988">
        <v>1.0481499999999999</v>
      </c>
      <c r="I2988">
        <v>215.7037</v>
      </c>
      <c r="J2988">
        <v>-265.39030000000002</v>
      </c>
      <c r="K2988">
        <v>1.1097680000000001</v>
      </c>
      <c r="L2988">
        <v>215.78819999999999</v>
      </c>
      <c r="M2988">
        <v>0.99989660000000002</v>
      </c>
      <c r="N2988">
        <v>0</v>
      </c>
      <c r="O2988">
        <v>-2.1166660000000001E-3</v>
      </c>
      <c r="P2988">
        <v>0.99323300000000003</v>
      </c>
      <c r="Q2988">
        <v>1.7492339999999999E-2</v>
      </c>
      <c r="R2988">
        <v>-0.114814</v>
      </c>
      <c r="S2988">
        <v>2.9883120000000001</v>
      </c>
      <c r="T2988">
        <v>-0.22856409999999999</v>
      </c>
      <c r="U2988">
        <v>-0.31549070000000001</v>
      </c>
      <c r="V2988">
        <v>0.1127124</v>
      </c>
      <c r="W2988">
        <v>3.1620769999999999E-2</v>
      </c>
      <c r="X2988">
        <v>0.99312440000000002</v>
      </c>
      <c r="Y2988">
        <v>0.1025958</v>
      </c>
      <c r="Z2988">
        <v>-3.7458159999999999E-3</v>
      </c>
      <c r="AA2988">
        <v>0.99471609999999999</v>
      </c>
      <c r="AB2988">
        <v>39</v>
      </c>
      <c r="AC2988">
        <v>0.44930000000004999</v>
      </c>
      <c r="AD2988">
        <v>-6.1618000000000103E-2</v>
      </c>
      <c r="AE2988">
        <v>-8.4499999999991304E-2</v>
      </c>
      <c r="AF2988">
        <v>8.2058073114547297E-2</v>
      </c>
      <c r="AG2988">
        <v>-6.1618000000000103E-2</v>
      </c>
      <c r="AH2988">
        <v>0.441458568149106</v>
      </c>
      <c r="AI2988">
        <v>97.813761589754094</v>
      </c>
      <c r="AJ2988">
        <v>79.470068586299405</v>
      </c>
      <c r="AK2988">
        <v>0.453228389092664</v>
      </c>
      <c r="AL2988">
        <v>88.187961309406901</v>
      </c>
      <c r="AM2988">
        <v>83.525051088261804</v>
      </c>
      <c r="AN2988">
        <v>1.00000001604225</v>
      </c>
    </row>
    <row r="2989" spans="1:40" x14ac:dyDescent="0.25">
      <c r="A2989" t="str">
        <f>"20190312154613222"</f>
        <v>20190312154613222</v>
      </c>
      <c r="B2989" t="str">
        <f>"1552376773210610"</f>
        <v>1552376773210610</v>
      </c>
      <c r="C2989" t="s">
        <v>40</v>
      </c>
      <c r="D2989">
        <v>4.9665540000000004</v>
      </c>
      <c r="E2989">
        <v>0.49758390000000002</v>
      </c>
      <c r="F2989" t="s">
        <v>41</v>
      </c>
      <c r="G2989">
        <v>-264.59620000000001</v>
      </c>
      <c r="H2989">
        <v>1.0494520000000001</v>
      </c>
      <c r="I2989">
        <v>215.70439999999999</v>
      </c>
      <c r="J2989">
        <v>-265.00810000000001</v>
      </c>
      <c r="K2989">
        <v>1.109761</v>
      </c>
      <c r="L2989">
        <v>215.78739999999999</v>
      </c>
      <c r="M2989">
        <v>0.99989689999999998</v>
      </c>
      <c r="N2989">
        <v>0</v>
      </c>
      <c r="O2989">
        <v>-2.1165619999999998E-3</v>
      </c>
      <c r="P2989">
        <v>0.99321979999999999</v>
      </c>
      <c r="Q2989">
        <v>1.8238480000000001E-2</v>
      </c>
      <c r="R2989">
        <v>-0.1148136</v>
      </c>
      <c r="S2989">
        <v>2.9880369999999998</v>
      </c>
      <c r="T2989">
        <v>-0.2270875</v>
      </c>
      <c r="U2989">
        <v>-0.3150482</v>
      </c>
      <c r="V2989">
        <v>0.1127122</v>
      </c>
      <c r="W2989">
        <v>3.2351869999999998E-2</v>
      </c>
      <c r="X2989">
        <v>0.99310089999999995</v>
      </c>
      <c r="Y2989">
        <v>0.10246379999999999</v>
      </c>
      <c r="Z2989">
        <v>-3.7170670000000001E-3</v>
      </c>
      <c r="AA2989">
        <v>0.9947298</v>
      </c>
      <c r="AB2989">
        <v>38</v>
      </c>
      <c r="AC2989">
        <v>0.41190000000000199</v>
      </c>
      <c r="AD2989">
        <v>-6.0308999999999897E-2</v>
      </c>
      <c r="AE2989">
        <v>-8.2999999999998395E-2</v>
      </c>
      <c r="AF2989">
        <v>8.0470123516720601E-2</v>
      </c>
      <c r="AG2989">
        <v>-6.0308999999999897E-2</v>
      </c>
      <c r="AH2989">
        <v>0.40375684587455501</v>
      </c>
      <c r="AI2989">
        <v>98.333900168825593</v>
      </c>
      <c r="AJ2989">
        <v>78.7284482652842</v>
      </c>
      <c r="AK2989">
        <v>0.41609158469063701</v>
      </c>
      <c r="AL2989">
        <v>88.146050964931206</v>
      </c>
      <c r="AM2989">
        <v>83.524910563140395</v>
      </c>
      <c r="AN2989">
        <v>1.0000000405510701</v>
      </c>
    </row>
    <row r="2990" spans="1:40" x14ac:dyDescent="0.25">
      <c r="A2990" t="str">
        <f>"20190312154613246"</f>
        <v>20190312154613246</v>
      </c>
      <c r="B2990" t="str">
        <f>"1552376773239891"</f>
        <v>1552376773239891</v>
      </c>
      <c r="C2990" t="s">
        <v>40</v>
      </c>
      <c r="D2990">
        <v>4.9467660000000002</v>
      </c>
      <c r="E2990">
        <v>0.49763390000000002</v>
      </c>
      <c r="F2990" t="s">
        <v>41</v>
      </c>
      <c r="G2990">
        <v>-264.23930000000001</v>
      </c>
      <c r="H2990">
        <v>1.052724</v>
      </c>
      <c r="I2990">
        <v>215.70609999999999</v>
      </c>
      <c r="J2990">
        <v>-264.60449999999997</v>
      </c>
      <c r="K2990">
        <v>1.109772</v>
      </c>
      <c r="L2990">
        <v>215.78649999999999</v>
      </c>
      <c r="M2990">
        <v>0.99989709999999998</v>
      </c>
      <c r="N2990">
        <v>0</v>
      </c>
      <c r="O2990">
        <v>-2.116466E-3</v>
      </c>
      <c r="P2990">
        <v>0.99318870000000004</v>
      </c>
      <c r="Q2990">
        <v>1.990722E-2</v>
      </c>
      <c r="R2990">
        <v>-0.1148054</v>
      </c>
      <c r="S2990">
        <v>2.9881289999999998</v>
      </c>
      <c r="T2990">
        <v>-0.22183249999999999</v>
      </c>
      <c r="U2990">
        <v>-0.31535340000000001</v>
      </c>
      <c r="V2990">
        <v>0.112704</v>
      </c>
      <c r="W2990">
        <v>3.4007019999999999E-2</v>
      </c>
      <c r="X2990">
        <v>0.99304650000000005</v>
      </c>
      <c r="Y2990">
        <v>0.1025739</v>
      </c>
      <c r="Z2990">
        <v>-3.6352369999999999E-3</v>
      </c>
      <c r="AA2990">
        <v>0.99471869999999996</v>
      </c>
      <c r="AB2990">
        <v>38</v>
      </c>
      <c r="AC2990">
        <v>0.365199999999958</v>
      </c>
      <c r="AD2990">
        <v>-5.7047999999999897E-2</v>
      </c>
      <c r="AE2990">
        <v>-8.0399999999997293E-2</v>
      </c>
      <c r="AF2990">
        <v>7.7815752768479393E-2</v>
      </c>
      <c r="AG2990">
        <v>-5.7047999999999897E-2</v>
      </c>
      <c r="AH2990">
        <v>0.357059292934785</v>
      </c>
      <c r="AI2990">
        <v>98.872692690491206</v>
      </c>
      <c r="AJ2990">
        <v>77.705478438918604</v>
      </c>
      <c r="AK2990">
        <v>0.36986633309077199</v>
      </c>
      <c r="AL2990">
        <v>88.051165546198902</v>
      </c>
      <c r="AM2990">
        <v>83.525025962699104</v>
      </c>
      <c r="AN2990">
        <v>1.0000000100937601</v>
      </c>
    </row>
    <row r="2991" spans="1:40" x14ac:dyDescent="0.25">
      <c r="A2991" t="str">
        <f>"20190312154613273"</f>
        <v>20190312154613273</v>
      </c>
      <c r="B2991" t="str">
        <f>"1552376773260387"</f>
        <v>1552376773260387</v>
      </c>
      <c r="C2991" t="s">
        <v>40</v>
      </c>
      <c r="D2991">
        <v>4.8993989999999998</v>
      </c>
      <c r="E2991">
        <v>0.49764770000000003</v>
      </c>
      <c r="F2991" t="s">
        <v>41</v>
      </c>
      <c r="G2991">
        <v>-263.57569999999998</v>
      </c>
      <c r="H2991">
        <v>1.036095</v>
      </c>
      <c r="I2991">
        <v>215.67769999999999</v>
      </c>
      <c r="J2991">
        <v>-264.1515</v>
      </c>
      <c r="K2991">
        <v>1.109783</v>
      </c>
      <c r="L2991">
        <v>215.78550000000001</v>
      </c>
      <c r="M2991">
        <v>0.99989709999999998</v>
      </c>
      <c r="N2991">
        <v>0</v>
      </c>
      <c r="O2991">
        <v>-2.115895E-3</v>
      </c>
      <c r="P2991">
        <v>0.99320810000000004</v>
      </c>
      <c r="Q2991">
        <v>2.2727799999999999E-2</v>
      </c>
      <c r="R2991">
        <v>-0.114111</v>
      </c>
      <c r="S2991">
        <v>2.9883419999999998</v>
      </c>
      <c r="T2991">
        <v>-0.2140658</v>
      </c>
      <c r="U2991">
        <v>-0.315689099999999</v>
      </c>
      <c r="V2991">
        <v>0.1120104</v>
      </c>
      <c r="W2991">
        <v>3.6814310000000003E-2</v>
      </c>
      <c r="X2991">
        <v>0.99302489999999999</v>
      </c>
      <c r="Y2991">
        <v>0.1026961</v>
      </c>
      <c r="Z2991">
        <v>-3.5124209999999999E-3</v>
      </c>
      <c r="AA2991">
        <v>0.9947066</v>
      </c>
      <c r="AB2991">
        <v>38</v>
      </c>
      <c r="AC2991">
        <v>0.57580000000001497</v>
      </c>
      <c r="AD2991">
        <v>-7.3687999999999906E-2</v>
      </c>
      <c r="AE2991">
        <v>-0.107800000000025</v>
      </c>
      <c r="AF2991">
        <v>0.104921137067643</v>
      </c>
      <c r="AG2991">
        <v>-7.3687999999999906E-2</v>
      </c>
      <c r="AH2991">
        <v>0.56705432968077296</v>
      </c>
      <c r="AI2991">
        <v>97.281785708902703</v>
      </c>
      <c r="AJ2991">
        <v>79.517210296249701</v>
      </c>
      <c r="AK2991">
        <v>0.58136819585980004</v>
      </c>
      <c r="AL2991">
        <v>87.890218745369296</v>
      </c>
      <c r="AM2991">
        <v>83.564399950244393</v>
      </c>
      <c r="AN2991">
        <v>1.00000003757447</v>
      </c>
    </row>
    <row r="2992" spans="1:40" x14ac:dyDescent="0.25">
      <c r="A2992" t="str">
        <f>"20190312154613296"</f>
        <v>20190312154613296</v>
      </c>
      <c r="B2992" t="str">
        <f>"1552376773290643"</f>
        <v>1552376773290643</v>
      </c>
      <c r="C2992" t="s">
        <v>40</v>
      </c>
      <c r="D2992">
        <v>4.9102079999999999</v>
      </c>
      <c r="E2992">
        <v>0.49739679999999997</v>
      </c>
      <c r="F2992" t="s">
        <v>41</v>
      </c>
      <c r="G2992">
        <v>-263.226</v>
      </c>
      <c r="H2992">
        <v>1.046522</v>
      </c>
      <c r="I2992">
        <v>215.68809999999999</v>
      </c>
      <c r="J2992">
        <v>-263.76339999999999</v>
      </c>
      <c r="K2992">
        <v>1.109788</v>
      </c>
      <c r="L2992">
        <v>215.78469999999999</v>
      </c>
      <c r="M2992">
        <v>0.99989740000000005</v>
      </c>
      <c r="N2992">
        <v>0</v>
      </c>
      <c r="O2992">
        <v>-2.1158230000000002E-3</v>
      </c>
      <c r="P2992">
        <v>0.9932356</v>
      </c>
      <c r="Q2992">
        <v>2.4699120000000001E-2</v>
      </c>
      <c r="R2992">
        <v>-0.1134599</v>
      </c>
      <c r="S2992">
        <v>2.9890750000000001</v>
      </c>
      <c r="T2992">
        <v>-0.20446629999999999</v>
      </c>
      <c r="U2992">
        <v>-0.31381229999999999</v>
      </c>
      <c r="V2992">
        <v>0.1113595</v>
      </c>
      <c r="W2992">
        <v>3.8775560000000001E-2</v>
      </c>
      <c r="X2992">
        <v>0.9930234</v>
      </c>
      <c r="Y2992">
        <v>0.1020768</v>
      </c>
      <c r="Z2992">
        <v>-3.3334850000000002E-3</v>
      </c>
      <c r="AA2992">
        <v>0.99477090000000001</v>
      </c>
      <c r="AB2992">
        <v>38</v>
      </c>
      <c r="AC2992">
        <v>0.537399999999991</v>
      </c>
      <c r="AD2992">
        <v>-6.3266000000000003E-2</v>
      </c>
      <c r="AE2992">
        <v>-9.6599999999995106E-2</v>
      </c>
      <c r="AF2992">
        <v>9.4197959565980496E-2</v>
      </c>
      <c r="AG2992">
        <v>-6.3266000000000003E-2</v>
      </c>
      <c r="AH2992">
        <v>0.53048116315325999</v>
      </c>
      <c r="AI2992">
        <v>96.697266022429204</v>
      </c>
      <c r="AJ2992">
        <v>79.930898576007706</v>
      </c>
      <c r="AK2992">
        <v>0.54248143452364395</v>
      </c>
      <c r="AL2992">
        <v>87.777766905693696</v>
      </c>
      <c r="AM2992">
        <v>83.601477019180606</v>
      </c>
      <c r="AN2992">
        <v>0.99999997762056103</v>
      </c>
    </row>
    <row r="2993" spans="1:40" x14ac:dyDescent="0.25">
      <c r="A2993" t="str">
        <f>"20190312154613319"</f>
        <v>20190312154613319</v>
      </c>
      <c r="B2993" t="str">
        <f>"1552376773310163"</f>
        <v>1552376773310163</v>
      </c>
      <c r="C2993" t="s">
        <v>40</v>
      </c>
      <c r="D2993">
        <v>4.8566209999999996</v>
      </c>
      <c r="E2993">
        <v>0.49732379999999998</v>
      </c>
      <c r="F2993" t="s">
        <v>41</v>
      </c>
      <c r="G2993">
        <v>-262.87939999999998</v>
      </c>
      <c r="H2993">
        <v>1.0513539999999999</v>
      </c>
      <c r="I2993">
        <v>215.69300000000001</v>
      </c>
      <c r="J2993">
        <v>-263.35379999999998</v>
      </c>
      <c r="K2993">
        <v>1.109796</v>
      </c>
      <c r="L2993">
        <v>215.78380000000001</v>
      </c>
      <c r="M2993">
        <v>0.99989740000000005</v>
      </c>
      <c r="N2993">
        <v>0</v>
      </c>
      <c r="O2993">
        <v>-2.1155179999999998E-3</v>
      </c>
      <c r="P2993">
        <v>0.99324369999999995</v>
      </c>
      <c r="Q2993">
        <v>2.6471749999999999E-2</v>
      </c>
      <c r="R2993">
        <v>-0.1129882</v>
      </c>
      <c r="S2993">
        <v>2.9899900000000001</v>
      </c>
      <c r="T2993">
        <v>-0.19776630000000001</v>
      </c>
      <c r="U2993">
        <v>-0.30973820000000002</v>
      </c>
      <c r="V2993">
        <v>0.1108881</v>
      </c>
      <c r="W2993">
        <v>4.0538940000000002E-2</v>
      </c>
      <c r="X2993">
        <v>0.99300580000000005</v>
      </c>
      <c r="Y2993">
        <v>0.10072250000000001</v>
      </c>
      <c r="Z2993">
        <v>-3.179135E-3</v>
      </c>
      <c r="AA2993">
        <v>0.9949095</v>
      </c>
      <c r="AB2993">
        <v>38</v>
      </c>
      <c r="AC2993">
        <v>0.47440000000000199</v>
      </c>
      <c r="AD2993">
        <v>-5.84419999999998E-2</v>
      </c>
      <c r="AE2993">
        <v>-9.0800000000029898E-2</v>
      </c>
      <c r="AF2993">
        <v>8.8500464435228202E-2</v>
      </c>
      <c r="AG2993">
        <v>-5.84419999999998E-2</v>
      </c>
      <c r="AH2993">
        <v>0.46774337304114799</v>
      </c>
      <c r="AI2993">
        <v>96.998976142298005</v>
      </c>
      <c r="AJ2993">
        <v>79.285874724011407</v>
      </c>
      <c r="AK2993">
        <v>0.47961616173056698</v>
      </c>
      <c r="AL2993">
        <v>87.676653279280799</v>
      </c>
      <c r="AM2993">
        <v>83.628227613237101</v>
      </c>
      <c r="AN2993">
        <v>1.00000004760578</v>
      </c>
    </row>
    <row r="2994" spans="1:40" x14ac:dyDescent="0.25">
      <c r="A2994" t="str">
        <f>"20190312154613338"</f>
        <v>20190312154613338</v>
      </c>
      <c r="B2994" t="str">
        <f>"1552376773330189"</f>
        <v>1552376773330189</v>
      </c>
      <c r="C2994" t="s">
        <v>40</v>
      </c>
      <c r="D2994">
        <v>4.802861</v>
      </c>
      <c r="E2994">
        <v>0.49726320000000002</v>
      </c>
      <c r="F2994" t="s">
        <v>54</v>
      </c>
      <c r="G2994">
        <v>-246.05770000000001</v>
      </c>
      <c r="H2994" s="1">
        <v>1.7136349999999999E-6</v>
      </c>
      <c r="I2994">
        <v>214.0025</v>
      </c>
      <c r="J2994">
        <v>-263.01029999999997</v>
      </c>
      <c r="K2994">
        <v>1.109796</v>
      </c>
      <c r="L2994">
        <v>215.78309999999999</v>
      </c>
      <c r="M2994">
        <v>0.99989749999999999</v>
      </c>
      <c r="N2994">
        <v>0</v>
      </c>
      <c r="O2994">
        <v>-2.1153489999999999E-3</v>
      </c>
      <c r="P2994">
        <v>0.99318320000000004</v>
      </c>
      <c r="Q2994">
        <v>2.8634320000000001E-2</v>
      </c>
      <c r="R2994">
        <v>-0.1129935</v>
      </c>
      <c r="S2994">
        <v>2.9904480000000002</v>
      </c>
      <c r="T2994">
        <v>-0.1918802</v>
      </c>
      <c r="U2994">
        <v>-0.30798340000000002</v>
      </c>
      <c r="V2994">
        <v>0.11089359999999999</v>
      </c>
      <c r="W2994">
        <v>4.2692859999999999E-2</v>
      </c>
      <c r="X2994">
        <v>0.99291490000000004</v>
      </c>
      <c r="Y2994">
        <v>0.1001431</v>
      </c>
      <c r="Z2994">
        <v>-3.0658249999999999E-3</v>
      </c>
      <c r="AA2994">
        <v>0.99496839999999998</v>
      </c>
      <c r="AB2994">
        <v>38</v>
      </c>
      <c r="AC2994">
        <v>16.952599999999901</v>
      </c>
      <c r="AD2994">
        <v>-1.1097942863650001</v>
      </c>
      <c r="AE2994">
        <v>-1.78059999999999</v>
      </c>
      <c r="AF2994">
        <v>1.7373673260234901</v>
      </c>
      <c r="AG2994">
        <v>-1.1097942863650001</v>
      </c>
      <c r="AH2994">
        <v>16.884757189707599</v>
      </c>
      <c r="AI2994">
        <v>93.740809821500804</v>
      </c>
      <c r="AJ2994">
        <v>84.125191013197195</v>
      </c>
      <c r="AK2994">
        <v>17.010147381459198</v>
      </c>
      <c r="AL2994">
        <v>87.553135698878293</v>
      </c>
      <c r="AM2994">
        <v>83.6273356188251</v>
      </c>
      <c r="AN2994">
        <v>1.0000000347289699</v>
      </c>
    </row>
    <row r="2995" spans="1:40" x14ac:dyDescent="0.25">
      <c r="A2995" t="str">
        <f>"20190312154613360"</f>
        <v>20190312154613360</v>
      </c>
      <c r="B2995" t="str">
        <f>"1552376773349710"</f>
        <v>1552376773349710</v>
      </c>
      <c r="C2995" t="s">
        <v>40</v>
      </c>
      <c r="D2995">
        <v>4.7582370000000003</v>
      </c>
      <c r="E2995">
        <v>0.4972451</v>
      </c>
      <c r="F2995" t="s">
        <v>54</v>
      </c>
      <c r="G2995">
        <v>-245.0462</v>
      </c>
      <c r="H2995" s="1">
        <v>1.1782180000000001E-6</v>
      </c>
      <c r="I2995">
        <v>213.9375</v>
      </c>
      <c r="J2995">
        <v>-262.65350000000001</v>
      </c>
      <c r="K2995">
        <v>1.1097999999999999</v>
      </c>
      <c r="L2995">
        <v>215.78229999999999</v>
      </c>
      <c r="M2995">
        <v>0.9998977</v>
      </c>
      <c r="N2995">
        <v>0</v>
      </c>
      <c r="O2995">
        <v>-2.1153019999999999E-3</v>
      </c>
      <c r="P2995">
        <v>0.99307420000000002</v>
      </c>
      <c r="Q2995">
        <v>3.0408939999999999E-2</v>
      </c>
      <c r="R2995">
        <v>-0.1134864</v>
      </c>
      <c r="S2995">
        <v>2.9909669999999999</v>
      </c>
      <c r="T2995">
        <v>-0.1847771</v>
      </c>
      <c r="U2995">
        <v>-0.30728149999999999</v>
      </c>
      <c r="V2995">
        <v>0.1113869</v>
      </c>
      <c r="W2995">
        <v>4.4459770000000003E-2</v>
      </c>
      <c r="X2995">
        <v>0.9927821</v>
      </c>
      <c r="Y2995">
        <v>9.9909440000000002E-2</v>
      </c>
      <c r="Z2995">
        <v>-2.9448909999999998E-3</v>
      </c>
      <c r="AA2995">
        <v>0.99499219999999999</v>
      </c>
      <c r="AB2995">
        <v>38</v>
      </c>
      <c r="AC2995">
        <v>17.607299999999999</v>
      </c>
      <c r="AD2995">
        <v>-1.1097988217819901</v>
      </c>
      <c r="AE2995">
        <v>-1.84479999999999</v>
      </c>
      <c r="AF2995">
        <v>1.80047204025425</v>
      </c>
      <c r="AG2995">
        <v>-1.1097988217819901</v>
      </c>
      <c r="AH2995">
        <v>17.542227291785601</v>
      </c>
      <c r="AI2995">
        <v>93.601092339470696</v>
      </c>
      <c r="AJ2995">
        <v>84.139884050680394</v>
      </c>
      <c r="AK2995">
        <v>17.669269689187399</v>
      </c>
      <c r="AL2995">
        <v>87.451802872609605</v>
      </c>
      <c r="AM2995">
        <v>83.598373068462905</v>
      </c>
      <c r="AN2995">
        <v>1.00000000536023</v>
      </c>
    </row>
    <row r="2996" spans="1:40" x14ac:dyDescent="0.25">
      <c r="A2996" t="str">
        <f>"20190312154613379"</f>
        <v>20190312154613379</v>
      </c>
      <c r="B2996" t="str">
        <f>"1552376773370205"</f>
        <v>1552376773370205</v>
      </c>
      <c r="C2996" t="s">
        <v>40</v>
      </c>
      <c r="D2996">
        <v>4.6921390000000001</v>
      </c>
      <c r="E2996">
        <v>0.497255</v>
      </c>
      <c r="F2996" t="s">
        <v>54</v>
      </c>
      <c r="G2996">
        <v>-244.108</v>
      </c>
      <c r="H2996" s="1">
        <v>6.8184050000000004E-7</v>
      </c>
      <c r="I2996">
        <v>213.87119999999999</v>
      </c>
      <c r="J2996">
        <v>-262.3057</v>
      </c>
      <c r="K2996">
        <v>1.109793</v>
      </c>
      <c r="L2996">
        <v>215.7816</v>
      </c>
      <c r="M2996">
        <v>0.99989779999999995</v>
      </c>
      <c r="N2996">
        <v>0</v>
      </c>
      <c r="O2996">
        <v>-2.1150209999999999E-3</v>
      </c>
      <c r="P2996">
        <v>0.99294610000000005</v>
      </c>
      <c r="Q2996">
        <v>3.1666939999999998E-2</v>
      </c>
      <c r="R2996">
        <v>-0.1142599</v>
      </c>
      <c r="S2996">
        <v>2.9911799999999999</v>
      </c>
      <c r="T2996">
        <v>-0.17899789999999999</v>
      </c>
      <c r="U2996">
        <v>-0.30824279999999998</v>
      </c>
      <c r="V2996">
        <v>0.11216089999999999</v>
      </c>
      <c r="W2996">
        <v>4.5709710000000001E-2</v>
      </c>
      <c r="X2996">
        <v>0.99263820000000003</v>
      </c>
      <c r="Y2996">
        <v>0.1002297</v>
      </c>
      <c r="Z2996">
        <v>-2.862266E-3</v>
      </c>
      <c r="AA2996">
        <v>0.99496019999999996</v>
      </c>
      <c r="AB2996">
        <v>38</v>
      </c>
      <c r="AC2996">
        <v>18.197700000000001</v>
      </c>
      <c r="AD2996">
        <v>-1.1097923181595</v>
      </c>
      <c r="AE2996">
        <v>-1.9104000000000001</v>
      </c>
      <c r="AF2996">
        <v>1.86504249314009</v>
      </c>
      <c r="AG2996">
        <v>-1.1097923181595</v>
      </c>
      <c r="AH2996">
        <v>18.134987674932699</v>
      </c>
      <c r="AI2996">
        <v>93.483588694051093</v>
      </c>
      <c r="AJ2996">
        <v>84.128217470231405</v>
      </c>
      <c r="AK2996">
        <v>18.264386123289899</v>
      </c>
      <c r="AL2996">
        <v>87.380113725579704</v>
      </c>
      <c r="AM2996">
        <v>83.553336292762197</v>
      </c>
      <c r="AN2996">
        <v>1.0000000205881601</v>
      </c>
    </row>
    <row r="2997" spans="1:40" x14ac:dyDescent="0.25">
      <c r="A2997" t="str">
        <f>"20190312154613401"</f>
        <v>20190312154613401</v>
      </c>
      <c r="B2997" t="str">
        <f>"1552376773389725"</f>
        <v>1552376773389725</v>
      </c>
      <c r="C2997" t="s">
        <v>40</v>
      </c>
      <c r="D2997">
        <v>4.6047019999999996</v>
      </c>
      <c r="E2997">
        <v>0.49730770000000002</v>
      </c>
      <c r="F2997" t="s">
        <v>54</v>
      </c>
      <c r="G2997">
        <v>-243.26159999999999</v>
      </c>
      <c r="H2997" s="1">
        <v>2.3437870000000001E-7</v>
      </c>
      <c r="I2997">
        <v>213.80459999999999</v>
      </c>
      <c r="J2997">
        <v>-261.94740000000002</v>
      </c>
      <c r="K2997">
        <v>1.109782</v>
      </c>
      <c r="L2997">
        <v>215.7808</v>
      </c>
      <c r="M2997">
        <v>0.99989790000000001</v>
      </c>
      <c r="N2997">
        <v>0</v>
      </c>
      <c r="O2997">
        <v>-2.1149820000000001E-3</v>
      </c>
      <c r="P2997">
        <v>0.99277040000000005</v>
      </c>
      <c r="Q2997">
        <v>3.1899329999999997E-2</v>
      </c>
      <c r="R2997">
        <v>-0.11571529999999999</v>
      </c>
      <c r="S2997">
        <v>2.9911799999999999</v>
      </c>
      <c r="T2997">
        <v>-0.17431089999999999</v>
      </c>
      <c r="U2997">
        <v>-0.31051640000000003</v>
      </c>
      <c r="V2997">
        <v>0.1136168</v>
      </c>
      <c r="W2997">
        <v>4.5934080000000002E-2</v>
      </c>
      <c r="X2997">
        <v>0.99246219999999996</v>
      </c>
      <c r="Y2997">
        <v>0.1009857</v>
      </c>
      <c r="Z2997">
        <v>-2.8092909999999998E-3</v>
      </c>
      <c r="AA2997">
        <v>0.99488390000000004</v>
      </c>
      <c r="AB2997">
        <v>38</v>
      </c>
      <c r="AC2997">
        <v>18.6858</v>
      </c>
      <c r="AD2997">
        <v>-1.1097817656213</v>
      </c>
      <c r="AE2997">
        <v>-1.9762</v>
      </c>
      <c r="AF2997">
        <v>1.9299391814652</v>
      </c>
      <c r="AG2997">
        <v>-1.1097817656213</v>
      </c>
      <c r="AH2997">
        <v>18.624967676849501</v>
      </c>
      <c r="AI2997">
        <v>93.391858986357803</v>
      </c>
      <c r="AJ2997">
        <v>84.084063201560596</v>
      </c>
      <c r="AK2997">
        <v>18.757550527058399</v>
      </c>
      <c r="AL2997">
        <v>87.367244615156494</v>
      </c>
      <c r="AM2997">
        <v>83.469225794688001</v>
      </c>
      <c r="AN2997">
        <v>0.99999996768826205</v>
      </c>
    </row>
    <row r="2998" spans="1:40" x14ac:dyDescent="0.25">
      <c r="A2998" t="str">
        <f>"20190312154613426"</f>
        <v>20190312154613426</v>
      </c>
      <c r="B2998" t="str">
        <f>"1552376773419981"</f>
        <v>1552376773419981</v>
      </c>
      <c r="C2998" t="s">
        <v>40</v>
      </c>
      <c r="D2998">
        <v>4.5831489999999997</v>
      </c>
      <c r="E2998">
        <v>0.49715609999999999</v>
      </c>
      <c r="F2998" t="s">
        <v>54</v>
      </c>
      <c r="G2998">
        <v>-242.67500000000001</v>
      </c>
      <c r="H2998" s="1">
        <v>-7.5443370000000001E-8</v>
      </c>
      <c r="I2998">
        <v>213.75069999999999</v>
      </c>
      <c r="J2998">
        <v>-261.52499999999998</v>
      </c>
      <c r="K2998">
        <v>1.1097779999999999</v>
      </c>
      <c r="L2998">
        <v>215.7799</v>
      </c>
      <c r="M2998">
        <v>0.99989790000000001</v>
      </c>
      <c r="N2998">
        <v>0</v>
      </c>
      <c r="O2998">
        <v>-2.1147010000000001E-3</v>
      </c>
      <c r="P2998">
        <v>0.9926798</v>
      </c>
      <c r="Q2998">
        <v>3.1209210000000001E-2</v>
      </c>
      <c r="R2998">
        <v>-0.11667569999999999</v>
      </c>
      <c r="S2998">
        <v>2.9906619999999999</v>
      </c>
      <c r="T2998">
        <v>-0.17221429999999999</v>
      </c>
      <c r="U2998">
        <v>-0.31503300000000001</v>
      </c>
      <c r="V2998">
        <v>0.1145777</v>
      </c>
      <c r="W2998">
        <v>4.5237180000000002E-2</v>
      </c>
      <c r="X2998">
        <v>0.99238380000000004</v>
      </c>
      <c r="Y2998">
        <v>0.10249129999999999</v>
      </c>
      <c r="Z2998">
        <v>-2.8190279999999999E-3</v>
      </c>
      <c r="AA2998">
        <v>0.99472989999999994</v>
      </c>
      <c r="AB2998">
        <v>38</v>
      </c>
      <c r="AC2998">
        <v>18.849999999999898</v>
      </c>
      <c r="AD2998">
        <v>-1.1097780754433699</v>
      </c>
      <c r="AE2998">
        <v>-2.0291999999999999</v>
      </c>
      <c r="AF2998">
        <v>1.98253628513519</v>
      </c>
      <c r="AG2998">
        <v>-1.1097780754433699</v>
      </c>
      <c r="AH2998">
        <v>18.789866692793499</v>
      </c>
      <c r="AI2998">
        <v>93.361493968376394</v>
      </c>
      <c r="AJ2998">
        <v>83.976953757869595</v>
      </c>
      <c r="AK2998">
        <v>18.926731039235602</v>
      </c>
      <c r="AL2998">
        <v>87.407215757907395</v>
      </c>
      <c r="AM2998">
        <v>83.413960051758906</v>
      </c>
      <c r="AN2998">
        <v>1.0000000291470399</v>
      </c>
    </row>
    <row r="2999" spans="1:40" x14ac:dyDescent="0.25">
      <c r="A2999" t="str">
        <f>"20190312154613447"</f>
        <v>20190312154613447</v>
      </c>
      <c r="B2999" t="str">
        <f>"1552376773440478"</f>
        <v>1552376773440478</v>
      </c>
      <c r="C2999" t="s">
        <v>40</v>
      </c>
      <c r="D2999">
        <v>4.4884919999999999</v>
      </c>
      <c r="E2999">
        <v>0.49710510000000002</v>
      </c>
      <c r="F2999" t="s">
        <v>41</v>
      </c>
      <c r="G2999">
        <v>-260.49079999999998</v>
      </c>
      <c r="H2999">
        <v>1.0491790000000001</v>
      </c>
      <c r="I2999">
        <v>215.67019999999999</v>
      </c>
      <c r="J2999">
        <v>-261.17340000000002</v>
      </c>
      <c r="K2999">
        <v>1.1097600000000001</v>
      </c>
      <c r="L2999">
        <v>215.7791</v>
      </c>
      <c r="M2999">
        <v>0.99989799999999995</v>
      </c>
      <c r="N2999">
        <v>0</v>
      </c>
      <c r="O2999">
        <v>-2.1144309999999999E-3</v>
      </c>
      <c r="P2999">
        <v>0.99259920000000001</v>
      </c>
      <c r="Q2999">
        <v>3.0514449999999999E-2</v>
      </c>
      <c r="R2999">
        <v>-0.1175411</v>
      </c>
      <c r="S2999">
        <v>2.9904790000000001</v>
      </c>
      <c r="T2999">
        <v>-0.17536760000000001</v>
      </c>
      <c r="U2999">
        <v>-0.31646729999999901</v>
      </c>
      <c r="V2999">
        <v>0.11544359999999999</v>
      </c>
      <c r="W2999">
        <v>4.4536470000000002E-2</v>
      </c>
      <c r="X2999">
        <v>0.99231510000000001</v>
      </c>
      <c r="Y2999">
        <v>0.1029629</v>
      </c>
      <c r="Z2999">
        <v>-2.8844529999999999E-3</v>
      </c>
      <c r="AA2999">
        <v>0.99468100000000004</v>
      </c>
      <c r="AB2999">
        <v>38</v>
      </c>
      <c r="AC2999">
        <v>0.68260000000003596</v>
      </c>
      <c r="AD2999">
        <v>-6.0581000000000003E-2</v>
      </c>
      <c r="AE2999">
        <v>-0.10890000000000501</v>
      </c>
      <c r="AF2999">
        <v>0.106637207983188</v>
      </c>
      <c r="AG2999">
        <v>-6.0581000000000003E-2</v>
      </c>
      <c r="AH2999">
        <v>0.67762384358569006</v>
      </c>
      <c r="AI2999">
        <v>95.046995530655195</v>
      </c>
      <c r="AJ2999">
        <v>81.056747292674402</v>
      </c>
      <c r="AK2999">
        <v>0.68863315711871798</v>
      </c>
      <c r="AL2999">
        <v>87.447403889341203</v>
      </c>
      <c r="AM2999">
        <v>83.364174169931005</v>
      </c>
      <c r="AN2999">
        <v>0.99999998981451499</v>
      </c>
    </row>
    <row r="3000" spans="1:40" x14ac:dyDescent="0.25">
      <c r="A3000" t="str">
        <f>"20190312154613468"</f>
        <v>20190312154613468</v>
      </c>
      <c r="B3000" t="str">
        <f>"1552376773459998"</f>
        <v>1552376773459998</v>
      </c>
      <c r="C3000" t="s">
        <v>40</v>
      </c>
      <c r="D3000">
        <v>4.4810119999999998</v>
      </c>
      <c r="E3000">
        <v>0.51981129999999998</v>
      </c>
      <c r="F3000" t="s">
        <v>41</v>
      </c>
      <c r="G3000">
        <v>-260.1508</v>
      </c>
      <c r="H3000">
        <v>1.048956</v>
      </c>
      <c r="I3000">
        <v>215.67</v>
      </c>
      <c r="J3000">
        <v>-260.79719999999998</v>
      </c>
      <c r="K3000">
        <v>1.1097589999999999</v>
      </c>
      <c r="L3000">
        <v>215.7783</v>
      </c>
      <c r="M3000">
        <v>0.99989810000000001</v>
      </c>
      <c r="N3000">
        <v>0</v>
      </c>
      <c r="O3000">
        <v>-2.114281E-3</v>
      </c>
      <c r="P3000">
        <v>0.992475</v>
      </c>
      <c r="Q3000">
        <v>3.0007590000000001E-2</v>
      </c>
      <c r="R3000">
        <v>-0.1187154</v>
      </c>
      <c r="S3000">
        <v>2.9901119999999999</v>
      </c>
      <c r="T3000">
        <v>-0.17792810000000001</v>
      </c>
      <c r="U3000">
        <v>-0.31851200000000002</v>
      </c>
      <c r="V3000">
        <v>0.11661829999999999</v>
      </c>
      <c r="W3000">
        <v>4.4023890000000003E-2</v>
      </c>
      <c r="X3000">
        <v>0.99220059999999999</v>
      </c>
      <c r="Y3000">
        <v>0.1036421</v>
      </c>
      <c r="Z3000">
        <v>-2.9468889999999998E-3</v>
      </c>
      <c r="AA3000">
        <v>0.99461029999999995</v>
      </c>
      <c r="AB3000">
        <v>38</v>
      </c>
      <c r="AC3000">
        <v>0.646399999999971</v>
      </c>
      <c r="AD3000">
        <v>-6.0802999999999899E-2</v>
      </c>
      <c r="AE3000">
        <v>-0.108300000000014</v>
      </c>
      <c r="AF3000">
        <v>0.106020489836261</v>
      </c>
      <c r="AG3000">
        <v>-6.0802999999999899E-2</v>
      </c>
      <c r="AH3000">
        <v>0.641109871031873</v>
      </c>
      <c r="AI3000">
        <v>95.345568072531293</v>
      </c>
      <c r="AJ3000">
        <v>80.609965461621201</v>
      </c>
      <c r="AK3000">
        <v>0.65265551082376205</v>
      </c>
      <c r="AL3000">
        <v>87.476801372138596</v>
      </c>
      <c r="AM3000">
        <v>83.2964959791653</v>
      </c>
      <c r="AN3000">
        <v>0.99999998071299001</v>
      </c>
    </row>
    <row r="3001" spans="1:40" x14ac:dyDescent="0.25">
      <c r="A3001" t="str">
        <f>"20190312154613495"</f>
        <v>20190312154613495</v>
      </c>
      <c r="B3001" t="str">
        <f>"1552376773490253"</f>
        <v>1552376773490253</v>
      </c>
      <c r="C3001" t="s">
        <v>40</v>
      </c>
      <c r="D3001">
        <v>4.3508110000000002</v>
      </c>
      <c r="E3001">
        <v>0.53566289999999905</v>
      </c>
      <c r="F3001" t="s">
        <v>54</v>
      </c>
      <c r="G3001">
        <v>-230.86150000000001</v>
      </c>
      <c r="H3001" s="1">
        <v>-9.0638990000000001E-7</v>
      </c>
      <c r="I3001">
        <v>210.68180000000001</v>
      </c>
      <c r="J3001">
        <v>-260.35359999999997</v>
      </c>
      <c r="K3001">
        <v>1.1097570000000001</v>
      </c>
      <c r="L3001">
        <v>215.7774</v>
      </c>
      <c r="M3001">
        <v>0.99989810000000001</v>
      </c>
      <c r="N3001">
        <v>0</v>
      </c>
      <c r="O3001">
        <v>-2.1140059999999999E-3</v>
      </c>
      <c r="P3001">
        <v>0.99235430000000002</v>
      </c>
      <c r="Q3001">
        <v>2.9314420000000001E-2</v>
      </c>
      <c r="R3001">
        <v>-0.1198906</v>
      </c>
      <c r="S3001">
        <v>2.965668</v>
      </c>
      <c r="T3001">
        <v>-0.1099415</v>
      </c>
      <c r="U3001">
        <v>-0.50489810000000002</v>
      </c>
      <c r="V3001">
        <v>0.11779389999999899</v>
      </c>
      <c r="W3001">
        <v>4.3323609999999999E-2</v>
      </c>
      <c r="X3001">
        <v>0.99209250000000004</v>
      </c>
      <c r="Y3001">
        <v>0.16563900000000001</v>
      </c>
      <c r="Z3001">
        <v>-2.969494E-3</v>
      </c>
      <c r="AA3001">
        <v>0.986182</v>
      </c>
      <c r="AB3001">
        <v>38</v>
      </c>
      <c r="AC3001">
        <v>29.492099999999901</v>
      </c>
      <c r="AD3001">
        <v>-1.1097579063898999</v>
      </c>
      <c r="AE3001">
        <v>-5.0955999999999904</v>
      </c>
      <c r="AF3001">
        <v>5.026325242095</v>
      </c>
      <c r="AG3001">
        <v>-1.1097579063898999</v>
      </c>
      <c r="AH3001">
        <v>29.4622996663091</v>
      </c>
      <c r="AI3001">
        <v>92.126448770305601</v>
      </c>
      <c r="AJ3001">
        <v>80.318438574069006</v>
      </c>
      <c r="AK3001">
        <v>29.908570839769599</v>
      </c>
      <c r="AL3001">
        <v>87.516962664583602</v>
      </c>
      <c r="AM3001">
        <v>83.228812980442996</v>
      </c>
      <c r="AN3001">
        <v>0.99999993330844295</v>
      </c>
    </row>
    <row r="3002" spans="1:40" x14ac:dyDescent="0.25">
      <c r="A3002" t="str">
        <f>"20190312154613546"</f>
        <v>20190312154613546</v>
      </c>
      <c r="B3002" t="str">
        <f>"1552376773540033"</f>
        <v>1552376773540033</v>
      </c>
      <c r="C3002" t="s">
        <v>40</v>
      </c>
      <c r="D3002">
        <v>4.1942550000000001</v>
      </c>
      <c r="E3002">
        <v>0.54142389999999996</v>
      </c>
      <c r="F3002" t="s">
        <v>54</v>
      </c>
      <c r="G3002">
        <v>-231.68129999999999</v>
      </c>
      <c r="H3002">
        <v>2.9306909999999999E-2</v>
      </c>
      <c r="I3002">
        <v>209.6163</v>
      </c>
      <c r="J3002">
        <v>-259.48309999999998</v>
      </c>
      <c r="K3002">
        <v>1.1097589999999999</v>
      </c>
      <c r="L3002">
        <v>215.77549999999999</v>
      </c>
      <c r="M3002">
        <v>0.99989830000000002</v>
      </c>
      <c r="N3002">
        <v>0</v>
      </c>
      <c r="O3002">
        <v>-2.113939E-3</v>
      </c>
      <c r="P3002">
        <v>0.99203920000000001</v>
      </c>
      <c r="Q3002">
        <v>2.7726569999999999E-2</v>
      </c>
      <c r="R3002">
        <v>-0.1228417</v>
      </c>
      <c r="S3002">
        <v>2.9497990000000001</v>
      </c>
      <c r="T3002">
        <v>-0.11115650000000001</v>
      </c>
      <c r="U3002">
        <v>-0.63385009999999997</v>
      </c>
      <c r="V3002">
        <v>0.12074550000000001</v>
      </c>
      <c r="W3002">
        <v>4.1722410000000001E-2</v>
      </c>
      <c r="X3002">
        <v>0.99180630000000003</v>
      </c>
      <c r="Y3002">
        <v>0.2078767</v>
      </c>
      <c r="Z3002">
        <v>-3.7924199999999999E-3</v>
      </c>
      <c r="AA3002">
        <v>0.97814769999999895</v>
      </c>
      <c r="AB3002">
        <v>38</v>
      </c>
      <c r="AC3002">
        <v>27.801799999999901</v>
      </c>
      <c r="AD3002">
        <v>-1.0804520900000001</v>
      </c>
      <c r="AE3002">
        <v>-6.1591999999999896</v>
      </c>
      <c r="AF3002">
        <v>6.0916392562909696</v>
      </c>
      <c r="AG3002">
        <v>-1.0804520900000001</v>
      </c>
      <c r="AH3002">
        <v>27.774773406669802</v>
      </c>
      <c r="AI3002">
        <v>92.176039982464204</v>
      </c>
      <c r="AJ3002">
        <v>77.629599747698805</v>
      </c>
      <c r="AK3002">
        <v>28.4554649116725</v>
      </c>
      <c r="AL3002">
        <v>87.608787865700606</v>
      </c>
      <c r="AM3002">
        <v>83.058796641070103</v>
      </c>
      <c r="AN3002">
        <v>0.99999998599307305</v>
      </c>
    </row>
    <row r="3003" spans="1:40" x14ac:dyDescent="0.25">
      <c r="A3003" t="str">
        <f>"20190312154613569"</f>
        <v>20190312154613569</v>
      </c>
      <c r="B3003" t="str">
        <f>"1552376773560526"</f>
        <v>1552376773560526</v>
      </c>
      <c r="C3003" t="s">
        <v>40</v>
      </c>
      <c r="D3003">
        <v>4.1746429999999997</v>
      </c>
      <c r="E3003">
        <v>0.54244559999999997</v>
      </c>
      <c r="F3003" t="s">
        <v>54</v>
      </c>
      <c r="G3003">
        <v>-230.77510000000001</v>
      </c>
      <c r="H3003">
        <v>8.000148E-2</v>
      </c>
      <c r="I3003">
        <v>209.05430000000001</v>
      </c>
      <c r="J3003">
        <v>-259.10379999999998</v>
      </c>
      <c r="K3003">
        <v>1.1097520000000001</v>
      </c>
      <c r="L3003">
        <v>215.7747</v>
      </c>
      <c r="M3003">
        <v>0.99989830000000002</v>
      </c>
      <c r="N3003">
        <v>0</v>
      </c>
      <c r="O3003">
        <v>-2.1136750000000002E-3</v>
      </c>
      <c r="P3003">
        <v>0.99194539999999998</v>
      </c>
      <c r="Q3003">
        <v>2.73429E-2</v>
      </c>
      <c r="R3003">
        <v>-0.1236797</v>
      </c>
      <c r="S3003">
        <v>2.9417420000000001</v>
      </c>
      <c r="T3003">
        <v>-0.1055204</v>
      </c>
      <c r="U3003">
        <v>-0.68873600000000001</v>
      </c>
      <c r="V3003">
        <v>0.12158430000000001</v>
      </c>
      <c r="W3003">
        <v>4.1333179999999997E-2</v>
      </c>
      <c r="X3003">
        <v>0.99172009999999999</v>
      </c>
      <c r="Y3003">
        <v>0.22576570000000001</v>
      </c>
      <c r="Z3003">
        <v>-3.9190739999999998E-3</v>
      </c>
      <c r="AA3003">
        <v>0.97417370000000003</v>
      </c>
      <c r="AB3003">
        <v>38</v>
      </c>
      <c r="AC3003">
        <v>28.328699999999898</v>
      </c>
      <c r="AD3003">
        <v>-1.0297505199999999</v>
      </c>
      <c r="AE3003">
        <v>-6.7203999999999802</v>
      </c>
      <c r="AF3003">
        <v>6.6521799597742097</v>
      </c>
      <c r="AG3003">
        <v>-1.0297505199999999</v>
      </c>
      <c r="AH3003">
        <v>28.3074322774387</v>
      </c>
      <c r="AI3003">
        <v>92.028151634441699</v>
      </c>
      <c r="AJ3003">
        <v>76.775576603796907</v>
      </c>
      <c r="AK3003">
        <v>29.096780002131499</v>
      </c>
      <c r="AL3003">
        <v>87.631108308065507</v>
      </c>
      <c r="AM3003">
        <v>83.010450993704495</v>
      </c>
      <c r="AN3003">
        <v>0.99999996525970503</v>
      </c>
    </row>
    <row r="3004" spans="1:40" x14ac:dyDescent="0.25">
      <c r="A3004" t="str">
        <f>"20190312154613591"</f>
        <v>20190312154613591</v>
      </c>
      <c r="B3004" t="str">
        <f>"1552376773580046"</f>
        <v>1552376773580046</v>
      </c>
      <c r="C3004" t="s">
        <v>40</v>
      </c>
      <c r="D3004">
        <v>4.1316699999999997</v>
      </c>
      <c r="E3004">
        <v>0.54316109999999995</v>
      </c>
      <c r="F3004" t="s">
        <v>54</v>
      </c>
      <c r="G3004">
        <v>-229.69820000000001</v>
      </c>
      <c r="H3004">
        <v>8.0000340000000003E-2</v>
      </c>
      <c r="I3004">
        <v>208.7773</v>
      </c>
      <c r="J3004">
        <v>-258.71660000000003</v>
      </c>
      <c r="K3004">
        <v>1.109748</v>
      </c>
      <c r="L3004">
        <v>215.7739</v>
      </c>
      <c r="M3004">
        <v>0.99989839999999997</v>
      </c>
      <c r="N3004">
        <v>0</v>
      </c>
      <c r="O3004">
        <v>-2.1136499999999999E-3</v>
      </c>
      <c r="P3004">
        <v>0.99189539999999998</v>
      </c>
      <c r="Q3004">
        <v>2.6963480000000001E-2</v>
      </c>
      <c r="R3004">
        <v>-0.12416339999999999</v>
      </c>
      <c r="S3004">
        <v>2.939972</v>
      </c>
      <c r="T3004">
        <v>-0.10295459999999999</v>
      </c>
      <c r="U3004">
        <v>-0.69960019999999901</v>
      </c>
      <c r="V3004">
        <v>0.122068</v>
      </c>
      <c r="W3004">
        <v>4.0949640000000002E-2</v>
      </c>
      <c r="X3004">
        <v>0.99167660000000002</v>
      </c>
      <c r="Y3004">
        <v>0.2293087</v>
      </c>
      <c r="Z3004">
        <v>-3.8856429999999998E-3</v>
      </c>
      <c r="AA3004">
        <v>0.97334600000000004</v>
      </c>
      <c r="AB3004">
        <v>38</v>
      </c>
      <c r="AC3004">
        <v>29.0184</v>
      </c>
      <c r="AD3004">
        <v>-1.02974766</v>
      </c>
      <c r="AE3004">
        <v>-6.9965999999999999</v>
      </c>
      <c r="AF3004">
        <v>6.9269998849389101</v>
      </c>
      <c r="AG3004">
        <v>-1.02974766</v>
      </c>
      <c r="AH3004">
        <v>28.998614484560299</v>
      </c>
      <c r="AI3004">
        <v>91.978124698983805</v>
      </c>
      <c r="AJ3004">
        <v>76.565311976604406</v>
      </c>
      <c r="AK3004">
        <v>29.832253513158701</v>
      </c>
      <c r="AL3004">
        <v>87.653102174947705</v>
      </c>
      <c r="AM3004">
        <v>82.982616344252605</v>
      </c>
      <c r="AN3004">
        <v>0.99999997431384402</v>
      </c>
    </row>
    <row r="3005" spans="1:40" x14ac:dyDescent="0.25">
      <c r="A3005" t="str">
        <f>"20190312154613613"</f>
        <v>20190312154613613</v>
      </c>
      <c r="B3005" t="str">
        <f>"1552376773610302"</f>
        <v>1552376773610302</v>
      </c>
      <c r="C3005" t="s">
        <v>40</v>
      </c>
      <c r="D3005">
        <v>4.1548129999999999</v>
      </c>
      <c r="E3005">
        <v>0.54388619999999899</v>
      </c>
      <c r="F3005" t="s">
        <v>54</v>
      </c>
      <c r="G3005">
        <v>-229.14449999999999</v>
      </c>
      <c r="H3005">
        <v>8.0000500000000002E-2</v>
      </c>
      <c r="I3005">
        <v>208.6653</v>
      </c>
      <c r="J3005">
        <v>-258.34769999999997</v>
      </c>
      <c r="K3005">
        <v>1.1097440000000001</v>
      </c>
      <c r="L3005">
        <v>215.7731</v>
      </c>
      <c r="M3005">
        <v>0.99989839999999997</v>
      </c>
      <c r="N3005">
        <v>0</v>
      </c>
      <c r="O3005">
        <v>-2.1133889999999998E-3</v>
      </c>
      <c r="P3005">
        <v>0.99182329999999996</v>
      </c>
      <c r="Q3005">
        <v>2.6858719999999999E-2</v>
      </c>
      <c r="R3005">
        <v>-0.12476180000000001</v>
      </c>
      <c r="S3005">
        <v>2.9388730000000001</v>
      </c>
      <c r="T3005">
        <v>-0.1023362</v>
      </c>
      <c r="U3005">
        <v>-0.70645139999999995</v>
      </c>
      <c r="V3005">
        <v>0.1226665</v>
      </c>
      <c r="W3005">
        <v>4.0841009999999997E-2</v>
      </c>
      <c r="X3005">
        <v>0.99160720000000002</v>
      </c>
      <c r="Y3005">
        <v>0.23153679999999999</v>
      </c>
      <c r="Z3005">
        <v>-3.9009330000000001E-3</v>
      </c>
      <c r="AA3005">
        <v>0.97281830000000002</v>
      </c>
      <c r="AB3005">
        <v>38</v>
      </c>
      <c r="AC3005">
        <v>29.203199999999899</v>
      </c>
      <c r="AD3005">
        <v>-1.0297434999999999</v>
      </c>
      <c r="AE3005">
        <v>-7.1077999999999903</v>
      </c>
      <c r="AF3005">
        <v>7.0377991276632903</v>
      </c>
      <c r="AG3005">
        <v>-1.0297434999999999</v>
      </c>
      <c r="AH3005">
        <v>29.183901031257001</v>
      </c>
      <c r="AI3005">
        <v>91.964551703178003</v>
      </c>
      <c r="AJ3005">
        <v>76.441793299288193</v>
      </c>
      <c r="AK3005">
        <v>30.038160190652999</v>
      </c>
      <c r="AL3005">
        <v>87.659331366832603</v>
      </c>
      <c r="AM3005">
        <v>82.948067073983495</v>
      </c>
      <c r="AN3005">
        <v>0.99999994870595299</v>
      </c>
    </row>
    <row r="3006" spans="1:40" x14ac:dyDescent="0.25">
      <c r="A3006" t="str">
        <f>"20190312154613634"</f>
        <v>20190312154613634</v>
      </c>
      <c r="B3006" t="str">
        <f>"1552376773629822"</f>
        <v>1552376773629822</v>
      </c>
      <c r="C3006" t="s">
        <v>40</v>
      </c>
      <c r="D3006">
        <v>4.1535479999999998</v>
      </c>
      <c r="E3006">
        <v>0.54434950000000004</v>
      </c>
      <c r="F3006" t="s">
        <v>54</v>
      </c>
      <c r="G3006">
        <v>-228.11330000000001</v>
      </c>
      <c r="H3006">
        <v>8.000082E-2</v>
      </c>
      <c r="I3006">
        <v>208.42449999999999</v>
      </c>
      <c r="J3006">
        <v>-257.98430000000002</v>
      </c>
      <c r="K3006">
        <v>1.1097410000000001</v>
      </c>
      <c r="L3006">
        <v>215.7724</v>
      </c>
      <c r="M3006">
        <v>0.99989850000000002</v>
      </c>
      <c r="N3006">
        <v>0</v>
      </c>
      <c r="O3006">
        <v>-2.1132490000000002E-3</v>
      </c>
      <c r="P3006">
        <v>0.99175440000000004</v>
      </c>
      <c r="Q3006">
        <v>2.6456360000000002E-2</v>
      </c>
      <c r="R3006">
        <v>-0.12539400000000001</v>
      </c>
      <c r="S3006">
        <v>2.9376220000000002</v>
      </c>
      <c r="T3006">
        <v>-0.100051399999999</v>
      </c>
      <c r="U3006">
        <v>-0.71400450000000004</v>
      </c>
      <c r="V3006">
        <v>0.1232993</v>
      </c>
      <c r="W3006">
        <v>4.0434610000000003E-2</v>
      </c>
      <c r="X3006">
        <v>0.99154540000000002</v>
      </c>
      <c r="Y3006">
        <v>0.23399800000000001</v>
      </c>
      <c r="Z3006">
        <v>-3.8556350000000001E-3</v>
      </c>
      <c r="AA3006">
        <v>0.97222940000000002</v>
      </c>
      <c r="AB3006">
        <v>38</v>
      </c>
      <c r="AC3006">
        <v>29.870999999999999</v>
      </c>
      <c r="AD3006">
        <v>-1.0297401799999999</v>
      </c>
      <c r="AE3006">
        <v>-7.3479000000000099</v>
      </c>
      <c r="AF3006">
        <v>7.2765984854212498</v>
      </c>
      <c r="AG3006">
        <v>-1.0297401799999999</v>
      </c>
      <c r="AH3006">
        <v>29.853010225984299</v>
      </c>
      <c r="AI3006">
        <v>91.919406821707796</v>
      </c>
      <c r="AJ3006">
        <v>76.301414801824706</v>
      </c>
      <c r="AK3006">
        <v>30.744291663804301</v>
      </c>
      <c r="AL3006">
        <v>87.682635690770894</v>
      </c>
      <c r="AM3006">
        <v>82.911620056862304</v>
      </c>
      <c r="AN3006">
        <v>0.99999997766375004</v>
      </c>
    </row>
    <row r="3007" spans="1:40" x14ac:dyDescent="0.25">
      <c r="A3007" t="str">
        <f>"20190312154613659"</f>
        <v>20190312154613659</v>
      </c>
      <c r="B3007" t="str">
        <f>"1552376773650318"</f>
        <v>1552376773650318</v>
      </c>
      <c r="C3007" t="s">
        <v>40</v>
      </c>
      <c r="D3007">
        <v>4.1135900000000003</v>
      </c>
      <c r="E3007">
        <v>0.54472119999999902</v>
      </c>
      <c r="F3007" t="s">
        <v>54</v>
      </c>
      <c r="G3007">
        <v>-227.3913</v>
      </c>
      <c r="H3007">
        <v>8.0001030000000001E-2</v>
      </c>
      <c r="I3007">
        <v>208.27549999999999</v>
      </c>
      <c r="J3007">
        <v>-257.57150000000001</v>
      </c>
      <c r="K3007">
        <v>1.1097459999999999</v>
      </c>
      <c r="L3007">
        <v>215.7715</v>
      </c>
      <c r="M3007">
        <v>0.99989839999999997</v>
      </c>
      <c r="N3007">
        <v>0</v>
      </c>
      <c r="O3007">
        <v>-2.1129880000000001E-3</v>
      </c>
      <c r="P3007">
        <v>0.99174459999999998</v>
      </c>
      <c r="Q3007">
        <v>2.602759E-2</v>
      </c>
      <c r="R3007">
        <v>-0.1255589</v>
      </c>
      <c r="S3007">
        <v>2.936569</v>
      </c>
      <c r="T3007">
        <v>-9.8842739999999998E-2</v>
      </c>
      <c r="U3007">
        <v>-0.71960449999999998</v>
      </c>
      <c r="V3007">
        <v>0.1234644</v>
      </c>
      <c r="W3007">
        <v>4.0002940000000001E-2</v>
      </c>
      <c r="X3007">
        <v>0.99154240000000005</v>
      </c>
      <c r="Y3007">
        <v>0.2358297</v>
      </c>
      <c r="Z3007">
        <v>-3.83994E-3</v>
      </c>
      <c r="AA3007">
        <v>0.97178679999999995</v>
      </c>
      <c r="AB3007">
        <v>38</v>
      </c>
      <c r="AC3007">
        <v>30.180199999999999</v>
      </c>
      <c r="AD3007">
        <v>-1.0297449700000001</v>
      </c>
      <c r="AE3007">
        <v>-7.4960000000000004</v>
      </c>
      <c r="AF3007">
        <v>7.42406587270247</v>
      </c>
      <c r="AG3007">
        <v>-1.0297449700000001</v>
      </c>
      <c r="AH3007">
        <v>30.162898859880801</v>
      </c>
      <c r="AI3007">
        <v>91.898664683793598</v>
      </c>
      <c r="AJ3007">
        <v>76.172509066644494</v>
      </c>
      <c r="AK3007">
        <v>31.0801801220145</v>
      </c>
      <c r="AL3007">
        <v>87.707388667360803</v>
      </c>
      <c r="AM3007">
        <v>82.902204075247397</v>
      </c>
      <c r="AN3007">
        <v>1.0000000121368799</v>
      </c>
    </row>
    <row r="3008" spans="1:40" x14ac:dyDescent="0.25">
      <c r="A3008" t="str">
        <f>"20190312154613682"</f>
        <v>20190312154613682</v>
      </c>
      <c r="B3008" t="str">
        <f>"1552376773669838"</f>
        <v>1552376773669838</v>
      </c>
      <c r="C3008" t="s">
        <v>40</v>
      </c>
      <c r="D3008">
        <v>4.093051</v>
      </c>
      <c r="E3008">
        <v>0.54500839999999995</v>
      </c>
      <c r="F3008" t="s">
        <v>54</v>
      </c>
      <c r="G3008">
        <v>-226.73070000000001</v>
      </c>
      <c r="H3008">
        <v>8.0001240000000001E-2</v>
      </c>
      <c r="I3008">
        <v>208.17590000000001</v>
      </c>
      <c r="J3008">
        <v>-257.18450000000001</v>
      </c>
      <c r="K3008">
        <v>1.1097429999999999</v>
      </c>
      <c r="L3008">
        <v>215.7706</v>
      </c>
      <c r="M3008">
        <v>0.99989859999999997</v>
      </c>
      <c r="N3008">
        <v>0</v>
      </c>
      <c r="O3008">
        <v>-2.1129669999999999E-3</v>
      </c>
      <c r="P3008">
        <v>0.99173299999999998</v>
      </c>
      <c r="Q3008">
        <v>2.600618E-2</v>
      </c>
      <c r="R3008">
        <v>-0.12565750000000001</v>
      </c>
      <c r="S3008">
        <v>2.9360050000000002</v>
      </c>
      <c r="T3008">
        <v>-9.8030210000000007E-2</v>
      </c>
      <c r="U3008">
        <v>-0.72308349999999999</v>
      </c>
      <c r="V3008">
        <v>0.1235629</v>
      </c>
      <c r="W3008">
        <v>3.9977690000000003E-2</v>
      </c>
      <c r="X3008">
        <v>0.9915311</v>
      </c>
      <c r="Y3008">
        <v>0.23696010000000001</v>
      </c>
      <c r="Z3008">
        <v>-3.8271619999999998E-3</v>
      </c>
      <c r="AA3008">
        <v>0.97151180000000004</v>
      </c>
      <c r="AB3008">
        <v>38</v>
      </c>
      <c r="AC3008">
        <v>30.453800000000001</v>
      </c>
      <c r="AD3008">
        <v>-1.0297417599999901</v>
      </c>
      <c r="AE3008">
        <v>-7.59469999999998</v>
      </c>
      <c r="AF3008">
        <v>7.5222319170389103</v>
      </c>
      <c r="AG3008">
        <v>-1.0297417599999901</v>
      </c>
      <c r="AH3008">
        <v>30.4370187853368</v>
      </c>
      <c r="AI3008">
        <v>91.881130726368497</v>
      </c>
      <c r="AJ3008">
        <v>76.118038703676305</v>
      </c>
      <c r="AK3008">
        <v>31.3696741080451</v>
      </c>
      <c r="AL3008">
        <v>87.708836433885097</v>
      </c>
      <c r="AM3008">
        <v>82.896519144860704</v>
      </c>
      <c r="AN3008">
        <v>0.99999996411067704</v>
      </c>
    </row>
    <row r="3009" spans="1:40" x14ac:dyDescent="0.25">
      <c r="A3009" t="str">
        <f>"20190312154613707"</f>
        <v>20190312154613707</v>
      </c>
      <c r="B3009" t="str">
        <f>"1552376773700094"</f>
        <v>1552376773700094</v>
      </c>
      <c r="C3009" t="s">
        <v>40</v>
      </c>
      <c r="D3009">
        <v>4.1039209999999997</v>
      </c>
      <c r="E3009">
        <v>0.54526949999999996</v>
      </c>
      <c r="F3009" t="s">
        <v>54</v>
      </c>
      <c r="G3009">
        <v>-225.94300000000001</v>
      </c>
      <c r="H3009">
        <v>8.0001470000000005E-2</v>
      </c>
      <c r="I3009">
        <v>208.048</v>
      </c>
      <c r="J3009">
        <v>-256.76639999999998</v>
      </c>
      <c r="K3009">
        <v>1.109742</v>
      </c>
      <c r="L3009">
        <v>215.7698</v>
      </c>
      <c r="M3009">
        <v>0.99989859999999997</v>
      </c>
      <c r="N3009">
        <v>0</v>
      </c>
      <c r="O3009">
        <v>-2.112587E-3</v>
      </c>
      <c r="P3009">
        <v>0.99175170000000001</v>
      </c>
      <c r="Q3009">
        <v>2.5955700000000002E-2</v>
      </c>
      <c r="R3009">
        <v>-0.1255192</v>
      </c>
      <c r="S3009">
        <v>2.9355769999999999</v>
      </c>
      <c r="T3009">
        <v>-9.6758720000000006E-2</v>
      </c>
      <c r="U3009">
        <v>-0.72564700000000004</v>
      </c>
      <c r="V3009">
        <v>0.12342500000000001</v>
      </c>
      <c r="W3009">
        <v>3.9924809999999998E-2</v>
      </c>
      <c r="X3009">
        <v>0.99155040000000005</v>
      </c>
      <c r="Y3009">
        <v>0.2377956</v>
      </c>
      <c r="Z3009">
        <v>-3.7912660000000002E-3</v>
      </c>
      <c r="AA3009">
        <v>0.97130780000000005</v>
      </c>
      <c r="AB3009">
        <v>38</v>
      </c>
      <c r="AC3009">
        <v>30.8233999999999</v>
      </c>
      <c r="AD3009">
        <v>-1.02974053</v>
      </c>
      <c r="AE3009">
        <v>-7.7218</v>
      </c>
      <c r="AF3009">
        <v>7.6486268321065003</v>
      </c>
      <c r="AG3009">
        <v>-1.02974053</v>
      </c>
      <c r="AH3009">
        <v>30.807292891239701</v>
      </c>
      <c r="AI3009">
        <v>91.858044312331401</v>
      </c>
      <c r="AJ3009">
        <v>76.056909871277</v>
      </c>
      <c r="AK3009">
        <v>31.759268777202202</v>
      </c>
      <c r="AL3009">
        <v>87.711868642597196</v>
      </c>
      <c r="AM3009">
        <v>82.904502699462498</v>
      </c>
      <c r="AN3009">
        <v>0.99999995840934697</v>
      </c>
    </row>
    <row r="3010" spans="1:40" x14ac:dyDescent="0.25">
      <c r="A3010" t="str">
        <f>"20190312154613731"</f>
        <v>20190312154613731</v>
      </c>
      <c r="B3010" t="str">
        <f>"1552376773720590"</f>
        <v>1552376773720590</v>
      </c>
      <c r="C3010" t="s">
        <v>40</v>
      </c>
      <c r="D3010">
        <v>4.1459519999999896</v>
      </c>
      <c r="E3010">
        <v>0.54539419999999905</v>
      </c>
      <c r="F3010" t="s">
        <v>54</v>
      </c>
      <c r="G3010">
        <v>-223.40469999999999</v>
      </c>
      <c r="H3010">
        <v>8.0000769999999999E-2</v>
      </c>
      <c r="I3010">
        <v>207.5001</v>
      </c>
      <c r="J3010">
        <v>-256.36419999999998</v>
      </c>
      <c r="K3010">
        <v>1.1097360000000001</v>
      </c>
      <c r="L3010">
        <v>215.7689</v>
      </c>
      <c r="M3010">
        <v>0.99989859999999997</v>
      </c>
      <c r="N3010">
        <v>0</v>
      </c>
      <c r="O3010">
        <v>-2.1125670000000001E-3</v>
      </c>
      <c r="P3010">
        <v>0.99182150000000002</v>
      </c>
      <c r="Q3010">
        <v>2.5892910000000002E-2</v>
      </c>
      <c r="R3010">
        <v>-0.1249796</v>
      </c>
      <c r="S3010">
        <v>2.9352420000000001</v>
      </c>
      <c r="T3010">
        <v>-9.0598819999999997E-2</v>
      </c>
      <c r="U3010">
        <v>-0.72758480000000003</v>
      </c>
      <c r="V3010">
        <v>0.1228852</v>
      </c>
      <c r="W3010">
        <v>3.9860010000000001E-2</v>
      </c>
      <c r="X3010">
        <v>0.9916201</v>
      </c>
      <c r="Y3010">
        <v>0.23844029999999999</v>
      </c>
      <c r="Z3010">
        <v>-3.5599339999999998E-3</v>
      </c>
      <c r="AA3010">
        <v>0.97115059999999997</v>
      </c>
      <c r="AB3010">
        <v>38</v>
      </c>
      <c r="AC3010">
        <v>32.959499999999899</v>
      </c>
      <c r="AD3010">
        <v>-1.02973523</v>
      </c>
      <c r="AE3010">
        <v>-8.2687999999999899</v>
      </c>
      <c r="AF3010">
        <v>8.1916231756499105</v>
      </c>
      <c r="AG3010">
        <v>-1.02973523</v>
      </c>
      <c r="AH3010">
        <v>32.946641888468797</v>
      </c>
      <c r="AI3010">
        <v>91.7373159276449</v>
      </c>
      <c r="AJ3010">
        <v>76.037495035768302</v>
      </c>
      <c r="AK3010">
        <v>33.965339047663797</v>
      </c>
      <c r="AL3010">
        <v>87.715584479826902</v>
      </c>
      <c r="AM3010">
        <v>82.935712199058599</v>
      </c>
      <c r="AN3010">
        <v>1.0000000077501201</v>
      </c>
    </row>
    <row r="3011" spans="1:40" x14ac:dyDescent="0.25">
      <c r="A3011" t="str">
        <f>"20190312154613753"</f>
        <v>20190312154613753</v>
      </c>
      <c r="B3011" t="str">
        <f>"1552376773749870"</f>
        <v>1552376773749870</v>
      </c>
      <c r="C3011" t="s">
        <v>40</v>
      </c>
      <c r="D3011">
        <v>4.0999650000000001</v>
      </c>
      <c r="E3011">
        <v>0.46698889999999998</v>
      </c>
      <c r="F3011" t="s">
        <v>54</v>
      </c>
      <c r="G3011">
        <v>-222.24950000000001</v>
      </c>
      <c r="H3011">
        <v>8.0001119999999995E-2</v>
      </c>
      <c r="I3011">
        <v>207.3192</v>
      </c>
      <c r="J3011">
        <v>-255.9752</v>
      </c>
      <c r="K3011">
        <v>1.109742</v>
      </c>
      <c r="L3011">
        <v>215.7681</v>
      </c>
      <c r="M3011">
        <v>0.99989859999999997</v>
      </c>
      <c r="N3011">
        <v>0</v>
      </c>
      <c r="O3011">
        <v>-2.1124300000000002E-3</v>
      </c>
      <c r="P3011">
        <v>0.99190069999999997</v>
      </c>
      <c r="Q3011">
        <v>2.6779319999999999E-2</v>
      </c>
      <c r="R3011">
        <v>-0.1241608</v>
      </c>
      <c r="S3011">
        <v>2.9354399999999998</v>
      </c>
      <c r="T3011">
        <v>-8.8604810000000006E-2</v>
      </c>
      <c r="U3011">
        <v>-0.72706599999999999</v>
      </c>
      <c r="V3011">
        <v>0.1220667</v>
      </c>
      <c r="W3011">
        <v>4.0745249999999997E-2</v>
      </c>
      <c r="X3011">
        <v>0.99168520000000004</v>
      </c>
      <c r="Y3011">
        <v>0.23826810000000001</v>
      </c>
      <c r="Z3011">
        <v>-3.4789059999999999E-3</v>
      </c>
      <c r="AA3011">
        <v>0.97119319999999998</v>
      </c>
      <c r="AB3011">
        <v>38</v>
      </c>
      <c r="AC3011">
        <v>33.725699999999897</v>
      </c>
      <c r="AD3011">
        <v>-1.0297408800000001</v>
      </c>
      <c r="AE3011">
        <v>-8.4489000000000001</v>
      </c>
      <c r="AF3011">
        <v>8.3702884750264595</v>
      </c>
      <c r="AG3011">
        <v>-1.0297408800000001</v>
      </c>
      <c r="AH3011">
        <v>33.713900355600003</v>
      </c>
      <c r="AI3011">
        <v>91.697953460202697</v>
      </c>
      <c r="AJ3011">
        <v>76.0568638457558</v>
      </c>
      <c r="AK3011">
        <v>34.752685833219097</v>
      </c>
      <c r="AL3011">
        <v>87.664822690576102</v>
      </c>
      <c r="AM3011">
        <v>82.982750581021406</v>
      </c>
      <c r="AN3011">
        <v>0.99999999527274597</v>
      </c>
    </row>
    <row r="3012" spans="1:40" x14ac:dyDescent="0.25">
      <c r="A3012" t="str">
        <f>"20190312154613773"</f>
        <v>20190312154613773</v>
      </c>
      <c r="B3012" t="str">
        <f>"1552376773760605"</f>
        <v>1552376773760605</v>
      </c>
      <c r="C3012" t="s">
        <v>40</v>
      </c>
      <c r="D3012">
        <v>4.0895729999999997</v>
      </c>
      <c r="E3012">
        <v>0.45750560000000001</v>
      </c>
      <c r="F3012" t="s">
        <v>69</v>
      </c>
      <c r="G3012">
        <v>-107.39749999999999</v>
      </c>
      <c r="H3012">
        <v>3.0524520000000002</v>
      </c>
      <c r="I3012">
        <v>210.38759999999999</v>
      </c>
      <c r="J3012">
        <v>-255.66079999999999</v>
      </c>
      <c r="K3012">
        <v>1.1097490000000001</v>
      </c>
      <c r="L3012">
        <v>215.76740000000001</v>
      </c>
      <c r="M3012">
        <v>0.99989879999999998</v>
      </c>
      <c r="N3012">
        <v>0</v>
      </c>
      <c r="O3012">
        <v>-2.1124149999999999E-3</v>
      </c>
      <c r="P3012">
        <v>0.99201289999999998</v>
      </c>
      <c r="Q3012">
        <v>2.7224149999999999E-2</v>
      </c>
      <c r="R3012">
        <v>-0.1231652</v>
      </c>
      <c r="S3012">
        <v>3.0097809999999998</v>
      </c>
      <c r="T3012">
        <v>3.9355040000000001E-2</v>
      </c>
      <c r="U3012">
        <v>-0.10899349999999999</v>
      </c>
      <c r="V3012">
        <v>0.1210706</v>
      </c>
      <c r="W3012">
        <v>4.1189290000000003E-2</v>
      </c>
      <c r="X3012">
        <v>0.99178900000000003</v>
      </c>
      <c r="Y3012">
        <v>3.4075340000000003E-2</v>
      </c>
      <c r="Z3012">
        <v>1.950837E-4</v>
      </c>
      <c r="AA3012">
        <v>0.99941930000000001</v>
      </c>
      <c r="AB3012">
        <v>38</v>
      </c>
      <c r="AC3012">
        <v>148.26329999999999</v>
      </c>
      <c r="AD3012">
        <v>1.9427030000000001</v>
      </c>
      <c r="AE3012">
        <v>-5.3798000000000101</v>
      </c>
      <c r="AF3012">
        <v>5.0656947896746303</v>
      </c>
      <c r="AG3012">
        <v>1.9427030000000001</v>
      </c>
      <c r="AH3012">
        <v>148.248915214449</v>
      </c>
      <c r="AI3012">
        <v>89.2496579307209</v>
      </c>
      <c r="AJ3012">
        <v>88.042953315259695</v>
      </c>
      <c r="AK3012">
        <v>148.348158805255</v>
      </c>
      <c r="AL3012">
        <v>87.6393597876923</v>
      </c>
      <c r="AM3012">
        <v>83.040170709472207</v>
      </c>
      <c r="AN3012">
        <v>1.00000003415803</v>
      </c>
    </row>
    <row r="3013" spans="1:40" x14ac:dyDescent="0.25">
      <c r="A3013" t="str">
        <f>"20190312154613794"</f>
        <v>20190312154613794</v>
      </c>
      <c r="B3013" t="str">
        <f>"1552376773789886"</f>
        <v>1552376773789886</v>
      </c>
      <c r="C3013" t="s">
        <v>40</v>
      </c>
      <c r="D3013">
        <v>4.0982629999999904</v>
      </c>
      <c r="E3013">
        <v>0.44162289999999998</v>
      </c>
      <c r="F3013" t="s">
        <v>69</v>
      </c>
      <c r="G3013">
        <v>-107.39749999999999</v>
      </c>
      <c r="H3013">
        <v>2.8973749999999998</v>
      </c>
      <c r="I3013">
        <v>214.25460000000001</v>
      </c>
      <c r="J3013">
        <v>-255.29499999999999</v>
      </c>
      <c r="K3013">
        <v>1.1097549999999901</v>
      </c>
      <c r="L3013">
        <v>215.76660000000001</v>
      </c>
      <c r="M3013">
        <v>0.99989870000000003</v>
      </c>
      <c r="N3013">
        <v>0</v>
      </c>
      <c r="O3013">
        <v>-2.1120399999999999E-3</v>
      </c>
      <c r="P3013">
        <v>0.99208620000000003</v>
      </c>
      <c r="Q3013">
        <v>2.8071249999999999E-2</v>
      </c>
      <c r="R3013">
        <v>-0.1223814</v>
      </c>
      <c r="S3013">
        <v>3.019333</v>
      </c>
      <c r="T3013">
        <v>3.6405439999999997E-2</v>
      </c>
      <c r="U3013">
        <v>-3.0807500000000002E-2</v>
      </c>
      <c r="V3013">
        <v>0.12028709999999999</v>
      </c>
      <c r="W3013">
        <v>4.2035419999999997E-2</v>
      </c>
      <c r="X3013">
        <v>0.99184879999999997</v>
      </c>
      <c r="Y3013">
        <v>8.0902839999999997E-3</v>
      </c>
      <c r="Z3013" s="1">
        <v>2.3304370000000001E-5</v>
      </c>
      <c r="AA3013">
        <v>0.9999673</v>
      </c>
      <c r="AB3013">
        <v>38</v>
      </c>
      <c r="AC3013">
        <v>147.89749999999901</v>
      </c>
      <c r="AD3013">
        <v>1.78762</v>
      </c>
      <c r="AE3013">
        <v>-1.512</v>
      </c>
      <c r="AF3013">
        <v>1.19942503317866</v>
      </c>
      <c r="AG3013">
        <v>1.78762</v>
      </c>
      <c r="AH3013">
        <v>147.878762029737</v>
      </c>
      <c r="AI3013">
        <v>89.307441291564899</v>
      </c>
      <c r="AJ3013">
        <v>89.535291718877303</v>
      </c>
      <c r="AK3013">
        <v>147.89443013555999</v>
      </c>
      <c r="AL3013">
        <v>87.590838005682699</v>
      </c>
      <c r="AM3013">
        <v>83.085186132647706</v>
      </c>
      <c r="AN3013">
        <v>1.0000000025112099</v>
      </c>
    </row>
    <row r="3014" spans="1:40" x14ac:dyDescent="0.25">
      <c r="A3014" t="str">
        <f>"20190312154613815"</f>
        <v>20190312154613815</v>
      </c>
      <c r="B3014" t="str">
        <f>"1552376773810382"</f>
        <v>1552376773810382</v>
      </c>
      <c r="C3014" t="s">
        <v>40</v>
      </c>
      <c r="D3014">
        <v>4.0615410000000001</v>
      </c>
      <c r="E3014">
        <v>0.43801639999999997</v>
      </c>
      <c r="F3014" t="s">
        <v>64</v>
      </c>
      <c r="G3014">
        <v>-157.8382</v>
      </c>
      <c r="H3014">
        <v>1.807955</v>
      </c>
      <c r="I3014">
        <v>218.91630000000001</v>
      </c>
      <c r="J3014">
        <v>-254.94300000000001</v>
      </c>
      <c r="K3014">
        <v>1.10975</v>
      </c>
      <c r="L3014">
        <v>215.76589999999999</v>
      </c>
      <c r="M3014">
        <v>0.99989870000000003</v>
      </c>
      <c r="N3014">
        <v>0</v>
      </c>
      <c r="O3014">
        <v>-2.1119049999999999E-3</v>
      </c>
      <c r="P3014">
        <v>0.99220580000000003</v>
      </c>
      <c r="Q3014">
        <v>2.845723E-2</v>
      </c>
      <c r="R3014">
        <v>-0.121319</v>
      </c>
      <c r="S3014">
        <v>3.0353850000000002</v>
      </c>
      <c r="T3014">
        <v>2.1747829999999999E-2</v>
      </c>
      <c r="U3014">
        <v>9.8098749999999998E-2</v>
      </c>
      <c r="V3014">
        <v>0.119224499999999</v>
      </c>
      <c r="W3014">
        <v>4.2420359999999997E-2</v>
      </c>
      <c r="X3014">
        <v>0.99196070000000003</v>
      </c>
      <c r="Y3014">
        <v>-3.4411530000000003E-2</v>
      </c>
      <c r="Z3014">
        <v>-1.3837030000000001E-4</v>
      </c>
      <c r="AA3014">
        <v>0.99940770000000001</v>
      </c>
      <c r="AB3014">
        <v>38</v>
      </c>
      <c r="AC3014">
        <v>97.104799999999898</v>
      </c>
      <c r="AD3014">
        <v>0.69820499999999996</v>
      </c>
      <c r="AE3014">
        <v>3.1504000000000101</v>
      </c>
      <c r="AF3014">
        <v>-3.35531611942955</v>
      </c>
      <c r="AG3014">
        <v>0.69820499999999996</v>
      </c>
      <c r="AH3014">
        <v>97.092915045427603</v>
      </c>
      <c r="AI3014">
        <v>89.588233132542697</v>
      </c>
      <c r="AJ3014">
        <v>91.979227610703205</v>
      </c>
      <c r="AK3014">
        <v>97.153382794949295</v>
      </c>
      <c r="AL3014">
        <v>87.568762869621594</v>
      </c>
      <c r="AM3014">
        <v>83.146452835280002</v>
      </c>
      <c r="AN3014">
        <v>0.99999999934363404</v>
      </c>
    </row>
    <row r="3015" spans="1:40" x14ac:dyDescent="0.25">
      <c r="A3015" t="str">
        <f>"20190312154613837"</f>
        <v>20190312154613837</v>
      </c>
      <c r="B3015" t="str">
        <f>"1552376773829902"</f>
        <v>1552376773829902</v>
      </c>
      <c r="C3015" t="s">
        <v>40</v>
      </c>
      <c r="D3015">
        <v>4.0510479999999998</v>
      </c>
      <c r="E3015">
        <v>0.43623329999999999</v>
      </c>
      <c r="F3015" t="s">
        <v>64</v>
      </c>
      <c r="G3015">
        <v>-157.8382</v>
      </c>
      <c r="H3015">
        <v>1.7334750000000001</v>
      </c>
      <c r="I3015">
        <v>219.92449999999999</v>
      </c>
      <c r="J3015">
        <v>-254.5676</v>
      </c>
      <c r="K3015">
        <v>1.1097570000000001</v>
      </c>
      <c r="L3015">
        <v>215.76509999999999</v>
      </c>
      <c r="M3015">
        <v>0.99989870000000003</v>
      </c>
      <c r="N3015">
        <v>0</v>
      </c>
      <c r="O3015">
        <v>-2.1118880000000001E-3</v>
      </c>
      <c r="P3015">
        <v>0.99229219999999896</v>
      </c>
      <c r="Q3015">
        <v>2.953219E-2</v>
      </c>
      <c r="R3015">
        <v>-0.1203502</v>
      </c>
      <c r="S3015">
        <v>3.03891</v>
      </c>
      <c r="T3015">
        <v>1.9521360000000001E-2</v>
      </c>
      <c r="U3015">
        <v>0.13014220000000001</v>
      </c>
      <c r="V3015">
        <v>0.11825579999999999</v>
      </c>
      <c r="W3015">
        <v>4.349368E-2</v>
      </c>
      <c r="X3015">
        <v>0.99203019999999997</v>
      </c>
      <c r="Y3015">
        <v>-4.489518E-2</v>
      </c>
      <c r="Z3015">
        <v>-1.576928E-4</v>
      </c>
      <c r="AA3015">
        <v>0.99899170000000004</v>
      </c>
      <c r="AB3015">
        <v>38</v>
      </c>
      <c r="AC3015">
        <v>96.729399999999998</v>
      </c>
      <c r="AD3015">
        <v>0.62371799999999999</v>
      </c>
      <c r="AE3015">
        <v>4.1593999999999998</v>
      </c>
      <c r="AF3015">
        <v>-4.3635115322258198</v>
      </c>
      <c r="AG3015">
        <v>0.62371799999999999</v>
      </c>
      <c r="AH3015">
        <v>96.716385374831503</v>
      </c>
      <c r="AI3015">
        <v>89.6308836440558</v>
      </c>
      <c r="AJ3015">
        <v>92.583237243912293</v>
      </c>
      <c r="AK3015">
        <v>96.816777766089302</v>
      </c>
      <c r="AL3015">
        <v>87.507209408454798</v>
      </c>
      <c r="AM3015">
        <v>83.202086499496602</v>
      </c>
      <c r="AN3015">
        <v>1.0000000260728099</v>
      </c>
    </row>
    <row r="3016" spans="1:40" x14ac:dyDescent="0.25">
      <c r="A3016" t="str">
        <f>"20190312154613860"</f>
        <v>20190312154613860</v>
      </c>
      <c r="B3016" t="str">
        <f>"1552376773850398"</f>
        <v>1552376773850398</v>
      </c>
      <c r="C3016" t="s">
        <v>40</v>
      </c>
      <c r="D3016">
        <v>4.0908930000000003</v>
      </c>
      <c r="E3016">
        <v>0.43527060000000001</v>
      </c>
      <c r="F3016" t="s">
        <v>64</v>
      </c>
      <c r="G3016">
        <v>-157.8382</v>
      </c>
      <c r="H3016">
        <v>1.8618079999999999</v>
      </c>
      <c r="I3016">
        <v>220.44</v>
      </c>
      <c r="J3016">
        <v>-254.19450000000001</v>
      </c>
      <c r="K3016">
        <v>1.109769</v>
      </c>
      <c r="L3016">
        <v>215.76439999999999</v>
      </c>
      <c r="M3016">
        <v>0.99989890000000003</v>
      </c>
      <c r="N3016">
        <v>0</v>
      </c>
      <c r="O3016">
        <v>-2.1116329999999999E-3</v>
      </c>
      <c r="P3016">
        <v>0.99235759999999995</v>
      </c>
      <c r="Q3016">
        <v>3.1748480000000003E-2</v>
      </c>
      <c r="R3016">
        <v>-0.11924129999999999</v>
      </c>
      <c r="S3016">
        <v>3.0404360000000001</v>
      </c>
      <c r="T3016">
        <v>2.364051E-2</v>
      </c>
      <c r="U3016">
        <v>0.14694209999999999</v>
      </c>
      <c r="V3016">
        <v>0.11714720000000001</v>
      </c>
      <c r="W3016">
        <v>4.5708770000000003E-2</v>
      </c>
      <c r="X3016">
        <v>0.99206220000000001</v>
      </c>
      <c r="Y3016">
        <v>-5.0380639999999997E-2</v>
      </c>
      <c r="Z3016">
        <v>-2.121576E-4</v>
      </c>
      <c r="AA3016">
        <v>0.99873009999999995</v>
      </c>
      <c r="AB3016">
        <v>38</v>
      </c>
      <c r="AC3016">
        <v>96.356300000000005</v>
      </c>
      <c r="AD3016">
        <v>0.75203900000000001</v>
      </c>
      <c r="AE3016">
        <v>4.6756000000000002</v>
      </c>
      <c r="AF3016">
        <v>-4.8787823452219898</v>
      </c>
      <c r="AG3016">
        <v>0.75203900000000001</v>
      </c>
      <c r="AH3016">
        <v>96.340356267063001</v>
      </c>
      <c r="AI3016">
        <v>89.553326915892697</v>
      </c>
      <c r="AJ3016">
        <v>92.899045204725297</v>
      </c>
      <c r="AK3016">
        <v>96.466742069451996</v>
      </c>
      <c r="AL3016">
        <v>87.380167804623596</v>
      </c>
      <c r="AM3016">
        <v>83.265441305708507</v>
      </c>
      <c r="AN3016">
        <v>1.0000000833957901</v>
      </c>
    </row>
    <row r="3017" spans="1:40" x14ac:dyDescent="0.25">
      <c r="A3017" t="str">
        <f>"20190312154613881"</f>
        <v>20190312154613881</v>
      </c>
      <c r="B3017" t="str">
        <f>"1552376773869918"</f>
        <v>1552376773869918</v>
      </c>
      <c r="C3017" t="s">
        <v>40</v>
      </c>
      <c r="D3017">
        <v>4.1224860000000003</v>
      </c>
      <c r="E3017">
        <v>0.4345445</v>
      </c>
      <c r="F3017" t="s">
        <v>64</v>
      </c>
      <c r="G3017">
        <v>-157.8382</v>
      </c>
      <c r="H3017">
        <v>1.7782279999999999</v>
      </c>
      <c r="I3017">
        <v>220.77879999999999</v>
      </c>
      <c r="J3017">
        <v>-253.8373</v>
      </c>
      <c r="K3017">
        <v>1.109782</v>
      </c>
      <c r="L3017">
        <v>215.7636</v>
      </c>
      <c r="M3017">
        <v>0.99989879999999998</v>
      </c>
      <c r="N3017">
        <v>0</v>
      </c>
      <c r="O3017">
        <v>-2.111379E-3</v>
      </c>
      <c r="P3017">
        <v>0.99242620000000004</v>
      </c>
      <c r="Q3017">
        <v>3.3569160000000001E-2</v>
      </c>
      <c r="R3017">
        <v>-0.1181667</v>
      </c>
      <c r="S3017">
        <v>3.041458</v>
      </c>
      <c r="T3017">
        <v>2.1101470000000001E-2</v>
      </c>
      <c r="U3017">
        <v>0.15827939999999999</v>
      </c>
      <c r="V3017">
        <v>0.1160726</v>
      </c>
      <c r="W3017">
        <v>4.7528300000000002E-2</v>
      </c>
      <c r="X3017">
        <v>0.99210290000000001</v>
      </c>
      <c r="Y3017">
        <v>-5.407758E-2</v>
      </c>
      <c r="Z3017">
        <v>-2.0210479999999999E-4</v>
      </c>
      <c r="AA3017">
        <v>0.99853670000000005</v>
      </c>
      <c r="AB3017">
        <v>38</v>
      </c>
      <c r="AC3017">
        <v>95.999099999999999</v>
      </c>
      <c r="AD3017">
        <v>0.66844599999999899</v>
      </c>
      <c r="AE3017">
        <v>5.0151999999999903</v>
      </c>
      <c r="AF3017">
        <v>-5.2176470814837401</v>
      </c>
      <c r="AG3017">
        <v>0.66844599999999899</v>
      </c>
      <c r="AH3017">
        <v>95.9836549391772</v>
      </c>
      <c r="AI3017">
        <v>89.601577406902805</v>
      </c>
      <c r="AJ3017">
        <v>93.111521589854704</v>
      </c>
      <c r="AK3017">
        <v>96.127689437564598</v>
      </c>
      <c r="AL3017">
        <v>87.275802647162706</v>
      </c>
      <c r="AM3017">
        <v>83.326929490468999</v>
      </c>
      <c r="AN3017">
        <v>0.99999997598002899</v>
      </c>
    </row>
    <row r="3018" spans="1:40" x14ac:dyDescent="0.25">
      <c r="A3018" t="str">
        <f>"20190312154613909"</f>
        <v>20190312154613909</v>
      </c>
      <c r="B3018" t="str">
        <f>"1552376773900174"</f>
        <v>1552376773900174</v>
      </c>
      <c r="C3018" t="s">
        <v>40</v>
      </c>
      <c r="D3018">
        <v>4.1039339999999997</v>
      </c>
      <c r="E3018">
        <v>0.43379060000000003</v>
      </c>
      <c r="F3018" t="s">
        <v>64</v>
      </c>
      <c r="G3018">
        <v>-157.8382</v>
      </c>
      <c r="H3018">
        <v>1.8313710000000001</v>
      </c>
      <c r="I3018">
        <v>221.04650000000001</v>
      </c>
      <c r="J3018">
        <v>-253.3766</v>
      </c>
      <c r="K3018">
        <v>1.1097980000000001</v>
      </c>
      <c r="L3018">
        <v>215.7627</v>
      </c>
      <c r="M3018">
        <v>0.99989879999999998</v>
      </c>
      <c r="N3018">
        <v>0</v>
      </c>
      <c r="O3018">
        <v>-2.1111210000000001E-3</v>
      </c>
      <c r="P3018">
        <v>0.9924906</v>
      </c>
      <c r="Q3018">
        <v>3.599248E-2</v>
      </c>
      <c r="R3018">
        <v>-0.1169067</v>
      </c>
      <c r="S3018">
        <v>3.0420530000000001</v>
      </c>
      <c r="T3018">
        <v>2.2867800000000001E-2</v>
      </c>
      <c r="U3018">
        <v>0.1674042</v>
      </c>
      <c r="V3018">
        <v>0.1148126</v>
      </c>
      <c r="W3018">
        <v>4.9949180000000003E-2</v>
      </c>
      <c r="X3018">
        <v>0.99213059999999997</v>
      </c>
      <c r="Y3018">
        <v>-5.7053220000000002E-2</v>
      </c>
      <c r="Z3018">
        <v>-2.301351E-4</v>
      </c>
      <c r="AA3018">
        <v>0.99837109999999996</v>
      </c>
      <c r="AB3018">
        <v>37</v>
      </c>
      <c r="AC3018">
        <v>95.538399999999996</v>
      </c>
      <c r="AD3018">
        <v>0.72157299999999902</v>
      </c>
      <c r="AE3018">
        <v>5.28380000000001</v>
      </c>
      <c r="AF3018">
        <v>-5.4851893703571797</v>
      </c>
      <c r="AG3018">
        <v>0.72157299999999902</v>
      </c>
      <c r="AH3018">
        <v>95.521598961732195</v>
      </c>
      <c r="AI3018">
        <v>89.567906003390306</v>
      </c>
      <c r="AJ3018">
        <v>93.286517872779498</v>
      </c>
      <c r="AK3018">
        <v>95.681679741886896</v>
      </c>
      <c r="AL3018">
        <v>87.136931404761299</v>
      </c>
      <c r="AM3018">
        <v>83.398907386058099</v>
      </c>
      <c r="AN3018">
        <v>0.99999999057889599</v>
      </c>
    </row>
    <row r="3019" spans="1:40" x14ac:dyDescent="0.25">
      <c r="A3019" t="str">
        <f>"20190312154613948"</f>
        <v>20190312154613948</v>
      </c>
      <c r="B3019" t="str">
        <f>"1552376773940193"</f>
        <v>1552376773940193</v>
      </c>
      <c r="C3019" t="s">
        <v>40</v>
      </c>
      <c r="D3019">
        <v>4.1387369999999999</v>
      </c>
      <c r="E3019">
        <v>0.43334889999999998</v>
      </c>
      <c r="F3019" t="s">
        <v>64</v>
      </c>
      <c r="G3019">
        <v>-157.8382</v>
      </c>
      <c r="H3019">
        <v>1.9529460000000001</v>
      </c>
      <c r="I3019">
        <v>221.32679999999999</v>
      </c>
      <c r="J3019">
        <v>-252.72049999999999</v>
      </c>
      <c r="K3019">
        <v>1.109823</v>
      </c>
      <c r="L3019">
        <v>215.76130000000001</v>
      </c>
      <c r="M3019">
        <v>0.99989890000000003</v>
      </c>
      <c r="N3019">
        <v>0</v>
      </c>
      <c r="O3019">
        <v>-2.1109750000000002E-3</v>
      </c>
      <c r="P3019">
        <v>0.99275500000000005</v>
      </c>
      <c r="Q3019">
        <v>4.0258269999999999E-2</v>
      </c>
      <c r="R3019">
        <v>-0.1132116</v>
      </c>
      <c r="S3019">
        <v>3.0425870000000002</v>
      </c>
      <c r="T3019">
        <v>2.685332E-2</v>
      </c>
      <c r="U3019">
        <v>0.17720030000000001</v>
      </c>
      <c r="V3019">
        <v>0.1111177</v>
      </c>
      <c r="W3019">
        <v>5.4214419999999999E-2</v>
      </c>
      <c r="X3019">
        <v>0.99232739999999997</v>
      </c>
      <c r="Y3019">
        <v>-6.0246550000000003E-2</v>
      </c>
      <c r="Z3019">
        <v>-2.8424940000000001E-4</v>
      </c>
      <c r="AA3019">
        <v>0.9981835</v>
      </c>
      <c r="AB3019">
        <v>37</v>
      </c>
      <c r="AC3019">
        <v>94.882300000000001</v>
      </c>
      <c r="AD3019">
        <v>0.84312299999999896</v>
      </c>
      <c r="AE3019">
        <v>5.5654999999999797</v>
      </c>
      <c r="AF3019">
        <v>-5.7653478901439597</v>
      </c>
      <c r="AG3019">
        <v>0.84312299999999896</v>
      </c>
      <c r="AH3019">
        <v>94.862873993220902</v>
      </c>
      <c r="AI3019">
        <v>89.491717327270806</v>
      </c>
      <c r="AJ3019">
        <v>93.477907384957405</v>
      </c>
      <c r="AK3019">
        <v>95.041648528112205</v>
      </c>
      <c r="AL3019">
        <v>86.892218899329905</v>
      </c>
      <c r="AM3019">
        <v>83.610814449694999</v>
      </c>
      <c r="AN3019">
        <v>1.00000000768999</v>
      </c>
    </row>
    <row r="3020" spans="1:40" x14ac:dyDescent="0.25">
      <c r="A3020" t="str">
        <f>"20190312154613970"</f>
        <v>20190312154613970</v>
      </c>
      <c r="B3020" t="str">
        <f>"1552376773960686"</f>
        <v>1552376773960686</v>
      </c>
      <c r="C3020" t="s">
        <v>40</v>
      </c>
      <c r="D3020">
        <v>4.1297139999999999</v>
      </c>
      <c r="E3020">
        <v>0.43309239999999999</v>
      </c>
      <c r="F3020" t="s">
        <v>64</v>
      </c>
      <c r="G3020">
        <v>-157.8382</v>
      </c>
      <c r="H3020">
        <v>2.125963</v>
      </c>
      <c r="I3020">
        <v>221.75710000000001</v>
      </c>
      <c r="J3020">
        <v>-252.34520000000001</v>
      </c>
      <c r="K3020">
        <v>1.1098209999999999</v>
      </c>
      <c r="L3020">
        <v>215.76060000000001</v>
      </c>
      <c r="M3020">
        <v>0.99989899999999998</v>
      </c>
      <c r="N3020">
        <v>0</v>
      </c>
      <c r="O3020">
        <v>-2.1107209999999999E-3</v>
      </c>
      <c r="P3020">
        <v>0.99300460000000002</v>
      </c>
      <c r="Q3020">
        <v>3.9497940000000002E-2</v>
      </c>
      <c r="R3020">
        <v>-0.11127570000000001</v>
      </c>
      <c r="S3020">
        <v>3.0424799999999999</v>
      </c>
      <c r="T3020">
        <v>3.2585259999999998E-2</v>
      </c>
      <c r="U3020">
        <v>0.19226070000000001</v>
      </c>
      <c r="V3020">
        <v>0.1091811</v>
      </c>
      <c r="W3020">
        <v>5.3455429999999998E-2</v>
      </c>
      <c r="X3020">
        <v>0.99258349999999995</v>
      </c>
      <c r="Y3020">
        <v>-6.5169060000000001E-2</v>
      </c>
      <c r="Z3020">
        <v>-3.7121129999999997E-4</v>
      </c>
      <c r="AA3020">
        <v>0.99787409999999999</v>
      </c>
      <c r="AB3020">
        <v>37</v>
      </c>
      <c r="AC3020">
        <v>94.507000000000005</v>
      </c>
      <c r="AD3020">
        <v>1.0161420000000001</v>
      </c>
      <c r="AE3020">
        <v>5.9964999999999904</v>
      </c>
      <c r="AF3020">
        <v>-6.19527091467062</v>
      </c>
      <c r="AG3020">
        <v>1.0161420000000001</v>
      </c>
      <c r="AH3020">
        <v>94.483252203923698</v>
      </c>
      <c r="AI3020">
        <v>89.385143283860799</v>
      </c>
      <c r="AJ3020">
        <v>93.751516418272004</v>
      </c>
      <c r="AK3020">
        <v>94.691598747199293</v>
      </c>
      <c r="AL3020">
        <v>86.935768954449799</v>
      </c>
      <c r="AM3020">
        <v>83.7228774596731</v>
      </c>
      <c r="AN3020">
        <v>1.0000000000329701</v>
      </c>
    </row>
    <row r="3021" spans="1:40" x14ac:dyDescent="0.25">
      <c r="A3021" t="str">
        <f>"20190312154613997"</f>
        <v>20190312154613997</v>
      </c>
      <c r="B3021" t="str">
        <f>"1552376773989966"</f>
        <v>1552376773989966</v>
      </c>
      <c r="C3021" t="s">
        <v>40</v>
      </c>
      <c r="D3021">
        <v>4.1553589999999998</v>
      </c>
      <c r="E3021">
        <v>0.4327647</v>
      </c>
      <c r="F3021" t="s">
        <v>64</v>
      </c>
      <c r="G3021">
        <v>-157.25</v>
      </c>
      <c r="H3021">
        <v>2.0334840000000001</v>
      </c>
      <c r="I3021">
        <v>222.0147</v>
      </c>
      <c r="J3021">
        <v>-251.91200000000001</v>
      </c>
      <c r="K3021">
        <v>1.109826</v>
      </c>
      <c r="L3021">
        <v>215.75960000000001</v>
      </c>
      <c r="M3021">
        <v>0.99989899999999998</v>
      </c>
      <c r="N3021">
        <v>0</v>
      </c>
      <c r="O3021">
        <v>-2.110345E-3</v>
      </c>
      <c r="P3021">
        <v>0.99315830000000005</v>
      </c>
      <c r="Q3021">
        <v>3.9602640000000001E-2</v>
      </c>
      <c r="R3021">
        <v>-0.1098565</v>
      </c>
      <c r="S3021">
        <v>3.042389</v>
      </c>
      <c r="T3021">
        <v>2.9552579999999998E-2</v>
      </c>
      <c r="U3021">
        <v>0.2000885</v>
      </c>
      <c r="V3021">
        <v>0.107761999999999</v>
      </c>
      <c r="W3021">
        <v>5.3559719999999998E-2</v>
      </c>
      <c r="X3021">
        <v>0.99273290000000003</v>
      </c>
      <c r="Y3021">
        <v>-6.7727709999999997E-2</v>
      </c>
      <c r="Z3021">
        <v>-3.4905640000000001E-4</v>
      </c>
      <c r="AA3021">
        <v>0.99770380000000003</v>
      </c>
      <c r="AB3021">
        <v>37</v>
      </c>
      <c r="AC3021">
        <v>94.662000000000006</v>
      </c>
      <c r="AD3021">
        <v>0.92365799999999998</v>
      </c>
      <c r="AE3021">
        <v>6.2550999999999899</v>
      </c>
      <c r="AF3021">
        <v>-6.4542634579897404</v>
      </c>
      <c r="AG3021">
        <v>0.92365799999999998</v>
      </c>
      <c r="AH3021">
        <v>94.639616216518903</v>
      </c>
      <c r="AI3021">
        <v>89.442121633928494</v>
      </c>
      <c r="AJ3021">
        <v>93.901435228452002</v>
      </c>
      <c r="AK3021">
        <v>94.863942667886704</v>
      </c>
      <c r="AL3021">
        <v>86.929784856096703</v>
      </c>
      <c r="AM3021">
        <v>83.804751908879993</v>
      </c>
      <c r="AN3021">
        <v>0.99999995149644305</v>
      </c>
    </row>
    <row r="3022" spans="1:40" x14ac:dyDescent="0.25">
      <c r="A3022" t="str">
        <f>"20190312154614019"</f>
        <v>20190312154614019</v>
      </c>
      <c r="B3022" t="str">
        <f>"1552376774010462"</f>
        <v>1552376774010462</v>
      </c>
      <c r="C3022" t="s">
        <v>40</v>
      </c>
      <c r="D3022">
        <v>4.148936</v>
      </c>
      <c r="E3022">
        <v>0.43256489999999997</v>
      </c>
      <c r="F3022" t="s">
        <v>64</v>
      </c>
      <c r="G3022">
        <v>-157.25</v>
      </c>
      <c r="H3022">
        <v>1.97051</v>
      </c>
      <c r="I3022">
        <v>222.2081</v>
      </c>
      <c r="J3022">
        <v>-251.53829999999999</v>
      </c>
      <c r="K3022">
        <v>1.109826</v>
      </c>
      <c r="L3022">
        <v>215.75890000000001</v>
      </c>
      <c r="M3022">
        <v>0.99989899999999998</v>
      </c>
      <c r="N3022">
        <v>0</v>
      </c>
      <c r="O3022">
        <v>-2.1103290000000002E-3</v>
      </c>
      <c r="P3022">
        <v>0.99323059999999996</v>
      </c>
      <c r="Q3022">
        <v>4.1234390000000003E-2</v>
      </c>
      <c r="R3022">
        <v>-0.10859480000000001</v>
      </c>
      <c r="S3022">
        <v>3.0425260000000001</v>
      </c>
      <c r="T3022">
        <v>2.7665019999999999E-2</v>
      </c>
      <c r="U3022">
        <v>0.2072601</v>
      </c>
      <c r="V3022">
        <v>0.1065005</v>
      </c>
      <c r="W3022">
        <v>5.5189990000000001E-2</v>
      </c>
      <c r="X3022">
        <v>0.99277979999999999</v>
      </c>
      <c r="Y3022">
        <v>-7.0066089999999998E-2</v>
      </c>
      <c r="Z3022">
        <v>-3.3734089999999997E-4</v>
      </c>
      <c r="AA3022">
        <v>0.99754229999999999</v>
      </c>
      <c r="AB3022">
        <v>37</v>
      </c>
      <c r="AC3022">
        <v>94.288300000000007</v>
      </c>
      <c r="AD3022">
        <v>0.86068399999999901</v>
      </c>
      <c r="AE3022">
        <v>6.4491999999999896</v>
      </c>
      <c r="AF3022">
        <v>-6.6476332957351296</v>
      </c>
      <c r="AG3022">
        <v>0.86068399999999901</v>
      </c>
      <c r="AH3022">
        <v>94.266660593718399</v>
      </c>
      <c r="AI3022">
        <v>89.478182023686699</v>
      </c>
      <c r="AJ3022">
        <v>94.033789178515505</v>
      </c>
      <c r="AK3022">
        <v>94.504682978536707</v>
      </c>
      <c r="AL3022">
        <v>86.836239047726707</v>
      </c>
      <c r="AM3022">
        <v>83.877008559651799</v>
      </c>
      <c r="AN3022">
        <v>1.00000001139224</v>
      </c>
    </row>
    <row r="3023" spans="1:40" x14ac:dyDescent="0.25">
      <c r="A3023" t="str">
        <f>"20190312154614038"</f>
        <v>20190312154614038</v>
      </c>
      <c r="B3023" t="str">
        <f>"1552376774029984"</f>
        <v>1552376774029984</v>
      </c>
      <c r="C3023" t="s">
        <v>40</v>
      </c>
      <c r="D3023">
        <v>4.2050400000000003</v>
      </c>
      <c r="E3023">
        <v>0.41750169999999998</v>
      </c>
      <c r="F3023" t="s">
        <v>64</v>
      </c>
      <c r="G3023">
        <v>-166.75370000000001</v>
      </c>
      <c r="H3023">
        <v>1.894282</v>
      </c>
      <c r="I3023">
        <v>221.6901</v>
      </c>
      <c r="J3023">
        <v>-251.21559999999999</v>
      </c>
      <c r="K3023">
        <v>1.109828</v>
      </c>
      <c r="L3023">
        <v>215.75819999999999</v>
      </c>
      <c r="M3023">
        <v>0.99989910000000004</v>
      </c>
      <c r="N3023">
        <v>0</v>
      </c>
      <c r="O3023">
        <v>-2.1103160000000001E-3</v>
      </c>
      <c r="P3023">
        <v>0.99324789999999996</v>
      </c>
      <c r="Q3023">
        <v>4.2247720000000002E-2</v>
      </c>
      <c r="R3023">
        <v>-0.1080453</v>
      </c>
      <c r="S3023">
        <v>3.0425420000000001</v>
      </c>
      <c r="T3023">
        <v>2.8152699999999999E-2</v>
      </c>
      <c r="U3023">
        <v>0.2128448</v>
      </c>
      <c r="V3023">
        <v>0.1059508</v>
      </c>
      <c r="W3023">
        <v>5.6201699999999903E-2</v>
      </c>
      <c r="X3023">
        <v>0.99278189999999999</v>
      </c>
      <c r="Y3023">
        <v>-7.1887779999999998E-2</v>
      </c>
      <c r="Z3023">
        <v>-3.5168150000000002E-4</v>
      </c>
      <c r="AA3023">
        <v>0.99741270000000004</v>
      </c>
      <c r="AB3023">
        <v>37</v>
      </c>
      <c r="AC3023">
        <v>84.461899999999901</v>
      </c>
      <c r="AD3023">
        <v>0.78445399999999998</v>
      </c>
      <c r="AE3023">
        <v>5.9319000000000104</v>
      </c>
      <c r="AF3023">
        <v>-6.1096212432307002</v>
      </c>
      <c r="AG3023">
        <v>0.78445399999999998</v>
      </c>
      <c r="AH3023">
        <v>84.441944197031702</v>
      </c>
      <c r="AI3023">
        <v>89.469133068181094</v>
      </c>
      <c r="AJ3023">
        <v>94.1383057438116</v>
      </c>
      <c r="AK3023">
        <v>84.666314314421797</v>
      </c>
      <c r="AL3023">
        <v>86.778182347003707</v>
      </c>
      <c r="AM3023">
        <v>83.908386803992997</v>
      </c>
      <c r="AN3023">
        <v>1.0000000520355601</v>
      </c>
    </row>
    <row r="3024" spans="1:40" x14ac:dyDescent="0.25">
      <c r="A3024" t="str">
        <f>"20190312154614060"</f>
        <v>20190312154614060</v>
      </c>
      <c r="B3024" t="str">
        <f>"1552376774050478"</f>
        <v>1552376774050478</v>
      </c>
      <c r="C3024" t="s">
        <v>40</v>
      </c>
      <c r="D3024">
        <v>4.2276879999999997</v>
      </c>
      <c r="E3024">
        <v>0.41682599999999997</v>
      </c>
      <c r="F3024" t="s">
        <v>64</v>
      </c>
      <c r="G3024">
        <v>-157.25</v>
      </c>
      <c r="H3024">
        <v>0.18266959999999999</v>
      </c>
      <c r="I3024">
        <v>226.0848</v>
      </c>
      <c r="J3024">
        <v>-250.85169999999999</v>
      </c>
      <c r="K3024">
        <v>1.1098319999999999</v>
      </c>
      <c r="L3024">
        <v>215.75739999999999</v>
      </c>
      <c r="M3024">
        <v>0.99989910000000004</v>
      </c>
      <c r="N3024">
        <v>0</v>
      </c>
      <c r="O3024">
        <v>-2.110064E-3</v>
      </c>
      <c r="P3024">
        <v>0.99322540000000004</v>
      </c>
      <c r="Q3024">
        <v>4.2884230000000002E-2</v>
      </c>
      <c r="R3024">
        <v>-0.108001399999999</v>
      </c>
      <c r="S3024">
        <v>3.0582120000000002</v>
      </c>
      <c r="T3024">
        <v>-3.0173539999999999E-2</v>
      </c>
      <c r="U3024">
        <v>0.3360901</v>
      </c>
      <c r="V3024">
        <v>0.105907399999999</v>
      </c>
      <c r="W3024">
        <v>5.6835820000000002E-2</v>
      </c>
      <c r="X3024">
        <v>0.99275040000000003</v>
      </c>
      <c r="Y3024">
        <v>-0.11133179999999999</v>
      </c>
      <c r="Z3024">
        <v>5.6831890000000004E-4</v>
      </c>
      <c r="AA3024">
        <v>0.99378310000000003</v>
      </c>
      <c r="AB3024">
        <v>37</v>
      </c>
      <c r="AC3024">
        <v>93.601699999999994</v>
      </c>
      <c r="AD3024">
        <v>-0.92716240000000005</v>
      </c>
      <c r="AE3024">
        <v>10.327400000000001</v>
      </c>
      <c r="AF3024">
        <v>-10.523881920095199</v>
      </c>
      <c r="AG3024">
        <v>-0.92716240000000005</v>
      </c>
      <c r="AH3024">
        <v>93.5706275104924</v>
      </c>
      <c r="AI3024">
        <v>90.564150910137101</v>
      </c>
      <c r="AJ3024">
        <v>96.417085369526006</v>
      </c>
      <c r="AK3024">
        <v>94.165142454580206</v>
      </c>
      <c r="AL3024">
        <v>86.741791682479899</v>
      </c>
      <c r="AM3024">
        <v>83.910671568666103</v>
      </c>
      <c r="AN3024">
        <v>1.0000000222549901</v>
      </c>
    </row>
    <row r="3025" spans="1:40" x14ac:dyDescent="0.25">
      <c r="A3025" t="str">
        <f>"20190312154614085"</f>
        <v>20190312154614085</v>
      </c>
      <c r="B3025" t="str">
        <f>"1552376774079759"</f>
        <v>1552376774079759</v>
      </c>
      <c r="C3025" t="s">
        <v>40</v>
      </c>
      <c r="D3025">
        <v>4.2195790000000004</v>
      </c>
      <c r="E3025">
        <v>0.41695379999999899</v>
      </c>
      <c r="F3025" t="s">
        <v>64</v>
      </c>
      <c r="G3025">
        <v>-157.25</v>
      </c>
      <c r="H3025">
        <v>0.3774071</v>
      </c>
      <c r="I3025">
        <v>226.2056</v>
      </c>
      <c r="J3025">
        <v>-250.44450000000001</v>
      </c>
      <c r="K3025">
        <v>1.1098380000000001</v>
      </c>
      <c r="L3025">
        <v>215.75649999999999</v>
      </c>
      <c r="M3025">
        <v>0.99989910000000004</v>
      </c>
      <c r="N3025">
        <v>0</v>
      </c>
      <c r="O3025">
        <v>-2.1100479999999998E-3</v>
      </c>
      <c r="P3025">
        <v>0.99307290000000004</v>
      </c>
      <c r="Q3025">
        <v>4.4227830000000003E-2</v>
      </c>
      <c r="R3025">
        <v>-0.1088591</v>
      </c>
      <c r="S3025">
        <v>3.058624</v>
      </c>
      <c r="T3025">
        <v>-2.3931620000000001E-2</v>
      </c>
      <c r="U3025">
        <v>0.34141539999999998</v>
      </c>
      <c r="V3025">
        <v>0.1067654</v>
      </c>
      <c r="W3025">
        <v>5.8174950000000003E-2</v>
      </c>
      <c r="X3025">
        <v>0.99258089999999999</v>
      </c>
      <c r="Y3025">
        <v>-0.1130284</v>
      </c>
      <c r="Z3025">
        <v>4.572693E-4</v>
      </c>
      <c r="AA3025">
        <v>0.99359169999999997</v>
      </c>
      <c r="AB3025">
        <v>37</v>
      </c>
      <c r="AC3025">
        <v>93.194500000000005</v>
      </c>
      <c r="AD3025">
        <v>-0.732430899999999</v>
      </c>
      <c r="AE3025">
        <v>10.4491</v>
      </c>
      <c r="AF3025">
        <v>-10.645091661405401</v>
      </c>
      <c r="AG3025">
        <v>-0.732430899999999</v>
      </c>
      <c r="AH3025">
        <v>93.166559090139202</v>
      </c>
      <c r="AI3025">
        <v>90.447511169230197</v>
      </c>
      <c r="AJ3025">
        <v>96.518274952050504</v>
      </c>
      <c r="AK3025">
        <v>93.775594715253106</v>
      </c>
      <c r="AL3025">
        <v>86.664937959962202</v>
      </c>
      <c r="AM3025">
        <v>83.860674282800602</v>
      </c>
      <c r="AN3025">
        <v>1.0000000092447301</v>
      </c>
    </row>
    <row r="3026" spans="1:40" x14ac:dyDescent="0.25">
      <c r="A3026" t="str">
        <f>"20190312154614109"</f>
        <v>20190312154614109</v>
      </c>
      <c r="B3026" t="str">
        <f>"1552376774100255"</f>
        <v>1552376774100255</v>
      </c>
      <c r="C3026" t="s">
        <v>40</v>
      </c>
      <c r="D3026">
        <v>4.2120689999999996</v>
      </c>
      <c r="E3026">
        <v>0.41697479999999998</v>
      </c>
      <c r="F3026" t="s">
        <v>64</v>
      </c>
      <c r="G3026">
        <v>-157.25</v>
      </c>
      <c r="H3026">
        <v>0.29421520000000001</v>
      </c>
      <c r="I3026">
        <v>226.04730000000001</v>
      </c>
      <c r="J3026">
        <v>-250.0462</v>
      </c>
      <c r="K3026">
        <v>1.1098429999999999</v>
      </c>
      <c r="L3026">
        <v>215.75569999999999</v>
      </c>
      <c r="M3026">
        <v>0.99989930000000005</v>
      </c>
      <c r="N3026">
        <v>0</v>
      </c>
      <c r="O3026">
        <v>-2.1100300000000002E-3</v>
      </c>
      <c r="P3026">
        <v>0.99295549999999999</v>
      </c>
      <c r="Q3026">
        <v>4.5497280000000001E-2</v>
      </c>
      <c r="R3026">
        <v>-0.1094062</v>
      </c>
      <c r="S3026">
        <v>3.0591430000000002</v>
      </c>
      <c r="T3026">
        <v>-2.677119E-2</v>
      </c>
      <c r="U3026">
        <v>0.33779910000000002</v>
      </c>
      <c r="V3026">
        <v>0.1073129</v>
      </c>
      <c r="W3026">
        <v>5.9439720000000001E-2</v>
      </c>
      <c r="X3026">
        <v>0.99244690000000002</v>
      </c>
      <c r="Y3026">
        <v>-0.11184860000000001</v>
      </c>
      <c r="Z3026">
        <v>5.0632430000000005E-4</v>
      </c>
      <c r="AA3026">
        <v>0.99372510000000003</v>
      </c>
      <c r="AB3026">
        <v>37</v>
      </c>
      <c r="AC3026">
        <v>92.796199999999999</v>
      </c>
      <c r="AD3026">
        <v>-0.81562780000000001</v>
      </c>
      <c r="AE3026">
        <v>10.291600000000001</v>
      </c>
      <c r="AF3026">
        <v>-10.486598841300401</v>
      </c>
      <c r="AG3026">
        <v>-0.81562780000000001</v>
      </c>
      <c r="AH3026">
        <v>92.767196058826798</v>
      </c>
      <c r="AI3026">
        <v>90.500555148772193</v>
      </c>
      <c r="AJ3026">
        <v>96.449456846157602</v>
      </c>
      <c r="AK3026">
        <v>93.361590970716193</v>
      </c>
      <c r="AL3026">
        <v>86.592346290307106</v>
      </c>
      <c r="AM3026">
        <v>83.828606957820398</v>
      </c>
      <c r="AN3026">
        <v>0.99999999406984896</v>
      </c>
    </row>
    <row r="3027" spans="1:40" x14ac:dyDescent="0.25">
      <c r="A3027" t="str">
        <f>"20190312154614133"</f>
        <v>20190312154614133</v>
      </c>
      <c r="B3027" t="str">
        <f>"1552376774130511"</f>
        <v>1552376774130511</v>
      </c>
      <c r="C3027" t="s">
        <v>40</v>
      </c>
      <c r="D3027">
        <v>4.2790730000000003</v>
      </c>
      <c r="E3027">
        <v>0.41662389999999999</v>
      </c>
      <c r="F3027" t="s">
        <v>64</v>
      </c>
      <c r="G3027">
        <v>-157.25</v>
      </c>
      <c r="H3027">
        <v>0.4181433</v>
      </c>
      <c r="I3027">
        <v>225.94720000000001</v>
      </c>
      <c r="J3027">
        <v>-249.64670000000001</v>
      </c>
      <c r="K3027">
        <v>1.109842</v>
      </c>
      <c r="L3027">
        <v>215.75489999999999</v>
      </c>
      <c r="M3027">
        <v>0.99989919999999999</v>
      </c>
      <c r="N3027">
        <v>0</v>
      </c>
      <c r="O3027">
        <v>-2.109774E-3</v>
      </c>
      <c r="P3027">
        <v>0.99284950000000005</v>
      </c>
      <c r="Q3027">
        <v>4.5532889999999999E-2</v>
      </c>
      <c r="R3027">
        <v>-0.11034869999999999</v>
      </c>
      <c r="S3027">
        <v>3.0593409999999999</v>
      </c>
      <c r="T3027">
        <v>-2.2802349999999999E-2</v>
      </c>
      <c r="U3027">
        <v>0.33599849999999998</v>
      </c>
      <c r="V3027">
        <v>0.1082558</v>
      </c>
      <c r="W3027">
        <v>5.9471129999999997E-2</v>
      </c>
      <c r="X3027">
        <v>0.99234259999999996</v>
      </c>
      <c r="Y3027">
        <v>-0.11126469999999999</v>
      </c>
      <c r="Z3027">
        <v>4.2907839999999997E-4</v>
      </c>
      <c r="AA3027">
        <v>0.99379070000000003</v>
      </c>
      <c r="AB3027">
        <v>37</v>
      </c>
      <c r="AC3027">
        <v>92.396699999999996</v>
      </c>
      <c r="AD3027">
        <v>-0.691698699999999</v>
      </c>
      <c r="AE3027">
        <v>10.192299999999999</v>
      </c>
      <c r="AF3027">
        <v>-10.386657583789599</v>
      </c>
      <c r="AG3027">
        <v>-0.691698699999999</v>
      </c>
      <c r="AH3027">
        <v>92.369874308140993</v>
      </c>
      <c r="AI3027">
        <v>90.426356399385796</v>
      </c>
      <c r="AJ3027">
        <v>96.415752662056505</v>
      </c>
      <c r="AK3027">
        <v>92.954584516075599</v>
      </c>
      <c r="AL3027">
        <v>86.590543408416906</v>
      </c>
      <c r="AM3027">
        <v>83.774157033962794</v>
      </c>
      <c r="AN3027">
        <v>0.99999998465593798</v>
      </c>
    </row>
    <row r="3028" spans="1:40" x14ac:dyDescent="0.25">
      <c r="A3028" t="str">
        <f>"20190312154614154"</f>
        <v>20190312154614154</v>
      </c>
      <c r="B3028" t="str">
        <f>"1552376774150031"</f>
        <v>1552376774150031</v>
      </c>
      <c r="C3028" t="s">
        <v>40</v>
      </c>
      <c r="D3028">
        <v>4.2883509999999996</v>
      </c>
      <c r="E3028">
        <v>0.41655229999999999</v>
      </c>
      <c r="F3028" t="s">
        <v>64</v>
      </c>
      <c r="G3028">
        <v>-157.25</v>
      </c>
      <c r="H3028">
        <v>0.32888030000000001</v>
      </c>
      <c r="I3028">
        <v>225.89340000000001</v>
      </c>
      <c r="J3028">
        <v>-249.2842</v>
      </c>
      <c r="K3028">
        <v>1.1098330000000001</v>
      </c>
      <c r="L3028">
        <v>215.75409999999999</v>
      </c>
      <c r="M3028">
        <v>0.99989930000000005</v>
      </c>
      <c r="N3028">
        <v>0</v>
      </c>
      <c r="O3028">
        <v>-2.109639E-3</v>
      </c>
      <c r="P3028">
        <v>0.99273840000000002</v>
      </c>
      <c r="Q3028">
        <v>4.520971E-2</v>
      </c>
      <c r="R3028">
        <v>-0.1114747</v>
      </c>
      <c r="S3028">
        <v>3.0601349999999998</v>
      </c>
      <c r="T3028">
        <v>-2.5863170000000001E-2</v>
      </c>
      <c r="U3028">
        <v>0.3357849</v>
      </c>
      <c r="V3028">
        <v>0.1093824</v>
      </c>
      <c r="W3028">
        <v>5.9144120000000001E-2</v>
      </c>
      <c r="X3028">
        <v>0.99223859999999997</v>
      </c>
      <c r="Y3028">
        <v>-0.1111671</v>
      </c>
      <c r="Z3028">
        <v>4.8613710000000002E-4</v>
      </c>
      <c r="AA3028">
        <v>0.99380159999999995</v>
      </c>
      <c r="AB3028">
        <v>37</v>
      </c>
      <c r="AC3028">
        <v>92.034199999999998</v>
      </c>
      <c r="AD3028">
        <v>-0.78095269999999894</v>
      </c>
      <c r="AE3028">
        <v>10.1393</v>
      </c>
      <c r="AF3028">
        <v>-10.332720425992701</v>
      </c>
      <c r="AG3028">
        <v>-0.78095269999999894</v>
      </c>
      <c r="AH3028">
        <v>92.006057510568695</v>
      </c>
      <c r="AI3028">
        <v>90.483280229565395</v>
      </c>
      <c r="AJ3028">
        <v>96.407741236027704</v>
      </c>
      <c r="AK3028">
        <v>92.587740101805295</v>
      </c>
      <c r="AL3028">
        <v>86.609312751124307</v>
      </c>
      <c r="AM3028">
        <v>83.709228422169502</v>
      </c>
      <c r="AN3028">
        <v>0.99999998784514699</v>
      </c>
    </row>
    <row r="3029" spans="1:40" x14ac:dyDescent="0.25">
      <c r="A3029" t="str">
        <f>"20190312154614179"</f>
        <v>20190312154614179</v>
      </c>
      <c r="B3029" t="str">
        <f>"1552376774170527"</f>
        <v>1552376774170527</v>
      </c>
      <c r="C3029" t="s">
        <v>40</v>
      </c>
      <c r="D3029">
        <v>4.249638</v>
      </c>
      <c r="E3029">
        <v>0.41642000000000001</v>
      </c>
      <c r="F3029" t="s">
        <v>64</v>
      </c>
      <c r="G3029">
        <v>-168.35059999999999</v>
      </c>
      <c r="H3029">
        <v>0.41436669999999998</v>
      </c>
      <c r="I3029">
        <v>224.55350000000001</v>
      </c>
      <c r="J3029">
        <v>-248.8836</v>
      </c>
      <c r="K3029">
        <v>1.1098330000000001</v>
      </c>
      <c r="L3029">
        <v>215.75319999999999</v>
      </c>
      <c r="M3029">
        <v>0.99989919999999999</v>
      </c>
      <c r="N3029">
        <v>0</v>
      </c>
      <c r="O3029">
        <v>-2.109264E-3</v>
      </c>
      <c r="P3029">
        <v>0.99269280000000004</v>
      </c>
      <c r="Q3029">
        <v>4.4808489999999999E-2</v>
      </c>
      <c r="R3029">
        <v>-0.112041</v>
      </c>
      <c r="S3029">
        <v>3.0605009999999999</v>
      </c>
      <c r="T3029">
        <v>-2.629685E-2</v>
      </c>
      <c r="U3029">
        <v>0.3327484</v>
      </c>
      <c r="V3029">
        <v>0.10994900000000001</v>
      </c>
      <c r="W3029">
        <v>5.8739989999999999E-2</v>
      </c>
      <c r="X3029">
        <v>0.99219999999999997</v>
      </c>
      <c r="Y3029">
        <v>-0.11017929999999999</v>
      </c>
      <c r="Z3029">
        <v>4.9002210000000004E-4</v>
      </c>
      <c r="AA3029">
        <v>0.99391160000000001</v>
      </c>
      <c r="AB3029">
        <v>37</v>
      </c>
      <c r="AC3029">
        <v>80.533000000000001</v>
      </c>
      <c r="AD3029">
        <v>-0.69546629999999998</v>
      </c>
      <c r="AE3029">
        <v>8.8003000000000196</v>
      </c>
      <c r="AF3029">
        <v>-8.9695014994042506</v>
      </c>
      <c r="AG3029">
        <v>-0.69546629999999998</v>
      </c>
      <c r="AH3029">
        <v>80.508323620098295</v>
      </c>
      <c r="AI3029">
        <v>90.491890625346002</v>
      </c>
      <c r="AJ3029">
        <v>96.357156039498093</v>
      </c>
      <c r="AK3029">
        <v>81.009417987297795</v>
      </c>
      <c r="AL3029">
        <v>86.632508078300404</v>
      </c>
      <c r="AM3029">
        <v>83.676661539876093</v>
      </c>
      <c r="AN3029">
        <v>1.0000000045130999</v>
      </c>
    </row>
    <row r="3030" spans="1:40" x14ac:dyDescent="0.25">
      <c r="A3030" t="str">
        <f>"20190312154614198"</f>
        <v>20190312154614198</v>
      </c>
      <c r="B3030" t="str">
        <f>"1552376774190046"</f>
        <v>1552376774190046</v>
      </c>
      <c r="C3030" t="s">
        <v>40</v>
      </c>
      <c r="D3030">
        <v>4.2542200000000001</v>
      </c>
      <c r="E3030">
        <v>0.41634949999999998</v>
      </c>
      <c r="F3030" t="s">
        <v>64</v>
      </c>
      <c r="G3030">
        <v>-168.35059999999999</v>
      </c>
      <c r="H3030">
        <v>0.3945379</v>
      </c>
      <c r="I3030">
        <v>224.49180000000001</v>
      </c>
      <c r="J3030">
        <v>-248.5668</v>
      </c>
      <c r="K3030">
        <v>1.109834</v>
      </c>
      <c r="L3030">
        <v>215.7526</v>
      </c>
      <c r="M3030">
        <v>0.99989939999999999</v>
      </c>
      <c r="N3030">
        <v>0</v>
      </c>
      <c r="O3030">
        <v>-2.1093689999999998E-3</v>
      </c>
      <c r="P3030">
        <v>0.99260459999999995</v>
      </c>
      <c r="Q3030">
        <v>4.5601610000000001E-2</v>
      </c>
      <c r="R3030">
        <v>-0.11250350000000001</v>
      </c>
      <c r="S3030">
        <v>3.060791</v>
      </c>
      <c r="T3030">
        <v>-2.7183769999999999E-2</v>
      </c>
      <c r="U3030">
        <v>0.3321228</v>
      </c>
      <c r="V3030">
        <v>0.1104115</v>
      </c>
      <c r="W3030">
        <v>5.9529680000000001E-2</v>
      </c>
      <c r="X3030">
        <v>0.99210160000000003</v>
      </c>
      <c r="Y3030">
        <v>-0.1099683</v>
      </c>
      <c r="Z3030">
        <v>5.0557249999999998E-4</v>
      </c>
      <c r="AA3030">
        <v>0.99393500000000001</v>
      </c>
      <c r="AB3030">
        <v>37</v>
      </c>
      <c r="AC3030">
        <v>80.216200000000001</v>
      </c>
      <c r="AD3030">
        <v>-0.71529609999999899</v>
      </c>
      <c r="AE3030">
        <v>8.7392000000000092</v>
      </c>
      <c r="AF3030">
        <v>-8.9077027814251704</v>
      </c>
      <c r="AG3030">
        <v>-0.71529609999999899</v>
      </c>
      <c r="AH3030">
        <v>80.191283901823894</v>
      </c>
      <c r="AI3030">
        <v>90.507933642412794</v>
      </c>
      <c r="AJ3030">
        <v>96.338469736419498</v>
      </c>
      <c r="AK3030">
        <v>80.687674592689902</v>
      </c>
      <c r="AL3030">
        <v>86.587182953044504</v>
      </c>
      <c r="AM3030">
        <v>83.649654608867294</v>
      </c>
      <c r="AN3030">
        <v>1.00000003342785</v>
      </c>
    </row>
    <row r="3031" spans="1:40" x14ac:dyDescent="0.25">
      <c r="A3031" t="str">
        <f>"20190312154614218"</f>
        <v>20190312154614218</v>
      </c>
      <c r="B3031" t="str">
        <f>"1552376774210543"</f>
        <v>1552376774210543</v>
      </c>
      <c r="C3031" t="s">
        <v>40</v>
      </c>
      <c r="D3031">
        <v>4.3071580000000003</v>
      </c>
      <c r="E3031">
        <v>0.41613480000000003</v>
      </c>
      <c r="F3031" t="s">
        <v>64</v>
      </c>
      <c r="G3031">
        <v>-168.35059999999999</v>
      </c>
      <c r="H3031">
        <v>0.44058700000000001</v>
      </c>
      <c r="I3031">
        <v>224.43279999999999</v>
      </c>
      <c r="J3031">
        <v>-248.24010000000001</v>
      </c>
      <c r="K3031">
        <v>1.1098429999999999</v>
      </c>
      <c r="L3031">
        <v>215.75190000000001</v>
      </c>
      <c r="M3031">
        <v>0.99989939999999999</v>
      </c>
      <c r="N3031">
        <v>0</v>
      </c>
      <c r="O3031">
        <v>-2.109236E-3</v>
      </c>
      <c r="P3031">
        <v>0.99251239999999996</v>
      </c>
      <c r="Q3031">
        <v>4.6934120000000003E-2</v>
      </c>
      <c r="R3031">
        <v>-0.1127676</v>
      </c>
      <c r="S3031">
        <v>3.0610659999999998</v>
      </c>
      <c r="T3031">
        <v>-2.5536420000000001E-2</v>
      </c>
      <c r="U3031">
        <v>0.33123780000000003</v>
      </c>
      <c r="V3031">
        <v>0.1106761</v>
      </c>
      <c r="W3031">
        <v>6.0858589999999997E-2</v>
      </c>
      <c r="X3031">
        <v>0.99199150000000003</v>
      </c>
      <c r="Y3031">
        <v>-0.10967499999999999</v>
      </c>
      <c r="Z3031">
        <v>4.7367999999999998E-4</v>
      </c>
      <c r="AA3031">
        <v>0.99396739999999995</v>
      </c>
      <c r="AB3031">
        <v>37</v>
      </c>
      <c r="AC3031">
        <v>79.889499999999998</v>
      </c>
      <c r="AD3031">
        <v>-0.66925599999999996</v>
      </c>
      <c r="AE3031">
        <v>8.6808999999999799</v>
      </c>
      <c r="AF3031">
        <v>-8.8487893243624605</v>
      </c>
      <c r="AG3031">
        <v>-0.66925599999999996</v>
      </c>
      <c r="AH3031">
        <v>79.865470940555795</v>
      </c>
      <c r="AI3031">
        <v>90.477195545496699</v>
      </c>
      <c r="AJ3031">
        <v>96.322367121539898</v>
      </c>
      <c r="AK3031">
        <v>80.3569687373612</v>
      </c>
      <c r="AL3031">
        <v>86.510903760962805</v>
      </c>
      <c r="AM3031">
        <v>83.633860149493799</v>
      </c>
      <c r="AN3031">
        <v>1.00000005158012</v>
      </c>
    </row>
    <row r="3032" spans="1:40" x14ac:dyDescent="0.25">
      <c r="A3032" t="str">
        <f>"20190312154614239"</f>
        <v>20190312154614239</v>
      </c>
      <c r="B3032" t="str">
        <f>"1552376774230062"</f>
        <v>1552376774230062</v>
      </c>
      <c r="C3032" t="s">
        <v>40</v>
      </c>
      <c r="D3032">
        <v>4.4427029999999998</v>
      </c>
      <c r="E3032">
        <v>0.41629139999999998</v>
      </c>
      <c r="F3032" t="s">
        <v>64</v>
      </c>
      <c r="G3032">
        <v>-168.35059999999999</v>
      </c>
      <c r="H3032">
        <v>0.51817420000000003</v>
      </c>
      <c r="I3032">
        <v>224.42500000000001</v>
      </c>
      <c r="J3032">
        <v>-247.8766</v>
      </c>
      <c r="K3032">
        <v>1.1098440000000001</v>
      </c>
      <c r="L3032">
        <v>215.75110000000001</v>
      </c>
      <c r="M3032">
        <v>0.99989939999999999</v>
      </c>
      <c r="N3032">
        <v>0</v>
      </c>
      <c r="O3032">
        <v>-2.1091030000000002E-3</v>
      </c>
      <c r="P3032">
        <v>0.99250510000000003</v>
      </c>
      <c r="Q3032">
        <v>4.7175050000000003E-2</v>
      </c>
      <c r="R3032">
        <v>-0.1127316</v>
      </c>
      <c r="S3032">
        <v>3.0614780000000001</v>
      </c>
      <c r="T3032">
        <v>-2.2671340000000002E-2</v>
      </c>
      <c r="U3032">
        <v>0.33236690000000002</v>
      </c>
      <c r="V3032">
        <v>0.11064010000000001</v>
      </c>
      <c r="W3032">
        <v>6.1097529999999997E-2</v>
      </c>
      <c r="X3032">
        <v>0.9919808</v>
      </c>
      <c r="Y3032">
        <v>-0.1100238</v>
      </c>
      <c r="Z3032">
        <v>4.2175859999999998E-4</v>
      </c>
      <c r="AA3032">
        <v>0.99392879999999995</v>
      </c>
      <c r="AB3032">
        <v>37</v>
      </c>
      <c r="AC3032">
        <v>79.525999999999996</v>
      </c>
      <c r="AD3032">
        <v>-0.59166980000000002</v>
      </c>
      <c r="AE3032">
        <v>8.6738999999999997</v>
      </c>
      <c r="AF3032">
        <v>-8.8411421016228999</v>
      </c>
      <c r="AG3032">
        <v>-0.59166980000000002</v>
      </c>
      <c r="AH3032">
        <v>79.503178142068805</v>
      </c>
      <c r="AI3032">
        <v>90.423780273361203</v>
      </c>
      <c r="AJ3032">
        <v>96.345499244023898</v>
      </c>
      <c r="AK3032">
        <v>79.995444879710803</v>
      </c>
      <c r="AL3032">
        <v>86.497187886824094</v>
      </c>
      <c r="AM3032">
        <v>83.635845810423305</v>
      </c>
      <c r="AN3032">
        <v>1.00000002373437</v>
      </c>
    </row>
    <row r="3033" spans="1:40" x14ac:dyDescent="0.25">
      <c r="A3033" t="str">
        <f>"20190312154614263"</f>
        <v>20190312154614263</v>
      </c>
      <c r="B3033" t="str">
        <f>"1552376774250559"</f>
        <v>1552376774250559</v>
      </c>
      <c r="C3033" t="s">
        <v>40</v>
      </c>
      <c r="D3033">
        <v>4.5725610000000003</v>
      </c>
      <c r="E3033">
        <v>0.45208569999999998</v>
      </c>
      <c r="F3033" t="s">
        <v>64</v>
      </c>
      <c r="G3033">
        <v>-168.35059999999999</v>
      </c>
      <c r="H3033">
        <v>0.50855159999999999</v>
      </c>
      <c r="I3033">
        <v>224.36</v>
      </c>
      <c r="J3033">
        <v>-247.50399999999999</v>
      </c>
      <c r="K3033">
        <v>1.1098479999999999</v>
      </c>
      <c r="L3033">
        <v>215.75030000000001</v>
      </c>
      <c r="M3033">
        <v>0.99989939999999999</v>
      </c>
      <c r="N3033">
        <v>0</v>
      </c>
      <c r="O3033">
        <v>-2.1088489999999999E-3</v>
      </c>
      <c r="P3033">
        <v>0.99246749999999995</v>
      </c>
      <c r="Q3033">
        <v>4.702605E-2</v>
      </c>
      <c r="R3033">
        <v>-0.11312469999999999</v>
      </c>
      <c r="S3033">
        <v>3.0614170000000001</v>
      </c>
      <c r="T3033">
        <v>-2.3144959999999999E-2</v>
      </c>
      <c r="U3033">
        <v>0.33140560000000002</v>
      </c>
      <c r="V3033">
        <v>0.1110336</v>
      </c>
      <c r="W3033">
        <v>6.0946170000000001E-2</v>
      </c>
      <c r="X3033">
        <v>0.99194610000000005</v>
      </c>
      <c r="Y3033">
        <v>-0.109717</v>
      </c>
      <c r="Z3033">
        <v>4.2942689999999999E-4</v>
      </c>
      <c r="AA3033">
        <v>0.99396280000000004</v>
      </c>
      <c r="AB3033">
        <v>37</v>
      </c>
      <c r="AC3033">
        <v>79.153400000000005</v>
      </c>
      <c r="AD3033">
        <v>-0.60129639999999995</v>
      </c>
      <c r="AE3033">
        <v>8.6097000000000001</v>
      </c>
      <c r="AF3033">
        <v>-8.7761193100913193</v>
      </c>
      <c r="AG3033">
        <v>-0.60129639999999995</v>
      </c>
      <c r="AH3033">
        <v>79.130552523293204</v>
      </c>
      <c r="AI3033">
        <v>90.432717134296794</v>
      </c>
      <c r="AJ3033">
        <v>96.328630188741002</v>
      </c>
      <c r="AK3033">
        <v>79.618001545801604</v>
      </c>
      <c r="AL3033">
        <v>86.505876216622397</v>
      </c>
      <c r="AM3033">
        <v>83.613176336391305</v>
      </c>
      <c r="AN3033">
        <v>0.99999998063591899</v>
      </c>
    </row>
    <row r="3034" spans="1:40" x14ac:dyDescent="0.25">
      <c r="A3034" t="str">
        <f>"20190312154614284"</f>
        <v>20190312154614284</v>
      </c>
      <c r="B3034" t="str">
        <f>"1552376774270078"</f>
        <v>1552376774270078</v>
      </c>
      <c r="C3034" t="s">
        <v>40</v>
      </c>
      <c r="D3034">
        <v>4.4239360000000003</v>
      </c>
      <c r="E3034">
        <v>0.51109519999999997</v>
      </c>
      <c r="F3034" t="s">
        <v>69</v>
      </c>
      <c r="G3034">
        <v>-107.39749999999999</v>
      </c>
      <c r="H3034">
        <v>0.26522449999999997</v>
      </c>
      <c r="I3034">
        <v>217.88399999999999</v>
      </c>
      <c r="J3034">
        <v>-247.15639999999999</v>
      </c>
      <c r="K3034">
        <v>1.1098520000000001</v>
      </c>
      <c r="L3034">
        <v>215.74950000000001</v>
      </c>
      <c r="M3034">
        <v>0.99989939999999999</v>
      </c>
      <c r="N3034">
        <v>0</v>
      </c>
      <c r="O3034">
        <v>-2.108834E-3</v>
      </c>
      <c r="P3034">
        <v>0.99235399999999996</v>
      </c>
      <c r="Q3034">
        <v>4.832707E-2</v>
      </c>
      <c r="R3034">
        <v>-0.1135705</v>
      </c>
      <c r="S3034">
        <v>3.0288849999999998</v>
      </c>
      <c r="T3034">
        <v>-1.825833E-2</v>
      </c>
      <c r="U3034">
        <v>4.6127319999999999E-2</v>
      </c>
      <c r="V3034">
        <v>0.1114796</v>
      </c>
      <c r="W3034">
        <v>6.2243090000000001E-2</v>
      </c>
      <c r="X3034">
        <v>0.99181560000000002</v>
      </c>
      <c r="Y3034">
        <v>-1.733579E-2</v>
      </c>
      <c r="Z3034" s="1">
        <v>6.4959840000000004E-5</v>
      </c>
      <c r="AA3034">
        <v>0.99984969999999995</v>
      </c>
      <c r="AB3034">
        <v>37</v>
      </c>
      <c r="AC3034">
        <v>139.75889999999899</v>
      </c>
      <c r="AD3034">
        <v>-0.84462749999999998</v>
      </c>
      <c r="AE3034">
        <v>2.1345000000000001</v>
      </c>
      <c r="AF3034">
        <v>-2.42916386933853</v>
      </c>
      <c r="AG3034">
        <v>-0.84462749999999998</v>
      </c>
      <c r="AH3034">
        <v>139.74898450175999</v>
      </c>
      <c r="AI3034">
        <v>90.346232875418707</v>
      </c>
      <c r="AJ3034">
        <v>90.995834229985604</v>
      </c>
      <c r="AK3034">
        <v>139.77264718817801</v>
      </c>
      <c r="AL3034">
        <v>86.431427032753405</v>
      </c>
      <c r="AM3034">
        <v>83.586898310614103</v>
      </c>
      <c r="AN3034">
        <v>1.0000000439361301</v>
      </c>
    </row>
    <row r="3035" spans="1:40" x14ac:dyDescent="0.25">
      <c r="A3035" t="str">
        <f>"20190312154614310"</f>
        <v>20190312154614310</v>
      </c>
      <c r="B3035" t="str">
        <f>"1552376774300335"</f>
        <v>1552376774300335</v>
      </c>
      <c r="C3035" t="s">
        <v>40</v>
      </c>
      <c r="D3035">
        <v>4.4005619999999999</v>
      </c>
      <c r="E3035">
        <v>0.51636090000000001</v>
      </c>
      <c r="F3035" t="s">
        <v>53</v>
      </c>
      <c r="G3035">
        <v>-195.5994</v>
      </c>
      <c r="H3035" s="1">
        <v>3.7158250000000001E-6</v>
      </c>
      <c r="I3035">
        <v>208.4556</v>
      </c>
      <c r="J3035">
        <v>-246.73419999999999</v>
      </c>
      <c r="K3035">
        <v>1.109864</v>
      </c>
      <c r="L3035">
        <v>215.74870000000001</v>
      </c>
      <c r="M3035">
        <v>0.99989939999999999</v>
      </c>
      <c r="N3035">
        <v>0</v>
      </c>
      <c r="O3035">
        <v>-2.1086970000000001E-3</v>
      </c>
      <c r="P3035">
        <v>0.99219919999999995</v>
      </c>
      <c r="Q3035">
        <v>4.9709929999999999E-2</v>
      </c>
      <c r="R3035">
        <v>-0.1143227</v>
      </c>
      <c r="S3035">
        <v>2.978027</v>
      </c>
      <c r="T3035">
        <v>-6.4106940000000001E-2</v>
      </c>
      <c r="U3035">
        <v>-0.42131039999999997</v>
      </c>
      <c r="V3035">
        <v>0.1122325</v>
      </c>
      <c r="W3035">
        <v>6.3620789999999997E-2</v>
      </c>
      <c r="X3035">
        <v>0.99164319999999895</v>
      </c>
      <c r="Y3035">
        <v>0.1379589</v>
      </c>
      <c r="Z3035">
        <v>-1.432205E-3</v>
      </c>
      <c r="AA3035">
        <v>0.99043689999999995</v>
      </c>
      <c r="AB3035">
        <v>37</v>
      </c>
      <c r="AC3035">
        <v>51.134799999999899</v>
      </c>
      <c r="AD3035">
        <v>-1.109860284175</v>
      </c>
      <c r="AE3035">
        <v>-7.2931000000000097</v>
      </c>
      <c r="AF3035">
        <v>7.1819294930363498</v>
      </c>
      <c r="AG3035">
        <v>-1.109860284175</v>
      </c>
      <c r="AH3035">
        <v>51.1264617668824</v>
      </c>
      <c r="AI3035">
        <v>91.231501951551806</v>
      </c>
      <c r="AJ3035">
        <v>82.003765207425403</v>
      </c>
      <c r="AK3035">
        <v>51.640362061993898</v>
      </c>
      <c r="AL3035">
        <v>86.352333651635206</v>
      </c>
      <c r="AM3035">
        <v>83.542837681450294</v>
      </c>
      <c r="AN3035">
        <v>0.99999998754135599</v>
      </c>
    </row>
    <row r="3036" spans="1:40" x14ac:dyDescent="0.25">
      <c r="A3036" t="str">
        <f>"20190312154614336"</f>
        <v>20190312154614336</v>
      </c>
      <c r="B3036" t="str">
        <f>"1552376774330592"</f>
        <v>1552376774330592</v>
      </c>
      <c r="C3036" t="s">
        <v>40</v>
      </c>
      <c r="D3036">
        <v>4.3941749999999997</v>
      </c>
      <c r="E3036">
        <v>0.51758789999999999</v>
      </c>
      <c r="F3036" t="s">
        <v>53</v>
      </c>
      <c r="G3036">
        <v>-191.98830000000001</v>
      </c>
      <c r="H3036" s="1">
        <v>4.8203719999999997E-6</v>
      </c>
      <c r="I3036">
        <v>207.17949999999999</v>
      </c>
      <c r="J3036">
        <v>-246.28579999999999</v>
      </c>
      <c r="K3036">
        <v>1.1098619999999999</v>
      </c>
      <c r="L3036">
        <v>215.74770000000001</v>
      </c>
      <c r="M3036">
        <v>0.99989950000000005</v>
      </c>
      <c r="N3036">
        <v>0</v>
      </c>
      <c r="O3036">
        <v>-2.1086780000000001E-3</v>
      </c>
      <c r="P3036">
        <v>0.99214449999999998</v>
      </c>
      <c r="Q3036">
        <v>5.0748939999999999E-2</v>
      </c>
      <c r="R3036">
        <v>-0.1143412</v>
      </c>
      <c r="S3036">
        <v>2.9729770000000002</v>
      </c>
      <c r="T3036">
        <v>-6.0270909999999997E-2</v>
      </c>
      <c r="U3036">
        <v>-0.46534730000000002</v>
      </c>
      <c r="V3036">
        <v>0.1122512</v>
      </c>
      <c r="W3036">
        <v>6.4656270000000002E-2</v>
      </c>
      <c r="X3036">
        <v>0.99157410000000001</v>
      </c>
      <c r="Y3036">
        <v>0.15252879999999999</v>
      </c>
      <c r="Z3036">
        <v>-1.494102E-3</v>
      </c>
      <c r="AA3036">
        <v>0.98829789999999995</v>
      </c>
      <c r="AB3036">
        <v>37</v>
      </c>
      <c r="AC3036">
        <v>54.2974999999999</v>
      </c>
      <c r="AD3036">
        <v>-1.1098571796279999</v>
      </c>
      <c r="AE3036">
        <v>-8.5682000000000098</v>
      </c>
      <c r="AF3036">
        <v>8.4502289735681799</v>
      </c>
      <c r="AG3036">
        <v>-1.1098571796279999</v>
      </c>
      <c r="AH3036">
        <v>54.293315679503003</v>
      </c>
      <c r="AI3036">
        <v>91.157142532384995</v>
      </c>
      <c r="AJ3036">
        <v>81.153443652528793</v>
      </c>
      <c r="AK3036">
        <v>54.958186652573197</v>
      </c>
      <c r="AL3036">
        <v>86.292882578759702</v>
      </c>
      <c r="AM3036">
        <v>83.5413246353597</v>
      </c>
      <c r="AN3036">
        <v>0.99999998047128102</v>
      </c>
    </row>
    <row r="3037" spans="1:40" x14ac:dyDescent="0.25">
      <c r="A3037" t="str">
        <f>"20190312154614357"</f>
        <v>20190312154614357</v>
      </c>
      <c r="B3037" t="str">
        <f>"1552376774350110"</f>
        <v>1552376774350110</v>
      </c>
      <c r="C3037" t="s">
        <v>40</v>
      </c>
      <c r="D3037">
        <v>4.4624930000000003</v>
      </c>
      <c r="E3037">
        <v>0.51776339999999998</v>
      </c>
      <c r="F3037" t="s">
        <v>53</v>
      </c>
      <c r="G3037">
        <v>-187.2004</v>
      </c>
      <c r="H3037" s="1">
        <v>5.090391E-6</v>
      </c>
      <c r="I3037">
        <v>206.3057</v>
      </c>
      <c r="J3037">
        <v>-245.9512</v>
      </c>
      <c r="K3037">
        <v>1.109853</v>
      </c>
      <c r="L3037">
        <v>215.74700000000001</v>
      </c>
      <c r="M3037">
        <v>0.99989939999999999</v>
      </c>
      <c r="N3037">
        <v>0</v>
      </c>
      <c r="O3037">
        <v>-2.1084260000000001E-3</v>
      </c>
      <c r="P3037">
        <v>0.9922301</v>
      </c>
      <c r="Q3037">
        <v>4.9486049999999997E-2</v>
      </c>
      <c r="R3037">
        <v>-0.1141529</v>
      </c>
      <c r="S3037">
        <v>2.9718779999999998</v>
      </c>
      <c r="T3037">
        <v>-5.5823560000000001E-2</v>
      </c>
      <c r="U3037">
        <v>-0.47491460000000002</v>
      </c>
      <c r="V3037">
        <v>0.1120627</v>
      </c>
      <c r="W3037">
        <v>6.3392859999999995E-2</v>
      </c>
      <c r="X3037">
        <v>0.99167700000000003</v>
      </c>
      <c r="Y3037">
        <v>0.15569169999999999</v>
      </c>
      <c r="Z3037">
        <v>-1.413554E-3</v>
      </c>
      <c r="AA3037">
        <v>0.98780469999999998</v>
      </c>
      <c r="AB3037">
        <v>37</v>
      </c>
      <c r="AC3037">
        <v>58.750799999999998</v>
      </c>
      <c r="AD3037">
        <v>-1.1098479096089999</v>
      </c>
      <c r="AE3037">
        <v>-9.4413000000000107</v>
      </c>
      <c r="AF3037">
        <v>9.3141549249530105</v>
      </c>
      <c r="AG3037">
        <v>-1.1098479096089999</v>
      </c>
      <c r="AH3037">
        <v>58.750139782896397</v>
      </c>
      <c r="AI3037">
        <v>91.068898328485204</v>
      </c>
      <c r="AJ3037">
        <v>80.991393158095306</v>
      </c>
      <c r="AK3037">
        <v>59.494236433946703</v>
      </c>
      <c r="AL3037">
        <v>86.365419495108696</v>
      </c>
      <c r="AM3037">
        <v>83.552742499854403</v>
      </c>
      <c r="AN3037">
        <v>0.99999998787963396</v>
      </c>
    </row>
    <row r="3038" spans="1:40" x14ac:dyDescent="0.25">
      <c r="A3038" t="str">
        <f>"20190312154614380"</f>
        <v>20190312154614380</v>
      </c>
      <c r="B3038" t="str">
        <f>"1552376774370606"</f>
        <v>1552376774370606</v>
      </c>
      <c r="C3038" t="s">
        <v>40</v>
      </c>
      <c r="D3038">
        <v>4.4704449999999998</v>
      </c>
      <c r="E3038">
        <v>0.51830980000000004</v>
      </c>
      <c r="F3038" t="s">
        <v>53</v>
      </c>
      <c r="G3038">
        <v>-196.92850000000001</v>
      </c>
      <c r="H3038" s="1">
        <v>3.626364E-6</v>
      </c>
      <c r="I3038">
        <v>207.9032</v>
      </c>
      <c r="J3038">
        <v>-245.57040000000001</v>
      </c>
      <c r="K3038">
        <v>1.1098460000000001</v>
      </c>
      <c r="L3038">
        <v>215.74619999999999</v>
      </c>
      <c r="M3038">
        <v>0.9998996</v>
      </c>
      <c r="N3038">
        <v>0</v>
      </c>
      <c r="O3038">
        <v>-2.1082919999999999E-3</v>
      </c>
      <c r="P3038">
        <v>0.99236880000000005</v>
      </c>
      <c r="Q3038">
        <v>4.7050580000000002E-2</v>
      </c>
      <c r="R3038">
        <v>-0.1139773</v>
      </c>
      <c r="S3038">
        <v>2.972153</v>
      </c>
      <c r="T3038">
        <v>-6.7288039999999993E-2</v>
      </c>
      <c r="U3038">
        <v>-0.47555540000000002</v>
      </c>
      <c r="V3038">
        <v>0.1118869</v>
      </c>
      <c r="W3038">
        <v>6.0957589999999999E-2</v>
      </c>
      <c r="X3038">
        <v>0.99184950000000005</v>
      </c>
      <c r="Y3038">
        <v>0.15587329999999999</v>
      </c>
      <c r="Z3038">
        <v>-1.70565E-3</v>
      </c>
      <c r="AA3038">
        <v>0.98777559999999998</v>
      </c>
      <c r="AB3038">
        <v>37</v>
      </c>
      <c r="AC3038">
        <v>48.6418999999999</v>
      </c>
      <c r="AD3038">
        <v>-1.1098423736359999</v>
      </c>
      <c r="AE3038">
        <v>-7.8429999999999804</v>
      </c>
      <c r="AF3038">
        <v>7.73649562969364</v>
      </c>
      <c r="AG3038">
        <v>-1.1098423736359999</v>
      </c>
      <c r="AH3038">
        <v>48.633651862827698</v>
      </c>
      <c r="AI3038">
        <v>91.291061403439002</v>
      </c>
      <c r="AJ3038">
        <v>80.961294237175096</v>
      </c>
      <c r="AK3038">
        <v>49.257661416649803</v>
      </c>
      <c r="AL3038">
        <v>86.505220637193005</v>
      </c>
      <c r="AM3038">
        <v>83.563881917315896</v>
      </c>
      <c r="AN3038">
        <v>0.99999996841023298</v>
      </c>
    </row>
    <row r="3039" spans="1:40" x14ac:dyDescent="0.25">
      <c r="A3039" t="str">
        <f>"20190312154614398"</f>
        <v>20190312154614398</v>
      </c>
      <c r="B3039" t="str">
        <f>"1552376774390126"</f>
        <v>1552376774390126</v>
      </c>
      <c r="C3039" t="s">
        <v>40</v>
      </c>
      <c r="D3039">
        <v>4.4483790000000001</v>
      </c>
      <c r="E3039">
        <v>0.51855949999999995</v>
      </c>
      <c r="F3039" t="s">
        <v>53</v>
      </c>
      <c r="G3039">
        <v>-205.5241</v>
      </c>
      <c r="H3039">
        <v>8.0001390000000006E-2</v>
      </c>
      <c r="I3039">
        <v>209.28989999999999</v>
      </c>
      <c r="J3039">
        <v>-245.26349999999999</v>
      </c>
      <c r="K3039">
        <v>1.1098429999999999</v>
      </c>
      <c r="L3039">
        <v>215.7456</v>
      </c>
      <c r="M3039">
        <v>0.99989969999999995</v>
      </c>
      <c r="N3039">
        <v>0</v>
      </c>
      <c r="O3039">
        <v>-2.1082800000000001E-3</v>
      </c>
      <c r="P3039">
        <v>0.99235510000000005</v>
      </c>
      <c r="Q3039">
        <v>4.6893810000000001E-2</v>
      </c>
      <c r="R3039">
        <v>-0.11416179999999999</v>
      </c>
      <c r="S3039">
        <v>2.9716800000000001</v>
      </c>
      <c r="T3039">
        <v>-7.6420779999999994E-2</v>
      </c>
      <c r="U3039">
        <v>-0.47909550000000001</v>
      </c>
      <c r="V3039">
        <v>0.1120715</v>
      </c>
      <c r="W3039">
        <v>6.0798629999999999E-2</v>
      </c>
      <c r="X3039">
        <v>0.99183849999999996</v>
      </c>
      <c r="Y3039">
        <v>0.15703329999999999</v>
      </c>
      <c r="Z3039">
        <v>-1.952021E-3</v>
      </c>
      <c r="AA3039">
        <v>0.98759140000000001</v>
      </c>
      <c r="AB3039">
        <v>37</v>
      </c>
      <c r="AC3039">
        <v>39.739399999999897</v>
      </c>
      <c r="AD3039">
        <v>-1.0298416100000001</v>
      </c>
      <c r="AE3039">
        <v>-6.4557000000000002</v>
      </c>
      <c r="AF3039">
        <v>6.36772916007037</v>
      </c>
      <c r="AG3039">
        <v>-1.0298416100000001</v>
      </c>
      <c r="AH3039">
        <v>39.726929565954002</v>
      </c>
      <c r="AI3039">
        <v>91.466238938649099</v>
      </c>
      <c r="AJ3039">
        <v>80.893663928620995</v>
      </c>
      <c r="AK3039">
        <v>40.247204637539298</v>
      </c>
      <c r="AL3039">
        <v>86.514345591734596</v>
      </c>
      <c r="AM3039">
        <v>83.553281519001104</v>
      </c>
      <c r="AN3039">
        <v>1.0000000523021799</v>
      </c>
    </row>
    <row r="3040" spans="1:40" x14ac:dyDescent="0.25">
      <c r="A3040" t="str">
        <f>"20190312154614420"</f>
        <v>20190312154614420</v>
      </c>
      <c r="B3040" t="str">
        <f>"1552376774410622"</f>
        <v>1552376774410622</v>
      </c>
      <c r="C3040" t="s">
        <v>40</v>
      </c>
      <c r="D3040">
        <v>4.4447210000000004</v>
      </c>
      <c r="E3040">
        <v>0.51888659999999998</v>
      </c>
      <c r="F3040" t="s">
        <v>53</v>
      </c>
      <c r="G3040">
        <v>-205.89959999999999</v>
      </c>
      <c r="H3040">
        <v>8.0001370000000002E-2</v>
      </c>
      <c r="I3040">
        <v>209.36760000000001</v>
      </c>
      <c r="J3040">
        <v>-244.92250000000001</v>
      </c>
      <c r="K3040">
        <v>1.1098479999999999</v>
      </c>
      <c r="L3040">
        <v>215.7448</v>
      </c>
      <c r="M3040">
        <v>0.9998996</v>
      </c>
      <c r="N3040">
        <v>0</v>
      </c>
      <c r="O3040">
        <v>-2.1080270000000002E-3</v>
      </c>
      <c r="P3040">
        <v>0.99226440000000005</v>
      </c>
      <c r="Q3040">
        <v>4.7441299999999999E-2</v>
      </c>
      <c r="R3040">
        <v>-0.1147214</v>
      </c>
      <c r="S3040">
        <v>2.9714049999999999</v>
      </c>
      <c r="T3040">
        <v>-7.7738169999999995E-2</v>
      </c>
      <c r="U3040">
        <v>-0.48144530000000002</v>
      </c>
      <c r="V3040">
        <v>0.11263139999999899</v>
      </c>
      <c r="W3040">
        <v>6.1343099999999998E-2</v>
      </c>
      <c r="X3040">
        <v>0.99174150000000005</v>
      </c>
      <c r="Y3040">
        <v>0.157807</v>
      </c>
      <c r="Z3040">
        <v>-1.9957759999999999E-3</v>
      </c>
      <c r="AA3040">
        <v>0.98746789999999995</v>
      </c>
      <c r="AB3040">
        <v>37</v>
      </c>
      <c r="AC3040">
        <v>39.0229</v>
      </c>
      <c r="AD3040">
        <v>-1.02984663</v>
      </c>
      <c r="AE3040">
        <v>-6.3771999999999798</v>
      </c>
      <c r="AF3040">
        <v>6.2906491053324496</v>
      </c>
      <c r="AG3040">
        <v>-1.02984663</v>
      </c>
      <c r="AH3040">
        <v>39.009795261456198</v>
      </c>
      <c r="AI3040">
        <v>91.492961596200303</v>
      </c>
      <c r="AJ3040">
        <v>80.839447159592694</v>
      </c>
      <c r="AK3040">
        <v>39.527167576092197</v>
      </c>
      <c r="AL3040">
        <v>86.483091257102103</v>
      </c>
      <c r="AM3040">
        <v>83.520719124842003</v>
      </c>
      <c r="AN3040">
        <v>1.0000000055029099</v>
      </c>
    </row>
    <row r="3041" spans="1:40" x14ac:dyDescent="0.25">
      <c r="A3041" t="str">
        <f>"20190312154614443"</f>
        <v>20190312154614443</v>
      </c>
      <c r="B3041" t="str">
        <f>"1552376774430142"</f>
        <v>1552376774430142</v>
      </c>
      <c r="C3041" t="s">
        <v>40</v>
      </c>
      <c r="D3041">
        <v>4.4311210000000001</v>
      </c>
      <c r="E3041">
        <v>0.51917190000000002</v>
      </c>
      <c r="F3041" t="s">
        <v>53</v>
      </c>
      <c r="G3041">
        <v>-205.21459999999999</v>
      </c>
      <c r="H3041">
        <v>8.0001420000000004E-2</v>
      </c>
      <c r="I3041">
        <v>209.25219999999999</v>
      </c>
      <c r="J3041">
        <v>-244.53800000000001</v>
      </c>
      <c r="K3041">
        <v>1.10985</v>
      </c>
      <c r="L3041">
        <v>215.744</v>
      </c>
      <c r="M3041">
        <v>0.99989969999999995</v>
      </c>
      <c r="N3041">
        <v>0</v>
      </c>
      <c r="O3041">
        <v>-2.1080119999999998E-3</v>
      </c>
      <c r="P3041">
        <v>0.99223240000000001</v>
      </c>
      <c r="Q3041">
        <v>4.6859959999999999E-2</v>
      </c>
      <c r="R3041">
        <v>-0.1152374</v>
      </c>
      <c r="S3041">
        <v>2.970917</v>
      </c>
      <c r="T3041">
        <v>-7.7052469999999998E-2</v>
      </c>
      <c r="U3041">
        <v>-0.48577880000000001</v>
      </c>
      <c r="V3041">
        <v>0.11314730000000001</v>
      </c>
      <c r="W3041">
        <v>6.0759590000000002E-2</v>
      </c>
      <c r="X3041">
        <v>0.99171869999999995</v>
      </c>
      <c r="Y3041">
        <v>0.15923609999999999</v>
      </c>
      <c r="Z3041">
        <v>-1.9966760000000002E-3</v>
      </c>
      <c r="AA3041">
        <v>0.98723850000000002</v>
      </c>
      <c r="AB3041">
        <v>37</v>
      </c>
      <c r="AC3041">
        <v>39.3233999999999</v>
      </c>
      <c r="AD3041">
        <v>-1.0298485799999999</v>
      </c>
      <c r="AE3041">
        <v>-6.4918000000000404</v>
      </c>
      <c r="AF3041">
        <v>6.4046070303290596</v>
      </c>
      <c r="AG3041">
        <v>-1.0298485799999999</v>
      </c>
      <c r="AH3041">
        <v>39.310751835787698</v>
      </c>
      <c r="AI3041">
        <v>91.481150426827895</v>
      </c>
      <c r="AJ3041">
        <v>80.746529140082899</v>
      </c>
      <c r="AK3041">
        <v>39.842374291770803</v>
      </c>
      <c r="AL3041">
        <v>86.516586412937301</v>
      </c>
      <c r="AM3041">
        <v>83.491146982317801</v>
      </c>
      <c r="AN3041">
        <v>1.0000000096019701</v>
      </c>
    </row>
    <row r="3042" spans="1:40" x14ac:dyDescent="0.25">
      <c r="A3042" t="str">
        <f>"20190312154614463"</f>
        <v>20190312154614463</v>
      </c>
      <c r="B3042" t="str">
        <f>"1552376774450638"</f>
        <v>1552376774450638</v>
      </c>
      <c r="C3042" t="s">
        <v>40</v>
      </c>
      <c r="D3042">
        <v>4.4534349999999998</v>
      </c>
      <c r="E3042">
        <v>0.51930659999999995</v>
      </c>
      <c r="F3042" t="s">
        <v>53</v>
      </c>
      <c r="G3042">
        <v>-206.20779999999999</v>
      </c>
      <c r="H3042">
        <v>8.0001349999999999E-2</v>
      </c>
      <c r="I3042">
        <v>209.42850000000001</v>
      </c>
      <c r="J3042">
        <v>-244.2114</v>
      </c>
      <c r="K3042">
        <v>1.1098410000000001</v>
      </c>
      <c r="L3042">
        <v>215.7433</v>
      </c>
      <c r="M3042">
        <v>0.99989969999999995</v>
      </c>
      <c r="N3042">
        <v>0</v>
      </c>
      <c r="O3042">
        <v>-2.1078809999999998E-3</v>
      </c>
      <c r="P3042">
        <v>0.99223269999999997</v>
      </c>
      <c r="Q3042">
        <v>4.6964060000000002E-2</v>
      </c>
      <c r="R3042">
        <v>-0.11519</v>
      </c>
      <c r="S3042">
        <v>2.9704130000000002</v>
      </c>
      <c r="T3042">
        <v>-7.9808470000000006E-2</v>
      </c>
      <c r="U3042">
        <v>-0.48942570000000002</v>
      </c>
      <c r="V3042">
        <v>0.1131004</v>
      </c>
      <c r="W3042">
        <v>6.0861449999999997E-2</v>
      </c>
      <c r="X3042">
        <v>0.99171779999999998</v>
      </c>
      <c r="Y3042">
        <v>0.16043879999999999</v>
      </c>
      <c r="Z3042">
        <v>-2.0842600000000001E-3</v>
      </c>
      <c r="AA3042">
        <v>0.98704360000000002</v>
      </c>
      <c r="AB3042">
        <v>37</v>
      </c>
      <c r="AC3042">
        <v>38.003599999999999</v>
      </c>
      <c r="AD3042">
        <v>-1.02983965</v>
      </c>
      <c r="AE3042">
        <v>-6.3147999999999902</v>
      </c>
      <c r="AF3042">
        <v>6.2302189472784599</v>
      </c>
      <c r="AG3042">
        <v>-1.02983965</v>
      </c>
      <c r="AH3042">
        <v>37.989680387385299</v>
      </c>
      <c r="AI3042">
        <v>91.532357039062305</v>
      </c>
      <c r="AJ3042">
        <v>80.686531270039097</v>
      </c>
      <c r="AK3042">
        <v>38.510933691244503</v>
      </c>
      <c r="AL3042">
        <v>86.510739430458301</v>
      </c>
      <c r="AM3042">
        <v>83.493815936065303</v>
      </c>
      <c r="AN3042">
        <v>1.0000000057065499</v>
      </c>
    </row>
    <row r="3043" spans="1:40" x14ac:dyDescent="0.25">
      <c r="A3043" t="str">
        <f>"20190312154614490"</f>
        <v>20190312154614490</v>
      </c>
      <c r="B3043" t="str">
        <f>"1552376774479919"</f>
        <v>1552376774479919</v>
      </c>
      <c r="C3043" t="s">
        <v>40</v>
      </c>
      <c r="D3043">
        <v>4.4877010000000004</v>
      </c>
      <c r="E3043">
        <v>0.5196288</v>
      </c>
      <c r="F3043" t="s">
        <v>53</v>
      </c>
      <c r="G3043">
        <v>-206.1978</v>
      </c>
      <c r="H3043">
        <v>8.0001379999999997E-2</v>
      </c>
      <c r="I3043">
        <v>209.4701</v>
      </c>
      <c r="J3043">
        <v>-243.7636</v>
      </c>
      <c r="K3043">
        <v>1.1098380000000001</v>
      </c>
      <c r="L3043">
        <v>215.7424</v>
      </c>
      <c r="M3043">
        <v>0.99989969999999995</v>
      </c>
      <c r="N3043">
        <v>0</v>
      </c>
      <c r="O3043">
        <v>-2.107743E-3</v>
      </c>
      <c r="P3043">
        <v>0.99224120000000005</v>
      </c>
      <c r="Q3043">
        <v>4.6419380000000003E-2</v>
      </c>
      <c r="R3043">
        <v>-0.11533839999999999</v>
      </c>
      <c r="S3043">
        <v>2.970383</v>
      </c>
      <c r="T3043">
        <v>-8.0471630000000002E-2</v>
      </c>
      <c r="U3043">
        <v>-0.49018859999999997</v>
      </c>
      <c r="V3043">
        <v>0.113249</v>
      </c>
      <c r="W3043">
        <v>6.031458E-2</v>
      </c>
      <c r="X3043">
        <v>0.99173429999999996</v>
      </c>
      <c r="Y3043">
        <v>0.16068640000000001</v>
      </c>
      <c r="Z3043">
        <v>-2.104884E-3</v>
      </c>
      <c r="AA3043">
        <v>0.98700330000000003</v>
      </c>
      <c r="AB3043">
        <v>37</v>
      </c>
      <c r="AC3043">
        <v>37.565800000000003</v>
      </c>
      <c r="AD3043">
        <v>-1.02983662</v>
      </c>
      <c r="AE3043">
        <v>-6.2723000000000004</v>
      </c>
      <c r="AF3043">
        <v>6.1885744372287901</v>
      </c>
      <c r="AG3043">
        <v>-1.02983662</v>
      </c>
      <c r="AH3043">
        <v>37.551482267429201</v>
      </c>
      <c r="AI3043">
        <v>91.550025697408898</v>
      </c>
      <c r="AJ3043">
        <v>80.641636783159797</v>
      </c>
      <c r="AK3043">
        <v>38.071942917456497</v>
      </c>
      <c r="AL3043">
        <v>86.542130607697601</v>
      </c>
      <c r="AM3043">
        <v>83.485448505813196</v>
      </c>
      <c r="AN3043">
        <v>1.0000000531790301</v>
      </c>
    </row>
    <row r="3044" spans="1:40" x14ac:dyDescent="0.25">
      <c r="A3044" t="str">
        <f>"20190312154614517"</f>
        <v>20190312154614517</v>
      </c>
      <c r="B3044" t="str">
        <f>"1552376774510174"</f>
        <v>1552376774510174</v>
      </c>
      <c r="C3044" t="s">
        <v>40</v>
      </c>
      <c r="D3044">
        <v>4.4113110000000004</v>
      </c>
      <c r="E3044">
        <v>0.51950200000000002</v>
      </c>
      <c r="F3044" t="s">
        <v>53</v>
      </c>
      <c r="G3044">
        <v>-206.74080000000001</v>
      </c>
      <c r="H3044">
        <v>7.4325249999999995E-2</v>
      </c>
      <c r="I3044">
        <v>209.59200000000001</v>
      </c>
      <c r="J3044">
        <v>-243.3819</v>
      </c>
      <c r="K3044">
        <v>1.109834</v>
      </c>
      <c r="L3044">
        <v>215.74160000000001</v>
      </c>
      <c r="M3044">
        <v>0.99989969999999995</v>
      </c>
      <c r="N3044">
        <v>0</v>
      </c>
      <c r="O3044">
        <v>-2.1077280000000001E-3</v>
      </c>
      <c r="P3044">
        <v>0.99224000000000001</v>
      </c>
      <c r="Q3044">
        <v>4.5759729999999998E-2</v>
      </c>
      <c r="R3044">
        <v>-0.11561250000000001</v>
      </c>
      <c r="S3044">
        <v>2.9700160000000002</v>
      </c>
      <c r="T3044">
        <v>-8.3070039999999998E-2</v>
      </c>
      <c r="U3044">
        <v>-0.49339290000000002</v>
      </c>
      <c r="V3044">
        <v>0.1135229</v>
      </c>
      <c r="W3044">
        <v>5.9652480000000001E-2</v>
      </c>
      <c r="X3044">
        <v>0.99174300000000004</v>
      </c>
      <c r="Y3044">
        <v>0.1617382</v>
      </c>
      <c r="Z3044">
        <v>-2.1875060000000001E-3</v>
      </c>
      <c r="AA3044">
        <v>0.98683129999999997</v>
      </c>
      <c r="AB3044">
        <v>37</v>
      </c>
      <c r="AC3044">
        <v>36.641100000000002</v>
      </c>
      <c r="AD3044">
        <v>-1.03550875</v>
      </c>
      <c r="AE3044">
        <v>-6.1495999999999897</v>
      </c>
      <c r="AF3044">
        <v>6.0676359802760196</v>
      </c>
      <c r="AG3044">
        <v>-1.03550875</v>
      </c>
      <c r="AH3044">
        <v>36.625531019688196</v>
      </c>
      <c r="AI3044">
        <v>91.597719325672301</v>
      </c>
      <c r="AJ3044">
        <v>80.593424405661196</v>
      </c>
      <c r="AK3044">
        <v>37.1391707935787</v>
      </c>
      <c r="AL3044">
        <v>86.580134468562804</v>
      </c>
      <c r="AM3044">
        <v>83.469885362340193</v>
      </c>
      <c r="AN3044">
        <v>1.00000002262178</v>
      </c>
    </row>
    <row r="3045" spans="1:40" x14ac:dyDescent="0.25">
      <c r="A3045" t="str">
        <f>"20190312154614541"</f>
        <v>20190312154614541</v>
      </c>
      <c r="B3045" t="str">
        <f>"1552376774530671"</f>
        <v>1552376774530671</v>
      </c>
      <c r="C3045" t="s">
        <v>40</v>
      </c>
      <c r="D3045">
        <v>4.4468629999999996</v>
      </c>
      <c r="E3045">
        <v>0.51952489999999996</v>
      </c>
      <c r="F3045" t="s">
        <v>53</v>
      </c>
      <c r="G3045">
        <v>-206.46850000000001</v>
      </c>
      <c r="H3045">
        <v>2.250781E-2</v>
      </c>
      <c r="I3045">
        <v>209.6163</v>
      </c>
      <c r="J3045">
        <v>-242.94669999999999</v>
      </c>
      <c r="K3045">
        <v>1.109837</v>
      </c>
      <c r="L3045">
        <v>215.7407</v>
      </c>
      <c r="M3045">
        <v>0.99989969999999995</v>
      </c>
      <c r="N3045">
        <v>0</v>
      </c>
      <c r="O3045">
        <v>-2.107472E-3</v>
      </c>
      <c r="P3045">
        <v>0.99216340000000003</v>
      </c>
      <c r="Q3045">
        <v>4.6088480000000001E-2</v>
      </c>
      <c r="R3045">
        <v>-0.1161369</v>
      </c>
      <c r="S3045">
        <v>2.970078</v>
      </c>
      <c r="T3045">
        <v>-8.7486980000000006E-2</v>
      </c>
      <c r="U3045">
        <v>-0.49284359999999999</v>
      </c>
      <c r="V3045">
        <v>0.1140477</v>
      </c>
      <c r="W3045">
        <v>5.997806E-2</v>
      </c>
      <c r="X3045">
        <v>0.99166310000000002</v>
      </c>
      <c r="Y3045">
        <v>0.161551</v>
      </c>
      <c r="Z3045">
        <v>-2.3010270000000002E-3</v>
      </c>
      <c r="AA3045">
        <v>0.98686169999999995</v>
      </c>
      <c r="AB3045">
        <v>37</v>
      </c>
      <c r="AC3045">
        <v>36.478200000000001</v>
      </c>
      <c r="AD3045">
        <v>-1.0873291899999999</v>
      </c>
      <c r="AE3045">
        <v>-6.1243999999999996</v>
      </c>
      <c r="AF3045">
        <v>6.0422807093089403</v>
      </c>
      <c r="AG3045">
        <v>-1.0873291899999999</v>
      </c>
      <c r="AH3045">
        <v>36.459521202799799</v>
      </c>
      <c r="AI3045">
        <v>91.685248426723206</v>
      </c>
      <c r="AJ3045">
        <v>80.5901404970176</v>
      </c>
      <c r="AK3045">
        <v>36.972802534767702</v>
      </c>
      <c r="AL3045">
        <v>86.561446482908494</v>
      </c>
      <c r="AM3045">
        <v>83.439436169866894</v>
      </c>
      <c r="AN3045">
        <v>0.99999997472913105</v>
      </c>
    </row>
    <row r="3046" spans="1:40" x14ac:dyDescent="0.25">
      <c r="A3046" t="str">
        <f>"20190312154614574"</f>
        <v>20190312154614574</v>
      </c>
      <c r="B3046" t="str">
        <f>"1552376774559950"</f>
        <v>1552376774559950</v>
      </c>
      <c r="C3046" t="s">
        <v>40</v>
      </c>
      <c r="D3046">
        <v>4.3914279999999897</v>
      </c>
      <c r="E3046">
        <v>0.51939820000000003</v>
      </c>
      <c r="F3046" t="s">
        <v>53</v>
      </c>
      <c r="G3046">
        <v>-206.18199999999999</v>
      </c>
      <c r="H3046">
        <v>2.9860100000000001E-2</v>
      </c>
      <c r="I3046">
        <v>209.6163</v>
      </c>
      <c r="J3046">
        <v>-242.4093</v>
      </c>
      <c r="K3046">
        <v>1.109847</v>
      </c>
      <c r="L3046">
        <v>215.73949999999999</v>
      </c>
      <c r="M3046">
        <v>0.99989989999999995</v>
      </c>
      <c r="N3046">
        <v>0</v>
      </c>
      <c r="O3046">
        <v>-2.107332E-3</v>
      </c>
      <c r="P3046">
        <v>0.99202840000000003</v>
      </c>
      <c r="Q3046">
        <v>4.6893610000000002E-2</v>
      </c>
      <c r="R3046">
        <v>-0.116964899999999</v>
      </c>
      <c r="S3046">
        <v>2.9698180000000001</v>
      </c>
      <c r="T3046">
        <v>-8.7239620000000004E-2</v>
      </c>
      <c r="U3046">
        <v>-0.49472050000000001</v>
      </c>
      <c r="V3046">
        <v>0.1148764</v>
      </c>
      <c r="W3046">
        <v>6.0778159999999998E-2</v>
      </c>
      <c r="X3046">
        <v>0.99151869999999998</v>
      </c>
      <c r="Y3046">
        <v>0.16217200000000001</v>
      </c>
      <c r="Z3046">
        <v>-2.3036659999999998E-3</v>
      </c>
      <c r="AA3046">
        <v>0.98675979999999996</v>
      </c>
      <c r="AB3046">
        <v>37</v>
      </c>
      <c r="AC3046">
        <v>36.2272999999999</v>
      </c>
      <c r="AD3046">
        <v>-1.0799869</v>
      </c>
      <c r="AE3046">
        <v>-6.12319999999999</v>
      </c>
      <c r="AF3046">
        <v>6.0416158053543301</v>
      </c>
      <c r="AG3046">
        <v>-1.0799869</v>
      </c>
      <c r="AH3046">
        <v>36.208838678762298</v>
      </c>
      <c r="AI3046">
        <v>91.685149399049493</v>
      </c>
      <c r="AJ3046">
        <v>80.5271944008541</v>
      </c>
      <c r="AK3046">
        <v>36.725297707551803</v>
      </c>
      <c r="AL3046">
        <v>86.515520260137706</v>
      </c>
      <c r="AM3046">
        <v>83.391231679780901</v>
      </c>
      <c r="AN3046">
        <v>0.99999995222981597</v>
      </c>
    </row>
    <row r="3047" spans="1:40" x14ac:dyDescent="0.25">
      <c r="A3047" t="str">
        <f>"20190312154614598"</f>
        <v>20190312154614598</v>
      </c>
      <c r="B3047" t="str">
        <f>"1552376774590207"</f>
        <v>1552376774590207</v>
      </c>
      <c r="C3047" t="s">
        <v>40</v>
      </c>
      <c r="D3047">
        <v>4.3464199999999904</v>
      </c>
      <c r="E3047">
        <v>0.50727879999999903</v>
      </c>
      <c r="F3047" t="s">
        <v>53</v>
      </c>
      <c r="G3047">
        <v>-205.7587</v>
      </c>
      <c r="H3047">
        <v>2.5607439999999999E-2</v>
      </c>
      <c r="I3047">
        <v>209.6163</v>
      </c>
      <c r="J3047">
        <v>-242.00030000000001</v>
      </c>
      <c r="K3047">
        <v>1.1098509999999999</v>
      </c>
      <c r="L3047">
        <v>215.73869999999999</v>
      </c>
      <c r="M3047">
        <v>0.99989989999999995</v>
      </c>
      <c r="N3047">
        <v>0</v>
      </c>
      <c r="O3047">
        <v>-2.1070770000000002E-3</v>
      </c>
      <c r="P3047">
        <v>0.99193799999999999</v>
      </c>
      <c r="Q3047">
        <v>4.7303560000000001E-2</v>
      </c>
      <c r="R3047">
        <v>-0.1175662</v>
      </c>
      <c r="S3047">
        <v>2.9697420000000001</v>
      </c>
      <c r="T3047">
        <v>-8.7854269999999998E-2</v>
      </c>
      <c r="U3047">
        <v>-0.49615480000000001</v>
      </c>
      <c r="V3047">
        <v>0.11547789999999999</v>
      </c>
      <c r="W3047">
        <v>6.1184160000000001E-2</v>
      </c>
      <c r="X3047">
        <v>0.99142390000000002</v>
      </c>
      <c r="Y3047">
        <v>0.1626389</v>
      </c>
      <c r="Z3047">
        <v>-2.32672E-3</v>
      </c>
      <c r="AA3047">
        <v>0.98668290000000003</v>
      </c>
      <c r="AB3047">
        <v>36</v>
      </c>
      <c r="AC3047">
        <v>36.241599999999998</v>
      </c>
      <c r="AD3047">
        <v>-1.08424356</v>
      </c>
      <c r="AE3047">
        <v>-6.1223999999999901</v>
      </c>
      <c r="AF3047">
        <v>6.0407584283798696</v>
      </c>
      <c r="AG3047">
        <v>-1.08424356</v>
      </c>
      <c r="AH3047">
        <v>36.222900037875199</v>
      </c>
      <c r="AI3047">
        <v>91.691155300584299</v>
      </c>
      <c r="AJ3047">
        <v>80.532124500038606</v>
      </c>
      <c r="AK3047">
        <v>36.739145793572099</v>
      </c>
      <c r="AL3047">
        <v>86.492214960291307</v>
      </c>
      <c r="AM3047">
        <v>83.356306714827099</v>
      </c>
      <c r="AN3047">
        <v>0.99999999815726204</v>
      </c>
    </row>
    <row r="3048" spans="1:40" x14ac:dyDescent="0.25">
      <c r="A3048" t="str">
        <f>"20190312154614621"</f>
        <v>20190312154614621</v>
      </c>
      <c r="B3048" t="str">
        <f>"1552376774610703"</f>
        <v>1552376774610703</v>
      </c>
      <c r="C3048" t="s">
        <v>40</v>
      </c>
      <c r="D3048">
        <v>4.2993839999999999</v>
      </c>
      <c r="E3048">
        <v>0.50716359999999905</v>
      </c>
      <c r="F3048" t="s">
        <v>66</v>
      </c>
      <c r="G3048">
        <v>-168.4109</v>
      </c>
      <c r="H3048">
        <v>0.5471859</v>
      </c>
      <c r="I3048">
        <v>205.75110000000001</v>
      </c>
      <c r="J3048">
        <v>-241.63829999999999</v>
      </c>
      <c r="K3048">
        <v>1.1098600000000001</v>
      </c>
      <c r="L3048">
        <v>215.7379</v>
      </c>
      <c r="M3048">
        <v>0.99990000000000001</v>
      </c>
      <c r="N3048">
        <v>0</v>
      </c>
      <c r="O3048">
        <v>-2.1070619999999998E-3</v>
      </c>
      <c r="P3048">
        <v>0.99186680000000005</v>
      </c>
      <c r="Q3048">
        <v>4.7784100000000003E-2</v>
      </c>
      <c r="R3048">
        <v>-0.1179712</v>
      </c>
      <c r="S3048">
        <v>2.977554</v>
      </c>
      <c r="T3048">
        <v>-2.276504E-2</v>
      </c>
      <c r="U3048">
        <v>-0.40411380000000002</v>
      </c>
      <c r="V3048">
        <v>0.11588320000000001</v>
      </c>
      <c r="W3048">
        <v>6.1661510000000003E-2</v>
      </c>
      <c r="X3048">
        <v>0.99134699999999998</v>
      </c>
      <c r="Y3048">
        <v>0.13239489999999901</v>
      </c>
      <c r="Z3048">
        <v>-4.8776229999999998E-4</v>
      </c>
      <c r="AA3048">
        <v>0.99119690000000005</v>
      </c>
      <c r="AB3048">
        <v>36</v>
      </c>
      <c r="AC3048">
        <v>73.227399999999903</v>
      </c>
      <c r="AD3048">
        <v>-0.56267409999999995</v>
      </c>
      <c r="AE3048">
        <v>-9.9867999999999792</v>
      </c>
      <c r="AF3048">
        <v>9.8318981637320899</v>
      </c>
      <c r="AG3048">
        <v>-0.56267409999999995</v>
      </c>
      <c r="AH3048">
        <v>73.244036714692996</v>
      </c>
      <c r="AI3048">
        <v>90.436235451249502</v>
      </c>
      <c r="AJ3048">
        <v>82.354614939544007</v>
      </c>
      <c r="AK3048">
        <v>73.903124006418693</v>
      </c>
      <c r="AL3048">
        <v>86.464812967003894</v>
      </c>
      <c r="AM3048">
        <v>83.332685970156504</v>
      </c>
      <c r="AN3048">
        <v>0.99999996613335895</v>
      </c>
    </row>
    <row r="3049" spans="1:40" x14ac:dyDescent="0.25">
      <c r="A3049" t="str">
        <f>"20190312154614641"</f>
        <v>20190312154614641</v>
      </c>
      <c r="B3049" t="str">
        <f>"1552376774630223"</f>
        <v>1552376774630223</v>
      </c>
      <c r="C3049" t="s">
        <v>40</v>
      </c>
      <c r="D3049">
        <v>4.2994789999999998</v>
      </c>
      <c r="E3049">
        <v>0.50758379999999903</v>
      </c>
      <c r="F3049" t="s">
        <v>66</v>
      </c>
      <c r="G3049">
        <v>-168.4109</v>
      </c>
      <c r="H3049">
        <v>0.54200550000000003</v>
      </c>
      <c r="I3049">
        <v>205.79329999999999</v>
      </c>
      <c r="J3049">
        <v>-241.29259999999999</v>
      </c>
      <c r="K3049">
        <v>1.109861</v>
      </c>
      <c r="L3049">
        <v>215.7372</v>
      </c>
      <c r="M3049">
        <v>0.99989989999999995</v>
      </c>
      <c r="N3049">
        <v>0</v>
      </c>
      <c r="O3049">
        <v>-2.106929E-3</v>
      </c>
      <c r="P3049">
        <v>0.99185900000000005</v>
      </c>
      <c r="Q3049">
        <v>4.8303720000000001E-2</v>
      </c>
      <c r="R3049">
        <v>-0.1178251</v>
      </c>
      <c r="S3049">
        <v>2.9776150000000001</v>
      </c>
      <c r="T3049">
        <v>-2.308905E-2</v>
      </c>
      <c r="U3049">
        <v>-0.40437319999999999</v>
      </c>
      <c r="V3049">
        <v>0.1157371</v>
      </c>
      <c r="W3049">
        <v>6.2179320000000003E-2</v>
      </c>
      <c r="X3049">
        <v>0.99133179999999999</v>
      </c>
      <c r="Y3049">
        <v>0.13247700000000001</v>
      </c>
      <c r="Z3049">
        <v>-4.9500930000000002E-4</v>
      </c>
      <c r="AA3049">
        <v>0.99118600000000001</v>
      </c>
      <c r="AB3049">
        <v>36</v>
      </c>
      <c r="AC3049">
        <v>72.881699999999995</v>
      </c>
      <c r="AD3049">
        <v>-0.56785549999999996</v>
      </c>
      <c r="AE3049">
        <v>-9.94390000000001</v>
      </c>
      <c r="AF3049">
        <v>9.7897228820529598</v>
      </c>
      <c r="AG3049">
        <v>-0.56785549999999996</v>
      </c>
      <c r="AH3049">
        <v>72.898146793342505</v>
      </c>
      <c r="AI3049">
        <v>90.442337818444699</v>
      </c>
      <c r="AJ3049">
        <v>82.351329716035593</v>
      </c>
      <c r="AK3049">
        <v>73.554747908479499</v>
      </c>
      <c r="AL3049">
        <v>86.435087864718895</v>
      </c>
      <c r="AM3049">
        <v>83.340915079898593</v>
      </c>
      <c r="AN3049">
        <v>1.0000000409216501</v>
      </c>
    </row>
    <row r="3050" spans="1:40" x14ac:dyDescent="0.25">
      <c r="A3050" t="str">
        <f>"20190312154614666"</f>
        <v>20190312154614666</v>
      </c>
      <c r="B3050" t="str">
        <f>"1552376774660479"</f>
        <v>1552376774660479</v>
      </c>
      <c r="C3050" t="s">
        <v>40</v>
      </c>
      <c r="D3050">
        <v>4.2737699999999998</v>
      </c>
      <c r="E3050">
        <v>0.50812970000000002</v>
      </c>
      <c r="F3050" t="s">
        <v>66</v>
      </c>
      <c r="G3050">
        <v>-168.4109</v>
      </c>
      <c r="H3050">
        <v>0.6591148</v>
      </c>
      <c r="I3050">
        <v>205.7662</v>
      </c>
      <c r="J3050">
        <v>-240.91249999999999</v>
      </c>
      <c r="K3050">
        <v>1.109861</v>
      </c>
      <c r="L3050">
        <v>215.7364</v>
      </c>
      <c r="M3050">
        <v>0.99989989999999995</v>
      </c>
      <c r="N3050">
        <v>0</v>
      </c>
      <c r="O3050">
        <v>-2.1067960000000002E-3</v>
      </c>
      <c r="P3050">
        <v>0.99187950000000003</v>
      </c>
      <c r="Q3050">
        <v>4.772991E-2</v>
      </c>
      <c r="R3050">
        <v>-0.1178854</v>
      </c>
      <c r="S3050">
        <v>2.9771420000000002</v>
      </c>
      <c r="T3050">
        <v>-1.8411159999999999E-2</v>
      </c>
      <c r="U3050">
        <v>-0.40730290000000002</v>
      </c>
      <c r="V3050">
        <v>0.1157977</v>
      </c>
      <c r="W3050">
        <v>6.1603449999999997E-2</v>
      </c>
      <c r="X3050">
        <v>0.99136060000000004</v>
      </c>
      <c r="Y3050">
        <v>0.1334571</v>
      </c>
      <c r="Z3050">
        <v>-3.9777470000000001E-4</v>
      </c>
      <c r="AA3050">
        <v>0.99105449999999995</v>
      </c>
      <c r="AB3050">
        <v>36</v>
      </c>
      <c r="AC3050">
        <v>72.501599999999996</v>
      </c>
      <c r="AD3050">
        <v>-0.45074619999999999</v>
      </c>
      <c r="AE3050">
        <v>-9.9702000000000002</v>
      </c>
      <c r="AF3050">
        <v>9.8170444323443995</v>
      </c>
      <c r="AG3050">
        <v>-0.45074619999999999</v>
      </c>
      <c r="AH3050">
        <v>72.519695311413102</v>
      </c>
      <c r="AI3050">
        <v>90.352898644849404</v>
      </c>
      <c r="AJ3050">
        <v>82.290691922281596</v>
      </c>
      <c r="AK3050">
        <v>73.182537135464401</v>
      </c>
      <c r="AL3050">
        <v>86.468145895107</v>
      </c>
      <c r="AM3050">
        <v>83.337651531233803</v>
      </c>
      <c r="AN3050">
        <v>0.99999996580477502</v>
      </c>
    </row>
    <row r="3051" spans="1:40" x14ac:dyDescent="0.25">
      <c r="A3051" t="str">
        <f>"20190312154614687"</f>
        <v>20190312154614687</v>
      </c>
      <c r="B3051" t="str">
        <f>"1552376774679999"</f>
        <v>1552376774679999</v>
      </c>
      <c r="C3051" t="s">
        <v>40</v>
      </c>
      <c r="D3051">
        <v>4.2474730000000003</v>
      </c>
      <c r="E3051">
        <v>0.50830299999999995</v>
      </c>
      <c r="F3051" t="s">
        <v>66</v>
      </c>
      <c r="G3051">
        <v>-168.41099999999901</v>
      </c>
      <c r="H3051">
        <v>0.67282679999999995</v>
      </c>
      <c r="I3051">
        <v>205.6977</v>
      </c>
      <c r="J3051">
        <v>-240.55240000000001</v>
      </c>
      <c r="K3051">
        <v>1.1098629999999901</v>
      </c>
      <c r="L3051">
        <v>215.73560000000001</v>
      </c>
      <c r="M3051">
        <v>0.99989989999999995</v>
      </c>
      <c r="N3051">
        <v>0</v>
      </c>
      <c r="O3051">
        <v>-2.1065429999999998E-3</v>
      </c>
      <c r="P3051">
        <v>0.99183920000000003</v>
      </c>
      <c r="Q3051">
        <v>4.7810770000000002E-2</v>
      </c>
      <c r="R3051">
        <v>-0.1181915</v>
      </c>
      <c r="S3051">
        <v>2.9764560000000002</v>
      </c>
      <c r="T3051">
        <v>-1.7940520000000001E-2</v>
      </c>
      <c r="U3051">
        <v>-0.41212460000000001</v>
      </c>
      <c r="V3051">
        <v>0.1161041</v>
      </c>
      <c r="W3051">
        <v>6.168245E-2</v>
      </c>
      <c r="X3051">
        <v>0.99131990000000003</v>
      </c>
      <c r="Y3051">
        <v>0.1350635</v>
      </c>
      <c r="Z3051">
        <v>-3.9247259999999998E-4</v>
      </c>
      <c r="AA3051">
        <v>0.99083690000000002</v>
      </c>
      <c r="AB3051">
        <v>36</v>
      </c>
      <c r="AC3051">
        <v>72.141400000000004</v>
      </c>
      <c r="AD3051">
        <v>-0.43703619999999899</v>
      </c>
      <c r="AE3051">
        <v>-10.0379</v>
      </c>
      <c r="AF3051">
        <v>9.8855379780263792</v>
      </c>
      <c r="AG3051">
        <v>-0.43703619999999899</v>
      </c>
      <c r="AH3051">
        <v>72.159789277710203</v>
      </c>
      <c r="AI3051">
        <v>90.343796934815501</v>
      </c>
      <c r="AJ3051">
        <v>82.199316942705096</v>
      </c>
      <c r="AK3051">
        <v>72.835088043872403</v>
      </c>
      <c r="AL3051">
        <v>86.463611079648203</v>
      </c>
      <c r="AM3051">
        <v>83.319910325038194</v>
      </c>
      <c r="AN3051">
        <v>1.0000000154054101</v>
      </c>
    </row>
    <row r="3052" spans="1:40" x14ac:dyDescent="0.25">
      <c r="A3052" t="str">
        <f>"20190312154614713"</f>
        <v>20190312154614713</v>
      </c>
      <c r="B3052" t="str">
        <f>"1552376774710255"</f>
        <v>1552376774710255</v>
      </c>
      <c r="C3052" t="s">
        <v>40</v>
      </c>
      <c r="D3052">
        <v>4.1541360000000003</v>
      </c>
      <c r="E3052">
        <v>0.5085518</v>
      </c>
      <c r="F3052" t="s">
        <v>66</v>
      </c>
      <c r="G3052">
        <v>-168.41099999999901</v>
      </c>
      <c r="H3052">
        <v>0.71478459999999999</v>
      </c>
      <c r="I3052">
        <v>205.68969999999999</v>
      </c>
      <c r="J3052">
        <v>-240.1448</v>
      </c>
      <c r="K3052">
        <v>1.1098650000000001</v>
      </c>
      <c r="L3052">
        <v>215.7347</v>
      </c>
      <c r="M3052">
        <v>0.99989989999999995</v>
      </c>
      <c r="N3052">
        <v>0</v>
      </c>
      <c r="O3052">
        <v>-2.106405E-3</v>
      </c>
      <c r="P3052">
        <v>0.99176410000000004</v>
      </c>
      <c r="Q3052">
        <v>4.8809039999999998E-2</v>
      </c>
      <c r="R3052">
        <v>-0.1184139</v>
      </c>
      <c r="S3052">
        <v>2.976089</v>
      </c>
      <c r="T3052">
        <v>-1.6296979999999999E-2</v>
      </c>
      <c r="U3052">
        <v>-0.41442869999999998</v>
      </c>
      <c r="V3052">
        <v>0.11632670000000001</v>
      </c>
      <c r="W3052">
        <v>6.2676159999999995E-2</v>
      </c>
      <c r="X3052">
        <v>0.99123139999999998</v>
      </c>
      <c r="Y3052">
        <v>0.13583319999999999</v>
      </c>
      <c r="Z3052">
        <v>-3.586412E-4</v>
      </c>
      <c r="AA3052">
        <v>0.99073169999999999</v>
      </c>
      <c r="AB3052">
        <v>36</v>
      </c>
      <c r="AC3052">
        <v>71.733800000000002</v>
      </c>
      <c r="AD3052">
        <v>-0.395080399999999</v>
      </c>
      <c r="AE3052">
        <v>-10.045</v>
      </c>
      <c r="AF3052">
        <v>9.8935681492254695</v>
      </c>
      <c r="AG3052">
        <v>-0.395080399999999</v>
      </c>
      <c r="AH3052">
        <v>71.752667083545703</v>
      </c>
      <c r="AI3052">
        <v>90.312518760946801</v>
      </c>
      <c r="AJ3052">
        <v>82.149312941904896</v>
      </c>
      <c r="AK3052">
        <v>72.432617050939001</v>
      </c>
      <c r="AL3052">
        <v>86.406565052814997</v>
      </c>
      <c r="AM3052">
        <v>83.3066269033488</v>
      </c>
      <c r="AN3052">
        <v>0.99999994525559599</v>
      </c>
    </row>
    <row r="3053" spans="1:40" x14ac:dyDescent="0.25">
      <c r="A3053" t="str">
        <f>"20190312154614736"</f>
        <v>20190312154614736</v>
      </c>
      <c r="B3053" t="str">
        <f>"1552376774729775"</f>
        <v>1552376774729775</v>
      </c>
      <c r="C3053" t="s">
        <v>40</v>
      </c>
      <c r="D3053">
        <v>3.9171740000000002</v>
      </c>
      <c r="E3053">
        <v>0.5095788</v>
      </c>
      <c r="F3053" t="s">
        <v>66</v>
      </c>
      <c r="G3053">
        <v>-168.41099999999901</v>
      </c>
      <c r="H3053">
        <v>0.90032389999999995</v>
      </c>
      <c r="I3053">
        <v>205.6831</v>
      </c>
      <c r="J3053">
        <v>-239.76830000000001</v>
      </c>
      <c r="K3053">
        <v>1.109866</v>
      </c>
      <c r="L3053">
        <v>215.73390000000001</v>
      </c>
      <c r="M3053">
        <v>0.99990000000000001</v>
      </c>
      <c r="N3053">
        <v>0</v>
      </c>
      <c r="O3053">
        <v>-2.1061500000000002E-3</v>
      </c>
      <c r="P3053">
        <v>0.9917781</v>
      </c>
      <c r="Q3053">
        <v>4.8527300000000002E-2</v>
      </c>
      <c r="R3053">
        <v>-0.1184113</v>
      </c>
      <c r="S3053">
        <v>2.9755400000000001</v>
      </c>
      <c r="T3053">
        <v>-8.6904759999999904E-3</v>
      </c>
      <c r="U3053">
        <v>-0.41694639999999999</v>
      </c>
      <c r="V3053">
        <v>0.11632430000000001</v>
      </c>
      <c r="W3053">
        <v>6.239252E-2</v>
      </c>
      <c r="X3053">
        <v>0.99124959999999995</v>
      </c>
      <c r="Y3053">
        <v>0.136682</v>
      </c>
      <c r="Z3053">
        <v>-1.9250690000000001E-4</v>
      </c>
      <c r="AA3053">
        <v>0.99061500000000002</v>
      </c>
      <c r="AB3053">
        <v>36</v>
      </c>
      <c r="AC3053">
        <v>71.357299999999995</v>
      </c>
      <c r="AD3053">
        <v>-0.20954210000000001</v>
      </c>
      <c r="AE3053">
        <v>-10.050800000000001</v>
      </c>
      <c r="AF3053">
        <v>9.9003901174798905</v>
      </c>
      <c r="AG3053">
        <v>-0.20954210000000001</v>
      </c>
      <c r="AH3053">
        <v>71.377708738668005</v>
      </c>
      <c r="AI3053">
        <v>90.166606564900903</v>
      </c>
      <c r="AJ3053">
        <v>82.103217512354504</v>
      </c>
      <c r="AK3053">
        <v>72.061355365772101</v>
      </c>
      <c r="AL3053">
        <v>86.422848384543599</v>
      </c>
      <c r="AM3053">
        <v>83.306885522345695</v>
      </c>
      <c r="AN3053">
        <v>0.99999996941129898</v>
      </c>
    </row>
    <row r="3054" spans="1:40" x14ac:dyDescent="0.25">
      <c r="A3054" t="str">
        <f>"20190312154614886"</f>
        <v>20190312154614886</v>
      </c>
      <c r="B3054" t="str">
        <f>"1552376774880083"</f>
        <v>1552376774880083</v>
      </c>
      <c r="C3054" t="s">
        <v>40</v>
      </c>
      <c r="D3054">
        <v>3.6942020000000002</v>
      </c>
      <c r="E3054">
        <v>0.51119389999999998</v>
      </c>
      <c r="F3054" t="s">
        <v>66</v>
      </c>
      <c r="G3054">
        <v>-168.41099999999901</v>
      </c>
      <c r="H3054">
        <v>0.7289696</v>
      </c>
      <c r="I3054">
        <v>205.54220000000001</v>
      </c>
      <c r="J3054">
        <v>-237.34370000000001</v>
      </c>
      <c r="K3054">
        <v>1.1098190000000001</v>
      </c>
      <c r="L3054">
        <v>215.72880000000001</v>
      </c>
      <c r="M3054">
        <v>0.99990020000000002</v>
      </c>
      <c r="N3054">
        <v>0</v>
      </c>
      <c r="O3054">
        <v>-2.1050959999999999E-3</v>
      </c>
      <c r="P3054">
        <v>0.99229409999999896</v>
      </c>
      <c r="Q3054">
        <v>4.1091809999999999E-2</v>
      </c>
      <c r="R3054">
        <v>-0.1168944</v>
      </c>
      <c r="S3054">
        <v>2.9748990000000002</v>
      </c>
      <c r="T3054">
        <v>-1.5878199999999999E-2</v>
      </c>
      <c r="U3054">
        <v>-0.4248962</v>
      </c>
      <c r="V3054">
        <v>0.1148071</v>
      </c>
      <c r="W3054">
        <v>5.4950510000000001E-2</v>
      </c>
      <c r="X3054">
        <v>0.99186680000000005</v>
      </c>
      <c r="Y3054">
        <v>0.13930580000000001</v>
      </c>
      <c r="Z3054">
        <v>-3.5870569999999998E-4</v>
      </c>
      <c r="AA3054">
        <v>0.9902493</v>
      </c>
      <c r="AB3054">
        <v>36</v>
      </c>
      <c r="AC3054">
        <v>68.932699999999997</v>
      </c>
      <c r="AD3054">
        <v>-0.3808494</v>
      </c>
      <c r="AE3054">
        <v>-10.1866</v>
      </c>
      <c r="AF3054">
        <v>10.0411533560788</v>
      </c>
      <c r="AG3054">
        <v>-0.3808494</v>
      </c>
      <c r="AH3054">
        <v>68.951933320226701</v>
      </c>
      <c r="AI3054">
        <v>90.313161450079605</v>
      </c>
      <c r="AJ3054">
        <v>81.714520587070197</v>
      </c>
      <c r="AK3054">
        <v>69.680262022919806</v>
      </c>
      <c r="AL3054">
        <v>86.849981023602595</v>
      </c>
      <c r="AM3054">
        <v>83.397480749747899</v>
      </c>
      <c r="AN3054">
        <v>0.99999998885095498</v>
      </c>
    </row>
    <row r="3055" spans="1:40" x14ac:dyDescent="0.25">
      <c r="A3055" t="str">
        <f>"20190312154614909"</f>
        <v>20190312154614909</v>
      </c>
      <c r="B3055" t="str">
        <f>"1552376774900579"</f>
        <v>1552376774900579</v>
      </c>
      <c r="C3055" t="s">
        <v>40</v>
      </c>
      <c r="D3055">
        <v>3.9271910000000001</v>
      </c>
      <c r="E3055">
        <v>0.51004529999999904</v>
      </c>
      <c r="F3055" t="s">
        <v>41</v>
      </c>
      <c r="G3055">
        <v>-236.41810000000001</v>
      </c>
      <c r="H3055">
        <v>0.87131460000000005</v>
      </c>
      <c r="I3055">
        <v>215.6046</v>
      </c>
      <c r="J3055">
        <v>-236.97640000000001</v>
      </c>
      <c r="K3055">
        <v>1.109815</v>
      </c>
      <c r="L3055">
        <v>215.72800000000001</v>
      </c>
      <c r="M3055">
        <v>0.99990020000000002</v>
      </c>
      <c r="N3055">
        <v>0</v>
      </c>
      <c r="O3055">
        <v>-2.104842E-3</v>
      </c>
      <c r="P3055">
        <v>0.99243329999999996</v>
      </c>
      <c r="Q3055">
        <v>3.9821259999999997E-2</v>
      </c>
      <c r="R3055">
        <v>-0.1161493</v>
      </c>
      <c r="S3055">
        <v>3.0078429999999998</v>
      </c>
      <c r="T3055">
        <v>-0.77506709999999901</v>
      </c>
      <c r="U3055">
        <v>-0.40361019999999997</v>
      </c>
      <c r="V3055">
        <v>0.1140618</v>
      </c>
      <c r="W3055">
        <v>5.3680190000000003E-2</v>
      </c>
      <c r="X3055">
        <v>0.99202230000000002</v>
      </c>
      <c r="Y3055">
        <v>0.12690190000000001</v>
      </c>
      <c r="Z3055">
        <v>-1.5487570000000001E-2</v>
      </c>
      <c r="AA3055">
        <v>0.99179430000000002</v>
      </c>
      <c r="AB3055">
        <v>36</v>
      </c>
      <c r="AC3055">
        <v>0.55830000000000202</v>
      </c>
      <c r="AD3055">
        <v>-0.238500399999999</v>
      </c>
      <c r="AE3055">
        <v>-0.123399999999975</v>
      </c>
      <c r="AF3055">
        <v>0.10411018570860001</v>
      </c>
      <c r="AG3055">
        <v>-0.238500399999999</v>
      </c>
      <c r="AH3055">
        <v>0.47577729531094998</v>
      </c>
      <c r="AI3055">
        <v>116.090936918667</v>
      </c>
      <c r="AJ3055">
        <v>77.657016509350896</v>
      </c>
      <c r="AK3055">
        <v>0.54229641922277405</v>
      </c>
      <c r="AL3055">
        <v>86.922872485666403</v>
      </c>
      <c r="AM3055">
        <v>83.440987234459996</v>
      </c>
      <c r="AN3055">
        <v>0.99999995035748102</v>
      </c>
    </row>
    <row r="3056" spans="1:40" x14ac:dyDescent="0.25">
      <c r="A3056" t="str">
        <f>"20190312154614936"</f>
        <v>20190312154614936</v>
      </c>
      <c r="B3056" t="str">
        <f>"1552376774929859"</f>
        <v>1552376774929859</v>
      </c>
      <c r="C3056" t="s">
        <v>40</v>
      </c>
      <c r="D3056">
        <v>4.1881690000000003</v>
      </c>
      <c r="E3056">
        <v>0.50329429999999997</v>
      </c>
      <c r="F3056" t="s">
        <v>41</v>
      </c>
      <c r="G3056">
        <v>-236.08699999999999</v>
      </c>
      <c r="H3056">
        <v>0.89437849999999997</v>
      </c>
      <c r="I3056">
        <v>215.61109999999999</v>
      </c>
      <c r="J3056">
        <v>-236.53960000000001</v>
      </c>
      <c r="K3056">
        <v>1.1098170000000001</v>
      </c>
      <c r="L3056">
        <v>215.72710000000001</v>
      </c>
      <c r="M3056">
        <v>0.99990029999999996</v>
      </c>
      <c r="N3056">
        <v>0</v>
      </c>
      <c r="O3056">
        <v>-2.104823E-3</v>
      </c>
      <c r="P3056">
        <v>0.9924579</v>
      </c>
      <c r="Q3056">
        <v>4.0296829999999999E-2</v>
      </c>
      <c r="R3056">
        <v>-0.11577419999999999</v>
      </c>
      <c r="S3056">
        <v>3.0059200000000001</v>
      </c>
      <c r="T3056">
        <v>-0.72809230000000003</v>
      </c>
      <c r="U3056">
        <v>-0.39440920000000002</v>
      </c>
      <c r="V3056">
        <v>0.1136868</v>
      </c>
      <c r="W3056">
        <v>5.4153470000000002E-2</v>
      </c>
      <c r="X3056">
        <v>0.99203969999999997</v>
      </c>
      <c r="Y3056">
        <v>0.1245275</v>
      </c>
      <c r="Z3056">
        <v>-1.4305200000000001E-2</v>
      </c>
      <c r="AA3056">
        <v>0.99211309999999997</v>
      </c>
      <c r="AB3056">
        <v>36</v>
      </c>
      <c r="AC3056">
        <v>0.45259999999998901</v>
      </c>
      <c r="AD3056">
        <v>-0.2154385</v>
      </c>
      <c r="AE3056">
        <v>-0.116000000000013</v>
      </c>
      <c r="AF3056">
        <v>9.4875379949400901E-2</v>
      </c>
      <c r="AG3056">
        <v>-0.2154385</v>
      </c>
      <c r="AH3056">
        <v>0.37344447146854298</v>
      </c>
      <c r="AI3056">
        <v>119.21101721751501</v>
      </c>
      <c r="AJ3056">
        <v>75.745306331876407</v>
      </c>
      <c r="AK3056">
        <v>0.441447458111622</v>
      </c>
      <c r="AL3056">
        <v>86.895716273456102</v>
      </c>
      <c r="AM3056">
        <v>83.462477933291893</v>
      </c>
      <c r="AN3056">
        <v>1.00000002659168</v>
      </c>
    </row>
    <row r="3057" spans="1:40" x14ac:dyDescent="0.25">
      <c r="A3057" t="str">
        <f>"20190312154614961"</f>
        <v>20190312154614961</v>
      </c>
      <c r="B3057" t="str">
        <f>"1552376774950355"</f>
        <v>1552376774950355</v>
      </c>
      <c r="C3057" t="s">
        <v>40</v>
      </c>
      <c r="D3057">
        <v>4.0472580000000002</v>
      </c>
      <c r="E3057">
        <v>0.50477950000000005</v>
      </c>
      <c r="F3057" t="s">
        <v>41</v>
      </c>
      <c r="G3057">
        <v>-235.7056</v>
      </c>
      <c r="H3057">
        <v>1.0215320000000001</v>
      </c>
      <c r="I3057">
        <v>215.62799999999999</v>
      </c>
      <c r="J3057">
        <v>-236.15520000000001</v>
      </c>
      <c r="K3057">
        <v>1.109826</v>
      </c>
      <c r="L3057">
        <v>215.72630000000001</v>
      </c>
      <c r="M3057">
        <v>0.99990029999999996</v>
      </c>
      <c r="N3057">
        <v>0</v>
      </c>
      <c r="O3057">
        <v>-2.104688E-3</v>
      </c>
      <c r="P3057">
        <v>0.99243720000000002</v>
      </c>
      <c r="Q3057">
        <v>4.1217749999999997E-2</v>
      </c>
      <c r="R3057">
        <v>-0.1156273</v>
      </c>
      <c r="S3057">
        <v>2.9941249999999999</v>
      </c>
      <c r="T3057">
        <v>-0.31699110000000003</v>
      </c>
      <c r="U3057">
        <v>-0.35606379999999999</v>
      </c>
      <c r="V3057">
        <v>0.1135403</v>
      </c>
      <c r="W3057">
        <v>5.5071439999999999E-2</v>
      </c>
      <c r="X3057">
        <v>0.9920059</v>
      </c>
      <c r="Y3057">
        <v>0.11537409999999999</v>
      </c>
      <c r="Z3057">
        <v>-5.847718E-3</v>
      </c>
      <c r="AA3057">
        <v>0.99330490000000005</v>
      </c>
      <c r="AB3057">
        <v>36</v>
      </c>
      <c r="AC3057">
        <v>0.449600000000003</v>
      </c>
      <c r="AD3057">
        <v>-8.8294000000000095E-2</v>
      </c>
      <c r="AE3057">
        <v>-9.8300000000023105E-2</v>
      </c>
      <c r="AF3057">
        <v>9.3897344653569706E-2</v>
      </c>
      <c r="AG3057">
        <v>-8.8294000000000095E-2</v>
      </c>
      <c r="AH3057">
        <v>0.43383766127267398</v>
      </c>
      <c r="AI3057">
        <v>101.25003062074499</v>
      </c>
      <c r="AJ3057">
        <v>77.787595330202706</v>
      </c>
      <c r="AK3057">
        <v>0.452578897108046</v>
      </c>
      <c r="AL3057">
        <v>86.843041723121701</v>
      </c>
      <c r="AM3057">
        <v>83.470609034852501</v>
      </c>
      <c r="AN3057">
        <v>0.99999998443128602</v>
      </c>
    </row>
    <row r="3058" spans="1:40" x14ac:dyDescent="0.25">
      <c r="A3058" t="str">
        <f>"20190312154614983"</f>
        <v>20190312154614983</v>
      </c>
      <c r="B3058" t="str">
        <f>"1552376774980611"</f>
        <v>1552376774980611</v>
      </c>
      <c r="C3058" t="s">
        <v>40</v>
      </c>
      <c r="D3058">
        <v>4.0128190000000004</v>
      </c>
      <c r="E3058">
        <v>0.51112120000000005</v>
      </c>
      <c r="F3058" t="s">
        <v>41</v>
      </c>
      <c r="G3058">
        <v>-235.36840000000001</v>
      </c>
      <c r="H3058">
        <v>1.0486169999999999</v>
      </c>
      <c r="I3058">
        <v>215.62870000000001</v>
      </c>
      <c r="J3058">
        <v>-235.7955</v>
      </c>
      <c r="K3058">
        <v>1.1098330000000001</v>
      </c>
      <c r="L3058">
        <v>215.72559999999999</v>
      </c>
      <c r="M3058">
        <v>0.99990049999999997</v>
      </c>
      <c r="N3058">
        <v>0</v>
      </c>
      <c r="O3058">
        <v>-2.104674E-3</v>
      </c>
      <c r="P3058">
        <v>0.99243190000000003</v>
      </c>
      <c r="Q3058">
        <v>4.1788579999999999E-2</v>
      </c>
      <c r="R3058">
        <v>-0.115470699999999</v>
      </c>
      <c r="S3058">
        <v>2.9893190000000001</v>
      </c>
      <c r="T3058">
        <v>-0.23260249999999999</v>
      </c>
      <c r="U3058">
        <v>-0.370697</v>
      </c>
      <c r="V3058">
        <v>0.1133835</v>
      </c>
      <c r="W3058">
        <v>5.5640389999999998E-2</v>
      </c>
      <c r="X3058">
        <v>0.99199210000000004</v>
      </c>
      <c r="Y3058">
        <v>0.1206226</v>
      </c>
      <c r="Z3058">
        <v>-4.5051070000000004E-3</v>
      </c>
      <c r="AA3058">
        <v>0.99268820000000002</v>
      </c>
      <c r="AB3058">
        <v>36</v>
      </c>
      <c r="AC3058">
        <v>0.42709999999999498</v>
      </c>
      <c r="AD3058">
        <v>-6.1216000000000097E-2</v>
      </c>
      <c r="AE3058">
        <v>-9.6899999999976602E-2</v>
      </c>
      <c r="AF3058">
        <v>9.4161105462392106E-2</v>
      </c>
      <c r="AG3058">
        <v>-6.1216000000000097E-2</v>
      </c>
      <c r="AH3058">
        <v>0.41911450660035399</v>
      </c>
      <c r="AI3058">
        <v>98.110499215740603</v>
      </c>
      <c r="AJ3058">
        <v>77.337790094206994</v>
      </c>
      <c r="AK3058">
        <v>0.43390169633311898</v>
      </c>
      <c r="AL3058">
        <v>86.810393273785394</v>
      </c>
      <c r="AM3058">
        <v>83.4794585382528</v>
      </c>
      <c r="AN3058">
        <v>0.99999999876700596</v>
      </c>
    </row>
    <row r="3059" spans="1:40" x14ac:dyDescent="0.25">
      <c r="A3059" t="str">
        <f>"20190312154615005"</f>
        <v>20190312154615005</v>
      </c>
      <c r="B3059" t="str">
        <f>"1552376775000132"</f>
        <v>1552376775000132</v>
      </c>
      <c r="C3059" t="s">
        <v>40</v>
      </c>
      <c r="D3059">
        <v>3.9914679999999998</v>
      </c>
      <c r="E3059">
        <v>0.50953110000000001</v>
      </c>
      <c r="F3059" t="s">
        <v>66</v>
      </c>
      <c r="G3059">
        <v>-168.41120000000001</v>
      </c>
      <c r="H3059">
        <v>1.771002</v>
      </c>
      <c r="I3059">
        <v>205.95820000000001</v>
      </c>
      <c r="J3059">
        <v>-235.42910000000001</v>
      </c>
      <c r="K3059">
        <v>1.109839</v>
      </c>
      <c r="L3059">
        <v>215.72479999999999</v>
      </c>
      <c r="M3059">
        <v>0.99990040000000002</v>
      </c>
      <c r="N3059">
        <v>0</v>
      </c>
      <c r="O3059">
        <v>-2.1045399999999998E-3</v>
      </c>
      <c r="P3059">
        <v>0.99242010000000003</v>
      </c>
      <c r="Q3059">
        <v>4.1820540000000003E-2</v>
      </c>
      <c r="R3059">
        <v>-0.115557199999999</v>
      </c>
      <c r="S3059">
        <v>2.9715419999999999</v>
      </c>
      <c r="T3059">
        <v>2.9158E-2</v>
      </c>
      <c r="U3059">
        <v>-0.43072510000000003</v>
      </c>
      <c r="V3059">
        <v>0.1134705</v>
      </c>
      <c r="W3059">
        <v>5.5670369999999997E-2</v>
      </c>
      <c r="X3059">
        <v>0.99198050000000004</v>
      </c>
      <c r="Y3059">
        <v>0.14136099999999999</v>
      </c>
      <c r="Z3059">
        <v>6.693809E-4</v>
      </c>
      <c r="AA3059">
        <v>0.98995789999999995</v>
      </c>
      <c r="AB3059">
        <v>36</v>
      </c>
      <c r="AC3059">
        <v>67.017899999999997</v>
      </c>
      <c r="AD3059">
        <v>0.66116299999999995</v>
      </c>
      <c r="AE3059">
        <v>-9.7665999999999809</v>
      </c>
      <c r="AF3059">
        <v>9.6246055210016301</v>
      </c>
      <c r="AG3059">
        <v>0.66116299999999995</v>
      </c>
      <c r="AH3059">
        <v>67.031919385289498</v>
      </c>
      <c r="AI3059">
        <v>89.4406230680449</v>
      </c>
      <c r="AJ3059">
        <v>81.829177307819606</v>
      </c>
      <c r="AK3059">
        <v>67.7225840058057</v>
      </c>
      <c r="AL3059">
        <v>86.808672974508895</v>
      </c>
      <c r="AM3059">
        <v>83.4744227662014</v>
      </c>
      <c r="AN3059">
        <v>1.00000002842321</v>
      </c>
    </row>
    <row r="3060" spans="1:40" x14ac:dyDescent="0.25">
      <c r="A3060" t="str">
        <f>"20190312154615025"</f>
        <v>20190312154615025</v>
      </c>
      <c r="B3060" t="str">
        <f>"1552376775020627"</f>
        <v>1552376775020627</v>
      </c>
      <c r="C3060" t="s">
        <v>40</v>
      </c>
      <c r="D3060">
        <v>4.0485170000000004</v>
      </c>
      <c r="E3060">
        <v>0.50874900000000001</v>
      </c>
      <c r="F3060" t="s">
        <v>66</v>
      </c>
      <c r="G3060">
        <v>-168.41099999999901</v>
      </c>
      <c r="H3060">
        <v>1.4441949999999999</v>
      </c>
      <c r="I3060">
        <v>206.30590000000001</v>
      </c>
      <c r="J3060">
        <v>-235.11600000000001</v>
      </c>
      <c r="K3060">
        <v>1.1098319999999999</v>
      </c>
      <c r="L3060">
        <v>215.7242</v>
      </c>
      <c r="M3060">
        <v>0.99990049999999997</v>
      </c>
      <c r="N3060">
        <v>0</v>
      </c>
      <c r="O3060">
        <v>-2.104528E-3</v>
      </c>
      <c r="P3060">
        <v>0.99245550000000005</v>
      </c>
      <c r="Q3060">
        <v>4.1265530000000002E-2</v>
      </c>
      <c r="R3060">
        <v>-0.1154541</v>
      </c>
      <c r="S3060">
        <v>2.973633</v>
      </c>
      <c r="T3060">
        <v>1.4837029999999999E-2</v>
      </c>
      <c r="U3060">
        <v>-0.41792299999999899</v>
      </c>
      <c r="V3060">
        <v>0.1133671</v>
      </c>
      <c r="W3060">
        <v>5.5113809999999999E-2</v>
      </c>
      <c r="X3060">
        <v>0.99202330000000005</v>
      </c>
      <c r="Y3060">
        <v>0.13708890000000001</v>
      </c>
      <c r="Z3060">
        <v>3.2988020000000002E-4</v>
      </c>
      <c r="AA3060">
        <v>0.99055870000000001</v>
      </c>
      <c r="AB3060">
        <v>36</v>
      </c>
      <c r="AC3060">
        <v>66.704999999999998</v>
      </c>
      <c r="AD3060">
        <v>0.33436300000000002</v>
      </c>
      <c r="AE3060">
        <v>-9.4182999999999808</v>
      </c>
      <c r="AF3060">
        <v>9.2776543881484397</v>
      </c>
      <c r="AG3060">
        <v>0.33436300000000002</v>
      </c>
      <c r="AH3060">
        <v>66.723031555637704</v>
      </c>
      <c r="AI3060">
        <v>89.715617266621393</v>
      </c>
      <c r="AJ3060">
        <v>82.083935495632005</v>
      </c>
      <c r="AK3060">
        <v>67.365789608200501</v>
      </c>
      <c r="AL3060">
        <v>86.840610234865906</v>
      </c>
      <c r="AM3060">
        <v>83.480596842875499</v>
      </c>
      <c r="AN3060">
        <v>0.99999992957900496</v>
      </c>
    </row>
    <row r="3061" spans="1:40" x14ac:dyDescent="0.25">
      <c r="A3061" t="str">
        <f>"20190312154615046"</f>
        <v>20190312154615046</v>
      </c>
      <c r="B3061" t="str">
        <f>"1552376775040147"</f>
        <v>1552376775040147</v>
      </c>
      <c r="C3061" t="s">
        <v>40</v>
      </c>
      <c r="D3061">
        <v>4.0849330000000004</v>
      </c>
      <c r="E3061">
        <v>0.50792230000000005</v>
      </c>
      <c r="F3061" t="s">
        <v>66</v>
      </c>
      <c r="G3061">
        <v>-168.41079999999999</v>
      </c>
      <c r="H3061">
        <v>1.109116</v>
      </c>
      <c r="I3061">
        <v>206.51230000000001</v>
      </c>
      <c r="J3061">
        <v>-234.77600000000001</v>
      </c>
      <c r="K3061">
        <v>1.1098269999999999</v>
      </c>
      <c r="L3061">
        <v>215.7234</v>
      </c>
      <c r="M3061">
        <v>0.99990049999999997</v>
      </c>
      <c r="N3061">
        <v>0</v>
      </c>
      <c r="O3061">
        <v>-2.1045149999999999E-3</v>
      </c>
      <c r="P3061">
        <v>0.99247540000000001</v>
      </c>
      <c r="Q3061">
        <v>4.0549559999999998E-2</v>
      </c>
      <c r="R3061">
        <v>-0.1155364</v>
      </c>
      <c r="S3061">
        <v>2.975006</v>
      </c>
      <c r="T3061" s="1">
        <v>-3.0517579999999999E-5</v>
      </c>
      <c r="U3061">
        <v>-0.41084290000000001</v>
      </c>
      <c r="V3061">
        <v>0.11344949999999999</v>
      </c>
      <c r="W3061">
        <v>5.4396300000000002E-2</v>
      </c>
      <c r="X3061">
        <v>0.99205359999999998</v>
      </c>
      <c r="Y3061">
        <v>0.13471459999999999</v>
      </c>
      <c r="Z3061" s="1">
        <v>-6.6619990000000003E-7</v>
      </c>
      <c r="AA3061">
        <v>0.9908844</v>
      </c>
      <c r="AB3061">
        <v>36</v>
      </c>
      <c r="AC3061">
        <v>66.365199999999902</v>
      </c>
      <c r="AD3061">
        <v>-7.1100000000012798E-4</v>
      </c>
      <c r="AE3061">
        <v>-9.2110999999999805</v>
      </c>
      <c r="AF3061">
        <v>9.0713994493802996</v>
      </c>
      <c r="AG3061">
        <v>-7.1100000000012798E-4</v>
      </c>
      <c r="AH3061">
        <v>66.384439782743797</v>
      </c>
      <c r="AI3061">
        <v>90.000608006921794</v>
      </c>
      <c r="AJ3061">
        <v>82.218755715182894</v>
      </c>
      <c r="AK3061">
        <v>67.001374118330403</v>
      </c>
      <c r="AL3061">
        <v>86.881782662100306</v>
      </c>
      <c r="AM3061">
        <v>83.476096649546406</v>
      </c>
      <c r="AN3061">
        <v>1.0000000458884399</v>
      </c>
    </row>
    <row r="3062" spans="1:40" x14ac:dyDescent="0.25">
      <c r="A3062" t="str">
        <f>"20190312154615068"</f>
        <v>20190312154615068</v>
      </c>
      <c r="B3062" t="str">
        <f>"1552376775060645"</f>
        <v>1552376775060645</v>
      </c>
      <c r="C3062" t="s">
        <v>40</v>
      </c>
      <c r="D3062">
        <v>4.0187520000000001</v>
      </c>
      <c r="E3062">
        <v>0.50879149999999995</v>
      </c>
      <c r="F3062" t="s">
        <v>66</v>
      </c>
      <c r="G3062">
        <v>-168.41069999999999</v>
      </c>
      <c r="H3062">
        <v>0.82496069999999999</v>
      </c>
      <c r="I3062">
        <v>206.70570000000001</v>
      </c>
      <c r="J3062">
        <v>-234.42959999999999</v>
      </c>
      <c r="K3062">
        <v>1.1098220000000001</v>
      </c>
      <c r="L3062">
        <v>215.7227</v>
      </c>
      <c r="M3062">
        <v>0.99990029999999996</v>
      </c>
      <c r="N3062">
        <v>0</v>
      </c>
      <c r="O3062">
        <v>-2.1041430000000002E-3</v>
      </c>
      <c r="P3062">
        <v>0.99249189999999998</v>
      </c>
      <c r="Q3062">
        <v>4.0319540000000001E-2</v>
      </c>
      <c r="R3062">
        <v>-0.1154729</v>
      </c>
      <c r="S3062">
        <v>2.9761959999999998</v>
      </c>
      <c r="T3062">
        <v>-1.277351E-2</v>
      </c>
      <c r="U3062">
        <v>-0.40440369999999998</v>
      </c>
      <c r="V3062">
        <v>0.1133864</v>
      </c>
      <c r="W3062">
        <v>5.4164419999999998E-2</v>
      </c>
      <c r="X3062">
        <v>0.99207350000000005</v>
      </c>
      <c r="Y3062">
        <v>0.13255539999999999</v>
      </c>
      <c r="Z3062">
        <v>-2.7416460000000001E-4</v>
      </c>
      <c r="AA3062">
        <v>0.99117549999999999</v>
      </c>
      <c r="AB3062">
        <v>36</v>
      </c>
      <c r="AC3062">
        <v>66.018900000000002</v>
      </c>
      <c r="AD3062">
        <v>-0.28486129999999898</v>
      </c>
      <c r="AE3062">
        <v>-9.0169999999999906</v>
      </c>
      <c r="AF3062">
        <v>8.8778910247137599</v>
      </c>
      <c r="AG3062">
        <v>-0.28486129999999898</v>
      </c>
      <c r="AH3062">
        <v>66.036521786750797</v>
      </c>
      <c r="AI3062">
        <v>90.244951217117105</v>
      </c>
      <c r="AJ3062">
        <v>82.343116160431293</v>
      </c>
      <c r="AK3062">
        <v>66.631226198374506</v>
      </c>
      <c r="AL3062">
        <v>86.895088018969403</v>
      </c>
      <c r="AM3062">
        <v>83.479823618338301</v>
      </c>
      <c r="AN3062">
        <v>1.0000000447505699</v>
      </c>
    </row>
    <row r="3063" spans="1:40" x14ac:dyDescent="0.25">
      <c r="A3063" t="str">
        <f>"20190312154615088"</f>
        <v>20190312154615088</v>
      </c>
      <c r="B3063" t="str">
        <f>"1552376775080163"</f>
        <v>1552376775080163</v>
      </c>
      <c r="C3063" t="s">
        <v>40</v>
      </c>
      <c r="D3063">
        <v>4.122922</v>
      </c>
      <c r="E3063">
        <v>0.50844219999999996</v>
      </c>
      <c r="F3063" t="s">
        <v>66</v>
      </c>
      <c r="G3063">
        <v>-168.41069999999999</v>
      </c>
      <c r="H3063">
        <v>0.80990410000000002</v>
      </c>
      <c r="I3063">
        <v>206.60390000000001</v>
      </c>
      <c r="J3063">
        <v>-234.0994</v>
      </c>
      <c r="K3063">
        <v>1.1098239999999999</v>
      </c>
      <c r="L3063">
        <v>215.72200000000001</v>
      </c>
      <c r="M3063">
        <v>0.99990049999999997</v>
      </c>
      <c r="N3063">
        <v>0</v>
      </c>
      <c r="O3063">
        <v>-2.1042489999999999E-3</v>
      </c>
      <c r="P3063">
        <v>0.99244489999999996</v>
      </c>
      <c r="Q3063">
        <v>4.0034970000000003E-2</v>
      </c>
      <c r="R3063">
        <v>-0.1159755</v>
      </c>
      <c r="S3063">
        <v>2.9754330000000002</v>
      </c>
      <c r="T3063">
        <v>-1.3515589999999999E-2</v>
      </c>
      <c r="U3063">
        <v>-0.41098020000000002</v>
      </c>
      <c r="V3063">
        <v>0.1138888</v>
      </c>
      <c r="W3063">
        <v>5.3877790000000002E-2</v>
      </c>
      <c r="X3063">
        <v>0.99203149999999996</v>
      </c>
      <c r="Y3063">
        <v>0.1347391</v>
      </c>
      <c r="Z3063">
        <v>-2.9505809999999999E-4</v>
      </c>
      <c r="AA3063">
        <v>0.99088109999999996</v>
      </c>
      <c r="AB3063">
        <v>36</v>
      </c>
      <c r="AC3063">
        <v>65.688699999999997</v>
      </c>
      <c r="AD3063">
        <v>-0.29991989999999902</v>
      </c>
      <c r="AE3063">
        <v>-9.1180999999999894</v>
      </c>
      <c r="AF3063">
        <v>8.9796573250638794</v>
      </c>
      <c r="AG3063">
        <v>-0.29991989999999902</v>
      </c>
      <c r="AH3063">
        <v>65.706399317346495</v>
      </c>
      <c r="AI3063">
        <v>90.259118882482198</v>
      </c>
      <c r="AJ3063">
        <v>82.217975242492997</v>
      </c>
      <c r="AK3063">
        <v>66.317834018253194</v>
      </c>
      <c r="AL3063">
        <v>86.911534541542096</v>
      </c>
      <c r="AM3063">
        <v>83.450909149127</v>
      </c>
      <c r="AN3063">
        <v>0.99999998600648599</v>
      </c>
    </row>
    <row r="3064" spans="1:40" x14ac:dyDescent="0.25">
      <c r="A3064" t="str">
        <f>"20190312154615111"</f>
        <v>20190312154615111</v>
      </c>
      <c r="B3064" t="str">
        <f>"1552376775100660"</f>
        <v>1552376775100660</v>
      </c>
      <c r="C3064" t="s">
        <v>40</v>
      </c>
      <c r="D3064">
        <v>4.1328740000000002</v>
      </c>
      <c r="E3064">
        <v>0.50831419999999905</v>
      </c>
      <c r="F3064" t="s">
        <v>66</v>
      </c>
      <c r="G3064">
        <v>-168.41059999999999</v>
      </c>
      <c r="H3064">
        <v>0.71182060000000003</v>
      </c>
      <c r="I3064">
        <v>206.6772</v>
      </c>
      <c r="J3064">
        <v>-233.73689999999999</v>
      </c>
      <c r="K3064">
        <v>1.1098209999999999</v>
      </c>
      <c r="L3064">
        <v>215.72130000000001</v>
      </c>
      <c r="M3064">
        <v>0.99990060000000003</v>
      </c>
      <c r="N3064">
        <v>0</v>
      </c>
      <c r="O3064">
        <v>-2.1041160000000001E-3</v>
      </c>
      <c r="P3064">
        <v>0.99241230000000002</v>
      </c>
      <c r="Q3064">
        <v>3.952481E-2</v>
      </c>
      <c r="R3064">
        <v>-0.1164306</v>
      </c>
      <c r="S3064">
        <v>2.9756930000000001</v>
      </c>
      <c r="T3064">
        <v>-1.8028019999999999E-2</v>
      </c>
      <c r="U3064">
        <v>-0.40972900000000001</v>
      </c>
      <c r="V3064">
        <v>0.114343899999999</v>
      </c>
      <c r="W3064">
        <v>5.3365450000000002E-2</v>
      </c>
      <c r="X3064">
        <v>0.99200679999999997</v>
      </c>
      <c r="Y3064">
        <v>0.13431770000000001</v>
      </c>
      <c r="Z3064">
        <v>-3.9227439999999999E-4</v>
      </c>
      <c r="AA3064">
        <v>0.99093819999999999</v>
      </c>
      <c r="AB3064">
        <v>36</v>
      </c>
      <c r="AC3064">
        <v>65.326300000000003</v>
      </c>
      <c r="AD3064">
        <v>-0.39800039999999898</v>
      </c>
      <c r="AE3064">
        <v>-9.0441000000000091</v>
      </c>
      <c r="AF3064">
        <v>8.9062881314220892</v>
      </c>
      <c r="AG3064">
        <v>-0.39800039999999898</v>
      </c>
      <c r="AH3064">
        <v>65.342807231476698</v>
      </c>
      <c r="AI3064">
        <v>90.345784835686999</v>
      </c>
      <c r="AJ3064">
        <v>82.238358876212601</v>
      </c>
      <c r="AK3064">
        <v>65.948182912709797</v>
      </c>
      <c r="AL3064">
        <v>86.940931629348597</v>
      </c>
      <c r="AM3064">
        <v>83.424805384880202</v>
      </c>
      <c r="AN3064">
        <v>0.99999994498357403</v>
      </c>
    </row>
    <row r="3065" spans="1:40" x14ac:dyDescent="0.25">
      <c r="A3065" t="str">
        <f>"20190312154615136"</f>
        <v>20190312154615136</v>
      </c>
      <c r="B3065" t="str">
        <f>"1552376775129940"</f>
        <v>1552376775129940</v>
      </c>
      <c r="C3065" t="s">
        <v>40</v>
      </c>
      <c r="D3065">
        <v>4.1313329999999997</v>
      </c>
      <c r="E3065">
        <v>0.50799640000000001</v>
      </c>
      <c r="F3065" t="s">
        <v>66</v>
      </c>
      <c r="G3065">
        <v>-168.41059999999999</v>
      </c>
      <c r="H3065">
        <v>0.61225130000000005</v>
      </c>
      <c r="I3065">
        <v>206.71979999999999</v>
      </c>
      <c r="J3065">
        <v>-233.33260000000001</v>
      </c>
      <c r="K3065">
        <v>1.1098269999999999</v>
      </c>
      <c r="L3065">
        <v>215.72049999999999</v>
      </c>
      <c r="M3065">
        <v>0.99990060000000003</v>
      </c>
      <c r="N3065">
        <v>0</v>
      </c>
      <c r="O3065">
        <v>-2.1038620000000002E-3</v>
      </c>
      <c r="P3065">
        <v>0.99241749999999995</v>
      </c>
      <c r="Q3065">
        <v>3.9173600000000003E-2</v>
      </c>
      <c r="R3065">
        <v>-0.1165041</v>
      </c>
      <c r="S3065">
        <v>2.9757539999999998</v>
      </c>
      <c r="T3065">
        <v>-2.2663829999999999E-2</v>
      </c>
      <c r="U3065">
        <v>-0.41003420000000002</v>
      </c>
      <c r="V3065">
        <v>0.1144177</v>
      </c>
      <c r="W3065">
        <v>5.3012129999999998E-2</v>
      </c>
      <c r="X3065">
        <v>0.99201729999999999</v>
      </c>
      <c r="Y3065">
        <v>0.13441349999999999</v>
      </c>
      <c r="Z3065">
        <v>-4.9349500000000004E-4</v>
      </c>
      <c r="AA3065">
        <v>0.99092519999999995</v>
      </c>
      <c r="AB3065">
        <v>36</v>
      </c>
      <c r="AC3065">
        <v>64.921999999999997</v>
      </c>
      <c r="AD3065">
        <v>-0.49757570000000001</v>
      </c>
      <c r="AE3065">
        <v>-9.0006999999999895</v>
      </c>
      <c r="AF3065">
        <v>8.8635690437155397</v>
      </c>
      <c r="AG3065">
        <v>-0.49757570000000001</v>
      </c>
      <c r="AH3065">
        <v>64.937051888314599</v>
      </c>
      <c r="AI3065">
        <v>90.434983191769902</v>
      </c>
      <c r="AJ3065">
        <v>82.2274569317279</v>
      </c>
      <c r="AK3065">
        <v>65.541064575696396</v>
      </c>
      <c r="AL3065">
        <v>86.9612042685457</v>
      </c>
      <c r="AM3065">
        <v>83.420667839334101</v>
      </c>
      <c r="AN3065">
        <v>1.00000000974985</v>
      </c>
    </row>
    <row r="3066" spans="1:40" x14ac:dyDescent="0.25">
      <c r="A3066" t="str">
        <f>"20190312154615163"</f>
        <v>20190312154615163</v>
      </c>
      <c r="B3066" t="str">
        <f>"1552376775150436"</f>
        <v>1552376775150436</v>
      </c>
      <c r="C3066" t="s">
        <v>40</v>
      </c>
      <c r="D3066">
        <v>4.1266639999999999</v>
      </c>
      <c r="E3066">
        <v>0.5078956</v>
      </c>
      <c r="F3066" t="s">
        <v>66</v>
      </c>
      <c r="G3066">
        <v>-168.41050000000001</v>
      </c>
      <c r="H3066">
        <v>0.4960213</v>
      </c>
      <c r="I3066">
        <v>206.82560000000001</v>
      </c>
      <c r="J3066">
        <v>-232.92500000000001</v>
      </c>
      <c r="K3066">
        <v>1.109829</v>
      </c>
      <c r="L3066">
        <v>215.71960000000001</v>
      </c>
      <c r="M3066">
        <v>0.99990060000000003</v>
      </c>
      <c r="N3066">
        <v>0</v>
      </c>
      <c r="O3066">
        <v>-2.103845E-3</v>
      </c>
      <c r="P3066">
        <v>0.99238409999999999</v>
      </c>
      <c r="Q3066">
        <v>3.933031E-2</v>
      </c>
      <c r="R3066">
        <v>-0.11673409999999999</v>
      </c>
      <c r="S3066">
        <v>2.976181</v>
      </c>
      <c r="T3066">
        <v>-2.8136850000000001E-2</v>
      </c>
      <c r="U3066">
        <v>-0.40776059999999997</v>
      </c>
      <c r="V3066">
        <v>0.1146479</v>
      </c>
      <c r="W3066">
        <v>5.3166409999999997E-2</v>
      </c>
      <c r="X3066">
        <v>0.99198249999999999</v>
      </c>
      <c r="Y3066">
        <v>0.1336493</v>
      </c>
      <c r="Z3066">
        <v>-6.0901199999999905E-4</v>
      </c>
      <c r="AA3066">
        <v>0.99102849999999998</v>
      </c>
      <c r="AB3066">
        <v>36</v>
      </c>
      <c r="AC3066">
        <v>64.514499999999998</v>
      </c>
      <c r="AD3066">
        <v>-0.61380769999999996</v>
      </c>
      <c r="AE3066">
        <v>-8.8940000000000001</v>
      </c>
      <c r="AF3066">
        <v>8.7574606625152693</v>
      </c>
      <c r="AG3066">
        <v>-0.61380769999999996</v>
      </c>
      <c r="AH3066">
        <v>64.527338466756703</v>
      </c>
      <c r="AI3066">
        <v>90.540051377848698</v>
      </c>
      <c r="AJ3066">
        <v>82.271206927313202</v>
      </c>
      <c r="AK3066">
        <v>65.121788110827097</v>
      </c>
      <c r="AL3066">
        <v>86.952352297440697</v>
      </c>
      <c r="AM3066">
        <v>83.407317875995105</v>
      </c>
      <c r="AN3066">
        <v>1.00000004421647</v>
      </c>
    </row>
    <row r="3067" spans="1:40" x14ac:dyDescent="0.25">
      <c r="A3067" t="str">
        <f>"20190312154615187"</f>
        <v>20190312154615187</v>
      </c>
      <c r="B3067" t="str">
        <f>"1552376775180692"</f>
        <v>1552376775180692</v>
      </c>
      <c r="C3067" t="s">
        <v>40</v>
      </c>
      <c r="D3067">
        <v>4.1987269999999999</v>
      </c>
      <c r="E3067">
        <v>0.50769019999999998</v>
      </c>
      <c r="F3067" t="s">
        <v>66</v>
      </c>
      <c r="G3067">
        <v>-168.41050000000001</v>
      </c>
      <c r="H3067">
        <v>0.50741579999999997</v>
      </c>
      <c r="I3067">
        <v>206.88319999999999</v>
      </c>
      <c r="J3067">
        <v>-232.5548</v>
      </c>
      <c r="K3067">
        <v>1.109834</v>
      </c>
      <c r="L3067">
        <v>215.71879999999999</v>
      </c>
      <c r="M3067">
        <v>0.99990060000000003</v>
      </c>
      <c r="N3067">
        <v>0</v>
      </c>
      <c r="O3067">
        <v>-2.1038300000000001E-3</v>
      </c>
      <c r="P3067">
        <v>0.99238440000000006</v>
      </c>
      <c r="Q3067">
        <v>3.9757540000000001E-2</v>
      </c>
      <c r="R3067">
        <v>-0.1165873</v>
      </c>
      <c r="S3067">
        <v>2.9761660000000001</v>
      </c>
      <c r="T3067">
        <v>-2.7788879999999998E-2</v>
      </c>
      <c r="U3067">
        <v>-0.40763850000000001</v>
      </c>
      <c r="V3067">
        <v>0.11450109999999999</v>
      </c>
      <c r="W3067">
        <v>5.3591140000000002E-2</v>
      </c>
      <c r="X3067">
        <v>0.99197659999999999</v>
      </c>
      <c r="Y3067">
        <v>0.13361020000000001</v>
      </c>
      <c r="Z3067">
        <v>-6.0130379999999905E-4</v>
      </c>
      <c r="AA3067">
        <v>0.99103379999999996</v>
      </c>
      <c r="AB3067">
        <v>36</v>
      </c>
      <c r="AC3067">
        <v>64.144299999999902</v>
      </c>
      <c r="AD3067">
        <v>-0.60241820000000001</v>
      </c>
      <c r="AE3067">
        <v>-8.8355999999999995</v>
      </c>
      <c r="AF3067">
        <v>8.6998655634833302</v>
      </c>
      <c r="AG3067">
        <v>-0.60241820000000001</v>
      </c>
      <c r="AH3067">
        <v>64.157194981396003</v>
      </c>
      <c r="AI3067">
        <v>90.533096929128007</v>
      </c>
      <c r="AJ3067">
        <v>82.277661294480396</v>
      </c>
      <c r="AK3067">
        <v>64.747171647812095</v>
      </c>
      <c r="AL3067">
        <v>86.927982316528102</v>
      </c>
      <c r="AM3067">
        <v>83.415646435096704</v>
      </c>
      <c r="AN3067">
        <v>1.0000000435676299</v>
      </c>
    </row>
    <row r="3068" spans="1:40" x14ac:dyDescent="0.25">
      <c r="A3068" t="str">
        <f>"20190312154615221"</f>
        <v>20190312154615221</v>
      </c>
      <c r="B3068" t="str">
        <f>"1552376775209971"</f>
        <v>1552376775209971</v>
      </c>
      <c r="C3068" t="s">
        <v>40</v>
      </c>
      <c r="D3068">
        <v>4.232208</v>
      </c>
      <c r="E3068">
        <v>0.50754120000000003</v>
      </c>
      <c r="F3068" t="s">
        <v>66</v>
      </c>
      <c r="G3068">
        <v>-168.41050000000001</v>
      </c>
      <c r="H3068">
        <v>0.53737449999999998</v>
      </c>
      <c r="I3068">
        <v>206.9787</v>
      </c>
      <c r="J3068">
        <v>-231.99189999999999</v>
      </c>
      <c r="K3068">
        <v>1.109837</v>
      </c>
      <c r="L3068">
        <v>215.7176</v>
      </c>
      <c r="M3068">
        <v>0.99990069999999998</v>
      </c>
      <c r="N3068">
        <v>0</v>
      </c>
      <c r="O3068">
        <v>-2.1036890000000002E-3</v>
      </c>
      <c r="P3068">
        <v>0.99234109999999998</v>
      </c>
      <c r="Q3068">
        <v>4.102832E-2</v>
      </c>
      <c r="R3068">
        <v>-0.116517</v>
      </c>
      <c r="S3068">
        <v>2.9764560000000002</v>
      </c>
      <c r="T3068">
        <v>-2.6561979999999999E-2</v>
      </c>
      <c r="U3068">
        <v>-0.40556340000000002</v>
      </c>
      <c r="V3068">
        <v>0.11443109999999999</v>
      </c>
      <c r="W3068">
        <v>5.485814E-2</v>
      </c>
      <c r="X3068">
        <v>0.9919154</v>
      </c>
      <c r="Y3068">
        <v>0.1329196</v>
      </c>
      <c r="Z3068">
        <v>-5.7166219999999998E-4</v>
      </c>
      <c r="AA3068">
        <v>0.99112670000000003</v>
      </c>
      <c r="AB3068">
        <v>36</v>
      </c>
      <c r="AC3068">
        <v>63.581399999999903</v>
      </c>
      <c r="AD3068">
        <v>-0.57246249999999999</v>
      </c>
      <c r="AE3068">
        <v>-8.7388999999999992</v>
      </c>
      <c r="AF3068">
        <v>8.6044275939263599</v>
      </c>
      <c r="AG3068">
        <v>-0.57246249999999999</v>
      </c>
      <c r="AH3068">
        <v>63.594585276857003</v>
      </c>
      <c r="AI3068">
        <v>90.511091635331894</v>
      </c>
      <c r="AJ3068">
        <v>82.294600862962795</v>
      </c>
      <c r="AK3068">
        <v>64.176593584175706</v>
      </c>
      <c r="AL3068">
        <v>86.855281548246694</v>
      </c>
      <c r="AM3068">
        <v>83.419234011665395</v>
      </c>
      <c r="AN3068">
        <v>1.0000000264643101</v>
      </c>
    </row>
    <row r="3069" spans="1:40" x14ac:dyDescent="0.25">
      <c r="A3069" t="str">
        <f>"20190312154615245"</f>
        <v>20190312154615245</v>
      </c>
      <c r="B3069" t="str">
        <f>"1552376775240227"</f>
        <v>1552376775240227</v>
      </c>
      <c r="C3069" t="s">
        <v>40</v>
      </c>
      <c r="D3069">
        <v>4.2733889999999999</v>
      </c>
      <c r="E3069">
        <v>0.50755620000000001</v>
      </c>
      <c r="F3069" t="s">
        <v>66</v>
      </c>
      <c r="G3069">
        <v>-168.41050000000001</v>
      </c>
      <c r="H3069">
        <v>0.60339929999999997</v>
      </c>
      <c r="I3069">
        <v>207.08420000000001</v>
      </c>
      <c r="J3069">
        <v>-231.6131</v>
      </c>
      <c r="K3069">
        <v>1.109839</v>
      </c>
      <c r="L3069">
        <v>215.71680000000001</v>
      </c>
      <c r="M3069">
        <v>0.99990060000000003</v>
      </c>
      <c r="N3069">
        <v>0</v>
      </c>
      <c r="O3069">
        <v>-2.103555E-3</v>
      </c>
      <c r="P3069">
        <v>0.99235700000000004</v>
      </c>
      <c r="Q3069">
        <v>4.1722589999999997E-2</v>
      </c>
      <c r="R3069">
        <v>-0.1161338</v>
      </c>
      <c r="S3069">
        <v>2.9767000000000001</v>
      </c>
      <c r="T3069">
        <v>-2.3708340000000001E-2</v>
      </c>
      <c r="U3069">
        <v>-0.4041901</v>
      </c>
      <c r="V3069">
        <v>0.114048</v>
      </c>
      <c r="W3069">
        <v>5.5550410000000001E-2</v>
      </c>
      <c r="X3069">
        <v>0.99192089999999999</v>
      </c>
      <c r="Y3069">
        <v>0.13246089999999999</v>
      </c>
      <c r="Z3069">
        <v>-5.0840599999999998E-4</v>
      </c>
      <c r="AA3069">
        <v>0.99118810000000002</v>
      </c>
      <c r="AB3069">
        <v>36</v>
      </c>
      <c r="AC3069">
        <v>63.202599999999897</v>
      </c>
      <c r="AD3069">
        <v>-0.50643969999999905</v>
      </c>
      <c r="AE3069">
        <v>-8.6325999999999894</v>
      </c>
      <c r="AF3069">
        <v>8.4990821188021908</v>
      </c>
      <c r="AG3069">
        <v>-0.50643969999999905</v>
      </c>
      <c r="AH3069">
        <v>63.216636408571603</v>
      </c>
      <c r="AI3069">
        <v>90.454904205955998</v>
      </c>
      <c r="AJ3069">
        <v>82.342854456982295</v>
      </c>
      <c r="AK3069">
        <v>63.7874125266531</v>
      </c>
      <c r="AL3069">
        <v>86.815556524636904</v>
      </c>
      <c r="AM3069">
        <v>83.441109297271794</v>
      </c>
      <c r="AN3069">
        <v>0.99999993310598601</v>
      </c>
    </row>
    <row r="3070" spans="1:40" x14ac:dyDescent="0.25">
      <c r="A3070" t="str">
        <f>"20190312154615269"</f>
        <v>20190312154615269</v>
      </c>
      <c r="B3070" t="str">
        <f>"1552376775260723"</f>
        <v>1552376775260723</v>
      </c>
      <c r="C3070" t="s">
        <v>40</v>
      </c>
      <c r="D3070">
        <v>4.271255</v>
      </c>
      <c r="E3070">
        <v>0.50753839999999995</v>
      </c>
      <c r="F3070" t="s">
        <v>66</v>
      </c>
      <c r="G3070">
        <v>-168.41050000000001</v>
      </c>
      <c r="H3070">
        <v>0.62153630000000004</v>
      </c>
      <c r="I3070">
        <v>207.15649999999999</v>
      </c>
      <c r="J3070">
        <v>-231.2345</v>
      </c>
      <c r="K3070">
        <v>1.109845</v>
      </c>
      <c r="L3070">
        <v>215.71600000000001</v>
      </c>
      <c r="M3070">
        <v>0.99990060000000003</v>
      </c>
      <c r="N3070">
        <v>0</v>
      </c>
      <c r="O3070">
        <v>-2.103541E-3</v>
      </c>
      <c r="P3070">
        <v>0.99238409999999999</v>
      </c>
      <c r="Q3070">
        <v>4.1735510000000003E-2</v>
      </c>
      <c r="R3070">
        <v>-0.115897</v>
      </c>
      <c r="S3070">
        <v>2.9768979999999998</v>
      </c>
      <c r="T3070">
        <v>-2.2997859999999998E-2</v>
      </c>
      <c r="U3070">
        <v>-0.40319820000000001</v>
      </c>
      <c r="V3070">
        <v>0.1138111</v>
      </c>
      <c r="W3070">
        <v>5.556183E-2</v>
      </c>
      <c r="X3070">
        <v>0.99194749999999998</v>
      </c>
      <c r="Y3070">
        <v>0.1321281</v>
      </c>
      <c r="Z3070">
        <v>-4.9186960000000002E-4</v>
      </c>
      <c r="AA3070">
        <v>0.99123249999999996</v>
      </c>
      <c r="AB3070">
        <v>36</v>
      </c>
      <c r="AC3070">
        <v>62.823999999999899</v>
      </c>
      <c r="AD3070">
        <v>-0.48830869999999899</v>
      </c>
      <c r="AE3070">
        <v>-8.5594999999999803</v>
      </c>
      <c r="AF3070">
        <v>8.4268155345532794</v>
      </c>
      <c r="AG3070">
        <v>-0.48830869999999899</v>
      </c>
      <c r="AH3070">
        <v>62.838140868814698</v>
      </c>
      <c r="AI3070">
        <v>90.441280520131599</v>
      </c>
      <c r="AJ3070">
        <v>82.362003681133402</v>
      </c>
      <c r="AK3070">
        <v>63.402536331671101</v>
      </c>
      <c r="AL3070">
        <v>86.814901290297499</v>
      </c>
      <c r="AM3070">
        <v>83.454789047559998</v>
      </c>
      <c r="AN3070">
        <v>0.99999996309620298</v>
      </c>
    </row>
    <row r="3071" spans="1:40" x14ac:dyDescent="0.25">
      <c r="A3071" t="str">
        <f>"20190312154615290"</f>
        <v>20190312154615290</v>
      </c>
      <c r="B3071" t="str">
        <f>"1552376775280243"</f>
        <v>1552376775280243</v>
      </c>
      <c r="C3071" t="s">
        <v>40</v>
      </c>
      <c r="D3071">
        <v>4.2932290000000002</v>
      </c>
      <c r="E3071">
        <v>0.50751349999999995</v>
      </c>
      <c r="F3071" t="s">
        <v>66</v>
      </c>
      <c r="G3071">
        <v>-168.41040000000001</v>
      </c>
      <c r="H3071">
        <v>0.59703640000000002</v>
      </c>
      <c r="I3071">
        <v>207.2235</v>
      </c>
      <c r="J3071">
        <v>-230.8954</v>
      </c>
      <c r="K3071">
        <v>1.109847</v>
      </c>
      <c r="L3071">
        <v>215.71530000000001</v>
      </c>
      <c r="M3071">
        <v>0.99990060000000003</v>
      </c>
      <c r="N3071">
        <v>0</v>
      </c>
      <c r="O3071">
        <v>-2.1032910000000002E-3</v>
      </c>
      <c r="P3071">
        <v>0.99235370000000001</v>
      </c>
      <c r="Q3071">
        <v>4.2195799999999999E-2</v>
      </c>
      <c r="R3071">
        <v>-0.1159896</v>
      </c>
      <c r="S3071">
        <v>2.977036</v>
      </c>
      <c r="T3071">
        <v>-2.4298790000000001E-2</v>
      </c>
      <c r="U3071">
        <v>-0.4024353</v>
      </c>
      <c r="V3071">
        <v>0.11390409999999999</v>
      </c>
      <c r="W3071">
        <v>5.6020309999999997E-2</v>
      </c>
      <c r="X3071">
        <v>0.99191110000000005</v>
      </c>
      <c r="Y3071">
        <v>0.1318724</v>
      </c>
      <c r="Z3071">
        <v>-5.1864070000000003E-4</v>
      </c>
      <c r="AA3071">
        <v>0.99126650000000005</v>
      </c>
      <c r="AB3071">
        <v>35</v>
      </c>
      <c r="AC3071">
        <v>62.4849999999999</v>
      </c>
      <c r="AD3071">
        <v>-0.51281060000000001</v>
      </c>
      <c r="AE3071">
        <v>-8.4918000000000102</v>
      </c>
      <c r="AF3071">
        <v>8.3597914475674493</v>
      </c>
      <c r="AG3071">
        <v>-0.51281060000000001</v>
      </c>
      <c r="AH3071">
        <v>62.498591039631499</v>
      </c>
      <c r="AI3071">
        <v>90.465960441845496</v>
      </c>
      <c r="AJ3071">
        <v>82.381356877631404</v>
      </c>
      <c r="AK3071">
        <v>63.057299099290603</v>
      </c>
      <c r="AL3071">
        <v>86.788591539537194</v>
      </c>
      <c r="AM3071">
        <v>83.449248842215496</v>
      </c>
      <c r="AN3071">
        <v>1.0000000247162499</v>
      </c>
    </row>
    <row r="3072" spans="1:40" x14ac:dyDescent="0.25">
      <c r="A3072" t="str">
        <f>"20190312154615314"</f>
        <v>20190312154615314</v>
      </c>
      <c r="B3072" t="str">
        <f>"1552376775310500"</f>
        <v>1552376775310500</v>
      </c>
      <c r="C3072" t="s">
        <v>40</v>
      </c>
      <c r="D3072">
        <v>4.3483179999999999</v>
      </c>
      <c r="E3072">
        <v>0.51882450000000002</v>
      </c>
      <c r="F3072" t="s">
        <v>66</v>
      </c>
      <c r="G3072">
        <v>-168.41040000000001</v>
      </c>
      <c r="H3072">
        <v>0.60758020000000001</v>
      </c>
      <c r="I3072">
        <v>207.27330000000001</v>
      </c>
      <c r="J3072">
        <v>-230.5121</v>
      </c>
      <c r="K3072">
        <v>1.10985</v>
      </c>
      <c r="L3072">
        <v>215.71449999999999</v>
      </c>
      <c r="M3072">
        <v>0.99990069999999998</v>
      </c>
      <c r="N3072">
        <v>0</v>
      </c>
      <c r="O3072">
        <v>-2.1031550000000002E-3</v>
      </c>
      <c r="P3072">
        <v>0.9922976</v>
      </c>
      <c r="Q3072">
        <v>4.2424290000000003E-2</v>
      </c>
      <c r="R3072">
        <v>-0.11638560000000001</v>
      </c>
      <c r="S3072">
        <v>2.977112</v>
      </c>
      <c r="T3072">
        <v>-2.3928999999999999E-2</v>
      </c>
      <c r="U3072">
        <v>-0.40222170000000002</v>
      </c>
      <c r="V3072">
        <v>0.1143004</v>
      </c>
      <c r="W3072">
        <v>5.6245490000000002E-2</v>
      </c>
      <c r="X3072">
        <v>0.99185279999999998</v>
      </c>
      <c r="Y3072">
        <v>0.13179939999999901</v>
      </c>
      <c r="Z3072">
        <v>-5.1044670000000003E-4</v>
      </c>
      <c r="AA3072">
        <v>0.9912763</v>
      </c>
      <c r="AB3072">
        <v>35</v>
      </c>
      <c r="AC3072">
        <v>62.101700000000001</v>
      </c>
      <c r="AD3072">
        <v>-0.50226979999999999</v>
      </c>
      <c r="AE3072">
        <v>-8.4411999999999807</v>
      </c>
      <c r="AF3072">
        <v>8.3100254182356093</v>
      </c>
      <c r="AG3072">
        <v>-0.50226979999999999</v>
      </c>
      <c r="AH3072">
        <v>62.1153280324477</v>
      </c>
      <c r="AI3072">
        <v>90.459197445064106</v>
      </c>
      <c r="AJ3072">
        <v>82.379998396403295</v>
      </c>
      <c r="AK3072">
        <v>62.670748950226397</v>
      </c>
      <c r="AL3072">
        <v>86.775669405102406</v>
      </c>
      <c r="AM3072">
        <v>83.426273322396895</v>
      </c>
      <c r="AN3072">
        <v>1.00000005672666</v>
      </c>
    </row>
    <row r="3073" spans="1:40" x14ac:dyDescent="0.25">
      <c r="A3073" t="str">
        <f>"20190312154615339"</f>
        <v>20190312154615339</v>
      </c>
      <c r="B3073" t="str">
        <f>"1552376775330020"</f>
        <v>1552376775330020</v>
      </c>
      <c r="C3073" t="s">
        <v>40</v>
      </c>
      <c r="D3073">
        <v>4.3638870000000001</v>
      </c>
      <c r="E3073">
        <v>0.51976849999999997</v>
      </c>
      <c r="F3073" t="s">
        <v>53</v>
      </c>
      <c r="G3073">
        <v>-190.88929999999999</v>
      </c>
      <c r="H3073" s="1">
        <v>4.3646840000000003E-6</v>
      </c>
      <c r="I3073">
        <v>209.16050000000001</v>
      </c>
      <c r="J3073">
        <v>-230.1199</v>
      </c>
      <c r="K3073">
        <v>1.1098479999999999</v>
      </c>
      <c r="L3073">
        <v>215.71369999999999</v>
      </c>
      <c r="M3073">
        <v>0.99990080000000003</v>
      </c>
      <c r="N3073">
        <v>0</v>
      </c>
      <c r="O3073">
        <v>-2.1031380000000001E-3</v>
      </c>
      <c r="P3073">
        <v>0.99214480000000005</v>
      </c>
      <c r="Q3073">
        <v>4.2778049999999998E-2</v>
      </c>
      <c r="R3073">
        <v>-0.1175539</v>
      </c>
      <c r="S3073">
        <v>2.9692080000000001</v>
      </c>
      <c r="T3073">
        <v>-8.3168149999999996E-2</v>
      </c>
      <c r="U3073">
        <v>-0.49113459999999998</v>
      </c>
      <c r="V3073">
        <v>0.1154689</v>
      </c>
      <c r="W3073">
        <v>5.6594459999999999E-2</v>
      </c>
      <c r="X3073">
        <v>0.99169750000000001</v>
      </c>
      <c r="Y3073">
        <v>0.1610557</v>
      </c>
      <c r="Z3073">
        <v>-2.1814479999999999E-3</v>
      </c>
      <c r="AA3073">
        <v>0.98694289999999996</v>
      </c>
      <c r="AB3073">
        <v>35</v>
      </c>
      <c r="AC3073">
        <v>39.230600000000003</v>
      </c>
      <c r="AD3073">
        <v>-1.1098436353159999</v>
      </c>
      <c r="AE3073">
        <v>-6.5531999999999702</v>
      </c>
      <c r="AF3073">
        <v>6.4656359103209597</v>
      </c>
      <c r="AG3073">
        <v>-1.1098436353159999</v>
      </c>
      <c r="AH3073">
        <v>39.213764512938198</v>
      </c>
      <c r="AI3073">
        <v>91.599589303760794</v>
      </c>
      <c r="AJ3073">
        <v>80.637208136948303</v>
      </c>
      <c r="AK3073">
        <v>39.758716376360198</v>
      </c>
      <c r="AL3073">
        <v>86.755642702549693</v>
      </c>
      <c r="AM3073">
        <v>83.358636291797595</v>
      </c>
      <c r="AN3073">
        <v>0.99999996563807503</v>
      </c>
    </row>
    <row r="3074" spans="1:40" x14ac:dyDescent="0.25">
      <c r="A3074" t="str">
        <f>"20190312154615366"</f>
        <v>20190312154615366</v>
      </c>
      <c r="B3074" t="str">
        <f>"1552376775360276"</f>
        <v>1552376775360276</v>
      </c>
      <c r="C3074" t="s">
        <v>40</v>
      </c>
      <c r="D3074">
        <v>4.2610519999999896</v>
      </c>
      <c r="E3074">
        <v>0.52162470000000005</v>
      </c>
      <c r="F3074" t="s">
        <v>53</v>
      </c>
      <c r="G3074">
        <v>-192.24100000000001</v>
      </c>
      <c r="H3074" s="1">
        <v>4.085758E-6</v>
      </c>
      <c r="I3074">
        <v>209.3083</v>
      </c>
      <c r="J3074">
        <v>-229.71430000000001</v>
      </c>
      <c r="K3074">
        <v>1.1098429999999999</v>
      </c>
      <c r="L3074">
        <v>215.71279999999999</v>
      </c>
      <c r="M3074">
        <v>0.99990089999999998</v>
      </c>
      <c r="N3074">
        <v>0</v>
      </c>
      <c r="O3074">
        <v>-2.1032400000000001E-3</v>
      </c>
      <c r="P3074">
        <v>0.99205160000000003</v>
      </c>
      <c r="Q3074">
        <v>4.2700099999999998E-2</v>
      </c>
      <c r="R3074">
        <v>-0.1183675</v>
      </c>
      <c r="S3074">
        <v>2.9680179999999998</v>
      </c>
      <c r="T3074">
        <v>-8.6962339999999999E-2</v>
      </c>
      <c r="U3074">
        <v>-0.50189209999999995</v>
      </c>
      <c r="V3074">
        <v>0.1162825</v>
      </c>
      <c r="W3074">
        <v>5.6513050000000002E-2</v>
      </c>
      <c r="X3074">
        <v>0.99160709999999996</v>
      </c>
      <c r="Y3074">
        <v>0.16459089999999901</v>
      </c>
      <c r="Z3074">
        <v>-2.3325619999999998E-3</v>
      </c>
      <c r="AA3074">
        <v>0.98635919999999999</v>
      </c>
      <c r="AB3074">
        <v>35</v>
      </c>
      <c r="AC3074">
        <v>37.473300000000002</v>
      </c>
      <c r="AD3074">
        <v>-1.109838914242</v>
      </c>
      <c r="AE3074">
        <v>-6.4044999999999801</v>
      </c>
      <c r="AF3074">
        <v>6.32027633182431</v>
      </c>
      <c r="AG3074">
        <v>-1.109838914242</v>
      </c>
      <c r="AH3074">
        <v>37.4547674017359</v>
      </c>
      <c r="AI3074">
        <v>91.673613402681298</v>
      </c>
      <c r="AJ3074">
        <v>80.421897859352597</v>
      </c>
      <c r="AK3074">
        <v>38.000489950056199</v>
      </c>
      <c r="AL3074">
        <v>86.760314717041297</v>
      </c>
      <c r="AM3074">
        <v>83.311659142462702</v>
      </c>
      <c r="AN3074">
        <v>0.99999999269848105</v>
      </c>
    </row>
    <row r="3075" spans="1:40" x14ac:dyDescent="0.25">
      <c r="A3075" t="str">
        <f>"20190312154615386"</f>
        <v>20190312154615386</v>
      </c>
      <c r="B3075" t="str">
        <f>"1552376775380772"</f>
        <v>1552376775380772</v>
      </c>
      <c r="C3075" t="s">
        <v>40</v>
      </c>
      <c r="D3075">
        <v>4.2691819999999998</v>
      </c>
      <c r="E3075">
        <v>0.52233099999999999</v>
      </c>
      <c r="F3075" t="s">
        <v>53</v>
      </c>
      <c r="G3075">
        <v>-189.11959999999999</v>
      </c>
      <c r="H3075" s="1">
        <v>4.6174640000000001E-6</v>
      </c>
      <c r="I3075">
        <v>208.60659999999999</v>
      </c>
      <c r="J3075">
        <v>-229.37020000000001</v>
      </c>
      <c r="K3075">
        <v>1.1098429999999999</v>
      </c>
      <c r="L3075">
        <v>215.71209999999999</v>
      </c>
      <c r="M3075">
        <v>0.99990089999999998</v>
      </c>
      <c r="N3075">
        <v>0</v>
      </c>
      <c r="O3075">
        <v>-2.1032239999999999E-3</v>
      </c>
      <c r="P3075">
        <v>0.99197590000000002</v>
      </c>
      <c r="Q3075">
        <v>4.2635840000000001E-2</v>
      </c>
      <c r="R3075">
        <v>-0.119022</v>
      </c>
      <c r="S3075">
        <v>2.9656069999999999</v>
      </c>
      <c r="T3075">
        <v>-8.1078289999999997E-2</v>
      </c>
      <c r="U3075">
        <v>-0.51913450000000005</v>
      </c>
      <c r="V3075">
        <v>0.11693729999999999</v>
      </c>
      <c r="W3075">
        <v>5.6445450000000001E-2</v>
      </c>
      <c r="X3075">
        <v>0.99153389999999997</v>
      </c>
      <c r="Y3075">
        <v>0.17029649999999999</v>
      </c>
      <c r="Z3075">
        <v>-2.2528660000000001E-3</v>
      </c>
      <c r="AA3075">
        <v>0.98539030000000005</v>
      </c>
      <c r="AB3075">
        <v>35</v>
      </c>
      <c r="AC3075">
        <v>40.250599999999999</v>
      </c>
      <c r="AD3075">
        <v>-1.1098383825360001</v>
      </c>
      <c r="AE3075">
        <v>-7.1055000000000001</v>
      </c>
      <c r="AF3075">
        <v>7.0156473771715699</v>
      </c>
      <c r="AG3075">
        <v>-1.1098383825360001</v>
      </c>
      <c r="AH3075">
        <v>40.235790806819203</v>
      </c>
      <c r="AI3075">
        <v>91.556537197255096</v>
      </c>
      <c r="AJ3075">
        <v>80.109151608273194</v>
      </c>
      <c r="AK3075">
        <v>40.857923481330801</v>
      </c>
      <c r="AL3075">
        <v>86.764193959043794</v>
      </c>
      <c r="AM3075">
        <v>83.273848432420706</v>
      </c>
      <c r="AN3075">
        <v>0.99999994790309898</v>
      </c>
    </row>
    <row r="3076" spans="1:40" x14ac:dyDescent="0.25">
      <c r="A3076" t="str">
        <f>"20190312154615409"</f>
        <v>20190312154615409</v>
      </c>
      <c r="B3076" t="str">
        <f>"1552376775400292"</f>
        <v>1552376775400292</v>
      </c>
      <c r="C3076" t="s">
        <v>40</v>
      </c>
      <c r="D3076">
        <v>4.2822139999999997</v>
      </c>
      <c r="E3076">
        <v>0.52256359999999902</v>
      </c>
      <c r="F3076" t="s">
        <v>53</v>
      </c>
      <c r="G3076">
        <v>-186.4734</v>
      </c>
      <c r="H3076" s="1">
        <v>4.3313899999999999E-6</v>
      </c>
      <c r="I3076">
        <v>208.08799999999999</v>
      </c>
      <c r="J3076">
        <v>-229.0282</v>
      </c>
      <c r="K3076">
        <v>1.1098399999999999</v>
      </c>
      <c r="L3076">
        <v>215.71129999999999</v>
      </c>
      <c r="M3076">
        <v>0.99990100000000004</v>
      </c>
      <c r="N3076">
        <v>0</v>
      </c>
      <c r="O3076">
        <v>-2.1030910000000001E-3</v>
      </c>
      <c r="P3076">
        <v>0.99197829999999998</v>
      </c>
      <c r="Q3076">
        <v>4.2412329999999998E-2</v>
      </c>
      <c r="R3076">
        <v>-0.11908299999999999</v>
      </c>
      <c r="S3076">
        <v>2.9643709999999999</v>
      </c>
      <c r="T3076">
        <v>-7.6695079999999999E-2</v>
      </c>
      <c r="U3076">
        <v>-0.52685550000000003</v>
      </c>
      <c r="V3076">
        <v>0.1169984</v>
      </c>
      <c r="W3076">
        <v>5.6220270000000003E-2</v>
      </c>
      <c r="X3076">
        <v>0.99153950000000002</v>
      </c>
      <c r="Y3076">
        <v>0.1728605</v>
      </c>
      <c r="Z3076">
        <v>-2.1644189999999999E-3</v>
      </c>
      <c r="AA3076">
        <v>0.98494389999999998</v>
      </c>
      <c r="AB3076">
        <v>35</v>
      </c>
      <c r="AC3076">
        <v>42.5548</v>
      </c>
      <c r="AD3076">
        <v>-1.1098356686099999</v>
      </c>
      <c r="AE3076">
        <v>-7.6233000000000004</v>
      </c>
      <c r="AF3076">
        <v>7.5288161775925904</v>
      </c>
      <c r="AG3076">
        <v>-1.1098356686099999</v>
      </c>
      <c r="AH3076">
        <v>42.542703200046702</v>
      </c>
      <c r="AI3076">
        <v>91.4715136264238</v>
      </c>
      <c r="AJ3076">
        <v>79.964228182802998</v>
      </c>
      <c r="AK3076">
        <v>43.218010178796597</v>
      </c>
      <c r="AL3076">
        <v>86.777116389720007</v>
      </c>
      <c r="AM3076">
        <v>83.270403887011</v>
      </c>
      <c r="AN3076">
        <v>0.99999996221083998</v>
      </c>
    </row>
    <row r="3077" spans="1:40" x14ac:dyDescent="0.25">
      <c r="A3077" t="str">
        <f>"20190312154615427"</f>
        <v>20190312154615427</v>
      </c>
      <c r="B3077" t="str">
        <f>"1552376775420789"</f>
        <v>1552376775420789</v>
      </c>
      <c r="C3077" t="s">
        <v>40</v>
      </c>
      <c r="D3077">
        <v>4.2640440000000002</v>
      </c>
      <c r="E3077">
        <v>0.52258400000000005</v>
      </c>
      <c r="F3077" t="s">
        <v>53</v>
      </c>
      <c r="G3077">
        <v>-186.5642</v>
      </c>
      <c r="H3077" s="1">
        <v>4.3311649999999901E-6</v>
      </c>
      <c r="I3077">
        <v>208.13419999999999</v>
      </c>
      <c r="J3077">
        <v>-228.72460000000001</v>
      </c>
      <c r="K3077">
        <v>1.109847</v>
      </c>
      <c r="L3077">
        <v>215.7107</v>
      </c>
      <c r="M3077">
        <v>0.99990089999999998</v>
      </c>
      <c r="N3077">
        <v>0</v>
      </c>
      <c r="O3077">
        <v>-2.1028399999999999E-3</v>
      </c>
      <c r="P3077">
        <v>0.99193509999999996</v>
      </c>
      <c r="Q3077">
        <v>4.2366859999999999E-2</v>
      </c>
      <c r="R3077">
        <v>-0.11945799999999999</v>
      </c>
      <c r="S3077">
        <v>2.9640810000000002</v>
      </c>
      <c r="T3077">
        <v>-7.7468990000000001E-2</v>
      </c>
      <c r="U3077">
        <v>-0.52890009999999998</v>
      </c>
      <c r="V3077">
        <v>0.11737359999999999</v>
      </c>
      <c r="W3077">
        <v>5.6172189999999997E-2</v>
      </c>
      <c r="X3077">
        <v>0.99149790000000004</v>
      </c>
      <c r="Y3077">
        <v>0.17353440000000001</v>
      </c>
      <c r="Z3077">
        <v>-2.195074E-3</v>
      </c>
      <c r="AA3077">
        <v>0.98482539999999996</v>
      </c>
      <c r="AB3077">
        <v>35</v>
      </c>
      <c r="AC3077">
        <v>42.160400000000003</v>
      </c>
      <c r="AD3077">
        <v>-1.109842668835</v>
      </c>
      <c r="AE3077">
        <v>-7.5765000000000002</v>
      </c>
      <c r="AF3077">
        <v>7.4827949580759601</v>
      </c>
      <c r="AG3077">
        <v>-1.109842668835</v>
      </c>
      <c r="AH3077">
        <v>42.147947006842301</v>
      </c>
      <c r="AI3077">
        <v>91.485154688799298</v>
      </c>
      <c r="AJ3077">
        <v>79.932808558898898</v>
      </c>
      <c r="AK3077">
        <v>42.821412961575199</v>
      </c>
      <c r="AL3077">
        <v>86.779875592606999</v>
      </c>
      <c r="AM3077">
        <v>83.248741109733203</v>
      </c>
      <c r="AN3077">
        <v>0.99999998130538204</v>
      </c>
    </row>
    <row r="3078" spans="1:40" x14ac:dyDescent="0.25">
      <c r="A3078" t="str">
        <f>"20190312154615449"</f>
        <v>20190312154615449</v>
      </c>
      <c r="B3078" t="str">
        <f>"1552376775440308"</f>
        <v>1552376775440308</v>
      </c>
      <c r="C3078" t="s">
        <v>40</v>
      </c>
      <c r="D3078">
        <v>4.2337579999999999</v>
      </c>
      <c r="E3078">
        <v>0.52267600000000003</v>
      </c>
      <c r="F3078" t="s">
        <v>53</v>
      </c>
      <c r="G3078">
        <v>-187.5693</v>
      </c>
      <c r="H3078" s="1">
        <v>4.4321070000000003E-6</v>
      </c>
      <c r="I3078">
        <v>208.35300000000001</v>
      </c>
      <c r="J3078">
        <v>-228.39590000000001</v>
      </c>
      <c r="K3078">
        <v>1.10985</v>
      </c>
      <c r="L3078">
        <v>215.71</v>
      </c>
      <c r="M3078">
        <v>0.99990100000000004</v>
      </c>
      <c r="N3078">
        <v>0</v>
      </c>
      <c r="O3078">
        <v>-2.102708E-3</v>
      </c>
      <c r="P3078">
        <v>0.99188759999999998</v>
      </c>
      <c r="Q3078">
        <v>4.2775239999999999E-2</v>
      </c>
      <c r="R3078">
        <v>-0.1197071</v>
      </c>
      <c r="S3078">
        <v>2.963959</v>
      </c>
      <c r="T3078">
        <v>-7.9929589999999995E-2</v>
      </c>
      <c r="U3078">
        <v>-0.52989200000000003</v>
      </c>
      <c r="V3078">
        <v>0.11762300000000001</v>
      </c>
      <c r="W3078">
        <v>5.6577799999999998E-2</v>
      </c>
      <c r="X3078">
        <v>0.99144529999999997</v>
      </c>
      <c r="Y3078">
        <v>0.17385719999999999</v>
      </c>
      <c r="Z3078">
        <v>-2.2691159999999998E-3</v>
      </c>
      <c r="AA3078">
        <v>0.98476830000000004</v>
      </c>
      <c r="AB3078">
        <v>35</v>
      </c>
      <c r="AC3078">
        <v>40.826599999999999</v>
      </c>
      <c r="AD3078">
        <v>-1.1098455678929999</v>
      </c>
      <c r="AE3078">
        <v>-7.3570000000000197</v>
      </c>
      <c r="AF3078">
        <v>7.2659284300830196</v>
      </c>
      <c r="AG3078">
        <v>-1.1098455678929999</v>
      </c>
      <c r="AH3078">
        <v>40.812769185654602</v>
      </c>
      <c r="AI3078">
        <v>91.533591656783997</v>
      </c>
      <c r="AJ3078">
        <v>79.905351728977294</v>
      </c>
      <c r="AK3078">
        <v>41.469357382737201</v>
      </c>
      <c r="AL3078">
        <v>86.756598894513502</v>
      </c>
      <c r="AM3078">
        <v>83.234172997497893</v>
      </c>
      <c r="AN3078">
        <v>1.00000000023696</v>
      </c>
    </row>
    <row r="3079" spans="1:40" x14ac:dyDescent="0.25">
      <c r="A3079" t="str">
        <f>"20190312154615471"</f>
        <v>20190312154615471</v>
      </c>
      <c r="B3079" t="str">
        <f>"1552376775459828"</f>
        <v>1552376775459828</v>
      </c>
      <c r="C3079" t="s">
        <v>40</v>
      </c>
      <c r="D3079">
        <v>4.2112420000000004</v>
      </c>
      <c r="E3079">
        <v>0.52283440000000003</v>
      </c>
      <c r="F3079" t="s">
        <v>53</v>
      </c>
      <c r="G3079">
        <v>-187.6446</v>
      </c>
      <c r="H3079" s="1">
        <v>4.4265930000000001E-6</v>
      </c>
      <c r="I3079">
        <v>208.40639999999999</v>
      </c>
      <c r="J3079">
        <v>-228.0359</v>
      </c>
      <c r="K3079">
        <v>1.109856</v>
      </c>
      <c r="L3079">
        <v>215.70930000000001</v>
      </c>
      <c r="M3079">
        <v>0.99990089999999998</v>
      </c>
      <c r="N3079">
        <v>0</v>
      </c>
      <c r="O3079">
        <v>-2.1026930000000001E-3</v>
      </c>
      <c r="P3079">
        <v>0.99178719999999998</v>
      </c>
      <c r="Q3079">
        <v>4.2823130000000001E-2</v>
      </c>
      <c r="R3079">
        <v>-0.120518</v>
      </c>
      <c r="S3079">
        <v>2.9639129999999998</v>
      </c>
      <c r="T3079">
        <v>-8.0721139999999997E-2</v>
      </c>
      <c r="U3079">
        <v>-0.53120419999999902</v>
      </c>
      <c r="V3079">
        <v>0.1184342</v>
      </c>
      <c r="W3079">
        <v>5.6622069999999997E-2</v>
      </c>
      <c r="X3079">
        <v>0.99134619999999996</v>
      </c>
      <c r="Y3079">
        <v>0.17428089999999999</v>
      </c>
      <c r="Z3079">
        <v>-2.2972499999999998E-3</v>
      </c>
      <c r="AA3079">
        <v>0.98469329999999999</v>
      </c>
      <c r="AB3079">
        <v>35</v>
      </c>
      <c r="AC3079">
        <v>40.391300000000001</v>
      </c>
      <c r="AD3079">
        <v>-1.109851573407</v>
      </c>
      <c r="AE3079">
        <v>-7.3029000000000197</v>
      </c>
      <c r="AF3079">
        <v>7.2126718452000302</v>
      </c>
      <c r="AG3079">
        <v>-1.109851573407</v>
      </c>
      <c r="AH3079">
        <v>40.3770477744525</v>
      </c>
      <c r="AI3079">
        <v>91.549980223652796</v>
      </c>
      <c r="AJ3079">
        <v>79.871911443605001</v>
      </c>
      <c r="AK3079">
        <v>41.031212419839001</v>
      </c>
      <c r="AL3079">
        <v>86.754058347956899</v>
      </c>
      <c r="AM3079">
        <v>83.187274156626202</v>
      </c>
      <c r="AN3079">
        <v>1.00000000339758</v>
      </c>
    </row>
    <row r="3080" spans="1:40" x14ac:dyDescent="0.25">
      <c r="A3080" t="str">
        <f>"20190312154615497"</f>
        <v>20190312154615497</v>
      </c>
      <c r="B3080" t="str">
        <f>"1552376775490084"</f>
        <v>1552376775490084</v>
      </c>
      <c r="C3080" t="s">
        <v>40</v>
      </c>
      <c r="D3080">
        <v>4.1287159999999998</v>
      </c>
      <c r="E3080">
        <v>0.52310590000000001</v>
      </c>
      <c r="F3080" t="s">
        <v>53</v>
      </c>
      <c r="G3080">
        <v>-187.88630000000001</v>
      </c>
      <c r="H3080" s="1">
        <v>4.4485389999999999E-6</v>
      </c>
      <c r="I3080">
        <v>208.46559999999999</v>
      </c>
      <c r="J3080">
        <v>-227.62270000000001</v>
      </c>
      <c r="K3080">
        <v>1.1098520000000001</v>
      </c>
      <c r="L3080">
        <v>215.70840000000001</v>
      </c>
      <c r="M3080">
        <v>0.99990109999999999</v>
      </c>
      <c r="N3080">
        <v>0</v>
      </c>
      <c r="O3080">
        <v>-2.102437E-3</v>
      </c>
      <c r="P3080">
        <v>0.99174949999999995</v>
      </c>
      <c r="Q3080">
        <v>4.2618129999999997E-2</v>
      </c>
      <c r="R3080">
        <v>-0.1208991</v>
      </c>
      <c r="S3080">
        <v>2.963425</v>
      </c>
      <c r="T3080">
        <v>-8.191764E-2</v>
      </c>
      <c r="U3080">
        <v>-0.53465269999999898</v>
      </c>
      <c r="V3080">
        <v>0.1188157</v>
      </c>
      <c r="W3080">
        <v>5.6414029999999997E-2</v>
      </c>
      <c r="X3080">
        <v>0.99131239999999998</v>
      </c>
      <c r="Y3080">
        <v>0.17541689999999999</v>
      </c>
      <c r="Z3080">
        <v>-2.3470090000000002E-3</v>
      </c>
      <c r="AA3080">
        <v>0.98449149999999996</v>
      </c>
      <c r="AB3080">
        <v>35</v>
      </c>
      <c r="AC3080">
        <v>39.736400000000003</v>
      </c>
      <c r="AD3080">
        <v>-1.109847551461</v>
      </c>
      <c r="AE3080">
        <v>-7.2428000000000097</v>
      </c>
      <c r="AF3080">
        <v>7.1538313824302699</v>
      </c>
      <c r="AG3080">
        <v>-1.109847551461</v>
      </c>
      <c r="AH3080">
        <v>39.721550792568998</v>
      </c>
      <c r="AI3080">
        <v>91.575138700852506</v>
      </c>
      <c r="AJ3080">
        <v>79.790504433552698</v>
      </c>
      <c r="AK3080">
        <v>40.375867326936302</v>
      </c>
      <c r="AL3080">
        <v>86.765997214466395</v>
      </c>
      <c r="AM3080">
        <v>83.165305439798402</v>
      </c>
      <c r="AN3080">
        <v>0.99999999387054495</v>
      </c>
    </row>
    <row r="3081" spans="1:40" x14ac:dyDescent="0.25">
      <c r="A3081" t="str">
        <f>"20190312154615519"</f>
        <v>20190312154615519</v>
      </c>
      <c r="B3081" t="str">
        <f>"1552376775510579"</f>
        <v>1552376775510579</v>
      </c>
      <c r="C3081" t="s">
        <v>40</v>
      </c>
      <c r="D3081">
        <v>4.1304019999999904</v>
      </c>
      <c r="E3081">
        <v>0.52327449999999998</v>
      </c>
      <c r="F3081" t="s">
        <v>53</v>
      </c>
      <c r="G3081">
        <v>-187.09059999999999</v>
      </c>
      <c r="H3081" s="1">
        <v>4.3483109999999996E-6</v>
      </c>
      <c r="I3081">
        <v>208.34979999999999</v>
      </c>
      <c r="J3081">
        <v>-227.28489999999999</v>
      </c>
      <c r="K3081">
        <v>1.10985</v>
      </c>
      <c r="L3081">
        <v>215.70769999999999</v>
      </c>
      <c r="M3081">
        <v>0.99990100000000004</v>
      </c>
      <c r="N3081">
        <v>0</v>
      </c>
      <c r="O3081">
        <v>-2.1024250000000002E-3</v>
      </c>
      <c r="P3081">
        <v>0.9916644</v>
      </c>
      <c r="Q3081">
        <v>4.195049E-2</v>
      </c>
      <c r="R3081">
        <v>-0.12182949999999999</v>
      </c>
      <c r="S3081">
        <v>2.96286</v>
      </c>
      <c r="T3081">
        <v>-8.1128839999999994E-2</v>
      </c>
      <c r="U3081">
        <v>-0.53790280000000001</v>
      </c>
      <c r="V3081">
        <v>0.11974600000000001</v>
      </c>
      <c r="W3081">
        <v>5.57437E-2</v>
      </c>
      <c r="X3081">
        <v>0.99123839999999996</v>
      </c>
      <c r="Y3081">
        <v>0.17649609999999999</v>
      </c>
      <c r="Z3081">
        <v>-2.33928E-3</v>
      </c>
      <c r="AA3081">
        <v>0.98429860000000002</v>
      </c>
      <c r="AB3081">
        <v>35</v>
      </c>
      <c r="AC3081">
        <v>40.194299999999998</v>
      </c>
      <c r="AD3081">
        <v>-1.1098456516890001</v>
      </c>
      <c r="AE3081">
        <v>-7.3578999999999999</v>
      </c>
      <c r="AF3081">
        <v>7.2680084241116596</v>
      </c>
      <c r="AG3081">
        <v>-1.1098456516890001</v>
      </c>
      <c r="AH3081">
        <v>40.180041152784597</v>
      </c>
      <c r="AI3081">
        <v>91.556957221200406</v>
      </c>
      <c r="AJ3081">
        <v>79.746860890687202</v>
      </c>
      <c r="AK3081">
        <v>40.847171393659501</v>
      </c>
      <c r="AL3081">
        <v>86.8044648981476</v>
      </c>
      <c r="AM3081">
        <v>83.111794182021598</v>
      </c>
      <c r="AN3081">
        <v>1.00000001512012</v>
      </c>
    </row>
    <row r="3082" spans="1:40" x14ac:dyDescent="0.25">
      <c r="A3082" t="str">
        <f>"20190312154615542"</f>
        <v>20190312154615542</v>
      </c>
      <c r="B3082" t="str">
        <f>"1552376775530101"</f>
        <v>1552376775530101</v>
      </c>
      <c r="C3082" t="s">
        <v>40</v>
      </c>
      <c r="D3082">
        <v>4.1432840000000004</v>
      </c>
      <c r="E3082">
        <v>0.52355370000000001</v>
      </c>
      <c r="F3082" t="s">
        <v>53</v>
      </c>
      <c r="G3082">
        <v>-187.44200000000001</v>
      </c>
      <c r="H3082" s="1">
        <v>4.3863849999999998E-6</v>
      </c>
      <c r="I3082">
        <v>208.41849999999999</v>
      </c>
      <c r="J3082">
        <v>-226.91909999999999</v>
      </c>
      <c r="K3082">
        <v>1.109845</v>
      </c>
      <c r="L3082">
        <v>215.70689999999999</v>
      </c>
      <c r="M3082">
        <v>0.99990109999999999</v>
      </c>
      <c r="N3082">
        <v>0</v>
      </c>
      <c r="O3082">
        <v>-2.1100979999999999E-3</v>
      </c>
      <c r="P3082">
        <v>0.99165400000000004</v>
      </c>
      <c r="Q3082">
        <v>4.1772539999999997E-2</v>
      </c>
      <c r="R3082">
        <v>-0.1219741</v>
      </c>
      <c r="S3082">
        <v>2.9621279999999999</v>
      </c>
      <c r="T3082">
        <v>-8.2511780000000007E-2</v>
      </c>
      <c r="U3082">
        <v>-0.54191590000000001</v>
      </c>
      <c r="V3082">
        <v>0.1198835</v>
      </c>
      <c r="W3082">
        <v>5.5562309999999997E-2</v>
      </c>
      <c r="X3082">
        <v>0.99123190000000005</v>
      </c>
      <c r="Y3082">
        <v>0.17781910000000001</v>
      </c>
      <c r="Z3082">
        <v>-2.3974930000000001E-3</v>
      </c>
      <c r="AA3082">
        <v>0.9840603</v>
      </c>
      <c r="AB3082">
        <v>35</v>
      </c>
      <c r="AC3082">
        <v>39.477099999999901</v>
      </c>
      <c r="AD3082">
        <v>-1.1098406136150001</v>
      </c>
      <c r="AE3082">
        <v>-7.2883999999999904</v>
      </c>
      <c r="AF3082">
        <v>7.1995724038689604</v>
      </c>
      <c r="AG3082">
        <v>-1.1098406136150001</v>
      </c>
      <c r="AH3082">
        <v>39.462231123676503</v>
      </c>
      <c r="AI3082">
        <v>91.584822919631804</v>
      </c>
      <c r="AJ3082">
        <v>79.660553266183598</v>
      </c>
      <c r="AK3082">
        <v>40.128958050822099</v>
      </c>
      <c r="AL3082">
        <v>86.814873709504198</v>
      </c>
      <c r="AM3082">
        <v>83.103916040617804</v>
      </c>
      <c r="AN3082">
        <v>0.99999995172119704</v>
      </c>
    </row>
    <row r="3083" spans="1:40" x14ac:dyDescent="0.25">
      <c r="A3083" t="str">
        <f>"20190312154615579"</f>
        <v>20190312154615579</v>
      </c>
      <c r="B3083" t="str">
        <f>"1552376775570117"</f>
        <v>1552376775570117</v>
      </c>
      <c r="C3083" t="s">
        <v>40</v>
      </c>
      <c r="D3083">
        <v>4.0699500000000004</v>
      </c>
      <c r="E3083">
        <v>0.52405599999999997</v>
      </c>
      <c r="F3083" t="s">
        <v>53</v>
      </c>
      <c r="G3083">
        <v>-186.68790000000001</v>
      </c>
      <c r="H3083" s="1">
        <v>4.2915759999999999E-6</v>
      </c>
      <c r="I3083">
        <v>208.3083</v>
      </c>
      <c r="J3083">
        <v>-226.34979999999999</v>
      </c>
      <c r="K3083">
        <v>1.1098170000000001</v>
      </c>
      <c r="L3083">
        <v>215.7056</v>
      </c>
      <c r="M3083">
        <v>0.99990100000000004</v>
      </c>
      <c r="N3083">
        <v>0</v>
      </c>
      <c r="O3083">
        <v>-2.1631060000000001E-3</v>
      </c>
      <c r="P3083">
        <v>0.99159149999999996</v>
      </c>
      <c r="Q3083">
        <v>4.1403389999999998E-2</v>
      </c>
      <c r="R3083">
        <v>-0.1226069</v>
      </c>
      <c r="S3083">
        <v>2.9617</v>
      </c>
      <c r="T3083">
        <v>-8.1703189999999995E-2</v>
      </c>
      <c r="U3083">
        <v>-0.54466250000000005</v>
      </c>
      <c r="V3083">
        <v>0.1204667</v>
      </c>
      <c r="W3083">
        <v>5.518381E-2</v>
      </c>
      <c r="X3083">
        <v>0.99118240000000002</v>
      </c>
      <c r="Y3083">
        <v>0.1786759</v>
      </c>
      <c r="Z3083">
        <v>-2.3844140000000001E-3</v>
      </c>
      <c r="AA3083">
        <v>0.98390509999999998</v>
      </c>
      <c r="AB3083">
        <v>35</v>
      </c>
      <c r="AC3083">
        <v>39.661899999999903</v>
      </c>
      <c r="AD3083">
        <v>-1.1098127084239999</v>
      </c>
      <c r="AE3083">
        <v>-7.3973000000000004</v>
      </c>
      <c r="AF3083">
        <v>7.3059533650924102</v>
      </c>
      <c r="AG3083">
        <v>-1.1098127084239999</v>
      </c>
      <c r="AH3083">
        <v>39.647809888060998</v>
      </c>
      <c r="AI3083">
        <v>91.576857491314698</v>
      </c>
      <c r="AJ3083">
        <v>79.559157037795998</v>
      </c>
      <c r="AK3083">
        <v>40.330602124695702</v>
      </c>
      <c r="AL3083">
        <v>86.836593685547498</v>
      </c>
      <c r="AM3083">
        <v>83.070351200698198</v>
      </c>
      <c r="AN3083">
        <v>1.00000001438238</v>
      </c>
    </row>
    <row r="3084" spans="1:40" x14ac:dyDescent="0.25">
      <c r="A3084" t="str">
        <f>"20190312154615603"</f>
        <v>20190312154615603</v>
      </c>
      <c r="B3084" t="str">
        <f>"1552376775590611"</f>
        <v>1552376775590611</v>
      </c>
      <c r="C3084" t="s">
        <v>40</v>
      </c>
      <c r="D3084">
        <v>4.0783139999999998</v>
      </c>
      <c r="E3084">
        <v>0.52436689999999997</v>
      </c>
      <c r="F3084" t="s">
        <v>53</v>
      </c>
      <c r="G3084">
        <v>-186.40979999999999</v>
      </c>
      <c r="H3084" s="1">
        <v>4.2520409999999998E-6</v>
      </c>
      <c r="I3084">
        <v>208.28059999999999</v>
      </c>
      <c r="J3084">
        <v>-225.9709</v>
      </c>
      <c r="K3084">
        <v>1.1097950000000001</v>
      </c>
      <c r="L3084">
        <v>215.70480000000001</v>
      </c>
      <c r="M3084">
        <v>0.99990100000000004</v>
      </c>
      <c r="N3084">
        <v>0</v>
      </c>
      <c r="O3084">
        <v>-2.2280379999999999E-3</v>
      </c>
      <c r="P3084">
        <v>0.99154200000000003</v>
      </c>
      <c r="Q3084">
        <v>4.1629050000000001E-2</v>
      </c>
      <c r="R3084">
        <v>-0.12293129999999999</v>
      </c>
      <c r="S3084">
        <v>2.9608150000000002</v>
      </c>
      <c r="T3084">
        <v>-8.2272289999999998E-2</v>
      </c>
      <c r="U3084">
        <v>-0.55043030000000004</v>
      </c>
      <c r="V3084">
        <v>0.1207294</v>
      </c>
      <c r="W3084">
        <v>5.5400430000000001E-2</v>
      </c>
      <c r="X3084">
        <v>0.99113830000000003</v>
      </c>
      <c r="Y3084">
        <v>0.1805157</v>
      </c>
      <c r="Z3084">
        <v>-2.4248519999999999E-3</v>
      </c>
      <c r="AA3084">
        <v>0.98356909999999997</v>
      </c>
      <c r="AB3084">
        <v>35</v>
      </c>
      <c r="AC3084">
        <v>39.561100000000003</v>
      </c>
      <c r="AD3084">
        <v>-1.1097907479589999</v>
      </c>
      <c r="AE3084">
        <v>-7.4242000000000097</v>
      </c>
      <c r="AF3084">
        <v>7.3304569944807403</v>
      </c>
      <c r="AG3084">
        <v>-1.1097907479589999</v>
      </c>
      <c r="AH3084">
        <v>39.5474817659221</v>
      </c>
      <c r="AI3084">
        <v>91.580517607786604</v>
      </c>
      <c r="AJ3084">
        <v>79.498929198611606</v>
      </c>
      <c r="AK3084">
        <v>40.2364331082929</v>
      </c>
      <c r="AL3084">
        <v>86.824163093821994</v>
      </c>
      <c r="AM3084">
        <v>83.055081245622901</v>
      </c>
      <c r="AN3084">
        <v>0.99999996269771596</v>
      </c>
    </row>
    <row r="3085" spans="1:40" x14ac:dyDescent="0.25">
      <c r="A3085" t="str">
        <f>"20190312154615625"</f>
        <v>20190312154615625</v>
      </c>
      <c r="B3085" t="str">
        <f>"1552376775619892"</f>
        <v>1552376775619892</v>
      </c>
      <c r="C3085" t="s">
        <v>40</v>
      </c>
      <c r="D3085">
        <v>4.0890309999999896</v>
      </c>
      <c r="E3085">
        <v>0.52464849999999996</v>
      </c>
      <c r="F3085" t="s">
        <v>53</v>
      </c>
      <c r="G3085">
        <v>-184.57069999999999</v>
      </c>
      <c r="H3085" s="1">
        <v>4.0397880000000004E-6</v>
      </c>
      <c r="I3085">
        <v>207.95820000000001</v>
      </c>
      <c r="J3085">
        <v>-225.62809999999999</v>
      </c>
      <c r="K3085">
        <v>1.109772</v>
      </c>
      <c r="L3085">
        <v>215.7039</v>
      </c>
      <c r="M3085">
        <v>0.99990060000000003</v>
      </c>
      <c r="N3085">
        <v>0</v>
      </c>
      <c r="O3085">
        <v>-2.3157630000000002E-3</v>
      </c>
      <c r="P3085">
        <v>0.99153219999999997</v>
      </c>
      <c r="Q3085">
        <v>4.1223530000000001E-2</v>
      </c>
      <c r="R3085">
        <v>-0.1231444</v>
      </c>
      <c r="S3085">
        <v>2.9602659999999998</v>
      </c>
      <c r="T3085">
        <v>-7.9354049999999995E-2</v>
      </c>
      <c r="U3085">
        <v>-0.55390930000000005</v>
      </c>
      <c r="V3085">
        <v>0.12085839999999901</v>
      </c>
      <c r="W3085">
        <v>5.4986689999999998E-2</v>
      </c>
      <c r="X3085">
        <v>0.99114570000000002</v>
      </c>
      <c r="Y3085">
        <v>0.18158350000000001</v>
      </c>
      <c r="Z3085">
        <v>-2.350904E-3</v>
      </c>
      <c r="AA3085">
        <v>0.98337269999999999</v>
      </c>
      <c r="AB3085">
        <v>35</v>
      </c>
      <c r="AC3085">
        <v>41.057400000000001</v>
      </c>
      <c r="AD3085">
        <v>-1.1097679602120001</v>
      </c>
      <c r="AE3085">
        <v>-7.7456999999999896</v>
      </c>
      <c r="AF3085">
        <v>7.6451971821532796</v>
      </c>
      <c r="AG3085">
        <v>-1.1097679602120001</v>
      </c>
      <c r="AH3085">
        <v>41.046270934424399</v>
      </c>
      <c r="AI3085">
        <v>91.522556113645706</v>
      </c>
      <c r="AJ3085">
        <v>79.449103569493602</v>
      </c>
      <c r="AK3085">
        <v>41.766936474940202</v>
      </c>
      <c r="AL3085">
        <v>86.847905096696906</v>
      </c>
      <c r="AM3085">
        <v>83.047784547749103</v>
      </c>
      <c r="AN3085">
        <v>1.0000000437781</v>
      </c>
    </row>
    <row r="3086" spans="1:40" x14ac:dyDescent="0.25">
      <c r="A3086" t="str">
        <f>"20190312154615648"</f>
        <v>20190312154615648</v>
      </c>
      <c r="B3086" t="str">
        <f>"1552376775640388"</f>
        <v>1552376775640388</v>
      </c>
      <c r="C3086" t="s">
        <v>40</v>
      </c>
      <c r="D3086">
        <v>4.0863529999999999</v>
      </c>
      <c r="E3086">
        <v>0.52472289999999999</v>
      </c>
      <c r="F3086" t="s">
        <v>53</v>
      </c>
      <c r="G3086">
        <v>-184.31389999999999</v>
      </c>
      <c r="H3086" s="1">
        <v>4.0030789999999999E-6</v>
      </c>
      <c r="I3086">
        <v>207.9331</v>
      </c>
      <c r="J3086">
        <v>-225.26480000000001</v>
      </c>
      <c r="K3086">
        <v>1.1097520000000001</v>
      </c>
      <c r="L3086">
        <v>215.7029</v>
      </c>
      <c r="M3086">
        <v>0.99990029999999996</v>
      </c>
      <c r="N3086">
        <v>0</v>
      </c>
      <c r="O3086">
        <v>-2.4409599999999998E-3</v>
      </c>
      <c r="P3086">
        <v>0.99141710000000005</v>
      </c>
      <c r="Q3086">
        <v>4.0696120000000002E-2</v>
      </c>
      <c r="R3086">
        <v>-0.1242424</v>
      </c>
      <c r="S3086">
        <v>2.9597630000000001</v>
      </c>
      <c r="T3086">
        <v>-7.9504130000000006E-2</v>
      </c>
      <c r="U3086">
        <v>-0.55670169999999997</v>
      </c>
      <c r="V3086">
        <v>0.1218355</v>
      </c>
      <c r="W3086">
        <v>5.444914E-2</v>
      </c>
      <c r="X3086">
        <v>0.99105569999999998</v>
      </c>
      <c r="Y3086">
        <v>0.1823863</v>
      </c>
      <c r="Z3086">
        <v>-2.3628920000000001E-3</v>
      </c>
      <c r="AA3086">
        <v>0.98322410000000005</v>
      </c>
      <c r="AB3086">
        <v>35</v>
      </c>
      <c r="AC3086">
        <v>40.950899999999997</v>
      </c>
      <c r="AD3086">
        <v>-1.109747996921</v>
      </c>
      <c r="AE3086">
        <v>-7.7698</v>
      </c>
      <c r="AF3086">
        <v>7.66437467717821</v>
      </c>
      <c r="AG3086">
        <v>-1.109747996921</v>
      </c>
      <c r="AH3086">
        <v>40.9407242111415</v>
      </c>
      <c r="AI3086">
        <v>91.526190888403505</v>
      </c>
      <c r="AJ3086">
        <v>79.396584031215298</v>
      </c>
      <c r="AK3086">
        <v>41.666738278170897</v>
      </c>
      <c r="AL3086">
        <v>86.878750513922895</v>
      </c>
      <c r="AM3086">
        <v>82.991504802176095</v>
      </c>
      <c r="AN3086">
        <v>0.99999999920473903</v>
      </c>
    </row>
    <row r="3087" spans="1:40" x14ac:dyDescent="0.25">
      <c r="A3087" t="str">
        <f>"20190312154615668"</f>
        <v>20190312154615668</v>
      </c>
      <c r="B3087" t="str">
        <f>"1552376775659908"</f>
        <v>1552376775659908</v>
      </c>
      <c r="C3087" t="s">
        <v>40</v>
      </c>
      <c r="D3087">
        <v>4.0444909999999998</v>
      </c>
      <c r="E3087">
        <v>0.52499219999999902</v>
      </c>
      <c r="F3087" t="s">
        <v>53</v>
      </c>
      <c r="G3087">
        <v>-184.66829999999999</v>
      </c>
      <c r="H3087" s="1">
        <v>4.0365780000000003E-6</v>
      </c>
      <c r="I3087">
        <v>208.0162</v>
      </c>
      <c r="J3087">
        <v>-224.9564</v>
      </c>
      <c r="K3087">
        <v>1.1097360000000001</v>
      </c>
      <c r="L3087">
        <v>215.7021</v>
      </c>
      <c r="M3087">
        <v>0.99990020000000002</v>
      </c>
      <c r="N3087">
        <v>0</v>
      </c>
      <c r="O3087">
        <v>-2.5670300000000001E-3</v>
      </c>
      <c r="P3087">
        <v>0.99119100000000004</v>
      </c>
      <c r="Q3087">
        <v>4.0824270000000003E-2</v>
      </c>
      <c r="R3087">
        <v>-0.12599160000000001</v>
      </c>
      <c r="S3087">
        <v>2.9590909999999999</v>
      </c>
      <c r="T3087">
        <v>-8.0889939999999994E-2</v>
      </c>
      <c r="U3087">
        <v>-0.56028750000000005</v>
      </c>
      <c r="V3087">
        <v>0.1234629</v>
      </c>
      <c r="W3087">
        <v>5.4566749999999997E-2</v>
      </c>
      <c r="X3087">
        <v>0.99084779999999995</v>
      </c>
      <c r="Y3087">
        <v>0.18345069999999999</v>
      </c>
      <c r="Z3087">
        <v>-2.4153349999999998E-3</v>
      </c>
      <c r="AA3087">
        <v>0.98302599999999996</v>
      </c>
      <c r="AB3087">
        <v>35</v>
      </c>
      <c r="AC3087">
        <v>40.2881</v>
      </c>
      <c r="AD3087">
        <v>-1.109731963422</v>
      </c>
      <c r="AE3087">
        <v>-7.6859000000000002</v>
      </c>
      <c r="AF3087">
        <v>7.5768970468420003</v>
      </c>
      <c r="AG3087">
        <v>-1.109731963422</v>
      </c>
      <c r="AH3087">
        <v>40.278212268381999</v>
      </c>
      <c r="AI3087">
        <v>91.551004684796993</v>
      </c>
      <c r="AJ3087">
        <v>79.346361720907197</v>
      </c>
      <c r="AK3087">
        <v>40.999698260181397</v>
      </c>
      <c r="AL3087">
        <v>86.872001896597496</v>
      </c>
      <c r="AM3087">
        <v>82.897364621165394</v>
      </c>
      <c r="AN3087">
        <v>0.99999999032340603</v>
      </c>
    </row>
    <row r="3088" spans="1:40" x14ac:dyDescent="0.25">
      <c r="A3088" t="str">
        <f>"20190312154615691"</f>
        <v>20190312154615691</v>
      </c>
      <c r="B3088" t="str">
        <f>"1552376775680405"</f>
        <v>1552376775680405</v>
      </c>
      <c r="C3088" t="s">
        <v>40</v>
      </c>
      <c r="D3088">
        <v>4.0260420000000003</v>
      </c>
      <c r="E3088">
        <v>0.52513189999999998</v>
      </c>
      <c r="F3088" t="s">
        <v>53</v>
      </c>
      <c r="G3088">
        <v>-183.05699999999999</v>
      </c>
      <c r="H3088" s="1">
        <v>3.83952E-6</v>
      </c>
      <c r="I3088">
        <v>207.66409999999999</v>
      </c>
      <c r="J3088">
        <v>-224.6</v>
      </c>
      <c r="K3088">
        <v>1.109712</v>
      </c>
      <c r="L3088">
        <v>215.70099999999999</v>
      </c>
      <c r="M3088">
        <v>0.99989969999999995</v>
      </c>
      <c r="N3088">
        <v>0</v>
      </c>
      <c r="O3088">
        <v>-2.7330330000000002E-3</v>
      </c>
      <c r="P3088">
        <v>0.99092429999999998</v>
      </c>
      <c r="Q3088">
        <v>4.1368240000000001E-2</v>
      </c>
      <c r="R3088">
        <v>-0.127897699999999</v>
      </c>
      <c r="S3088">
        <v>2.957748</v>
      </c>
      <c r="T3088">
        <v>-7.8337790000000004E-2</v>
      </c>
      <c r="U3088">
        <v>-0.56741330000000001</v>
      </c>
      <c r="V3088">
        <v>0.12520770000000001</v>
      </c>
      <c r="W3088">
        <v>5.5099049999999997E-2</v>
      </c>
      <c r="X3088">
        <v>0.99059940000000002</v>
      </c>
      <c r="Y3088">
        <v>0.18565719999999999</v>
      </c>
      <c r="Z3088">
        <v>-2.3642709999999998E-3</v>
      </c>
      <c r="AA3088">
        <v>0.98261169999999998</v>
      </c>
      <c r="AB3088">
        <v>35</v>
      </c>
      <c r="AC3088">
        <v>41.5429999999999</v>
      </c>
      <c r="AD3088">
        <v>-1.1097081604799901</v>
      </c>
      <c r="AE3088">
        <v>-8.0368999999999993</v>
      </c>
      <c r="AF3088">
        <v>7.9178746811124903</v>
      </c>
      <c r="AG3088">
        <v>-1.1097081604799901</v>
      </c>
      <c r="AH3088">
        <v>41.536243275057302</v>
      </c>
      <c r="AI3088">
        <v>91.5033281081448</v>
      </c>
      <c r="AJ3088">
        <v>79.207437030930393</v>
      </c>
      <c r="AK3088">
        <v>42.298743445544403</v>
      </c>
      <c r="AL3088">
        <v>86.841457500984703</v>
      </c>
      <c r="AM3088">
        <v>82.796248651739901</v>
      </c>
      <c r="AN3088">
        <v>1.0000000223652701</v>
      </c>
    </row>
    <row r="3089" spans="1:40" x14ac:dyDescent="0.25">
      <c r="A3089" t="str">
        <f>"20190312154615715"</f>
        <v>20190312154615715</v>
      </c>
      <c r="B3089" t="str">
        <f>"1552376775710659"</f>
        <v>1552376775710659</v>
      </c>
      <c r="C3089" t="s">
        <v>40</v>
      </c>
      <c r="D3089">
        <v>4.0718509999999997</v>
      </c>
      <c r="E3089">
        <v>0.52544990000000003</v>
      </c>
      <c r="F3089" t="s">
        <v>53</v>
      </c>
      <c r="G3089">
        <v>-181.24789999999999</v>
      </c>
      <c r="H3089" s="1">
        <v>3.5390930000000002E-6</v>
      </c>
      <c r="I3089">
        <v>207.28380000000001</v>
      </c>
      <c r="J3089">
        <v>-224.2105</v>
      </c>
      <c r="K3089">
        <v>1.109694</v>
      </c>
      <c r="L3089">
        <v>215.69970000000001</v>
      </c>
      <c r="M3089">
        <v>0.99989919999999999</v>
      </c>
      <c r="N3089">
        <v>0</v>
      </c>
      <c r="O3089">
        <v>-2.9328610000000001E-3</v>
      </c>
      <c r="P3089">
        <v>0.99070610000000003</v>
      </c>
      <c r="Q3089">
        <v>4.0733869999999998E-2</v>
      </c>
      <c r="R3089">
        <v>-0.1297799</v>
      </c>
      <c r="S3089">
        <v>2.9565429999999999</v>
      </c>
      <c r="T3089">
        <v>-7.5680380000000005E-2</v>
      </c>
      <c r="U3089">
        <v>-0.57403559999999998</v>
      </c>
      <c r="V3089">
        <v>0.12689420000000001</v>
      </c>
      <c r="W3089">
        <v>5.4453910000000001E-2</v>
      </c>
      <c r="X3089">
        <v>0.99042050000000004</v>
      </c>
      <c r="Y3089">
        <v>0.18765999999999999</v>
      </c>
      <c r="Z3089">
        <v>-2.3048539999999998E-3</v>
      </c>
      <c r="AA3089">
        <v>0.98223139999999998</v>
      </c>
      <c r="AB3089">
        <v>35</v>
      </c>
      <c r="AC3089">
        <v>42.962600000000002</v>
      </c>
      <c r="AD3089">
        <v>-1.109690460907</v>
      </c>
      <c r="AE3089">
        <v>-8.4158999999999899</v>
      </c>
      <c r="AF3089">
        <v>8.2845255410423508</v>
      </c>
      <c r="AG3089">
        <v>-1.109690460907</v>
      </c>
      <c r="AH3089">
        <v>42.959498993682303</v>
      </c>
      <c r="AI3089">
        <v>91.452924943219998</v>
      </c>
      <c r="AJ3089">
        <v>79.084787123798293</v>
      </c>
      <c r="AK3089">
        <v>43.76509259841</v>
      </c>
      <c r="AL3089">
        <v>86.878477017459005</v>
      </c>
      <c r="AM3089">
        <v>82.698952305233206</v>
      </c>
      <c r="AN3089">
        <v>1.00000006656408</v>
      </c>
    </row>
    <row r="3090" spans="1:40" x14ac:dyDescent="0.25">
      <c r="A3090" t="str">
        <f>"20190312154615738"</f>
        <v>20190312154615738</v>
      </c>
      <c r="B3090" t="str">
        <f>"1552376775730180"</f>
        <v>1552376775730180</v>
      </c>
      <c r="C3090" t="s">
        <v>40</v>
      </c>
      <c r="D3090">
        <v>4.0908309999999997</v>
      </c>
      <c r="E3090">
        <v>0.52562010000000003</v>
      </c>
      <c r="F3090" t="s">
        <v>53</v>
      </c>
      <c r="G3090">
        <v>-181.73599999999999</v>
      </c>
      <c r="H3090" s="1">
        <v>3.6347000000000001E-6</v>
      </c>
      <c r="I3090">
        <v>207.33150000000001</v>
      </c>
      <c r="J3090">
        <v>-223.8503</v>
      </c>
      <c r="K3090">
        <v>1.109675</v>
      </c>
      <c r="L3090">
        <v>215.69839999999999</v>
      </c>
      <c r="M3090">
        <v>0.99989870000000003</v>
      </c>
      <c r="N3090">
        <v>0</v>
      </c>
      <c r="O3090">
        <v>-3.1287950000000002E-3</v>
      </c>
      <c r="P3090">
        <v>0.99060190000000004</v>
      </c>
      <c r="Q3090">
        <v>3.9604640000000003E-2</v>
      </c>
      <c r="R3090">
        <v>-0.13091820000000001</v>
      </c>
      <c r="S3090">
        <v>2.955063</v>
      </c>
      <c r="T3090">
        <v>-7.720399E-2</v>
      </c>
      <c r="U3090">
        <v>-0.58219909999999997</v>
      </c>
      <c r="V3090">
        <v>0.12784010000000001</v>
      </c>
      <c r="W3090">
        <v>5.3317820000000002E-2</v>
      </c>
      <c r="X3090">
        <v>0.99036060000000004</v>
      </c>
      <c r="Y3090">
        <v>0.19016920000000001</v>
      </c>
      <c r="Z3090">
        <v>-2.3791699999999999E-3</v>
      </c>
      <c r="AA3090">
        <v>0.98174850000000002</v>
      </c>
      <c r="AB3090">
        <v>35</v>
      </c>
      <c r="AC3090">
        <v>42.1143</v>
      </c>
      <c r="AD3090">
        <v>-1.1096713653000001</v>
      </c>
      <c r="AE3090">
        <v>-8.3668999999999798</v>
      </c>
      <c r="AF3090">
        <v>8.2295827080758599</v>
      </c>
      <c r="AG3090">
        <v>-1.1096713653000001</v>
      </c>
      <c r="AH3090">
        <v>42.112147565865399</v>
      </c>
      <c r="AI3090">
        <v>91.481407614911703</v>
      </c>
      <c r="AJ3090">
        <v>78.942574960099705</v>
      </c>
      <c r="AK3090">
        <v>42.923075084355801</v>
      </c>
      <c r="AL3090">
        <v>86.943664685210095</v>
      </c>
      <c r="AM3090">
        <v>82.644682290421102</v>
      </c>
      <c r="AN3090">
        <v>0.999999999564961</v>
      </c>
    </row>
    <row r="3091" spans="1:40" x14ac:dyDescent="0.25">
      <c r="A3091" t="str">
        <f>"20190312154615763"</f>
        <v>20190312154615763</v>
      </c>
      <c r="B3091" t="str">
        <f>"1552376775750676"</f>
        <v>1552376775750676</v>
      </c>
      <c r="C3091" t="s">
        <v>40</v>
      </c>
      <c r="D3091">
        <v>4.1042329999999998</v>
      </c>
      <c r="E3091">
        <v>0.52579690000000001</v>
      </c>
      <c r="F3091" t="s">
        <v>53</v>
      </c>
      <c r="G3091">
        <v>-183.114</v>
      </c>
      <c r="H3091" s="1">
        <v>3.8682420000000004E-6</v>
      </c>
      <c r="I3091">
        <v>207.60329999999999</v>
      </c>
      <c r="J3091">
        <v>-223.4829</v>
      </c>
      <c r="K3091">
        <v>1.109666</v>
      </c>
      <c r="L3091">
        <v>215.69710000000001</v>
      </c>
      <c r="M3091">
        <v>0.99989799999999995</v>
      </c>
      <c r="N3091">
        <v>0</v>
      </c>
      <c r="O3091">
        <v>-3.3346869999999998E-3</v>
      </c>
      <c r="P3091">
        <v>0.99046730000000005</v>
      </c>
      <c r="Q3091">
        <v>3.8835950000000001E-2</v>
      </c>
      <c r="R3091">
        <v>-0.13216129999999901</v>
      </c>
      <c r="S3091">
        <v>2.9541019999999998</v>
      </c>
      <c r="T3091">
        <v>-8.0470680000000003E-2</v>
      </c>
      <c r="U3091">
        <v>-0.58703609999999995</v>
      </c>
      <c r="V3091">
        <v>0.1288802</v>
      </c>
      <c r="W3091">
        <v>5.2542150000000003E-2</v>
      </c>
      <c r="X3091">
        <v>0.99026720000000001</v>
      </c>
      <c r="Y3091">
        <v>0.19156860000000001</v>
      </c>
      <c r="Z3091">
        <v>-2.493524E-3</v>
      </c>
      <c r="AA3091">
        <v>0.98147609999999996</v>
      </c>
      <c r="AB3091">
        <v>35</v>
      </c>
      <c r="AC3091">
        <v>40.368899999999996</v>
      </c>
      <c r="AD3091">
        <v>-1.109662131758</v>
      </c>
      <c r="AE3091">
        <v>-8.0938000000000105</v>
      </c>
      <c r="AF3091">
        <v>7.9533471066723802</v>
      </c>
      <c r="AG3091">
        <v>-1.109662131758</v>
      </c>
      <c r="AH3091">
        <v>40.3663465784525</v>
      </c>
      <c r="AI3091">
        <v>91.544964214754003</v>
      </c>
      <c r="AJ3091">
        <v>78.853830786360504</v>
      </c>
      <c r="AK3091">
        <v>41.157368919035797</v>
      </c>
      <c r="AL3091">
        <v>86.988169556587707</v>
      </c>
      <c r="AM3091">
        <v>82.584811511794101</v>
      </c>
      <c r="AN3091">
        <v>0.99999995543724995</v>
      </c>
    </row>
    <row r="3092" spans="1:40" x14ac:dyDescent="0.25">
      <c r="A3092" t="str">
        <f>"20190312154615787"</f>
        <v>20190312154615787</v>
      </c>
      <c r="B3092" t="str">
        <f>"1552376775779956"</f>
        <v>1552376775779956</v>
      </c>
      <c r="C3092" t="s">
        <v>40</v>
      </c>
      <c r="D3092">
        <v>4.0598159999999996</v>
      </c>
      <c r="E3092">
        <v>0.52603610000000001</v>
      </c>
      <c r="F3092" t="s">
        <v>53</v>
      </c>
      <c r="G3092">
        <v>-183.9016</v>
      </c>
      <c r="H3092" s="1">
        <v>3.9910910000000002E-6</v>
      </c>
      <c r="I3092">
        <v>207.76009999999999</v>
      </c>
      <c r="J3092">
        <v>-223.10550000000001</v>
      </c>
      <c r="K3092">
        <v>1.1096619999999999</v>
      </c>
      <c r="L3092">
        <v>215.69560000000001</v>
      </c>
      <c r="M3092">
        <v>0.99989720000000004</v>
      </c>
      <c r="N3092">
        <v>0</v>
      </c>
      <c r="O3092">
        <v>-3.5487549999999998E-3</v>
      </c>
      <c r="P3092">
        <v>0.99033979999999999</v>
      </c>
      <c r="Q3092">
        <v>3.8234690000000002E-2</v>
      </c>
      <c r="R3092">
        <v>-0.1332854</v>
      </c>
      <c r="S3092">
        <v>2.9530940000000001</v>
      </c>
      <c r="T3092">
        <v>-8.2790020000000006E-2</v>
      </c>
      <c r="U3092">
        <v>-0.59216309999999905</v>
      </c>
      <c r="V3092">
        <v>0.12979350000000001</v>
      </c>
      <c r="W3092">
        <v>5.1935490000000001E-2</v>
      </c>
      <c r="X3092">
        <v>0.99017999999999995</v>
      </c>
      <c r="Y3092">
        <v>0.19305649999999999</v>
      </c>
      <c r="Z3092">
        <v>-2.580499E-3</v>
      </c>
      <c r="AA3092">
        <v>0.98118419999999895</v>
      </c>
      <c r="AB3092">
        <v>35</v>
      </c>
      <c r="AC3092">
        <v>39.203899999999997</v>
      </c>
      <c r="AD3092">
        <v>-1.109658008909</v>
      </c>
      <c r="AE3092">
        <v>-7.93550000000001</v>
      </c>
      <c r="AF3092">
        <v>7.7903159166994502</v>
      </c>
      <c r="AG3092">
        <v>-1.109658008909</v>
      </c>
      <c r="AH3092">
        <v>39.201646288025998</v>
      </c>
      <c r="AI3092">
        <v>91.590323578917193</v>
      </c>
      <c r="AJ3092">
        <v>78.760371067204403</v>
      </c>
      <c r="AK3092">
        <v>39.983614577351801</v>
      </c>
      <c r="AL3092">
        <v>87.022976392684001</v>
      </c>
      <c r="AM3092">
        <v>82.532205096572696</v>
      </c>
      <c r="AN3092">
        <v>1.00000004008189</v>
      </c>
    </row>
    <row r="3093" spans="1:40" x14ac:dyDescent="0.25">
      <c r="A3093" t="str">
        <f>"20190312154615810"</f>
        <v>20190312154615810</v>
      </c>
      <c r="B3093" t="str">
        <f>"1552376775800452"</f>
        <v>1552376775800452</v>
      </c>
      <c r="C3093" t="s">
        <v>40</v>
      </c>
      <c r="D3093">
        <v>4.0598749999999999</v>
      </c>
      <c r="E3093">
        <v>0.52620630000000002</v>
      </c>
      <c r="F3093" t="s">
        <v>53</v>
      </c>
      <c r="G3093">
        <v>-184.39670000000001</v>
      </c>
      <c r="H3093" s="1">
        <v>4.0419680000000004E-6</v>
      </c>
      <c r="I3093">
        <v>207.8647</v>
      </c>
      <c r="J3093">
        <v>-222.75579999999999</v>
      </c>
      <c r="K3093">
        <v>1.109658</v>
      </c>
      <c r="L3093">
        <v>215.6942</v>
      </c>
      <c r="M3093">
        <v>0.99989660000000002</v>
      </c>
      <c r="N3093">
        <v>0</v>
      </c>
      <c r="O3093">
        <v>-3.7478770000000002E-3</v>
      </c>
      <c r="P3093">
        <v>0.99026510000000001</v>
      </c>
      <c r="Q3093">
        <v>3.8294149999999999E-2</v>
      </c>
      <c r="R3093">
        <v>-0.13382430000000001</v>
      </c>
      <c r="S3093">
        <v>2.9521329999999999</v>
      </c>
      <c r="T3093">
        <v>-8.4628220000000004E-2</v>
      </c>
      <c r="U3093">
        <v>-0.59722900000000001</v>
      </c>
      <c r="V3093">
        <v>0.13013559999999999</v>
      </c>
      <c r="W3093">
        <v>5.1990729999999999E-2</v>
      </c>
      <c r="X3093">
        <v>0.99013220000000002</v>
      </c>
      <c r="Y3093">
        <v>0.19453680000000001</v>
      </c>
      <c r="Z3093">
        <v>-2.6535220000000002E-3</v>
      </c>
      <c r="AA3093">
        <v>0.98089159999999997</v>
      </c>
      <c r="AB3093">
        <v>35</v>
      </c>
      <c r="AC3093">
        <v>38.359099999999899</v>
      </c>
      <c r="AD3093">
        <v>-1.109653958032</v>
      </c>
      <c r="AE3093">
        <v>-7.8294999999999897</v>
      </c>
      <c r="AF3093">
        <v>7.6794965311691099</v>
      </c>
      <c r="AG3093">
        <v>-1.109653958032</v>
      </c>
      <c r="AH3093">
        <v>38.3573624838657</v>
      </c>
      <c r="AI3093">
        <v>91.624840994990393</v>
      </c>
      <c r="AJ3093">
        <v>78.678543191324493</v>
      </c>
      <c r="AK3093">
        <v>39.1342976888238</v>
      </c>
      <c r="AL3093">
        <v>87.019807097769203</v>
      </c>
      <c r="AM3093">
        <v>82.512387711689996</v>
      </c>
      <c r="AN3093">
        <v>1.0000000419350601</v>
      </c>
    </row>
    <row r="3094" spans="1:40" x14ac:dyDescent="0.25">
      <c r="A3094" t="str">
        <f>"20190312154615829"</f>
        <v>20190312154615829</v>
      </c>
      <c r="B3094" t="str">
        <f>"1552376775819972"</f>
        <v>1552376775819972</v>
      </c>
      <c r="C3094" t="s">
        <v>40</v>
      </c>
      <c r="D3094">
        <v>4.0335260000000002</v>
      </c>
      <c r="E3094">
        <v>0.52635569999999998</v>
      </c>
      <c r="F3094" t="s">
        <v>53</v>
      </c>
      <c r="G3094">
        <v>-183.91909999999999</v>
      </c>
      <c r="H3094" s="1">
        <v>3.9802410000000001E-6</v>
      </c>
      <c r="I3094">
        <v>207.7996</v>
      </c>
      <c r="J3094">
        <v>-222.43690000000001</v>
      </c>
      <c r="K3094">
        <v>1.109653</v>
      </c>
      <c r="L3094">
        <v>215.69280000000001</v>
      </c>
      <c r="M3094">
        <v>0.99989589999999995</v>
      </c>
      <c r="N3094">
        <v>0</v>
      </c>
      <c r="O3094">
        <v>-3.9289770000000002E-3</v>
      </c>
      <c r="P3094">
        <v>0.99013390000000001</v>
      </c>
      <c r="Q3094">
        <v>3.8891090000000003E-2</v>
      </c>
      <c r="R3094">
        <v>-0.1346203</v>
      </c>
      <c r="S3094">
        <v>2.9516909999999998</v>
      </c>
      <c r="T3094">
        <v>-8.4336519999999998E-2</v>
      </c>
      <c r="U3094">
        <v>-0.60000609999999999</v>
      </c>
      <c r="V3094">
        <v>0.13075320000000001</v>
      </c>
      <c r="W3094">
        <v>5.2583100000000001E-2</v>
      </c>
      <c r="X3094">
        <v>0.99001950000000005</v>
      </c>
      <c r="Y3094">
        <v>0.19527439999999999</v>
      </c>
      <c r="Z3094">
        <v>-2.6498310000000001E-3</v>
      </c>
      <c r="AA3094">
        <v>0.98074510000000004</v>
      </c>
      <c r="AB3094">
        <v>35</v>
      </c>
      <c r="AC3094">
        <v>38.517800000000001</v>
      </c>
      <c r="AD3094">
        <v>-1.1096490197589901</v>
      </c>
      <c r="AE3094">
        <v>-7.8932000000000002</v>
      </c>
      <c r="AF3094">
        <v>7.7356275357603197</v>
      </c>
      <c r="AG3094">
        <v>-1.1096490197589901</v>
      </c>
      <c r="AH3094">
        <v>38.517838554580301</v>
      </c>
      <c r="AI3094">
        <v>91.617873609720604</v>
      </c>
      <c r="AJ3094">
        <v>78.644219680949504</v>
      </c>
      <c r="AK3094">
        <v>39.302609852728303</v>
      </c>
      <c r="AL3094">
        <v>86.985820168939995</v>
      </c>
      <c r="AM3094">
        <v>82.476412344925706</v>
      </c>
      <c r="AN3094">
        <v>0.99999999604805001</v>
      </c>
    </row>
    <row r="3095" spans="1:40" x14ac:dyDescent="0.25">
      <c r="A3095" t="str">
        <f>"20190312154615848"</f>
        <v>20190312154615848</v>
      </c>
      <c r="B3095" t="str">
        <f>"1552376775840468"</f>
        <v>1552376775840468</v>
      </c>
      <c r="C3095" t="s">
        <v>40</v>
      </c>
      <c r="D3095">
        <v>4.0306050000000004</v>
      </c>
      <c r="E3095">
        <v>0.52652060000000001</v>
      </c>
      <c r="F3095" t="s">
        <v>53</v>
      </c>
      <c r="G3095">
        <v>-182.77369999999999</v>
      </c>
      <c r="H3095" s="1">
        <v>3.7990340000000001E-6</v>
      </c>
      <c r="I3095">
        <v>207.57980000000001</v>
      </c>
      <c r="J3095">
        <v>-222.15049999999999</v>
      </c>
      <c r="K3095">
        <v>1.109658</v>
      </c>
      <c r="L3095">
        <v>215.69149999999999</v>
      </c>
      <c r="M3095">
        <v>0.99989539999999999</v>
      </c>
      <c r="N3095">
        <v>0</v>
      </c>
      <c r="O3095">
        <v>-4.0908709999999899E-3</v>
      </c>
      <c r="P3095">
        <v>0.99001280000000003</v>
      </c>
      <c r="Q3095">
        <v>3.9204650000000001E-2</v>
      </c>
      <c r="R3095">
        <v>-0.13541900000000001</v>
      </c>
      <c r="S3095">
        <v>2.9510800000000001</v>
      </c>
      <c r="T3095">
        <v>-8.256173E-2</v>
      </c>
      <c r="U3095">
        <v>-0.60363769999999894</v>
      </c>
      <c r="V3095">
        <v>0.13139239999999999</v>
      </c>
      <c r="W3095">
        <v>5.2893559999999999E-2</v>
      </c>
      <c r="X3095">
        <v>0.98991839999999998</v>
      </c>
      <c r="Y3095">
        <v>0.1963165</v>
      </c>
      <c r="Z3095">
        <v>-2.604243E-3</v>
      </c>
      <c r="AA3095">
        <v>0.98053710000000005</v>
      </c>
      <c r="AB3095">
        <v>35</v>
      </c>
      <c r="AC3095">
        <v>39.376800000000003</v>
      </c>
      <c r="AD3095">
        <v>-1.109654200966</v>
      </c>
      <c r="AE3095">
        <v>-8.1116999999999795</v>
      </c>
      <c r="AF3095">
        <v>7.9444790422451197</v>
      </c>
      <c r="AG3095">
        <v>-1.109654200966</v>
      </c>
      <c r="AH3095">
        <v>39.379657873599903</v>
      </c>
      <c r="AI3095">
        <v>91.582214313897694</v>
      </c>
      <c r="AJ3095">
        <v>78.594201878610704</v>
      </c>
      <c r="AK3095">
        <v>40.188350724310297</v>
      </c>
      <c r="AL3095">
        <v>86.968007541587397</v>
      </c>
      <c r="AM3095">
        <v>82.439293761403107</v>
      </c>
      <c r="AN3095">
        <v>1.00000006506289</v>
      </c>
    </row>
    <row r="3096" spans="1:40" x14ac:dyDescent="0.25">
      <c r="A3096" t="str">
        <f>"20190312154615871"</f>
        <v>20190312154615871</v>
      </c>
      <c r="B3096" t="str">
        <f>"1552376775859988"</f>
        <v>1552376775859988</v>
      </c>
      <c r="C3096" t="s">
        <v>40</v>
      </c>
      <c r="D3096">
        <v>4.0438390000000002</v>
      </c>
      <c r="E3096">
        <v>0.52669999999999995</v>
      </c>
      <c r="F3096" t="s">
        <v>53</v>
      </c>
      <c r="G3096">
        <v>-181.77459999999999</v>
      </c>
      <c r="H3096" s="1">
        <v>3.6298739999999999E-6</v>
      </c>
      <c r="I3096">
        <v>207.38200000000001</v>
      </c>
      <c r="J3096">
        <v>-221.7911</v>
      </c>
      <c r="K3096">
        <v>1.1096569999999999</v>
      </c>
      <c r="L3096">
        <v>215.68979999999999</v>
      </c>
      <c r="M3096">
        <v>0.99989430000000001</v>
      </c>
      <c r="N3096">
        <v>0</v>
      </c>
      <c r="O3096">
        <v>-4.2942470000000002E-3</v>
      </c>
      <c r="P3096">
        <v>0.98987360000000002</v>
      </c>
      <c r="Q3096">
        <v>3.9894230000000003E-2</v>
      </c>
      <c r="R3096">
        <v>-0.13623089999999999</v>
      </c>
      <c r="S3096">
        <v>2.9504389999999998</v>
      </c>
      <c r="T3096">
        <v>-8.1087110000000004E-2</v>
      </c>
      <c r="U3096">
        <v>-0.60720830000000003</v>
      </c>
      <c r="V3096">
        <v>0.13200400000000001</v>
      </c>
      <c r="W3096">
        <v>5.3578290000000001E-2</v>
      </c>
      <c r="X3096">
        <v>0.98980020000000002</v>
      </c>
      <c r="Y3096">
        <v>0.19729969999999999</v>
      </c>
      <c r="Z3096">
        <v>-2.5658220000000002E-3</v>
      </c>
      <c r="AA3096">
        <v>0.98033979999999998</v>
      </c>
      <c r="AB3096">
        <v>35</v>
      </c>
      <c r="AC3096">
        <v>40.016500000000001</v>
      </c>
      <c r="AD3096">
        <v>-1.1096533701259901</v>
      </c>
      <c r="AE3096">
        <v>-8.3077999999999808</v>
      </c>
      <c r="AF3096">
        <v>8.1298729403508894</v>
      </c>
      <c r="AG3096">
        <v>-1.1096533701259901</v>
      </c>
      <c r="AH3096">
        <v>40.022306758852103</v>
      </c>
      <c r="AI3096">
        <v>91.5563982900414</v>
      </c>
      <c r="AJ3096">
        <v>78.517538605760095</v>
      </c>
      <c r="AK3096">
        <v>40.854757408749101</v>
      </c>
      <c r="AL3096">
        <v>86.928719684899704</v>
      </c>
      <c r="AM3096">
        <v>82.403613985581799</v>
      </c>
      <c r="AN3096">
        <v>1.0000000625476799</v>
      </c>
    </row>
    <row r="3097" spans="1:40" x14ac:dyDescent="0.25">
      <c r="A3097" t="str">
        <f>"20190312154615893"</f>
        <v>20190312154615893</v>
      </c>
      <c r="B3097" t="str">
        <f>"1552376775880485"</f>
        <v>1552376775880485</v>
      </c>
      <c r="C3097" t="s">
        <v>40</v>
      </c>
      <c r="D3097">
        <v>4.0428139999999999</v>
      </c>
      <c r="E3097">
        <v>0.52688210000000002</v>
      </c>
      <c r="F3097" t="s">
        <v>53</v>
      </c>
      <c r="G3097">
        <v>-180.22659999999999</v>
      </c>
      <c r="H3097" s="1">
        <v>3.3659510000000002E-6</v>
      </c>
      <c r="I3097">
        <v>207.08250000000001</v>
      </c>
      <c r="J3097">
        <v>-221.46250000000001</v>
      </c>
      <c r="K3097">
        <v>1.1096600000000001</v>
      </c>
      <c r="L3097">
        <v>215.68819999999999</v>
      </c>
      <c r="M3097">
        <v>0.9998937</v>
      </c>
      <c r="N3097">
        <v>0</v>
      </c>
      <c r="O3097">
        <v>-4.4826110000000001E-3</v>
      </c>
      <c r="P3097">
        <v>0.98964419999999997</v>
      </c>
      <c r="Q3097">
        <v>4.0368029999999999E-2</v>
      </c>
      <c r="R3097">
        <v>-0.1377506</v>
      </c>
      <c r="S3097">
        <v>2.9497990000000001</v>
      </c>
      <c r="T3097">
        <v>-7.8751210000000002E-2</v>
      </c>
      <c r="U3097">
        <v>-0.61085509999999998</v>
      </c>
      <c r="V3097">
        <v>0.1333386</v>
      </c>
      <c r="W3097">
        <v>5.4045870000000003E-2</v>
      </c>
      <c r="X3097">
        <v>0.98959580000000003</v>
      </c>
      <c r="Y3097">
        <v>0.19832320000000001</v>
      </c>
      <c r="Z3097">
        <v>-2.5006960000000002E-3</v>
      </c>
      <c r="AA3097">
        <v>0.98013349999999999</v>
      </c>
      <c r="AB3097">
        <v>35</v>
      </c>
      <c r="AC3097">
        <v>41.235900000000001</v>
      </c>
      <c r="AD3097">
        <v>-1.1096566340489999</v>
      </c>
      <c r="AE3097">
        <v>-8.6056999999999793</v>
      </c>
      <c r="AF3097">
        <v>8.4149119245155202</v>
      </c>
      <c r="AG3097">
        <v>-1.1096566340489999</v>
      </c>
      <c r="AH3097">
        <v>41.245444159385301</v>
      </c>
      <c r="AI3097">
        <v>91.510007625394906</v>
      </c>
      <c r="AJ3097">
        <v>78.468747601995304</v>
      </c>
      <c r="AK3097">
        <v>42.109722683102703</v>
      </c>
      <c r="AL3097">
        <v>86.901890236191406</v>
      </c>
      <c r="AM3097">
        <v>82.326156733447704</v>
      </c>
      <c r="AN3097">
        <v>0.99999999284582797</v>
      </c>
    </row>
    <row r="3098" spans="1:40" x14ac:dyDescent="0.25">
      <c r="A3098" t="str">
        <f>"20190312154615915"</f>
        <v>20190312154615915</v>
      </c>
      <c r="B3098" t="str">
        <f>"1552376775910740"</f>
        <v>1552376775910740</v>
      </c>
      <c r="C3098" t="s">
        <v>40</v>
      </c>
      <c r="D3098">
        <v>4.043139</v>
      </c>
      <c r="E3098">
        <v>0.52715959999999995</v>
      </c>
      <c r="F3098" t="s">
        <v>53</v>
      </c>
      <c r="G3098">
        <v>-179.95779999999999</v>
      </c>
      <c r="H3098">
        <v>2.5612630000000001E-2</v>
      </c>
      <c r="I3098">
        <v>207.0076</v>
      </c>
      <c r="J3098">
        <v>-221.1225</v>
      </c>
      <c r="K3098">
        <v>1.109661</v>
      </c>
      <c r="L3098">
        <v>215.68639999999999</v>
      </c>
      <c r="M3098">
        <v>0.99989280000000003</v>
      </c>
      <c r="N3098">
        <v>0</v>
      </c>
      <c r="O3098">
        <v>-4.68425E-3</v>
      </c>
      <c r="P3098">
        <v>0.98940340000000004</v>
      </c>
      <c r="Q3098">
        <v>4.0710459999999997E-2</v>
      </c>
      <c r="R3098">
        <v>-0.13936989999999999</v>
      </c>
      <c r="S3098">
        <v>2.9487000000000001</v>
      </c>
      <c r="T3098">
        <v>-7.7016119999999993E-2</v>
      </c>
      <c r="U3098">
        <v>-0.61671450000000005</v>
      </c>
      <c r="V3098">
        <v>0.13476009999999999</v>
      </c>
      <c r="W3098">
        <v>5.4382020000000003E-2</v>
      </c>
      <c r="X3098">
        <v>0.98938479999999995</v>
      </c>
      <c r="Y3098">
        <v>0.20006679999999999</v>
      </c>
      <c r="Z3098">
        <v>-2.4633350000000001E-3</v>
      </c>
      <c r="AA3098">
        <v>0.97977919999999996</v>
      </c>
      <c r="AB3098">
        <v>35</v>
      </c>
      <c r="AC3098">
        <v>41.164700000000003</v>
      </c>
      <c r="AD3098">
        <v>-1.0840483700000001</v>
      </c>
      <c r="AE3098">
        <v>-8.6787999999999901</v>
      </c>
      <c r="AF3098">
        <v>8.4802296963172594</v>
      </c>
      <c r="AG3098">
        <v>-1.0840483700000001</v>
      </c>
      <c r="AH3098">
        <v>41.177564484754598</v>
      </c>
      <c r="AI3098">
        <v>91.477048000183302</v>
      </c>
      <c r="AJ3098">
        <v>78.363034477571702</v>
      </c>
      <c r="AK3098">
        <v>42.0556925215473</v>
      </c>
      <c r="AL3098">
        <v>86.882601870403306</v>
      </c>
      <c r="AM3098">
        <v>82.243703803716002</v>
      </c>
      <c r="AN3098">
        <v>0.99999998556116498</v>
      </c>
    </row>
    <row r="3099" spans="1:40" x14ac:dyDescent="0.25">
      <c r="A3099" t="str">
        <f>"20190312154615939"</f>
        <v>20190312154615939</v>
      </c>
      <c r="B3099" t="str">
        <f>"1552376775930264"</f>
        <v>1552376775930264</v>
      </c>
      <c r="C3099" t="s">
        <v>40</v>
      </c>
      <c r="D3099">
        <v>3.9921509999999998</v>
      </c>
      <c r="E3099">
        <v>0.52736400000000005</v>
      </c>
      <c r="F3099" t="s">
        <v>53</v>
      </c>
      <c r="G3099">
        <v>-179.95439999999999</v>
      </c>
      <c r="H3099">
        <v>5.3404489999999999E-2</v>
      </c>
      <c r="I3099">
        <v>206.97319999999999</v>
      </c>
      <c r="J3099">
        <v>-220.7568</v>
      </c>
      <c r="K3099">
        <v>1.109648</v>
      </c>
      <c r="L3099">
        <v>215.68450000000001</v>
      </c>
      <c r="M3099">
        <v>0.99989159999999999</v>
      </c>
      <c r="N3099">
        <v>0</v>
      </c>
      <c r="O3099">
        <v>-4.9203390000000001E-3</v>
      </c>
      <c r="P3099">
        <v>0.98919210000000002</v>
      </c>
      <c r="Q3099">
        <v>4.0959240000000001E-2</v>
      </c>
      <c r="R3099">
        <v>-0.14078889999999999</v>
      </c>
      <c r="S3099">
        <v>2.9473569999999998</v>
      </c>
      <c r="T3099">
        <v>-7.5620649999999998E-2</v>
      </c>
      <c r="U3099">
        <v>-0.62380979999999997</v>
      </c>
      <c r="V3099">
        <v>0.13594790000000001</v>
      </c>
      <c r="W3099">
        <v>5.4621980000000001E-2</v>
      </c>
      <c r="X3099">
        <v>0.98920909999999995</v>
      </c>
      <c r="Y3099">
        <v>0.2021848</v>
      </c>
      <c r="Z3099">
        <v>-2.4400810000000002E-3</v>
      </c>
      <c r="AA3099">
        <v>0.9793444</v>
      </c>
      <c r="AB3099">
        <v>35</v>
      </c>
      <c r="AC3099">
        <v>40.802399999999999</v>
      </c>
      <c r="AD3099">
        <v>-1.0562435100000001</v>
      </c>
      <c r="AE3099">
        <v>-8.7113000000000191</v>
      </c>
      <c r="AF3099">
        <v>8.5049626215876994</v>
      </c>
      <c r="AG3099">
        <v>-1.0562435100000001</v>
      </c>
      <c r="AH3099">
        <v>40.818611524900099</v>
      </c>
      <c r="AI3099">
        <v>91.4511332175897</v>
      </c>
      <c r="AJ3099">
        <v>78.230251151111702</v>
      </c>
      <c r="AK3099">
        <v>41.7086212475038</v>
      </c>
      <c r="AL3099">
        <v>86.868832810542699</v>
      </c>
      <c r="AM3099">
        <v>82.174809024834801</v>
      </c>
      <c r="AN3099">
        <v>1.0000000178681701</v>
      </c>
    </row>
    <row r="3100" spans="1:40" x14ac:dyDescent="0.25">
      <c r="A3100" t="str">
        <f>"20190312154615965"</f>
        <v>20190312154615965</v>
      </c>
      <c r="B3100" t="str">
        <f>"1552376775960520"</f>
        <v>1552376775960520</v>
      </c>
      <c r="C3100" t="s">
        <v>40</v>
      </c>
      <c r="D3100">
        <v>4.0061809999999998</v>
      </c>
      <c r="E3100">
        <v>0.52761829999999998</v>
      </c>
      <c r="F3100" t="s">
        <v>53</v>
      </c>
      <c r="G3100">
        <v>-179.94329999999999</v>
      </c>
      <c r="H3100">
        <v>6.4512399999999998E-2</v>
      </c>
      <c r="I3100">
        <v>206.9641</v>
      </c>
      <c r="J3100">
        <v>-220.35059999999999</v>
      </c>
      <c r="K3100">
        <v>1.10961</v>
      </c>
      <c r="L3100">
        <v>215.68219999999999</v>
      </c>
      <c r="M3100">
        <v>0.99989019999999995</v>
      </c>
      <c r="N3100">
        <v>0</v>
      </c>
      <c r="O3100">
        <v>-5.2305030000000001E-3</v>
      </c>
      <c r="P3100">
        <v>0.98890579999999995</v>
      </c>
      <c r="Q3100">
        <v>4.0636930000000002E-2</v>
      </c>
      <c r="R3100">
        <v>-0.14287849999999999</v>
      </c>
      <c r="S3100">
        <v>2.9462739999999998</v>
      </c>
      <c r="T3100">
        <v>-7.5446840000000001E-2</v>
      </c>
      <c r="U3100">
        <v>-0.62951659999999998</v>
      </c>
      <c r="V3100">
        <v>0.13773569999999999</v>
      </c>
      <c r="W3100">
        <v>5.4283919999999999E-2</v>
      </c>
      <c r="X3100">
        <v>0.98898039999999998</v>
      </c>
      <c r="Y3100">
        <v>0.20376839999999999</v>
      </c>
      <c r="Z3100">
        <v>-2.4470609999999999E-3</v>
      </c>
      <c r="AA3100">
        <v>0.97901609999999994</v>
      </c>
      <c r="AB3100">
        <v>35</v>
      </c>
      <c r="AC3100">
        <v>40.4072999999999</v>
      </c>
      <c r="AD3100">
        <v>-1.0450976000000001</v>
      </c>
      <c r="AE3100">
        <v>-8.7180999999999909</v>
      </c>
      <c r="AF3100">
        <v>8.5011759845840391</v>
      </c>
      <c r="AG3100">
        <v>-1.0450976000000001</v>
      </c>
      <c r="AH3100">
        <v>40.426511133819098</v>
      </c>
      <c r="AI3100">
        <v>91.449187061587693</v>
      </c>
      <c r="AJ3100">
        <v>78.124463979491296</v>
      </c>
      <c r="AK3100">
        <v>41.323903791476297</v>
      </c>
      <c r="AL3100">
        <v>86.888231099799498</v>
      </c>
      <c r="AM3100">
        <v>82.071392885681306</v>
      </c>
      <c r="AN3100">
        <v>1.0000000493046</v>
      </c>
    </row>
    <row r="3101" spans="1:40" x14ac:dyDescent="0.25">
      <c r="A3101" t="str">
        <f>"20190312154615988"</f>
        <v>20190312154615988</v>
      </c>
      <c r="B3101" t="str">
        <f>"1552376775980040"</f>
        <v>1552376775980040</v>
      </c>
      <c r="C3101" t="s">
        <v>40</v>
      </c>
      <c r="D3101">
        <v>3.967352</v>
      </c>
      <c r="E3101">
        <v>0.52778829999999999</v>
      </c>
      <c r="F3101" t="s">
        <v>53</v>
      </c>
      <c r="G3101">
        <v>-179.95779999999999</v>
      </c>
      <c r="H3101">
        <v>4.4920069999999999E-2</v>
      </c>
      <c r="I3101">
        <v>206.93770000000001</v>
      </c>
      <c r="J3101">
        <v>-219.9948</v>
      </c>
      <c r="K3101">
        <v>1.109559</v>
      </c>
      <c r="L3101">
        <v>215.6799</v>
      </c>
      <c r="M3101">
        <v>0.99988809999999995</v>
      </c>
      <c r="N3101">
        <v>0</v>
      </c>
      <c r="O3101">
        <v>-5.5839469999999997E-3</v>
      </c>
      <c r="P3101">
        <v>0.98850349999999998</v>
      </c>
      <c r="Q3101">
        <v>4.1180840000000003E-2</v>
      </c>
      <c r="R3101">
        <v>-0.14548129999999901</v>
      </c>
      <c r="S3101">
        <v>2.9447480000000001</v>
      </c>
      <c r="T3101">
        <v>-7.7618720000000002E-2</v>
      </c>
      <c r="U3101">
        <v>-0.63749690000000003</v>
      </c>
      <c r="V3101">
        <v>0.1399975</v>
      </c>
      <c r="W3101">
        <v>5.4802910000000003E-2</v>
      </c>
      <c r="X3101">
        <v>0.98863400000000001</v>
      </c>
      <c r="Y3101">
        <v>0.20605689999999999</v>
      </c>
      <c r="Z3101">
        <v>-2.5386509999999998E-3</v>
      </c>
      <c r="AA3101">
        <v>0.97853670000000004</v>
      </c>
      <c r="AB3101">
        <v>35</v>
      </c>
      <c r="AC3101">
        <v>40.036999999999999</v>
      </c>
      <c r="AD3101">
        <v>-1.0646389300000001</v>
      </c>
      <c r="AE3101">
        <v>-8.7421999999999898</v>
      </c>
      <c r="AF3101">
        <v>8.5127322276220792</v>
      </c>
      <c r="AG3101">
        <v>-1.0646389300000001</v>
      </c>
      <c r="AH3101">
        <v>40.058160225840297</v>
      </c>
      <c r="AI3101">
        <v>91.489171561241903</v>
      </c>
      <c r="AJ3101">
        <v>78.002589990122502</v>
      </c>
      <c r="AK3101">
        <v>40.966526173322997</v>
      </c>
      <c r="AL3101">
        <v>86.8584504345082</v>
      </c>
      <c r="AM3101">
        <v>81.940104956478805</v>
      </c>
      <c r="AN3101">
        <v>0.999999922453356</v>
      </c>
    </row>
    <row r="3102" spans="1:40" x14ac:dyDescent="0.25">
      <c r="A3102" t="str">
        <f>"20190312154616024"</f>
        <v>20190312154616024</v>
      </c>
      <c r="B3102" t="str">
        <f>"1552376776020056"</f>
        <v>1552376776020056</v>
      </c>
      <c r="C3102" t="s">
        <v>40</v>
      </c>
      <c r="D3102">
        <v>4.0197919999999998</v>
      </c>
      <c r="E3102">
        <v>0.53443600000000002</v>
      </c>
      <c r="F3102" t="s">
        <v>53</v>
      </c>
      <c r="G3102">
        <v>-179.9495</v>
      </c>
      <c r="H3102">
        <v>5.8242269999999999E-2</v>
      </c>
      <c r="I3102">
        <v>206.88480000000001</v>
      </c>
      <c r="J3102">
        <v>-219.42840000000001</v>
      </c>
      <c r="K3102">
        <v>1.1094520000000001</v>
      </c>
      <c r="L3102">
        <v>215.67599999999999</v>
      </c>
      <c r="M3102">
        <v>0.99988370000000004</v>
      </c>
      <c r="N3102">
        <v>0</v>
      </c>
      <c r="O3102">
        <v>-6.3293119999999897E-3</v>
      </c>
      <c r="P3102">
        <v>0.98751560000000005</v>
      </c>
      <c r="Q3102">
        <v>4.2573779999999999E-2</v>
      </c>
      <c r="R3102">
        <v>-0.15165919999999999</v>
      </c>
      <c r="S3102">
        <v>2.9429630000000002</v>
      </c>
      <c r="T3102">
        <v>-7.7262159999999996E-2</v>
      </c>
      <c r="U3102">
        <v>-0.64636229999999995</v>
      </c>
      <c r="V3102">
        <v>0.14546049999999999</v>
      </c>
      <c r="W3102">
        <v>5.6136949999999998E-2</v>
      </c>
      <c r="X3102">
        <v>0.98777009999999998</v>
      </c>
      <c r="Y3102">
        <v>0.2082637</v>
      </c>
      <c r="Z3102">
        <v>-2.5369809999999998E-3</v>
      </c>
      <c r="AA3102">
        <v>0.97806939999999998</v>
      </c>
      <c r="AB3102">
        <v>34</v>
      </c>
      <c r="AC3102">
        <v>39.478900000000003</v>
      </c>
      <c r="AD3102">
        <v>-1.0512097300000001</v>
      </c>
      <c r="AE3102">
        <v>-8.7911999999999697</v>
      </c>
      <c r="AF3102">
        <v>8.5353598419703793</v>
      </c>
      <c r="AG3102">
        <v>-1.0512097300000001</v>
      </c>
      <c r="AH3102">
        <v>39.507069349709703</v>
      </c>
      <c r="AI3102">
        <v>91.4898177847152</v>
      </c>
      <c r="AJ3102">
        <v>77.808827173253903</v>
      </c>
      <c r="AK3102">
        <v>40.432238846385196</v>
      </c>
      <c r="AL3102">
        <v>86.781897761375603</v>
      </c>
      <c r="AM3102">
        <v>81.622747894346006</v>
      </c>
      <c r="AN3102">
        <v>0.99999994233477896</v>
      </c>
    </row>
    <row r="3103" spans="1:40" x14ac:dyDescent="0.25">
      <c r="A3103" t="str">
        <f>"20190312154616051"</f>
        <v>20190312154616051</v>
      </c>
      <c r="B3103" t="str">
        <f>"1552376776040551"</f>
        <v>1552376776040551</v>
      </c>
      <c r="C3103" t="s">
        <v>40</v>
      </c>
      <c r="D3103">
        <v>4.0142429999999996</v>
      </c>
      <c r="E3103">
        <v>0.53394779999999997</v>
      </c>
      <c r="F3103" t="s">
        <v>53</v>
      </c>
      <c r="G3103">
        <v>-191.0061</v>
      </c>
      <c r="H3103" s="1">
        <v>4.4830059999999998E-6</v>
      </c>
      <c r="I3103">
        <v>208.75</v>
      </c>
      <c r="J3103">
        <v>-219.01429999999999</v>
      </c>
      <c r="K3103">
        <v>1.1093139999999999</v>
      </c>
      <c r="L3103">
        <v>215.67250000000001</v>
      </c>
      <c r="M3103">
        <v>0.9998783</v>
      </c>
      <c r="N3103">
        <v>0</v>
      </c>
      <c r="O3103">
        <v>-7.1638659999999996E-3</v>
      </c>
      <c r="P3103">
        <v>0.98704230000000004</v>
      </c>
      <c r="Q3103">
        <v>4.2424629999999998E-2</v>
      </c>
      <c r="R3103">
        <v>-0.15475129999999901</v>
      </c>
      <c r="S3103">
        <v>2.9331049999999999</v>
      </c>
      <c r="T3103">
        <v>-0.1144922</v>
      </c>
      <c r="U3103">
        <v>-0.71475219999999995</v>
      </c>
      <c r="V3103">
        <v>0.1477504</v>
      </c>
      <c r="W3103">
        <v>5.5927949999999997E-2</v>
      </c>
      <c r="X3103">
        <v>0.98744209999999999</v>
      </c>
      <c r="Y3103">
        <v>0.22962949999999999</v>
      </c>
      <c r="Z3103">
        <v>-4.1400220000000001E-3</v>
      </c>
      <c r="AA3103">
        <v>0.9732693</v>
      </c>
      <c r="AB3103">
        <v>34</v>
      </c>
      <c r="AC3103">
        <v>28.008199999999899</v>
      </c>
      <c r="AD3103">
        <v>-1.1093095169939999</v>
      </c>
      <c r="AE3103">
        <v>-6.9225000000000101</v>
      </c>
      <c r="AF3103">
        <v>6.7117336274578099</v>
      </c>
      <c r="AG3103">
        <v>-1.1093095169939999</v>
      </c>
      <c r="AH3103">
        <v>28.015660209364501</v>
      </c>
      <c r="AI3103">
        <v>92.205167303883698</v>
      </c>
      <c r="AJ3103">
        <v>76.527521984221096</v>
      </c>
      <c r="AK3103">
        <v>28.829761581688601</v>
      </c>
      <c r="AL3103">
        <v>86.793891635257395</v>
      </c>
      <c r="AM3103">
        <v>81.490000324553904</v>
      </c>
      <c r="AN3103">
        <v>1.0000000085718801</v>
      </c>
    </row>
    <row r="3104" spans="1:40" x14ac:dyDescent="0.25">
      <c r="A3104" t="str">
        <f>"20190312154616072"</f>
        <v>20190312154616072</v>
      </c>
      <c r="B3104" t="str">
        <f>"1552376776060072"</f>
        <v>1552376776060072</v>
      </c>
      <c r="C3104" t="s">
        <v>40</v>
      </c>
      <c r="D3104">
        <v>4.0042479999999996</v>
      </c>
      <c r="E3104">
        <v>0.5337307</v>
      </c>
      <c r="F3104" t="s">
        <v>53</v>
      </c>
      <c r="G3104">
        <v>-190.51050000000001</v>
      </c>
      <c r="H3104" s="1">
        <v>4.623511E-6</v>
      </c>
      <c r="I3104">
        <v>208.6634</v>
      </c>
      <c r="J3104">
        <v>-218.6953</v>
      </c>
      <c r="K3104">
        <v>1.1091759999999999</v>
      </c>
      <c r="L3104">
        <v>215.6695</v>
      </c>
      <c r="M3104">
        <v>0.99987199999999998</v>
      </c>
      <c r="N3104">
        <v>0</v>
      </c>
      <c r="O3104">
        <v>-7.9968019999999904E-3</v>
      </c>
      <c r="P3104">
        <v>0.98671410000000004</v>
      </c>
      <c r="Q3104">
        <v>4.2201629999999997E-2</v>
      </c>
      <c r="R3104">
        <v>-0.15689059999999999</v>
      </c>
      <c r="S3104">
        <v>2.9312740000000002</v>
      </c>
      <c r="T3104">
        <v>-0.114079399999999</v>
      </c>
      <c r="U3104">
        <v>-0.7208099</v>
      </c>
      <c r="V3104">
        <v>0.1490882</v>
      </c>
      <c r="W3104">
        <v>5.564848E-2</v>
      </c>
      <c r="X3104">
        <v>0.98725680000000005</v>
      </c>
      <c r="Y3104">
        <v>0.2308567</v>
      </c>
      <c r="Z3104">
        <v>-4.1182149999999997E-3</v>
      </c>
      <c r="AA3104">
        <v>0.97297900000000004</v>
      </c>
      <c r="AB3104">
        <v>34</v>
      </c>
      <c r="AC3104">
        <v>28.184799999999999</v>
      </c>
      <c r="AD3104">
        <v>-1.1091713764890001</v>
      </c>
      <c r="AE3104">
        <v>-7.0061</v>
      </c>
      <c r="AF3104">
        <v>6.7705906199818404</v>
      </c>
      <c r="AG3104">
        <v>-1.1091713764890001</v>
      </c>
      <c r="AH3104">
        <v>28.198800354850299</v>
      </c>
      <c r="AI3104">
        <v>92.190323371738501</v>
      </c>
      <c r="AJ3104">
        <v>76.498736631961705</v>
      </c>
      <c r="AK3104">
        <v>29.021431734814801</v>
      </c>
      <c r="AL3104">
        <v>86.809929089642196</v>
      </c>
      <c r="AM3104">
        <v>81.412502724233704</v>
      </c>
      <c r="AN3104">
        <v>1.00000001692589</v>
      </c>
    </row>
    <row r="3105" spans="1:40" x14ac:dyDescent="0.25">
      <c r="A3105" t="str">
        <f>"20190312154616094"</f>
        <v>20190312154616094</v>
      </c>
      <c r="B3105" t="str">
        <f>"1552376776090327"</f>
        <v>1552376776090327</v>
      </c>
      <c r="C3105" t="s">
        <v>40</v>
      </c>
      <c r="D3105">
        <v>3.9652980000000002</v>
      </c>
      <c r="E3105">
        <v>0.53352959999999905</v>
      </c>
      <c r="F3105" t="s">
        <v>53</v>
      </c>
      <c r="G3105">
        <v>-190.37200000000001</v>
      </c>
      <c r="H3105" s="1">
        <v>4.6589000000000004E-6</v>
      </c>
      <c r="I3105">
        <v>208.65010000000001</v>
      </c>
      <c r="J3105">
        <v>-218.36850000000001</v>
      </c>
      <c r="K3105">
        <v>1.1089800000000001</v>
      </c>
      <c r="L3105">
        <v>215.66579999999999</v>
      </c>
      <c r="M3105">
        <v>0.99986209999999998</v>
      </c>
      <c r="N3105">
        <v>0</v>
      </c>
      <c r="O3105">
        <v>-9.1416829999999994E-3</v>
      </c>
      <c r="P3105">
        <v>0.98645970000000005</v>
      </c>
      <c r="Q3105">
        <v>4.1948149999999997E-2</v>
      </c>
      <c r="R3105">
        <v>-0.15854960000000001</v>
      </c>
      <c r="S3105">
        <v>2.92984</v>
      </c>
      <c r="T3105">
        <v>-0.11473609999999999</v>
      </c>
      <c r="U3105">
        <v>-0.72610469999999905</v>
      </c>
      <c r="V3105">
        <v>0.14964539999999901</v>
      </c>
      <c r="W3105">
        <v>5.5318539999999999E-2</v>
      </c>
      <c r="X3105">
        <v>0.98719100000000004</v>
      </c>
      <c r="Y3105">
        <v>0.23150889999999999</v>
      </c>
      <c r="Z3105">
        <v>-4.1114339999999997E-3</v>
      </c>
      <c r="AA3105">
        <v>0.97282409999999997</v>
      </c>
      <c r="AB3105">
        <v>34</v>
      </c>
      <c r="AC3105">
        <v>27.996500000000001</v>
      </c>
      <c r="AD3105">
        <v>-1.1089753410999901</v>
      </c>
      <c r="AE3105">
        <v>-7.0156999999999803</v>
      </c>
      <c r="AF3105">
        <v>6.7494825292796801</v>
      </c>
      <c r="AG3105">
        <v>-1.1089753410999901</v>
      </c>
      <c r="AH3105">
        <v>28.0181071440194</v>
      </c>
      <c r="AI3105">
        <v>92.203648015371499</v>
      </c>
      <c r="AJ3105">
        <v>76.455672553716497</v>
      </c>
      <c r="AK3105">
        <v>28.840937374745099</v>
      </c>
      <c r="AL3105">
        <v>86.828862301903698</v>
      </c>
      <c r="AM3105">
        <v>81.380323208628894</v>
      </c>
      <c r="AN3105">
        <v>0.99999997854494505</v>
      </c>
    </row>
    <row r="3106" spans="1:40" x14ac:dyDescent="0.25">
      <c r="A3106" t="str">
        <f>"20190312154616117"</f>
        <v>20190312154616117</v>
      </c>
      <c r="B3106" t="str">
        <f>"1552376776109848"</f>
        <v>1552376776109848</v>
      </c>
      <c r="C3106" t="s">
        <v>40</v>
      </c>
      <c r="D3106">
        <v>3.8952710000000002</v>
      </c>
      <c r="E3106">
        <v>0.53482130000000005</v>
      </c>
      <c r="F3106" t="s">
        <v>53</v>
      </c>
      <c r="G3106">
        <v>-189.96190000000001</v>
      </c>
      <c r="H3106" s="1">
        <v>4.7739070000000001E-6</v>
      </c>
      <c r="I3106">
        <v>208.58199999999999</v>
      </c>
      <c r="J3106">
        <v>-218.0018</v>
      </c>
      <c r="K3106">
        <v>1.10867</v>
      </c>
      <c r="L3106">
        <v>215.6609</v>
      </c>
      <c r="M3106">
        <v>0.99984459999999997</v>
      </c>
      <c r="N3106">
        <v>0</v>
      </c>
      <c r="O3106">
        <v>-1.086907E-2</v>
      </c>
      <c r="P3106">
        <v>0.986178</v>
      </c>
      <c r="Q3106">
        <v>4.1491739999999999E-2</v>
      </c>
      <c r="R3106">
        <v>-0.1604109</v>
      </c>
      <c r="S3106">
        <v>2.9286650000000001</v>
      </c>
      <c r="T3106">
        <v>-0.1143335</v>
      </c>
      <c r="U3106">
        <v>-0.73033139999999996</v>
      </c>
      <c r="V3106">
        <v>0.14984349999999999</v>
      </c>
      <c r="W3106">
        <v>5.4752450000000001E-2</v>
      </c>
      <c r="X3106">
        <v>0.98719250000000003</v>
      </c>
      <c r="Y3106">
        <v>0.23124410000000001</v>
      </c>
      <c r="Z3106">
        <v>-4.0264649999999999E-3</v>
      </c>
      <c r="AA3106">
        <v>0.97288750000000002</v>
      </c>
      <c r="AB3106">
        <v>34</v>
      </c>
      <c r="AC3106">
        <v>28.0398999999999</v>
      </c>
      <c r="AD3106">
        <v>-1.1086652260929999</v>
      </c>
      <c r="AE3106">
        <v>-7.0789</v>
      </c>
      <c r="AF3106">
        <v>6.76374442398029</v>
      </c>
      <c r="AG3106">
        <v>-1.1086652260929999</v>
      </c>
      <c r="AH3106">
        <v>28.073932927849601</v>
      </c>
      <c r="AI3106">
        <v>92.198641411106607</v>
      </c>
      <c r="AJ3106">
        <v>76.454103129029605</v>
      </c>
      <c r="AK3106">
        <v>28.8984962801505</v>
      </c>
      <c r="AL3106">
        <v>86.861346072317303</v>
      </c>
      <c r="AM3106">
        <v>81.369097157477498</v>
      </c>
      <c r="AN3106">
        <v>0.99999996866475005</v>
      </c>
    </row>
    <row r="3107" spans="1:40" x14ac:dyDescent="0.25">
      <c r="A3107" t="str">
        <f>"20190312154616140"</f>
        <v>20190312154616140</v>
      </c>
      <c r="B3107" t="str">
        <f>"1552376776130344"</f>
        <v>1552376776130344</v>
      </c>
      <c r="C3107" t="s">
        <v>40</v>
      </c>
      <c r="D3107">
        <v>3.9213269999999998</v>
      </c>
      <c r="E3107">
        <v>0.53634979999999999</v>
      </c>
      <c r="F3107" t="s">
        <v>53</v>
      </c>
      <c r="G3107">
        <v>-188.2955</v>
      </c>
      <c r="H3107" s="1">
        <v>4.6577499999999996E-6</v>
      </c>
      <c r="I3107">
        <v>208.07910000000001</v>
      </c>
      <c r="J3107">
        <v>-217.6566</v>
      </c>
      <c r="K3107">
        <v>1.108309</v>
      </c>
      <c r="L3107">
        <v>215.65520000000001</v>
      </c>
      <c r="M3107">
        <v>0.99981949999999997</v>
      </c>
      <c r="N3107">
        <v>0</v>
      </c>
      <c r="O3107">
        <v>-1.297424E-2</v>
      </c>
      <c r="P3107">
        <v>0.98595049999999995</v>
      </c>
      <c r="Q3107">
        <v>4.1341709999999997E-2</v>
      </c>
      <c r="R3107">
        <v>-0.1618416</v>
      </c>
      <c r="S3107">
        <v>2.9252009999999999</v>
      </c>
      <c r="T3107">
        <v>-0.109171</v>
      </c>
      <c r="U3107">
        <v>-0.74658199999999997</v>
      </c>
      <c r="V3107">
        <v>0.1492443</v>
      </c>
      <c r="W3107">
        <v>5.4482950000000002E-2</v>
      </c>
      <c r="X3107">
        <v>0.98729820000000001</v>
      </c>
      <c r="Y3107">
        <v>0.23455889999999999</v>
      </c>
      <c r="Z3107">
        <v>-3.8302369999999998E-3</v>
      </c>
      <c r="AA3107">
        <v>0.97209440000000003</v>
      </c>
      <c r="AB3107">
        <v>34</v>
      </c>
      <c r="AC3107">
        <v>29.3611</v>
      </c>
      <c r="AD3107">
        <v>-1.1083043422499901</v>
      </c>
      <c r="AE3107">
        <v>-7.5760999999999896</v>
      </c>
      <c r="AF3107">
        <v>7.1848891269908197</v>
      </c>
      <c r="AG3107">
        <v>-1.1083043422499901</v>
      </c>
      <c r="AH3107">
        <v>29.417632293358501</v>
      </c>
      <c r="AI3107">
        <v>92.096035002216098</v>
      </c>
      <c r="AJ3107">
        <v>76.274920430811505</v>
      </c>
      <c r="AK3107">
        <v>30.3026081390604</v>
      </c>
      <c r="AL3107">
        <v>86.876810448589694</v>
      </c>
      <c r="AM3107">
        <v>81.4040006875545</v>
      </c>
      <c r="AN3107">
        <v>0.99999999432321596</v>
      </c>
    </row>
    <row r="3108" spans="1:40" x14ac:dyDescent="0.25">
      <c r="A3108" t="str">
        <f>"20190312154616167"</f>
        <v>20190312154616167</v>
      </c>
      <c r="B3108" t="str">
        <f>"1552376776160600"</f>
        <v>1552376776160600</v>
      </c>
      <c r="C3108" t="s">
        <v>40</v>
      </c>
      <c r="D3108">
        <v>3.9737840000000002</v>
      </c>
      <c r="E3108">
        <v>0.53752540000000004</v>
      </c>
      <c r="F3108" t="s">
        <v>53</v>
      </c>
      <c r="G3108">
        <v>-187.1944</v>
      </c>
      <c r="H3108" s="1">
        <v>4.5979569999999997E-6</v>
      </c>
      <c r="I3108">
        <v>207.69579999999999</v>
      </c>
      <c r="J3108">
        <v>-217.26</v>
      </c>
      <c r="K3108">
        <v>1.1078429999999999</v>
      </c>
      <c r="L3108">
        <v>215.6472</v>
      </c>
      <c r="M3108">
        <v>0.99977510000000003</v>
      </c>
      <c r="N3108">
        <v>0</v>
      </c>
      <c r="O3108">
        <v>-1.601779E-2</v>
      </c>
      <c r="P3108">
        <v>0.98572119999999996</v>
      </c>
      <c r="Q3108">
        <v>4.0968350000000001E-2</v>
      </c>
      <c r="R3108">
        <v>-0.16332579999999999</v>
      </c>
      <c r="S3108">
        <v>2.921875</v>
      </c>
      <c r="T3108">
        <v>-0.1063067</v>
      </c>
      <c r="U3108">
        <v>-0.76345830000000003</v>
      </c>
      <c r="V3108">
        <v>0.147783</v>
      </c>
      <c r="W3108">
        <v>5.3967300000000003E-2</v>
      </c>
      <c r="X3108">
        <v>0.98754629999999999</v>
      </c>
      <c r="Y3108">
        <v>0.23713500000000001</v>
      </c>
      <c r="Z3108">
        <v>-3.6685749999999999E-3</v>
      </c>
      <c r="AA3108">
        <v>0.97146980000000005</v>
      </c>
      <c r="AB3108">
        <v>34</v>
      </c>
      <c r="AC3108">
        <v>30.0655999999999</v>
      </c>
      <c r="AD3108">
        <v>-1.1078384020430001</v>
      </c>
      <c r="AE3108">
        <v>-7.9513999999999996</v>
      </c>
      <c r="AF3108">
        <v>7.4592830782239101</v>
      </c>
      <c r="AG3108">
        <v>-1.1078384020430001</v>
      </c>
      <c r="AH3108">
        <v>30.150857596239099</v>
      </c>
      <c r="AI3108">
        <v>92.042751029377698</v>
      </c>
      <c r="AJ3108">
        <v>76.104118220635399</v>
      </c>
      <c r="AK3108">
        <v>31.079614279376202</v>
      </c>
      <c r="AL3108">
        <v>86.906398535091995</v>
      </c>
      <c r="AM3108">
        <v>81.489035125642701</v>
      </c>
      <c r="AN3108">
        <v>0.99999998960099001</v>
      </c>
    </row>
    <row r="3109" spans="1:40" x14ac:dyDescent="0.25">
      <c r="A3109" t="str">
        <f>"20190312154616189"</f>
        <v>20190312154616189</v>
      </c>
      <c r="B3109" t="str">
        <f>"1552376776180120"</f>
        <v>1552376776180120</v>
      </c>
      <c r="C3109" t="s">
        <v>40</v>
      </c>
      <c r="D3109">
        <v>3.9503940000000002</v>
      </c>
      <c r="E3109">
        <v>0.53820449999999997</v>
      </c>
      <c r="F3109" t="s">
        <v>53</v>
      </c>
      <c r="G3109">
        <v>-186.32980000000001</v>
      </c>
      <c r="H3109" s="1">
        <v>4.5478489999999998E-6</v>
      </c>
      <c r="I3109">
        <v>207.40360000000001</v>
      </c>
      <c r="J3109">
        <v>-216.89109999999999</v>
      </c>
      <c r="K3109">
        <v>1.1074079999999999</v>
      </c>
      <c r="L3109">
        <v>215.6379</v>
      </c>
      <c r="M3109">
        <v>0.99971370000000004</v>
      </c>
      <c r="N3109">
        <v>0</v>
      </c>
      <c r="O3109">
        <v>-1.947519E-2</v>
      </c>
      <c r="P3109">
        <v>0.98549370000000003</v>
      </c>
      <c r="Q3109">
        <v>4.0139590000000003E-2</v>
      </c>
      <c r="R3109">
        <v>-0.1648973</v>
      </c>
      <c r="S3109">
        <v>2.9189150000000001</v>
      </c>
      <c r="T3109">
        <v>-0.104548</v>
      </c>
      <c r="U3109">
        <v>-0.77795409999999998</v>
      </c>
      <c r="V3109">
        <v>0.1459926</v>
      </c>
      <c r="W3109">
        <v>5.3013560000000001E-2</v>
      </c>
      <c r="X3109">
        <v>0.98786430000000003</v>
      </c>
      <c r="Y3109">
        <v>0.23853189999999999</v>
      </c>
      <c r="Z3109">
        <v>-3.512266E-3</v>
      </c>
      <c r="AA3109">
        <v>0.97112830000000006</v>
      </c>
      <c r="AB3109">
        <v>34</v>
      </c>
      <c r="AC3109">
        <v>30.5612999999999</v>
      </c>
      <c r="AD3109">
        <v>-1.1074034521509999</v>
      </c>
      <c r="AE3109">
        <v>-8.2342999999999904</v>
      </c>
      <c r="AF3109">
        <v>7.6281553945199896</v>
      </c>
      <c r="AG3109">
        <v>-1.1074034521509999</v>
      </c>
      <c r="AH3109">
        <v>30.6783280339871</v>
      </c>
      <c r="AI3109">
        <v>92.006284214441493</v>
      </c>
      <c r="AJ3109">
        <v>76.036598089149194</v>
      </c>
      <c r="AK3109">
        <v>31.6318653906104</v>
      </c>
      <c r="AL3109">
        <v>86.9611224217429</v>
      </c>
      <c r="AM3109">
        <v>81.593331062817398</v>
      </c>
      <c r="AN3109">
        <v>1.0000000760065499</v>
      </c>
    </row>
    <row r="3110" spans="1:40" x14ac:dyDescent="0.25">
      <c r="A3110" t="str">
        <f>"20190312154616225"</f>
        <v>20190312154616225</v>
      </c>
      <c r="B3110" t="str">
        <f>"1552376776220139"</f>
        <v>1552376776220139</v>
      </c>
      <c r="C3110" t="s">
        <v>40</v>
      </c>
      <c r="D3110">
        <v>3.9773489999999998</v>
      </c>
      <c r="E3110">
        <v>0.53946300000000003</v>
      </c>
      <c r="F3110" t="s">
        <v>53</v>
      </c>
      <c r="G3110">
        <v>-186.47200000000001</v>
      </c>
      <c r="H3110" s="1">
        <v>4.568923E-6</v>
      </c>
      <c r="I3110">
        <v>207.41540000000001</v>
      </c>
      <c r="J3110">
        <v>-216.34110000000001</v>
      </c>
      <c r="K3110">
        <v>1.1068009999999999</v>
      </c>
      <c r="L3110">
        <v>215.62100000000001</v>
      </c>
      <c r="M3110">
        <v>0.99957790000000002</v>
      </c>
      <c r="N3110">
        <v>0</v>
      </c>
      <c r="O3110">
        <v>-2.5490550000000001E-2</v>
      </c>
      <c r="P3110">
        <v>0.98483600000000004</v>
      </c>
      <c r="Q3110">
        <v>3.5881160000000002E-2</v>
      </c>
      <c r="R3110">
        <v>-0.1697371</v>
      </c>
      <c r="S3110">
        <v>2.9165649999999999</v>
      </c>
      <c r="T3110">
        <v>-0.1061771</v>
      </c>
      <c r="U3110">
        <v>-0.78837590000000002</v>
      </c>
      <c r="V3110">
        <v>0.14494000000000001</v>
      </c>
      <c r="W3110">
        <v>4.8584710000000003E-2</v>
      </c>
      <c r="X3110">
        <v>0.98824690000000004</v>
      </c>
      <c r="Y3110">
        <v>0.2361201</v>
      </c>
      <c r="Z3110">
        <v>-3.310286E-3</v>
      </c>
      <c r="AA3110">
        <v>0.97171830000000003</v>
      </c>
      <c r="AB3110">
        <v>34</v>
      </c>
      <c r="AC3110">
        <v>29.8691</v>
      </c>
      <c r="AD3110">
        <v>-1.106796431077</v>
      </c>
      <c r="AE3110">
        <v>-8.2055999999999703</v>
      </c>
      <c r="AF3110">
        <v>7.4319909232444399</v>
      </c>
      <c r="AG3110">
        <v>-1.106796431077</v>
      </c>
      <c r="AH3110">
        <v>30.0302381665783</v>
      </c>
      <c r="AI3110">
        <v>92.048981068525705</v>
      </c>
      <c r="AJ3110">
        <v>76.099535595133005</v>
      </c>
      <c r="AK3110">
        <v>30.956012207073002</v>
      </c>
      <c r="AL3110">
        <v>87.215204879870896</v>
      </c>
      <c r="AM3110">
        <v>81.656271798504605</v>
      </c>
      <c r="AN3110">
        <v>1.0000000065026899</v>
      </c>
    </row>
    <row r="3111" spans="1:40" x14ac:dyDescent="0.25">
      <c r="A3111" t="str">
        <f>"20190312154616251"</f>
        <v>20190312154616251</v>
      </c>
      <c r="B3111" t="str">
        <f>"1552376776240632"</f>
        <v>1552376776240632</v>
      </c>
      <c r="C3111" t="s">
        <v>40</v>
      </c>
      <c r="D3111">
        <v>3.893065</v>
      </c>
      <c r="E3111">
        <v>0.53999659999999905</v>
      </c>
      <c r="F3111" t="s">
        <v>53</v>
      </c>
      <c r="G3111">
        <v>-189.18289999999999</v>
      </c>
      <c r="H3111" s="1">
        <v>4.8271370000000003E-6</v>
      </c>
      <c r="I3111">
        <v>208.04519999999999</v>
      </c>
      <c r="J3111">
        <v>-215.94759999999999</v>
      </c>
      <c r="K3111">
        <v>1.1064350000000001</v>
      </c>
      <c r="L3111">
        <v>215.6061</v>
      </c>
      <c r="M3111">
        <v>0.99943979999999999</v>
      </c>
      <c r="N3111">
        <v>0</v>
      </c>
      <c r="O3111">
        <v>-3.0422459999999998E-2</v>
      </c>
      <c r="P3111">
        <v>0.98400460000000001</v>
      </c>
      <c r="Q3111">
        <v>3.5330760000000003E-2</v>
      </c>
      <c r="R3111">
        <v>-0.1746047</v>
      </c>
      <c r="S3111">
        <v>2.9105829999999999</v>
      </c>
      <c r="T3111">
        <v>-0.118616899999999</v>
      </c>
      <c r="U3111">
        <v>-0.81190490000000004</v>
      </c>
      <c r="V3111">
        <v>0.14498829999999999</v>
      </c>
      <c r="W3111">
        <v>4.7921720000000001E-2</v>
      </c>
      <c r="X3111">
        <v>0.98827220000000005</v>
      </c>
      <c r="Y3111">
        <v>0.2390999</v>
      </c>
      <c r="Z3111">
        <v>-3.564121E-3</v>
      </c>
      <c r="AA3111">
        <v>0.97098850000000003</v>
      </c>
      <c r="AB3111">
        <v>34</v>
      </c>
      <c r="AC3111">
        <v>26.764700000000001</v>
      </c>
      <c r="AD3111">
        <v>-1.1064301728629999</v>
      </c>
      <c r="AE3111">
        <v>-7.5609000000000002</v>
      </c>
      <c r="AF3111">
        <v>6.7324174628450404</v>
      </c>
      <c r="AG3111">
        <v>-1.1064301728629999</v>
      </c>
      <c r="AH3111">
        <v>26.9397170476465</v>
      </c>
      <c r="AI3111">
        <v>92.281754908247294</v>
      </c>
      <c r="AJ3111">
        <v>75.9687845299446</v>
      </c>
      <c r="AK3111">
        <v>27.7902498590548</v>
      </c>
      <c r="AL3111">
        <v>87.253235746620604</v>
      </c>
      <c r="AM3111">
        <v>81.653741147800702</v>
      </c>
      <c r="AN3111">
        <v>1.00000001983874</v>
      </c>
    </row>
    <row r="3112" spans="1:40" x14ac:dyDescent="0.25">
      <c r="A3112" t="str">
        <f>"20190312154616274"</f>
        <v>20190312154616274</v>
      </c>
      <c r="B3112" t="str">
        <f>"1552376776269912"</f>
        <v>1552376776269912</v>
      </c>
      <c r="C3112" t="s">
        <v>40</v>
      </c>
      <c r="D3112">
        <v>3.9394740000000001</v>
      </c>
      <c r="E3112">
        <v>0.54077339999999996</v>
      </c>
      <c r="F3112" t="s">
        <v>53</v>
      </c>
      <c r="G3112">
        <v>-189.2628</v>
      </c>
      <c r="H3112" s="1">
        <v>4.8641279999999997E-6</v>
      </c>
      <c r="I3112">
        <v>207.98070000000001</v>
      </c>
      <c r="J3112">
        <v>-215.5967</v>
      </c>
      <c r="K3112">
        <v>1.106149</v>
      </c>
      <c r="L3112">
        <v>215.5909</v>
      </c>
      <c r="M3112">
        <v>0.99928519999999998</v>
      </c>
      <c r="N3112">
        <v>0</v>
      </c>
      <c r="O3112">
        <v>-3.51297E-2</v>
      </c>
      <c r="P3112">
        <v>0.983101</v>
      </c>
      <c r="Q3112">
        <v>3.6216730000000003E-2</v>
      </c>
      <c r="R3112">
        <v>-0.17944660000000001</v>
      </c>
      <c r="S3112">
        <v>2.9057309999999998</v>
      </c>
      <c r="T3112">
        <v>-0.1204798</v>
      </c>
      <c r="U3112">
        <v>-0.83033749999999995</v>
      </c>
      <c r="V3112">
        <v>0.14524119999999999</v>
      </c>
      <c r="W3112">
        <v>4.871615E-2</v>
      </c>
      <c r="X3112">
        <v>0.98819619999999997</v>
      </c>
      <c r="Y3112">
        <v>0.2406471</v>
      </c>
      <c r="Z3112">
        <v>-3.4634980000000002E-3</v>
      </c>
      <c r="AA3112">
        <v>0.97060650000000004</v>
      </c>
      <c r="AB3112">
        <v>34</v>
      </c>
      <c r="AC3112">
        <v>26.3339</v>
      </c>
      <c r="AD3112">
        <v>-1.1061441358719999</v>
      </c>
      <c r="AE3112">
        <v>-7.6101999999999901</v>
      </c>
      <c r="AF3112">
        <v>6.6694490990293502</v>
      </c>
      <c r="AG3112">
        <v>-1.1061441358719999</v>
      </c>
      <c r="AH3112">
        <v>26.541792264048699</v>
      </c>
      <c r="AI3112">
        <v>92.314579503235507</v>
      </c>
      <c r="AJ3112">
        <v>75.894696867598697</v>
      </c>
      <c r="AK3112">
        <v>27.3892651000676</v>
      </c>
      <c r="AL3112">
        <v>87.207664975056304</v>
      </c>
      <c r="AM3112">
        <v>81.638754642102697</v>
      </c>
      <c r="AN3112">
        <v>0.99999999957135099</v>
      </c>
    </row>
    <row r="3113" spans="1:40" x14ac:dyDescent="0.25">
      <c r="A3113" t="str">
        <f>"20190312154616297"</f>
        <v>20190312154616297</v>
      </c>
      <c r="B3113" t="str">
        <f>"1552376776290408"</f>
        <v>1552376776290408</v>
      </c>
      <c r="C3113" t="s">
        <v>40</v>
      </c>
      <c r="D3113">
        <v>3.9755539999999998</v>
      </c>
      <c r="E3113">
        <v>0.54125819999999902</v>
      </c>
      <c r="F3113" t="s">
        <v>53</v>
      </c>
      <c r="G3113">
        <v>-188.8484</v>
      </c>
      <c r="H3113" s="1">
        <v>4.8732990000000002E-6</v>
      </c>
      <c r="I3113">
        <v>207.74680000000001</v>
      </c>
      <c r="J3113">
        <v>-215.24789999999999</v>
      </c>
      <c r="K3113">
        <v>1.1058840000000001</v>
      </c>
      <c r="L3113">
        <v>215.57400000000001</v>
      </c>
      <c r="M3113">
        <v>0.99909899999999996</v>
      </c>
      <c r="N3113">
        <v>0</v>
      </c>
      <c r="O3113">
        <v>-4.007525E-2</v>
      </c>
      <c r="P3113">
        <v>0.98212909999999998</v>
      </c>
      <c r="Q3113">
        <v>3.6810620000000002E-2</v>
      </c>
      <c r="R3113">
        <v>-0.18457380000000001</v>
      </c>
      <c r="S3113">
        <v>2.9007420000000002</v>
      </c>
      <c r="T3113">
        <v>-0.1199566</v>
      </c>
      <c r="U3113">
        <v>-0.85066219999999904</v>
      </c>
      <c r="V3113">
        <v>0.14554429999999999</v>
      </c>
      <c r="W3113">
        <v>4.922576E-2</v>
      </c>
      <c r="X3113">
        <v>0.98812630000000001</v>
      </c>
      <c r="Y3113">
        <v>0.24256140000000001</v>
      </c>
      <c r="Z3113">
        <v>-3.290074E-3</v>
      </c>
      <c r="AA3113">
        <v>0.97013039999999995</v>
      </c>
      <c r="AB3113">
        <v>34</v>
      </c>
      <c r="AC3113">
        <v>26.3994999999999</v>
      </c>
      <c r="AD3113">
        <v>-1.105879126701</v>
      </c>
      <c r="AE3113">
        <v>-7.8272000000000004</v>
      </c>
      <c r="AF3113">
        <v>6.7519502451048004</v>
      </c>
      <c r="AG3113">
        <v>-1.105879126701</v>
      </c>
      <c r="AH3113">
        <v>26.649011161904301</v>
      </c>
      <c r="AI3113">
        <v>92.303587122045002</v>
      </c>
      <c r="AJ3113">
        <v>75.782394050147104</v>
      </c>
      <c r="AK3113">
        <v>27.513298542024099</v>
      </c>
      <c r="AL3113">
        <v>87.178431263075595</v>
      </c>
      <c r="AM3113">
        <v>81.620968937713101</v>
      </c>
      <c r="AN3113">
        <v>0.99999995173087697</v>
      </c>
    </row>
    <row r="3114" spans="1:40" x14ac:dyDescent="0.25">
      <c r="A3114" t="str">
        <f>"20190312154616317"</f>
        <v>20190312154616317</v>
      </c>
      <c r="B3114" t="str">
        <f>"1552376776309928"</f>
        <v>1552376776309928</v>
      </c>
      <c r="C3114" t="s">
        <v>40</v>
      </c>
      <c r="D3114">
        <v>3.9226209999999999</v>
      </c>
      <c r="E3114">
        <v>0.54159209999999902</v>
      </c>
      <c r="F3114" t="s">
        <v>53</v>
      </c>
      <c r="G3114">
        <v>-188.7578</v>
      </c>
      <c r="H3114" s="1">
        <v>4.9030299999999999E-6</v>
      </c>
      <c r="I3114">
        <v>207.6172</v>
      </c>
      <c r="J3114">
        <v>-214.9308</v>
      </c>
      <c r="K3114">
        <v>1.1056600000000001</v>
      </c>
      <c r="L3114">
        <v>215.55690000000001</v>
      </c>
      <c r="M3114">
        <v>0.99889910000000004</v>
      </c>
      <c r="N3114">
        <v>0</v>
      </c>
      <c r="O3114">
        <v>-4.4774580000000001E-2</v>
      </c>
      <c r="P3114">
        <v>0.98100690000000002</v>
      </c>
      <c r="Q3114">
        <v>3.6687310000000001E-2</v>
      </c>
      <c r="R3114">
        <v>-0.1904719</v>
      </c>
      <c r="S3114">
        <v>2.8956599999999999</v>
      </c>
      <c r="T3114">
        <v>-0.1208847</v>
      </c>
      <c r="U3114">
        <v>-0.86976620000000004</v>
      </c>
      <c r="V3114">
        <v>0.1468593</v>
      </c>
      <c r="W3114">
        <v>4.9019529999999999E-2</v>
      </c>
      <c r="X3114">
        <v>0.98794199999999999</v>
      </c>
      <c r="Y3114">
        <v>0.24433830000000001</v>
      </c>
      <c r="Z3114">
        <v>-3.1632019999999999E-3</v>
      </c>
      <c r="AA3114">
        <v>0.96968489999999996</v>
      </c>
      <c r="AB3114">
        <v>34</v>
      </c>
      <c r="AC3114">
        <v>26.172999999999998</v>
      </c>
      <c r="AD3114">
        <v>-1.1056550969700001</v>
      </c>
      <c r="AE3114">
        <v>-7.93970000000001</v>
      </c>
      <c r="AF3114">
        <v>6.7487073879078903</v>
      </c>
      <c r="AG3114">
        <v>-1.1056550969700001</v>
      </c>
      <c r="AH3114">
        <v>26.459039050779101</v>
      </c>
      <c r="AI3114">
        <v>92.318700545850405</v>
      </c>
      <c r="AJ3114">
        <v>75.6910884160188</v>
      </c>
      <c r="AK3114">
        <v>27.328524879541401</v>
      </c>
      <c r="AL3114">
        <v>87.190261739137696</v>
      </c>
      <c r="AM3114">
        <v>81.544798878534607</v>
      </c>
      <c r="AN3114">
        <v>0.99999998184095495</v>
      </c>
    </row>
    <row r="3115" spans="1:40" x14ac:dyDescent="0.25">
      <c r="A3115" t="str">
        <f>"20190312154616342"</f>
        <v>20190312154616342</v>
      </c>
      <c r="B3115" t="str">
        <f>"1552376776330424"</f>
        <v>1552376776330424</v>
      </c>
      <c r="C3115" t="s">
        <v>40</v>
      </c>
      <c r="D3115">
        <v>3.9435419999999999</v>
      </c>
      <c r="E3115">
        <v>0.54195899999999997</v>
      </c>
      <c r="F3115" t="s">
        <v>53</v>
      </c>
      <c r="G3115">
        <v>-188.46170000000001</v>
      </c>
      <c r="H3115" s="1">
        <v>4.9246999999999996E-6</v>
      </c>
      <c r="I3115">
        <v>207.40729999999999</v>
      </c>
      <c r="J3115">
        <v>-214.5626</v>
      </c>
      <c r="K3115">
        <v>1.105418</v>
      </c>
      <c r="L3115">
        <v>215.535</v>
      </c>
      <c r="M3115">
        <v>0.99862960000000001</v>
      </c>
      <c r="N3115">
        <v>0</v>
      </c>
      <c r="O3115">
        <v>-5.0429960000000003E-2</v>
      </c>
      <c r="P3115">
        <v>0.97939540000000003</v>
      </c>
      <c r="Q3115">
        <v>3.7078819999999998E-2</v>
      </c>
      <c r="R3115">
        <v>-0.19852020000000001</v>
      </c>
      <c r="S3115">
        <v>2.8898470000000001</v>
      </c>
      <c r="T3115">
        <v>-0.1207136</v>
      </c>
      <c r="U3115">
        <v>-0.88975519999999997</v>
      </c>
      <c r="V3115">
        <v>0.14941079999999901</v>
      </c>
      <c r="W3115">
        <v>4.9307200000000002E-2</v>
      </c>
      <c r="X3115">
        <v>0.98754509999999995</v>
      </c>
      <c r="Y3115">
        <v>0.2455273</v>
      </c>
      <c r="Z3115">
        <v>-2.9562339999999999E-3</v>
      </c>
      <c r="AA3115">
        <v>0.9693851</v>
      </c>
      <c r="AB3115">
        <v>34</v>
      </c>
      <c r="AC3115">
        <v>26.100899999999999</v>
      </c>
      <c r="AD3115">
        <v>-1.1054130753</v>
      </c>
      <c r="AE3115">
        <v>-8.1277000000000008</v>
      </c>
      <c r="AF3115">
        <v>6.7898579985822698</v>
      </c>
      <c r="AG3115">
        <v>-1.1054130753</v>
      </c>
      <c r="AH3115">
        <v>26.4343795323643</v>
      </c>
      <c r="AI3115">
        <v>92.3193547069895</v>
      </c>
      <c r="AJ3115">
        <v>75.594585290917806</v>
      </c>
      <c r="AK3115">
        <v>27.314840855641702</v>
      </c>
      <c r="AL3115">
        <v>87.1737597158575</v>
      </c>
      <c r="AM3115">
        <v>81.396673589454906</v>
      </c>
      <c r="AN3115">
        <v>1.0000000558312401</v>
      </c>
    </row>
    <row r="3116" spans="1:40" x14ac:dyDescent="0.25">
      <c r="A3116" t="str">
        <f>"20190312154616371"</f>
        <v>20190312154616371</v>
      </c>
      <c r="B3116" t="str">
        <f>"1552376776360680"</f>
        <v>1552376776360680</v>
      </c>
      <c r="C3116" t="s">
        <v>40</v>
      </c>
      <c r="D3116">
        <v>3.9940739999999999</v>
      </c>
      <c r="E3116">
        <v>0.54246260000000002</v>
      </c>
      <c r="F3116" t="s">
        <v>53</v>
      </c>
      <c r="G3116">
        <v>-187.61240000000001</v>
      </c>
      <c r="H3116" s="1">
        <v>4.9307860000000003E-6</v>
      </c>
      <c r="I3116">
        <v>206.9639</v>
      </c>
      <c r="J3116">
        <v>-214.12960000000001</v>
      </c>
      <c r="K3116">
        <v>1.1051820000000001</v>
      </c>
      <c r="L3116">
        <v>215.5061</v>
      </c>
      <c r="M3116">
        <v>0.99825609999999998</v>
      </c>
      <c r="N3116">
        <v>0</v>
      </c>
      <c r="O3116">
        <v>-5.7343730000000002E-2</v>
      </c>
      <c r="P3116">
        <v>0.97748809999999997</v>
      </c>
      <c r="Q3116">
        <v>3.6587580000000001E-2</v>
      </c>
      <c r="R3116">
        <v>-0.2077939</v>
      </c>
      <c r="S3116">
        <v>2.881821</v>
      </c>
      <c r="T3116">
        <v>-0.1182033</v>
      </c>
      <c r="U3116">
        <v>-0.91651919999999998</v>
      </c>
      <c r="V3116">
        <v>0.15195529999999999</v>
      </c>
      <c r="W3116">
        <v>4.8710910000000003E-2</v>
      </c>
      <c r="X3116">
        <v>0.98718629999999996</v>
      </c>
      <c r="Y3116">
        <v>0.2477808</v>
      </c>
      <c r="Z3116">
        <v>-2.6685599999999999E-3</v>
      </c>
      <c r="AA3116">
        <v>0.96881249999999997</v>
      </c>
      <c r="AB3116">
        <v>34</v>
      </c>
      <c r="AC3116">
        <v>26.517199999999999</v>
      </c>
      <c r="AD3116">
        <v>-1.1051770692139999</v>
      </c>
      <c r="AE3116">
        <v>-8.5421999999999993</v>
      </c>
      <c r="AF3116">
        <v>6.9963860717148103</v>
      </c>
      <c r="AG3116">
        <v>-1.1051770692139999</v>
      </c>
      <c r="AH3116">
        <v>26.9210805939999</v>
      </c>
      <c r="AI3116">
        <v>92.275314855925103</v>
      </c>
      <c r="AJ3116">
        <v>75.431953699239202</v>
      </c>
      <c r="AK3116">
        <v>27.8373025770717</v>
      </c>
      <c r="AL3116">
        <v>87.207965502724406</v>
      </c>
      <c r="AM3116">
        <v>81.249274514737394</v>
      </c>
      <c r="AN3116">
        <v>0.99999997842940302</v>
      </c>
    </row>
    <row r="3117" spans="1:40" x14ac:dyDescent="0.25">
      <c r="A3117" t="str">
        <f>"20190312154616392"</f>
        <v>20190312154616392</v>
      </c>
      <c r="B3117" t="str">
        <f>"1552376776380200"</f>
        <v>1552376776380200</v>
      </c>
      <c r="C3117" t="s">
        <v>40</v>
      </c>
      <c r="D3117">
        <v>3.9803310000000001</v>
      </c>
      <c r="E3117">
        <v>0.54273340000000003</v>
      </c>
      <c r="F3117" t="s">
        <v>53</v>
      </c>
      <c r="G3117">
        <v>-187.42259999999999</v>
      </c>
      <c r="H3117" s="1">
        <v>4.9932049999999901E-6</v>
      </c>
      <c r="I3117">
        <v>206.69210000000001</v>
      </c>
      <c r="J3117">
        <v>-213.79040000000001</v>
      </c>
      <c r="K3117">
        <v>1.10502099999999</v>
      </c>
      <c r="L3117">
        <v>215.4813</v>
      </c>
      <c r="M3117">
        <v>0.99792119999999995</v>
      </c>
      <c r="N3117">
        <v>0</v>
      </c>
      <c r="O3117">
        <v>-6.2902199999999894E-2</v>
      </c>
      <c r="P3117">
        <v>0.97570469999999998</v>
      </c>
      <c r="Q3117">
        <v>3.5313839999999999E-2</v>
      </c>
      <c r="R3117">
        <v>-0.21622569999999999</v>
      </c>
      <c r="S3117">
        <v>2.8720400000000001</v>
      </c>
      <c r="T3117">
        <v>-0.11884980000000001</v>
      </c>
      <c r="U3117">
        <v>-0.94784550000000001</v>
      </c>
      <c r="V3117">
        <v>0.15498239999999999</v>
      </c>
      <c r="W3117">
        <v>4.7348260000000003E-2</v>
      </c>
      <c r="X3117">
        <v>0.98678200000000005</v>
      </c>
      <c r="Y3117">
        <v>0.25289319999999998</v>
      </c>
      <c r="Z3117">
        <v>-2.5679919999999998E-3</v>
      </c>
      <c r="AA3117">
        <v>0.96749079999999998</v>
      </c>
      <c r="AB3117">
        <v>34</v>
      </c>
      <c r="AC3117">
        <v>26.367799999999999</v>
      </c>
      <c r="AD3117">
        <v>-1.1050160067949999</v>
      </c>
      <c r="AE3117">
        <v>-8.7891999999999904</v>
      </c>
      <c r="AF3117">
        <v>7.1018102050130301</v>
      </c>
      <c r="AG3117">
        <v>-1.1050160067949999</v>
      </c>
      <c r="AH3117">
        <v>26.826085486465999</v>
      </c>
      <c r="AI3117">
        <v>92.280318040100397</v>
      </c>
      <c r="AJ3117">
        <v>75.171948064487296</v>
      </c>
      <c r="AK3117">
        <v>27.7722096904529</v>
      </c>
      <c r="AL3117">
        <v>87.286130031058093</v>
      </c>
      <c r="AM3117">
        <v>81.074132500868004</v>
      </c>
      <c r="AN3117">
        <v>1.00000005877939</v>
      </c>
    </row>
    <row r="3118" spans="1:40" x14ac:dyDescent="0.25">
      <c r="A3118" t="str">
        <f>"20190312154616413"</f>
        <v>20190312154616413</v>
      </c>
      <c r="B3118" t="str">
        <f>"1552376776400696"</f>
        <v>1552376776400696</v>
      </c>
      <c r="C3118" t="s">
        <v>40</v>
      </c>
      <c r="D3118">
        <v>4.0038330000000002</v>
      </c>
      <c r="E3118">
        <v>0.5430121</v>
      </c>
      <c r="F3118" t="s">
        <v>53</v>
      </c>
      <c r="G3118">
        <v>-188.0068</v>
      </c>
      <c r="H3118" s="1">
        <v>5.0929139999999999E-6</v>
      </c>
      <c r="I3118">
        <v>206.70320000000001</v>
      </c>
      <c r="J3118">
        <v>-213.4821</v>
      </c>
      <c r="K3118">
        <v>1.104894</v>
      </c>
      <c r="L3118">
        <v>215.45689999999999</v>
      </c>
      <c r="M3118">
        <v>0.99758360000000001</v>
      </c>
      <c r="N3118">
        <v>0</v>
      </c>
      <c r="O3118">
        <v>-6.8045259999999996E-2</v>
      </c>
      <c r="P3118">
        <v>0.97388269999999999</v>
      </c>
      <c r="Q3118">
        <v>3.470119E-2</v>
      </c>
      <c r="R3118">
        <v>-0.22438549999999999</v>
      </c>
      <c r="S3118">
        <v>2.8631440000000001</v>
      </c>
      <c r="T3118">
        <v>-0.12270639999999899</v>
      </c>
      <c r="U3118">
        <v>-0.97476200000000002</v>
      </c>
      <c r="V3118">
        <v>0.15816179999999999</v>
      </c>
      <c r="W3118">
        <v>4.6655240000000001E-2</v>
      </c>
      <c r="X3118">
        <v>0.98631040000000003</v>
      </c>
      <c r="Y3118">
        <v>0.25696330000000001</v>
      </c>
      <c r="Z3118">
        <v>-2.5273819999999999E-3</v>
      </c>
      <c r="AA3118">
        <v>0.96641779999999999</v>
      </c>
      <c r="AB3118">
        <v>34</v>
      </c>
      <c r="AC3118">
        <v>25.475300000000001</v>
      </c>
      <c r="AD3118">
        <v>-1.104888907086</v>
      </c>
      <c r="AE3118">
        <v>-8.7536999999999807</v>
      </c>
      <c r="AF3118">
        <v>6.98800635352407</v>
      </c>
      <c r="AG3118">
        <v>-1.104888907086</v>
      </c>
      <c r="AH3118">
        <v>25.968260043989499</v>
      </c>
      <c r="AI3118">
        <v>92.352735030894095</v>
      </c>
      <c r="AJ3118">
        <v>74.938606060886897</v>
      </c>
      <c r="AK3118">
        <v>26.914745809800198</v>
      </c>
      <c r="AL3118">
        <v>87.325881021657096</v>
      </c>
      <c r="AM3118">
        <v>80.889778851273206</v>
      </c>
      <c r="AN3118">
        <v>1.00000003577342</v>
      </c>
    </row>
    <row r="3119" spans="1:40" x14ac:dyDescent="0.25">
      <c r="A3119" t="str">
        <f>"20190312154616436"</f>
        <v>20190312154616436</v>
      </c>
      <c r="B3119" t="str">
        <f>"1552376776430822"</f>
        <v>1552376776430822</v>
      </c>
      <c r="C3119" t="s">
        <v>40</v>
      </c>
      <c r="D3119">
        <v>3.9817939999999998</v>
      </c>
      <c r="E3119">
        <v>0.5432922</v>
      </c>
      <c r="F3119" t="s">
        <v>53</v>
      </c>
      <c r="G3119">
        <v>-188.5067</v>
      </c>
      <c r="H3119" s="1">
        <v>5.1821480000000004E-6</v>
      </c>
      <c r="I3119">
        <v>206.70160000000001</v>
      </c>
      <c r="J3119">
        <v>-213.12430000000001</v>
      </c>
      <c r="K3119">
        <v>1.10477</v>
      </c>
      <c r="L3119">
        <v>215.42660000000001</v>
      </c>
      <c r="M3119">
        <v>0.99715100000000001</v>
      </c>
      <c r="N3119">
        <v>0</v>
      </c>
      <c r="O3119">
        <v>-7.4112780000000003E-2</v>
      </c>
      <c r="P3119">
        <v>0.97178379999999998</v>
      </c>
      <c r="Q3119">
        <v>3.4742259999999997E-2</v>
      </c>
      <c r="R3119">
        <v>-0.2333018</v>
      </c>
      <c r="S3119">
        <v>2.8543850000000002</v>
      </c>
      <c r="T3119">
        <v>-0.1262752</v>
      </c>
      <c r="U3119">
        <v>-1.000626</v>
      </c>
      <c r="V3119">
        <v>0.16121569999999999</v>
      </c>
      <c r="W3119">
        <v>4.6615690000000001E-2</v>
      </c>
      <c r="X3119">
        <v>0.98581770000000002</v>
      </c>
      <c r="Y3119">
        <v>0.25980140000000002</v>
      </c>
      <c r="Z3119">
        <v>-2.407284E-3</v>
      </c>
      <c r="AA3119">
        <v>0.96565909999999999</v>
      </c>
      <c r="AB3119">
        <v>34</v>
      </c>
      <c r="AC3119">
        <v>24.617599999999999</v>
      </c>
      <c r="AD3119">
        <v>-1.104764817852</v>
      </c>
      <c r="AE3119">
        <v>-8.7249999999999908</v>
      </c>
      <c r="AF3119">
        <v>6.8640605016752403</v>
      </c>
      <c r="AG3119">
        <v>-1.104764817852</v>
      </c>
      <c r="AH3119">
        <v>25.151581524234199</v>
      </c>
      <c r="AI3119">
        <v>92.426434329191395</v>
      </c>
      <c r="AJ3119">
        <v>74.735259203386505</v>
      </c>
      <c r="AK3119">
        <v>26.094786549110101</v>
      </c>
      <c r="AL3119">
        <v>87.328149525247696</v>
      </c>
      <c r="AM3119">
        <v>80.712347606274307</v>
      </c>
      <c r="AN3119">
        <v>1.0000000310569701</v>
      </c>
    </row>
    <row r="3120" spans="1:40" x14ac:dyDescent="0.25">
      <c r="A3120" t="str">
        <f>"20190312154616455"</f>
        <v>20190312154616455</v>
      </c>
      <c r="B3120" t="str">
        <f>"1552376776440558"</f>
        <v>1552376776440558</v>
      </c>
      <c r="C3120" t="s">
        <v>40</v>
      </c>
      <c r="D3120">
        <v>4.0748709999999999</v>
      </c>
      <c r="E3120">
        <v>0.56175050000000004</v>
      </c>
      <c r="F3120" t="s">
        <v>53</v>
      </c>
      <c r="G3120">
        <v>-188.33199999999999</v>
      </c>
      <c r="H3120" s="1">
        <v>5.2382769999999999E-6</v>
      </c>
      <c r="I3120">
        <v>206.45519999999999</v>
      </c>
      <c r="J3120">
        <v>-212.84729999999999</v>
      </c>
      <c r="K3120">
        <v>1.104676</v>
      </c>
      <c r="L3120">
        <v>215.4016</v>
      </c>
      <c r="M3120">
        <v>0.99678520000000004</v>
      </c>
      <c r="N3120">
        <v>0</v>
      </c>
      <c r="O3120">
        <v>-7.8880279999999997E-2</v>
      </c>
      <c r="P3120">
        <v>0.96987420000000002</v>
      </c>
      <c r="Q3120">
        <v>3.3807820000000002E-2</v>
      </c>
      <c r="R3120">
        <v>-0.24124979999999999</v>
      </c>
      <c r="S3120">
        <v>2.8445130000000001</v>
      </c>
      <c r="T3120">
        <v>-0.12675419999999901</v>
      </c>
      <c r="U3120">
        <v>-1.0293270000000001</v>
      </c>
      <c r="V3120">
        <v>0.1645683</v>
      </c>
      <c r="W3120">
        <v>4.5607309999999998E-2</v>
      </c>
      <c r="X3120">
        <v>0.98531069999999998</v>
      </c>
      <c r="Y3120">
        <v>0.26486759999999998</v>
      </c>
      <c r="Z3120">
        <v>-2.325976E-3</v>
      </c>
      <c r="AA3120">
        <v>0.96428199999999997</v>
      </c>
      <c r="AB3120">
        <v>34</v>
      </c>
      <c r="AC3120">
        <v>24.5153</v>
      </c>
      <c r="AD3120">
        <v>-1.104670761723</v>
      </c>
      <c r="AE3120">
        <v>-8.9464000000000095</v>
      </c>
      <c r="AF3120">
        <v>6.9720613003567902</v>
      </c>
      <c r="AG3120">
        <v>-1.104670761723</v>
      </c>
      <c r="AH3120">
        <v>25.0996875939529</v>
      </c>
      <c r="AI3120">
        <v>92.428215225256196</v>
      </c>
      <c r="AJ3120">
        <v>74.476046126663306</v>
      </c>
      <c r="AK3120">
        <v>26.073439619309401</v>
      </c>
      <c r="AL3120">
        <v>87.385986789903697</v>
      </c>
      <c r="AM3120">
        <v>80.517884999741099</v>
      </c>
      <c r="AN3120">
        <v>0.99999996381240697</v>
      </c>
    </row>
    <row r="3121" spans="1:40" x14ac:dyDescent="0.25">
      <c r="A3121" t="str">
        <f>"20190312154616480"</f>
        <v>20190312154616480</v>
      </c>
      <c r="B3121" t="str">
        <f>"1552376776470814"</f>
        <v>1552376776470814</v>
      </c>
      <c r="C3121" t="s">
        <v>40</v>
      </c>
      <c r="D3121">
        <v>4.064419</v>
      </c>
      <c r="E3121">
        <v>0.56648829999999994</v>
      </c>
      <c r="F3121" t="s">
        <v>53</v>
      </c>
      <c r="G3121">
        <v>-191.41</v>
      </c>
      <c r="H3121" s="1">
        <v>5.2749860000000004E-6</v>
      </c>
      <c r="I3121">
        <v>206.25630000000001</v>
      </c>
      <c r="J3121">
        <v>-212.46469999999999</v>
      </c>
      <c r="K3121">
        <v>1.1045560000000001</v>
      </c>
      <c r="L3121">
        <v>215.3647</v>
      </c>
      <c r="M3121">
        <v>0.99623349999999999</v>
      </c>
      <c r="N3121">
        <v>0</v>
      </c>
      <c r="O3121">
        <v>-8.5563669999999994E-2</v>
      </c>
      <c r="P3121">
        <v>0.96739969999999997</v>
      </c>
      <c r="Q3121">
        <v>3.1394900000000003E-2</v>
      </c>
      <c r="R3121">
        <v>-0.25130150000000001</v>
      </c>
      <c r="S3121">
        <v>2.80098</v>
      </c>
      <c r="T3121">
        <v>-0.1443354</v>
      </c>
      <c r="U3121">
        <v>-1.1949160000000001</v>
      </c>
      <c r="V3121">
        <v>0.16816039999999999</v>
      </c>
      <c r="W3121">
        <v>4.3106850000000002E-2</v>
      </c>
      <c r="X3121">
        <v>0.98481669999999999</v>
      </c>
      <c r="Y3121">
        <v>0.31199130000000003</v>
      </c>
      <c r="Z3121">
        <v>-3.4974860000000002E-3</v>
      </c>
      <c r="AA3121">
        <v>0.95007850000000005</v>
      </c>
      <c r="AB3121">
        <v>34</v>
      </c>
      <c r="AC3121">
        <v>21.0547</v>
      </c>
      <c r="AD3121">
        <v>-1.1045507250140001</v>
      </c>
      <c r="AE3121">
        <v>-9.1083999999999801</v>
      </c>
      <c r="AF3121">
        <v>7.2564720829714897</v>
      </c>
      <c r="AG3121">
        <v>-1.1045507250140001</v>
      </c>
      <c r="AH3121">
        <v>21.706573888416099</v>
      </c>
      <c r="AI3121">
        <v>92.762966177506001</v>
      </c>
      <c r="AJ3121">
        <v>71.515302759264102</v>
      </c>
      <c r="AK3121">
        <v>22.9140081471649</v>
      </c>
      <c r="AL3121">
        <v>87.5293939425529</v>
      </c>
      <c r="AM3121">
        <v>80.310028355103498</v>
      </c>
      <c r="AN3121">
        <v>1.00000002662198</v>
      </c>
    </row>
    <row r="3122" spans="1:40" x14ac:dyDescent="0.25">
      <c r="A3122" t="str">
        <f>"20190312154616503"</f>
        <v>20190312154616503</v>
      </c>
      <c r="B3122" t="str">
        <f>"1552376776490334"</f>
        <v>1552376776490334</v>
      </c>
      <c r="C3122" t="s">
        <v>40</v>
      </c>
      <c r="D3122">
        <v>4.0921609999999999</v>
      </c>
      <c r="E3122">
        <v>0.56732329999999997</v>
      </c>
      <c r="F3122" t="s">
        <v>53</v>
      </c>
      <c r="G3122">
        <v>-196.16079999999999</v>
      </c>
      <c r="H3122" s="1">
        <v>3.7422689999999999E-6</v>
      </c>
      <c r="I3122">
        <v>207.97970000000001</v>
      </c>
      <c r="J3122">
        <v>-212.1191</v>
      </c>
      <c r="K3122">
        <v>1.104444</v>
      </c>
      <c r="L3122">
        <v>215.32910000000001</v>
      </c>
      <c r="M3122">
        <v>0.9956855</v>
      </c>
      <c r="N3122">
        <v>0</v>
      </c>
      <c r="O3122">
        <v>-9.1720570000000001E-2</v>
      </c>
      <c r="P3122">
        <v>0.96503850000000002</v>
      </c>
      <c r="Q3122">
        <v>3.0028889999999999E-2</v>
      </c>
      <c r="R3122">
        <v>-0.26038270000000002</v>
      </c>
      <c r="S3122">
        <v>2.7800600000000002</v>
      </c>
      <c r="T3122">
        <v>-0.18834300000000001</v>
      </c>
      <c r="U3122">
        <v>-1.2592620000000001</v>
      </c>
      <c r="V3122">
        <v>0.17131869999999999</v>
      </c>
      <c r="W3122">
        <v>4.1659040000000001E-2</v>
      </c>
      <c r="X3122">
        <v>0.9843345</v>
      </c>
      <c r="Y3122">
        <v>0.32686730000000003</v>
      </c>
      <c r="Z3122">
        <v>-4.6619519999999996E-3</v>
      </c>
      <c r="AA3122">
        <v>0.94505879999999998</v>
      </c>
      <c r="AB3122">
        <v>34</v>
      </c>
      <c r="AC3122">
        <v>15.958299999999999</v>
      </c>
      <c r="AD3122">
        <v>-1.104440257731</v>
      </c>
      <c r="AE3122">
        <v>-7.3494000000000002</v>
      </c>
      <c r="AF3122">
        <v>5.8315215356491699</v>
      </c>
      <c r="AG3122">
        <v>-1.104440257731</v>
      </c>
      <c r="AH3122">
        <v>16.4999752680638</v>
      </c>
      <c r="AI3122">
        <v>93.611162971382797</v>
      </c>
      <c r="AJ3122">
        <v>70.535263634277101</v>
      </c>
      <c r="AK3122">
        <v>17.5349826219006</v>
      </c>
      <c r="AL3122">
        <v>87.612421868963395</v>
      </c>
      <c r="AM3122">
        <v>80.126843220519902</v>
      </c>
      <c r="AN3122">
        <v>0.99999999023682995</v>
      </c>
    </row>
    <row r="3123" spans="1:40" x14ac:dyDescent="0.25">
      <c r="A3123" t="str">
        <f>"20190312154616525"</f>
        <v>20190312154616525</v>
      </c>
      <c r="B3123" t="str">
        <f>"1552376776509854"</f>
        <v>1552376776509854</v>
      </c>
      <c r="C3123" t="s">
        <v>40</v>
      </c>
      <c r="D3123">
        <v>4.1218250000000003</v>
      </c>
      <c r="E3123">
        <v>0.56751359999999995</v>
      </c>
      <c r="F3123" t="s">
        <v>53</v>
      </c>
      <c r="G3123">
        <v>-196.9049</v>
      </c>
      <c r="H3123" s="1">
        <v>3.5447289999999999E-6</v>
      </c>
      <c r="I3123">
        <v>208.22720000000001</v>
      </c>
      <c r="J3123">
        <v>-211.80109999999999</v>
      </c>
      <c r="K3123">
        <v>1.104333</v>
      </c>
      <c r="L3123">
        <v>215.29429999999999</v>
      </c>
      <c r="M3123">
        <v>0.99513359999999995</v>
      </c>
      <c r="N3123">
        <v>0</v>
      </c>
      <c r="O3123">
        <v>-9.7523410000000005E-2</v>
      </c>
      <c r="P3123">
        <v>0.9628506</v>
      </c>
      <c r="Q3123">
        <v>3.0520329999999998E-2</v>
      </c>
      <c r="R3123">
        <v>-0.268304299999999</v>
      </c>
      <c r="S3123">
        <v>2.7664789999999999</v>
      </c>
      <c r="T3123">
        <v>-0.20082739999999999</v>
      </c>
      <c r="U3123">
        <v>-1.291382</v>
      </c>
      <c r="V3123">
        <v>0.17368989999999901</v>
      </c>
      <c r="W3123">
        <v>4.2075910000000001E-2</v>
      </c>
      <c r="X3123">
        <v>0.98390109999999997</v>
      </c>
      <c r="Y3123">
        <v>0.33208490000000002</v>
      </c>
      <c r="Z3123">
        <v>-4.7670539999999997E-3</v>
      </c>
      <c r="AA3123">
        <v>0.9432374</v>
      </c>
      <c r="AB3123">
        <v>34</v>
      </c>
      <c r="AC3123">
        <v>14.896199999999901</v>
      </c>
      <c r="AD3123">
        <v>-1.1043294552709999</v>
      </c>
      <c r="AE3123">
        <v>-7.0670999999999804</v>
      </c>
      <c r="AF3123">
        <v>5.5556099686115603</v>
      </c>
      <c r="AG3123">
        <v>-1.1043294552709999</v>
      </c>
      <c r="AH3123">
        <v>15.4451644054593</v>
      </c>
      <c r="AI3123">
        <v>93.849054423659993</v>
      </c>
      <c r="AJ3123">
        <v>70.216393219369706</v>
      </c>
      <c r="AK3123">
        <v>16.451062250833001</v>
      </c>
      <c r="AL3123">
        <v>87.588515964582001</v>
      </c>
      <c r="AM3123">
        <v>79.988615151222206</v>
      </c>
      <c r="AN3123">
        <v>0.999999969072773</v>
      </c>
    </row>
    <row r="3124" spans="1:40" x14ac:dyDescent="0.25">
      <c r="A3124" t="str">
        <f>"20190312154616547"</f>
        <v>20190312154616547</v>
      </c>
      <c r="B3124" t="str">
        <f>"1552376776540110"</f>
        <v>1552376776540110</v>
      </c>
      <c r="C3124" t="s">
        <v>40</v>
      </c>
      <c r="D3124">
        <v>4.0893569999999997</v>
      </c>
      <c r="E3124">
        <v>0.56710760000000004</v>
      </c>
      <c r="F3124" t="s">
        <v>53</v>
      </c>
      <c r="G3124">
        <v>-196.864</v>
      </c>
      <c r="H3124" s="1">
        <v>3.5700749999999999E-6</v>
      </c>
      <c r="I3124">
        <v>208.15899999999999</v>
      </c>
      <c r="J3124">
        <v>-211.44569999999999</v>
      </c>
      <c r="K3124">
        <v>1.104196</v>
      </c>
      <c r="L3124">
        <v>215.2527</v>
      </c>
      <c r="M3124">
        <v>0.99445709999999998</v>
      </c>
      <c r="N3124">
        <v>0</v>
      </c>
      <c r="O3124">
        <v>-0.10419349999999999</v>
      </c>
      <c r="P3124">
        <v>0.96070619999999995</v>
      </c>
      <c r="Q3124">
        <v>3.2241150000000003E-2</v>
      </c>
      <c r="R3124">
        <v>-0.27568799999999999</v>
      </c>
      <c r="S3124">
        <v>2.7554319999999999</v>
      </c>
      <c r="T3124">
        <v>-0.2037146</v>
      </c>
      <c r="U3124">
        <v>-1.316238</v>
      </c>
      <c r="V3124">
        <v>0.17469100000000001</v>
      </c>
      <c r="W3124">
        <v>4.3731399999999997E-2</v>
      </c>
      <c r="X3124">
        <v>0.98365170000000002</v>
      </c>
      <c r="Y3124">
        <v>0.33415630000000002</v>
      </c>
      <c r="Z3124">
        <v>-4.4571400000000001E-3</v>
      </c>
      <c r="AA3124">
        <v>0.94250710000000004</v>
      </c>
      <c r="AB3124">
        <v>34</v>
      </c>
      <c r="AC3124">
        <v>14.5816999999999</v>
      </c>
      <c r="AD3124">
        <v>-1.1041924299250001</v>
      </c>
      <c r="AE3124">
        <v>-7.0936999999999797</v>
      </c>
      <c r="AF3124">
        <v>5.5100629366465501</v>
      </c>
      <c r="AG3124">
        <v>-1.1041924299250001</v>
      </c>
      <c r="AH3124">
        <v>15.1711613000003</v>
      </c>
      <c r="AI3124">
        <v>93.913511679472705</v>
      </c>
      <c r="AJ3124">
        <v>70.039321600001102</v>
      </c>
      <c r="AK3124">
        <v>16.178509501148</v>
      </c>
      <c r="AL3124">
        <v>87.4935760787193</v>
      </c>
      <c r="AM3124">
        <v>79.929589104413196</v>
      </c>
      <c r="AN3124">
        <v>1.00000002386992</v>
      </c>
    </row>
    <row r="3125" spans="1:40" x14ac:dyDescent="0.25">
      <c r="A3125" t="str">
        <f>"20190312154616585"</f>
        <v>20190312154616585</v>
      </c>
      <c r="B3125" t="str">
        <f>"1552376776570366"</f>
        <v>1552376776570366</v>
      </c>
      <c r="C3125" t="s">
        <v>40</v>
      </c>
      <c r="D3125">
        <v>4.0317020000000001</v>
      </c>
      <c r="E3125">
        <v>0.56695280000000003</v>
      </c>
      <c r="F3125" t="s">
        <v>53</v>
      </c>
      <c r="G3125">
        <v>-196.4503</v>
      </c>
      <c r="H3125" s="1">
        <v>3.6951079999999998E-6</v>
      </c>
      <c r="I3125">
        <v>207.9639</v>
      </c>
      <c r="J3125">
        <v>-210.89769999999999</v>
      </c>
      <c r="K3125">
        <v>1.1039669999999999</v>
      </c>
      <c r="L3125">
        <v>215.18389999999999</v>
      </c>
      <c r="M3125">
        <v>0.99328680000000003</v>
      </c>
      <c r="N3125">
        <v>0</v>
      </c>
      <c r="O3125">
        <v>-0.1148139</v>
      </c>
      <c r="P3125">
        <v>0.9580767</v>
      </c>
      <c r="Q3125">
        <v>3.2731860000000002E-2</v>
      </c>
      <c r="R3125">
        <v>-0.28463680000000002</v>
      </c>
      <c r="S3125">
        <v>2.7464140000000001</v>
      </c>
      <c r="T3125">
        <v>-0.20223279999999999</v>
      </c>
      <c r="U3125">
        <v>-1.334946</v>
      </c>
      <c r="V3125">
        <v>0.17338799999999999</v>
      </c>
      <c r="W3125">
        <v>4.4169659999999999E-2</v>
      </c>
      <c r="X3125">
        <v>0.98386260000000003</v>
      </c>
      <c r="Y3125">
        <v>0.33053139999999998</v>
      </c>
      <c r="Z3125">
        <v>-3.5787560000000002E-3</v>
      </c>
      <c r="AA3125">
        <v>0.94378819999999997</v>
      </c>
      <c r="AB3125">
        <v>34</v>
      </c>
      <c r="AC3125">
        <v>14.447399999999901</v>
      </c>
      <c r="AD3125">
        <v>-1.1039633048919999</v>
      </c>
      <c r="AE3125">
        <v>-7.21999999999999</v>
      </c>
      <c r="AF3125">
        <v>5.4876784509011998</v>
      </c>
      <c r="AG3125">
        <v>-1.1039633048919999</v>
      </c>
      <c r="AH3125">
        <v>15.1102831957161</v>
      </c>
      <c r="AI3125">
        <v>93.928439613097694</v>
      </c>
      <c r="AJ3125">
        <v>70.040239394540905</v>
      </c>
      <c r="AK3125">
        <v>16.1137831688829</v>
      </c>
      <c r="AL3125">
        <v>87.468441248754004</v>
      </c>
      <c r="AM3125">
        <v>80.005282147241104</v>
      </c>
      <c r="AN3125">
        <v>0.99999998654363698</v>
      </c>
    </row>
    <row r="3126" spans="1:40" x14ac:dyDescent="0.25">
      <c r="A3126" t="str">
        <f>"20190312154616614"</f>
        <v>20190312154616614</v>
      </c>
      <c r="B3126" t="str">
        <f>"1552376776600625"</f>
        <v>1552376776600625</v>
      </c>
      <c r="C3126" t="s">
        <v>40</v>
      </c>
      <c r="D3126">
        <v>3.9925989999999998</v>
      </c>
      <c r="E3126">
        <v>0.56705899999999998</v>
      </c>
      <c r="F3126" t="s">
        <v>53</v>
      </c>
      <c r="G3126">
        <v>-195.01609999999999</v>
      </c>
      <c r="H3126" s="1">
        <v>4.1309130000000003E-6</v>
      </c>
      <c r="I3126">
        <v>207.27889999999999</v>
      </c>
      <c r="J3126">
        <v>-210.4521</v>
      </c>
      <c r="K3126">
        <v>1.1037629999999901</v>
      </c>
      <c r="L3126">
        <v>215.12280000000001</v>
      </c>
      <c r="M3126">
        <v>0.99220030000000004</v>
      </c>
      <c r="N3126">
        <v>0</v>
      </c>
      <c r="O3126">
        <v>-0.1238499</v>
      </c>
      <c r="P3126">
        <v>0.95590779999999997</v>
      </c>
      <c r="Q3126">
        <v>3.261203E-2</v>
      </c>
      <c r="R3126">
        <v>-0.29185129999999998</v>
      </c>
      <c r="S3126">
        <v>2.733536</v>
      </c>
      <c r="T3126">
        <v>-0.19001390000000001</v>
      </c>
      <c r="U3126">
        <v>-1.360611</v>
      </c>
      <c r="V3126">
        <v>0.1718681</v>
      </c>
      <c r="W3126">
        <v>4.4013410000000003E-2</v>
      </c>
      <c r="X3126">
        <v>0.98413629999999996</v>
      </c>
      <c r="Y3126">
        <v>0.3308875</v>
      </c>
      <c r="Z3126">
        <v>-2.8018169999999998E-3</v>
      </c>
      <c r="AA3126">
        <v>0.943666</v>
      </c>
      <c r="AB3126">
        <v>34</v>
      </c>
      <c r="AC3126">
        <v>15.436</v>
      </c>
      <c r="AD3126">
        <v>-1.1037588690869999</v>
      </c>
      <c r="AE3126">
        <v>-7.8439000000000103</v>
      </c>
      <c r="AF3126">
        <v>5.8477957074080997</v>
      </c>
      <c r="AG3126">
        <v>-1.1037588690869999</v>
      </c>
      <c r="AH3126">
        <v>16.222772680184399</v>
      </c>
      <c r="AI3126">
        <v>93.662288391773103</v>
      </c>
      <c r="AJ3126">
        <v>70.177372685580593</v>
      </c>
      <c r="AK3126">
        <v>17.279853926165199</v>
      </c>
      <c r="AL3126">
        <v>87.477402565464601</v>
      </c>
      <c r="AM3126">
        <v>80.093851959653705</v>
      </c>
      <c r="AN3126">
        <v>1.00000004051756</v>
      </c>
    </row>
    <row r="3127" spans="1:40" x14ac:dyDescent="0.25">
      <c r="A3127" t="str">
        <f>"20190312154616634"</f>
        <v>20190312154616634</v>
      </c>
      <c r="B3127" t="str">
        <f>"1552376776620142"</f>
        <v>1552376776620142</v>
      </c>
      <c r="C3127" t="s">
        <v>40</v>
      </c>
      <c r="D3127">
        <v>3.981776</v>
      </c>
      <c r="E3127">
        <v>0.56727519999999998</v>
      </c>
      <c r="F3127" t="s">
        <v>53</v>
      </c>
      <c r="G3127">
        <v>-193.2645</v>
      </c>
      <c r="H3127" s="1">
        <v>4.8154170000000004E-6</v>
      </c>
      <c r="I3127">
        <v>206.3931</v>
      </c>
      <c r="J3127">
        <v>-210.149</v>
      </c>
      <c r="K3127">
        <v>1.103631</v>
      </c>
      <c r="L3127">
        <v>215.0788</v>
      </c>
      <c r="M3127">
        <v>0.99138970000000004</v>
      </c>
      <c r="N3127">
        <v>0</v>
      </c>
      <c r="O3127">
        <v>-0.1301776</v>
      </c>
      <c r="P3127">
        <v>0.95442020000000005</v>
      </c>
      <c r="Q3127">
        <v>3.2657599999999898E-2</v>
      </c>
      <c r="R3127">
        <v>-0.2966743</v>
      </c>
      <c r="S3127">
        <v>2.7221980000000001</v>
      </c>
      <c r="T3127">
        <v>-0.17481429999999901</v>
      </c>
      <c r="U3127">
        <v>-1.382614</v>
      </c>
      <c r="V3127">
        <v>0.17057359999999999</v>
      </c>
      <c r="W3127">
        <v>4.4040570000000001E-2</v>
      </c>
      <c r="X3127">
        <v>0.98436020000000002</v>
      </c>
      <c r="Y3127">
        <v>0.33258409999999999</v>
      </c>
      <c r="Z3127">
        <v>-2.2608060000000002E-3</v>
      </c>
      <c r="AA3127">
        <v>0.94307090000000005</v>
      </c>
      <c r="AB3127">
        <v>34</v>
      </c>
      <c r="AC3127">
        <v>16.884499999999999</v>
      </c>
      <c r="AD3127">
        <v>-1.103626184583</v>
      </c>
      <c r="AE3127">
        <v>-8.68569999999999</v>
      </c>
      <c r="AF3127">
        <v>6.3919776660679899</v>
      </c>
      <c r="AG3127">
        <v>-1.103626184583</v>
      </c>
      <c r="AH3127">
        <v>17.811419196439299</v>
      </c>
      <c r="AI3127">
        <v>93.337708232110103</v>
      </c>
      <c r="AJ3127">
        <v>70.258478413608898</v>
      </c>
      <c r="AK3127">
        <v>18.955791279450601</v>
      </c>
      <c r="AL3127">
        <v>87.475844708698602</v>
      </c>
      <c r="AM3127">
        <v>80.169195625239894</v>
      </c>
      <c r="AN3127">
        <v>0.99999996408346103</v>
      </c>
    </row>
    <row r="3128" spans="1:40" x14ac:dyDescent="0.25">
      <c r="A3128" t="str">
        <f>"20190312154616658"</f>
        <v>20190312154616658</v>
      </c>
      <c r="B3128" t="str">
        <f>"1552376776649930"</f>
        <v>1552376776649930</v>
      </c>
      <c r="C3128" t="s">
        <v>40</v>
      </c>
      <c r="D3128">
        <v>3.9024860000000001</v>
      </c>
      <c r="E3128">
        <v>0.56699630000000001</v>
      </c>
      <c r="F3128" t="s">
        <v>53</v>
      </c>
      <c r="G3128">
        <v>-192.31110000000001</v>
      </c>
      <c r="H3128" s="1">
        <v>5.2040490000000004E-6</v>
      </c>
      <c r="I3128">
        <v>205.89169999999999</v>
      </c>
      <c r="J3128">
        <v>-209.7927</v>
      </c>
      <c r="K3128">
        <v>1.103456</v>
      </c>
      <c r="L3128">
        <v>215.02440000000001</v>
      </c>
      <c r="M3128">
        <v>0.99035410000000001</v>
      </c>
      <c r="N3128">
        <v>0</v>
      </c>
      <c r="O3128">
        <v>-0.13783319999999999</v>
      </c>
      <c r="P3128">
        <v>0.9523817</v>
      </c>
      <c r="Q3128">
        <v>3.2808419999999998E-2</v>
      </c>
      <c r="R3128">
        <v>-0.30313849999999998</v>
      </c>
      <c r="S3128">
        <v>2.7144469999999998</v>
      </c>
      <c r="T3128">
        <v>-0.16794220000000001</v>
      </c>
      <c r="U3128">
        <v>-1.398026</v>
      </c>
      <c r="V3128">
        <v>0.16966319999999999</v>
      </c>
      <c r="W3128">
        <v>4.4155840000000002E-2</v>
      </c>
      <c r="X3128">
        <v>0.98451239999999995</v>
      </c>
      <c r="Y3128">
        <v>0.3306653</v>
      </c>
      <c r="Z3128">
        <v>-1.6844309999999999E-3</v>
      </c>
      <c r="AA3128">
        <v>0.94374659999999999</v>
      </c>
      <c r="AB3128">
        <v>34</v>
      </c>
      <c r="AC3128">
        <v>17.481599999999901</v>
      </c>
      <c r="AD3128">
        <v>-1.103450795951</v>
      </c>
      <c r="AE3128">
        <v>-9.1327000000000194</v>
      </c>
      <c r="AF3128">
        <v>6.6150232390843202</v>
      </c>
      <c r="AG3128">
        <v>-1.103450795951</v>
      </c>
      <c r="AH3128">
        <v>18.515674273309301</v>
      </c>
      <c r="AI3128">
        <v>93.212148986451197</v>
      </c>
      <c r="AJ3128">
        <v>70.339912300753397</v>
      </c>
      <c r="AK3128">
        <v>19.6927989353469</v>
      </c>
      <c r="AL3128">
        <v>87.469233890645995</v>
      </c>
      <c r="AM3128">
        <v>80.222132324369795</v>
      </c>
      <c r="AN3128">
        <v>1.0000000026970499</v>
      </c>
    </row>
    <row r="3129" spans="1:40" x14ac:dyDescent="0.25">
      <c r="A3129" t="str">
        <f>"20190312154616679"</f>
        <v>20190312154616679</v>
      </c>
      <c r="B3129" t="str">
        <f>"1552376776670426"</f>
        <v>1552376776670426</v>
      </c>
      <c r="C3129" t="s">
        <v>40</v>
      </c>
      <c r="D3129">
        <v>3.8848590000000001</v>
      </c>
      <c r="E3129">
        <v>0.5670193</v>
      </c>
      <c r="F3129" t="s">
        <v>53</v>
      </c>
      <c r="G3129">
        <v>-191.52359999999999</v>
      </c>
      <c r="H3129" s="1">
        <v>5.5262209999999997E-6</v>
      </c>
      <c r="I3129">
        <v>205.4743</v>
      </c>
      <c r="J3129">
        <v>-209.48660000000001</v>
      </c>
      <c r="K3129">
        <v>1.103294</v>
      </c>
      <c r="L3129">
        <v>214.9753</v>
      </c>
      <c r="M3129">
        <v>0.98938729999999997</v>
      </c>
      <c r="N3129">
        <v>0</v>
      </c>
      <c r="O3129">
        <v>-0.14460689999999901</v>
      </c>
      <c r="P3129">
        <v>0.95031699999999997</v>
      </c>
      <c r="Q3129">
        <v>3.1848410000000001E-2</v>
      </c>
      <c r="R3129">
        <v>-0.30965039999999999</v>
      </c>
      <c r="S3129">
        <v>2.7054749999999999</v>
      </c>
      <c r="T3129">
        <v>-0.16340959999999999</v>
      </c>
      <c r="U3129">
        <v>-1.4142760000000001</v>
      </c>
      <c r="V3129">
        <v>0.1696618</v>
      </c>
      <c r="W3129">
        <v>4.3151160000000001E-2</v>
      </c>
      <c r="X3129">
        <v>0.98455720000000002</v>
      </c>
      <c r="Y3129">
        <v>0.32996900000000001</v>
      </c>
      <c r="Z3129">
        <v>-1.248037E-3</v>
      </c>
      <c r="AA3129">
        <v>0.94399089999999997</v>
      </c>
      <c r="AB3129">
        <v>34</v>
      </c>
      <c r="AC3129">
        <v>17.963000000000001</v>
      </c>
      <c r="AD3129">
        <v>-1.1032884737790001</v>
      </c>
      <c r="AE3129">
        <v>-9.5009999999999994</v>
      </c>
      <c r="AF3129">
        <v>6.78328531511879</v>
      </c>
      <c r="AG3129">
        <v>-1.1032884737790001</v>
      </c>
      <c r="AH3129">
        <v>19.091926087495999</v>
      </c>
      <c r="AI3129">
        <v>93.116870131989202</v>
      </c>
      <c r="AJ3129">
        <v>70.440076729064799</v>
      </c>
      <c r="AK3129">
        <v>20.2911765763617</v>
      </c>
      <c r="AL3129">
        <v>87.526852772205103</v>
      </c>
      <c r="AM3129">
        <v>80.222647778664594</v>
      </c>
      <c r="AN3129">
        <v>1.0000000145302099</v>
      </c>
    </row>
    <row r="3130" spans="1:40" x14ac:dyDescent="0.25">
      <c r="A3130" t="str">
        <f>"20190312154616703"</f>
        <v>20190312154616703</v>
      </c>
      <c r="B3130" t="str">
        <f>"1552376776689946"</f>
        <v>1552376776689946</v>
      </c>
      <c r="C3130" t="s">
        <v>40</v>
      </c>
      <c r="D3130">
        <v>3.876487</v>
      </c>
      <c r="E3130">
        <v>0.56707469999999904</v>
      </c>
      <c r="F3130" t="s">
        <v>53</v>
      </c>
      <c r="G3130">
        <v>-191.24279999999999</v>
      </c>
      <c r="H3130" s="1">
        <v>5.6568879999999997E-6</v>
      </c>
      <c r="I3130">
        <v>205.2808</v>
      </c>
      <c r="J3130">
        <v>-209.13919999999999</v>
      </c>
      <c r="K3130">
        <v>1.1031059999999999</v>
      </c>
      <c r="L3130">
        <v>214.91669999999999</v>
      </c>
      <c r="M3130">
        <v>0.98820390000000002</v>
      </c>
      <c r="N3130">
        <v>0</v>
      </c>
      <c r="O3130">
        <v>-0.15248249999999999</v>
      </c>
      <c r="P3130">
        <v>0.9475943</v>
      </c>
      <c r="Q3130">
        <v>2.9964910000000001E-2</v>
      </c>
      <c r="R3130">
        <v>-0.31806859999999998</v>
      </c>
      <c r="S3130">
        <v>2.695557</v>
      </c>
      <c r="T3130">
        <v>-0.16301260000000001</v>
      </c>
      <c r="U3130">
        <v>-1.4323729999999999</v>
      </c>
      <c r="V3130">
        <v>0.17053279999999901</v>
      </c>
      <c r="W3130">
        <v>4.1202629999999997E-2</v>
      </c>
      <c r="X3130">
        <v>0.98449019999999998</v>
      </c>
      <c r="Y3130">
        <v>0.3288449</v>
      </c>
      <c r="Z3130">
        <v>-7.8179129999999999E-4</v>
      </c>
      <c r="AA3130">
        <v>0.94438359999999999</v>
      </c>
      <c r="AB3130">
        <v>33</v>
      </c>
      <c r="AC3130">
        <v>17.8964</v>
      </c>
      <c r="AD3130">
        <v>-1.1031003431119999</v>
      </c>
      <c r="AE3130">
        <v>-9.6358999999999906</v>
      </c>
      <c r="AF3130">
        <v>6.7740806019885502</v>
      </c>
      <c r="AG3130">
        <v>-1.1031003431119999</v>
      </c>
      <c r="AH3130">
        <v>19.100277041221901</v>
      </c>
      <c r="AI3130">
        <v>93.115604485421201</v>
      </c>
      <c r="AJ3130">
        <v>70.472502849228306</v>
      </c>
      <c r="AK3130">
        <v>20.295949877269599</v>
      </c>
      <c r="AL3130">
        <v>87.638594786837999</v>
      </c>
      <c r="AM3130">
        <v>80.172773748846495</v>
      </c>
      <c r="AN3130">
        <v>1.0000000232453901</v>
      </c>
    </row>
    <row r="3131" spans="1:40" x14ac:dyDescent="0.25">
      <c r="A3131" t="str">
        <f>"20190312154616723"</f>
        <v>20190312154616723</v>
      </c>
      <c r="B3131" t="str">
        <f>"1552376776710443"</f>
        <v>1552376776710443</v>
      </c>
      <c r="C3131" t="s">
        <v>40</v>
      </c>
      <c r="D3131">
        <v>3.9592019999999999</v>
      </c>
      <c r="E3131">
        <v>0.56726339999999997</v>
      </c>
      <c r="F3131" t="s">
        <v>53</v>
      </c>
      <c r="G3131">
        <v>-191.18809999999999</v>
      </c>
      <c r="H3131" s="1">
        <v>5.7078730000000003E-6</v>
      </c>
      <c r="I3131">
        <v>205.17080000000001</v>
      </c>
      <c r="J3131">
        <v>-208.8212</v>
      </c>
      <c r="K3131">
        <v>1.102949</v>
      </c>
      <c r="L3131">
        <v>214.8605</v>
      </c>
      <c r="M3131">
        <v>0.98703680000000005</v>
      </c>
      <c r="N3131">
        <v>0</v>
      </c>
      <c r="O3131">
        <v>-0.15986239999999999</v>
      </c>
      <c r="P3131">
        <v>0.944384</v>
      </c>
      <c r="Q3131">
        <v>2.8942969999999998E-2</v>
      </c>
      <c r="R3131">
        <v>-0.3275691</v>
      </c>
      <c r="S3131">
        <v>2.682312</v>
      </c>
      <c r="T3131">
        <v>-0.16482910000000001</v>
      </c>
      <c r="U3131">
        <v>-1.4562679999999999</v>
      </c>
      <c r="V3131">
        <v>0.17305690000000001</v>
      </c>
      <c r="W3131">
        <v>4.0090130000000002E-2</v>
      </c>
      <c r="X3131">
        <v>0.98409559999999996</v>
      </c>
      <c r="Y3131">
        <v>0.33024290000000001</v>
      </c>
      <c r="Z3131">
        <v>-4.221955E-4</v>
      </c>
      <c r="AA3131">
        <v>0.94389590000000001</v>
      </c>
      <c r="AB3131">
        <v>33</v>
      </c>
      <c r="AC3131">
        <v>17.633099999999999</v>
      </c>
      <c r="AD3131">
        <v>-1.1029432921269999</v>
      </c>
      <c r="AE3131">
        <v>-9.6896999999999807</v>
      </c>
      <c r="AF3131">
        <v>6.7256925317903704</v>
      </c>
      <c r="AG3131">
        <v>-1.1029432921269999</v>
      </c>
      <c r="AH3131">
        <v>18.898664417787401</v>
      </c>
      <c r="AI3131">
        <v>93.147116016831504</v>
      </c>
      <c r="AJ3131">
        <v>70.410276427332604</v>
      </c>
      <c r="AK3131">
        <v>20.090070699576199</v>
      </c>
      <c r="AL3131">
        <v>87.702389077810594</v>
      </c>
      <c r="AM3131">
        <v>80.026298749337997</v>
      </c>
      <c r="AN3131">
        <v>1.0000000295501901</v>
      </c>
    </row>
    <row r="3132" spans="1:40" x14ac:dyDescent="0.25">
      <c r="A3132" t="str">
        <f>"20190312154616745"</f>
        <v>20190312154616745</v>
      </c>
      <c r="B3132" t="str">
        <f>"1552376776740230"</f>
        <v>1552376776740230</v>
      </c>
      <c r="C3132" t="s">
        <v>40</v>
      </c>
      <c r="D3132">
        <v>3.9861849999999999</v>
      </c>
      <c r="E3132">
        <v>0.59416639999999998</v>
      </c>
      <c r="F3132" t="s">
        <v>53</v>
      </c>
      <c r="G3132">
        <v>-191.56989999999999</v>
      </c>
      <c r="H3132" s="1">
        <v>5.5910920000000003E-6</v>
      </c>
      <c r="I3132">
        <v>205.26169999999999</v>
      </c>
      <c r="J3132">
        <v>-208.5119</v>
      </c>
      <c r="K3132">
        <v>1.1028100000000001</v>
      </c>
      <c r="L3132">
        <v>214.8032</v>
      </c>
      <c r="M3132">
        <v>0.9858228</v>
      </c>
      <c r="N3132">
        <v>0</v>
      </c>
      <c r="O3132">
        <v>-0.1671841</v>
      </c>
      <c r="P3132">
        <v>0.94051560000000001</v>
      </c>
      <c r="Q3132">
        <v>2.8780940000000001E-2</v>
      </c>
      <c r="R3132">
        <v>-0.33852949999999998</v>
      </c>
      <c r="S3132">
        <v>2.6671299999999998</v>
      </c>
      <c r="T3132">
        <v>-0.1705198</v>
      </c>
      <c r="U3132">
        <v>-1.4840089999999999</v>
      </c>
      <c r="V3132">
        <v>0.17720620000000001</v>
      </c>
      <c r="W3132">
        <v>3.9809980000000002E-2</v>
      </c>
      <c r="X3132">
        <v>0.98336829999999997</v>
      </c>
      <c r="Y3132">
        <v>0.33300479999999999</v>
      </c>
      <c r="Z3132" s="1">
        <v>-9.9353490000000003E-5</v>
      </c>
      <c r="AA3132">
        <v>0.94292520000000002</v>
      </c>
      <c r="AB3132">
        <v>33</v>
      </c>
      <c r="AC3132">
        <v>16.942</v>
      </c>
      <c r="AD3132">
        <v>-1.102804408908</v>
      </c>
      <c r="AE3132">
        <v>-9.5415000000000099</v>
      </c>
      <c r="AF3132">
        <v>6.5533813204129103</v>
      </c>
      <c r="AG3132">
        <v>-1.102804408908</v>
      </c>
      <c r="AH3132">
        <v>18.240178475645202</v>
      </c>
      <c r="AI3132">
        <v>93.256573437865399</v>
      </c>
      <c r="AJ3132">
        <v>70.237512898241803</v>
      </c>
      <c r="AK3132">
        <v>19.4130650624376</v>
      </c>
      <c r="AL3132">
        <v>87.718453344324601</v>
      </c>
      <c r="AM3132">
        <v>79.784744725906904</v>
      </c>
      <c r="AN3132">
        <v>1.0000000426354601</v>
      </c>
    </row>
    <row r="3133" spans="1:40" x14ac:dyDescent="0.25">
      <c r="A3133" t="str">
        <f>"20190312154616768"</f>
        <v>20190312154616768</v>
      </c>
      <c r="B3133" t="str">
        <f>"1552376776760725"</f>
        <v>1552376776760725</v>
      </c>
      <c r="C3133" t="s">
        <v>40</v>
      </c>
      <c r="D3133">
        <v>3.927629</v>
      </c>
      <c r="E3133">
        <v>0.59459459999999997</v>
      </c>
      <c r="F3133" t="s">
        <v>53</v>
      </c>
      <c r="G3133">
        <v>-195.22569999999999</v>
      </c>
      <c r="H3133" s="1">
        <v>4.5316230000000004E-6</v>
      </c>
      <c r="I3133">
        <v>205.9657</v>
      </c>
      <c r="J3133">
        <v>-208.1567</v>
      </c>
      <c r="K3133">
        <v>1.102679</v>
      </c>
      <c r="L3133">
        <v>214.73410000000001</v>
      </c>
      <c r="M3133">
        <v>0.98433230000000005</v>
      </c>
      <c r="N3133">
        <v>0</v>
      </c>
      <c r="O3133">
        <v>-0.17574589999999901</v>
      </c>
      <c r="P3133">
        <v>0.93627280000000002</v>
      </c>
      <c r="Q3133">
        <v>2.7990350000000001E-2</v>
      </c>
      <c r="R3133">
        <v>-0.3501572</v>
      </c>
      <c r="S3133">
        <v>2.5788730000000002</v>
      </c>
      <c r="T3133">
        <v>-0.21405640000000001</v>
      </c>
      <c r="U3133">
        <v>-1.715363</v>
      </c>
      <c r="V3133">
        <v>0.180839</v>
      </c>
      <c r="W3133">
        <v>3.8911359999999999E-2</v>
      </c>
      <c r="X3133">
        <v>0.98274269999999997</v>
      </c>
      <c r="Y3133">
        <v>0.39834380000000003</v>
      </c>
      <c r="Z3133">
        <v>-1.9862199999999999E-3</v>
      </c>
      <c r="AA3133">
        <v>0.91723399999999999</v>
      </c>
      <c r="AB3133">
        <v>33</v>
      </c>
      <c r="AC3133">
        <v>12.930999999999999</v>
      </c>
      <c r="AD3133">
        <v>-1.102674468377</v>
      </c>
      <c r="AE3133">
        <v>-8.7684000000000104</v>
      </c>
      <c r="AF3133">
        <v>6.3275765712813303</v>
      </c>
      <c r="AG3133">
        <v>-1.102674468377</v>
      </c>
      <c r="AH3133">
        <v>14.200128246475201</v>
      </c>
      <c r="AI3133">
        <v>94.057151214233102</v>
      </c>
      <c r="AJ3133">
        <v>65.982249206346793</v>
      </c>
      <c r="AK3133">
        <v>15.5851775243333</v>
      </c>
      <c r="AL3133">
        <v>87.769980370371201</v>
      </c>
      <c r="AM3133">
        <v>79.573382624693195</v>
      </c>
      <c r="AN3133">
        <v>1.0000000261306601</v>
      </c>
    </row>
    <row r="3134" spans="1:40" x14ac:dyDescent="0.25">
      <c r="A3134" t="str">
        <f>"20190312154616794"</f>
        <v>20190312154616794</v>
      </c>
      <c r="B3134" t="str">
        <f>"1552376776780245"</f>
        <v>1552376776780245</v>
      </c>
      <c r="C3134" t="s">
        <v>40</v>
      </c>
      <c r="D3134">
        <v>3.9296009999999999</v>
      </c>
      <c r="E3134">
        <v>0.59453859999999903</v>
      </c>
      <c r="F3134" t="s">
        <v>53</v>
      </c>
      <c r="G3134">
        <v>-197.32650000000001</v>
      </c>
      <c r="H3134" s="1">
        <v>3.7076010000000001E-6</v>
      </c>
      <c r="I3134">
        <v>207.32980000000001</v>
      </c>
      <c r="J3134">
        <v>-207.78020000000001</v>
      </c>
      <c r="K3134">
        <v>1.1025659999999999</v>
      </c>
      <c r="L3134">
        <v>214.6574</v>
      </c>
      <c r="M3134">
        <v>0.98264320000000005</v>
      </c>
      <c r="N3134">
        <v>0</v>
      </c>
      <c r="O3134">
        <v>-0.18495490000000001</v>
      </c>
      <c r="P3134">
        <v>0.93174290000000004</v>
      </c>
      <c r="Q3134">
        <v>2.7148519999999999E-2</v>
      </c>
      <c r="R3134">
        <v>-0.36210219999999999</v>
      </c>
      <c r="S3134">
        <v>2.557938</v>
      </c>
      <c r="T3134">
        <v>-0.26043430000000001</v>
      </c>
      <c r="U3134">
        <v>-1.7487790000000001</v>
      </c>
      <c r="V3134">
        <v>0.1841969</v>
      </c>
      <c r="W3134">
        <v>3.7969820000000001E-2</v>
      </c>
      <c r="X3134">
        <v>0.98215569999999996</v>
      </c>
      <c r="Y3134">
        <v>0.40119519999999997</v>
      </c>
      <c r="Z3134">
        <v>-1.745805E-3</v>
      </c>
      <c r="AA3134">
        <v>0.91599090000000005</v>
      </c>
      <c r="AB3134">
        <v>33</v>
      </c>
      <c r="AC3134">
        <v>10.4536999999999</v>
      </c>
      <c r="AD3134">
        <v>-1.1025622923989999</v>
      </c>
      <c r="AE3134">
        <v>-7.3275999999999897</v>
      </c>
      <c r="AF3134">
        <v>5.2284905810603304</v>
      </c>
      <c r="AG3134">
        <v>-1.1025622923989999</v>
      </c>
      <c r="AH3134">
        <v>11.542620994292101</v>
      </c>
      <c r="AI3134">
        <v>94.972814008423001</v>
      </c>
      <c r="AJ3134">
        <v>65.6307781326568</v>
      </c>
      <c r="AK3134">
        <v>12.7194676296899</v>
      </c>
      <c r="AL3134">
        <v>87.823966510567701</v>
      </c>
      <c r="AM3134">
        <v>79.377938010313898</v>
      </c>
      <c r="AN3134">
        <v>1.0000000121214601</v>
      </c>
    </row>
    <row r="3135" spans="1:40" x14ac:dyDescent="0.25">
      <c r="A3135" t="str">
        <f>"20190312154616829"</f>
        <v>20190312154616829</v>
      </c>
      <c r="B3135" t="str">
        <f>"1552376776820266"</f>
        <v>1552376776820266</v>
      </c>
      <c r="C3135" t="s">
        <v>40</v>
      </c>
      <c r="D3135">
        <v>3.8905370000000001</v>
      </c>
      <c r="E3135">
        <v>0.59413709999999997</v>
      </c>
      <c r="F3135" t="s">
        <v>53</v>
      </c>
      <c r="G3135">
        <v>-197.80449999999999</v>
      </c>
      <c r="H3135" s="1">
        <v>3.536808E-6</v>
      </c>
      <c r="I3135">
        <v>207.65459999999999</v>
      </c>
      <c r="J3135">
        <v>-207.26480000000001</v>
      </c>
      <c r="K3135">
        <v>1.1024179999999999</v>
      </c>
      <c r="L3135">
        <v>214.54640000000001</v>
      </c>
      <c r="M3135">
        <v>0.98014299999999999</v>
      </c>
      <c r="N3135">
        <v>0</v>
      </c>
      <c r="O3135">
        <v>-0.1977758</v>
      </c>
      <c r="P3135">
        <v>0.92450169999999998</v>
      </c>
      <c r="Q3135">
        <v>2.61663E-2</v>
      </c>
      <c r="R3135">
        <v>-0.38027889999999998</v>
      </c>
      <c r="S3135">
        <v>2.5360719999999999</v>
      </c>
      <c r="T3135">
        <v>-0.28029720000000002</v>
      </c>
      <c r="U3135">
        <v>-1.780289</v>
      </c>
      <c r="V3135">
        <v>0.1905887</v>
      </c>
      <c r="W3135">
        <v>3.6814300000000001E-2</v>
      </c>
      <c r="X3135">
        <v>0.98097939999999995</v>
      </c>
      <c r="Y3135">
        <v>0.4005032</v>
      </c>
      <c r="Z3135">
        <v>-6.3863400000000001E-4</v>
      </c>
      <c r="AA3135">
        <v>0.91629510000000003</v>
      </c>
      <c r="AB3135">
        <v>33</v>
      </c>
      <c r="AC3135">
        <v>9.4603000000000108</v>
      </c>
      <c r="AD3135">
        <v>-1.1024144631919901</v>
      </c>
      <c r="AE3135">
        <v>-6.8918000000000097</v>
      </c>
      <c r="AF3135">
        <v>4.8414801567452397</v>
      </c>
      <c r="AG3135">
        <v>-1.1024144631919901</v>
      </c>
      <c r="AH3135">
        <v>10.543034853057</v>
      </c>
      <c r="AI3135">
        <v>95.428129347142502</v>
      </c>
      <c r="AJ3135">
        <v>65.334880672242093</v>
      </c>
      <c r="AK3135">
        <v>11.653790442151699</v>
      </c>
      <c r="AL3135">
        <v>87.890219163922396</v>
      </c>
      <c r="AM3135">
        <v>79.005311769623205</v>
      </c>
      <c r="AN3135">
        <v>0.99999996423826898</v>
      </c>
    </row>
    <row r="3136" spans="1:40" x14ac:dyDescent="0.25">
      <c r="A3136" t="str">
        <f>"20190312154616858"</f>
        <v>20190312154616858</v>
      </c>
      <c r="B3136" t="str">
        <f>"1552376776850517"</f>
        <v>1552376776850517</v>
      </c>
      <c r="C3136" t="s">
        <v>40</v>
      </c>
      <c r="D3136">
        <v>3.8239920000000001</v>
      </c>
      <c r="E3136">
        <v>0.59412989999999999</v>
      </c>
      <c r="F3136" t="s">
        <v>53</v>
      </c>
      <c r="G3136">
        <v>-197.84870000000001</v>
      </c>
      <c r="H3136" s="1">
        <v>3.52349E-6</v>
      </c>
      <c r="I3136">
        <v>207.67519999999999</v>
      </c>
      <c r="J3136">
        <v>-206.84219999999999</v>
      </c>
      <c r="K3136">
        <v>1.1022909999999999</v>
      </c>
      <c r="L3136">
        <v>214.44990000000001</v>
      </c>
      <c r="M3136">
        <v>0.97791779999999995</v>
      </c>
      <c r="N3136">
        <v>0</v>
      </c>
      <c r="O3136">
        <v>-0.20849889999999999</v>
      </c>
      <c r="P3136">
        <v>0.91951499999999997</v>
      </c>
      <c r="Q3136">
        <v>2.5515099999999999E-2</v>
      </c>
      <c r="R3136">
        <v>-0.39222669999999998</v>
      </c>
      <c r="S3136">
        <v>2.5022280000000001</v>
      </c>
      <c r="T3136">
        <v>-0.29295710000000003</v>
      </c>
      <c r="U3136">
        <v>-1.825958</v>
      </c>
      <c r="V3136">
        <v>0.19255230000000001</v>
      </c>
      <c r="W3136">
        <v>3.6081889999999998E-2</v>
      </c>
      <c r="X3136">
        <v>0.98062309999999997</v>
      </c>
      <c r="Y3136">
        <v>0.40720679999999998</v>
      </c>
      <c r="Z3136" s="1">
        <v>3.5203990000000003E-5</v>
      </c>
      <c r="AA3136">
        <v>0.91333600000000004</v>
      </c>
      <c r="AB3136">
        <v>33</v>
      </c>
      <c r="AC3136">
        <v>8.9934999999999796</v>
      </c>
      <c r="AD3136">
        <v>-1.1022874765099999</v>
      </c>
      <c r="AE3136">
        <v>-6.7747000000000197</v>
      </c>
      <c r="AF3136">
        <v>4.7053563077238296</v>
      </c>
      <c r="AG3136">
        <v>-1.1022874765099999</v>
      </c>
      <c r="AH3136">
        <v>10.1115598263219</v>
      </c>
      <c r="AI3136">
        <v>95.644520246214697</v>
      </c>
      <c r="AJ3136">
        <v>65.045356634611096</v>
      </c>
      <c r="AK3136">
        <v>11.2070985444402</v>
      </c>
      <c r="AL3136">
        <v>87.932211097589402</v>
      </c>
      <c r="AM3136">
        <v>78.890902852013099</v>
      </c>
      <c r="AN3136">
        <v>0.99999997763743498</v>
      </c>
    </row>
    <row r="3137" spans="1:40" x14ac:dyDescent="0.25">
      <c r="A3137" t="str">
        <f>"20190312154616878"</f>
        <v>20190312154616878</v>
      </c>
      <c r="B3137" t="str">
        <f>"1552376776870038"</f>
        <v>1552376776870038</v>
      </c>
      <c r="C3137" t="s">
        <v>40</v>
      </c>
      <c r="D3137">
        <v>3.834571</v>
      </c>
      <c r="E3137">
        <v>0.59396490000000002</v>
      </c>
      <c r="F3137" t="s">
        <v>53</v>
      </c>
      <c r="G3137">
        <v>-197.14529999999999</v>
      </c>
      <c r="H3137" s="1">
        <v>3.7805539999999999E-6</v>
      </c>
      <c r="I3137">
        <v>207.17570000000001</v>
      </c>
      <c r="J3137">
        <v>-206.54329999999999</v>
      </c>
      <c r="K3137">
        <v>1.1021840000000001</v>
      </c>
      <c r="L3137">
        <v>214.3785</v>
      </c>
      <c r="M3137">
        <v>0.97623959999999999</v>
      </c>
      <c r="N3137">
        <v>0</v>
      </c>
      <c r="O3137">
        <v>-0.21621950000000001</v>
      </c>
      <c r="P3137">
        <v>0.9158636</v>
      </c>
      <c r="Q3137">
        <v>2.545526E-2</v>
      </c>
      <c r="R3137">
        <v>-0.40068229999999999</v>
      </c>
      <c r="S3137">
        <v>2.4775999999999998</v>
      </c>
      <c r="T3137">
        <v>-0.28163850000000001</v>
      </c>
      <c r="U3137">
        <v>-1.8585970000000001</v>
      </c>
      <c r="V3137">
        <v>0.1938474</v>
      </c>
      <c r="W3137">
        <v>3.596038E-2</v>
      </c>
      <c r="X3137">
        <v>0.98037240000000003</v>
      </c>
      <c r="Y3137">
        <v>0.41211520000000001</v>
      </c>
      <c r="Z3137">
        <v>5.1769610000000003E-4</v>
      </c>
      <c r="AA3137">
        <v>0.91113160000000004</v>
      </c>
      <c r="AB3137">
        <v>33</v>
      </c>
      <c r="AC3137">
        <v>9.3979999999999908</v>
      </c>
      <c r="AD3137">
        <v>-1.102180219446</v>
      </c>
      <c r="AE3137">
        <v>-7.2027999999999901</v>
      </c>
      <c r="AF3137">
        <v>4.95718911513032</v>
      </c>
      <c r="AG3137">
        <v>-1.102180219446</v>
      </c>
      <c r="AH3137">
        <v>10.6409878237668</v>
      </c>
      <c r="AI3137">
        <v>95.363798768361704</v>
      </c>
      <c r="AJ3137">
        <v>65.021166478289103</v>
      </c>
      <c r="AK3137">
        <v>11.790638109316101</v>
      </c>
      <c r="AL3137">
        <v>87.939177681391399</v>
      </c>
      <c r="AM3137">
        <v>78.815272940484704</v>
      </c>
      <c r="AN3137">
        <v>1.0000000030491301</v>
      </c>
    </row>
    <row r="3138" spans="1:40" x14ac:dyDescent="0.25">
      <c r="A3138" t="str">
        <f>"20190312154616901"</f>
        <v>20190312154616901</v>
      </c>
      <c r="B3138" t="str">
        <f>"1552376776890534"</f>
        <v>1552376776890534</v>
      </c>
      <c r="C3138" t="s">
        <v>40</v>
      </c>
      <c r="D3138">
        <v>3.7986239999999998</v>
      </c>
      <c r="E3138">
        <v>0.59361330000000001</v>
      </c>
      <c r="F3138" t="s">
        <v>53</v>
      </c>
      <c r="G3138">
        <v>-196.52170000000001</v>
      </c>
      <c r="H3138" s="1">
        <v>4.0126149999999997E-6</v>
      </c>
      <c r="I3138">
        <v>206.71709999999999</v>
      </c>
      <c r="J3138">
        <v>-206.2167</v>
      </c>
      <c r="K3138">
        <v>1.102041</v>
      </c>
      <c r="L3138">
        <v>214.29759999999999</v>
      </c>
      <c r="M3138">
        <v>0.9742883</v>
      </c>
      <c r="N3138">
        <v>0</v>
      </c>
      <c r="O3138">
        <v>-0.22484699999999999</v>
      </c>
      <c r="P3138">
        <v>0.911694</v>
      </c>
      <c r="Q3138">
        <v>2.555112E-2</v>
      </c>
      <c r="R3138">
        <v>-0.4100742</v>
      </c>
      <c r="S3138">
        <v>2.460251</v>
      </c>
      <c r="T3138">
        <v>-0.27057740000000002</v>
      </c>
      <c r="U3138">
        <v>-1.8808290000000001</v>
      </c>
      <c r="V3138">
        <v>0.195267</v>
      </c>
      <c r="W3138">
        <v>3.597467E-2</v>
      </c>
      <c r="X3138">
        <v>0.98009009999999996</v>
      </c>
      <c r="Y3138">
        <v>0.41244160000000002</v>
      </c>
      <c r="Z3138">
        <v>1.270771E-3</v>
      </c>
      <c r="AA3138">
        <v>0.91098319999999999</v>
      </c>
      <c r="AB3138">
        <v>33</v>
      </c>
      <c r="AC3138">
        <v>9.6949999999999896</v>
      </c>
      <c r="AD3138">
        <v>-1.102036987385</v>
      </c>
      <c r="AE3138">
        <v>-7.5804999999999998</v>
      </c>
      <c r="AF3138">
        <v>5.1648223482472604</v>
      </c>
      <c r="AG3138">
        <v>-1.102036987385</v>
      </c>
      <c r="AH3138">
        <v>11.0626195259316</v>
      </c>
      <c r="AI3138">
        <v>95.157833650483695</v>
      </c>
      <c r="AJ3138">
        <v>64.973467531518693</v>
      </c>
      <c r="AK3138">
        <v>12.258524633333399</v>
      </c>
      <c r="AL3138">
        <v>87.9383583700386</v>
      </c>
      <c r="AM3138">
        <v>78.732289517819794</v>
      </c>
      <c r="AN3138">
        <v>0.99999999114430904</v>
      </c>
    </row>
    <row r="3139" spans="1:40" x14ac:dyDescent="0.25">
      <c r="A3139" t="str">
        <f>"20190312154616922"</f>
        <v>20190312154616922</v>
      </c>
      <c r="B3139" t="str">
        <f>"1552376776910054"</f>
        <v>1552376776910054</v>
      </c>
      <c r="C3139" t="s">
        <v>40</v>
      </c>
      <c r="D3139">
        <v>3.8212359999999999</v>
      </c>
      <c r="E3139">
        <v>0.59326800000000002</v>
      </c>
      <c r="F3139" t="s">
        <v>53</v>
      </c>
      <c r="G3139">
        <v>-195.9033</v>
      </c>
      <c r="H3139" s="1">
        <v>4.278561E-6</v>
      </c>
      <c r="I3139">
        <v>206.25659999999999</v>
      </c>
      <c r="J3139">
        <v>-205.89789999999999</v>
      </c>
      <c r="K3139">
        <v>1.101853</v>
      </c>
      <c r="L3139">
        <v>214.21539999999999</v>
      </c>
      <c r="M3139">
        <v>0.97224920000000004</v>
      </c>
      <c r="N3139">
        <v>0</v>
      </c>
      <c r="O3139">
        <v>-0.23350509999999999</v>
      </c>
      <c r="P3139">
        <v>0.90763139999999998</v>
      </c>
      <c r="Q3139">
        <v>2.5901609999999999E-2</v>
      </c>
      <c r="R3139">
        <v>-0.41896810000000001</v>
      </c>
      <c r="S3139">
        <v>2.4416500000000001</v>
      </c>
      <c r="T3139">
        <v>-0.26090239999999998</v>
      </c>
      <c r="U3139">
        <v>-1.9036709999999999</v>
      </c>
      <c r="V3139">
        <v>0.19615589999999999</v>
      </c>
      <c r="W3139">
        <v>3.6243909999999997E-2</v>
      </c>
      <c r="X3139">
        <v>0.97990270000000002</v>
      </c>
      <c r="Y3139">
        <v>0.41307690000000002</v>
      </c>
      <c r="Z3139">
        <v>1.9613780000000002E-3</v>
      </c>
      <c r="AA3139">
        <v>0.91069409999999895</v>
      </c>
      <c r="AB3139">
        <v>33</v>
      </c>
      <c r="AC3139">
        <v>9.9945999999999895</v>
      </c>
      <c r="AD3139">
        <v>-1.101848721439</v>
      </c>
      <c r="AE3139">
        <v>-7.9587999999999903</v>
      </c>
      <c r="AF3139">
        <v>5.36480471281926</v>
      </c>
      <c r="AG3139">
        <v>-1.101848721439</v>
      </c>
      <c r="AH3139">
        <v>11.4913915118773</v>
      </c>
      <c r="AI3139">
        <v>94.965551875125598</v>
      </c>
      <c r="AJ3139">
        <v>64.974282498307105</v>
      </c>
      <c r="AK3139">
        <v>12.729779223964201</v>
      </c>
      <c r="AL3139">
        <v>87.922922067604205</v>
      </c>
      <c r="AM3139">
        <v>78.680208774354099</v>
      </c>
      <c r="AN3139">
        <v>1.0000000297920899</v>
      </c>
    </row>
    <row r="3140" spans="1:40" x14ac:dyDescent="0.25">
      <c r="A3140" t="str">
        <f>"20190312154616945"</f>
        <v>20190312154616945</v>
      </c>
      <c r="B3140" t="str">
        <f>"1552376776930550"</f>
        <v>1552376776930550</v>
      </c>
      <c r="C3140" t="s">
        <v>40</v>
      </c>
      <c r="D3140">
        <v>3.829142</v>
      </c>
      <c r="E3140">
        <v>0.59277860000000004</v>
      </c>
      <c r="F3140" t="s">
        <v>53</v>
      </c>
      <c r="G3140">
        <v>-195.19839999999999</v>
      </c>
      <c r="H3140" s="1">
        <v>4.6265399999999999E-6</v>
      </c>
      <c r="I3140">
        <v>205.71440000000001</v>
      </c>
      <c r="J3140">
        <v>-205.58199999999999</v>
      </c>
      <c r="K3140">
        <v>1.101637</v>
      </c>
      <c r="L3140">
        <v>214.13050000000001</v>
      </c>
      <c r="M3140">
        <v>0.97007549999999998</v>
      </c>
      <c r="N3140">
        <v>0</v>
      </c>
      <c r="O3140">
        <v>-0.24237590000000001</v>
      </c>
      <c r="P3140">
        <v>0.90354380000000001</v>
      </c>
      <c r="Q3140">
        <v>2.6198320000000001E-2</v>
      </c>
      <c r="R3140">
        <v>-0.42769489999999999</v>
      </c>
      <c r="S3140">
        <v>2.4235690000000001</v>
      </c>
      <c r="T3140">
        <v>-0.249581</v>
      </c>
      <c r="U3140">
        <v>-1.925583</v>
      </c>
      <c r="V3140">
        <v>0.1966754</v>
      </c>
      <c r="W3140">
        <v>3.6456910000000002E-2</v>
      </c>
      <c r="X3140">
        <v>0.97979059999999996</v>
      </c>
      <c r="Y3140">
        <v>0.41319299999999998</v>
      </c>
      <c r="Z3140">
        <v>2.6237330000000001E-3</v>
      </c>
      <c r="AA3140">
        <v>0.91063970000000005</v>
      </c>
      <c r="AB3140">
        <v>33</v>
      </c>
      <c r="AC3140">
        <v>10.383599999999999</v>
      </c>
      <c r="AD3140">
        <v>-1.10163237346</v>
      </c>
      <c r="AE3140">
        <v>-8.4161000000000001</v>
      </c>
      <c r="AF3140">
        <v>5.6099944096952301</v>
      </c>
      <c r="AG3140">
        <v>-1.10163237346</v>
      </c>
      <c r="AH3140">
        <v>12.0322555382209</v>
      </c>
      <c r="AI3140">
        <v>94.743559406723406</v>
      </c>
      <c r="AJ3140">
        <v>65.002888573336904</v>
      </c>
      <c r="AK3140">
        <v>13.321441532361</v>
      </c>
      <c r="AL3140">
        <v>87.910709870098501</v>
      </c>
      <c r="AM3140">
        <v>78.649741675351393</v>
      </c>
      <c r="AN3140">
        <v>0.99999996955013304</v>
      </c>
    </row>
    <row r="3141" spans="1:40" x14ac:dyDescent="0.25">
      <c r="A3141" t="str">
        <f>"20190312154616969"</f>
        <v>20190312154616969</v>
      </c>
      <c r="B3141" t="str">
        <f>"1552376776960807"</f>
        <v>1552376776960807</v>
      </c>
      <c r="C3141" t="s">
        <v>40</v>
      </c>
      <c r="D3141">
        <v>3.9194849999999999</v>
      </c>
      <c r="E3141">
        <v>0.592771099999999</v>
      </c>
      <c r="F3141" t="s">
        <v>53</v>
      </c>
      <c r="G3141">
        <v>-194.5909</v>
      </c>
      <c r="H3141" s="1">
        <v>4.9285950000000002E-6</v>
      </c>
      <c r="I3141">
        <v>205.24100000000001</v>
      </c>
      <c r="J3141">
        <v>-205.22829999999999</v>
      </c>
      <c r="K3141">
        <v>1.101367</v>
      </c>
      <c r="L3141">
        <v>214.03129999999999</v>
      </c>
      <c r="M3141">
        <v>0.96744079999999999</v>
      </c>
      <c r="N3141">
        <v>0</v>
      </c>
      <c r="O3141">
        <v>-0.25268499999999999</v>
      </c>
      <c r="P3141">
        <v>0.8986558</v>
      </c>
      <c r="Q3141">
        <v>2.618113E-2</v>
      </c>
      <c r="R3141">
        <v>-0.4378725</v>
      </c>
      <c r="S3141">
        <v>2.4060820000000001</v>
      </c>
      <c r="T3141">
        <v>-0.2411594</v>
      </c>
      <c r="U3141">
        <v>-1.9460299999999999</v>
      </c>
      <c r="V3141">
        <v>0.19733980000000001</v>
      </c>
      <c r="W3141">
        <v>3.6337309999999998E-2</v>
      </c>
      <c r="X3141">
        <v>0.97966149999999996</v>
      </c>
      <c r="Y3141">
        <v>0.41148439999999997</v>
      </c>
      <c r="Z3141">
        <v>3.4566319999999998E-3</v>
      </c>
      <c r="AA3141">
        <v>0.91141030000000001</v>
      </c>
      <c r="AB3141">
        <v>33</v>
      </c>
      <c r="AC3141">
        <v>10.6373999999999</v>
      </c>
      <c r="AD3141">
        <v>-1.1013620714049901</v>
      </c>
      <c r="AE3141">
        <v>-8.7903000000000002</v>
      </c>
      <c r="AF3141">
        <v>5.7799717247776998</v>
      </c>
      <c r="AG3141">
        <v>-1.1013620714049901</v>
      </c>
      <c r="AH3141">
        <v>12.4343302175005</v>
      </c>
      <c r="AI3141">
        <v>94.592177298449499</v>
      </c>
      <c r="AJ3141">
        <v>65.069119171316501</v>
      </c>
      <c r="AK3141">
        <v>13.7562218472008</v>
      </c>
      <c r="AL3141">
        <v>87.917567105951306</v>
      </c>
      <c r="AM3141">
        <v>78.610937482587801</v>
      </c>
      <c r="AN3141">
        <v>1.00000002567216</v>
      </c>
    </row>
    <row r="3142" spans="1:40" x14ac:dyDescent="0.25">
      <c r="A3142" t="str">
        <f>"20190312154616997"</f>
        <v>20190312154616997</v>
      </c>
      <c r="B3142" t="str">
        <f>"1552376776990086"</f>
        <v>1552376776990086</v>
      </c>
      <c r="C3142" t="s">
        <v>40</v>
      </c>
      <c r="D3142">
        <v>3.9689269999999999</v>
      </c>
      <c r="E3142">
        <v>0.62958829999999999</v>
      </c>
      <c r="F3142" t="s">
        <v>53</v>
      </c>
      <c r="G3142">
        <v>-194.196</v>
      </c>
      <c r="H3142" s="1">
        <v>5.1374839999999898E-6</v>
      </c>
      <c r="I3142">
        <v>204.89769999999999</v>
      </c>
      <c r="J3142">
        <v>-204.8287</v>
      </c>
      <c r="K3142">
        <v>1.1010690000000001</v>
      </c>
      <c r="L3142">
        <v>213.91399999999999</v>
      </c>
      <c r="M3142">
        <v>0.96420980000000001</v>
      </c>
      <c r="N3142">
        <v>0</v>
      </c>
      <c r="O3142">
        <v>-0.26474399999999998</v>
      </c>
      <c r="P3142">
        <v>0.89274929999999997</v>
      </c>
      <c r="Q3142">
        <v>2.5601909999999999E-2</v>
      </c>
      <c r="R3142">
        <v>-0.44982559999999999</v>
      </c>
      <c r="S3142">
        <v>2.3836979999999999</v>
      </c>
      <c r="T3142">
        <v>-0.23796629999999999</v>
      </c>
      <c r="U3142">
        <v>-1.9734499999999999</v>
      </c>
      <c r="V3142">
        <v>0.19819200000000001</v>
      </c>
      <c r="W3142">
        <v>3.5644429999999998E-2</v>
      </c>
      <c r="X3142">
        <v>0.97951489999999997</v>
      </c>
      <c r="Y3142">
        <v>0.410578</v>
      </c>
      <c r="Z3142">
        <v>4.4288690000000002E-3</v>
      </c>
      <c r="AA3142">
        <v>0.91181469999999998</v>
      </c>
      <c r="AB3142">
        <v>33</v>
      </c>
      <c r="AC3142">
        <v>10.6327</v>
      </c>
      <c r="AD3142">
        <v>-1.1010638625160001</v>
      </c>
      <c r="AE3142">
        <v>-9.0163000000000295</v>
      </c>
      <c r="AF3142">
        <v>5.8428313206570603</v>
      </c>
      <c r="AG3142">
        <v>-1.1010638625160001</v>
      </c>
      <c r="AH3142">
        <v>12.5621301689084</v>
      </c>
      <c r="AI3142">
        <v>94.543954695035396</v>
      </c>
      <c r="AJ3142">
        <v>65.056169435020905</v>
      </c>
      <c r="AK3142">
        <v>13.898134185983</v>
      </c>
      <c r="AL3142">
        <v>87.957291924258797</v>
      </c>
      <c r="AM3142">
        <v>78.561381326670997</v>
      </c>
      <c r="AN3142">
        <v>1.0000000167880101</v>
      </c>
    </row>
    <row r="3143" spans="1:40" x14ac:dyDescent="0.25">
      <c r="A3143" t="str">
        <f>"20190312154617021"</f>
        <v>20190312154617021</v>
      </c>
      <c r="B3143" t="str">
        <f>"1552376777010582"</f>
        <v>1552376777010582</v>
      </c>
      <c r="C3143" t="s">
        <v>40</v>
      </c>
      <c r="D3143">
        <v>3.946018</v>
      </c>
      <c r="E3143">
        <v>0.63536729999999997</v>
      </c>
      <c r="F3143" t="s">
        <v>53</v>
      </c>
      <c r="G3143">
        <v>-198.83609999999999</v>
      </c>
      <c r="H3143" s="1">
        <v>3.30722E-6</v>
      </c>
      <c r="I3143">
        <v>207.8305</v>
      </c>
      <c r="J3143">
        <v>-204.5008</v>
      </c>
      <c r="K3143">
        <v>1.100819</v>
      </c>
      <c r="L3143">
        <v>213.8135</v>
      </c>
      <c r="M3143">
        <v>0.96133460000000004</v>
      </c>
      <c r="N3143">
        <v>0</v>
      </c>
      <c r="O3143">
        <v>-0.27499889999999999</v>
      </c>
      <c r="P3143">
        <v>0.88758899999999996</v>
      </c>
      <c r="Q3143">
        <v>2.5037670000000001E-2</v>
      </c>
      <c r="R3143">
        <v>-0.45995510000000001</v>
      </c>
      <c r="S3143">
        <v>2.2310029999999998</v>
      </c>
      <c r="T3143">
        <v>-0.40992200000000001</v>
      </c>
      <c r="U3143">
        <v>-2.2648470000000001</v>
      </c>
      <c r="V3143">
        <v>0.19891010000000001</v>
      </c>
      <c r="W3143">
        <v>3.4984910000000001E-2</v>
      </c>
      <c r="X3143">
        <v>0.97939310000000002</v>
      </c>
      <c r="Y3143">
        <v>0.49021320000000002</v>
      </c>
      <c r="Z3143">
        <v>2.980608E-3</v>
      </c>
      <c r="AA3143">
        <v>0.87159750000000003</v>
      </c>
      <c r="AB3143">
        <v>33</v>
      </c>
      <c r="AC3143">
        <v>5.6647000000000096</v>
      </c>
      <c r="AD3143">
        <v>-1.1008156927799999</v>
      </c>
      <c r="AE3143">
        <v>-5.9829999999999997</v>
      </c>
      <c r="AF3143">
        <v>4.1207635740108204</v>
      </c>
      <c r="AG3143">
        <v>-1.1008156927799999</v>
      </c>
      <c r="AH3143">
        <v>6.9673679083720499</v>
      </c>
      <c r="AI3143">
        <v>97.744225999356303</v>
      </c>
      <c r="AJ3143">
        <v>59.398332620146597</v>
      </c>
      <c r="AK3143">
        <v>8.1692535272800697</v>
      </c>
      <c r="AL3143">
        <v>87.995103204408196</v>
      </c>
      <c r="AM3143">
        <v>78.519644902782602</v>
      </c>
      <c r="AN3143">
        <v>1.00000000806866</v>
      </c>
    </row>
    <row r="3144" spans="1:40" x14ac:dyDescent="0.25">
      <c r="A3144" t="str">
        <f>"20190312154617053"</f>
        <v>20190312154617053</v>
      </c>
      <c r="B3144" t="str">
        <f>"1552376777050598"</f>
        <v>1552376777050598</v>
      </c>
      <c r="C3144" t="s">
        <v>40</v>
      </c>
      <c r="D3144">
        <v>3.9738229999999999</v>
      </c>
      <c r="E3144">
        <v>0.63784830000000003</v>
      </c>
      <c r="F3144" t="s">
        <v>53</v>
      </c>
      <c r="G3144">
        <v>-198.62209999999999</v>
      </c>
      <c r="H3144" s="1">
        <v>3.4234250000000002E-6</v>
      </c>
      <c r="I3144">
        <v>207.5351</v>
      </c>
      <c r="J3144">
        <v>-204.03319999999999</v>
      </c>
      <c r="K3144">
        <v>1.100449</v>
      </c>
      <c r="L3144">
        <v>213.66249999999999</v>
      </c>
      <c r="M3144">
        <v>0.95682849999999997</v>
      </c>
      <c r="N3144">
        <v>0</v>
      </c>
      <c r="O3144">
        <v>-0.29028599999999999</v>
      </c>
      <c r="P3144">
        <v>0.87958359999999902</v>
      </c>
      <c r="Q3144">
        <v>2.5074450000000002E-2</v>
      </c>
      <c r="R3144">
        <v>-0.4750837</v>
      </c>
      <c r="S3144">
        <v>2.1831969999999998</v>
      </c>
      <c r="T3144">
        <v>-0.40881499999999998</v>
      </c>
      <c r="U3144">
        <v>-2.3316349999999999</v>
      </c>
      <c r="V3144">
        <v>0.20010120000000001</v>
      </c>
      <c r="W3144">
        <v>3.4877680000000001E-2</v>
      </c>
      <c r="X3144">
        <v>0.97915419999999997</v>
      </c>
      <c r="Y3144">
        <v>0.49845519999999999</v>
      </c>
      <c r="Z3144">
        <v>4.4394170000000002E-3</v>
      </c>
      <c r="AA3144">
        <v>0.86690409999999996</v>
      </c>
      <c r="AB3144">
        <v>33</v>
      </c>
      <c r="AC3144">
        <v>5.4111000000000002</v>
      </c>
      <c r="AD3144">
        <v>-1.1004455765750001</v>
      </c>
      <c r="AE3144">
        <v>-6.12739999999999</v>
      </c>
      <c r="AF3144">
        <v>4.2161583332624497</v>
      </c>
      <c r="AG3144">
        <v>-1.1004455765750001</v>
      </c>
      <c r="AH3144">
        <v>6.8331077422934197</v>
      </c>
      <c r="AI3144">
        <v>97.804118352257206</v>
      </c>
      <c r="AJ3144">
        <v>58.324619495996302</v>
      </c>
      <c r="AK3144">
        <v>8.1042169872191998</v>
      </c>
      <c r="AL3144">
        <v>88.001250656638305</v>
      </c>
      <c r="AM3144">
        <v>78.449998541159403</v>
      </c>
      <c r="AN3144">
        <v>0.99999994509062895</v>
      </c>
    </row>
    <row r="3145" spans="1:40" x14ac:dyDescent="0.25">
      <c r="A3145" t="str">
        <f>"20190312154617077"</f>
        <v>20190312154617077</v>
      </c>
      <c r="B3145" t="str">
        <f>"1552376777070119"</f>
        <v>1552376777070119</v>
      </c>
      <c r="C3145" t="s">
        <v>40</v>
      </c>
      <c r="D3145">
        <v>3.9843380000000002</v>
      </c>
      <c r="E3145">
        <v>0.63765749999999999</v>
      </c>
      <c r="F3145" t="s">
        <v>53</v>
      </c>
      <c r="G3145">
        <v>-198.3373</v>
      </c>
      <c r="H3145" s="1">
        <v>3.5387830000000001E-6</v>
      </c>
      <c r="I3145">
        <v>207.2902</v>
      </c>
      <c r="J3145">
        <v>-203.68369999999999</v>
      </c>
      <c r="K3145">
        <v>1.1001639999999999</v>
      </c>
      <c r="L3145">
        <v>213.54390000000001</v>
      </c>
      <c r="M3145">
        <v>0.95314370000000004</v>
      </c>
      <c r="N3145">
        <v>0</v>
      </c>
      <c r="O3145">
        <v>-0.302162599999999</v>
      </c>
      <c r="P3145">
        <v>0.87345209999999995</v>
      </c>
      <c r="Q3145">
        <v>2.487114E-2</v>
      </c>
      <c r="R3145">
        <v>-0.4862744</v>
      </c>
      <c r="S3145">
        <v>2.133362</v>
      </c>
      <c r="T3145">
        <v>-0.41216079999999999</v>
      </c>
      <c r="U3145">
        <v>-2.3866580000000002</v>
      </c>
      <c r="V3145">
        <v>0.20044400000000001</v>
      </c>
      <c r="W3145">
        <v>3.4582219999999997E-2</v>
      </c>
      <c r="X3145">
        <v>0.97909460000000004</v>
      </c>
      <c r="Y3145">
        <v>0.5076754</v>
      </c>
      <c r="Z3145">
        <v>5.4155740000000003E-3</v>
      </c>
      <c r="AA3145">
        <v>0.86153139999999995</v>
      </c>
      <c r="AB3145">
        <v>33</v>
      </c>
      <c r="AC3145">
        <v>5.3463999999999796</v>
      </c>
      <c r="AD3145">
        <v>-1.100160461217</v>
      </c>
      <c r="AE3145">
        <v>-6.2537000000000003</v>
      </c>
      <c r="AF3145">
        <v>4.2693235716158098</v>
      </c>
      <c r="AG3145">
        <v>-1.100160461217</v>
      </c>
      <c r="AH3145">
        <v>6.8635513093154996</v>
      </c>
      <c r="AI3145">
        <v>97.750749053071402</v>
      </c>
      <c r="AJ3145">
        <v>58.117216208350598</v>
      </c>
      <c r="AK3145">
        <v>8.1575617297809107</v>
      </c>
      <c r="AL3145">
        <v>88.018189559289993</v>
      </c>
      <c r="AM3145">
        <v>78.430059616861698</v>
      </c>
      <c r="AN3145">
        <v>0.99999998141264401</v>
      </c>
    </row>
    <row r="3146" spans="1:40" x14ac:dyDescent="0.25">
      <c r="A3146" t="str">
        <f>"20190312154617100"</f>
        <v>20190312154617100</v>
      </c>
      <c r="B3146" t="str">
        <f>"1552376777090614"</f>
        <v>1552376777090614</v>
      </c>
      <c r="C3146" t="s">
        <v>40</v>
      </c>
      <c r="D3146">
        <v>4.0020059999999997</v>
      </c>
      <c r="E3146">
        <v>0.63729969999999903</v>
      </c>
      <c r="F3146" t="s">
        <v>53</v>
      </c>
      <c r="G3146">
        <v>-198.0933</v>
      </c>
      <c r="H3146" s="1">
        <v>3.6249429999999999E-6</v>
      </c>
      <c r="I3146">
        <v>207.1283</v>
      </c>
      <c r="J3146">
        <v>-203.37209999999999</v>
      </c>
      <c r="K3146">
        <v>1.099904</v>
      </c>
      <c r="L3146">
        <v>213.43389999999999</v>
      </c>
      <c r="M3146">
        <v>0.94961989999999996</v>
      </c>
      <c r="N3146">
        <v>0</v>
      </c>
      <c r="O3146">
        <v>-0.31305860000000002</v>
      </c>
      <c r="P3146">
        <v>0.86748499999999995</v>
      </c>
      <c r="Q3146">
        <v>2.456026E-2</v>
      </c>
      <c r="R3146">
        <v>-0.4968572</v>
      </c>
      <c r="S3146">
        <v>2.102875</v>
      </c>
      <c r="T3146">
        <v>-0.41384019999999999</v>
      </c>
      <c r="U3146">
        <v>-2.4133450000000001</v>
      </c>
      <c r="V3146">
        <v>0.2011452</v>
      </c>
      <c r="W3146">
        <v>3.4180960000000003E-2</v>
      </c>
      <c r="X3146">
        <v>0.97896490000000003</v>
      </c>
      <c r="Y3146">
        <v>0.50877309999999998</v>
      </c>
      <c r="Z3146">
        <v>6.8806630000000004E-3</v>
      </c>
      <c r="AA3146">
        <v>0.86087320000000001</v>
      </c>
      <c r="AB3146">
        <v>33</v>
      </c>
      <c r="AC3146">
        <v>5.2787999999999897</v>
      </c>
      <c r="AD3146">
        <v>-1.099900375057</v>
      </c>
      <c r="AE3146">
        <v>-6.3055999999999903</v>
      </c>
      <c r="AF3146">
        <v>4.2596174231175503</v>
      </c>
      <c r="AG3146">
        <v>-1.099900375057</v>
      </c>
      <c r="AH3146">
        <v>6.8648255508732401</v>
      </c>
      <c r="AI3146">
        <v>97.752766544307093</v>
      </c>
      <c r="AJ3146">
        <v>58.180439613304401</v>
      </c>
      <c r="AK3146">
        <v>8.1535238559962</v>
      </c>
      <c r="AL3146">
        <v>88.041193706149997</v>
      </c>
      <c r="AM3146">
        <v>78.389185833033395</v>
      </c>
      <c r="AN3146">
        <v>1.00000000247078</v>
      </c>
    </row>
    <row r="3147" spans="1:40" x14ac:dyDescent="0.25">
      <c r="A3147" t="str">
        <f>"20190312154617123"</f>
        <v>20190312154617123</v>
      </c>
      <c r="B3147" t="str">
        <f>"1552376777119895"</f>
        <v>1552376777119895</v>
      </c>
      <c r="C3147" t="s">
        <v>40</v>
      </c>
      <c r="D3147">
        <v>3.9995970000000001</v>
      </c>
      <c r="E3147">
        <v>0.63666559999999905</v>
      </c>
      <c r="F3147" t="s">
        <v>53</v>
      </c>
      <c r="G3147">
        <v>-197.89359999999999</v>
      </c>
      <c r="H3147" s="1">
        <v>3.6943080000000002E-6</v>
      </c>
      <c r="I3147">
        <v>207.00020000000001</v>
      </c>
      <c r="J3147">
        <v>-203.0455</v>
      </c>
      <c r="K3147">
        <v>1.0996349999999999</v>
      </c>
      <c r="L3147">
        <v>213.3141</v>
      </c>
      <c r="M3147">
        <v>0.94567029999999996</v>
      </c>
      <c r="N3147">
        <v>0</v>
      </c>
      <c r="O3147">
        <v>-0.32479229999999998</v>
      </c>
      <c r="P3147">
        <v>0.86082539999999996</v>
      </c>
      <c r="Q3147">
        <v>2.3195830000000001E-2</v>
      </c>
      <c r="R3147">
        <v>-0.50837179999999904</v>
      </c>
      <c r="S3147">
        <v>2.074646</v>
      </c>
      <c r="T3147">
        <v>-0.4165124</v>
      </c>
      <c r="U3147">
        <v>-2.436356</v>
      </c>
      <c r="V3147">
        <v>0.20204520000000001</v>
      </c>
      <c r="W3147">
        <v>3.2715979999999999E-2</v>
      </c>
      <c r="X3147">
        <v>0.97882959999999997</v>
      </c>
      <c r="Y3147">
        <v>0.50798089999999996</v>
      </c>
      <c r="Z3147">
        <v>8.6481349999999995E-3</v>
      </c>
      <c r="AA3147">
        <v>0.86132489999999995</v>
      </c>
      <c r="AB3147">
        <v>33</v>
      </c>
      <c r="AC3147">
        <v>5.1519000000000101</v>
      </c>
      <c r="AD3147">
        <v>-1.099631305692</v>
      </c>
      <c r="AE3147">
        <v>-6.3138999999999896</v>
      </c>
      <c r="AF3147">
        <v>4.2211761024237804</v>
      </c>
      <c r="AG3147">
        <v>-1.099631305692</v>
      </c>
      <c r="AH3147">
        <v>6.7996460401545997</v>
      </c>
      <c r="AI3147">
        <v>97.823255383892501</v>
      </c>
      <c r="AJ3147">
        <v>58.168258247192497</v>
      </c>
      <c r="AK3147">
        <v>8.0785334663861903</v>
      </c>
      <c r="AL3147">
        <v>88.125177858840104</v>
      </c>
      <c r="AM3147">
        <v>78.3370867061724</v>
      </c>
      <c r="AN3147">
        <v>0.99999999201328005</v>
      </c>
    </row>
    <row r="3148" spans="1:40" x14ac:dyDescent="0.25">
      <c r="A3148" t="str">
        <f>"20190312154617145"</f>
        <v>20190312154617145</v>
      </c>
      <c r="B3148" t="str">
        <f>"1552376777140391"</f>
        <v>1552376777140391</v>
      </c>
      <c r="C3148" t="s">
        <v>40</v>
      </c>
      <c r="D3148">
        <v>4.0644749999999998</v>
      </c>
      <c r="E3148">
        <v>0.63623999999999903</v>
      </c>
      <c r="F3148" t="s">
        <v>53</v>
      </c>
      <c r="G3148">
        <v>-197.7243</v>
      </c>
      <c r="H3148" s="1">
        <v>3.7476809999999998E-6</v>
      </c>
      <c r="I3148">
        <v>206.91200000000001</v>
      </c>
      <c r="J3148">
        <v>-202.75360000000001</v>
      </c>
      <c r="K3148">
        <v>1.099404</v>
      </c>
      <c r="L3148">
        <v>213.20249999999999</v>
      </c>
      <c r="M3148">
        <v>0.94189719999999999</v>
      </c>
      <c r="N3148">
        <v>0</v>
      </c>
      <c r="O3148">
        <v>-0.33557500000000001</v>
      </c>
      <c r="P3148">
        <v>0.85421229999999904</v>
      </c>
      <c r="Q3148">
        <v>2.2395740000000001E-2</v>
      </c>
      <c r="R3148">
        <v>-0.51944230000000002</v>
      </c>
      <c r="S3148">
        <v>2.0440520000000002</v>
      </c>
      <c r="T3148">
        <v>-0.42240139999999998</v>
      </c>
      <c r="U3148">
        <v>-2.4592589999999999</v>
      </c>
      <c r="V3148">
        <v>0.20349</v>
      </c>
      <c r="W3148">
        <v>3.181237E-2</v>
      </c>
      <c r="X3148">
        <v>0.97856010000000004</v>
      </c>
      <c r="Y3148">
        <v>0.50844840000000002</v>
      </c>
      <c r="Z3148">
        <v>1.029243E-2</v>
      </c>
      <c r="AA3148">
        <v>0.86103090000000004</v>
      </c>
      <c r="AB3148">
        <v>33</v>
      </c>
      <c r="AC3148">
        <v>5.0293000000000001</v>
      </c>
      <c r="AD3148">
        <v>-1.0994002523190001</v>
      </c>
      <c r="AE3148">
        <v>-6.2904999999999802</v>
      </c>
      <c r="AF3148">
        <v>4.1602392960303503</v>
      </c>
      <c r="AG3148">
        <v>-1.0994002523190001</v>
      </c>
      <c r="AH3148">
        <v>6.7234829606593296</v>
      </c>
      <c r="AI3148">
        <v>97.916224447889803</v>
      </c>
      <c r="AJ3148">
        <v>58.252330580974998</v>
      </c>
      <c r="AK3148">
        <v>7.9825744617454504</v>
      </c>
      <c r="AL3148">
        <v>88.176977952811896</v>
      </c>
      <c r="AM3148">
        <v>78.252850713974098</v>
      </c>
      <c r="AN3148">
        <v>1.0000000381485099</v>
      </c>
    </row>
    <row r="3149" spans="1:40" x14ac:dyDescent="0.25">
      <c r="A3149" t="str">
        <f>"20190312154617169"</f>
        <v>20190312154617169</v>
      </c>
      <c r="B3149" t="str">
        <f>"1552376777159910"</f>
        <v>1552376777159910</v>
      </c>
      <c r="C3149" t="s">
        <v>40</v>
      </c>
      <c r="D3149">
        <v>4.0581259999999997</v>
      </c>
      <c r="E3149">
        <v>0.63576440000000001</v>
      </c>
      <c r="F3149" t="s">
        <v>53</v>
      </c>
      <c r="G3149">
        <v>-197.5966</v>
      </c>
      <c r="H3149" s="1">
        <v>3.7879179999999998E-6</v>
      </c>
      <c r="I3149">
        <v>206.84549999999999</v>
      </c>
      <c r="J3149">
        <v>-202.40870000000001</v>
      </c>
      <c r="K3149">
        <v>1.099154</v>
      </c>
      <c r="L3149">
        <v>213.06530000000001</v>
      </c>
      <c r="M3149">
        <v>0.93715280000000001</v>
      </c>
      <c r="N3149">
        <v>0</v>
      </c>
      <c r="O3149">
        <v>-0.34860269999999999</v>
      </c>
      <c r="P3149">
        <v>0.84635369999999999</v>
      </c>
      <c r="Q3149">
        <v>2.2101599999999999E-2</v>
      </c>
      <c r="R3149">
        <v>-0.53216330000000001</v>
      </c>
      <c r="S3149">
        <v>2.013763</v>
      </c>
      <c r="T3149">
        <v>-0.42930819999999997</v>
      </c>
      <c r="U3149">
        <v>-2.482361</v>
      </c>
      <c r="V3149">
        <v>0.20457049999999999</v>
      </c>
      <c r="W3149">
        <v>3.1423470000000002E-2</v>
      </c>
      <c r="X3149">
        <v>0.97834730000000003</v>
      </c>
      <c r="Y3149">
        <v>0.5068281</v>
      </c>
      <c r="Z3149">
        <v>1.250481E-2</v>
      </c>
      <c r="AA3149">
        <v>0.86195650000000001</v>
      </c>
      <c r="AB3149">
        <v>33</v>
      </c>
      <c r="AC3149">
        <v>4.8121000000000098</v>
      </c>
      <c r="AD3149">
        <v>-1.099150212082</v>
      </c>
      <c r="AE3149">
        <v>-6.2198000000000198</v>
      </c>
      <c r="AF3149">
        <v>4.0722951483859502</v>
      </c>
      <c r="AG3149">
        <v>-1.099150212082</v>
      </c>
      <c r="AH3149">
        <v>6.5506772988956996</v>
      </c>
      <c r="AI3149">
        <v>98.110086378812795</v>
      </c>
      <c r="AJ3149">
        <v>58.132429353547899</v>
      </c>
      <c r="AK3149">
        <v>7.7912189058295098</v>
      </c>
      <c r="AL3149">
        <v>88.199271325131406</v>
      </c>
      <c r="AM3149">
        <v>78.189725747640495</v>
      </c>
      <c r="AN3149">
        <v>0.99999998167718995</v>
      </c>
    </row>
    <row r="3150" spans="1:40" x14ac:dyDescent="0.25">
      <c r="A3150" t="str">
        <f>"20190312154617198"</f>
        <v>20190312154617198</v>
      </c>
      <c r="B3150" t="str">
        <f>"1552376777190166"</f>
        <v>1552376777190166</v>
      </c>
      <c r="C3150" t="s">
        <v>40</v>
      </c>
      <c r="D3150">
        <v>4.1108140000000004</v>
      </c>
      <c r="E3150">
        <v>0.63555309999999998</v>
      </c>
      <c r="F3150" t="s">
        <v>53</v>
      </c>
      <c r="G3150">
        <v>-197.40440000000001</v>
      </c>
      <c r="H3150" s="1">
        <v>3.8555760000000002E-6</v>
      </c>
      <c r="I3150">
        <v>206.71879999999999</v>
      </c>
      <c r="J3150">
        <v>-202.00880000000001</v>
      </c>
      <c r="K3150">
        <v>1.0988929999999999</v>
      </c>
      <c r="L3150">
        <v>212.89920000000001</v>
      </c>
      <c r="M3150">
        <v>0.93126249999999999</v>
      </c>
      <c r="N3150">
        <v>0</v>
      </c>
      <c r="O3150">
        <v>-0.36404320000000001</v>
      </c>
      <c r="P3150">
        <v>0.83609829999999996</v>
      </c>
      <c r="Q3150">
        <v>2.1495569999999999E-2</v>
      </c>
      <c r="R3150">
        <v>-0.54815849999999999</v>
      </c>
      <c r="S3150">
        <v>1.978394</v>
      </c>
      <c r="T3150">
        <v>-0.43453370000000002</v>
      </c>
      <c r="U3150">
        <v>-2.5090029999999999</v>
      </c>
      <c r="V3150">
        <v>0.2070015</v>
      </c>
      <c r="W3150">
        <v>3.0678049999999998E-2</v>
      </c>
      <c r="X3150">
        <v>0.97785949999999999</v>
      </c>
      <c r="Y3150">
        <v>0.50462459999999998</v>
      </c>
      <c r="Z3150">
        <v>1.513957E-2</v>
      </c>
      <c r="AA3150">
        <v>0.86320609999999998</v>
      </c>
      <c r="AB3150">
        <v>33</v>
      </c>
      <c r="AC3150">
        <v>4.6043999999999903</v>
      </c>
      <c r="AD3150">
        <v>-1.0988891444239901</v>
      </c>
      <c r="AE3150">
        <v>-6.1804000000000103</v>
      </c>
      <c r="AF3150">
        <v>3.9985383384735602</v>
      </c>
      <c r="AG3150">
        <v>-1.0988891444239901</v>
      </c>
      <c r="AH3150">
        <v>6.4082854177739197</v>
      </c>
      <c r="AI3150">
        <v>98.277431974746193</v>
      </c>
      <c r="AJ3150">
        <v>58.037328226887603</v>
      </c>
      <c r="AK3150">
        <v>7.6329540933789</v>
      </c>
      <c r="AL3150">
        <v>88.242001352791803</v>
      </c>
      <c r="AM3150">
        <v>78.047600909803805</v>
      </c>
      <c r="AN3150">
        <v>0.99999998274715096</v>
      </c>
    </row>
    <row r="3151" spans="1:40" x14ac:dyDescent="0.25">
      <c r="A3151" t="str">
        <f>"20190312154617243"</f>
        <v>20190312154617243</v>
      </c>
      <c r="B3151" t="str">
        <f>"1552376777240918"</f>
        <v>1552376777240918</v>
      </c>
      <c r="C3151" t="s">
        <v>40</v>
      </c>
      <c r="D3151">
        <v>4.1198649999999999</v>
      </c>
      <c r="E3151">
        <v>0.6544529</v>
      </c>
      <c r="F3151" t="s">
        <v>53</v>
      </c>
      <c r="G3151">
        <v>-197.1892</v>
      </c>
      <c r="H3151" s="1">
        <v>3.9384890000000004E-6</v>
      </c>
      <c r="I3151">
        <v>206.54990000000001</v>
      </c>
      <c r="J3151">
        <v>-201.40989999999999</v>
      </c>
      <c r="K3151">
        <v>1.098516</v>
      </c>
      <c r="L3151">
        <v>212.6353</v>
      </c>
      <c r="M3151">
        <v>0.92160759999999997</v>
      </c>
      <c r="N3151">
        <v>0</v>
      </c>
      <c r="O3151">
        <v>-0.38783269999999997</v>
      </c>
      <c r="P3151">
        <v>0.81943489999999997</v>
      </c>
      <c r="Q3151">
        <v>2.0065240000000002E-2</v>
      </c>
      <c r="R3151">
        <v>-0.57282080000000002</v>
      </c>
      <c r="S3151">
        <v>1.9313199999999999</v>
      </c>
      <c r="T3151">
        <v>-0.44035010000000002</v>
      </c>
      <c r="U3151">
        <v>-2.5443419999999999</v>
      </c>
      <c r="V3151">
        <v>0.21099899999999999</v>
      </c>
      <c r="W3151">
        <v>2.9035129999999999E-2</v>
      </c>
      <c r="X3151">
        <v>0.97705500000000001</v>
      </c>
      <c r="Y3151">
        <v>0.49855549999999998</v>
      </c>
      <c r="Z3151">
        <v>1.9439600000000001E-2</v>
      </c>
      <c r="AA3151">
        <v>0.86663979999999996</v>
      </c>
      <c r="AB3151">
        <v>33</v>
      </c>
      <c r="AC3151">
        <v>4.2206999999999901</v>
      </c>
      <c r="AD3151">
        <v>-1.098512061511</v>
      </c>
      <c r="AE3151">
        <v>-6.0853999999999902</v>
      </c>
      <c r="AF3151">
        <v>3.8863650489820101</v>
      </c>
      <c r="AG3151">
        <v>-1.098512061511</v>
      </c>
      <c r="AH3151">
        <v>6.1160843717469797</v>
      </c>
      <c r="AI3151">
        <v>98.620073803697693</v>
      </c>
      <c r="AJ3151">
        <v>57.5667546843964</v>
      </c>
      <c r="AK3151">
        <v>7.3291916392984104</v>
      </c>
      <c r="AL3151">
        <v>88.336175834190399</v>
      </c>
      <c r="AM3151">
        <v>77.8138813268923</v>
      </c>
      <c r="AN3151">
        <v>1.0000000449000499</v>
      </c>
    </row>
    <row r="3152" spans="1:40" x14ac:dyDescent="0.25">
      <c r="A3152" t="str">
        <f>"20190312154617271"</f>
        <v>20190312154617271</v>
      </c>
      <c r="B3152" t="str">
        <f>"1552376777260439"</f>
        <v>1552376777260439</v>
      </c>
      <c r="C3152" t="s">
        <v>40</v>
      </c>
      <c r="D3152">
        <v>4.124072</v>
      </c>
      <c r="E3152">
        <v>0.6539587</v>
      </c>
      <c r="F3152" t="s">
        <v>53</v>
      </c>
      <c r="G3152">
        <v>-197.69710000000001</v>
      </c>
      <c r="H3152" s="1">
        <v>3.7483970000000001E-6</v>
      </c>
      <c r="I3152">
        <v>206.92750000000001</v>
      </c>
      <c r="J3152">
        <v>-201.04060000000001</v>
      </c>
      <c r="K3152">
        <v>1.0982970000000001</v>
      </c>
      <c r="L3152">
        <v>212.4623</v>
      </c>
      <c r="M3152">
        <v>0.91511819999999999</v>
      </c>
      <c r="N3152">
        <v>0</v>
      </c>
      <c r="O3152">
        <v>-0.40290419999999999</v>
      </c>
      <c r="P3152">
        <v>0.80896559999999995</v>
      </c>
      <c r="Q3152">
        <v>1.899605E-2</v>
      </c>
      <c r="R3152">
        <v>-0.58754910000000005</v>
      </c>
      <c r="S3152">
        <v>1.770813</v>
      </c>
      <c r="T3152">
        <v>-0.52393959999999995</v>
      </c>
      <c r="U3152">
        <v>-2.7223660000000001</v>
      </c>
      <c r="V3152">
        <v>0.21261340000000001</v>
      </c>
      <c r="W3152">
        <v>2.7866869999999998E-2</v>
      </c>
      <c r="X3152">
        <v>0.97673889999999997</v>
      </c>
      <c r="Y3152">
        <v>0.54561800000000005</v>
      </c>
      <c r="Z3152">
        <v>2.1034049999999999E-2</v>
      </c>
      <c r="AA3152">
        <v>0.83777000000000001</v>
      </c>
      <c r="AB3152">
        <v>33</v>
      </c>
      <c r="AC3152">
        <v>3.3435000000000001</v>
      </c>
      <c r="AD3152">
        <v>-1.098293251603</v>
      </c>
      <c r="AE3152">
        <v>-5.53479999999999</v>
      </c>
      <c r="AF3152">
        <v>3.6140475224075201</v>
      </c>
      <c r="AG3152">
        <v>-1.098293251603</v>
      </c>
      <c r="AH3152">
        <v>5.1419537024819801</v>
      </c>
      <c r="AI3152">
        <v>99.912278041631396</v>
      </c>
      <c r="AJ3152">
        <v>54.898344712786603</v>
      </c>
      <c r="AK3152">
        <v>6.3802253439204497</v>
      </c>
      <c r="AL3152">
        <v>88.4031391576505</v>
      </c>
      <c r="AM3152">
        <v>77.719607563832895</v>
      </c>
      <c r="AN3152">
        <v>0.99999994953818205</v>
      </c>
    </row>
    <row r="3153" spans="1:40" x14ac:dyDescent="0.25">
      <c r="A3153" t="str">
        <f>"20190312154617289"</f>
        <v>20190312154617289</v>
      </c>
      <c r="B3153" t="str">
        <f>"1552376777279958"</f>
        <v>1552376777279958</v>
      </c>
      <c r="C3153" t="s">
        <v>40</v>
      </c>
      <c r="D3153">
        <v>4.1417760000000001</v>
      </c>
      <c r="E3153">
        <v>0.65309530000000005</v>
      </c>
      <c r="F3153" t="s">
        <v>53</v>
      </c>
      <c r="G3153">
        <v>-197.50299999999999</v>
      </c>
      <c r="H3153" s="1">
        <v>3.8122059999999999E-6</v>
      </c>
      <c r="I3153">
        <v>206.81649999999999</v>
      </c>
      <c r="J3153">
        <v>-200.79050000000001</v>
      </c>
      <c r="K3153">
        <v>1.098168</v>
      </c>
      <c r="L3153">
        <v>212.34100000000001</v>
      </c>
      <c r="M3153">
        <v>0.91048819999999997</v>
      </c>
      <c r="N3153">
        <v>0</v>
      </c>
      <c r="O3153">
        <v>-0.41325990000000001</v>
      </c>
      <c r="P3153">
        <v>0.80146240000000002</v>
      </c>
      <c r="Q3153">
        <v>1.8349020000000001E-2</v>
      </c>
      <c r="R3153">
        <v>-0.59776409999999902</v>
      </c>
      <c r="S3153">
        <v>1.7233889999999901</v>
      </c>
      <c r="T3153">
        <v>-0.53505150000000001</v>
      </c>
      <c r="U3153">
        <v>-2.7504270000000002</v>
      </c>
      <c r="V3153">
        <v>0.2139086</v>
      </c>
      <c r="W3153">
        <v>2.7145699999999998E-2</v>
      </c>
      <c r="X3153">
        <v>0.97647640000000002</v>
      </c>
      <c r="Y3153">
        <v>0.55028589999999999</v>
      </c>
      <c r="Z3153">
        <v>2.2951869999999999E-2</v>
      </c>
      <c r="AA3153">
        <v>0.83466079999999998</v>
      </c>
      <c r="AB3153">
        <v>32</v>
      </c>
      <c r="AC3153">
        <v>3.2875000000000201</v>
      </c>
      <c r="AD3153">
        <v>-1.098164187794</v>
      </c>
      <c r="AE3153">
        <v>-5.5244999999999802</v>
      </c>
      <c r="AF3153">
        <v>3.5677102516187</v>
      </c>
      <c r="AG3153">
        <v>-1.098164187794</v>
      </c>
      <c r="AH3153">
        <v>5.1272682852665401</v>
      </c>
      <c r="AI3153">
        <v>99.971142410054298</v>
      </c>
      <c r="AJ3153">
        <v>55.1686216128588</v>
      </c>
      <c r="AK3153">
        <v>6.3421921361591096</v>
      </c>
      <c r="AL3153">
        <v>88.444474828323493</v>
      </c>
      <c r="AM3153">
        <v>77.643869187500499</v>
      </c>
      <c r="AN3153">
        <v>0.999999968969704</v>
      </c>
    </row>
    <row r="3154" spans="1:40" x14ac:dyDescent="0.25">
      <c r="A3154" t="str">
        <f>"20190312154617313"</f>
        <v>20190312154617313</v>
      </c>
      <c r="B3154" t="str">
        <f>"1552376777300455"</f>
        <v>1552376777300455</v>
      </c>
      <c r="C3154" t="s">
        <v>40</v>
      </c>
      <c r="D3154">
        <v>4.1852019999999897</v>
      </c>
      <c r="E3154">
        <v>0.6523871</v>
      </c>
      <c r="F3154" t="s">
        <v>53</v>
      </c>
      <c r="G3154">
        <v>-197.37540000000001</v>
      </c>
      <c r="H3154" s="1">
        <v>3.8498979999999997E-6</v>
      </c>
      <c r="I3154">
        <v>206.75970000000001</v>
      </c>
      <c r="J3154">
        <v>-200.48769999999999</v>
      </c>
      <c r="K3154">
        <v>1.0980030000000001</v>
      </c>
      <c r="L3154">
        <v>212.1893</v>
      </c>
      <c r="M3154">
        <v>0.90461460000000005</v>
      </c>
      <c r="N3154">
        <v>0</v>
      </c>
      <c r="O3154">
        <v>-0.4259616</v>
      </c>
      <c r="P3154">
        <v>0.79247419999999902</v>
      </c>
      <c r="Q3154">
        <v>1.8021059999999998E-2</v>
      </c>
      <c r="R3154">
        <v>-0.60963919999999905</v>
      </c>
      <c r="S3154">
        <v>1.6925049999999999</v>
      </c>
      <c r="T3154">
        <v>-0.54425480000000004</v>
      </c>
      <c r="U3154">
        <v>-2.766159</v>
      </c>
      <c r="V3154">
        <v>0.2147908</v>
      </c>
      <c r="W3154">
        <v>2.6751009999999999E-2</v>
      </c>
      <c r="X3154">
        <v>0.97629359999999998</v>
      </c>
      <c r="Y3154">
        <v>0.54759169999999902</v>
      </c>
      <c r="Z3154">
        <v>2.603221E-2</v>
      </c>
      <c r="AA3154">
        <v>0.83634069999999905</v>
      </c>
      <c r="AB3154">
        <v>32</v>
      </c>
      <c r="AC3154">
        <v>3.1122999999999701</v>
      </c>
      <c r="AD3154">
        <v>-1.0979991501019899</v>
      </c>
      <c r="AE3154">
        <v>-5.42959999999999</v>
      </c>
      <c r="AF3154">
        <v>3.4792897155206801</v>
      </c>
      <c r="AG3154">
        <v>-1.0979991501019899</v>
      </c>
      <c r="AH3154">
        <v>4.9756643714899198</v>
      </c>
      <c r="AI3154">
        <v>100.250907816248</v>
      </c>
      <c r="AJ3154">
        <v>55.036393910477202</v>
      </c>
      <c r="AK3154">
        <v>6.1699509719175998</v>
      </c>
      <c r="AL3154">
        <v>88.467097085342402</v>
      </c>
      <c r="AM3154">
        <v>77.592233963399295</v>
      </c>
      <c r="AN3154">
        <v>0.99999994885080801</v>
      </c>
    </row>
    <row r="3155" spans="1:40" x14ac:dyDescent="0.25">
      <c r="A3155" t="str">
        <f>"20190312154617338"</f>
        <v>20190312154617338</v>
      </c>
      <c r="B3155" t="str">
        <f>"1552376777330710"</f>
        <v>1552376777330710</v>
      </c>
      <c r="C3155" t="s">
        <v>40</v>
      </c>
      <c r="D3155">
        <v>4.1916129999999896</v>
      </c>
      <c r="E3155">
        <v>0.65113880000000002</v>
      </c>
      <c r="F3155" t="s">
        <v>53</v>
      </c>
      <c r="G3155">
        <v>-197.19159999999999</v>
      </c>
      <c r="H3155" s="1">
        <v>3.9140600000000001E-6</v>
      </c>
      <c r="I3155">
        <v>206.6405</v>
      </c>
      <c r="J3155">
        <v>-200.15700000000001</v>
      </c>
      <c r="K3155">
        <v>1.0978319999999999</v>
      </c>
      <c r="L3155">
        <v>212.01730000000001</v>
      </c>
      <c r="M3155">
        <v>0.89784739999999996</v>
      </c>
      <c r="N3155">
        <v>0</v>
      </c>
      <c r="O3155">
        <v>-0.44004500000000002</v>
      </c>
      <c r="P3155">
        <v>0.78275879999999998</v>
      </c>
      <c r="Q3155">
        <v>1.7039289999999999E-2</v>
      </c>
      <c r="R3155">
        <v>-0.62209199999999998</v>
      </c>
      <c r="S3155">
        <v>1.6549529999999999</v>
      </c>
      <c r="T3155">
        <v>-0.55128840000000001</v>
      </c>
      <c r="U3155">
        <v>-2.7859500000000001</v>
      </c>
      <c r="V3155">
        <v>0.21494440000000001</v>
      </c>
      <c r="W3155">
        <v>2.5722829999999999E-2</v>
      </c>
      <c r="X3155">
        <v>0.97628749999999997</v>
      </c>
      <c r="Y3155">
        <v>0.54558379999999995</v>
      </c>
      <c r="Z3155">
        <v>2.9294850000000001E-2</v>
      </c>
      <c r="AA3155">
        <v>0.83754409999999901</v>
      </c>
      <c r="AB3155">
        <v>32</v>
      </c>
      <c r="AC3155">
        <v>2.96540000000001</v>
      </c>
      <c r="AD3155">
        <v>-1.09782808593999</v>
      </c>
      <c r="AE3155">
        <v>-5.3768000000000002</v>
      </c>
      <c r="AF3155">
        <v>3.41391378700895</v>
      </c>
      <c r="AG3155">
        <v>-1.09782808593999</v>
      </c>
      <c r="AH3155">
        <v>4.8733106570087399</v>
      </c>
      <c r="AI3155">
        <v>100.453798775124</v>
      </c>
      <c r="AJ3155">
        <v>54.987498244439102</v>
      </c>
      <c r="AK3155">
        <v>6.0505529178020998</v>
      </c>
      <c r="AL3155">
        <v>88.526027858429799</v>
      </c>
      <c r="AM3155">
        <v>77.583560919757701</v>
      </c>
      <c r="AN3155">
        <v>1.0000000208654001</v>
      </c>
    </row>
    <row r="3156" spans="1:40" x14ac:dyDescent="0.25">
      <c r="A3156" t="str">
        <f>"20190312154617359"</f>
        <v>20190312154617359</v>
      </c>
      <c r="B3156" t="str">
        <f>"1552376777350231"</f>
        <v>1552376777350231</v>
      </c>
      <c r="C3156" t="s">
        <v>40</v>
      </c>
      <c r="D3156">
        <v>4.18668</v>
      </c>
      <c r="E3156">
        <v>0.6501673</v>
      </c>
      <c r="F3156" t="s">
        <v>53</v>
      </c>
      <c r="G3156">
        <v>-196.94710000000001</v>
      </c>
      <c r="H3156" s="1">
        <v>4.0081900000000002E-6</v>
      </c>
      <c r="I3156">
        <v>206.44880000000001</v>
      </c>
      <c r="J3156">
        <v>-199.86949999999999</v>
      </c>
      <c r="K3156">
        <v>1.097677</v>
      </c>
      <c r="L3156">
        <v>211.8622</v>
      </c>
      <c r="M3156">
        <v>0.89164929999999998</v>
      </c>
      <c r="N3156">
        <v>0</v>
      </c>
      <c r="O3156">
        <v>-0.45247090000000001</v>
      </c>
      <c r="P3156">
        <v>0.77410690000000004</v>
      </c>
      <c r="Q3156">
        <v>1.721377E-2</v>
      </c>
      <c r="R3156">
        <v>-0.63282079999999996</v>
      </c>
      <c r="S3156">
        <v>1.616241</v>
      </c>
      <c r="T3156">
        <v>-0.55278439999999995</v>
      </c>
      <c r="U3156">
        <v>-2.8038940000000001</v>
      </c>
      <c r="V3156">
        <v>0.21485879999999999</v>
      </c>
      <c r="W3156">
        <v>2.586536E-2</v>
      </c>
      <c r="X3156">
        <v>0.97630260000000002</v>
      </c>
      <c r="Y3156">
        <v>0.5450623</v>
      </c>
      <c r="Z3156">
        <v>3.1874050000000001E-2</v>
      </c>
      <c r="AA3156">
        <v>0.83778949999999996</v>
      </c>
      <c r="AB3156">
        <v>32</v>
      </c>
      <c r="AC3156">
        <v>2.9223999999999801</v>
      </c>
      <c r="AD3156">
        <v>-1.0976729918100001</v>
      </c>
      <c r="AE3156">
        <v>-5.4133999999999904</v>
      </c>
      <c r="AF3156">
        <v>3.3968144915326799</v>
      </c>
      <c r="AG3156">
        <v>-1.0976729918100001</v>
      </c>
      <c r="AH3156">
        <v>4.8997533693857598</v>
      </c>
      <c r="AI3156">
        <v>100.431919799825</v>
      </c>
      <c r="AJ3156">
        <v>55.2678875809532</v>
      </c>
      <c r="AK3156">
        <v>6.0622452744542299</v>
      </c>
      <c r="AL3156">
        <v>88.517858807061003</v>
      </c>
      <c r="AM3156">
        <v>77.588538414141397</v>
      </c>
      <c r="AN3156">
        <v>1.0000000437760601</v>
      </c>
    </row>
    <row r="3157" spans="1:40" x14ac:dyDescent="0.25">
      <c r="A3157" t="str">
        <f>"20190312154617385"</f>
        <v>20190312154617385</v>
      </c>
      <c r="B3157" t="str">
        <f>"1552376777380486"</f>
        <v>1552376777380486</v>
      </c>
      <c r="C3157" t="s">
        <v>40</v>
      </c>
      <c r="D3157">
        <v>4.2835739999999998</v>
      </c>
      <c r="E3157">
        <v>0.64886319999999997</v>
      </c>
      <c r="F3157" t="s">
        <v>53</v>
      </c>
      <c r="G3157">
        <v>-196.71190000000001</v>
      </c>
      <c r="H3157" s="1">
        <v>4.1081760000000001E-6</v>
      </c>
      <c r="I3157">
        <v>206.23140000000001</v>
      </c>
      <c r="J3157">
        <v>-199.56710000000001</v>
      </c>
      <c r="K3157">
        <v>1.09751</v>
      </c>
      <c r="L3157">
        <v>211.6935</v>
      </c>
      <c r="M3157">
        <v>0.88479779999999997</v>
      </c>
      <c r="N3157">
        <v>0</v>
      </c>
      <c r="O3157">
        <v>-0.4657251</v>
      </c>
      <c r="P3157">
        <v>0.76458559999999998</v>
      </c>
      <c r="Q3157">
        <v>1.7511789999999999E-2</v>
      </c>
      <c r="R3157">
        <v>-0.64428469999999904</v>
      </c>
      <c r="S3157">
        <v>1.581772</v>
      </c>
      <c r="T3157">
        <v>-0.5498691</v>
      </c>
      <c r="U3157">
        <v>-2.820694</v>
      </c>
      <c r="V3157">
        <v>0.21485979999999999</v>
      </c>
      <c r="W3157">
        <v>2.612658E-2</v>
      </c>
      <c r="X3157">
        <v>0.97629540000000004</v>
      </c>
      <c r="Y3157">
        <v>0.54264669999999904</v>
      </c>
      <c r="Z3157">
        <v>3.4539199999999999E-2</v>
      </c>
      <c r="AA3157">
        <v>0.83925059999999996</v>
      </c>
      <c r="AB3157">
        <v>32</v>
      </c>
      <c r="AC3157">
        <v>2.8551999999999902</v>
      </c>
      <c r="AD3157">
        <v>-1.0975058918239999</v>
      </c>
      <c r="AE3157">
        <v>-5.4620999999999897</v>
      </c>
      <c r="AF3157">
        <v>3.3958451673520398</v>
      </c>
      <c r="AG3157">
        <v>-1.0975058918239999</v>
      </c>
      <c r="AH3157">
        <v>4.9148574197900396</v>
      </c>
      <c r="AI3157">
        <v>100.410098649685</v>
      </c>
      <c r="AJ3157">
        <v>55.358062227049203</v>
      </c>
      <c r="AK3157">
        <v>6.0738873088065901</v>
      </c>
      <c r="AL3157">
        <v>88.502886908695004</v>
      </c>
      <c r="AM3157">
        <v>77.5883937427446</v>
      </c>
      <c r="AN3157">
        <v>1.00000001994984</v>
      </c>
    </row>
    <row r="3158" spans="1:40" x14ac:dyDescent="0.25">
      <c r="A3158" t="str">
        <f>"20190312154617409"</f>
        <v>20190312154617409</v>
      </c>
      <c r="B3158" t="str">
        <f>"1552376777400007"</f>
        <v>1552376777400007</v>
      </c>
      <c r="C3158" t="s">
        <v>40</v>
      </c>
      <c r="D3158">
        <v>4.2496580000000002</v>
      </c>
      <c r="E3158">
        <v>0.64790700000000001</v>
      </c>
      <c r="F3158" t="s">
        <v>53</v>
      </c>
      <c r="G3158">
        <v>-196.4041</v>
      </c>
      <c r="H3158" s="1">
        <v>4.2974970000000001E-6</v>
      </c>
      <c r="I3158">
        <v>205.88890000000001</v>
      </c>
      <c r="J3158">
        <v>-199.24799999999999</v>
      </c>
      <c r="K3158">
        <v>1.0973349999999999</v>
      </c>
      <c r="L3158">
        <v>211.50800000000001</v>
      </c>
      <c r="M3158">
        <v>0.87715200000000004</v>
      </c>
      <c r="N3158">
        <v>0</v>
      </c>
      <c r="O3158">
        <v>-0.47996820000000001</v>
      </c>
      <c r="P3158">
        <v>0.75404139999999997</v>
      </c>
      <c r="Q3158">
        <v>1.734981E-2</v>
      </c>
      <c r="R3158">
        <v>-0.65659769999999995</v>
      </c>
      <c r="S3158">
        <v>1.545685</v>
      </c>
      <c r="T3158">
        <v>-0.53633459999999999</v>
      </c>
      <c r="U3158">
        <v>-2.836624</v>
      </c>
      <c r="V3158">
        <v>0.2149123</v>
      </c>
      <c r="W3158">
        <v>2.5926370000000001E-2</v>
      </c>
      <c r="X3158">
        <v>0.97628919999999997</v>
      </c>
      <c r="Y3158">
        <v>0.53950790000000004</v>
      </c>
      <c r="Z3158">
        <v>3.6743949999999997E-2</v>
      </c>
      <c r="AA3158">
        <v>0.84117839999999999</v>
      </c>
      <c r="AB3158">
        <v>32</v>
      </c>
      <c r="AC3158">
        <v>2.8438999999999899</v>
      </c>
      <c r="AD3158">
        <v>-1.0973307025029999</v>
      </c>
      <c r="AE3158">
        <v>-5.6190999999999702</v>
      </c>
      <c r="AF3158">
        <v>3.4592204013268</v>
      </c>
      <c r="AG3158">
        <v>-1.0973307025029999</v>
      </c>
      <c r="AH3158">
        <v>5.0391439795173403</v>
      </c>
      <c r="AI3158">
        <v>100.177930015162</v>
      </c>
      <c r="AJ3158">
        <v>55.531575816973799</v>
      </c>
      <c r="AK3158">
        <v>6.20993659403356</v>
      </c>
      <c r="AL3158">
        <v>88.514362010006394</v>
      </c>
      <c r="AM3158">
        <v>77.585378650747401</v>
      </c>
      <c r="AN3158">
        <v>1.0000000376946501</v>
      </c>
    </row>
    <row r="3159" spans="1:40" x14ac:dyDescent="0.25">
      <c r="A3159" t="str">
        <f>"20190312154617431"</f>
        <v>20190312154617431</v>
      </c>
      <c r="B3159" t="str">
        <f>"1552376777420504"</f>
        <v>1552376777420504</v>
      </c>
      <c r="C3159" t="s">
        <v>40</v>
      </c>
      <c r="D3159">
        <v>4.278054</v>
      </c>
      <c r="E3159">
        <v>0.64712049999999999</v>
      </c>
      <c r="F3159" t="s">
        <v>53</v>
      </c>
      <c r="G3159">
        <v>-196.12139999999999</v>
      </c>
      <c r="H3159" s="1">
        <v>4.4740010000000001E-6</v>
      </c>
      <c r="I3159">
        <v>205.5669</v>
      </c>
      <c r="J3159">
        <v>-198.96770000000001</v>
      </c>
      <c r="K3159">
        <v>1.097186</v>
      </c>
      <c r="L3159">
        <v>211.33920000000001</v>
      </c>
      <c r="M3159">
        <v>0.87009319999999901</v>
      </c>
      <c r="N3159">
        <v>0</v>
      </c>
      <c r="O3159">
        <v>-0.49264790000000003</v>
      </c>
      <c r="P3159">
        <v>0.74408099999999999</v>
      </c>
      <c r="Q3159">
        <v>1.6699329999999998E-2</v>
      </c>
      <c r="R3159">
        <v>-0.66788069999999999</v>
      </c>
      <c r="S3159">
        <v>1.5033110000000001</v>
      </c>
      <c r="T3159">
        <v>-0.52761049999999998</v>
      </c>
      <c r="U3159">
        <v>-2.8565520000000002</v>
      </c>
      <c r="V3159">
        <v>0.21543100000000001</v>
      </c>
      <c r="W3159">
        <v>2.5229939999999999E-2</v>
      </c>
      <c r="X3159">
        <v>0.97619310000000004</v>
      </c>
      <c r="Y3159">
        <v>0.53962330000000003</v>
      </c>
      <c r="Z3159">
        <v>3.855927E-2</v>
      </c>
      <c r="AA3159">
        <v>0.84102310000000002</v>
      </c>
      <c r="AB3159">
        <v>32</v>
      </c>
      <c r="AC3159">
        <v>2.84630000000001</v>
      </c>
      <c r="AD3159">
        <v>-1.0971815259990001</v>
      </c>
      <c r="AE3159">
        <v>-5.7723000000000004</v>
      </c>
      <c r="AF3159">
        <v>3.51838801008804</v>
      </c>
      <c r="AG3159">
        <v>-1.0971815259990001</v>
      </c>
      <c r="AH3159">
        <v>5.1706127191043496</v>
      </c>
      <c r="AI3159">
        <v>99.950303711885596</v>
      </c>
      <c r="AJ3159">
        <v>55.766333186345904</v>
      </c>
      <c r="AK3159">
        <v>6.34965332766195</v>
      </c>
      <c r="AL3159">
        <v>88.554277538552398</v>
      </c>
      <c r="AM3159">
        <v>77.555160891783501</v>
      </c>
      <c r="AN3159">
        <v>1.0000000170604999</v>
      </c>
    </row>
    <row r="3160" spans="1:40" x14ac:dyDescent="0.25">
      <c r="A3160" t="str">
        <f>"20190312154617451"</f>
        <v>20190312154617451</v>
      </c>
      <c r="B3160" t="str">
        <f>"1552376777440023"</f>
        <v>1552376777440023</v>
      </c>
      <c r="C3160" t="s">
        <v>40</v>
      </c>
      <c r="D3160">
        <v>4.2942720000000003</v>
      </c>
      <c r="E3160">
        <v>0.646424</v>
      </c>
      <c r="F3160" t="s">
        <v>53</v>
      </c>
      <c r="G3160">
        <v>-195.92949999999999</v>
      </c>
      <c r="H3160" s="1">
        <v>4.5862960000000003E-6</v>
      </c>
      <c r="I3160">
        <v>205.36959999999999</v>
      </c>
      <c r="J3160">
        <v>-198.71100000000001</v>
      </c>
      <c r="K3160">
        <v>1.097056</v>
      </c>
      <c r="L3160">
        <v>211.1798</v>
      </c>
      <c r="M3160">
        <v>0.86333230000000005</v>
      </c>
      <c r="N3160">
        <v>0</v>
      </c>
      <c r="O3160">
        <v>-0.50440059999999998</v>
      </c>
      <c r="P3160">
        <v>0.73419899999999905</v>
      </c>
      <c r="Q3160">
        <v>1.642892E-2</v>
      </c>
      <c r="R3160">
        <v>-0.67873559999999999</v>
      </c>
      <c r="S3160">
        <v>1.4631350000000001</v>
      </c>
      <c r="T3160">
        <v>-0.52839539999999996</v>
      </c>
      <c r="U3160">
        <v>-2.8749389999999999</v>
      </c>
      <c r="V3160">
        <v>0.21652650000000001</v>
      </c>
      <c r="W3160">
        <v>2.489626E-2</v>
      </c>
      <c r="X3160">
        <v>0.97595920000000003</v>
      </c>
      <c r="Y3160">
        <v>0.53981330000000005</v>
      </c>
      <c r="Z3160">
        <v>4.0851230000000002E-2</v>
      </c>
      <c r="AA3160">
        <v>0.84079300000000001</v>
      </c>
      <c r="AB3160">
        <v>32</v>
      </c>
      <c r="AC3160">
        <v>2.7814999999999901</v>
      </c>
      <c r="AD3160">
        <v>-1.0970514137039999</v>
      </c>
      <c r="AE3160">
        <v>-5.8102</v>
      </c>
      <c r="AF3160">
        <v>3.5117184280544498</v>
      </c>
      <c r="AG3160">
        <v>-1.0970514137039999</v>
      </c>
      <c r="AH3160">
        <v>5.1823516859957603</v>
      </c>
      <c r="AI3160">
        <v>99.939856608811695</v>
      </c>
      <c r="AJ3160">
        <v>55.877244096732099</v>
      </c>
      <c r="AK3160">
        <v>6.3555060474827902</v>
      </c>
      <c r="AL3160">
        <v>88.5734019123216</v>
      </c>
      <c r="AM3160">
        <v>77.490960225439906</v>
      </c>
      <c r="AN3160">
        <v>0.99999995451443702</v>
      </c>
    </row>
    <row r="3161" spans="1:40" x14ac:dyDescent="0.25">
      <c r="A3161" t="str">
        <f>"20190312154617489"</f>
        <v>20190312154617489</v>
      </c>
      <c r="B3161" t="str">
        <f>"1552376777480038"</f>
        <v>1552376777480038</v>
      </c>
      <c r="C3161" t="s">
        <v>40</v>
      </c>
      <c r="D3161">
        <v>4.3495470000000003</v>
      </c>
      <c r="E3161">
        <v>0.64481080000000002</v>
      </c>
      <c r="F3161" t="s">
        <v>53</v>
      </c>
      <c r="G3161">
        <v>-195.7664</v>
      </c>
      <c r="H3161" s="1">
        <v>4.68320299999999E-6</v>
      </c>
      <c r="I3161">
        <v>205.1978</v>
      </c>
      <c r="J3161">
        <v>-198.25059999999999</v>
      </c>
      <c r="K3161">
        <v>1.096824</v>
      </c>
      <c r="L3161">
        <v>210.881</v>
      </c>
      <c r="M3161">
        <v>0.85043469999999999</v>
      </c>
      <c r="N3161">
        <v>0</v>
      </c>
      <c r="O3161">
        <v>-0.52585280000000001</v>
      </c>
      <c r="P3161">
        <v>0.71561649999999999</v>
      </c>
      <c r="Q3161">
        <v>1.5498110000000001E-2</v>
      </c>
      <c r="R3161">
        <v>-0.69832159999999999</v>
      </c>
      <c r="S3161">
        <v>1.423859</v>
      </c>
      <c r="T3161">
        <v>-0.53048300000000004</v>
      </c>
      <c r="U3161">
        <v>-2.8926240000000001</v>
      </c>
      <c r="V3161">
        <v>0.21843650000000001</v>
      </c>
      <c r="W3161">
        <v>2.3854199999999999E-2</v>
      </c>
      <c r="X3161">
        <v>0.97555959999999997</v>
      </c>
      <c r="Y3161">
        <v>0.53021399999999996</v>
      </c>
      <c r="Z3161">
        <v>4.5994649999999998E-2</v>
      </c>
      <c r="AA3161">
        <v>0.84661540000000002</v>
      </c>
      <c r="AB3161">
        <v>32</v>
      </c>
      <c r="AC3161">
        <v>2.48419999999998</v>
      </c>
      <c r="AD3161">
        <v>-1.096819316797</v>
      </c>
      <c r="AE3161">
        <v>-5.6831999999999701</v>
      </c>
      <c r="AF3161">
        <v>3.4203309805507098</v>
      </c>
      <c r="AG3161">
        <v>-1.096819316797</v>
      </c>
      <c r="AH3161">
        <v>4.9470854052725199</v>
      </c>
      <c r="AI3161">
        <v>100.33529776960501</v>
      </c>
      <c r="AJ3161">
        <v>55.340675287058602</v>
      </c>
      <c r="AK3161">
        <v>6.1135366717861803</v>
      </c>
      <c r="AL3161">
        <v>88.633125406332795</v>
      </c>
      <c r="AM3161">
        <v>77.379132184739902</v>
      </c>
      <c r="AN3161">
        <v>1.0000000302710199</v>
      </c>
    </row>
    <row r="3162" spans="1:40" x14ac:dyDescent="0.25">
      <c r="A3162" t="str">
        <f>"20190312154617518"</f>
        <v>20190312154617518</v>
      </c>
      <c r="B3162" t="str">
        <f>"1552376777510295"</f>
        <v>1552376777510295</v>
      </c>
      <c r="C3162" t="s">
        <v>40</v>
      </c>
      <c r="D3162">
        <v>4.3754960000000001</v>
      </c>
      <c r="E3162">
        <v>0.64412740000000002</v>
      </c>
      <c r="F3162" t="s">
        <v>53</v>
      </c>
      <c r="G3162">
        <v>-195.46100000000001</v>
      </c>
      <c r="H3162" s="1">
        <v>4.8721649999999998E-6</v>
      </c>
      <c r="I3162">
        <v>204.85480000000001</v>
      </c>
      <c r="J3162">
        <v>-197.9221</v>
      </c>
      <c r="K3162">
        <v>1.096668</v>
      </c>
      <c r="L3162">
        <v>210.65729999999999</v>
      </c>
      <c r="M3162">
        <v>0.84058259999999996</v>
      </c>
      <c r="N3162">
        <v>0</v>
      </c>
      <c r="O3162">
        <v>-0.54146090000000002</v>
      </c>
      <c r="P3162">
        <v>0.70255040000000002</v>
      </c>
      <c r="Q3162">
        <v>1.693716E-2</v>
      </c>
      <c r="R3162">
        <v>-0.71143250000000002</v>
      </c>
      <c r="S3162">
        <v>1.352509</v>
      </c>
      <c r="T3162">
        <v>-0.53178510000000001</v>
      </c>
      <c r="U3162">
        <v>-2.921783</v>
      </c>
      <c r="V3162">
        <v>0.2185387</v>
      </c>
      <c r="W3162">
        <v>2.525997E-2</v>
      </c>
      <c r="X3162">
        <v>0.97550130000000002</v>
      </c>
      <c r="Y3162">
        <v>0.53486259999999997</v>
      </c>
      <c r="Z3162">
        <v>4.8771170000000003E-2</v>
      </c>
      <c r="AA3162">
        <v>0.84353029999999996</v>
      </c>
      <c r="AB3162">
        <v>32</v>
      </c>
      <c r="AC3162">
        <v>2.4611000000000098</v>
      </c>
      <c r="AD3162">
        <v>-1.0966631278350001</v>
      </c>
      <c r="AE3162">
        <v>-5.8024999999999798</v>
      </c>
      <c r="AF3162">
        <v>3.4411408400735399</v>
      </c>
      <c r="AG3162">
        <v>-1.0966631278350001</v>
      </c>
      <c r="AH3162">
        <v>5.0580836643276301</v>
      </c>
      <c r="AI3162">
        <v>100.16301729956901</v>
      </c>
      <c r="AJ3162">
        <v>55.771565974779101</v>
      </c>
      <c r="AK3162">
        <v>6.2151693985371699</v>
      </c>
      <c r="AL3162">
        <v>88.552556384513494</v>
      </c>
      <c r="AM3162">
        <v>77.372686126686105</v>
      </c>
      <c r="AN3162">
        <v>1.00000000789189</v>
      </c>
    </row>
    <row r="3163" spans="1:40" x14ac:dyDescent="0.25">
      <c r="A3163" t="str">
        <f>"20190312154617540"</f>
        <v>20190312154617540</v>
      </c>
      <c r="B3163" t="str">
        <f>"1552376777530790"</f>
        <v>1552376777530790</v>
      </c>
      <c r="C3163" t="s">
        <v>40</v>
      </c>
      <c r="D3163">
        <v>4.4135049999999998</v>
      </c>
      <c r="E3163">
        <v>0.63191629999999999</v>
      </c>
      <c r="F3163" t="s">
        <v>53</v>
      </c>
      <c r="G3163">
        <v>-195.20570000000001</v>
      </c>
      <c r="H3163" s="1">
        <v>5.040934E-6</v>
      </c>
      <c r="I3163">
        <v>204.5111</v>
      </c>
      <c r="J3163">
        <v>-197.6431</v>
      </c>
      <c r="K3163">
        <v>1.0965419999999999</v>
      </c>
      <c r="L3163">
        <v>210.46010000000001</v>
      </c>
      <c r="M3163">
        <v>0.83176849999999902</v>
      </c>
      <c r="N3163">
        <v>0</v>
      </c>
      <c r="O3163">
        <v>-0.55490430000000002</v>
      </c>
      <c r="P3163">
        <v>0.69146669999999999</v>
      </c>
      <c r="Q3163">
        <v>1.8530339999999999E-2</v>
      </c>
      <c r="R3163">
        <v>-0.72217069999999906</v>
      </c>
      <c r="S3163">
        <v>1.3012999999999999</v>
      </c>
      <c r="T3163">
        <v>-0.52535220000000005</v>
      </c>
      <c r="U3163">
        <v>-2.9442900000000001</v>
      </c>
      <c r="V3163">
        <v>0.21796589999999999</v>
      </c>
      <c r="W3163">
        <v>2.6847780000000002E-2</v>
      </c>
      <c r="X3163">
        <v>0.97558699999999998</v>
      </c>
      <c r="Y3163">
        <v>0.53604940000000001</v>
      </c>
      <c r="Z3163">
        <v>5.0680040000000003E-2</v>
      </c>
      <c r="AA3163">
        <v>0.84266390000000002</v>
      </c>
      <c r="AB3163">
        <v>32</v>
      </c>
      <c r="AC3163">
        <v>2.43739999999999</v>
      </c>
      <c r="AD3163">
        <v>-1.0965369590659999</v>
      </c>
      <c r="AE3163">
        <v>-5.9490000000000096</v>
      </c>
      <c r="AF3163">
        <v>3.49444449249886</v>
      </c>
      <c r="AG3163">
        <v>-1.0965369590659999</v>
      </c>
      <c r="AH3163">
        <v>5.1784748249051997</v>
      </c>
      <c r="AI3163">
        <v>99.955374757177907</v>
      </c>
      <c r="AJ3163">
        <v>55.988449470924103</v>
      </c>
      <c r="AK3163">
        <v>6.3427231632738197</v>
      </c>
      <c r="AL3163">
        <v>88.461550606289606</v>
      </c>
      <c r="AM3163">
        <v>77.405796704304706</v>
      </c>
      <c r="AN3163">
        <v>0.99999996571136796</v>
      </c>
    </row>
    <row r="3164" spans="1:40" x14ac:dyDescent="0.25">
      <c r="A3164" t="str">
        <f>"20190312154617561"</f>
        <v>20190312154617561</v>
      </c>
      <c r="B3164" t="str">
        <f>"1552376777550311"</f>
        <v>1552376777550311</v>
      </c>
      <c r="C3164" t="s">
        <v>40</v>
      </c>
      <c r="D3164">
        <v>4.4397640000000003</v>
      </c>
      <c r="E3164">
        <v>0.63051000000000001</v>
      </c>
      <c r="F3164" t="s">
        <v>53</v>
      </c>
      <c r="G3164">
        <v>-195.08619999999999</v>
      </c>
      <c r="H3164" s="1">
        <v>4.9462610000000004E-6</v>
      </c>
      <c r="I3164">
        <v>204.8802</v>
      </c>
      <c r="J3164">
        <v>-197.39519999999999</v>
      </c>
      <c r="K3164">
        <v>1.096427</v>
      </c>
      <c r="L3164">
        <v>210.27879999999999</v>
      </c>
      <c r="M3164">
        <v>0.82355290000000003</v>
      </c>
      <c r="N3164">
        <v>0</v>
      </c>
      <c r="O3164">
        <v>-0.56702439999999998</v>
      </c>
      <c r="P3164">
        <v>0.68064089999999999</v>
      </c>
      <c r="Q3164">
        <v>2.01596E-2</v>
      </c>
      <c r="R3164">
        <v>-0.73233970000000004</v>
      </c>
      <c r="S3164">
        <v>1.327744</v>
      </c>
      <c r="T3164">
        <v>-0.56941079999999999</v>
      </c>
      <c r="U3164">
        <v>-2.897491</v>
      </c>
      <c r="V3164">
        <v>0.2182268</v>
      </c>
      <c r="W3164">
        <v>2.8443139999999999E-2</v>
      </c>
      <c r="X3164">
        <v>0.97548349999999995</v>
      </c>
      <c r="Y3164">
        <v>0.51237959999999905</v>
      </c>
      <c r="Z3164">
        <v>6.0127119999999999E-2</v>
      </c>
      <c r="AA3164">
        <v>0.85665149999999901</v>
      </c>
      <c r="AB3164">
        <v>32</v>
      </c>
      <c r="AC3164">
        <v>2.3089999999999899</v>
      </c>
      <c r="AD3164">
        <v>-1.0964220537389999</v>
      </c>
      <c r="AE3164">
        <v>-5.3985999999999796</v>
      </c>
      <c r="AF3164">
        <v>3.0314535874334099</v>
      </c>
      <c r="AG3164">
        <v>-1.0964220537389999</v>
      </c>
      <c r="AH3164">
        <v>4.7960940914792003</v>
      </c>
      <c r="AI3164">
        <v>100.937158357752</v>
      </c>
      <c r="AJ3164">
        <v>57.704363756959303</v>
      </c>
      <c r="AK3164">
        <v>5.7787862659047899</v>
      </c>
      <c r="AL3164">
        <v>88.370108310344705</v>
      </c>
      <c r="AM3164">
        <v>77.389908456193595</v>
      </c>
      <c r="AN3164">
        <v>1.00000000361177</v>
      </c>
    </row>
    <row r="3165" spans="1:40" x14ac:dyDescent="0.25">
      <c r="A3165" t="str">
        <f>"20190312154617583"</f>
        <v>20190312154617583</v>
      </c>
      <c r="B3165" t="str">
        <f>"1552376777570809"</f>
        <v>1552376777570809</v>
      </c>
      <c r="C3165" t="s">
        <v>40</v>
      </c>
      <c r="D3165">
        <v>4.4915640000000003</v>
      </c>
      <c r="E3165">
        <v>0.62992300000000001</v>
      </c>
      <c r="F3165" t="s">
        <v>53</v>
      </c>
      <c r="G3165">
        <v>-194.88640000000001</v>
      </c>
      <c r="H3165" s="1">
        <v>5.0756369999999997E-6</v>
      </c>
      <c r="I3165">
        <v>204.6396</v>
      </c>
      <c r="J3165">
        <v>-197.1473</v>
      </c>
      <c r="K3165">
        <v>1.096303</v>
      </c>
      <c r="L3165">
        <v>210.09180000000001</v>
      </c>
      <c r="M3165">
        <v>0.81495660000000003</v>
      </c>
      <c r="N3165">
        <v>0</v>
      </c>
      <c r="O3165">
        <v>-0.5793102</v>
      </c>
      <c r="P3165">
        <v>0.66904399999999997</v>
      </c>
      <c r="Q3165">
        <v>2.2055040000000001E-2</v>
      </c>
      <c r="R3165">
        <v>-0.74289539999999998</v>
      </c>
      <c r="S3165">
        <v>1.2942659999999999</v>
      </c>
      <c r="T3165">
        <v>-0.56562819999999903</v>
      </c>
      <c r="U3165">
        <v>-2.9091800000000001</v>
      </c>
      <c r="V3165">
        <v>0.2189614</v>
      </c>
      <c r="W3165">
        <v>3.0286750000000001E-2</v>
      </c>
      <c r="X3165">
        <v>0.9752634</v>
      </c>
      <c r="Y3165">
        <v>0.50914979999999999</v>
      </c>
      <c r="Z3165">
        <v>6.2650159999999996E-2</v>
      </c>
      <c r="AA3165">
        <v>0.85839469999999995</v>
      </c>
      <c r="AB3165">
        <v>32</v>
      </c>
      <c r="AC3165">
        <v>2.2608999999999901</v>
      </c>
      <c r="AD3165">
        <v>-1.096297924363</v>
      </c>
      <c r="AE3165">
        <v>-5.4522000000000004</v>
      </c>
      <c r="AF3165">
        <v>3.0294177396155701</v>
      </c>
      <c r="AG3165">
        <v>-1.096297924363</v>
      </c>
      <c r="AH3165">
        <v>4.83486787548149</v>
      </c>
      <c r="AI3165">
        <v>100.876583249917</v>
      </c>
      <c r="AJ3165">
        <v>57.929681918455501</v>
      </c>
      <c r="AK3165">
        <v>5.8099215445152996</v>
      </c>
      <c r="AL3165">
        <v>88.264431715627296</v>
      </c>
      <c r="AM3165">
        <v>77.346060999207594</v>
      </c>
      <c r="AN3165">
        <v>1.00000004064754</v>
      </c>
    </row>
    <row r="3166" spans="1:40" x14ac:dyDescent="0.25">
      <c r="A3166" t="str">
        <f>"20190312154617623"</f>
        <v>20190312154617623</v>
      </c>
      <c r="B3166" t="str">
        <f>"1552376777620582"</f>
        <v>1552376777620582</v>
      </c>
      <c r="C3166" t="s">
        <v>40</v>
      </c>
      <c r="D3166">
        <v>4.5432880000000004</v>
      </c>
      <c r="E3166">
        <v>0.63031859999999995</v>
      </c>
      <c r="F3166" t="s">
        <v>53</v>
      </c>
      <c r="G3166">
        <v>-194.46860000000001</v>
      </c>
      <c r="H3166" s="1">
        <v>5.3843469999999997E-6</v>
      </c>
      <c r="I3166">
        <v>203.83150000000001</v>
      </c>
      <c r="J3166">
        <v>-196.68780000000001</v>
      </c>
      <c r="K3166">
        <v>1.0960430000000001</v>
      </c>
      <c r="L3166">
        <v>209.72839999999999</v>
      </c>
      <c r="M3166">
        <v>0.79791630000000002</v>
      </c>
      <c r="N3166">
        <v>0</v>
      </c>
      <c r="O3166">
        <v>-0.60256239999999905</v>
      </c>
      <c r="P3166">
        <v>0.64527959999999995</v>
      </c>
      <c r="Q3166">
        <v>2.3294800000000001E-2</v>
      </c>
      <c r="R3166">
        <v>-0.76359140000000003</v>
      </c>
      <c r="S3166">
        <v>1.2519530000000001</v>
      </c>
      <c r="T3166">
        <v>-0.51237959999999905</v>
      </c>
      <c r="U3166">
        <v>-2.9259339999999998</v>
      </c>
      <c r="V3166">
        <v>0.22164030000000001</v>
      </c>
      <c r="W3166">
        <v>3.1382E-2</v>
      </c>
      <c r="X3166">
        <v>0.97462340000000003</v>
      </c>
      <c r="Y3166">
        <v>0.49683719999999998</v>
      </c>
      <c r="Z3166">
        <v>6.2298369999999999E-2</v>
      </c>
      <c r="AA3166">
        <v>0.86560479999999995</v>
      </c>
      <c r="AB3166">
        <v>32</v>
      </c>
      <c r="AC3166">
        <v>2.2191999999999998</v>
      </c>
      <c r="AD3166">
        <v>-1.0960376156530001</v>
      </c>
      <c r="AE3166">
        <v>-5.89689999999998</v>
      </c>
      <c r="AF3166">
        <v>3.2695064696704801</v>
      </c>
      <c r="AG3166">
        <v>-1.0960376156530001</v>
      </c>
      <c r="AH3166">
        <v>5.1682517047996601</v>
      </c>
      <c r="AI3166">
        <v>100.16068636857899</v>
      </c>
      <c r="AJ3166">
        <v>57.681996993667099</v>
      </c>
      <c r="AK3166">
        <v>6.2130344192116</v>
      </c>
      <c r="AL3166">
        <v>88.201648608421806</v>
      </c>
      <c r="AM3166">
        <v>77.188188649684406</v>
      </c>
      <c r="AN3166">
        <v>1.0000000121678201</v>
      </c>
    </row>
    <row r="3167" spans="1:40" x14ac:dyDescent="0.25">
      <c r="A3167" t="str">
        <f>"20190312154617646"</f>
        <v>20190312154617646</v>
      </c>
      <c r="B3167" t="str">
        <f>"1552376777640103"</f>
        <v>1552376777640103</v>
      </c>
      <c r="C3167" t="s">
        <v>40</v>
      </c>
      <c r="D3167">
        <v>4.4319649999999999</v>
      </c>
      <c r="E3167">
        <v>0.66239349999999997</v>
      </c>
      <c r="F3167" t="s">
        <v>53</v>
      </c>
      <c r="G3167">
        <v>-194.04419999999999</v>
      </c>
      <c r="H3167" s="1">
        <v>5.7112670000000004E-6</v>
      </c>
      <c r="I3167">
        <v>202.95230000000001</v>
      </c>
      <c r="J3167">
        <v>-196.42529999999999</v>
      </c>
      <c r="K3167">
        <v>1.0958969999999999</v>
      </c>
      <c r="L3167">
        <v>209.5103</v>
      </c>
      <c r="M3167">
        <v>0.78749239999999998</v>
      </c>
      <c r="N3167">
        <v>0</v>
      </c>
      <c r="O3167">
        <v>-0.61612159999999905</v>
      </c>
      <c r="P3167">
        <v>0.63072689999999998</v>
      </c>
      <c r="Q3167">
        <v>2.336382E-2</v>
      </c>
      <c r="R3167">
        <v>-0.77565309999999998</v>
      </c>
      <c r="S3167">
        <v>1.1570279999999999</v>
      </c>
      <c r="T3167">
        <v>-0.47970020000000002</v>
      </c>
      <c r="U3167">
        <v>-2.9656829999999998</v>
      </c>
      <c r="V3167">
        <v>0.22341030000000001</v>
      </c>
      <c r="W3167">
        <v>3.1362470000000003E-2</v>
      </c>
      <c r="X3167">
        <v>0.97421979999999997</v>
      </c>
      <c r="Y3167">
        <v>0.50989739999999995</v>
      </c>
      <c r="Z3167">
        <v>5.9853299999999998E-2</v>
      </c>
      <c r="AA3167">
        <v>0.85815039999999998</v>
      </c>
      <c r="AB3167">
        <v>32</v>
      </c>
      <c r="AC3167">
        <v>2.3811</v>
      </c>
      <c r="AD3167">
        <v>-1.0958912887329999</v>
      </c>
      <c r="AE3167">
        <v>-6.5579999999999901</v>
      </c>
      <c r="AF3167">
        <v>3.6087535176794598</v>
      </c>
      <c r="AG3167">
        <v>-1.0958912887329999</v>
      </c>
      <c r="AH3167">
        <v>5.7739068317204003</v>
      </c>
      <c r="AI3167">
        <v>99.143333477009094</v>
      </c>
      <c r="AJ3167">
        <v>57.994176173535202</v>
      </c>
      <c r="AK3167">
        <v>6.8965266453101099</v>
      </c>
      <c r="AL3167">
        <v>88.202768111036406</v>
      </c>
      <c r="AM3167">
        <v>77.084120830428603</v>
      </c>
      <c r="AN3167">
        <v>0.99999999269131501</v>
      </c>
    </row>
    <row r="3168" spans="1:40" x14ac:dyDescent="0.25">
      <c r="A3168" t="str">
        <f>"20190312154617668"</f>
        <v>20190312154617668</v>
      </c>
      <c r="B3168" t="str">
        <f>"1552376777660599"</f>
        <v>1552376777660599</v>
      </c>
      <c r="C3168" t="s">
        <v>40</v>
      </c>
      <c r="D3168">
        <v>4.4501489999999997</v>
      </c>
      <c r="E3168">
        <v>0.67104180000000002</v>
      </c>
      <c r="F3168" t="s">
        <v>53</v>
      </c>
      <c r="G3168">
        <v>-194.77369999999999</v>
      </c>
      <c r="H3168" s="1">
        <v>5.3320489999999998E-6</v>
      </c>
      <c r="I3168">
        <v>203.77350000000001</v>
      </c>
      <c r="J3168">
        <v>-196.18450000000001</v>
      </c>
      <c r="K3168">
        <v>1.0957629999999901</v>
      </c>
      <c r="L3168">
        <v>209.3032</v>
      </c>
      <c r="M3168">
        <v>0.77746549999999903</v>
      </c>
      <c r="N3168">
        <v>0</v>
      </c>
      <c r="O3168">
        <v>-0.6287258</v>
      </c>
      <c r="P3168">
        <v>0.61740729999999999</v>
      </c>
      <c r="Q3168">
        <v>2.3439339999999999E-2</v>
      </c>
      <c r="R3168">
        <v>-0.78629479999999996</v>
      </c>
      <c r="S3168">
        <v>0.90647889999999998</v>
      </c>
      <c r="T3168">
        <v>-0.60149849999999905</v>
      </c>
      <c r="U3168">
        <v>-3.1487430000000001</v>
      </c>
      <c r="V3168">
        <v>0.2243444</v>
      </c>
      <c r="W3168">
        <v>3.1382E-2</v>
      </c>
      <c r="X3168">
        <v>0.97400450000000005</v>
      </c>
      <c r="Y3168">
        <v>0.57266130000000004</v>
      </c>
      <c r="Z3168">
        <v>6.9700999999999999E-2</v>
      </c>
      <c r="AA3168">
        <v>0.81682369999999904</v>
      </c>
      <c r="AB3168">
        <v>32</v>
      </c>
      <c r="AC3168">
        <v>1.41080000000002</v>
      </c>
      <c r="AD3168">
        <v>-1.0957576679509899</v>
      </c>
      <c r="AE3168">
        <v>-5.5296999999999903</v>
      </c>
      <c r="AF3168">
        <v>3.29123513768242</v>
      </c>
      <c r="AG3168">
        <v>-1.0957576679509899</v>
      </c>
      <c r="AH3168">
        <v>4.4114507565850003</v>
      </c>
      <c r="AI3168">
        <v>101.25961362733899</v>
      </c>
      <c r="AJ3168">
        <v>53.274617657689902</v>
      </c>
      <c r="AK3168">
        <v>5.6119347266484896</v>
      </c>
      <c r="AL3168">
        <v>88.201648591709599</v>
      </c>
      <c r="AM3168">
        <v>77.0291705665081</v>
      </c>
      <c r="AN3168">
        <v>1.0000000028778</v>
      </c>
    </row>
    <row r="3169" spans="1:40" x14ac:dyDescent="0.25">
      <c r="A3169" t="str">
        <f>"20190312154617691"</f>
        <v>20190312154617691</v>
      </c>
      <c r="B3169" t="str">
        <f>"1552376777680119"</f>
        <v>1552376777680119</v>
      </c>
      <c r="C3169" t="s">
        <v>40</v>
      </c>
      <c r="D3169">
        <v>4.4709009999999996</v>
      </c>
      <c r="E3169">
        <v>0.6733576</v>
      </c>
      <c r="F3169" t="s">
        <v>53</v>
      </c>
      <c r="G3169">
        <v>-194.79060000000001</v>
      </c>
      <c r="H3169" s="1">
        <v>5.3434429999999997E-6</v>
      </c>
      <c r="I3169">
        <v>203.71629999999999</v>
      </c>
      <c r="J3169">
        <v>-195.93170000000001</v>
      </c>
      <c r="K3169">
        <v>1.095626</v>
      </c>
      <c r="L3169">
        <v>209.07830000000001</v>
      </c>
      <c r="M3169">
        <v>0.76643719999999904</v>
      </c>
      <c r="N3169">
        <v>0</v>
      </c>
      <c r="O3169">
        <v>-0.64212230000000003</v>
      </c>
      <c r="P3169">
        <v>0.60271030000000003</v>
      </c>
      <c r="Q3169">
        <v>2.213004E-2</v>
      </c>
      <c r="R3169">
        <v>-0.79765330000000001</v>
      </c>
      <c r="S3169">
        <v>0.79988099999999995</v>
      </c>
      <c r="T3169">
        <v>-0.62880530000000001</v>
      </c>
      <c r="U3169">
        <v>-3.2060849999999999</v>
      </c>
      <c r="V3169">
        <v>0.2255113</v>
      </c>
      <c r="W3169">
        <v>3.0009359999999999E-2</v>
      </c>
      <c r="X3169">
        <v>0.97377820000000004</v>
      </c>
      <c r="Y3169">
        <v>0.58749629999999997</v>
      </c>
      <c r="Z3169">
        <v>7.3903720000000006E-2</v>
      </c>
      <c r="AA3169">
        <v>0.80584509999999998</v>
      </c>
      <c r="AB3169">
        <v>32</v>
      </c>
      <c r="AC3169">
        <v>1.14109999999999</v>
      </c>
      <c r="AD3169">
        <v>-1.0956206565569999</v>
      </c>
      <c r="AE3169">
        <v>-5.3620000000000196</v>
      </c>
      <c r="AF3169">
        <v>3.2476210687524301</v>
      </c>
      <c r="AG3169">
        <v>-1.0956206565569999</v>
      </c>
      <c r="AH3169">
        <v>4.1523347116376303</v>
      </c>
      <c r="AI3169">
        <v>101.741069853205</v>
      </c>
      <c r="AJ3169">
        <v>51.970351612498597</v>
      </c>
      <c r="AK3169">
        <v>5.3841722471285998</v>
      </c>
      <c r="AL3169">
        <v>88.280332055230701</v>
      </c>
      <c r="AM3169">
        <v>76.961077071738501</v>
      </c>
      <c r="AN3169">
        <v>0.99999994545526805</v>
      </c>
    </row>
    <row r="3170" spans="1:40" x14ac:dyDescent="0.25">
      <c r="A3170" t="str">
        <f>"20190312154617714"</f>
        <v>20190312154617714</v>
      </c>
      <c r="B3170" t="str">
        <f>"1552376777710375"</f>
        <v>1552376777710375</v>
      </c>
      <c r="C3170" t="s">
        <v>40</v>
      </c>
      <c r="D3170">
        <v>4.4743940000000002</v>
      </c>
      <c r="E3170">
        <v>0.67461470000000001</v>
      </c>
      <c r="F3170" t="s">
        <v>53</v>
      </c>
      <c r="G3170">
        <v>-194.66059999999999</v>
      </c>
      <c r="H3170" s="1">
        <v>5.4520009999999999E-6</v>
      </c>
      <c r="I3170">
        <v>203.4152</v>
      </c>
      <c r="J3170">
        <v>-195.696</v>
      </c>
      <c r="K3170">
        <v>1.095502</v>
      </c>
      <c r="L3170">
        <v>208.8612</v>
      </c>
      <c r="M3170">
        <v>0.75566630000000001</v>
      </c>
      <c r="N3170">
        <v>0</v>
      </c>
      <c r="O3170">
        <v>-0.65476250000000003</v>
      </c>
      <c r="P3170">
        <v>0.58867720000000001</v>
      </c>
      <c r="Q3170">
        <v>2.1059609999999999E-2</v>
      </c>
      <c r="R3170">
        <v>-0.80809379999999997</v>
      </c>
      <c r="S3170">
        <v>0.72509769999999996</v>
      </c>
      <c r="T3170">
        <v>-0.62498799999999999</v>
      </c>
      <c r="U3170">
        <v>-3.2304689999999998</v>
      </c>
      <c r="V3170">
        <v>0.2263522</v>
      </c>
      <c r="W3170">
        <v>2.8891179999999999E-2</v>
      </c>
      <c r="X3170">
        <v>0.97361699999999995</v>
      </c>
      <c r="Y3170">
        <v>0.59320150000000005</v>
      </c>
      <c r="Z3170">
        <v>7.5769249999999996E-2</v>
      </c>
      <c r="AA3170">
        <v>0.80148050000000004</v>
      </c>
      <c r="AB3170">
        <v>32</v>
      </c>
      <c r="AC3170">
        <v>1.0354000000000101</v>
      </c>
      <c r="AD3170">
        <v>-1.095496547999</v>
      </c>
      <c r="AE3170">
        <v>-5.44599999999999</v>
      </c>
      <c r="AF3170">
        <v>3.3086451415082498</v>
      </c>
      <c r="AG3170">
        <v>-1.095496547999</v>
      </c>
      <c r="AH3170">
        <v>4.1853593192071301</v>
      </c>
      <c r="AI3170">
        <v>101.603474259439</v>
      </c>
      <c r="AJ3170">
        <v>51.672630302939801</v>
      </c>
      <c r="AK3170">
        <v>5.4465106251597399</v>
      </c>
      <c r="AL3170">
        <v>88.344427015885401</v>
      </c>
      <c r="AM3170">
        <v>76.912035020197905</v>
      </c>
      <c r="AN3170">
        <v>1.00000004070781</v>
      </c>
    </row>
    <row r="3171" spans="1:40" x14ac:dyDescent="0.25">
      <c r="A3171" t="str">
        <f>"20190312154617735"</f>
        <v>20190312154617735</v>
      </c>
      <c r="B3171" t="str">
        <f>"1552376777730871"</f>
        <v>1552376777730871</v>
      </c>
      <c r="C3171" t="s">
        <v>40</v>
      </c>
      <c r="D3171">
        <v>4.4798039999999997</v>
      </c>
      <c r="E3171">
        <v>0.67443069999999905</v>
      </c>
      <c r="F3171" t="s">
        <v>53</v>
      </c>
      <c r="G3171">
        <v>-194.53149999999999</v>
      </c>
      <c r="H3171" s="1">
        <v>5.5556970000000001E-6</v>
      </c>
      <c r="I3171">
        <v>203.1317</v>
      </c>
      <c r="J3171">
        <v>-195.47059999999999</v>
      </c>
      <c r="K3171">
        <v>1.0953889999999999</v>
      </c>
      <c r="L3171">
        <v>208.6465</v>
      </c>
      <c r="M3171">
        <v>0.74489780000000005</v>
      </c>
      <c r="N3171">
        <v>0</v>
      </c>
      <c r="O3171">
        <v>-0.666987</v>
      </c>
      <c r="P3171">
        <v>0.57456830000000003</v>
      </c>
      <c r="Q3171">
        <v>1.9901700000000001E-2</v>
      </c>
      <c r="R3171">
        <v>-0.81821529999999998</v>
      </c>
      <c r="S3171">
        <v>0.66012569999999904</v>
      </c>
      <c r="T3171">
        <v>-0.62098160000000002</v>
      </c>
      <c r="U3171">
        <v>-3.2477420000000001</v>
      </c>
      <c r="V3171">
        <v>0.22737209999999999</v>
      </c>
      <c r="W3171">
        <v>2.7680509999999998E-2</v>
      </c>
      <c r="X3171">
        <v>0.97341449999999996</v>
      </c>
      <c r="Y3171">
        <v>0.59640499999999996</v>
      </c>
      <c r="Z3171">
        <v>7.7820299999999995E-2</v>
      </c>
      <c r="AA3171">
        <v>0.79890249999999996</v>
      </c>
      <c r="AB3171">
        <v>32</v>
      </c>
      <c r="AC3171">
        <v>0.93909999999999605</v>
      </c>
      <c r="AD3171">
        <v>-1.0953834443029999</v>
      </c>
      <c r="AE3171">
        <v>-5.5148000000000001</v>
      </c>
      <c r="AF3171">
        <v>3.3534661915972799</v>
      </c>
      <c r="AG3171">
        <v>-1.0953834443029999</v>
      </c>
      <c r="AH3171">
        <v>4.2167216017035898</v>
      </c>
      <c r="AI3171">
        <v>101.492435270942</v>
      </c>
      <c r="AJ3171">
        <v>51.505539835247603</v>
      </c>
      <c r="AK3171">
        <v>5.4978488024419896</v>
      </c>
      <c r="AL3171">
        <v>88.413821056933301</v>
      </c>
      <c r="AM3171">
        <v>76.852466855166199</v>
      </c>
      <c r="AN3171">
        <v>1.00000003565125</v>
      </c>
    </row>
    <row r="3172" spans="1:40" x14ac:dyDescent="0.25">
      <c r="A3172" t="str">
        <f>"20190312154617758"</f>
        <v>20190312154617758</v>
      </c>
      <c r="B3172" t="str">
        <f>"1552376777750391"</f>
        <v>1552376777750391</v>
      </c>
      <c r="C3172" t="s">
        <v>40</v>
      </c>
      <c r="D3172">
        <v>4.4781240000000002</v>
      </c>
      <c r="E3172">
        <v>0.67341779999999996</v>
      </c>
      <c r="F3172" t="s">
        <v>53</v>
      </c>
      <c r="G3172">
        <v>-194.3981</v>
      </c>
      <c r="H3172" s="1">
        <v>5.6547119999999997E-6</v>
      </c>
      <c r="I3172">
        <v>202.86949999999999</v>
      </c>
      <c r="J3172">
        <v>-195.24170000000001</v>
      </c>
      <c r="K3172">
        <v>1.0952789999999999</v>
      </c>
      <c r="L3172">
        <v>208.4213</v>
      </c>
      <c r="M3172">
        <v>0.73347510000000005</v>
      </c>
      <c r="N3172">
        <v>0</v>
      </c>
      <c r="O3172">
        <v>-0.67952699999999999</v>
      </c>
      <c r="P3172">
        <v>0.55908369999999996</v>
      </c>
      <c r="Q3172">
        <v>1.9234279999999999E-2</v>
      </c>
      <c r="R3172">
        <v>-0.82888859999999998</v>
      </c>
      <c r="S3172">
        <v>0.60464479999999998</v>
      </c>
      <c r="T3172">
        <v>-0.6175524</v>
      </c>
      <c r="U3172">
        <v>-3.256958</v>
      </c>
      <c r="V3172">
        <v>0.2291559</v>
      </c>
      <c r="W3172">
        <v>2.6932149999999998E-2</v>
      </c>
      <c r="X3172">
        <v>0.97301709999999997</v>
      </c>
      <c r="Y3172">
        <v>0.59644469999999905</v>
      </c>
      <c r="Z3172">
        <v>8.0421119999999999E-2</v>
      </c>
      <c r="AA3172">
        <v>0.79861519999999897</v>
      </c>
      <c r="AB3172">
        <v>32</v>
      </c>
      <c r="AC3172">
        <v>0.84360000000000901</v>
      </c>
      <c r="AD3172">
        <v>-1.0952733452879999</v>
      </c>
      <c r="AE3172">
        <v>-5.5518000000000098</v>
      </c>
      <c r="AF3172">
        <v>3.37106607084525</v>
      </c>
      <c r="AG3172">
        <v>-1.0952733452879999</v>
      </c>
      <c r="AH3172">
        <v>4.2309680002704999</v>
      </c>
      <c r="AI3172">
        <v>101.445592549498</v>
      </c>
      <c r="AJ3172">
        <v>51.4535648264605</v>
      </c>
      <c r="AK3172">
        <v>5.5194927642144203</v>
      </c>
      <c r="AL3172">
        <v>88.456714899547705</v>
      </c>
      <c r="AM3172">
        <v>76.747724513887604</v>
      </c>
      <c r="AN3172">
        <v>1.0000000220504199</v>
      </c>
    </row>
    <row r="3173" spans="1:40" x14ac:dyDescent="0.25">
      <c r="A3173" t="str">
        <f>"20190312154617780"</f>
        <v>20190312154617780</v>
      </c>
      <c r="B3173" t="str">
        <f>"1552376777769910"</f>
        <v>1552376777769910</v>
      </c>
      <c r="C3173" t="s">
        <v>40</v>
      </c>
      <c r="D3173">
        <v>4.5062439999999997</v>
      </c>
      <c r="E3173">
        <v>0.67239640000000001</v>
      </c>
      <c r="F3173" t="s">
        <v>53</v>
      </c>
      <c r="G3173">
        <v>-194.26730000000001</v>
      </c>
      <c r="H3173" s="1">
        <v>5.7417660000000001E-6</v>
      </c>
      <c r="I3173">
        <v>202.65029999999999</v>
      </c>
      <c r="J3173">
        <v>-195.0189</v>
      </c>
      <c r="K3173">
        <v>1.095175</v>
      </c>
      <c r="L3173">
        <v>208.1943</v>
      </c>
      <c r="M3173">
        <v>0.72185100000000002</v>
      </c>
      <c r="N3173">
        <v>0</v>
      </c>
      <c r="O3173">
        <v>-0.69186150000000002</v>
      </c>
      <c r="P3173">
        <v>0.54297740000000005</v>
      </c>
      <c r="Q3173">
        <v>1.8480079999999999E-2</v>
      </c>
      <c r="R3173">
        <v>-0.83954409999999902</v>
      </c>
      <c r="S3173">
        <v>0.55079650000000002</v>
      </c>
      <c r="T3173">
        <v>-0.61912119999999904</v>
      </c>
      <c r="U3173">
        <v>-3.2621609999999999</v>
      </c>
      <c r="V3173">
        <v>0.23144010000000001</v>
      </c>
      <c r="W3173">
        <v>2.607748E-2</v>
      </c>
      <c r="X3173">
        <v>0.97249960000000002</v>
      </c>
      <c r="Y3173">
        <v>0.59593549999999995</v>
      </c>
      <c r="Z3173">
        <v>8.3741620000000003E-2</v>
      </c>
      <c r="AA3173">
        <v>0.79865410000000003</v>
      </c>
      <c r="AB3173">
        <v>31</v>
      </c>
      <c r="AC3173">
        <v>0.75159999999999605</v>
      </c>
      <c r="AD3173">
        <v>-1.095169258234</v>
      </c>
      <c r="AE3173">
        <v>-5.5440000000000103</v>
      </c>
      <c r="AF3173">
        <v>3.35387463050618</v>
      </c>
      <c r="AG3173">
        <v>-1.095169258234</v>
      </c>
      <c r="AH3173">
        <v>4.21719419883682</v>
      </c>
      <c r="AI3173">
        <v>101.48895235589799</v>
      </c>
      <c r="AJ3173">
        <v>51.505268582415297</v>
      </c>
      <c r="AK3173">
        <v>5.49841774077204</v>
      </c>
      <c r="AL3173">
        <v>88.505701080498696</v>
      </c>
      <c r="AM3173">
        <v>76.613491838126905</v>
      </c>
      <c r="AN3173">
        <v>1.0000000134256599</v>
      </c>
    </row>
    <row r="3174" spans="1:40" x14ac:dyDescent="0.25">
      <c r="A3174" t="str">
        <f>"20190312154617806"</f>
        <v>20190312154617806</v>
      </c>
      <c r="B3174" t="str">
        <f>"1552376777800167"</f>
        <v>1552376777800167</v>
      </c>
      <c r="C3174" t="s">
        <v>40</v>
      </c>
      <c r="D3174">
        <v>4.4956589999999998</v>
      </c>
      <c r="E3174">
        <v>0.67061979999999999</v>
      </c>
      <c r="F3174" t="s">
        <v>53</v>
      </c>
      <c r="G3174">
        <v>-194.14850000000001</v>
      </c>
      <c r="H3174" s="1">
        <v>5.8301019999999999E-6</v>
      </c>
      <c r="I3174">
        <v>202.4425</v>
      </c>
      <c r="J3174">
        <v>-194.77</v>
      </c>
      <c r="K3174">
        <v>1.095073</v>
      </c>
      <c r="L3174">
        <v>207.93119999999999</v>
      </c>
      <c r="M3174">
        <v>0.70824189999999998</v>
      </c>
      <c r="N3174">
        <v>0</v>
      </c>
      <c r="O3174">
        <v>-0.70578529999999995</v>
      </c>
      <c r="P3174">
        <v>0.52506149999999996</v>
      </c>
      <c r="Q3174">
        <v>1.9123560000000001E-2</v>
      </c>
      <c r="R3174">
        <v>-0.85084939999999998</v>
      </c>
      <c r="S3174">
        <v>0.49443049999999999</v>
      </c>
      <c r="T3174">
        <v>-0.62210580000000004</v>
      </c>
      <c r="U3174">
        <v>-3.2672880000000002</v>
      </c>
      <c r="V3174">
        <v>0.23313590000000001</v>
      </c>
      <c r="W3174">
        <v>2.664329E-2</v>
      </c>
      <c r="X3174">
        <v>0.97207909999999997</v>
      </c>
      <c r="Y3174">
        <v>0.59403790000000001</v>
      </c>
      <c r="Z3174">
        <v>8.7805090000000002E-2</v>
      </c>
      <c r="AA3174">
        <v>0.79963070000000003</v>
      </c>
      <c r="AB3174">
        <v>31</v>
      </c>
      <c r="AC3174">
        <v>0.62149999999999705</v>
      </c>
      <c r="AD3174">
        <v>-1.0950671698979999</v>
      </c>
      <c r="AE3174">
        <v>-5.4886999999999899</v>
      </c>
      <c r="AF3174">
        <v>3.3187010093975999</v>
      </c>
      <c r="AG3174">
        <v>-1.0950671698979999</v>
      </c>
      <c r="AH3174">
        <v>4.1514209396683199</v>
      </c>
      <c r="AI3174">
        <v>101.642163623442</v>
      </c>
      <c r="AJ3174">
        <v>51.360695701626902</v>
      </c>
      <c r="AK3174">
        <v>5.4265315178925899</v>
      </c>
      <c r="AL3174">
        <v>88.473271257717698</v>
      </c>
      <c r="AM3174">
        <v>76.513355957096607</v>
      </c>
      <c r="AN3174">
        <v>0.99999999471382195</v>
      </c>
    </row>
    <row r="3175" spans="1:40" x14ac:dyDescent="0.25">
      <c r="A3175" t="str">
        <f>"20190312154617828"</f>
        <v>20190312154617828</v>
      </c>
      <c r="B3175" t="str">
        <f>"1552376777820662"</f>
        <v>1552376777820662</v>
      </c>
      <c r="C3175" t="s">
        <v>40</v>
      </c>
      <c r="D3175">
        <v>4.5194049999999999</v>
      </c>
      <c r="E3175">
        <v>0.66925059999999903</v>
      </c>
      <c r="F3175" t="s">
        <v>53</v>
      </c>
      <c r="G3175">
        <v>-193.99170000000001</v>
      </c>
      <c r="H3175" s="1">
        <v>5.9903790000000003E-6</v>
      </c>
      <c r="I3175">
        <v>202.1071</v>
      </c>
      <c r="J3175">
        <v>-194.55260000000001</v>
      </c>
      <c r="K3175">
        <v>1.094992</v>
      </c>
      <c r="L3175">
        <v>207.69200000000001</v>
      </c>
      <c r="M3175">
        <v>0.69576629999999995</v>
      </c>
      <c r="N3175">
        <v>0</v>
      </c>
      <c r="O3175">
        <v>-0.71808609999999995</v>
      </c>
      <c r="P3175">
        <v>0.50970199999999999</v>
      </c>
      <c r="Q3175">
        <v>2.0247939999999999E-2</v>
      </c>
      <c r="R3175">
        <v>-0.86011280000000001</v>
      </c>
      <c r="S3175">
        <v>0.4370117</v>
      </c>
      <c r="T3175">
        <v>-0.61484069999999902</v>
      </c>
      <c r="U3175">
        <v>-3.2700040000000001</v>
      </c>
      <c r="V3175">
        <v>0.23358329999999999</v>
      </c>
      <c r="W3175">
        <v>2.7742940000000001E-2</v>
      </c>
      <c r="X3175">
        <v>0.9719409</v>
      </c>
      <c r="Y3175">
        <v>0.59389650000000005</v>
      </c>
      <c r="Z3175">
        <v>8.9957540000000003E-2</v>
      </c>
      <c r="AA3175">
        <v>0.79949650000000005</v>
      </c>
      <c r="AB3175">
        <v>31</v>
      </c>
      <c r="AC3175">
        <v>0.56090000000000295</v>
      </c>
      <c r="AD3175">
        <v>-1.094986009621</v>
      </c>
      <c r="AE3175">
        <v>-5.5849000000000002</v>
      </c>
      <c r="AF3175">
        <v>3.3557582965609498</v>
      </c>
      <c r="AG3175">
        <v>-1.094986009621</v>
      </c>
      <c r="AH3175">
        <v>4.2399142221745896</v>
      </c>
      <c r="AI3175">
        <v>101.44784810472299</v>
      </c>
      <c r="AJ3175">
        <v>51.6394970802423</v>
      </c>
      <c r="AK3175">
        <v>5.5169720606145702</v>
      </c>
      <c r="AL3175">
        <v>88.410242604378894</v>
      </c>
      <c r="AM3175">
        <v>76.486571702763797</v>
      </c>
      <c r="AN3175">
        <v>0.99999997092577098</v>
      </c>
    </row>
    <row r="3176" spans="1:40" x14ac:dyDescent="0.25">
      <c r="A3176" t="str">
        <f>"20190312154617869"</f>
        <v>20190312154617869</v>
      </c>
      <c r="B3176" t="str">
        <f>"1552376777860680"</f>
        <v>1552376777860680</v>
      </c>
      <c r="C3176" t="s">
        <v>40</v>
      </c>
      <c r="D3176">
        <v>4.49526</v>
      </c>
      <c r="E3176">
        <v>0.6517712</v>
      </c>
      <c r="F3176" t="s">
        <v>53</v>
      </c>
      <c r="G3176">
        <v>-193.857</v>
      </c>
      <c r="H3176" s="1">
        <v>6.129371E-6</v>
      </c>
      <c r="I3176">
        <v>201.8152</v>
      </c>
      <c r="J3176">
        <v>-194.16419999999999</v>
      </c>
      <c r="K3176">
        <v>1.094859</v>
      </c>
      <c r="L3176">
        <v>207.24279999999999</v>
      </c>
      <c r="M3176">
        <v>0.67207939999999999</v>
      </c>
      <c r="N3176">
        <v>0</v>
      </c>
      <c r="O3176">
        <v>-0.74030130000000005</v>
      </c>
      <c r="P3176">
        <v>0.48198999999999997</v>
      </c>
      <c r="Q3176">
        <v>2.1315980000000002E-2</v>
      </c>
      <c r="R3176">
        <v>-0.87591759999999996</v>
      </c>
      <c r="S3176">
        <v>0.38737490000000002</v>
      </c>
      <c r="T3176">
        <v>-0.60978409999999905</v>
      </c>
      <c r="U3176">
        <v>-3.2727050000000002</v>
      </c>
      <c r="V3176">
        <v>0.23307330000000001</v>
      </c>
      <c r="W3176">
        <v>2.8823499999999998E-2</v>
      </c>
      <c r="X3176">
        <v>0.97203189999999995</v>
      </c>
      <c r="Y3176">
        <v>0.57993859999999997</v>
      </c>
      <c r="Z3176">
        <v>9.5944929999999998E-2</v>
      </c>
      <c r="AA3176">
        <v>0.80899069999999995</v>
      </c>
      <c r="AB3176">
        <v>31</v>
      </c>
      <c r="AC3176">
        <v>0.30719999999999398</v>
      </c>
      <c r="AD3176">
        <v>-1.0948528706289999</v>
      </c>
      <c r="AE3176">
        <v>-5.4275999999999804</v>
      </c>
      <c r="AF3176">
        <v>3.2874655861542101</v>
      </c>
      <c r="AG3176">
        <v>-1.0948528706289999</v>
      </c>
      <c r="AH3176">
        <v>4.0603857165282102</v>
      </c>
      <c r="AI3176">
        <v>101.835962386498</v>
      </c>
      <c r="AJ3176">
        <v>51.004857538012203</v>
      </c>
      <c r="AK3176">
        <v>5.3378708260372099</v>
      </c>
      <c r="AL3176">
        <v>88.348306319264097</v>
      </c>
      <c r="AM3176">
        <v>76.516214246860201</v>
      </c>
      <c r="AN3176">
        <v>0.99999998597137396</v>
      </c>
    </row>
    <row r="3177" spans="1:40" x14ac:dyDescent="0.25">
      <c r="A3177" t="str">
        <f>"20190312154617891"</f>
        <v>20190312154617891</v>
      </c>
      <c r="B3177" t="str">
        <f>"1552376777880199"</f>
        <v>1552376777880199</v>
      </c>
      <c r="C3177" t="s">
        <v>40</v>
      </c>
      <c r="D3177">
        <v>4.5702780000000001</v>
      </c>
      <c r="E3177">
        <v>0.6512114</v>
      </c>
      <c r="F3177" t="s">
        <v>53</v>
      </c>
      <c r="G3177">
        <v>-193.40639999999999</v>
      </c>
      <c r="H3177" s="1">
        <v>6.4534720000000002E-6</v>
      </c>
      <c r="I3177">
        <v>201.23759999999999</v>
      </c>
      <c r="J3177">
        <v>-193.96100000000001</v>
      </c>
      <c r="K3177">
        <v>1.094803</v>
      </c>
      <c r="L3177">
        <v>206.99539999999999</v>
      </c>
      <c r="M3177">
        <v>0.65891330000000004</v>
      </c>
      <c r="N3177">
        <v>0</v>
      </c>
      <c r="O3177">
        <v>-0.75204309999999996</v>
      </c>
      <c r="P3177">
        <v>0.46742919999999999</v>
      </c>
      <c r="Q3177">
        <v>2.0590779999999999E-2</v>
      </c>
      <c r="R3177">
        <v>-0.88379089999999905</v>
      </c>
      <c r="S3177">
        <v>0.40582279999999998</v>
      </c>
      <c r="T3177">
        <v>-0.58631</v>
      </c>
      <c r="U3177">
        <v>-3.215881</v>
      </c>
      <c r="V3177">
        <v>0.23199910000000001</v>
      </c>
      <c r="W3177">
        <v>2.8140470000000001E-2</v>
      </c>
      <c r="X3177">
        <v>0.97230890000000003</v>
      </c>
      <c r="Y3177">
        <v>0.55935959999999996</v>
      </c>
      <c r="Z3177">
        <v>9.8295900000000005E-2</v>
      </c>
      <c r="AA3177">
        <v>0.82307640000000004</v>
      </c>
      <c r="AB3177">
        <v>31</v>
      </c>
      <c r="AC3177">
        <v>0.55459999999999299</v>
      </c>
      <c r="AD3177">
        <v>-1.0947965465279901</v>
      </c>
      <c r="AE3177">
        <v>-5.7577999999999996</v>
      </c>
      <c r="AF3177">
        <v>3.2604601111694702</v>
      </c>
      <c r="AG3177">
        <v>-1.0947965465279901</v>
      </c>
      <c r="AH3177">
        <v>4.5337621859813897</v>
      </c>
      <c r="AI3177">
        <v>101.09189334615</v>
      </c>
      <c r="AJ3177">
        <v>54.278157899530697</v>
      </c>
      <c r="AK3177">
        <v>5.69070990069355</v>
      </c>
      <c r="AL3177">
        <v>88.387457015460399</v>
      </c>
      <c r="AM3177">
        <v>76.5797907012591</v>
      </c>
      <c r="AN3177">
        <v>1.00000003273592</v>
      </c>
    </row>
    <row r="3178" spans="1:40" x14ac:dyDescent="0.25">
      <c r="A3178" t="str">
        <f>"20190312154617913"</f>
        <v>20190312154617913</v>
      </c>
      <c r="B3178" t="str">
        <f>"1552376777910455"</f>
        <v>1552376777910455</v>
      </c>
      <c r="C3178" t="s">
        <v>40</v>
      </c>
      <c r="D3178">
        <v>4.5097740000000002</v>
      </c>
      <c r="E3178">
        <v>0.64816359999999995</v>
      </c>
      <c r="F3178" t="s">
        <v>53</v>
      </c>
      <c r="G3178">
        <v>-193.26599999999999</v>
      </c>
      <c r="H3178" s="1">
        <v>6.6858179999999997E-6</v>
      </c>
      <c r="I3178">
        <v>200.68600000000001</v>
      </c>
      <c r="J3178">
        <v>-193.7679</v>
      </c>
      <c r="K3178">
        <v>1.094749</v>
      </c>
      <c r="L3178">
        <v>206.7517</v>
      </c>
      <c r="M3178">
        <v>0.64587819999999996</v>
      </c>
      <c r="N3178">
        <v>0</v>
      </c>
      <c r="O3178">
        <v>-0.76326669999999996</v>
      </c>
      <c r="P3178">
        <v>0.45342559999999899</v>
      </c>
      <c r="Q3178">
        <v>1.9728860000000001E-2</v>
      </c>
      <c r="R3178">
        <v>-0.89107590000000003</v>
      </c>
      <c r="S3178">
        <v>0.35469060000000002</v>
      </c>
      <c r="T3178">
        <v>-0.55871009999999999</v>
      </c>
      <c r="U3178">
        <v>-3.2198639999999998</v>
      </c>
      <c r="V3178">
        <v>0.2306001</v>
      </c>
      <c r="W3178">
        <v>2.7335399999999999E-2</v>
      </c>
      <c r="X3178">
        <v>0.97266459999999999</v>
      </c>
      <c r="Y3178">
        <v>0.55820719999999902</v>
      </c>
      <c r="Z3178">
        <v>9.6499189999999999E-2</v>
      </c>
      <c r="AA3178">
        <v>0.82407079999999999</v>
      </c>
      <c r="AB3178">
        <v>31</v>
      </c>
      <c r="AC3178">
        <v>0.50190000000000601</v>
      </c>
      <c r="AD3178">
        <v>-1.0947423141820001</v>
      </c>
      <c r="AE3178">
        <v>-6.0657000000000201</v>
      </c>
      <c r="AF3178">
        <v>3.42430626718195</v>
      </c>
      <c r="AG3178">
        <v>-1.0947423141820001</v>
      </c>
      <c r="AH3178">
        <v>4.7993041421255596</v>
      </c>
      <c r="AI3178">
        <v>100.519167894863</v>
      </c>
      <c r="AJ3178">
        <v>54.492120729518597</v>
      </c>
      <c r="AK3178">
        <v>5.9964701612319997</v>
      </c>
      <c r="AL3178">
        <v>88.433601874850396</v>
      </c>
      <c r="AM3178">
        <v>76.662519722177706</v>
      </c>
      <c r="AN3178">
        <v>1.0000000271531599</v>
      </c>
    </row>
    <row r="3179" spans="1:40" x14ac:dyDescent="0.25">
      <c r="A3179" t="str">
        <f>"20190312154617936"</f>
        <v>20190312154617936</v>
      </c>
      <c r="B3179" t="str">
        <f>"1552376777929975"</f>
        <v>1552376777929975</v>
      </c>
      <c r="C3179" t="s">
        <v>40</v>
      </c>
      <c r="D3179">
        <v>4.5674910000000004</v>
      </c>
      <c r="E3179">
        <v>0.64712950000000002</v>
      </c>
      <c r="F3179" t="s">
        <v>53</v>
      </c>
      <c r="G3179">
        <v>-193.12860000000001</v>
      </c>
      <c r="H3179" s="1">
        <v>6.8215239999999996E-6</v>
      </c>
      <c r="I3179">
        <v>200.40549999999999</v>
      </c>
      <c r="J3179">
        <v>-193.571</v>
      </c>
      <c r="K3179">
        <v>1.0947089999999999</v>
      </c>
      <c r="L3179">
        <v>206.494</v>
      </c>
      <c r="M3179">
        <v>0.63202999999999998</v>
      </c>
      <c r="N3179">
        <v>0</v>
      </c>
      <c r="O3179">
        <v>-0.77477240000000003</v>
      </c>
      <c r="P3179">
        <v>0.43852619999999998</v>
      </c>
      <c r="Q3179">
        <v>1.9539839999999999E-2</v>
      </c>
      <c r="R3179">
        <v>-0.89850659999999904</v>
      </c>
      <c r="S3179">
        <v>0.32379150000000001</v>
      </c>
      <c r="T3179">
        <v>-0.55447029999999997</v>
      </c>
      <c r="U3179">
        <v>-3.2142330000000001</v>
      </c>
      <c r="V3179">
        <v>0.22928009999999999</v>
      </c>
      <c r="W3179">
        <v>2.7203370000000001E-2</v>
      </c>
      <c r="X3179">
        <v>0.97298030000000002</v>
      </c>
      <c r="Y3179">
        <v>0.55101250000000002</v>
      </c>
      <c r="Z3179">
        <v>9.9198620000000001E-2</v>
      </c>
      <c r="AA3179">
        <v>0.82858009999999904</v>
      </c>
      <c r="AB3179">
        <v>31</v>
      </c>
      <c r="AC3179">
        <v>0.44239999999999202</v>
      </c>
      <c r="AD3179">
        <v>-1.094702178476</v>
      </c>
      <c r="AE3179">
        <v>-6.0885000000000398</v>
      </c>
      <c r="AF3179">
        <v>3.3965947752082299</v>
      </c>
      <c r="AG3179">
        <v>-1.094702178476</v>
      </c>
      <c r="AH3179">
        <v>4.8417758774400701</v>
      </c>
      <c r="AI3179">
        <v>100.486329144286</v>
      </c>
      <c r="AJ3179">
        <v>54.949634307903601</v>
      </c>
      <c r="AK3179">
        <v>6.0148169193993404</v>
      </c>
      <c r="AL3179">
        <v>88.441169448673804</v>
      </c>
      <c r="AM3179">
        <v>76.740311789512006</v>
      </c>
      <c r="AN3179">
        <v>1.0000000258917201</v>
      </c>
    </row>
    <row r="3180" spans="1:40" x14ac:dyDescent="0.25">
      <c r="A3180" t="str">
        <f>"20190312154617959"</f>
        <v>20190312154617959</v>
      </c>
      <c r="B3180" t="str">
        <f>"1552376777950471"</f>
        <v>1552376777950471</v>
      </c>
      <c r="C3180" t="s">
        <v>40</v>
      </c>
      <c r="D3180">
        <v>4.4672989999999997</v>
      </c>
      <c r="E3180">
        <v>0.64945609999999998</v>
      </c>
      <c r="F3180" t="s">
        <v>53</v>
      </c>
      <c r="G3180">
        <v>-193.02879999999999</v>
      </c>
      <c r="H3180" s="1">
        <v>6.9204400000000001E-6</v>
      </c>
      <c r="I3180">
        <v>200.20079999999999</v>
      </c>
      <c r="J3180">
        <v>-193.38149999999999</v>
      </c>
      <c r="K3180">
        <v>1.094687</v>
      </c>
      <c r="L3180">
        <v>206.23670000000001</v>
      </c>
      <c r="M3180">
        <v>0.6181468</v>
      </c>
      <c r="N3180">
        <v>0</v>
      </c>
      <c r="O3180">
        <v>-0.78589310000000001</v>
      </c>
      <c r="P3180">
        <v>0.42303580000000002</v>
      </c>
      <c r="Q3180">
        <v>2.026702E-2</v>
      </c>
      <c r="R3180">
        <v>-0.90588650000000004</v>
      </c>
      <c r="S3180">
        <v>0.27705380000000002</v>
      </c>
      <c r="T3180">
        <v>-0.55939689999999997</v>
      </c>
      <c r="U3180">
        <v>-3.2158199999999999</v>
      </c>
      <c r="V3180">
        <v>0.2286938</v>
      </c>
      <c r="W3180">
        <v>2.795982E-2</v>
      </c>
      <c r="X3180">
        <v>0.97309679999999998</v>
      </c>
      <c r="Y3180">
        <v>0.54819399999999996</v>
      </c>
      <c r="Z3180">
        <v>0.1029388</v>
      </c>
      <c r="AA3180">
        <v>0.82999219999999896</v>
      </c>
      <c r="AB3180">
        <v>31</v>
      </c>
      <c r="AC3180">
        <v>0.35269999999999802</v>
      </c>
      <c r="AD3180">
        <v>-1.09468007956</v>
      </c>
      <c r="AE3180">
        <v>-6.0359000000000202</v>
      </c>
      <c r="AF3180">
        <v>3.3447084119295099</v>
      </c>
      <c r="AG3180">
        <v>-1.09468007956</v>
      </c>
      <c r="AH3180">
        <v>4.8047537695677702</v>
      </c>
      <c r="AI3180">
        <v>100.591292268084</v>
      </c>
      <c r="AJ3180">
        <v>55.1572651756805</v>
      </c>
      <c r="AK3180">
        <v>5.9557583583951201</v>
      </c>
      <c r="AL3180">
        <v>88.3978115098556</v>
      </c>
      <c r="AM3180">
        <v>76.774553135633695</v>
      </c>
      <c r="AN3180">
        <v>0.99999999393155603</v>
      </c>
    </row>
    <row r="3181" spans="1:40" x14ac:dyDescent="0.25">
      <c r="A3181" t="str">
        <f>"20190312154617981"</f>
        <v>20190312154617981</v>
      </c>
      <c r="B3181" t="str">
        <f>"1552376777969991"</f>
        <v>1552376777969991</v>
      </c>
      <c r="C3181" t="s">
        <v>40</v>
      </c>
      <c r="D3181">
        <v>4.4672039999999997</v>
      </c>
      <c r="E3181">
        <v>0.67448909999999995</v>
      </c>
      <c r="F3181" t="s">
        <v>53</v>
      </c>
      <c r="G3181">
        <v>-192.97649999999999</v>
      </c>
      <c r="H3181" s="1">
        <v>7.0441720000000003E-6</v>
      </c>
      <c r="I3181">
        <v>199.89009999999999</v>
      </c>
      <c r="J3181">
        <v>-193.1977</v>
      </c>
      <c r="K3181">
        <v>1.094678</v>
      </c>
      <c r="L3181">
        <v>205.97749999999999</v>
      </c>
      <c r="M3181">
        <v>0.60410980000000003</v>
      </c>
      <c r="N3181">
        <v>0</v>
      </c>
      <c r="O3181">
        <v>-0.79673329999999998</v>
      </c>
      <c r="P3181">
        <v>0.40693289999999999</v>
      </c>
      <c r="Q3181">
        <v>2.0977530000000001E-2</v>
      </c>
      <c r="R3181">
        <v>-0.91321739999999996</v>
      </c>
      <c r="S3181">
        <v>0.20597840000000001</v>
      </c>
      <c r="T3181">
        <v>-0.55676340000000002</v>
      </c>
      <c r="U3181">
        <v>-3.2279209999999998</v>
      </c>
      <c r="V3181">
        <v>0.22867770000000001</v>
      </c>
      <c r="W3181">
        <v>2.867813E-2</v>
      </c>
      <c r="X3181">
        <v>0.97307969999999999</v>
      </c>
      <c r="Y3181">
        <v>0.55182189999999998</v>
      </c>
      <c r="Z3181">
        <v>0.1045543</v>
      </c>
      <c r="AA3181">
        <v>0.82738199999999995</v>
      </c>
      <c r="AB3181">
        <v>31</v>
      </c>
      <c r="AC3181">
        <v>0.22120000000001</v>
      </c>
      <c r="AD3181">
        <v>-1.0946709558279999</v>
      </c>
      <c r="AE3181">
        <v>-6.0873999999999997</v>
      </c>
      <c r="AF3181">
        <v>3.3921408282494601</v>
      </c>
      <c r="AG3181">
        <v>-1.0946709558279999</v>
      </c>
      <c r="AH3181">
        <v>4.8283984348076103</v>
      </c>
      <c r="AI3181">
        <v>100.509506557978</v>
      </c>
      <c r="AJ3181">
        <v>54.910441851478403</v>
      </c>
      <c r="AK3181">
        <v>6.0015294171954903</v>
      </c>
      <c r="AL3181">
        <v>88.356638897655998</v>
      </c>
      <c r="AM3181">
        <v>76.775227256664394</v>
      </c>
      <c r="AN3181">
        <v>1.00000001408483</v>
      </c>
    </row>
    <row r="3182" spans="1:40" x14ac:dyDescent="0.25">
      <c r="A3182" t="str">
        <f>"20190312154618027"</f>
        <v>20190312154618027</v>
      </c>
      <c r="B3182" t="str">
        <f>"1552376778020743"</f>
        <v>1552376778020743</v>
      </c>
      <c r="C3182" t="s">
        <v>40</v>
      </c>
      <c r="D3182">
        <v>4.4667159999999999</v>
      </c>
      <c r="E3182">
        <v>0.67340900000000004</v>
      </c>
      <c r="F3182" t="s">
        <v>42</v>
      </c>
      <c r="G3182">
        <v>-193.27860000000001</v>
      </c>
      <c r="H3182" s="1">
        <v>-4.4740120000000002E-6</v>
      </c>
      <c r="I3182">
        <v>198.42490000000001</v>
      </c>
      <c r="J3182">
        <v>-192.84059999999999</v>
      </c>
      <c r="K3182">
        <v>1.0946659999999999</v>
      </c>
      <c r="L3182">
        <v>205.4434</v>
      </c>
      <c r="M3182">
        <v>0.57506429999999997</v>
      </c>
      <c r="N3182">
        <v>0</v>
      </c>
      <c r="O3182">
        <v>-0.81794449999999996</v>
      </c>
      <c r="P3182">
        <v>0.3735657</v>
      </c>
      <c r="Q3182">
        <v>2.0988619999999999E-2</v>
      </c>
      <c r="R3182">
        <v>-0.92736640000000004</v>
      </c>
      <c r="S3182">
        <v>-3.5461430000000002E-2</v>
      </c>
      <c r="T3182">
        <v>-0.48003240000000003</v>
      </c>
      <c r="U3182">
        <v>-3.3119200000000002</v>
      </c>
      <c r="V3182">
        <v>0.22895280000000001</v>
      </c>
      <c r="W3182">
        <v>2.8694339999999999E-2</v>
      </c>
      <c r="X3182">
        <v>0.9730145</v>
      </c>
      <c r="Y3182">
        <v>0.58319709999999902</v>
      </c>
      <c r="Z3182">
        <v>9.0905250000000007E-2</v>
      </c>
      <c r="AA3182">
        <v>0.80722819999999995</v>
      </c>
      <c r="AB3182">
        <v>31</v>
      </c>
      <c r="AC3182">
        <v>-0.43800000000001599</v>
      </c>
      <c r="AD3182">
        <v>-1.0946704740119999</v>
      </c>
      <c r="AE3182">
        <v>-7.01849999999998</v>
      </c>
      <c r="AF3182">
        <v>4.2909583990303597</v>
      </c>
      <c r="AG3182">
        <v>-1.0946704740119999</v>
      </c>
      <c r="AH3182">
        <v>5.3597234736147499</v>
      </c>
      <c r="AI3182">
        <v>99.058909885425294</v>
      </c>
      <c r="AJ3182">
        <v>51.319471926784999</v>
      </c>
      <c r="AK3182">
        <v>6.9525004956849799</v>
      </c>
      <c r="AL3182">
        <v>88.355709700391401</v>
      </c>
      <c r="AM3182">
        <v>76.759021903889206</v>
      </c>
      <c r="AN3182">
        <v>0.99999998349306196</v>
      </c>
    </row>
    <row r="3183" spans="1:40" x14ac:dyDescent="0.25">
      <c r="A3183" t="str">
        <f>"20190312154618051"</f>
        <v>20190312154618051</v>
      </c>
      <c r="B3183" t="str">
        <f>"1552376778040263"</f>
        <v>1552376778040263</v>
      </c>
      <c r="C3183" t="s">
        <v>40</v>
      </c>
      <c r="D3183">
        <v>4.4774330000000004</v>
      </c>
      <c r="E3183">
        <v>0.67110579999999997</v>
      </c>
      <c r="F3183" t="s">
        <v>42</v>
      </c>
      <c r="G3183">
        <v>-193.1782</v>
      </c>
      <c r="H3183" s="1">
        <v>-4.259162E-6</v>
      </c>
      <c r="I3183">
        <v>197.8459</v>
      </c>
      <c r="J3183">
        <v>-192.65819999999999</v>
      </c>
      <c r="K3183">
        <v>1.0946610000000001</v>
      </c>
      <c r="L3183">
        <v>205.15289999999999</v>
      </c>
      <c r="M3183">
        <v>0.55920649999999905</v>
      </c>
      <c r="N3183">
        <v>0</v>
      </c>
      <c r="O3183">
        <v>-0.82886649999999995</v>
      </c>
      <c r="P3183">
        <v>0.35535369999999999</v>
      </c>
      <c r="Q3183">
        <v>2.0478440000000001E-2</v>
      </c>
      <c r="R3183">
        <v>-0.93450789999999995</v>
      </c>
      <c r="S3183">
        <v>-0.14682010000000001</v>
      </c>
      <c r="T3183">
        <v>-0.47617949999999998</v>
      </c>
      <c r="U3183">
        <v>-3.3049010000000001</v>
      </c>
      <c r="V3183">
        <v>0.2292371</v>
      </c>
      <c r="W3183">
        <v>2.8181930000000001E-2</v>
      </c>
      <c r="X3183">
        <v>0.97296260000000001</v>
      </c>
      <c r="Y3183">
        <v>0.59468880000000002</v>
      </c>
      <c r="Z3183">
        <v>9.1942380000000004E-2</v>
      </c>
      <c r="AA3183">
        <v>0.79868130000000004</v>
      </c>
      <c r="AB3183">
        <v>31</v>
      </c>
      <c r="AC3183">
        <v>-0.52000000000001001</v>
      </c>
      <c r="AD3183">
        <v>-1.0946652591620001</v>
      </c>
      <c r="AE3183">
        <v>-7.30699999999998</v>
      </c>
      <c r="AF3183">
        <v>4.4190607863540299</v>
      </c>
      <c r="AG3183">
        <v>-1.0946652591620001</v>
      </c>
      <c r="AH3183">
        <v>5.6405598629859197</v>
      </c>
      <c r="AI3183">
        <v>98.685886583835</v>
      </c>
      <c r="AJ3183">
        <v>51.9233013643085</v>
      </c>
      <c r="AK3183">
        <v>7.2486071648997497</v>
      </c>
      <c r="AL3183">
        <v>88.385080609983902</v>
      </c>
      <c r="AM3183">
        <v>76.742478079710295</v>
      </c>
      <c r="AN3183">
        <v>1.00000004509684</v>
      </c>
    </row>
    <row r="3184" spans="1:40" x14ac:dyDescent="0.25">
      <c r="A3184" t="str">
        <f>"20190312154618071"</f>
        <v>20190312154618071</v>
      </c>
      <c r="B3184" t="str">
        <f>"1552376778060758"</f>
        <v>1552376778060758</v>
      </c>
      <c r="C3184" t="s">
        <v>40</v>
      </c>
      <c r="D3184">
        <v>4.4982699999999998</v>
      </c>
      <c r="E3184">
        <v>0.67026019999999997</v>
      </c>
      <c r="F3184" t="s">
        <v>42</v>
      </c>
      <c r="G3184">
        <v>-193.0975</v>
      </c>
      <c r="H3184" s="1">
        <v>-4.1970179999999999E-6</v>
      </c>
      <c r="I3184">
        <v>197.70529999999999</v>
      </c>
      <c r="J3184">
        <v>-192.5085</v>
      </c>
      <c r="K3184">
        <v>1.0946610000000001</v>
      </c>
      <c r="L3184">
        <v>204.90530000000001</v>
      </c>
      <c r="M3184">
        <v>0.54565859999999899</v>
      </c>
      <c r="N3184">
        <v>0</v>
      </c>
      <c r="O3184">
        <v>-0.83784749999999997</v>
      </c>
      <c r="P3184">
        <v>0.3404239</v>
      </c>
      <c r="Q3184">
        <v>2.0256929999999999E-2</v>
      </c>
      <c r="R3184">
        <v>-0.94005419999999995</v>
      </c>
      <c r="S3184">
        <v>-0.19438169999999999</v>
      </c>
      <c r="T3184">
        <v>-0.48427680000000001</v>
      </c>
      <c r="U3184">
        <v>-3.2947850000000001</v>
      </c>
      <c r="V3184">
        <v>0.22891259999999999</v>
      </c>
      <c r="W3184">
        <v>2.7982699999999999E-2</v>
      </c>
      <c r="X3184">
        <v>0.97304469999999998</v>
      </c>
      <c r="Y3184">
        <v>0.59320819999999996</v>
      </c>
      <c r="Z3184">
        <v>9.5716120000000002E-2</v>
      </c>
      <c r="AA3184">
        <v>0.79933880000000002</v>
      </c>
      <c r="AB3184">
        <v>31</v>
      </c>
      <c r="AC3184">
        <v>-0.58899999999999797</v>
      </c>
      <c r="AD3184">
        <v>-1.0946651970179999</v>
      </c>
      <c r="AE3184">
        <v>-7.2000000000000099</v>
      </c>
      <c r="AF3184">
        <v>4.3235519722877997</v>
      </c>
      <c r="AG3184">
        <v>-1.0946651970179999</v>
      </c>
      <c r="AH3184">
        <v>5.5836657224076696</v>
      </c>
      <c r="AI3184">
        <v>98.811293732037498</v>
      </c>
      <c r="AJ3184">
        <v>52.248614035501198</v>
      </c>
      <c r="AK3184">
        <v>7.1462379228672903</v>
      </c>
      <c r="AL3184">
        <v>88.396500077520599</v>
      </c>
      <c r="AM3184">
        <v>76.761661323289204</v>
      </c>
      <c r="AN3184">
        <v>0.99999999906807002</v>
      </c>
    </row>
    <row r="3185" spans="1:40" x14ac:dyDescent="0.25">
      <c r="A3185" t="str">
        <f>"20190312154618092"</f>
        <v>20190312154618092</v>
      </c>
      <c r="B3185" t="str">
        <f>"1552376778080279"</f>
        <v>1552376778080279</v>
      </c>
      <c r="C3185" t="s">
        <v>40</v>
      </c>
      <c r="D3185">
        <v>4.4964149999999998</v>
      </c>
      <c r="E3185">
        <v>0.66836450000000003</v>
      </c>
      <c r="F3185" t="s">
        <v>42</v>
      </c>
      <c r="G3185">
        <v>-193.0558</v>
      </c>
      <c r="H3185" s="1">
        <v>-4.0975400000000004E-6</v>
      </c>
      <c r="I3185">
        <v>197.4348</v>
      </c>
      <c r="J3185">
        <v>-192.3545</v>
      </c>
      <c r="K3185">
        <v>1.0946629999999999</v>
      </c>
      <c r="L3185">
        <v>204.6404</v>
      </c>
      <c r="M3185">
        <v>0.53112950000000003</v>
      </c>
      <c r="N3185">
        <v>0</v>
      </c>
      <c r="O3185">
        <v>-0.84713209999999906</v>
      </c>
      <c r="P3185">
        <v>0.32480769999999998</v>
      </c>
      <c r="Q3185">
        <v>1.9678109999999999E-2</v>
      </c>
      <c r="R3185">
        <v>-0.94557570000000002</v>
      </c>
      <c r="S3185">
        <v>-0.240921</v>
      </c>
      <c r="T3185">
        <v>-0.48192889999999999</v>
      </c>
      <c r="U3185">
        <v>-3.2889249999999999</v>
      </c>
      <c r="V3185">
        <v>0.22823470000000001</v>
      </c>
      <c r="W3185">
        <v>2.7439789999999999E-2</v>
      </c>
      <c r="X3185">
        <v>0.97321939999999996</v>
      </c>
      <c r="Y3185">
        <v>0.59069439999999995</v>
      </c>
      <c r="Z3185">
        <v>9.7498660000000001E-2</v>
      </c>
      <c r="AA3185">
        <v>0.80098329999999995</v>
      </c>
      <c r="AB3185">
        <v>31</v>
      </c>
      <c r="AC3185">
        <v>-0.70130000000000303</v>
      </c>
      <c r="AD3185">
        <v>-1.0946670975399999</v>
      </c>
      <c r="AE3185">
        <v>-7.2055999999999996</v>
      </c>
      <c r="AF3185">
        <v>4.3229595495772699</v>
      </c>
      <c r="AG3185">
        <v>-1.0946670975399999</v>
      </c>
      <c r="AH3185">
        <v>5.6042550904084303</v>
      </c>
      <c r="AI3185">
        <v>98.791788826478907</v>
      </c>
      <c r="AJ3185">
        <v>52.354449319932499</v>
      </c>
      <c r="AK3185">
        <v>7.1619795057013897</v>
      </c>
      <c r="AL3185">
        <v>88.427618497895196</v>
      </c>
      <c r="AM3185">
        <v>76.801777295305797</v>
      </c>
      <c r="AN3185">
        <v>1.0000000104478399</v>
      </c>
    </row>
    <row r="3186" spans="1:40" x14ac:dyDescent="0.25">
      <c r="A3186" t="str">
        <f>"20190312154618115"</f>
        <v>20190312154618115</v>
      </c>
      <c r="B3186" t="str">
        <f>"1552376778110535"</f>
        <v>1552376778110535</v>
      </c>
      <c r="C3186" t="s">
        <v>40</v>
      </c>
      <c r="D3186">
        <v>4.5810190000000004</v>
      </c>
      <c r="E3186">
        <v>0.64960469999999904</v>
      </c>
      <c r="F3186" t="s">
        <v>42</v>
      </c>
      <c r="G3186">
        <v>-192.99950000000001</v>
      </c>
      <c r="H3186" s="1">
        <v>-3.9825859999999998E-6</v>
      </c>
      <c r="I3186">
        <v>197.12629999999999</v>
      </c>
      <c r="J3186">
        <v>-192.20099999999999</v>
      </c>
      <c r="K3186">
        <v>1.09467</v>
      </c>
      <c r="L3186">
        <v>204.36539999999999</v>
      </c>
      <c r="M3186">
        <v>0.51602230000000004</v>
      </c>
      <c r="N3186">
        <v>0</v>
      </c>
      <c r="O3186">
        <v>-0.85641829999999997</v>
      </c>
      <c r="P3186">
        <v>0.3084674</v>
      </c>
      <c r="Q3186">
        <v>1.9479880000000001E-2</v>
      </c>
      <c r="R3186">
        <v>-0.95103579999999999</v>
      </c>
      <c r="S3186">
        <v>-0.28149410000000002</v>
      </c>
      <c r="T3186">
        <v>-0.47774060000000002</v>
      </c>
      <c r="U3186">
        <v>-3.279312</v>
      </c>
      <c r="V3186">
        <v>0.22773779999999999</v>
      </c>
      <c r="W3186">
        <v>2.7271529999999999E-2</v>
      </c>
      <c r="X3186">
        <v>0.97334050000000005</v>
      </c>
      <c r="Y3186">
        <v>0.58642819999999996</v>
      </c>
      <c r="Z3186">
        <v>9.9103849999999993E-2</v>
      </c>
      <c r="AA3186">
        <v>0.80391569999999901</v>
      </c>
      <c r="AB3186">
        <v>31</v>
      </c>
      <c r="AC3186">
        <v>-0.79850000000001797</v>
      </c>
      <c r="AD3186">
        <v>-1.0946739825859999</v>
      </c>
      <c r="AE3186">
        <v>-7.2390999999999996</v>
      </c>
      <c r="AF3186">
        <v>4.3223321733097197</v>
      </c>
      <c r="AG3186">
        <v>-1.0946739825859999</v>
      </c>
      <c r="AH3186">
        <v>5.6605503086705502</v>
      </c>
      <c r="AI3186">
        <v>98.7380318742767</v>
      </c>
      <c r="AJ3186">
        <v>52.6350561316723</v>
      </c>
      <c r="AK3186">
        <v>7.2057405130610404</v>
      </c>
      <c r="AL3186">
        <v>88.437262655749805</v>
      </c>
      <c r="AM3186">
        <v>76.831090665680193</v>
      </c>
      <c r="AN3186">
        <v>0.99999998541881496</v>
      </c>
    </row>
    <row r="3187" spans="1:40" x14ac:dyDescent="0.25">
      <c r="A3187" t="str">
        <f>"20190312154618137"</f>
        <v>20190312154618137</v>
      </c>
      <c r="B3187" t="str">
        <f>"1552376778130055"</f>
        <v>1552376778130055</v>
      </c>
      <c r="C3187" t="s">
        <v>40</v>
      </c>
      <c r="D3187">
        <v>4.5937590000000004</v>
      </c>
      <c r="E3187">
        <v>0.64807599999999999</v>
      </c>
      <c r="F3187" t="s">
        <v>42</v>
      </c>
      <c r="G3187">
        <v>-192.6069</v>
      </c>
      <c r="H3187" s="1">
        <v>-4.0883329999999997E-6</v>
      </c>
      <c r="I3187">
        <v>197.64169999999999</v>
      </c>
      <c r="J3187">
        <v>-192.05189999999999</v>
      </c>
      <c r="K3187">
        <v>1.094684</v>
      </c>
      <c r="L3187">
        <v>204.08690000000001</v>
      </c>
      <c r="M3187">
        <v>0.50068690000000005</v>
      </c>
      <c r="N3187">
        <v>0</v>
      </c>
      <c r="O3187">
        <v>-0.8654733</v>
      </c>
      <c r="P3187">
        <v>0.29222359999999997</v>
      </c>
      <c r="Q3187">
        <v>1.932507E-2</v>
      </c>
      <c r="R3187">
        <v>-0.95615510000000004</v>
      </c>
      <c r="S3187">
        <v>-0.1949158</v>
      </c>
      <c r="T3187">
        <v>-0.52561469999999999</v>
      </c>
      <c r="U3187">
        <v>-3.2284389999999998</v>
      </c>
      <c r="V3187">
        <v>0.2269757</v>
      </c>
      <c r="W3187">
        <v>2.7157609999999999E-2</v>
      </c>
      <c r="X3187">
        <v>0.97352169999999905</v>
      </c>
      <c r="Y3187">
        <v>0.55097830000000003</v>
      </c>
      <c r="Z3187">
        <v>0.11484</v>
      </c>
      <c r="AA3187">
        <v>0.82658009999999904</v>
      </c>
      <c r="AB3187">
        <v>31</v>
      </c>
      <c r="AC3187">
        <v>-0.55500000000000604</v>
      </c>
      <c r="AD3187">
        <v>-1.0946880883329999</v>
      </c>
      <c r="AE3187">
        <v>-6.4452000000000202</v>
      </c>
      <c r="AF3187">
        <v>3.6046433534864599</v>
      </c>
      <c r="AG3187">
        <v>-1.0946880883329999</v>
      </c>
      <c r="AH3187">
        <v>5.1534105235974899</v>
      </c>
      <c r="AI3187">
        <v>99.874250660644194</v>
      </c>
      <c r="AJ3187">
        <v>55.028460106823402</v>
      </c>
      <c r="AK3187">
        <v>6.3835284710963496</v>
      </c>
      <c r="AL3187">
        <v>88.443792235731607</v>
      </c>
      <c r="AM3187">
        <v>76.875989320617094</v>
      </c>
      <c r="AN3187">
        <v>1.0000000022711399</v>
      </c>
    </row>
    <row r="3188" spans="1:40" x14ac:dyDescent="0.25">
      <c r="A3188" t="str">
        <f>"20190312154618159"</f>
        <v>20190312154618159</v>
      </c>
      <c r="B3188" t="str">
        <f>"1552376778150119"</f>
        <v>1552376778150119</v>
      </c>
      <c r="C3188" t="s">
        <v>40</v>
      </c>
      <c r="D3188">
        <v>4.5881860000000003</v>
      </c>
      <c r="E3188">
        <v>0.64733390000000002</v>
      </c>
      <c r="F3188" t="s">
        <v>42</v>
      </c>
      <c r="G3188">
        <v>-192.54069999999999</v>
      </c>
      <c r="H3188" s="1">
        <v>-4.0216669999999997E-6</v>
      </c>
      <c r="I3188">
        <v>197.4803</v>
      </c>
      <c r="J3188">
        <v>-191.91079999999999</v>
      </c>
      <c r="K3188">
        <v>1.094706</v>
      </c>
      <c r="L3188">
        <v>203.8115</v>
      </c>
      <c r="M3188">
        <v>0.48550169999999998</v>
      </c>
      <c r="N3188">
        <v>0</v>
      </c>
      <c r="O3188">
        <v>-0.87408189999999997</v>
      </c>
      <c r="P3188">
        <v>0.27648739999999999</v>
      </c>
      <c r="Q3188">
        <v>1.957101E-2</v>
      </c>
      <c r="R3188">
        <v>-0.96081859999999997</v>
      </c>
      <c r="S3188">
        <v>-0.23834230000000001</v>
      </c>
      <c r="T3188">
        <v>-0.53374100000000002</v>
      </c>
      <c r="U3188">
        <v>-3.2211910000000001</v>
      </c>
      <c r="V3188">
        <v>0.22596820000000001</v>
      </c>
      <c r="W3188">
        <v>2.745504E-2</v>
      </c>
      <c r="X3188">
        <v>0.97374769999999999</v>
      </c>
      <c r="Y3188">
        <v>0.54759169999999902</v>
      </c>
      <c r="Z3188">
        <v>0.1190368</v>
      </c>
      <c r="AA3188">
        <v>0.82823519999999995</v>
      </c>
      <c r="AB3188">
        <v>31</v>
      </c>
      <c r="AC3188">
        <v>-0.62989999999999202</v>
      </c>
      <c r="AD3188">
        <v>-1.094710021667</v>
      </c>
      <c r="AE3188">
        <v>-6.3311999999999902</v>
      </c>
      <c r="AF3188">
        <v>3.52065501972268</v>
      </c>
      <c r="AG3188">
        <v>-1.094710021667</v>
      </c>
      <c r="AH3188">
        <v>5.0785288852346397</v>
      </c>
      <c r="AI3188">
        <v>100.045799576715</v>
      </c>
      <c r="AJ3188">
        <v>55.268632837483899</v>
      </c>
      <c r="AK3188">
        <v>6.2757356092811296</v>
      </c>
      <c r="AL3188">
        <v>88.426744383554606</v>
      </c>
      <c r="AM3188">
        <v>76.935169557719703</v>
      </c>
      <c r="AN3188">
        <v>0.99999999494396496</v>
      </c>
    </row>
    <row r="3189" spans="1:40" x14ac:dyDescent="0.25">
      <c r="A3189" t="str">
        <f>"20190312154618182"</f>
        <v>20190312154618182</v>
      </c>
      <c r="B3189" t="str">
        <f>"1552376778170616"</f>
        <v>1552376778170616</v>
      </c>
      <c r="C3189" t="s">
        <v>40</v>
      </c>
      <c r="D3189">
        <v>4.5917479999999999</v>
      </c>
      <c r="E3189">
        <v>0.63891119999999901</v>
      </c>
      <c r="F3189" t="s">
        <v>42</v>
      </c>
      <c r="G3189">
        <v>-192.4939</v>
      </c>
      <c r="H3189" s="1">
        <v>-3.932107E-6</v>
      </c>
      <c r="I3189">
        <v>197.2415</v>
      </c>
      <c r="J3189">
        <v>-191.7713</v>
      </c>
      <c r="K3189">
        <v>1.0947209999999901</v>
      </c>
      <c r="L3189">
        <v>203.5273</v>
      </c>
      <c r="M3189">
        <v>0.46979779999999999</v>
      </c>
      <c r="N3189">
        <v>0</v>
      </c>
      <c r="O3189">
        <v>-0.88262160000000001</v>
      </c>
      <c r="P3189">
        <v>0.26035520000000001</v>
      </c>
      <c r="Q3189">
        <v>1.8917010000000001E-2</v>
      </c>
      <c r="R3189">
        <v>-0.96532799999999996</v>
      </c>
      <c r="S3189">
        <v>-0.28541559999999999</v>
      </c>
      <c r="T3189">
        <v>-0.53575280000000003</v>
      </c>
      <c r="U3189">
        <v>-3.2153930000000002</v>
      </c>
      <c r="V3189">
        <v>0.22485150000000001</v>
      </c>
      <c r="W3189">
        <v>2.6856359999999999E-2</v>
      </c>
      <c r="X3189">
        <v>0.97402290000000002</v>
      </c>
      <c r="Y3189">
        <v>0.54478939999999998</v>
      </c>
      <c r="Z3189">
        <v>0.1218399</v>
      </c>
      <c r="AA3189">
        <v>0.82967440000000003</v>
      </c>
      <c r="AB3189">
        <v>31</v>
      </c>
      <c r="AC3189">
        <v>-0.72259999999999902</v>
      </c>
      <c r="AD3189">
        <v>-1.0947249321069901</v>
      </c>
      <c r="AE3189">
        <v>-6.2857999999999903</v>
      </c>
      <c r="AF3189">
        <v>3.4869373187155102</v>
      </c>
      <c r="AG3189">
        <v>-1.0947249321069901</v>
      </c>
      <c r="AH3189">
        <v>5.0578000018226801</v>
      </c>
      <c r="AI3189">
        <v>100.103954242638</v>
      </c>
      <c r="AJ3189">
        <v>55.4169293108164</v>
      </c>
      <c r="AK3189">
        <v>6.2400717463876196</v>
      </c>
      <c r="AL3189">
        <v>88.461058938469606</v>
      </c>
      <c r="AM3189">
        <v>77.001083721580301</v>
      </c>
      <c r="AN3189">
        <v>1.00000003542455</v>
      </c>
    </row>
    <row r="3190" spans="1:40" x14ac:dyDescent="0.25">
      <c r="A3190" t="str">
        <f>"20190312154618206"</f>
        <v>20190312154618206</v>
      </c>
      <c r="B3190" t="str">
        <f>"1552376778200872"</f>
        <v>1552376778200872</v>
      </c>
      <c r="C3190" t="s">
        <v>40</v>
      </c>
      <c r="D3190">
        <v>4.5754000000000001</v>
      </c>
      <c r="E3190">
        <v>0.63706200000000002</v>
      </c>
      <c r="F3190" t="s">
        <v>42</v>
      </c>
      <c r="G3190">
        <v>-192.3466</v>
      </c>
      <c r="H3190" s="1">
        <v>-3.7409480000000001E-6</v>
      </c>
      <c r="I3190">
        <v>196.85390000000001</v>
      </c>
      <c r="J3190">
        <v>-191.63249999999999</v>
      </c>
      <c r="K3190">
        <v>1.094743</v>
      </c>
      <c r="L3190">
        <v>203.22989999999999</v>
      </c>
      <c r="M3190">
        <v>0.4533431</v>
      </c>
      <c r="N3190">
        <v>0</v>
      </c>
      <c r="O3190">
        <v>-0.89118509999999995</v>
      </c>
      <c r="P3190">
        <v>0.24339069999999999</v>
      </c>
      <c r="Q3190">
        <v>1.8346930000000001E-2</v>
      </c>
      <c r="R3190">
        <v>-0.96975489999999998</v>
      </c>
      <c r="S3190">
        <v>-0.27522279999999999</v>
      </c>
      <c r="T3190">
        <v>-0.52366709999999905</v>
      </c>
      <c r="U3190">
        <v>-3.1922609999999998</v>
      </c>
      <c r="V3190">
        <v>0.22384209999999999</v>
      </c>
      <c r="W3190">
        <v>2.6338219999999999E-2</v>
      </c>
      <c r="X3190">
        <v>0.97426950000000001</v>
      </c>
      <c r="Y3190">
        <v>0.5270918</v>
      </c>
      <c r="Z3190">
        <v>0.1230188</v>
      </c>
      <c r="AA3190">
        <v>0.84085710000000002</v>
      </c>
      <c r="AB3190">
        <v>31</v>
      </c>
      <c r="AC3190">
        <v>-0.71410000000000196</v>
      </c>
      <c r="AD3190">
        <v>-1.0947467409480001</v>
      </c>
      <c r="AE3190">
        <v>-6.3759999999999701</v>
      </c>
      <c r="AF3190">
        <v>3.4275912551571701</v>
      </c>
      <c r="AG3190">
        <v>-1.0947467409480001</v>
      </c>
      <c r="AH3190">
        <v>5.2075667818883797</v>
      </c>
      <c r="AI3190">
        <v>99.959550691025697</v>
      </c>
      <c r="AJ3190">
        <v>56.647311675571601</v>
      </c>
      <c r="AK3190">
        <v>6.3297396492330904</v>
      </c>
      <c r="AL3190">
        <v>88.490756660523004</v>
      </c>
      <c r="AM3190">
        <v>77.060634809235097</v>
      </c>
      <c r="AN3190">
        <v>1.00000002309771</v>
      </c>
    </row>
    <row r="3191" spans="1:40" x14ac:dyDescent="0.25">
      <c r="A3191" t="str">
        <f>"20190312154618230"</f>
        <v>20190312154618230</v>
      </c>
      <c r="B3191" t="str">
        <f>"1552376778220391"</f>
        <v>1552376778220391</v>
      </c>
      <c r="C3191" t="s">
        <v>40</v>
      </c>
      <c r="D3191">
        <v>4.5272790000000001</v>
      </c>
      <c r="E3191">
        <v>0.63609320000000003</v>
      </c>
      <c r="F3191" t="s">
        <v>42</v>
      </c>
      <c r="G3191">
        <v>-192.31030000000001</v>
      </c>
      <c r="H3191" s="1">
        <v>-3.552695E-6</v>
      </c>
      <c r="I3191">
        <v>196.4376</v>
      </c>
      <c r="J3191">
        <v>-191.49870000000001</v>
      </c>
      <c r="K3191">
        <v>1.09477</v>
      </c>
      <c r="L3191">
        <v>202.92840000000001</v>
      </c>
      <c r="M3191">
        <v>0.4366312</v>
      </c>
      <c r="N3191">
        <v>0</v>
      </c>
      <c r="O3191">
        <v>-0.89949120000000005</v>
      </c>
      <c r="P3191">
        <v>0.2261638</v>
      </c>
      <c r="Q3191">
        <v>1.7797609999999998E-2</v>
      </c>
      <c r="R3191">
        <v>-0.97392699999999999</v>
      </c>
      <c r="S3191">
        <v>-0.31764219999999999</v>
      </c>
      <c r="T3191">
        <v>-0.5130188</v>
      </c>
      <c r="U3191">
        <v>-3.183014</v>
      </c>
      <c r="V3191">
        <v>0.22291030000000001</v>
      </c>
      <c r="W3191">
        <v>2.583819E-2</v>
      </c>
      <c r="X3191">
        <v>0.97449649999999999</v>
      </c>
      <c r="Y3191">
        <v>0.5226037</v>
      </c>
      <c r="Z3191">
        <v>0.1230285</v>
      </c>
      <c r="AA3191">
        <v>0.84365239999999997</v>
      </c>
      <c r="AB3191">
        <v>31</v>
      </c>
      <c r="AC3191">
        <v>-0.81159999999999799</v>
      </c>
      <c r="AD3191">
        <v>-1.094773552695</v>
      </c>
      <c r="AE3191">
        <v>-6.4908000000000001</v>
      </c>
      <c r="AF3191">
        <v>3.4674678065829201</v>
      </c>
      <c r="AG3191">
        <v>-1.094773552695</v>
      </c>
      <c r="AH3191">
        <v>5.3353413023228198</v>
      </c>
      <c r="AI3191">
        <v>99.762164233109402</v>
      </c>
      <c r="AJ3191">
        <v>56.979937769938402</v>
      </c>
      <c r="AK3191">
        <v>6.4566035137401201</v>
      </c>
      <c r="AL3191">
        <v>88.519416020356502</v>
      </c>
      <c r="AM3191">
        <v>77.115598050548599</v>
      </c>
      <c r="AN3191">
        <v>1.0000000212104001</v>
      </c>
    </row>
    <row r="3192" spans="1:40" x14ac:dyDescent="0.25">
      <c r="A3192" t="str">
        <f>"20190312154618254"</f>
        <v>20190312154618254</v>
      </c>
      <c r="B3192" t="str">
        <f>"1552376778250156"</f>
        <v>1552376778250156</v>
      </c>
      <c r="C3192" t="s">
        <v>40</v>
      </c>
      <c r="D3192">
        <v>4.575647</v>
      </c>
      <c r="E3192">
        <v>0.62585290000000005</v>
      </c>
      <c r="F3192" t="s">
        <v>42</v>
      </c>
      <c r="G3192">
        <v>-192.27860000000001</v>
      </c>
      <c r="H3192" s="1">
        <v>-3.4315250000000001E-6</v>
      </c>
      <c r="I3192">
        <v>196.17490000000001</v>
      </c>
      <c r="J3192">
        <v>-191.36840000000001</v>
      </c>
      <c r="K3192">
        <v>1.0948040000000001</v>
      </c>
      <c r="L3192">
        <v>202.61940000000001</v>
      </c>
      <c r="M3192">
        <v>0.41947689999999999</v>
      </c>
      <c r="N3192">
        <v>0</v>
      </c>
      <c r="O3192">
        <v>-0.90761780000000003</v>
      </c>
      <c r="P3192">
        <v>0.2083064</v>
      </c>
      <c r="Q3192">
        <v>1.7990610000000001E-2</v>
      </c>
      <c r="R3192">
        <v>-0.97789820000000005</v>
      </c>
      <c r="S3192">
        <v>-0.36663820000000003</v>
      </c>
      <c r="T3192">
        <v>-0.51465699999999903</v>
      </c>
      <c r="U3192">
        <v>-3.1748660000000002</v>
      </c>
      <c r="V3192">
        <v>0.22224450000000001</v>
      </c>
      <c r="W3192">
        <v>2.6070800000000002E-2</v>
      </c>
      <c r="X3192">
        <v>0.97464229999999996</v>
      </c>
      <c r="Y3192">
        <v>0.51949699999999999</v>
      </c>
      <c r="Z3192">
        <v>0.1257028</v>
      </c>
      <c r="AA3192">
        <v>0.84517549999999997</v>
      </c>
      <c r="AB3192">
        <v>30</v>
      </c>
      <c r="AC3192">
        <v>-0.91020000000000301</v>
      </c>
      <c r="AD3192">
        <v>-1.094807431525</v>
      </c>
      <c r="AE3192">
        <v>-6.4444999999999997</v>
      </c>
      <c r="AF3192">
        <v>3.4327750475846801</v>
      </c>
      <c r="AG3192">
        <v>-1.094807431525</v>
      </c>
      <c r="AH3192">
        <v>5.3176058030047404</v>
      </c>
      <c r="AI3192">
        <v>99.813501595134795</v>
      </c>
      <c r="AJ3192">
        <v>57.155776080663003</v>
      </c>
      <c r="AK3192">
        <v>6.4233542106590997</v>
      </c>
      <c r="AL3192">
        <v>88.506083864653306</v>
      </c>
      <c r="AM3192">
        <v>77.154661134917305</v>
      </c>
      <c r="AN3192">
        <v>0.99999995867108904</v>
      </c>
    </row>
    <row r="3193" spans="1:40" x14ac:dyDescent="0.25">
      <c r="A3193" t="str">
        <f>"20190312154618272"</f>
        <v>20190312154618272</v>
      </c>
      <c r="B3193" t="str">
        <f>"1552376778259917"</f>
        <v>1552376778259917</v>
      </c>
      <c r="C3193" t="s">
        <v>40</v>
      </c>
      <c r="D3193">
        <v>4.5536440000000002</v>
      </c>
      <c r="E3193">
        <v>0.62491450000000004</v>
      </c>
      <c r="F3193" t="s">
        <v>42</v>
      </c>
      <c r="G3193">
        <v>-192.1335</v>
      </c>
      <c r="H3193" s="1">
        <v>-3.1613900000000001E-6</v>
      </c>
      <c r="I3193">
        <v>195.63509999999999</v>
      </c>
      <c r="J3193">
        <v>-191.26929999999999</v>
      </c>
      <c r="K3193">
        <v>1.0948340000000001</v>
      </c>
      <c r="L3193">
        <v>202.37309999999999</v>
      </c>
      <c r="M3193">
        <v>0.40577400000000002</v>
      </c>
      <c r="N3193">
        <v>0</v>
      </c>
      <c r="O3193">
        <v>-0.91382649999999999</v>
      </c>
      <c r="P3193">
        <v>0.19474540000000001</v>
      </c>
      <c r="Q3193">
        <v>1.814586E-2</v>
      </c>
      <c r="R3193">
        <v>-0.98068630000000001</v>
      </c>
      <c r="S3193">
        <v>-0.34510800000000003</v>
      </c>
      <c r="T3193">
        <v>-0.49383389999999999</v>
      </c>
      <c r="U3193">
        <v>-3.1504059999999998</v>
      </c>
      <c r="V3193">
        <v>0.22107950000000001</v>
      </c>
      <c r="W3193">
        <v>2.6282920000000001E-2</v>
      </c>
      <c r="X3193">
        <v>0.97490160000000003</v>
      </c>
      <c r="Y3193">
        <v>0.50168310000000005</v>
      </c>
      <c r="Z3193">
        <v>0.1239664</v>
      </c>
      <c r="AA3193">
        <v>0.85612289999999902</v>
      </c>
      <c r="AB3193">
        <v>30</v>
      </c>
      <c r="AC3193">
        <v>-0.86420000000001096</v>
      </c>
      <c r="AD3193">
        <v>-1.0948371613900001</v>
      </c>
      <c r="AE3193">
        <v>-6.7380000000000004</v>
      </c>
      <c r="AF3193">
        <v>3.4350820756182299</v>
      </c>
      <c r="AG3193">
        <v>-1.0948371613900001</v>
      </c>
      <c r="AH3193">
        <v>5.6604445202043197</v>
      </c>
      <c r="AI3193">
        <v>99.389075322927397</v>
      </c>
      <c r="AJ3193">
        <v>58.748224356175797</v>
      </c>
      <c r="AK3193">
        <v>6.7111168550775</v>
      </c>
      <c r="AL3193">
        <v>88.493926229887606</v>
      </c>
      <c r="AM3193">
        <v>77.223066834312107</v>
      </c>
      <c r="AN3193">
        <v>1.0000000334432599</v>
      </c>
    </row>
    <row r="3194" spans="1:40" x14ac:dyDescent="0.25">
      <c r="A3194" t="str">
        <f>"20190312154618294"</f>
        <v>20190312154618294</v>
      </c>
      <c r="B3194" t="str">
        <f>"1552376778290172"</f>
        <v>1552376778290172</v>
      </c>
      <c r="C3194" t="s">
        <v>40</v>
      </c>
      <c r="D3194">
        <v>4.4932759999999998</v>
      </c>
      <c r="E3194">
        <v>0.62184649999999997</v>
      </c>
      <c r="F3194" t="s">
        <v>42</v>
      </c>
      <c r="G3194">
        <v>-192.11619999999999</v>
      </c>
      <c r="H3194" s="1">
        <v>-3.0537760000000001E-6</v>
      </c>
      <c r="I3194">
        <v>195.39500000000001</v>
      </c>
      <c r="J3194">
        <v>-191.1628</v>
      </c>
      <c r="K3194">
        <v>1.0948709999999999</v>
      </c>
      <c r="L3194">
        <v>202.0951</v>
      </c>
      <c r="M3194">
        <v>0.3902929</v>
      </c>
      <c r="N3194">
        <v>0</v>
      </c>
      <c r="O3194">
        <v>-0.92054460000000005</v>
      </c>
      <c r="P3194">
        <v>0.1793479</v>
      </c>
      <c r="Q3194">
        <v>1.813797E-2</v>
      </c>
      <c r="R3194">
        <v>-0.9836184</v>
      </c>
      <c r="S3194">
        <v>-0.38156129999999999</v>
      </c>
      <c r="T3194">
        <v>-0.49328490000000003</v>
      </c>
      <c r="U3194">
        <v>-3.144012</v>
      </c>
      <c r="V3194">
        <v>0.2199065</v>
      </c>
      <c r="W3194">
        <v>2.6332979999999999E-2</v>
      </c>
      <c r="X3194">
        <v>0.97516550000000002</v>
      </c>
      <c r="Y3194">
        <v>0.49706860000000003</v>
      </c>
      <c r="Z3194">
        <v>0.12575419999999901</v>
      </c>
      <c r="AA3194">
        <v>0.85855040000000005</v>
      </c>
      <c r="AB3194">
        <v>30</v>
      </c>
      <c r="AC3194">
        <v>-0.95339999999998704</v>
      </c>
      <c r="AD3194">
        <v>-1.094874053776</v>
      </c>
      <c r="AE3194">
        <v>-6.7000999999999902</v>
      </c>
      <c r="AF3194">
        <v>3.40402386932533</v>
      </c>
      <c r="AG3194">
        <v>-1.094874053776</v>
      </c>
      <c r="AH3194">
        <v>5.6485732757391203</v>
      </c>
      <c r="AI3194">
        <v>99.4260614686808</v>
      </c>
      <c r="AJ3194">
        <v>58.925392342832403</v>
      </c>
      <c r="AK3194">
        <v>6.6852455263784201</v>
      </c>
      <c r="AL3194">
        <v>88.491056995152405</v>
      </c>
      <c r="AM3194">
        <v>77.291978479516004</v>
      </c>
      <c r="AN3194">
        <v>1.00000002348409</v>
      </c>
    </row>
    <row r="3195" spans="1:40" x14ac:dyDescent="0.25">
      <c r="A3195" t="str">
        <f>"20190312154618317"</f>
        <v>20190312154618317</v>
      </c>
      <c r="B3195" t="str">
        <f>"1552376778310668"</f>
        <v>1552376778310668</v>
      </c>
      <c r="C3195" t="s">
        <v>40</v>
      </c>
      <c r="D3195">
        <v>4.530475</v>
      </c>
      <c r="E3195">
        <v>0.62069300000000005</v>
      </c>
      <c r="F3195" t="s">
        <v>42</v>
      </c>
      <c r="G3195">
        <v>-192.0779</v>
      </c>
      <c r="H3195" s="1">
        <v>-2.8943789999999998E-6</v>
      </c>
      <c r="I3195">
        <v>195.0472</v>
      </c>
      <c r="J3195">
        <v>-191.05279999999999</v>
      </c>
      <c r="K3195">
        <v>1.094911</v>
      </c>
      <c r="L3195">
        <v>201.79230000000001</v>
      </c>
      <c r="M3195">
        <v>0.37339620000000001</v>
      </c>
      <c r="N3195">
        <v>0</v>
      </c>
      <c r="O3195">
        <v>-0.92752710000000005</v>
      </c>
      <c r="P3195">
        <v>0.1629217</v>
      </c>
      <c r="Q3195">
        <v>1.787306E-2</v>
      </c>
      <c r="R3195">
        <v>-0.98647720000000005</v>
      </c>
      <c r="S3195">
        <v>-0.40679929999999997</v>
      </c>
      <c r="T3195">
        <v>-0.4867187</v>
      </c>
      <c r="U3195">
        <v>-3.1331180000000001</v>
      </c>
      <c r="V3195">
        <v>0.21832699999999999</v>
      </c>
      <c r="W3195">
        <v>2.6142789999999999E-2</v>
      </c>
      <c r="X3195">
        <v>0.97552539999999999</v>
      </c>
      <c r="Y3195">
        <v>0.48838359999999897</v>
      </c>
      <c r="Z3195">
        <v>0.12645709999999999</v>
      </c>
      <c r="AA3195">
        <v>0.86341769999999995</v>
      </c>
      <c r="AB3195">
        <v>30</v>
      </c>
      <c r="AC3195">
        <v>-1.0250999999999999</v>
      </c>
      <c r="AD3195">
        <v>-1.094913894379</v>
      </c>
      <c r="AE3195">
        <v>-6.7450999999999999</v>
      </c>
      <c r="AF3195">
        <v>3.3827454764645801</v>
      </c>
      <c r="AG3195">
        <v>-1.094913894379</v>
      </c>
      <c r="AH3195">
        <v>5.7267889538062198</v>
      </c>
      <c r="AI3195">
        <v>99.348068616744399</v>
      </c>
      <c r="AJ3195">
        <v>59.430163449205203</v>
      </c>
      <c r="AK3195">
        <v>6.7407651728926696</v>
      </c>
      <c r="AL3195">
        <v>88.501957744777897</v>
      </c>
      <c r="AM3195">
        <v>77.384828273655401</v>
      </c>
      <c r="AN3195">
        <v>0.99999996522157097</v>
      </c>
    </row>
    <row r="3196" spans="1:40" x14ac:dyDescent="0.25">
      <c r="A3196" t="str">
        <f>"20190312154618340"</f>
        <v>20190312154618340</v>
      </c>
      <c r="B3196" t="str">
        <f>"1552376778330189"</f>
        <v>1552376778330189</v>
      </c>
      <c r="C3196" t="s">
        <v>40</v>
      </c>
      <c r="D3196">
        <v>4.3374750000000004</v>
      </c>
      <c r="E3196">
        <v>0.60206329999999997</v>
      </c>
      <c r="F3196" t="s">
        <v>42</v>
      </c>
      <c r="G3196">
        <v>-192.0677</v>
      </c>
      <c r="H3196" s="1">
        <v>-2.764532E-6</v>
      </c>
      <c r="I3196">
        <v>194.7508</v>
      </c>
      <c r="J3196">
        <v>-190.94929999999999</v>
      </c>
      <c r="K3196">
        <v>1.094954</v>
      </c>
      <c r="L3196">
        <v>201.4905</v>
      </c>
      <c r="M3196">
        <v>0.35653079999999998</v>
      </c>
      <c r="N3196">
        <v>0</v>
      </c>
      <c r="O3196">
        <v>-0.93413970000000002</v>
      </c>
      <c r="P3196">
        <v>0.1466355</v>
      </c>
      <c r="Q3196">
        <v>1.9152849999999999E-2</v>
      </c>
      <c r="R3196">
        <v>-0.98900529999999998</v>
      </c>
      <c r="S3196">
        <v>-0.45033260000000003</v>
      </c>
      <c r="T3196">
        <v>-0.48581370000000001</v>
      </c>
      <c r="U3196">
        <v>-3.124298</v>
      </c>
      <c r="V3196">
        <v>0.21677150000000001</v>
      </c>
      <c r="W3196">
        <v>2.7496509999999998E-2</v>
      </c>
      <c r="X3196">
        <v>0.97583509999999996</v>
      </c>
      <c r="Y3196">
        <v>0.48469580000000001</v>
      </c>
      <c r="Z3196">
        <v>0.128128399999999</v>
      </c>
      <c r="AA3196">
        <v>0.8652474</v>
      </c>
      <c r="AB3196">
        <v>30</v>
      </c>
      <c r="AC3196">
        <v>-1.1184000000000001</v>
      </c>
      <c r="AD3196">
        <v>-1.094956764532</v>
      </c>
      <c r="AE3196">
        <v>-6.7396999999999903</v>
      </c>
      <c r="AF3196">
        <v>3.3617619608485501</v>
      </c>
      <c r="AG3196">
        <v>-1.094956764532</v>
      </c>
      <c r="AH3196">
        <v>5.7501648630371802</v>
      </c>
      <c r="AI3196">
        <v>99.335299025771803</v>
      </c>
      <c r="AJ3196">
        <v>59.6878427886925</v>
      </c>
      <c r="AK3196">
        <v>6.7501681275143097</v>
      </c>
      <c r="AL3196">
        <v>88.4243675040927</v>
      </c>
      <c r="AM3196">
        <v>77.475710148572404</v>
      </c>
      <c r="AN3196">
        <v>1.00000004183321</v>
      </c>
    </row>
    <row r="3197" spans="1:40" x14ac:dyDescent="0.25">
      <c r="A3197" t="str">
        <f>"20190312154618362"</f>
        <v>20190312154618362</v>
      </c>
      <c r="B3197" t="str">
        <f>"1552376778350684"</f>
        <v>1552376778350684</v>
      </c>
      <c r="C3197" t="s">
        <v>40</v>
      </c>
      <c r="D3197">
        <v>4.3310089999999999</v>
      </c>
      <c r="E3197">
        <v>0.57194</v>
      </c>
      <c r="F3197" t="s">
        <v>42</v>
      </c>
      <c r="G3197">
        <v>-191.87299999999999</v>
      </c>
      <c r="H3197" s="1">
        <v>-2.1726390000000002E-6</v>
      </c>
      <c r="I3197">
        <v>193.49189999999999</v>
      </c>
      <c r="J3197">
        <v>-190.85640000000001</v>
      </c>
      <c r="K3197">
        <v>1.0949869999999999</v>
      </c>
      <c r="L3197">
        <v>201.20320000000001</v>
      </c>
      <c r="M3197">
        <v>0.34045199999999998</v>
      </c>
      <c r="N3197">
        <v>0</v>
      </c>
      <c r="O3197">
        <v>-0.94011909999999999</v>
      </c>
      <c r="P3197">
        <v>0.13188459999999999</v>
      </c>
      <c r="Q3197">
        <v>2.111538E-2</v>
      </c>
      <c r="R3197">
        <v>-0.99104029999999999</v>
      </c>
      <c r="S3197">
        <v>-0.35737609999999997</v>
      </c>
      <c r="T3197">
        <v>-0.42362</v>
      </c>
      <c r="U3197">
        <v>-3.0945279999999999</v>
      </c>
      <c r="V3197">
        <v>0.2146216</v>
      </c>
      <c r="W3197">
        <v>2.955561E-2</v>
      </c>
      <c r="X3197">
        <v>0.97624999999999995</v>
      </c>
      <c r="Y3197">
        <v>0.44513029999999998</v>
      </c>
      <c r="Z3197">
        <v>0.11594790000000001</v>
      </c>
      <c r="AA3197">
        <v>0.88792739999999903</v>
      </c>
      <c r="AB3197">
        <v>30</v>
      </c>
      <c r="AC3197">
        <v>-1.01659999999998</v>
      </c>
      <c r="AD3197">
        <v>-1.094989172639</v>
      </c>
      <c r="AE3197">
        <v>-7.71130000000002</v>
      </c>
      <c r="AF3197">
        <v>3.5119305742167901</v>
      </c>
      <c r="AG3197">
        <v>-1.094989172639</v>
      </c>
      <c r="AH3197">
        <v>6.7701857449669696</v>
      </c>
      <c r="AI3197">
        <v>98.170126282018501</v>
      </c>
      <c r="AJ3197">
        <v>62.582661672139103</v>
      </c>
      <c r="AK3197">
        <v>7.7050679859212998</v>
      </c>
      <c r="AL3197">
        <v>88.306341670482695</v>
      </c>
      <c r="AM3197">
        <v>77.601169120897794</v>
      </c>
      <c r="AN3197">
        <v>1.00000001388451</v>
      </c>
    </row>
    <row r="3198" spans="1:40" x14ac:dyDescent="0.25">
      <c r="A3198" t="str">
        <f>"20190312154618384"</f>
        <v>20190312154618384</v>
      </c>
      <c r="B3198" t="str">
        <f>"1552376778370205"</f>
        <v>1552376778370205</v>
      </c>
      <c r="C3198" t="s">
        <v>40</v>
      </c>
      <c r="D3198">
        <v>4.3072429999999997</v>
      </c>
      <c r="E3198">
        <v>0.56945069999999998</v>
      </c>
      <c r="F3198" t="s">
        <v>52</v>
      </c>
      <c r="G3198">
        <v>-193.67169999999999</v>
      </c>
      <c r="H3198" s="1">
        <v>-1.194578E-5</v>
      </c>
      <c r="I3198">
        <v>151.0137</v>
      </c>
      <c r="J3198">
        <v>-190.7681</v>
      </c>
      <c r="K3198">
        <v>1.0950340000000001</v>
      </c>
      <c r="L3198">
        <v>200.9126</v>
      </c>
      <c r="M3198">
        <v>0.32416630000000002</v>
      </c>
      <c r="N3198">
        <v>0</v>
      </c>
      <c r="O3198">
        <v>-0.94585839999999999</v>
      </c>
      <c r="P3198">
        <v>0.1174978</v>
      </c>
      <c r="Q3198">
        <v>2.2659289999999999E-2</v>
      </c>
      <c r="R3198">
        <v>-0.99281489999999994</v>
      </c>
      <c r="S3198">
        <v>-0.1711578</v>
      </c>
      <c r="T3198">
        <v>-6.6571350000000001E-2</v>
      </c>
      <c r="U3198">
        <v>-3.0513150000000002</v>
      </c>
      <c r="V3198">
        <v>0.2119616</v>
      </c>
      <c r="W3198">
        <v>3.1215670000000001E-2</v>
      </c>
      <c r="X3198">
        <v>0.97677930000000002</v>
      </c>
      <c r="Y3198">
        <v>0.37666709999999998</v>
      </c>
      <c r="Z3198">
        <v>1.9221060000000002E-2</v>
      </c>
      <c r="AA3198">
        <v>0.92614920000000001</v>
      </c>
      <c r="AB3198">
        <v>30</v>
      </c>
      <c r="AC3198">
        <v>-2.90359999999998</v>
      </c>
      <c r="AD3198">
        <v>-1.0950459457799999</v>
      </c>
      <c r="AE3198">
        <v>-49.898899999999998</v>
      </c>
      <c r="AF3198">
        <v>18.915394371251502</v>
      </c>
      <c r="AG3198">
        <v>-1.0950459457799999</v>
      </c>
      <c r="AH3198">
        <v>46.240052381396602</v>
      </c>
      <c r="AI3198">
        <v>91.255650688659102</v>
      </c>
      <c r="AJ3198">
        <v>67.7520279267722</v>
      </c>
      <c r="AK3198">
        <v>49.971328920468402</v>
      </c>
      <c r="AL3198">
        <v>88.211183210138302</v>
      </c>
      <c r="AM3198">
        <v>77.756608804824296</v>
      </c>
      <c r="AN3198">
        <v>0.99999996941829905</v>
      </c>
    </row>
    <row r="3199" spans="1:40" x14ac:dyDescent="0.25">
      <c r="A3199" t="str">
        <f>"20190312154618408"</f>
        <v>20190312154618408</v>
      </c>
      <c r="B3199" t="str">
        <f>"1552376778400462"</f>
        <v>1552376778400462</v>
      </c>
      <c r="C3199" t="s">
        <v>40</v>
      </c>
      <c r="D3199">
        <v>4.2608649999999999</v>
      </c>
      <c r="E3199">
        <v>0.56642190000000003</v>
      </c>
      <c r="F3199" t="s">
        <v>42</v>
      </c>
      <c r="G3199">
        <v>-196.11760000000001</v>
      </c>
      <c r="H3199" s="1">
        <v>-4.7865620000000003E-6</v>
      </c>
      <c r="I3199">
        <v>117.8635</v>
      </c>
      <c r="J3199">
        <v>-190.67920000000001</v>
      </c>
      <c r="K3199">
        <v>1.0950869999999999</v>
      </c>
      <c r="L3199">
        <v>200.59829999999999</v>
      </c>
      <c r="M3199">
        <v>0.30655359999999998</v>
      </c>
      <c r="N3199">
        <v>0</v>
      </c>
      <c r="O3199">
        <v>-0.95171249999999996</v>
      </c>
      <c r="P3199">
        <v>0.10145460000000001</v>
      </c>
      <c r="Q3199">
        <v>2.3267920000000001E-2</v>
      </c>
      <c r="R3199">
        <v>-0.99456829999999996</v>
      </c>
      <c r="S3199">
        <v>-0.1961975</v>
      </c>
      <c r="T3199">
        <v>-4.0161130000000003E-2</v>
      </c>
      <c r="U3199">
        <v>-3.045868</v>
      </c>
      <c r="V3199">
        <v>0.2096131</v>
      </c>
      <c r="W3199">
        <v>3.1929609999999997E-2</v>
      </c>
      <c r="X3199">
        <v>0.97726290000000005</v>
      </c>
      <c r="Y3199">
        <v>0.36714039999999998</v>
      </c>
      <c r="Z3199">
        <v>1.175613E-2</v>
      </c>
      <c r="AA3199">
        <v>0.93009129999999995</v>
      </c>
      <c r="AB3199">
        <v>30</v>
      </c>
      <c r="AC3199">
        <v>-5.4383999999999997</v>
      </c>
      <c r="AD3199">
        <v>-1.095091786562</v>
      </c>
      <c r="AE3199">
        <v>-82.734799999999893</v>
      </c>
      <c r="AF3199">
        <v>30.537213205957201</v>
      </c>
      <c r="AG3199">
        <v>-1.095091786562</v>
      </c>
      <c r="AH3199">
        <v>77.069475868294901</v>
      </c>
      <c r="AI3199">
        <v>90.756831489000405</v>
      </c>
      <c r="AJ3199">
        <v>68.3850597320872</v>
      </c>
      <c r="AK3199">
        <v>82.906119961199295</v>
      </c>
      <c r="AL3199">
        <v>88.170257045396497</v>
      </c>
      <c r="AM3199">
        <v>77.894053636079505</v>
      </c>
      <c r="AN3199">
        <v>0.999999963701385</v>
      </c>
    </row>
    <row r="3200" spans="1:40" x14ac:dyDescent="0.25">
      <c r="A3200" t="str">
        <f>"20190312154618430"</f>
        <v>20190312154618430</v>
      </c>
      <c r="B3200" t="str">
        <f>"1552376778419981"</f>
        <v>1552376778419981</v>
      </c>
      <c r="C3200" t="s">
        <v>40</v>
      </c>
      <c r="D3200">
        <v>4.234845</v>
      </c>
      <c r="E3200">
        <v>0.56489650000000002</v>
      </c>
      <c r="F3200" t="s">
        <v>42</v>
      </c>
      <c r="G3200">
        <v>-197.20869999999999</v>
      </c>
      <c r="H3200" s="1">
        <v>-2.5017219999999999E-6</v>
      </c>
      <c r="I3200">
        <v>110.9496</v>
      </c>
      <c r="J3200">
        <v>-190.5986</v>
      </c>
      <c r="K3200">
        <v>1.0951420000000001</v>
      </c>
      <c r="L3200">
        <v>200.29300000000001</v>
      </c>
      <c r="M3200">
        <v>0.28942289999999998</v>
      </c>
      <c r="N3200">
        <v>0</v>
      </c>
      <c r="O3200">
        <v>-0.95706159999999996</v>
      </c>
      <c r="P3200">
        <v>8.571906E-2</v>
      </c>
      <c r="Q3200">
        <v>2.3198900000000001E-2</v>
      </c>
      <c r="R3200">
        <v>-0.99604950000000003</v>
      </c>
      <c r="S3200">
        <v>-0.22140499999999999</v>
      </c>
      <c r="T3200">
        <v>-3.7132499999999999E-2</v>
      </c>
      <c r="U3200">
        <v>-3.039825</v>
      </c>
      <c r="V3200">
        <v>0.2075166</v>
      </c>
      <c r="W3200">
        <v>3.1955829999999998E-2</v>
      </c>
      <c r="X3200">
        <v>0.97770939999999995</v>
      </c>
      <c r="Y3200">
        <v>0.35822409999999999</v>
      </c>
      <c r="Z3200">
        <v>1.1007380000000001E-2</v>
      </c>
      <c r="AA3200">
        <v>0.93357069999999998</v>
      </c>
      <c r="AB3200">
        <v>30</v>
      </c>
      <c r="AC3200">
        <v>-6.6100999999999797</v>
      </c>
      <c r="AD3200">
        <v>-1.0951445017219901</v>
      </c>
      <c r="AE3200">
        <v>-89.343400000000003</v>
      </c>
      <c r="AF3200">
        <v>32.183794650062097</v>
      </c>
      <c r="AG3200">
        <v>-1.0951445017219901</v>
      </c>
      <c r="AH3200">
        <v>83.592713570565195</v>
      </c>
      <c r="AI3200">
        <v>90.700469861512502</v>
      </c>
      <c r="AJ3200">
        <v>68.942936293553899</v>
      </c>
      <c r="AK3200">
        <v>89.580900540503507</v>
      </c>
      <c r="AL3200">
        <v>88.168754035925801</v>
      </c>
      <c r="AM3200">
        <v>78.016930960378801</v>
      </c>
      <c r="AN3200">
        <v>0.99999999259745398</v>
      </c>
    </row>
    <row r="3201" spans="1:40" x14ac:dyDescent="0.25">
      <c r="A3201" t="str">
        <f>"20190312154618453"</f>
        <v>20190312154618453</v>
      </c>
      <c r="B3201" t="str">
        <f>"1552376778440476"</f>
        <v>1552376778440476</v>
      </c>
      <c r="C3201" t="s">
        <v>40</v>
      </c>
      <c r="D3201">
        <v>4.1465290000000001</v>
      </c>
      <c r="E3201">
        <v>0.56348989999999999</v>
      </c>
      <c r="F3201" t="s">
        <v>42</v>
      </c>
      <c r="G3201">
        <v>-197.92359999999999</v>
      </c>
      <c r="H3201" s="1">
        <v>-3.7786620000000001E-6</v>
      </c>
      <c r="I3201">
        <v>113.96040000000001</v>
      </c>
      <c r="J3201">
        <v>-190.52699999999999</v>
      </c>
      <c r="K3201">
        <v>1.0951919999999999</v>
      </c>
      <c r="L3201">
        <v>200.0008</v>
      </c>
      <c r="M3201">
        <v>0.27304250000000002</v>
      </c>
      <c r="N3201">
        <v>0</v>
      </c>
      <c r="O3201">
        <v>-0.96186289999999997</v>
      </c>
      <c r="P3201">
        <v>7.1355349999999998E-2</v>
      </c>
      <c r="Q3201">
        <v>2.3207269999999999E-2</v>
      </c>
      <c r="R3201">
        <v>-0.99718110000000004</v>
      </c>
      <c r="S3201">
        <v>-0.25750729999999999</v>
      </c>
      <c r="T3201">
        <v>-3.8499239999999997E-2</v>
      </c>
      <c r="U3201">
        <v>-3.0349729999999999</v>
      </c>
      <c r="V3201">
        <v>0.20491190000000001</v>
      </c>
      <c r="W3201">
        <v>3.2080209999999998E-2</v>
      </c>
      <c r="X3201">
        <v>0.97825459999999997</v>
      </c>
      <c r="Y3201">
        <v>0.35342440000000003</v>
      </c>
      <c r="Z3201">
        <v>1.1528170000000001E-2</v>
      </c>
      <c r="AA3201">
        <v>0.93539209999999995</v>
      </c>
      <c r="AB3201">
        <v>30</v>
      </c>
      <c r="AC3201">
        <v>-7.3965999999999701</v>
      </c>
      <c r="AD3201">
        <v>-1.0951957786619999</v>
      </c>
      <c r="AE3201">
        <v>-86.040399999999906</v>
      </c>
      <c r="AF3201">
        <v>30.6063738363437</v>
      </c>
      <c r="AG3201">
        <v>-1.0951957786619999</v>
      </c>
      <c r="AH3201">
        <v>80.737300396666896</v>
      </c>
      <c r="AI3201">
        <v>90.726707521486006</v>
      </c>
      <c r="AJ3201">
        <v>69.238987377500393</v>
      </c>
      <c r="AK3201">
        <v>86.350803404167905</v>
      </c>
      <c r="AL3201">
        <v>88.161624026650102</v>
      </c>
      <c r="AM3201">
        <v>78.169481561214198</v>
      </c>
      <c r="AN3201">
        <v>1.0000000445282</v>
      </c>
    </row>
    <row r="3202" spans="1:40" x14ac:dyDescent="0.25">
      <c r="A3202" t="str">
        <f>"20190312154618476"</f>
        <v>20190312154618476</v>
      </c>
      <c r="B3202" t="str">
        <f>"1552376778459996"</f>
        <v>1552376778459996</v>
      </c>
      <c r="C3202" t="s">
        <v>40</v>
      </c>
      <c r="D3202">
        <v>4.2086629999999996</v>
      </c>
      <c r="E3202">
        <v>0.56176979999999999</v>
      </c>
      <c r="F3202" t="s">
        <v>42</v>
      </c>
      <c r="G3202">
        <v>-198.2484</v>
      </c>
      <c r="H3202" s="1">
        <v>-5.6781349999999998E-6</v>
      </c>
      <c r="I3202">
        <v>119.3728</v>
      </c>
      <c r="J3202">
        <v>-190.45599999999999</v>
      </c>
      <c r="K3202">
        <v>1.095264</v>
      </c>
      <c r="L3202">
        <v>199.68819999999999</v>
      </c>
      <c r="M3202">
        <v>0.255546</v>
      </c>
      <c r="N3202">
        <v>0</v>
      </c>
      <c r="O3202">
        <v>-0.96665869999999998</v>
      </c>
      <c r="P3202">
        <v>5.5942909999999998E-2</v>
      </c>
      <c r="Q3202">
        <v>2.335665E-2</v>
      </c>
      <c r="R3202">
        <v>-0.99816079999999996</v>
      </c>
      <c r="S3202">
        <v>-0.2901917</v>
      </c>
      <c r="T3202">
        <v>-4.1160580000000002E-2</v>
      </c>
      <c r="U3202">
        <v>-3.0302280000000001</v>
      </c>
      <c r="V3202">
        <v>0.20227229999999999</v>
      </c>
      <c r="W3202">
        <v>3.2351400000000002E-2</v>
      </c>
      <c r="X3202">
        <v>0.97879479999999996</v>
      </c>
      <c r="Y3202">
        <v>0.34657130000000003</v>
      </c>
      <c r="Z3202">
        <v>1.2453270000000001E-2</v>
      </c>
      <c r="AA3202">
        <v>0.93794100000000002</v>
      </c>
      <c r="AB3202">
        <v>30</v>
      </c>
      <c r="AC3202">
        <v>-7.7924000000000104</v>
      </c>
      <c r="AD3202">
        <v>-1.095269678135</v>
      </c>
      <c r="AE3202">
        <v>-80.315399999999997</v>
      </c>
      <c r="AF3202">
        <v>28.0554507707844</v>
      </c>
      <c r="AG3202">
        <v>-1.095269678135</v>
      </c>
      <c r="AH3202">
        <v>75.6424357653041</v>
      </c>
      <c r="AI3202">
        <v>90.777792358903497</v>
      </c>
      <c r="AJ3202">
        <v>69.650401568648107</v>
      </c>
      <c r="AK3202">
        <v>80.685104090705096</v>
      </c>
      <c r="AL3202">
        <v>88.146077792912806</v>
      </c>
      <c r="AM3202">
        <v>78.323933521823193</v>
      </c>
      <c r="AN3202">
        <v>0.99999997846814404</v>
      </c>
    </row>
    <row r="3203" spans="1:40" x14ac:dyDescent="0.25">
      <c r="A3203" t="str">
        <f>"20190312154618497"</f>
        <v>20190312154618497</v>
      </c>
      <c r="B3203" t="str">
        <f>"1552376778490252"</f>
        <v>1552376778490252</v>
      </c>
      <c r="C3203" t="s">
        <v>40</v>
      </c>
      <c r="D3203">
        <v>4.2822839999999998</v>
      </c>
      <c r="E3203">
        <v>0.55988059999999995</v>
      </c>
      <c r="F3203" t="s">
        <v>42</v>
      </c>
      <c r="G3203">
        <v>-200.2372</v>
      </c>
      <c r="H3203">
        <v>7.9985780000000006E-2</v>
      </c>
      <c r="I3203">
        <v>108.1705</v>
      </c>
      <c r="J3203">
        <v>-190.39670000000001</v>
      </c>
      <c r="K3203">
        <v>1.09535</v>
      </c>
      <c r="L3203">
        <v>199.4041</v>
      </c>
      <c r="M3203">
        <v>0.23970859999999999</v>
      </c>
      <c r="N3203">
        <v>0</v>
      </c>
      <c r="O3203">
        <v>-0.97070769999999995</v>
      </c>
      <c r="P3203">
        <v>4.262676E-2</v>
      </c>
      <c r="Q3203">
        <v>2.358849E-2</v>
      </c>
      <c r="R3203">
        <v>-0.9988129</v>
      </c>
      <c r="S3203">
        <v>-0.32324219999999998</v>
      </c>
      <c r="T3203">
        <v>-3.3552409999999998E-2</v>
      </c>
      <c r="U3203">
        <v>-3.024429</v>
      </c>
      <c r="V3203">
        <v>0.19932240000000001</v>
      </c>
      <c r="W3203">
        <v>3.2717410000000002E-2</v>
      </c>
      <c r="X3203">
        <v>0.97938760000000002</v>
      </c>
      <c r="Y3203">
        <v>0.3415494</v>
      </c>
      <c r="Z3203">
        <v>1.024304E-2</v>
      </c>
      <c r="AA3203">
        <v>0.93980799999999998</v>
      </c>
      <c r="AB3203">
        <v>30</v>
      </c>
      <c r="AC3203">
        <v>-9.8404999999999898</v>
      </c>
      <c r="AD3203">
        <v>-1.0153642199999999</v>
      </c>
      <c r="AE3203">
        <v>-91.233599999999996</v>
      </c>
      <c r="AF3203">
        <v>31.422065841832399</v>
      </c>
      <c r="AG3203">
        <v>-1.0153642199999999</v>
      </c>
      <c r="AH3203">
        <v>86.2032333330027</v>
      </c>
      <c r="AI3203">
        <v>90.634035294990596</v>
      </c>
      <c r="AJ3203">
        <v>69.972622639451998</v>
      </c>
      <c r="AK3203">
        <v>91.757150257251496</v>
      </c>
      <c r="AL3203">
        <v>88.125095821095599</v>
      </c>
      <c r="AM3203">
        <v>78.496419323290098</v>
      </c>
      <c r="AN3203">
        <v>0.99999995954631304</v>
      </c>
    </row>
    <row r="3204" spans="1:40" x14ac:dyDescent="0.25">
      <c r="A3204" t="str">
        <f>"20190312154618519"</f>
        <v>20190312154618519</v>
      </c>
      <c r="B3204" t="str">
        <f>"1552376778510750"</f>
        <v>1552376778510750</v>
      </c>
      <c r="C3204" t="s">
        <v>40</v>
      </c>
      <c r="D3204">
        <v>4.1657400000000004</v>
      </c>
      <c r="E3204">
        <v>0.54932060000000005</v>
      </c>
      <c r="F3204" t="s">
        <v>42</v>
      </c>
      <c r="G3204">
        <v>-201.6627</v>
      </c>
      <c r="H3204">
        <v>7.9986269999999998E-2</v>
      </c>
      <c r="I3204">
        <v>101.7299</v>
      </c>
      <c r="J3204">
        <v>-190.33930000000001</v>
      </c>
      <c r="K3204">
        <v>1.095459</v>
      </c>
      <c r="L3204">
        <v>199.10499999999999</v>
      </c>
      <c r="M3204">
        <v>0.22314000000000001</v>
      </c>
      <c r="N3204">
        <v>0</v>
      </c>
      <c r="O3204">
        <v>-0.97465009999999996</v>
      </c>
      <c r="P3204">
        <v>2.7865259999999999E-2</v>
      </c>
      <c r="Q3204">
        <v>2.3561209999999999E-2</v>
      </c>
      <c r="R3204">
        <v>-0.99933419999999895</v>
      </c>
      <c r="S3204">
        <v>-0.34823609999999999</v>
      </c>
      <c r="T3204">
        <v>-3.1385299999999998E-2</v>
      </c>
      <c r="U3204">
        <v>-3.0191499999999998</v>
      </c>
      <c r="V3204">
        <v>0.19709930000000001</v>
      </c>
      <c r="W3204">
        <v>3.280272E-2</v>
      </c>
      <c r="X3204">
        <v>0.9798346</v>
      </c>
      <c r="Y3204">
        <v>0.33338689999999999</v>
      </c>
      <c r="Z3204">
        <v>9.6705000000000003E-3</v>
      </c>
      <c r="AA3204">
        <v>0.94274049999999998</v>
      </c>
      <c r="AB3204">
        <v>30</v>
      </c>
      <c r="AC3204">
        <v>-11.3233999999999</v>
      </c>
      <c r="AD3204">
        <v>-1.0154727299999999</v>
      </c>
      <c r="AE3204">
        <v>-97.375100000000003</v>
      </c>
      <c r="AF3204">
        <v>32.765470985536297</v>
      </c>
      <c r="AG3204">
        <v>-1.0154727299999999</v>
      </c>
      <c r="AH3204">
        <v>92.3823108654028</v>
      </c>
      <c r="AI3204">
        <v>90.593550041656698</v>
      </c>
      <c r="AJ3204">
        <v>70.471800434126493</v>
      </c>
      <c r="AK3204">
        <v>98.026009990212899</v>
      </c>
      <c r="AL3204">
        <v>88.120205365107097</v>
      </c>
      <c r="AM3204">
        <v>78.626412599111802</v>
      </c>
      <c r="AN3204">
        <v>0.99999999792852401</v>
      </c>
    </row>
    <row r="3205" spans="1:40" x14ac:dyDescent="0.25">
      <c r="A3205" t="str">
        <f>"20190312154618631"</f>
        <v>20190312154618631</v>
      </c>
      <c r="B3205" t="str">
        <f>"1552376778620060"</f>
        <v>1552376778620060</v>
      </c>
      <c r="C3205" t="s">
        <v>40</v>
      </c>
      <c r="D3205">
        <v>3.6109979999999999</v>
      </c>
      <c r="E3205">
        <v>0.54864329999999994</v>
      </c>
      <c r="F3205" t="s">
        <v>70</v>
      </c>
      <c r="G3205">
        <v>-211.07</v>
      </c>
      <c r="H3205">
        <v>2.0699670000000001</v>
      </c>
      <c r="I3205">
        <v>-2.9110990000000001</v>
      </c>
      <c r="J3205">
        <v>-190.1249</v>
      </c>
      <c r="K3205">
        <v>1.096589</v>
      </c>
      <c r="L3205">
        <v>197.5874</v>
      </c>
      <c r="M3205">
        <v>0.1425997</v>
      </c>
      <c r="N3205">
        <v>0</v>
      </c>
      <c r="O3205">
        <v>-0.98965099999999995</v>
      </c>
      <c r="P3205">
        <v>-4.4027040000000003E-2</v>
      </c>
      <c r="Q3205">
        <v>1.9848930000000001E-2</v>
      </c>
      <c r="R3205">
        <v>-0.99883350000000004</v>
      </c>
      <c r="S3205">
        <v>-0.30891420000000003</v>
      </c>
      <c r="T3205">
        <v>1.4521360000000001E-2</v>
      </c>
      <c r="U3205">
        <v>-3.0103</v>
      </c>
      <c r="V3205">
        <v>0.18705759999999999</v>
      </c>
      <c r="W3205">
        <v>2.9696699999999999E-2</v>
      </c>
      <c r="X3205">
        <v>0.9819</v>
      </c>
      <c r="Y3205">
        <v>0.2429113</v>
      </c>
      <c r="Z3205">
        <v>-4.6651990000000001E-3</v>
      </c>
      <c r="AA3205">
        <v>0.97003729999999999</v>
      </c>
      <c r="AB3205">
        <v>30</v>
      </c>
      <c r="AC3205">
        <v>-20.9451</v>
      </c>
      <c r="AD3205">
        <v>0.97337799999999897</v>
      </c>
      <c r="AE3205">
        <v>-200.49849900000001</v>
      </c>
      <c r="AF3205">
        <v>49.324534599617003</v>
      </c>
      <c r="AG3205">
        <v>0.97337799999999897</v>
      </c>
      <c r="AH3205">
        <v>195.45726064436499</v>
      </c>
      <c r="AI3205">
        <v>89.723342211847395</v>
      </c>
      <c r="AJ3205">
        <v>75.836855371642599</v>
      </c>
      <c r="AK3205">
        <v>201.587196807731</v>
      </c>
      <c r="AL3205">
        <v>88.298254277753898</v>
      </c>
      <c r="AM3205">
        <v>79.214067571690705</v>
      </c>
      <c r="AN3205">
        <v>1.0000000248543199</v>
      </c>
    </row>
    <row r="3206" spans="1:40" x14ac:dyDescent="0.25">
      <c r="A3206" t="str">
        <f>"20190312154618653"</f>
        <v>20190312154618653</v>
      </c>
      <c r="B3206" t="str">
        <f>"1552376778650317"</f>
        <v>1552376778650317</v>
      </c>
      <c r="C3206" t="s">
        <v>40</v>
      </c>
      <c r="D3206">
        <v>4.3789569999999998</v>
      </c>
      <c r="E3206">
        <v>0.53210349999999995</v>
      </c>
      <c r="F3206" t="s">
        <v>42</v>
      </c>
      <c r="G3206">
        <v>-190.69810000000001</v>
      </c>
      <c r="H3206" s="1">
        <v>-2.116054E-6</v>
      </c>
      <c r="I3206">
        <v>194.08869999999999</v>
      </c>
      <c r="J3206">
        <v>-190.09690000000001</v>
      </c>
      <c r="K3206">
        <v>1.0968910000000001</v>
      </c>
      <c r="L3206">
        <v>197.2929</v>
      </c>
      <c r="M3206">
        <v>0.12792770000000001</v>
      </c>
      <c r="N3206">
        <v>0</v>
      </c>
      <c r="O3206">
        <v>-0.99165550000000002</v>
      </c>
      <c r="P3206">
        <v>-5.6564160000000002E-2</v>
      </c>
      <c r="Q3206">
        <v>1.855205E-2</v>
      </c>
      <c r="R3206">
        <v>-0.99822679999999997</v>
      </c>
      <c r="S3206">
        <v>-0.49160769999999998</v>
      </c>
      <c r="T3206">
        <v>-0.94045259999999997</v>
      </c>
      <c r="U3206">
        <v>-3.0005039999999998</v>
      </c>
      <c r="V3206">
        <v>0.18478320000000001</v>
      </c>
      <c r="W3206">
        <v>2.853609E-2</v>
      </c>
      <c r="X3206">
        <v>0.98236500000000004</v>
      </c>
      <c r="Y3206">
        <v>0.2796035</v>
      </c>
      <c r="Z3206">
        <v>0.28766150000000001</v>
      </c>
      <c r="AA3206">
        <v>0.91600910000000002</v>
      </c>
      <c r="AB3206">
        <v>30</v>
      </c>
      <c r="AC3206">
        <v>-0.60120000000000495</v>
      </c>
      <c r="AD3206">
        <v>-1.0968931160539901</v>
      </c>
      <c r="AE3206">
        <v>-3.2042000000000099</v>
      </c>
      <c r="AF3206">
        <v>0.90389238230258595</v>
      </c>
      <c r="AG3206">
        <v>-1.0968931160539901</v>
      </c>
      <c r="AH3206">
        <v>2.7856035521895501</v>
      </c>
      <c r="AI3206">
        <v>110.53329512616401</v>
      </c>
      <c r="AJ3206">
        <v>72.022422613120796</v>
      </c>
      <c r="AK3206">
        <v>3.1272644750328298</v>
      </c>
      <c r="AL3206">
        <v>88.364780607624695</v>
      </c>
      <c r="AM3206">
        <v>79.347119055552596</v>
      </c>
      <c r="AN3206">
        <v>1.00000006632986</v>
      </c>
    </row>
    <row r="3207" spans="1:40" x14ac:dyDescent="0.25">
      <c r="A3207" t="str">
        <f>"20190312154618675"</f>
        <v>20190312154618675</v>
      </c>
      <c r="B3207" t="str">
        <f>"1552376778670813"</f>
        <v>1552376778670813</v>
      </c>
      <c r="C3207" t="s">
        <v>40</v>
      </c>
      <c r="D3207">
        <v>4.3322690000000001</v>
      </c>
      <c r="E3207">
        <v>0.52718069999999995</v>
      </c>
      <c r="F3207" t="s">
        <v>41</v>
      </c>
      <c r="G3207">
        <v>-190.2081</v>
      </c>
      <c r="H3207">
        <v>0.89916659999999904</v>
      </c>
      <c r="I3207">
        <v>196.46559999999999</v>
      </c>
      <c r="J3207">
        <v>-190.0728</v>
      </c>
      <c r="K3207">
        <v>1.097229</v>
      </c>
      <c r="L3207">
        <v>196.99700000000001</v>
      </c>
      <c r="M3207">
        <v>0.1135934</v>
      </c>
      <c r="N3207">
        <v>0</v>
      </c>
      <c r="O3207">
        <v>-0.99340079999999997</v>
      </c>
      <c r="P3207">
        <v>-6.8262959999999998E-2</v>
      </c>
      <c r="Q3207">
        <v>1.8531410000000002E-2</v>
      </c>
      <c r="R3207">
        <v>-0.99749509999999997</v>
      </c>
      <c r="S3207">
        <v>-0.40234379999999997</v>
      </c>
      <c r="T3207">
        <v>-0.715607199999999</v>
      </c>
      <c r="U3207">
        <v>-2.9958650000000002</v>
      </c>
      <c r="V3207">
        <v>0.1820869</v>
      </c>
      <c r="W3207">
        <v>2.8668119999999998E-2</v>
      </c>
      <c r="X3207">
        <v>0.98286439999999997</v>
      </c>
      <c r="Y3207">
        <v>0.24133640000000001</v>
      </c>
      <c r="Z3207">
        <v>0.22567190000000001</v>
      </c>
      <c r="AA3207">
        <v>0.94383729999999999</v>
      </c>
      <c r="AB3207">
        <v>30</v>
      </c>
      <c r="AC3207">
        <v>-0.1353</v>
      </c>
      <c r="AD3207">
        <v>-0.1980624</v>
      </c>
      <c r="AE3207">
        <v>-0.53140000000001897</v>
      </c>
      <c r="AF3207">
        <v>0.17231472251763599</v>
      </c>
      <c r="AG3207">
        <v>-0.1980624</v>
      </c>
      <c r="AH3207">
        <v>0.45343292497340199</v>
      </c>
      <c r="AI3207">
        <v>112.210998627263</v>
      </c>
      <c r="AJ3207">
        <v>69.192081535604501</v>
      </c>
      <c r="AK3207">
        <v>0.523948943447761</v>
      </c>
      <c r="AL3207">
        <v>88.357212582865799</v>
      </c>
      <c r="AM3207">
        <v>79.504297368162199</v>
      </c>
      <c r="AN3207">
        <v>0.99999996452165096</v>
      </c>
    </row>
    <row r="3208" spans="1:40" x14ac:dyDescent="0.25">
      <c r="A3208" t="str">
        <f>"20190312154618698"</f>
        <v>20190312154618698</v>
      </c>
      <c r="B3208" t="str">
        <f>"1552376778690333"</f>
        <v>1552376778690333</v>
      </c>
      <c r="C3208" t="s">
        <v>40</v>
      </c>
      <c r="D3208">
        <v>4.3224260000000001</v>
      </c>
      <c r="E3208">
        <v>0.52390800000000004</v>
      </c>
      <c r="F3208" t="s">
        <v>41</v>
      </c>
      <c r="G3208">
        <v>-190.18260000000001</v>
      </c>
      <c r="H3208">
        <v>0.93956530000000005</v>
      </c>
      <c r="I3208">
        <v>196.1807</v>
      </c>
      <c r="J3208">
        <v>-190.05250000000001</v>
      </c>
      <c r="K3208">
        <v>1.0976109999999999</v>
      </c>
      <c r="L3208">
        <v>196.69749999999999</v>
      </c>
      <c r="M3208">
        <v>9.9554779999999995E-2</v>
      </c>
      <c r="N3208">
        <v>0</v>
      </c>
      <c r="O3208">
        <v>-0.99490730000000005</v>
      </c>
      <c r="P3208">
        <v>-7.9148140000000006E-2</v>
      </c>
      <c r="Q3208">
        <v>1.8942170000000001E-2</v>
      </c>
      <c r="R3208">
        <v>-0.99668299999999999</v>
      </c>
      <c r="S3208">
        <v>-0.401947</v>
      </c>
      <c r="T3208">
        <v>-0.57743469999999997</v>
      </c>
      <c r="U3208">
        <v>-2.9907379999999999</v>
      </c>
      <c r="V3208">
        <v>0.17892</v>
      </c>
      <c r="W3208">
        <v>2.9250089999999999E-2</v>
      </c>
      <c r="X3208">
        <v>0.98342870000000004</v>
      </c>
      <c r="Y3208">
        <v>0.2288869</v>
      </c>
      <c r="Z3208">
        <v>0.1848368</v>
      </c>
      <c r="AA3208">
        <v>0.95574369999999997</v>
      </c>
      <c r="AB3208">
        <v>30</v>
      </c>
      <c r="AC3208">
        <v>-0.130099999999998</v>
      </c>
      <c r="AD3208">
        <v>-0.15804570000000001</v>
      </c>
      <c r="AE3208">
        <v>-0.51679999999998905</v>
      </c>
      <c r="AF3208">
        <v>0.16628508707993001</v>
      </c>
      <c r="AG3208">
        <v>-0.15804570000000001</v>
      </c>
      <c r="AH3208">
        <v>0.46075498818006499</v>
      </c>
      <c r="AI3208">
        <v>107.882078212544</v>
      </c>
      <c r="AJ3208">
        <v>70.155639506351903</v>
      </c>
      <c r="AK3208">
        <v>0.51470800713266796</v>
      </c>
      <c r="AL3208">
        <v>88.323854176778397</v>
      </c>
      <c r="AM3208">
        <v>79.688680327319304</v>
      </c>
      <c r="AN3208">
        <v>0.99999997107434802</v>
      </c>
    </row>
    <row r="3209" spans="1:40" x14ac:dyDescent="0.25">
      <c r="A3209" t="str">
        <f>"20190312154618719"</f>
        <v>20190312154618719</v>
      </c>
      <c r="B3209" t="str">
        <f>"1552376778710829"</f>
        <v>1552376778710829</v>
      </c>
      <c r="C3209" t="s">
        <v>40</v>
      </c>
      <c r="D3209">
        <v>4.3105010000000004</v>
      </c>
      <c r="E3209">
        <v>0.52061829999999998</v>
      </c>
      <c r="F3209" t="s">
        <v>41</v>
      </c>
      <c r="G3209">
        <v>-190.16239999999999</v>
      </c>
      <c r="H3209">
        <v>0.97102259999999996</v>
      </c>
      <c r="I3209">
        <v>195.899</v>
      </c>
      <c r="J3209">
        <v>-190.03569999999999</v>
      </c>
      <c r="K3209">
        <v>1.0980350000000001</v>
      </c>
      <c r="L3209">
        <v>196.39400000000001</v>
      </c>
      <c r="M3209">
        <v>8.5844459999999997E-2</v>
      </c>
      <c r="N3209">
        <v>0</v>
      </c>
      <c r="O3209">
        <v>-0.9961854</v>
      </c>
      <c r="P3209">
        <v>-8.9547119999999994E-2</v>
      </c>
      <c r="Q3209">
        <v>1.988647E-2</v>
      </c>
      <c r="R3209">
        <v>-0.99578409999999995</v>
      </c>
      <c r="S3209">
        <v>-0.41081240000000002</v>
      </c>
      <c r="T3209">
        <v>-0.47330549999999999</v>
      </c>
      <c r="U3209">
        <v>-2.986389</v>
      </c>
      <c r="V3209">
        <v>0.17563399999999901</v>
      </c>
      <c r="W3209">
        <v>3.0373979999999998E-2</v>
      </c>
      <c r="X3209">
        <v>0.9839869</v>
      </c>
      <c r="Y3209">
        <v>0.2192045</v>
      </c>
      <c r="Z3209">
        <v>0.15305639999999901</v>
      </c>
      <c r="AA3209">
        <v>0.96359899999999998</v>
      </c>
      <c r="AB3209">
        <v>30</v>
      </c>
      <c r="AC3209">
        <v>-0.12669999999999901</v>
      </c>
      <c r="AD3209">
        <v>-0.1270124</v>
      </c>
      <c r="AE3209">
        <v>-0.49500000000000399</v>
      </c>
      <c r="AF3209">
        <v>0.158911188691157</v>
      </c>
      <c r="AG3209">
        <v>-0.1270124</v>
      </c>
      <c r="AH3209">
        <v>0.45422748379936201</v>
      </c>
      <c r="AI3209">
        <v>104.785292056155</v>
      </c>
      <c r="AJ3209">
        <v>70.717643914074799</v>
      </c>
      <c r="AK3209">
        <v>0.497702242996449</v>
      </c>
      <c r="AL3209">
        <v>88.259431520801996</v>
      </c>
      <c r="AM3209">
        <v>79.879726828744396</v>
      </c>
      <c r="AN3209">
        <v>1.00000004999432</v>
      </c>
    </row>
    <row r="3210" spans="1:40" x14ac:dyDescent="0.25">
      <c r="A3210" t="str">
        <f>"20190312154618742"</f>
        <v>20190312154618742</v>
      </c>
      <c r="B3210" t="str">
        <f>"1552376778730349"</f>
        <v>1552376778730349</v>
      </c>
      <c r="C3210" t="s">
        <v>40</v>
      </c>
      <c r="D3210">
        <v>4.3766689999999997</v>
      </c>
      <c r="E3210">
        <v>0.51924049999999999</v>
      </c>
      <c r="F3210" t="s">
        <v>41</v>
      </c>
      <c r="G3210">
        <v>-190.14400000000001</v>
      </c>
      <c r="H3210">
        <v>0.99360800000000005</v>
      </c>
      <c r="I3210">
        <v>195.62129999999999</v>
      </c>
      <c r="J3210">
        <v>-190.02289999999999</v>
      </c>
      <c r="K3210">
        <v>1.098487</v>
      </c>
      <c r="L3210">
        <v>196.09620000000001</v>
      </c>
      <c r="M3210">
        <v>7.2925840000000006E-2</v>
      </c>
      <c r="N3210">
        <v>0</v>
      </c>
      <c r="O3210">
        <v>-0.99721599999999999</v>
      </c>
      <c r="P3210">
        <v>-9.8472749999999998E-2</v>
      </c>
      <c r="Q3210">
        <v>2.0802049999999999E-2</v>
      </c>
      <c r="R3210">
        <v>-0.99492230000000004</v>
      </c>
      <c r="S3210">
        <v>-0.417572</v>
      </c>
      <c r="T3210">
        <v>-0.40286830000000001</v>
      </c>
      <c r="U3210">
        <v>-2.983215</v>
      </c>
      <c r="V3210">
        <v>0.17169100000000001</v>
      </c>
      <c r="W3210">
        <v>3.1490669999999998E-2</v>
      </c>
      <c r="X3210">
        <v>0.98464750000000001</v>
      </c>
      <c r="Y3210">
        <v>0.2092754</v>
      </c>
      <c r="Z3210">
        <v>0.13118339999999901</v>
      </c>
      <c r="AA3210">
        <v>0.96901740000000003</v>
      </c>
      <c r="AB3210">
        <v>30</v>
      </c>
      <c r="AC3210">
        <v>-0.121100000000012</v>
      </c>
      <c r="AD3210">
        <v>-0.104878999999999</v>
      </c>
      <c r="AE3210">
        <v>-0.47490000000001897</v>
      </c>
      <c r="AF3210">
        <v>0.148608699227123</v>
      </c>
      <c r="AG3210">
        <v>-0.104878999999999</v>
      </c>
      <c r="AH3210">
        <v>0.44444950580089199</v>
      </c>
      <c r="AI3210">
        <v>102.614716758388</v>
      </c>
      <c r="AJ3210">
        <v>71.511829072355198</v>
      </c>
      <c r="AK3210">
        <v>0.480228605284645</v>
      </c>
      <c r="AL3210">
        <v>88.195419320670197</v>
      </c>
      <c r="AM3210">
        <v>80.1088940482515</v>
      </c>
      <c r="AN3210">
        <v>1.0000000805171401</v>
      </c>
    </row>
    <row r="3211" spans="1:40" x14ac:dyDescent="0.25">
      <c r="A3211" t="str">
        <f>"20190312154618764"</f>
        <v>20190312154618764</v>
      </c>
      <c r="B3211" t="str">
        <f>"1552376778760605"</f>
        <v>1552376778760605</v>
      </c>
      <c r="C3211" t="s">
        <v>40</v>
      </c>
      <c r="D3211">
        <v>4.3983610000000004</v>
      </c>
      <c r="E3211">
        <v>0.50100529999999999</v>
      </c>
      <c r="F3211" t="s">
        <v>41</v>
      </c>
      <c r="G3211">
        <v>-190.1318</v>
      </c>
      <c r="H3211">
        <v>1.0046389999999901</v>
      </c>
      <c r="I3211">
        <v>195.34880000000001</v>
      </c>
      <c r="J3211">
        <v>-190.01349999999999</v>
      </c>
      <c r="K3211">
        <v>1.09897</v>
      </c>
      <c r="L3211">
        <v>195.79689999999999</v>
      </c>
      <c r="M3211">
        <v>6.0521239999999997E-2</v>
      </c>
      <c r="N3211">
        <v>0</v>
      </c>
      <c r="O3211">
        <v>-0.99804720000000002</v>
      </c>
      <c r="P3211">
        <v>-0.10818510000000001</v>
      </c>
      <c r="Q3211">
        <v>2.123997E-2</v>
      </c>
      <c r="R3211">
        <v>-0.99390389999999995</v>
      </c>
      <c r="S3211">
        <v>-0.43394470000000002</v>
      </c>
      <c r="T3211">
        <v>-0.37436229999999998</v>
      </c>
      <c r="U3211">
        <v>-2.980194</v>
      </c>
      <c r="V3211">
        <v>0.16903660000000001</v>
      </c>
      <c r="W3211">
        <v>3.2091649999999999E-2</v>
      </c>
      <c r="X3211">
        <v>0.98508720000000005</v>
      </c>
      <c r="Y3211">
        <v>0.20263300000000001</v>
      </c>
      <c r="Z3211">
        <v>0.12236470000000001</v>
      </c>
      <c r="AA3211">
        <v>0.97157950000000004</v>
      </c>
      <c r="AB3211">
        <v>30</v>
      </c>
      <c r="AC3211">
        <v>-0.118300000000004</v>
      </c>
      <c r="AD3211">
        <v>-9.4331000000000095E-2</v>
      </c>
      <c r="AE3211">
        <v>-0.44809999999998201</v>
      </c>
      <c r="AF3211">
        <v>0.139429562506619</v>
      </c>
      <c r="AG3211">
        <v>-9.4331000000000095E-2</v>
      </c>
      <c r="AH3211">
        <v>0.42260984034190802</v>
      </c>
      <c r="AI3211">
        <v>101.967946612074</v>
      </c>
      <c r="AJ3211">
        <v>71.740983984409795</v>
      </c>
      <c r="AK3211">
        <v>0.45490440491997902</v>
      </c>
      <c r="AL3211">
        <v>88.160968178099097</v>
      </c>
      <c r="AM3211">
        <v>80.263126533916505</v>
      </c>
      <c r="AN3211">
        <v>1.0000000188715601</v>
      </c>
    </row>
    <row r="3212" spans="1:40" x14ac:dyDescent="0.25">
      <c r="A3212" t="str">
        <f>"20190312154618786"</f>
        <v>20190312154618786</v>
      </c>
      <c r="B3212" t="str">
        <f>"1552376778780125"</f>
        <v>1552376778780125</v>
      </c>
      <c r="C3212" t="s">
        <v>40</v>
      </c>
      <c r="D3212">
        <v>4.446275</v>
      </c>
      <c r="E3212">
        <v>0.49838539999999998</v>
      </c>
      <c r="F3212" t="s">
        <v>52</v>
      </c>
      <c r="G3212">
        <v>-197.13239999999999</v>
      </c>
      <c r="H3212" s="1">
        <v>-6.4511269999999996E-6</v>
      </c>
      <c r="I3212">
        <v>131.17490000000001</v>
      </c>
      <c r="J3212">
        <v>-190.00749999999999</v>
      </c>
      <c r="K3212">
        <v>1.099464</v>
      </c>
      <c r="L3212">
        <v>195.4982</v>
      </c>
      <c r="M3212">
        <v>4.8737129999999997E-2</v>
      </c>
      <c r="N3212">
        <v>0</v>
      </c>
      <c r="O3212">
        <v>-0.99869370000000002</v>
      </c>
      <c r="P3212">
        <v>-0.1176891</v>
      </c>
      <c r="Q3212">
        <v>2.0770150000000001E-2</v>
      </c>
      <c r="R3212">
        <v>-0.99283310000000002</v>
      </c>
      <c r="S3212">
        <v>-0.32868960000000003</v>
      </c>
      <c r="T3212">
        <v>-5.0741550000000003E-2</v>
      </c>
      <c r="U3212">
        <v>-2.9837039999999999</v>
      </c>
      <c r="V3212">
        <v>0.16678270000000001</v>
      </c>
      <c r="W3212">
        <v>3.176996E-2</v>
      </c>
      <c r="X3212">
        <v>0.98548170000000002</v>
      </c>
      <c r="Y3212">
        <v>0.15780329999999901</v>
      </c>
      <c r="Z3212">
        <v>1.6816049999999999E-2</v>
      </c>
      <c r="AA3212">
        <v>0.98732739999999997</v>
      </c>
      <c r="AB3212">
        <v>30</v>
      </c>
      <c r="AC3212">
        <v>-7.1248999999999896</v>
      </c>
      <c r="AD3212">
        <v>-1.0994704511269999</v>
      </c>
      <c r="AE3212">
        <v>-64.323299999999904</v>
      </c>
      <c r="AF3212">
        <v>10.248775373535899</v>
      </c>
      <c r="AG3212">
        <v>-1.0994704511269999</v>
      </c>
      <c r="AH3212">
        <v>63.881116943864498</v>
      </c>
      <c r="AI3212">
        <v>90.973583861313202</v>
      </c>
      <c r="AJ3212">
        <v>80.885415860553906</v>
      </c>
      <c r="AK3212">
        <v>64.707366921594001</v>
      </c>
      <c r="AL3212">
        <v>88.179409008277901</v>
      </c>
      <c r="AM3212">
        <v>80.394294285659498</v>
      </c>
      <c r="AN3212">
        <v>0.99999999020629005</v>
      </c>
    </row>
    <row r="3213" spans="1:40" x14ac:dyDescent="0.25">
      <c r="A3213" t="str">
        <f>"20190312154618810"</f>
        <v>20190312154618810</v>
      </c>
      <c r="B3213" t="str">
        <f>"1552376778800620"</f>
        <v>1552376778800620</v>
      </c>
      <c r="C3213" t="s">
        <v>40</v>
      </c>
      <c r="D3213">
        <v>4.4523710000000003</v>
      </c>
      <c r="E3213">
        <v>0.49705199999999999</v>
      </c>
      <c r="F3213" t="s">
        <v>52</v>
      </c>
      <c r="G3213">
        <v>-197.9341</v>
      </c>
      <c r="H3213" s="1">
        <v>-4.7445860000000003E-6</v>
      </c>
      <c r="I3213">
        <v>125.173</v>
      </c>
      <c r="J3213">
        <v>-190.00460000000001</v>
      </c>
      <c r="K3213">
        <v>1.099947</v>
      </c>
      <c r="L3213">
        <v>195.17769999999999</v>
      </c>
      <c r="M3213">
        <v>3.66282E-2</v>
      </c>
      <c r="N3213">
        <v>0</v>
      </c>
      <c r="O3213">
        <v>-0.99921269999999995</v>
      </c>
      <c r="P3213">
        <v>-0.1273667</v>
      </c>
      <c r="Q3213">
        <v>1.9779060000000001E-2</v>
      </c>
      <c r="R3213">
        <v>-0.99165890000000001</v>
      </c>
      <c r="S3213">
        <v>-0.33619690000000002</v>
      </c>
      <c r="T3213">
        <v>-4.6632890000000003E-2</v>
      </c>
      <c r="U3213">
        <v>-2.9827729999999999</v>
      </c>
      <c r="V3213">
        <v>0.16438699999999901</v>
      </c>
      <c r="W3213">
        <v>3.0919220000000001E-2</v>
      </c>
      <c r="X3213">
        <v>0.98591119999999999</v>
      </c>
      <c r="Y3213">
        <v>0.148317</v>
      </c>
      <c r="Z3213">
        <v>1.548096E-2</v>
      </c>
      <c r="AA3213">
        <v>0.98881870000000005</v>
      </c>
      <c r="AB3213">
        <v>30</v>
      </c>
      <c r="AC3213">
        <v>-7.9294999999999902</v>
      </c>
      <c r="AD3213">
        <v>-1.0999517445860001</v>
      </c>
      <c r="AE3213">
        <v>-70.0047</v>
      </c>
      <c r="AF3213">
        <v>10.486065823955199</v>
      </c>
      <c r="AG3213">
        <v>-1.0999517445860001</v>
      </c>
      <c r="AH3213">
        <v>69.650258525477</v>
      </c>
      <c r="AI3213">
        <v>90.894687293898102</v>
      </c>
      <c r="AJ3213">
        <v>81.438241148420104</v>
      </c>
      <c r="AK3213">
        <v>70.443778880540805</v>
      </c>
      <c r="AL3213">
        <v>88.228176782401704</v>
      </c>
      <c r="AM3213">
        <v>80.533806464568499</v>
      </c>
      <c r="AN3213">
        <v>0.99999998910992405</v>
      </c>
    </row>
    <row r="3214" spans="1:40" x14ac:dyDescent="0.25">
      <c r="A3214" t="str">
        <f>"20190312154618831"</f>
        <v>20190312154618831</v>
      </c>
      <c r="B3214" t="str">
        <f>"1552376778820141"</f>
        <v>1552376778820141</v>
      </c>
      <c r="C3214" t="s">
        <v>40</v>
      </c>
      <c r="D3214">
        <v>4.5089860000000002</v>
      </c>
      <c r="E3214">
        <v>0.49481560000000002</v>
      </c>
      <c r="F3214" t="s">
        <v>52</v>
      </c>
      <c r="G3214">
        <v>-198.44479999999999</v>
      </c>
      <c r="H3214" s="1">
        <v>-4.487575E-6</v>
      </c>
      <c r="I3214">
        <v>124.3219</v>
      </c>
      <c r="J3214">
        <v>-190.00479999999999</v>
      </c>
      <c r="K3214">
        <v>1.1003510000000001</v>
      </c>
      <c r="L3214">
        <v>194.88980000000001</v>
      </c>
      <c r="M3214">
        <v>2.619844E-2</v>
      </c>
      <c r="N3214">
        <v>0</v>
      </c>
      <c r="O3214">
        <v>-0.99954219999999905</v>
      </c>
      <c r="P3214">
        <v>-0.1339775</v>
      </c>
      <c r="Q3214">
        <v>1.839491E-2</v>
      </c>
      <c r="R3214">
        <v>-0.99081379999999997</v>
      </c>
      <c r="S3214">
        <v>-0.35504150000000001</v>
      </c>
      <c r="T3214">
        <v>-4.6269890000000001E-2</v>
      </c>
      <c r="U3214">
        <v>-2.9805760000000001</v>
      </c>
      <c r="V3214">
        <v>0.16061010000000001</v>
      </c>
      <c r="W3214">
        <v>2.9690979999999999E-2</v>
      </c>
      <c r="X3214">
        <v>0.98657130000000004</v>
      </c>
      <c r="Y3214">
        <v>0.14424509999999999</v>
      </c>
      <c r="Z3214">
        <v>1.537843E-2</v>
      </c>
      <c r="AA3214">
        <v>0.98942249999999998</v>
      </c>
      <c r="AB3214">
        <v>30</v>
      </c>
      <c r="AC3214">
        <v>-8.4399999999999906</v>
      </c>
      <c r="AD3214">
        <v>-1.1003554875749999</v>
      </c>
      <c r="AE3214">
        <v>-70.567899999999995</v>
      </c>
      <c r="AF3214">
        <v>10.283617981458899</v>
      </c>
      <c r="AG3214">
        <v>-1.1003554875749999</v>
      </c>
      <c r="AH3214">
        <v>70.305679839179803</v>
      </c>
      <c r="AI3214">
        <v>90.887224791797394</v>
      </c>
      <c r="AJ3214">
        <v>81.678353473004293</v>
      </c>
      <c r="AK3214">
        <v>71.062312083388306</v>
      </c>
      <c r="AL3214">
        <v>88.298582187193801</v>
      </c>
      <c r="AM3214">
        <v>80.753577795279796</v>
      </c>
      <c r="AN3214">
        <v>1.00000004424952</v>
      </c>
    </row>
    <row r="3215" spans="1:40" x14ac:dyDescent="0.25">
      <c r="A3215" t="str">
        <f>"20190312154618856"</f>
        <v>20190312154618856</v>
      </c>
      <c r="B3215" t="str">
        <f>"1552376778850398"</f>
        <v>1552376778850398</v>
      </c>
      <c r="C3215" t="s">
        <v>40</v>
      </c>
      <c r="D3215">
        <v>4.513439</v>
      </c>
      <c r="E3215">
        <v>0.49174609999999902</v>
      </c>
      <c r="F3215" t="s">
        <v>52</v>
      </c>
      <c r="G3215">
        <v>-197.56360000000001</v>
      </c>
      <c r="H3215" s="1">
        <v>-6.7233889999999998E-6</v>
      </c>
      <c r="I3215">
        <v>131.8417</v>
      </c>
      <c r="J3215">
        <v>-190.00810000000001</v>
      </c>
      <c r="K3215">
        <v>1.100786</v>
      </c>
      <c r="L3215">
        <v>194.57</v>
      </c>
      <c r="M3215">
        <v>1.512281E-2</v>
      </c>
      <c r="N3215">
        <v>0</v>
      </c>
      <c r="O3215">
        <v>-0.99977249999999995</v>
      </c>
      <c r="P3215">
        <v>-0.1406637</v>
      </c>
      <c r="Q3215">
        <v>1.7832850000000001E-2</v>
      </c>
      <c r="R3215">
        <v>-0.98989680000000002</v>
      </c>
      <c r="S3215">
        <v>-0.35733029999999999</v>
      </c>
      <c r="T3215">
        <v>-5.2017090000000002E-2</v>
      </c>
      <c r="U3215">
        <v>-2.9804689999999998</v>
      </c>
      <c r="V3215">
        <v>0.15629419999999999</v>
      </c>
      <c r="W3215">
        <v>2.9293940000000001E-2</v>
      </c>
      <c r="X3215">
        <v>0.98727600000000004</v>
      </c>
      <c r="Y3215">
        <v>0.1340237</v>
      </c>
      <c r="Z3215">
        <v>1.730634E-2</v>
      </c>
      <c r="AA3215">
        <v>0.99082700000000001</v>
      </c>
      <c r="AB3215">
        <v>30</v>
      </c>
      <c r="AC3215">
        <v>-7.5554999999999897</v>
      </c>
      <c r="AD3215">
        <v>-1.100792723389</v>
      </c>
      <c r="AE3215">
        <v>-62.728299999999898</v>
      </c>
      <c r="AF3215">
        <v>8.5007908737575697</v>
      </c>
      <c r="AG3215">
        <v>-1.100792723389</v>
      </c>
      <c r="AH3215">
        <v>62.5878532100743</v>
      </c>
      <c r="AI3215">
        <v>90.998446572485605</v>
      </c>
      <c r="AJ3215">
        <v>82.265317985319697</v>
      </c>
      <c r="AK3215">
        <v>63.172102700045002</v>
      </c>
      <c r="AL3215">
        <v>88.321340654427303</v>
      </c>
      <c r="AM3215">
        <v>81.004243649365193</v>
      </c>
      <c r="AN3215">
        <v>0.99999995602518099</v>
      </c>
    </row>
    <row r="3216" spans="1:40" x14ac:dyDescent="0.25">
      <c r="A3216" t="str">
        <f>"20190312154618876"</f>
        <v>20190312154618876</v>
      </c>
      <c r="B3216" t="str">
        <f>"1552376778870896"</f>
        <v>1552376778870896</v>
      </c>
      <c r="C3216" t="s">
        <v>40</v>
      </c>
      <c r="D3216">
        <v>4.5598150000000004</v>
      </c>
      <c r="E3216">
        <v>0.49001539999999999</v>
      </c>
      <c r="F3216" t="s">
        <v>52</v>
      </c>
      <c r="G3216">
        <v>-196.7501</v>
      </c>
      <c r="H3216" s="1">
        <v>-8.4200799999999995E-6</v>
      </c>
      <c r="I3216">
        <v>137.7227</v>
      </c>
      <c r="J3216">
        <v>-190.01349999999999</v>
      </c>
      <c r="K3216">
        <v>1.101173</v>
      </c>
      <c r="L3216">
        <v>194.2929</v>
      </c>
      <c r="M3216">
        <v>5.9566860000000001E-3</v>
      </c>
      <c r="N3216">
        <v>0</v>
      </c>
      <c r="O3216">
        <v>-0.99987040000000005</v>
      </c>
      <c r="P3216">
        <v>-0.1450948</v>
      </c>
      <c r="Q3216">
        <v>1.7672319999999998E-2</v>
      </c>
      <c r="R3216">
        <v>-0.98926029999999998</v>
      </c>
      <c r="S3216">
        <v>-0.35359190000000001</v>
      </c>
      <c r="T3216">
        <v>-5.773234E-2</v>
      </c>
      <c r="U3216">
        <v>-2.9814150000000001</v>
      </c>
      <c r="V3216">
        <v>0.1516306</v>
      </c>
      <c r="W3216">
        <v>2.9292039999999998E-2</v>
      </c>
      <c r="X3216">
        <v>0.98800310000000002</v>
      </c>
      <c r="Y3216">
        <v>0.12366539999999999</v>
      </c>
      <c r="Z3216">
        <v>1.9218309999999999E-2</v>
      </c>
      <c r="AA3216">
        <v>0.99213779999999996</v>
      </c>
      <c r="AB3216">
        <v>30</v>
      </c>
      <c r="AC3216">
        <v>-6.7366000000000099</v>
      </c>
      <c r="AD3216">
        <v>-1.1011814200800001</v>
      </c>
      <c r="AE3216">
        <v>-56.5702</v>
      </c>
      <c r="AF3216">
        <v>7.0708472827073701</v>
      </c>
      <c r="AG3216">
        <v>-1.1011814200800001</v>
      </c>
      <c r="AH3216">
        <v>56.5079515089094</v>
      </c>
      <c r="AI3216">
        <v>91.1077561629955</v>
      </c>
      <c r="AJ3216">
        <v>82.867642610651501</v>
      </c>
      <c r="AK3216">
        <v>56.959266722356503</v>
      </c>
      <c r="AL3216">
        <v>88.321449626971798</v>
      </c>
      <c r="AM3216">
        <v>81.274792685038094</v>
      </c>
      <c r="AN3216">
        <v>0.99999999403666495</v>
      </c>
    </row>
    <row r="3217" spans="1:40" x14ac:dyDescent="0.25">
      <c r="A3217" t="str">
        <f>"20190312154618899"</f>
        <v>20190312154618899</v>
      </c>
      <c r="B3217" t="str">
        <f>"1552376778890419"</f>
        <v>1552376778890419</v>
      </c>
      <c r="C3217" t="s">
        <v>40</v>
      </c>
      <c r="D3217">
        <v>4.5023720000000003</v>
      </c>
      <c r="E3217">
        <v>0.48929089999999997</v>
      </c>
      <c r="F3217" t="s">
        <v>52</v>
      </c>
      <c r="G3217">
        <v>-195.89750000000001</v>
      </c>
      <c r="H3217" s="1">
        <v>-1.038547E-5</v>
      </c>
      <c r="I3217">
        <v>144.59829999999999</v>
      </c>
      <c r="J3217">
        <v>-190.02170000000001</v>
      </c>
      <c r="K3217">
        <v>1.1016010000000001</v>
      </c>
      <c r="L3217">
        <v>193.99549999999999</v>
      </c>
      <c r="M3217">
        <v>-3.455549E-3</v>
      </c>
      <c r="N3217">
        <v>0</v>
      </c>
      <c r="O3217">
        <v>-0.99988370000000004</v>
      </c>
      <c r="P3217">
        <v>-0.14964549999999999</v>
      </c>
      <c r="Q3217">
        <v>1.764139E-2</v>
      </c>
      <c r="R3217">
        <v>-0.98858259999999998</v>
      </c>
      <c r="S3217">
        <v>-0.35307309999999997</v>
      </c>
      <c r="T3217">
        <v>-6.6077109999999994E-2</v>
      </c>
      <c r="U3217">
        <v>-2.9819490000000002</v>
      </c>
      <c r="V3217">
        <v>0.146843</v>
      </c>
      <c r="W3217">
        <v>2.9424059999999998E-2</v>
      </c>
      <c r="X3217">
        <v>0.98872210000000005</v>
      </c>
      <c r="Y3217">
        <v>0.114121</v>
      </c>
      <c r="Z3217">
        <v>2.2004220000000001E-2</v>
      </c>
      <c r="AA3217">
        <v>0.99322310000000003</v>
      </c>
      <c r="AB3217">
        <v>29</v>
      </c>
      <c r="AC3217">
        <v>-5.8757999999999901</v>
      </c>
      <c r="AD3217">
        <v>-1.10161138547</v>
      </c>
      <c r="AE3217">
        <v>-49.397199999999998</v>
      </c>
      <c r="AF3217">
        <v>5.70225524629286</v>
      </c>
      <c r="AG3217">
        <v>-1.10161138547</v>
      </c>
      <c r="AH3217">
        <v>49.392989052102202</v>
      </c>
      <c r="AI3217">
        <v>91.269228121650897</v>
      </c>
      <c r="AJ3217">
        <v>83.4145476019889</v>
      </c>
      <c r="AK3217">
        <v>49.733254770219403</v>
      </c>
      <c r="AL3217">
        <v>88.313882214106002</v>
      </c>
      <c r="AM3217">
        <v>81.552297884270601</v>
      </c>
      <c r="AN3217">
        <v>1.0000000164921401</v>
      </c>
    </row>
    <row r="3218" spans="1:40" x14ac:dyDescent="0.25">
      <c r="A3218" t="str">
        <f>"20190312154618921"</f>
        <v>20190312154618921</v>
      </c>
      <c r="B3218" t="str">
        <f>"1552376778909933"</f>
        <v>1552376778909933</v>
      </c>
      <c r="C3218" t="s">
        <v>40</v>
      </c>
      <c r="D3218">
        <v>4.5719880000000002</v>
      </c>
      <c r="E3218">
        <v>0.475105</v>
      </c>
      <c r="F3218" t="s">
        <v>52</v>
      </c>
      <c r="G3218">
        <v>-195.99870000000001</v>
      </c>
      <c r="H3218" s="1">
        <v>-1.0431970000000001E-5</v>
      </c>
      <c r="I3218">
        <v>144.70580000000001</v>
      </c>
      <c r="J3218">
        <v>-190.0325</v>
      </c>
      <c r="K3218">
        <v>1.102034</v>
      </c>
      <c r="L3218">
        <v>193.6918</v>
      </c>
      <c r="M3218">
        <v>-1.2630209999999999E-2</v>
      </c>
      <c r="N3218">
        <v>0</v>
      </c>
      <c r="O3218">
        <v>-0.99981120000000001</v>
      </c>
      <c r="P3218">
        <v>-0.1529731</v>
      </c>
      <c r="Q3218">
        <v>1.864671E-2</v>
      </c>
      <c r="R3218">
        <v>-0.98805460000000001</v>
      </c>
      <c r="S3218">
        <v>-0.36149599999999998</v>
      </c>
      <c r="T3218">
        <v>-6.6627030000000004E-2</v>
      </c>
      <c r="U3218">
        <v>-2.9811100000000001</v>
      </c>
      <c r="V3218">
        <v>0.14108329999999999</v>
      </c>
      <c r="W3218">
        <v>3.061038E-2</v>
      </c>
      <c r="X3218">
        <v>0.98952439999999997</v>
      </c>
      <c r="Y3218">
        <v>0.10780140000000001</v>
      </c>
      <c r="Z3218">
        <v>2.219513E-2</v>
      </c>
      <c r="AA3218">
        <v>0.99392469999999999</v>
      </c>
      <c r="AB3218">
        <v>29</v>
      </c>
      <c r="AC3218">
        <v>-5.9662000000000104</v>
      </c>
      <c r="AD3218">
        <v>-1.10204443197</v>
      </c>
      <c r="AE3218">
        <v>-48.985999999999898</v>
      </c>
      <c r="AF3218">
        <v>5.3442877578558203</v>
      </c>
      <c r="AG3218">
        <v>-1.10204443197</v>
      </c>
      <c r="AH3218">
        <v>49.0330005081629</v>
      </c>
      <c r="AI3218">
        <v>91.279960559138402</v>
      </c>
      <c r="AJ3218">
        <v>83.779675609694095</v>
      </c>
      <c r="AK3218">
        <v>49.335697546526099</v>
      </c>
      <c r="AL3218">
        <v>88.245880437578293</v>
      </c>
      <c r="AM3218">
        <v>81.885635077055895</v>
      </c>
      <c r="AN3218">
        <v>1.0000000155489901</v>
      </c>
    </row>
    <row r="3219" spans="1:40" x14ac:dyDescent="0.25">
      <c r="A3219" t="str">
        <f>"20190312154618943"</f>
        <v>20190312154618943</v>
      </c>
      <c r="B3219" t="str">
        <f>"1552376778940189"</f>
        <v>1552376778940189</v>
      </c>
      <c r="C3219" t="s">
        <v>40</v>
      </c>
      <c r="D3219">
        <v>4.5963050000000001</v>
      </c>
      <c r="E3219">
        <v>0.4722152</v>
      </c>
      <c r="F3219" t="s">
        <v>52</v>
      </c>
      <c r="G3219">
        <v>-193.01</v>
      </c>
      <c r="H3219" s="1">
        <v>-1.4881610000000001E-5</v>
      </c>
      <c r="I3219">
        <v>159.23519999999999</v>
      </c>
      <c r="J3219">
        <v>-190.04519999999999</v>
      </c>
      <c r="K3219">
        <v>1.1024449999999999</v>
      </c>
      <c r="L3219">
        <v>193.40020000000001</v>
      </c>
      <c r="M3219">
        <v>-2.1020049999999998E-2</v>
      </c>
      <c r="N3219">
        <v>0</v>
      </c>
      <c r="O3219">
        <v>-0.99967130000000004</v>
      </c>
      <c r="P3219">
        <v>-0.15581099999999901</v>
      </c>
      <c r="Q3219">
        <v>1.9366089999999999E-2</v>
      </c>
      <c r="R3219">
        <v>-0.98759739999999996</v>
      </c>
      <c r="S3219">
        <v>-0.25906370000000001</v>
      </c>
      <c r="T3219">
        <v>-9.5886830000000006E-2</v>
      </c>
      <c r="U3219">
        <v>-2.997986</v>
      </c>
      <c r="V3219">
        <v>0.13560050000000001</v>
      </c>
      <c r="W3219">
        <v>3.1493529999999999E-2</v>
      </c>
      <c r="X3219">
        <v>0.99026289999999995</v>
      </c>
      <c r="Y3219">
        <v>6.508477E-2</v>
      </c>
      <c r="Z3219">
        <v>3.1863629999999997E-2</v>
      </c>
      <c r="AA3219">
        <v>0.99737089999999995</v>
      </c>
      <c r="AB3219">
        <v>29</v>
      </c>
      <c r="AC3219">
        <v>-2.9647999999999901</v>
      </c>
      <c r="AD3219">
        <v>-1.10245988161</v>
      </c>
      <c r="AE3219">
        <v>-34.164999999999999</v>
      </c>
      <c r="AF3219">
        <v>2.24359868852041</v>
      </c>
      <c r="AG3219">
        <v>-1.10245988161</v>
      </c>
      <c r="AH3219">
        <v>34.184447582910401</v>
      </c>
      <c r="AI3219">
        <v>91.843204984638604</v>
      </c>
      <c r="AJ3219">
        <v>86.244940535703606</v>
      </c>
      <c r="AK3219">
        <v>34.275729159485998</v>
      </c>
      <c r="AL3219">
        <v>88.195255182173199</v>
      </c>
      <c r="AM3219">
        <v>82.202762671364994</v>
      </c>
      <c r="AN3219">
        <v>0.99999997457426004</v>
      </c>
    </row>
    <row r="3220" spans="1:40" x14ac:dyDescent="0.25">
      <c r="A3220" t="str">
        <f>"20190312154618965"</f>
        <v>20190312154618965</v>
      </c>
      <c r="B3220" t="str">
        <f>"1552376778960685"</f>
        <v>1552376778960685</v>
      </c>
      <c r="C3220" t="s">
        <v>40</v>
      </c>
      <c r="D3220">
        <v>4.6569450000000003</v>
      </c>
      <c r="E3220">
        <v>0.4710125</v>
      </c>
      <c r="F3220" t="s">
        <v>42</v>
      </c>
      <c r="G3220">
        <v>-192.6207</v>
      </c>
      <c r="H3220" s="1">
        <v>-1.747261E-6</v>
      </c>
      <c r="I3220">
        <v>161.81280000000001</v>
      </c>
      <c r="J3220">
        <v>-190.06020000000001</v>
      </c>
      <c r="K3220">
        <v>1.10284</v>
      </c>
      <c r="L3220">
        <v>193.1045</v>
      </c>
      <c r="M3220">
        <v>-2.907537E-2</v>
      </c>
      <c r="N3220">
        <v>0</v>
      </c>
      <c r="O3220">
        <v>-0.99947050000000004</v>
      </c>
      <c r="P3220">
        <v>-0.158718</v>
      </c>
      <c r="Q3220">
        <v>1.913173E-2</v>
      </c>
      <c r="R3220">
        <v>-0.98713879999999998</v>
      </c>
      <c r="S3220">
        <v>-0.24470520000000001</v>
      </c>
      <c r="T3220">
        <v>-0.1047425</v>
      </c>
      <c r="U3220">
        <v>-3.001099</v>
      </c>
      <c r="V3220">
        <v>0.1304969</v>
      </c>
      <c r="W3220">
        <v>3.1405349999999999E-2</v>
      </c>
      <c r="X3220">
        <v>0.99095120000000003</v>
      </c>
      <c r="Y3220">
        <v>5.2203010000000001E-2</v>
      </c>
      <c r="Z3220">
        <v>3.4776639999999998E-2</v>
      </c>
      <c r="AA3220">
        <v>0.9980308</v>
      </c>
      <c r="AB3220">
        <v>29</v>
      </c>
      <c r="AC3220">
        <v>-2.56049999999999</v>
      </c>
      <c r="AD3220">
        <v>-1.1028417472609999</v>
      </c>
      <c r="AE3220">
        <v>-31.291699999999899</v>
      </c>
      <c r="AF3220">
        <v>1.64746965799152</v>
      </c>
      <c r="AG3220">
        <v>-1.1028417472609999</v>
      </c>
      <c r="AH3220">
        <v>31.314285362381501</v>
      </c>
      <c r="AI3220">
        <v>92.014253597584499</v>
      </c>
      <c r="AJ3220">
        <v>86.988399656407694</v>
      </c>
      <c r="AK3220">
        <v>31.3769801598268</v>
      </c>
      <c r="AL3220">
        <v>88.200310086254603</v>
      </c>
      <c r="AM3220">
        <v>82.497971065606293</v>
      </c>
      <c r="AN3220">
        <v>1.00000000884983</v>
      </c>
    </row>
    <row r="3221" spans="1:40" x14ac:dyDescent="0.25">
      <c r="A3221" t="str">
        <f>"20190312154618988"</f>
        <v>20190312154618988</v>
      </c>
      <c r="B3221" t="str">
        <f>"1552376778980205"</f>
        <v>1552376778980205</v>
      </c>
      <c r="C3221" t="s">
        <v>40</v>
      </c>
      <c r="D3221">
        <v>4.6328659999999999</v>
      </c>
      <c r="E3221">
        <v>0.46964260000000002</v>
      </c>
      <c r="F3221" t="s">
        <v>42</v>
      </c>
      <c r="G3221">
        <v>-192.6566</v>
      </c>
      <c r="H3221" s="1">
        <v>-1.4432560000000001E-6</v>
      </c>
      <c r="I3221">
        <v>161.14949999999999</v>
      </c>
      <c r="J3221">
        <v>-190.0779</v>
      </c>
      <c r="K3221">
        <v>1.1032420000000001</v>
      </c>
      <c r="L3221">
        <v>192.79669999999999</v>
      </c>
      <c r="M3221">
        <v>-3.7014520000000002E-2</v>
      </c>
      <c r="N3221">
        <v>0</v>
      </c>
      <c r="O3221">
        <v>-0.99920920000000002</v>
      </c>
      <c r="P3221">
        <v>-0.16129299999999999</v>
      </c>
      <c r="Q3221">
        <v>1.7398520000000001E-2</v>
      </c>
      <c r="R3221">
        <v>-0.98675330000000006</v>
      </c>
      <c r="S3221">
        <v>-0.24391170000000001</v>
      </c>
      <c r="T3221">
        <v>-0.1036017</v>
      </c>
      <c r="U3221">
        <v>-3.0018769999999999</v>
      </c>
      <c r="V3221">
        <v>0.12514629999999999</v>
      </c>
      <c r="W3221">
        <v>2.981251E-2</v>
      </c>
      <c r="X3221">
        <v>0.99169030000000002</v>
      </c>
      <c r="Y3221">
        <v>4.3985940000000001E-2</v>
      </c>
      <c r="Z3221">
        <v>3.4383070000000002E-2</v>
      </c>
      <c r="AA3221">
        <v>0.99844029999999995</v>
      </c>
      <c r="AB3221">
        <v>29</v>
      </c>
      <c r="AC3221">
        <v>-2.5786999999999898</v>
      </c>
      <c r="AD3221">
        <v>-1.1032434432559901</v>
      </c>
      <c r="AE3221">
        <v>-31.647200000000002</v>
      </c>
      <c r="AF3221">
        <v>1.4037084234316599</v>
      </c>
      <c r="AG3221">
        <v>-1.1032434432559901</v>
      </c>
      <c r="AH3221">
        <v>31.682718840489201</v>
      </c>
      <c r="AI3221">
        <v>91.992372849620494</v>
      </c>
      <c r="AJ3221">
        <v>87.463159452299806</v>
      </c>
      <c r="AK3221">
        <v>31.732983102106701</v>
      </c>
      <c r="AL3221">
        <v>88.2916159004007</v>
      </c>
      <c r="AM3221">
        <v>82.8075817651265</v>
      </c>
      <c r="AN3221">
        <v>1.0000000166351399</v>
      </c>
    </row>
    <row r="3222" spans="1:40" x14ac:dyDescent="0.25">
      <c r="A3222" t="str">
        <f>"20190312154619010"</f>
        <v>20190312154619010</v>
      </c>
      <c r="B3222" t="str">
        <f>"1552376779000701"</f>
        <v>1552376779000701</v>
      </c>
      <c r="C3222" t="s">
        <v>40</v>
      </c>
      <c r="D3222">
        <v>4.601261</v>
      </c>
      <c r="E3222">
        <v>0.46916479999999999</v>
      </c>
      <c r="F3222" t="s">
        <v>42</v>
      </c>
      <c r="G3222">
        <v>-192.52670000000001</v>
      </c>
      <c r="H3222" s="1">
        <v>-1.9331939999999998E-6</v>
      </c>
      <c r="I3222">
        <v>162.25899999999999</v>
      </c>
      <c r="J3222">
        <v>-190.09610000000001</v>
      </c>
      <c r="K3222">
        <v>1.1035790000000001</v>
      </c>
      <c r="L3222">
        <v>192.51230000000001</v>
      </c>
      <c r="M3222">
        <v>-4.4019259999999998E-2</v>
      </c>
      <c r="N3222">
        <v>0</v>
      </c>
      <c r="O3222">
        <v>-0.99892630000000004</v>
      </c>
      <c r="P3222">
        <v>-0.1619844</v>
      </c>
      <c r="Q3222">
        <v>1.534051E-2</v>
      </c>
      <c r="R3222">
        <v>-0.98667419999999995</v>
      </c>
      <c r="S3222">
        <v>-0.24079900000000001</v>
      </c>
      <c r="T3222">
        <v>-0.1084833</v>
      </c>
      <c r="U3222">
        <v>-3.0028079999999999</v>
      </c>
      <c r="V3222">
        <v>0.11882669999999999</v>
      </c>
      <c r="W3222">
        <v>2.7891659999999999E-2</v>
      </c>
      <c r="X3222">
        <v>0.99252320000000005</v>
      </c>
      <c r="Y3222">
        <v>3.5922370000000002E-2</v>
      </c>
      <c r="Z3222">
        <v>3.5981970000000002E-2</v>
      </c>
      <c r="AA3222">
        <v>0.9987066</v>
      </c>
      <c r="AB3222">
        <v>29</v>
      </c>
      <c r="AC3222">
        <v>-2.4305999999999899</v>
      </c>
      <c r="AD3222">
        <v>-1.1035809331940001</v>
      </c>
      <c r="AE3222">
        <v>-30.253299999999999</v>
      </c>
      <c r="AF3222">
        <v>1.0949290978344099</v>
      </c>
      <c r="AG3222">
        <v>-1.1035809331940001</v>
      </c>
      <c r="AH3222">
        <v>30.290925172987201</v>
      </c>
      <c r="AI3222">
        <v>92.085157904817905</v>
      </c>
      <c r="AJ3222">
        <v>87.929825060058903</v>
      </c>
      <c r="AK3222">
        <v>30.330791424572201</v>
      </c>
      <c r="AL3222">
        <v>88.4017183490392</v>
      </c>
      <c r="AM3222">
        <v>83.172938470623805</v>
      </c>
      <c r="AN3222">
        <v>1.0000000159343401</v>
      </c>
    </row>
    <row r="3223" spans="1:40" x14ac:dyDescent="0.25">
      <c r="A3223" t="str">
        <f>"20190312154619033"</f>
        <v>20190312154619033</v>
      </c>
      <c r="B3223" t="str">
        <f>"1552376779020221"</f>
        <v>1552376779020221</v>
      </c>
      <c r="C3223" t="s">
        <v>40</v>
      </c>
      <c r="D3223">
        <v>4.5701890000000001</v>
      </c>
      <c r="E3223">
        <v>0.4688176</v>
      </c>
      <c r="F3223" t="s">
        <v>42</v>
      </c>
      <c r="G3223">
        <v>-192.4511</v>
      </c>
      <c r="H3223" s="1">
        <v>-2.2339930000000001E-6</v>
      </c>
      <c r="I3223">
        <v>162.93790000000001</v>
      </c>
      <c r="J3223">
        <v>-190.11699999999999</v>
      </c>
      <c r="K3223">
        <v>1.10392</v>
      </c>
      <c r="L3223">
        <v>192.21180000000001</v>
      </c>
      <c r="M3223">
        <v>-5.1050089999999999E-2</v>
      </c>
      <c r="N3223">
        <v>0</v>
      </c>
      <c r="O3223">
        <v>-0.99859249999999999</v>
      </c>
      <c r="P3223">
        <v>-0.16262380000000001</v>
      </c>
      <c r="Q3223">
        <v>1.40918E-2</v>
      </c>
      <c r="R3223">
        <v>-0.98658769999999996</v>
      </c>
      <c r="S3223">
        <v>-0.23913570000000001</v>
      </c>
      <c r="T3223">
        <v>-0.11205859999999999</v>
      </c>
      <c r="U3223">
        <v>-3.0030060000000001</v>
      </c>
      <c r="V3223">
        <v>0.1124372</v>
      </c>
      <c r="W3223">
        <v>2.6770559999999999E-2</v>
      </c>
      <c r="X3223">
        <v>0.99329820000000002</v>
      </c>
      <c r="Y3223">
        <v>2.832819E-2</v>
      </c>
      <c r="Z3223">
        <v>3.715048E-2</v>
      </c>
      <c r="AA3223">
        <v>0.99890809999999997</v>
      </c>
      <c r="AB3223">
        <v>29</v>
      </c>
      <c r="AC3223">
        <v>-2.3340999999999701</v>
      </c>
      <c r="AD3223">
        <v>-1.1039222339929999</v>
      </c>
      <c r="AE3223">
        <v>-29.273900000000001</v>
      </c>
      <c r="AF3223">
        <v>0.83528574761412</v>
      </c>
      <c r="AG3223">
        <v>-1.1039222339929999</v>
      </c>
      <c r="AH3223">
        <v>29.313468056746299</v>
      </c>
      <c r="AI3223">
        <v>92.155820766827105</v>
      </c>
      <c r="AJ3223">
        <v>88.367801408363604</v>
      </c>
      <c r="AK3223">
        <v>29.346136987562101</v>
      </c>
      <c r="AL3223">
        <v>88.465976707425298</v>
      </c>
      <c r="AM3223">
        <v>83.541847279442806</v>
      </c>
      <c r="AN3223">
        <v>1.00000005047489</v>
      </c>
    </row>
    <row r="3224" spans="1:40" x14ac:dyDescent="0.25">
      <c r="A3224" t="str">
        <f>"20190312154619056"</f>
        <v>20190312154619056</v>
      </c>
      <c r="B3224" t="str">
        <f>"1552376779050477"</f>
        <v>1552376779050477</v>
      </c>
      <c r="C3224" t="s">
        <v>40</v>
      </c>
      <c r="D3224">
        <v>4.5624359999999999</v>
      </c>
      <c r="E3224">
        <v>0.46277669999999999</v>
      </c>
      <c r="F3224" t="s">
        <v>42</v>
      </c>
      <c r="G3224">
        <v>-192.44540000000001</v>
      </c>
      <c r="H3224" s="1">
        <v>-2.220639E-6</v>
      </c>
      <c r="I3224">
        <v>162.91290000000001</v>
      </c>
      <c r="J3224">
        <v>-190.1396</v>
      </c>
      <c r="K3224">
        <v>1.104263</v>
      </c>
      <c r="L3224">
        <v>191.91390000000001</v>
      </c>
      <c r="M3224">
        <v>-5.7626860000000002E-2</v>
      </c>
      <c r="N3224">
        <v>0</v>
      </c>
      <c r="O3224">
        <v>-0.9982356</v>
      </c>
      <c r="P3224">
        <v>-0.16352349999999999</v>
      </c>
      <c r="Q3224">
        <v>1.293322E-2</v>
      </c>
      <c r="R3224">
        <v>-0.98645450000000001</v>
      </c>
      <c r="S3224">
        <v>-0.23864750000000001</v>
      </c>
      <c r="T3224">
        <v>-0.1131494</v>
      </c>
      <c r="U3224">
        <v>-3.0030670000000002</v>
      </c>
      <c r="V3224">
        <v>0.106758199999999</v>
      </c>
      <c r="W3224">
        <v>2.5720920000000001E-2</v>
      </c>
      <c r="X3224">
        <v>0.99395230000000001</v>
      </c>
      <c r="Y3224">
        <v>2.1579069999999999E-2</v>
      </c>
      <c r="Z3224">
        <v>3.7494090000000001E-2</v>
      </c>
      <c r="AA3224">
        <v>0.99906379999999995</v>
      </c>
      <c r="AB3224">
        <v>29</v>
      </c>
      <c r="AC3224">
        <v>-2.3058000000000001</v>
      </c>
      <c r="AD3224">
        <v>-1.104265220639</v>
      </c>
      <c r="AE3224">
        <v>-29.001000000000001</v>
      </c>
      <c r="AF3224">
        <v>0.62965249989722505</v>
      </c>
      <c r="AG3224">
        <v>-1.104265220639</v>
      </c>
      <c r="AH3224">
        <v>29.0438411614589</v>
      </c>
      <c r="AI3224">
        <v>92.176862013429698</v>
      </c>
      <c r="AJ3224">
        <v>88.758057507753904</v>
      </c>
      <c r="AK3224">
        <v>29.071645522057999</v>
      </c>
      <c r="AL3224">
        <v>88.526137338385197</v>
      </c>
      <c r="AM3224">
        <v>83.869490732343195</v>
      </c>
      <c r="AN3224">
        <v>1.0000000268340801</v>
      </c>
    </row>
    <row r="3225" spans="1:40" x14ac:dyDescent="0.25">
      <c r="A3225" t="str">
        <f>"20190312154619078"</f>
        <v>20190312154619078</v>
      </c>
      <c r="B3225" t="str">
        <f>"1552376779069998"</f>
        <v>1552376779069998</v>
      </c>
      <c r="C3225" t="s">
        <v>40</v>
      </c>
      <c r="D3225">
        <v>4.578487</v>
      </c>
      <c r="E3225">
        <v>0.46250540000000001</v>
      </c>
      <c r="F3225" t="s">
        <v>52</v>
      </c>
      <c r="G3225">
        <v>-192.58789999999999</v>
      </c>
      <c r="H3225" s="1">
        <v>-1.29092E-5</v>
      </c>
      <c r="I3225">
        <v>153.994</v>
      </c>
      <c r="J3225">
        <v>-190.1636</v>
      </c>
      <c r="K3225">
        <v>1.104633</v>
      </c>
      <c r="L3225">
        <v>191.61609999999999</v>
      </c>
      <c r="M3225">
        <v>-6.3798369999999993E-2</v>
      </c>
      <c r="N3225">
        <v>0</v>
      </c>
      <c r="O3225">
        <v>-0.997861</v>
      </c>
      <c r="P3225">
        <v>-0.1647671</v>
      </c>
      <c r="Q3225">
        <v>1.220605E-2</v>
      </c>
      <c r="R3225">
        <v>-0.98625719999999995</v>
      </c>
      <c r="S3225">
        <v>-0.1943512</v>
      </c>
      <c r="T3225">
        <v>-8.7658760000000002E-2</v>
      </c>
      <c r="U3225">
        <v>-3.010132</v>
      </c>
      <c r="V3225">
        <v>0.10183059999999999</v>
      </c>
      <c r="W3225">
        <v>2.5087410000000001E-2</v>
      </c>
      <c r="X3225">
        <v>0.99448539999999996</v>
      </c>
      <c r="Y3225">
        <v>6.0082609999999998E-4</v>
      </c>
      <c r="Z3225">
        <v>2.8989859999999999E-2</v>
      </c>
      <c r="AA3225">
        <v>0.99957949999999995</v>
      </c>
      <c r="AB3225">
        <v>29</v>
      </c>
      <c r="AC3225">
        <v>-2.4242999999999801</v>
      </c>
      <c r="AD3225">
        <v>-1.1046459092000001</v>
      </c>
      <c r="AE3225">
        <v>-37.622099999999897</v>
      </c>
      <c r="AF3225">
        <v>1.8871483416754899E-2</v>
      </c>
      <c r="AG3225">
        <v>-1.1046459092000001</v>
      </c>
      <c r="AH3225">
        <v>37.667783806391</v>
      </c>
      <c r="AI3225">
        <v>91.6797751177767</v>
      </c>
      <c r="AJ3225">
        <v>89.971294932878806</v>
      </c>
      <c r="AK3225">
        <v>37.683982480658898</v>
      </c>
      <c r="AL3225">
        <v>88.562446510230203</v>
      </c>
      <c r="AM3225">
        <v>84.153559332461597</v>
      </c>
      <c r="AN3225">
        <v>1.00000003002501</v>
      </c>
    </row>
    <row r="3226" spans="1:40" x14ac:dyDescent="0.25">
      <c r="A3226" t="str">
        <f>"20190312154619100"</f>
        <v>20190312154619100</v>
      </c>
      <c r="B3226" t="str">
        <f>"1552376779090497"</f>
        <v>1552376779090497</v>
      </c>
      <c r="C3226" t="s">
        <v>40</v>
      </c>
      <c r="D3226">
        <v>4.44611</v>
      </c>
      <c r="E3226">
        <v>0.45630199999999999</v>
      </c>
      <c r="F3226" t="s">
        <v>52</v>
      </c>
      <c r="G3226">
        <v>-192.631</v>
      </c>
      <c r="H3226" s="1">
        <v>-1.283323E-5</v>
      </c>
      <c r="I3226">
        <v>153.67679999999999</v>
      </c>
      <c r="J3226">
        <v>-190.18819999999999</v>
      </c>
      <c r="K3226">
        <v>1.105005</v>
      </c>
      <c r="L3226">
        <v>191.3287</v>
      </c>
      <c r="M3226">
        <v>-6.9347870000000006E-2</v>
      </c>
      <c r="N3226">
        <v>0</v>
      </c>
      <c r="O3226">
        <v>-0.99749169999999998</v>
      </c>
      <c r="P3226">
        <v>-0.16572799999999999</v>
      </c>
      <c r="Q3226">
        <v>1.2734550000000001E-2</v>
      </c>
      <c r="R3226">
        <v>-0.98608929999999995</v>
      </c>
      <c r="S3226">
        <v>-0.19577030000000001</v>
      </c>
      <c r="T3226">
        <v>-8.7645290000000001E-2</v>
      </c>
      <c r="U3226">
        <v>-3.0101930000000001</v>
      </c>
      <c r="V3226">
        <v>9.7250069999999994E-2</v>
      </c>
      <c r="W3226">
        <v>2.570424E-2</v>
      </c>
      <c r="X3226">
        <v>0.99492800000000003</v>
      </c>
      <c r="Y3226">
        <v>-4.4935359999999898E-3</v>
      </c>
      <c r="Z3226">
        <v>2.8968109999999998E-2</v>
      </c>
      <c r="AA3226">
        <v>0.99957030000000002</v>
      </c>
      <c r="AB3226">
        <v>29</v>
      </c>
      <c r="AC3226">
        <v>-2.4427999999999699</v>
      </c>
      <c r="AD3226">
        <v>-1.10501783323</v>
      </c>
      <c r="AE3226">
        <v>-37.651899999999998</v>
      </c>
      <c r="AF3226">
        <v>-0.17427441105299901</v>
      </c>
      <c r="AG3226">
        <v>-1.10501783323</v>
      </c>
      <c r="AH3226">
        <v>37.698322023997299</v>
      </c>
      <c r="AI3226">
        <v>91.678962227642998</v>
      </c>
      <c r="AJ3226">
        <v>90.264869006480794</v>
      </c>
      <c r="AK3226">
        <v>37.714916404615103</v>
      </c>
      <c r="AL3226">
        <v>88.527093315323697</v>
      </c>
      <c r="AM3226">
        <v>84.417310476226405</v>
      </c>
      <c r="AN3226">
        <v>1.0000000046264901</v>
      </c>
    </row>
    <row r="3227" spans="1:40" x14ac:dyDescent="0.25">
      <c r="A3227" t="str">
        <f>"20190312154619121"</f>
        <v>20190312154619121</v>
      </c>
      <c r="B3227" t="str">
        <f>"1552376779110014"</f>
        <v>1552376779110014</v>
      </c>
      <c r="C3227" t="s">
        <v>40</v>
      </c>
      <c r="D3227">
        <v>4.3736199999999998</v>
      </c>
      <c r="E3227">
        <v>0.45175670000000001</v>
      </c>
      <c r="F3227" t="s">
        <v>52</v>
      </c>
      <c r="G3227">
        <v>-192.2963</v>
      </c>
      <c r="H3227" s="1">
        <v>-1.090445E-5</v>
      </c>
      <c r="I3227">
        <v>148.86580000000001</v>
      </c>
      <c r="J3227">
        <v>-190.2133</v>
      </c>
      <c r="K3227">
        <v>1.1053759999999999</v>
      </c>
      <c r="L3227">
        <v>191.048</v>
      </c>
      <c r="M3227">
        <v>-7.436313E-2</v>
      </c>
      <c r="N3227">
        <v>0</v>
      </c>
      <c r="O3227">
        <v>-0.9971312</v>
      </c>
      <c r="P3227">
        <v>-0.16669539999999999</v>
      </c>
      <c r="Q3227">
        <v>1.2328799999999999E-2</v>
      </c>
      <c r="R3227">
        <v>-0.98593149999999996</v>
      </c>
      <c r="S3227">
        <v>-0.14984129999999901</v>
      </c>
      <c r="T3227">
        <v>-7.8541159999999999E-2</v>
      </c>
      <c r="U3227">
        <v>-3.0181269999999998</v>
      </c>
      <c r="V3227">
        <v>9.3193029999999996E-2</v>
      </c>
      <c r="W3227">
        <v>2.5377239999999999E-2</v>
      </c>
      <c r="X3227">
        <v>0.9953246</v>
      </c>
      <c r="Y3227">
        <v>-2.4847009999999999E-2</v>
      </c>
      <c r="Z3227">
        <v>2.588642E-2</v>
      </c>
      <c r="AA3227">
        <v>0.99935600000000002</v>
      </c>
      <c r="AB3227">
        <v>29</v>
      </c>
      <c r="AC3227">
        <v>-2.08299999999999</v>
      </c>
      <c r="AD3227">
        <v>-1.10538690445</v>
      </c>
      <c r="AE3227">
        <v>-42.182200000000002</v>
      </c>
      <c r="AF3227">
        <v>-1.05915629985377</v>
      </c>
      <c r="AG3227">
        <v>-1.10538690445</v>
      </c>
      <c r="AH3227">
        <v>42.191395119788403</v>
      </c>
      <c r="AI3227">
        <v>91.500296115799401</v>
      </c>
      <c r="AJ3227">
        <v>91.438028837759106</v>
      </c>
      <c r="AK3227">
        <v>42.219160513091097</v>
      </c>
      <c r="AL3227">
        <v>88.545835145698206</v>
      </c>
      <c r="AM3227">
        <v>84.650945674067103</v>
      </c>
      <c r="AN3227">
        <v>1.0000000022578699</v>
      </c>
    </row>
    <row r="3228" spans="1:40" x14ac:dyDescent="0.25">
      <c r="A3228" t="str">
        <f>"20190312154619144"</f>
        <v>20190312154619144</v>
      </c>
      <c r="B3228" t="str">
        <f>"1552376779140269"</f>
        <v>1552376779140269</v>
      </c>
      <c r="C3228" t="s">
        <v>40</v>
      </c>
      <c r="D3228">
        <v>4.2583359999999999</v>
      </c>
      <c r="E3228">
        <v>0.44760559999999999</v>
      </c>
      <c r="F3228" t="s">
        <v>52</v>
      </c>
      <c r="G3228">
        <v>-192.1652</v>
      </c>
      <c r="H3228" s="1">
        <v>-8.7114509999999903E-6</v>
      </c>
      <c r="I3228">
        <v>140.77289999999999</v>
      </c>
      <c r="J3228">
        <v>-190.23990000000001</v>
      </c>
      <c r="K3228">
        <v>1.105758</v>
      </c>
      <c r="L3228">
        <v>190.76179999999999</v>
      </c>
      <c r="M3228">
        <v>-7.9055609999999998E-2</v>
      </c>
      <c r="N3228">
        <v>0</v>
      </c>
      <c r="O3228">
        <v>-0.99677079999999996</v>
      </c>
      <c r="P3228">
        <v>-0.16803879999999999</v>
      </c>
      <c r="Q3228">
        <v>1.1152270000000001E-2</v>
      </c>
      <c r="R3228">
        <v>-0.98571750000000002</v>
      </c>
      <c r="S3228">
        <v>-0.11740109999999999</v>
      </c>
      <c r="T3228">
        <v>-6.6483500000000001E-2</v>
      </c>
      <c r="U3228">
        <v>-3.0238040000000002</v>
      </c>
      <c r="V3228">
        <v>8.9826760000000005E-2</v>
      </c>
      <c r="W3228">
        <v>2.4267980000000001E-2</v>
      </c>
      <c r="X3228">
        <v>0.99566169999999998</v>
      </c>
      <c r="Y3228">
        <v>-4.0338249999999999E-2</v>
      </c>
      <c r="Z3228">
        <v>2.186107E-2</v>
      </c>
      <c r="AA3228">
        <v>0.99894689999999997</v>
      </c>
      <c r="AB3228">
        <v>29</v>
      </c>
      <c r="AC3228">
        <v>-1.92529999999999</v>
      </c>
      <c r="AD3228">
        <v>-1.1057667114509999</v>
      </c>
      <c r="AE3228">
        <v>-49.988900000000001</v>
      </c>
      <c r="AF3228">
        <v>-2.0320288167911298</v>
      </c>
      <c r="AG3228">
        <v>-1.1057667114509999</v>
      </c>
      <c r="AH3228">
        <v>49.960225311462203</v>
      </c>
      <c r="AI3228">
        <v>91.2668699800751</v>
      </c>
      <c r="AJ3228">
        <v>92.329103540188896</v>
      </c>
      <c r="AK3228">
        <v>50.013757850260397</v>
      </c>
      <c r="AL3228">
        <v>88.609410653233795</v>
      </c>
      <c r="AM3228">
        <v>84.8448368444203</v>
      </c>
      <c r="AN3228">
        <v>1.0000000012561301</v>
      </c>
    </row>
    <row r="3229" spans="1:40" x14ac:dyDescent="0.25">
      <c r="A3229" t="str">
        <f>"20190312154619166"</f>
        <v>20190312154619166</v>
      </c>
      <c r="B3229" t="str">
        <f>"1552376779160766"</f>
        <v>1552376779160766</v>
      </c>
      <c r="C3229" t="s">
        <v>40</v>
      </c>
      <c r="D3229">
        <v>4.228027</v>
      </c>
      <c r="E3229">
        <v>0.44560529999999998</v>
      </c>
      <c r="F3229" t="s">
        <v>52</v>
      </c>
      <c r="G3229">
        <v>-191.804</v>
      </c>
      <c r="H3229" s="1">
        <v>-7.6607850000000002E-6</v>
      </c>
      <c r="I3229">
        <v>137.56960000000001</v>
      </c>
      <c r="J3229">
        <v>-190.268</v>
      </c>
      <c r="K3229">
        <v>1.106139</v>
      </c>
      <c r="L3229">
        <v>190.46979999999999</v>
      </c>
      <c r="M3229">
        <v>-8.3372699999999994E-2</v>
      </c>
      <c r="N3229">
        <v>0</v>
      </c>
      <c r="O3229">
        <v>-0.99641970000000002</v>
      </c>
      <c r="P3229">
        <v>-0.16882629999999901</v>
      </c>
      <c r="Q3229">
        <v>1.0636700000000001E-2</v>
      </c>
      <c r="R3229">
        <v>-0.98558860000000004</v>
      </c>
      <c r="S3229">
        <v>-8.9065549999999993E-2</v>
      </c>
      <c r="T3229">
        <v>-6.2966939999999999E-2</v>
      </c>
      <c r="U3229">
        <v>-3.0289920000000001</v>
      </c>
      <c r="V3229">
        <v>8.6280519999999999E-2</v>
      </c>
      <c r="W3229">
        <v>2.3817020000000001E-2</v>
      </c>
      <c r="X3229">
        <v>0.99598620000000004</v>
      </c>
      <c r="Y3229">
        <v>-5.4061860000000003E-2</v>
      </c>
      <c r="Z3229">
        <v>2.0655429999999999E-2</v>
      </c>
      <c r="AA3229">
        <v>0.99832390000000004</v>
      </c>
      <c r="AB3229">
        <v>29</v>
      </c>
      <c r="AC3229">
        <v>-1.536</v>
      </c>
      <c r="AD3229">
        <v>-1.1061466607849999</v>
      </c>
      <c r="AE3229">
        <v>-52.900199999999899</v>
      </c>
      <c r="AF3229">
        <v>-2.8789575268168801</v>
      </c>
      <c r="AG3229">
        <v>-1.1061466607849999</v>
      </c>
      <c r="AH3229">
        <v>52.8209858046786</v>
      </c>
      <c r="AI3229">
        <v>91.197902402872202</v>
      </c>
      <c r="AJ3229">
        <v>93.119765053566198</v>
      </c>
      <c r="AK3229">
        <v>52.910948755946897</v>
      </c>
      <c r="AL3229">
        <v>88.635256288281099</v>
      </c>
      <c r="AM3229">
        <v>85.048928462022701</v>
      </c>
      <c r="AN3229">
        <v>1.00000004458179</v>
      </c>
    </row>
    <row r="3230" spans="1:40" x14ac:dyDescent="0.25">
      <c r="A3230" t="str">
        <f>"20190312154619189"</f>
        <v>20190312154619189</v>
      </c>
      <c r="B3230" t="str">
        <f>"1552376779180285"</f>
        <v>1552376779180285</v>
      </c>
      <c r="C3230" t="s">
        <v>40</v>
      </c>
      <c r="D3230">
        <v>4.2286330000000003</v>
      </c>
      <c r="E3230">
        <v>0.4442469</v>
      </c>
      <c r="F3230" t="s">
        <v>52</v>
      </c>
      <c r="G3230">
        <v>-191.6429</v>
      </c>
      <c r="H3230" s="1">
        <v>-7.0175670000000001E-6</v>
      </c>
      <c r="I3230">
        <v>135.6311</v>
      </c>
      <c r="J3230">
        <v>-190.29750000000001</v>
      </c>
      <c r="K3230">
        <v>1.1064780000000001</v>
      </c>
      <c r="L3230">
        <v>190.17250000000001</v>
      </c>
      <c r="M3230">
        <v>-8.739893E-2</v>
      </c>
      <c r="N3230">
        <v>0</v>
      </c>
      <c r="O3230">
        <v>-0.9960755</v>
      </c>
      <c r="P3230">
        <v>-0.16962920000000001</v>
      </c>
      <c r="Q3230">
        <v>1.045828E-2</v>
      </c>
      <c r="R3230">
        <v>-0.98545260000000001</v>
      </c>
      <c r="S3230">
        <v>-7.600403E-2</v>
      </c>
      <c r="T3230">
        <v>-6.1148290000000001E-2</v>
      </c>
      <c r="U3230">
        <v>-3.0315089999999998</v>
      </c>
      <c r="V3230">
        <v>8.3044690000000004E-2</v>
      </c>
      <c r="W3230">
        <v>2.3688310000000001E-2</v>
      </c>
      <c r="X3230">
        <v>0.99626420000000004</v>
      </c>
      <c r="Y3230">
        <v>-6.2417489999999999E-2</v>
      </c>
      <c r="Z3230">
        <v>2.0028270000000001E-2</v>
      </c>
      <c r="AA3230">
        <v>0.99784919999999999</v>
      </c>
      <c r="AB3230">
        <v>29</v>
      </c>
      <c r="AC3230">
        <v>-1.3453999999999799</v>
      </c>
      <c r="AD3230">
        <v>-1.106485017567</v>
      </c>
      <c r="AE3230">
        <v>-54.541400000000003</v>
      </c>
      <c r="AF3230">
        <v>-3.42566519566937</v>
      </c>
      <c r="AG3230">
        <v>-1.106485017567</v>
      </c>
      <c r="AH3230">
        <v>54.427861659266199</v>
      </c>
      <c r="AI3230">
        <v>91.162328296288507</v>
      </c>
      <c r="AJ3230">
        <v>93.601420132223396</v>
      </c>
      <c r="AK3230">
        <v>54.546783735864203</v>
      </c>
      <c r="AL3230">
        <v>88.642632789198302</v>
      </c>
      <c r="AM3230">
        <v>85.235063346891806</v>
      </c>
      <c r="AN3230">
        <v>0.99999995638474504</v>
      </c>
    </row>
    <row r="3231" spans="1:40" x14ac:dyDescent="0.25">
      <c r="A3231" t="str">
        <f>"20190312154619210"</f>
        <v>20190312154619210</v>
      </c>
      <c r="B3231" t="str">
        <f>"1552376779200781"</f>
        <v>1552376779200781</v>
      </c>
      <c r="C3231" t="s">
        <v>40</v>
      </c>
      <c r="D3231">
        <v>4.2218839999999904</v>
      </c>
      <c r="E3231">
        <v>0.44321630000000001</v>
      </c>
      <c r="F3231" t="s">
        <v>52</v>
      </c>
      <c r="G3231">
        <v>-191.58789999999999</v>
      </c>
      <c r="H3231" s="1">
        <v>-5.9799969999999996E-6</v>
      </c>
      <c r="I3231">
        <v>132.41210000000001</v>
      </c>
      <c r="J3231">
        <v>-190.32669999999999</v>
      </c>
      <c r="K3231">
        <v>1.1067640000000001</v>
      </c>
      <c r="L3231">
        <v>189.8862</v>
      </c>
      <c r="M3231">
        <v>-9.0934970000000004E-2</v>
      </c>
      <c r="N3231">
        <v>0</v>
      </c>
      <c r="O3231">
        <v>-0.99575950000000002</v>
      </c>
      <c r="P3231">
        <v>-0.170574</v>
      </c>
      <c r="Q3231">
        <v>1.0236490000000001E-2</v>
      </c>
      <c r="R3231">
        <v>-0.98529169999999999</v>
      </c>
      <c r="S3231">
        <v>-6.7764279999999996E-2</v>
      </c>
      <c r="T3231">
        <v>-5.81063E-2</v>
      </c>
      <c r="U3231">
        <v>-3.0332490000000001</v>
      </c>
      <c r="V3231">
        <v>8.0443520000000004E-2</v>
      </c>
      <c r="W3231">
        <v>2.3501919999999999E-2</v>
      </c>
      <c r="X3231">
        <v>0.99648210000000004</v>
      </c>
      <c r="Y3231">
        <v>-6.8682770000000004E-2</v>
      </c>
      <c r="Z3231">
        <v>1.900895E-2</v>
      </c>
      <c r="AA3231">
        <v>0.99745740000000005</v>
      </c>
      <c r="AB3231">
        <v>29</v>
      </c>
      <c r="AC3231">
        <v>-1.2612000000000001</v>
      </c>
      <c r="AD3231">
        <v>-1.1067699799970001</v>
      </c>
      <c r="AE3231">
        <v>-57.4740999999999</v>
      </c>
      <c r="AF3231">
        <v>-3.9694673046234299</v>
      </c>
      <c r="AG3231">
        <v>-1.1067699799970001</v>
      </c>
      <c r="AH3231">
        <v>57.329378222520397</v>
      </c>
      <c r="AI3231">
        <v>91.103342986422007</v>
      </c>
      <c r="AJ3231">
        <v>93.960819448839899</v>
      </c>
      <c r="AK3231">
        <v>57.477293063016603</v>
      </c>
      <c r="AL3231">
        <v>88.653315233800598</v>
      </c>
      <c r="AM3231">
        <v>85.384662891501705</v>
      </c>
      <c r="AN3231">
        <v>1.0000000378870399</v>
      </c>
    </row>
    <row r="3232" spans="1:40" x14ac:dyDescent="0.25">
      <c r="A3232" t="str">
        <f>"20190312154619234"</f>
        <v>20190312154619234</v>
      </c>
      <c r="B3232" t="str">
        <f>"1552376779230062"</f>
        <v>1552376779230062</v>
      </c>
      <c r="C3232" t="s">
        <v>40</v>
      </c>
      <c r="D3232">
        <v>4.1693720000000001</v>
      </c>
      <c r="E3232">
        <v>0.44197999999999998</v>
      </c>
      <c r="F3232" t="s">
        <v>52</v>
      </c>
      <c r="G3232">
        <v>-191.5558</v>
      </c>
      <c r="H3232" s="1">
        <v>-5.3109460000000003E-6</v>
      </c>
      <c r="I3232">
        <v>130.2989</v>
      </c>
      <c r="J3232">
        <v>-190.35929999999999</v>
      </c>
      <c r="K3232">
        <v>1.107056</v>
      </c>
      <c r="L3232">
        <v>189.5752</v>
      </c>
      <c r="M3232">
        <v>-9.4388540000000007E-2</v>
      </c>
      <c r="N3232">
        <v>0</v>
      </c>
      <c r="O3232">
        <v>-0.99543879999999996</v>
      </c>
      <c r="P3232">
        <v>-0.17196510000000001</v>
      </c>
      <c r="Q3232">
        <v>1.007806E-2</v>
      </c>
      <c r="R3232">
        <v>-0.98505189999999998</v>
      </c>
      <c r="S3232">
        <v>-6.2591549999999996E-2</v>
      </c>
      <c r="T3232">
        <v>-5.6362629999999997E-2</v>
      </c>
      <c r="U3232">
        <v>-3.0345</v>
      </c>
      <c r="V3232">
        <v>7.8375009999999995E-2</v>
      </c>
      <c r="W3232">
        <v>2.3372259999999999E-2</v>
      </c>
      <c r="X3232">
        <v>0.99664989999999998</v>
      </c>
      <c r="Y3232">
        <v>-7.3850860000000004E-2</v>
      </c>
      <c r="Z3232">
        <v>1.8419089999999999E-2</v>
      </c>
      <c r="AA3232">
        <v>0.99709919999999996</v>
      </c>
      <c r="AB3232">
        <v>29</v>
      </c>
      <c r="AC3232">
        <v>-1.1965000000000101</v>
      </c>
      <c r="AD3232">
        <v>-1.1070613109459999</v>
      </c>
      <c r="AE3232">
        <v>-59.2762999999999</v>
      </c>
      <c r="AF3232">
        <v>-4.4028495042672304</v>
      </c>
      <c r="AG3232">
        <v>-1.1070613109459999</v>
      </c>
      <c r="AH3232">
        <v>59.103945570817203</v>
      </c>
      <c r="AI3232">
        <v>91.070103183725493</v>
      </c>
      <c r="AJ3232">
        <v>94.260284358800604</v>
      </c>
      <c r="AK3232">
        <v>59.278048639791997</v>
      </c>
      <c r="AL3232">
        <v>88.660746146454599</v>
      </c>
      <c r="AM3232">
        <v>85.503601674850103</v>
      </c>
      <c r="AN3232">
        <v>0.99999996395000801</v>
      </c>
    </row>
    <row r="3233" spans="1:40" x14ac:dyDescent="0.25">
      <c r="A3233" t="str">
        <f>"20190312154619257"</f>
        <v>20190312154619257</v>
      </c>
      <c r="B3233" t="str">
        <f>"1552376779250557"</f>
        <v>1552376779250557</v>
      </c>
      <c r="C3233" t="s">
        <v>40</v>
      </c>
      <c r="D3233">
        <v>4.1377980000000001</v>
      </c>
      <c r="E3233">
        <v>0.44119960000000003</v>
      </c>
      <c r="F3233" t="s">
        <v>52</v>
      </c>
      <c r="G3233">
        <v>-191.55789999999999</v>
      </c>
      <c r="H3233" s="1">
        <v>-3.7340359999999999E-6</v>
      </c>
      <c r="I3233">
        <v>126.1283</v>
      </c>
      <c r="J3233">
        <v>-190.38939999999999</v>
      </c>
      <c r="K3233">
        <v>1.107335</v>
      </c>
      <c r="L3233">
        <v>189.2928</v>
      </c>
      <c r="M3233">
        <v>-9.7187889999999999E-2</v>
      </c>
      <c r="N3233">
        <v>0</v>
      </c>
      <c r="O3233">
        <v>-0.99516970000000005</v>
      </c>
      <c r="P3233">
        <v>-0.17330770000000001</v>
      </c>
      <c r="Q3233">
        <v>9.5568960000000005E-3</v>
      </c>
      <c r="R3233">
        <v>-0.98482139999999996</v>
      </c>
      <c r="S3233">
        <v>-5.7357789999999999E-2</v>
      </c>
      <c r="T3233">
        <v>-5.2975179999999997E-2</v>
      </c>
      <c r="U3233">
        <v>-3.0360719999999999</v>
      </c>
      <c r="V3233">
        <v>7.6910430000000002E-2</v>
      </c>
      <c r="W3233">
        <v>2.2876959999999998E-2</v>
      </c>
      <c r="X3233">
        <v>0.99677550000000004</v>
      </c>
      <c r="Y3233">
        <v>-7.8383389999999997E-2</v>
      </c>
      <c r="Z3233">
        <v>1.7293699999999999E-2</v>
      </c>
      <c r="AA3233">
        <v>0.99677329999999997</v>
      </c>
      <c r="AB3233">
        <v>29</v>
      </c>
      <c r="AC3233">
        <v>-1.1684999999999901</v>
      </c>
      <c r="AD3233">
        <v>-1.1073387340359999</v>
      </c>
      <c r="AE3233">
        <v>-63.164499999999997</v>
      </c>
      <c r="AF3233">
        <v>-4.9749174501408504</v>
      </c>
      <c r="AG3233">
        <v>-1.1073387340359999</v>
      </c>
      <c r="AH3233">
        <v>62.959656768759203</v>
      </c>
      <c r="AI3233">
        <v>91.004487812201802</v>
      </c>
      <c r="AJ3233">
        <v>94.517984296627702</v>
      </c>
      <c r="AK3233">
        <v>63.165610763670998</v>
      </c>
      <c r="AL3233">
        <v>88.689132363694199</v>
      </c>
      <c r="AM3233">
        <v>85.587843908736204</v>
      </c>
      <c r="AN3233">
        <v>0.99999998347093799</v>
      </c>
    </row>
    <row r="3234" spans="1:40" x14ac:dyDescent="0.25">
      <c r="A3234" t="str">
        <f>"20190312154619277"</f>
        <v>20190312154619277</v>
      </c>
      <c r="B3234" t="str">
        <f>"1552376779270081"</f>
        <v>1552376779270081</v>
      </c>
      <c r="C3234" t="s">
        <v>40</v>
      </c>
      <c r="D3234">
        <v>4.1425190000000001</v>
      </c>
      <c r="E3234">
        <v>0.44051770000000001</v>
      </c>
      <c r="F3234" t="s">
        <v>52</v>
      </c>
      <c r="G3234">
        <v>-191.5669</v>
      </c>
      <c r="H3234" s="1">
        <v>-3.107051E-6</v>
      </c>
      <c r="I3234">
        <v>124.6382</v>
      </c>
      <c r="J3234">
        <v>-190.41919999999999</v>
      </c>
      <c r="K3234">
        <v>1.107626</v>
      </c>
      <c r="L3234">
        <v>189.01769999999999</v>
      </c>
      <c r="M3234">
        <v>-9.9606070000000005E-2</v>
      </c>
      <c r="N3234">
        <v>0</v>
      </c>
      <c r="O3234">
        <v>-0.99493120000000002</v>
      </c>
      <c r="P3234">
        <v>-0.174429</v>
      </c>
      <c r="Q3234">
        <v>8.54158E-3</v>
      </c>
      <c r="R3234">
        <v>-0.98463279999999997</v>
      </c>
      <c r="S3234">
        <v>-5.5313109999999999E-2</v>
      </c>
      <c r="T3234">
        <v>-5.2015190000000003E-2</v>
      </c>
      <c r="U3234">
        <v>-3.0370330000000001</v>
      </c>
      <c r="V3234">
        <v>7.5600249999999994E-2</v>
      </c>
      <c r="W3234">
        <v>2.188824E-2</v>
      </c>
      <c r="X3234">
        <v>0.9968979</v>
      </c>
      <c r="Y3234">
        <v>-8.1482369999999998E-2</v>
      </c>
      <c r="Z3234">
        <v>1.696686E-2</v>
      </c>
      <c r="AA3234">
        <v>0.99653040000000004</v>
      </c>
      <c r="AB3234">
        <v>29</v>
      </c>
      <c r="AC3234">
        <v>-1.1477000000000099</v>
      </c>
      <c r="AD3234">
        <v>-1.107629107051</v>
      </c>
      <c r="AE3234">
        <v>-64.379499999999993</v>
      </c>
      <c r="AF3234">
        <v>-5.2696493251137202</v>
      </c>
      <c r="AG3234">
        <v>-1.107629107051</v>
      </c>
      <c r="AH3234">
        <v>64.154621312244799</v>
      </c>
      <c r="AI3234">
        <v>90.985793677159904</v>
      </c>
      <c r="AJ3234">
        <v>94.695723592946507</v>
      </c>
      <c r="AK3234">
        <v>64.380210328687198</v>
      </c>
      <c r="AL3234">
        <v>88.745796013519893</v>
      </c>
      <c r="AM3234">
        <v>85.663246830209303</v>
      </c>
      <c r="AN3234">
        <v>0.99999995793738405</v>
      </c>
    </row>
    <row r="3235" spans="1:40" x14ac:dyDescent="0.25">
      <c r="A3235" t="str">
        <f>"20190312154619300"</f>
        <v>20190312154619300</v>
      </c>
      <c r="B3235" t="str">
        <f>"1552376779290574"</f>
        <v>1552376779290574</v>
      </c>
      <c r="C3235" t="s">
        <v>40</v>
      </c>
      <c r="D3235">
        <v>4.0960789999999996</v>
      </c>
      <c r="E3235">
        <v>0.4402181</v>
      </c>
      <c r="F3235" t="s">
        <v>52</v>
      </c>
      <c r="G3235">
        <v>-191.51990000000001</v>
      </c>
      <c r="H3235" s="1">
        <v>-3.9184910000000002E-6</v>
      </c>
      <c r="I3235">
        <v>126.5852</v>
      </c>
      <c r="J3235">
        <v>-190.45070000000001</v>
      </c>
      <c r="K3235">
        <v>1.1079330000000001</v>
      </c>
      <c r="L3235">
        <v>188.72900000000001</v>
      </c>
      <c r="M3235">
        <v>-0.10181659999999999</v>
      </c>
      <c r="N3235">
        <v>0</v>
      </c>
      <c r="O3235">
        <v>-0.99470780000000003</v>
      </c>
      <c r="P3235">
        <v>-0.17537639999999999</v>
      </c>
      <c r="Q3235">
        <v>7.6820109999999999E-3</v>
      </c>
      <c r="R3235">
        <v>-0.98447169999999895</v>
      </c>
      <c r="S3235">
        <v>-5.3558349999999998E-2</v>
      </c>
      <c r="T3235">
        <v>-5.3893799999999999E-2</v>
      </c>
      <c r="U3235">
        <v>-3.037766</v>
      </c>
      <c r="V3235">
        <v>7.4322810000000003E-2</v>
      </c>
      <c r="W3235">
        <v>2.1059689999999999E-2</v>
      </c>
      <c r="X3235">
        <v>0.9970118</v>
      </c>
      <c r="Y3235">
        <v>-8.4276669999999998E-2</v>
      </c>
      <c r="Z3235">
        <v>1.7567309999999999E-2</v>
      </c>
      <c r="AA3235">
        <v>0.99628749999999999</v>
      </c>
      <c r="AB3235">
        <v>29</v>
      </c>
      <c r="AC3235">
        <v>-1.0691999999999899</v>
      </c>
      <c r="AD3235">
        <v>-1.107936918491</v>
      </c>
      <c r="AE3235">
        <v>-62.143799999999999</v>
      </c>
      <c r="AF3235">
        <v>-5.2625561185462999</v>
      </c>
      <c r="AG3235">
        <v>-1.107936918491</v>
      </c>
      <c r="AH3235">
        <v>61.9099886241723</v>
      </c>
      <c r="AI3235">
        <v>91.021568627604296</v>
      </c>
      <c r="AJ3235">
        <v>94.858653195450202</v>
      </c>
      <c r="AK3235">
        <v>62.143130855802099</v>
      </c>
      <c r="AL3235">
        <v>88.793279386757504</v>
      </c>
      <c r="AM3235">
        <v>85.7367389968841</v>
      </c>
      <c r="AN3235">
        <v>0.99999995998421498</v>
      </c>
    </row>
    <row r="3236" spans="1:40" x14ac:dyDescent="0.25">
      <c r="A3236" t="str">
        <f>"20190312154619323"</f>
        <v>20190312154619323</v>
      </c>
      <c r="B3236" t="str">
        <f>"1552376779310098"</f>
        <v>1552376779310098</v>
      </c>
      <c r="C3236" t="s">
        <v>40</v>
      </c>
      <c r="D3236">
        <v>4.056241</v>
      </c>
      <c r="E3236">
        <v>0.42953049999999998</v>
      </c>
      <c r="F3236" t="s">
        <v>52</v>
      </c>
      <c r="G3236">
        <v>-191.51060000000001</v>
      </c>
      <c r="H3236" s="1">
        <v>-4.973656E-6</v>
      </c>
      <c r="I3236">
        <v>129.20240000000001</v>
      </c>
      <c r="J3236">
        <v>-190.483</v>
      </c>
      <c r="K3236">
        <v>1.1082430000000001</v>
      </c>
      <c r="L3236">
        <v>188.43639999999999</v>
      </c>
      <c r="M3236">
        <v>-0.10371130000000001</v>
      </c>
      <c r="N3236">
        <v>0</v>
      </c>
      <c r="O3236">
        <v>-0.99451259999999997</v>
      </c>
      <c r="P3236">
        <v>-0.17609559999999999</v>
      </c>
      <c r="Q3236">
        <v>6.9877630000000001E-3</v>
      </c>
      <c r="R3236">
        <v>-0.98434849999999996</v>
      </c>
      <c r="S3236">
        <v>-5.409241E-2</v>
      </c>
      <c r="T3236">
        <v>-5.6546689999999997E-2</v>
      </c>
      <c r="U3236">
        <v>-3.0381010000000002</v>
      </c>
      <c r="V3236">
        <v>7.3132639999999999E-2</v>
      </c>
      <c r="W3236">
        <v>2.0396549999999999E-2</v>
      </c>
      <c r="X3236">
        <v>0.99711360000000004</v>
      </c>
      <c r="Y3236">
        <v>-8.6001809999999998E-2</v>
      </c>
      <c r="Z3236">
        <v>1.8422859999999999E-2</v>
      </c>
      <c r="AA3236">
        <v>0.99612460000000003</v>
      </c>
      <c r="AB3236">
        <v>29</v>
      </c>
      <c r="AC3236">
        <v>-1.0276000000000001</v>
      </c>
      <c r="AD3236">
        <v>-1.108247973656</v>
      </c>
      <c r="AE3236">
        <v>-59.233999999999902</v>
      </c>
      <c r="AF3236">
        <v>-5.1199654293563199</v>
      </c>
      <c r="AG3236">
        <v>-1.108247973656</v>
      </c>
      <c r="AH3236">
        <v>59.000453671510201</v>
      </c>
      <c r="AI3236">
        <v>91.072073201916794</v>
      </c>
      <c r="AJ3236">
        <v>94.959611982482201</v>
      </c>
      <c r="AK3236">
        <v>59.232556867089002</v>
      </c>
      <c r="AL3236">
        <v>88.831282685191596</v>
      </c>
      <c r="AM3236">
        <v>85.805189886803603</v>
      </c>
      <c r="AN3236">
        <v>0.99999996679511505</v>
      </c>
    </row>
    <row r="3237" spans="1:40" x14ac:dyDescent="0.25">
      <c r="A3237" t="str">
        <f>"20190312154619344"</f>
        <v>20190312154619344</v>
      </c>
      <c r="B3237" t="str">
        <f>"1552376779340350"</f>
        <v>1552376779340350</v>
      </c>
      <c r="C3237" t="s">
        <v>40</v>
      </c>
      <c r="D3237">
        <v>4.0634620000000004</v>
      </c>
      <c r="E3237">
        <v>0.42841839999999998</v>
      </c>
      <c r="F3237" t="s">
        <v>71</v>
      </c>
      <c r="G3237">
        <v>-188.2525</v>
      </c>
      <c r="H3237" s="1">
        <v>-7.6910559999999996E-6</v>
      </c>
      <c r="I3237">
        <v>-69.931119999999893</v>
      </c>
      <c r="J3237">
        <v>-190.51329999999999</v>
      </c>
      <c r="K3237">
        <v>1.108519</v>
      </c>
      <c r="L3237">
        <v>188.16290000000001</v>
      </c>
      <c r="M3237">
        <v>-0.1051473</v>
      </c>
      <c r="N3237">
        <v>0</v>
      </c>
      <c r="O3237">
        <v>-0.99436239999999998</v>
      </c>
      <c r="P3237">
        <v>-0.17711470000000001</v>
      </c>
      <c r="Q3237">
        <v>6.1790269999999897E-3</v>
      </c>
      <c r="R3237">
        <v>-0.98417129999999997</v>
      </c>
      <c r="S3237">
        <v>2.6351929999999999E-2</v>
      </c>
      <c r="T3237">
        <v>-1.309359E-2</v>
      </c>
      <c r="U3237">
        <v>-3.052521</v>
      </c>
      <c r="V3237">
        <v>7.2708200000000001E-2</v>
      </c>
      <c r="W3237">
        <v>1.961135E-2</v>
      </c>
      <c r="X3237">
        <v>0.99716039999999995</v>
      </c>
      <c r="Y3237">
        <v>-0.1137378</v>
      </c>
      <c r="Z3237">
        <v>4.2397219999999996E-3</v>
      </c>
      <c r="AA3237">
        <v>0.99350179999999999</v>
      </c>
      <c r="AB3237">
        <v>29</v>
      </c>
      <c r="AC3237">
        <v>2.2607999999999802</v>
      </c>
      <c r="AD3237">
        <v>-1.1085266910560001</v>
      </c>
      <c r="AE3237">
        <v>-258.09402</v>
      </c>
      <c r="AF3237">
        <v>-29.388156540530801</v>
      </c>
      <c r="AG3237">
        <v>-1.1085266910560001</v>
      </c>
      <c r="AH3237">
        <v>256.42057841893097</v>
      </c>
      <c r="AI3237">
        <v>90.246081816589495</v>
      </c>
      <c r="AJ3237">
        <v>96.538096309283503</v>
      </c>
      <c r="AK3237">
        <v>258.10154128361</v>
      </c>
      <c r="AL3237">
        <v>88.876280347532003</v>
      </c>
      <c r="AM3237">
        <v>85.829644206682204</v>
      </c>
      <c r="AN3237">
        <v>0.99999997536211005</v>
      </c>
    </row>
    <row r="3238" spans="1:40" x14ac:dyDescent="0.25">
      <c r="A3238" t="str">
        <f>"20190312154619367"</f>
        <v>20190312154619367</v>
      </c>
      <c r="B3238" t="str">
        <f>"1552376779360846"</f>
        <v>1552376779360846</v>
      </c>
      <c r="C3238" t="s">
        <v>40</v>
      </c>
      <c r="D3238">
        <v>4.0434099999999997</v>
      </c>
      <c r="E3238">
        <v>0.42804530000000002</v>
      </c>
      <c r="F3238" t="s">
        <v>71</v>
      </c>
      <c r="G3238">
        <v>-188.0215</v>
      </c>
      <c r="H3238" s="1">
        <v>-1.034877E-5</v>
      </c>
      <c r="I3238">
        <v>-50.93</v>
      </c>
      <c r="J3238">
        <v>-190.54650000000001</v>
      </c>
      <c r="K3238">
        <v>1.1088089999999999</v>
      </c>
      <c r="L3238">
        <v>187.8646</v>
      </c>
      <c r="M3238">
        <v>-0.10636370000000001</v>
      </c>
      <c r="N3238">
        <v>0</v>
      </c>
      <c r="O3238">
        <v>-0.99423300000000003</v>
      </c>
      <c r="P3238">
        <v>-0.17854439999999999</v>
      </c>
      <c r="Q3238">
        <v>5.6231160000000001E-3</v>
      </c>
      <c r="R3238">
        <v>-0.98391600000000001</v>
      </c>
      <c r="S3238">
        <v>3.1829830000000003E-2</v>
      </c>
      <c r="T3238">
        <v>-1.4159919999999999E-2</v>
      </c>
      <c r="U3238">
        <v>-3.0540769999999999</v>
      </c>
      <c r="V3238">
        <v>7.2922130000000002E-2</v>
      </c>
      <c r="W3238">
        <v>1.907787E-2</v>
      </c>
      <c r="X3238">
        <v>0.99715509999999996</v>
      </c>
      <c r="Y3238">
        <v>-0.11673020000000001</v>
      </c>
      <c r="Z3238">
        <v>4.580911E-3</v>
      </c>
      <c r="AA3238">
        <v>0.99315310000000001</v>
      </c>
      <c r="AB3238">
        <v>29</v>
      </c>
      <c r="AC3238">
        <v>2.5249999999999999</v>
      </c>
      <c r="AD3238">
        <v>-1.10881934877</v>
      </c>
      <c r="AE3238">
        <v>-238.7946</v>
      </c>
      <c r="AF3238">
        <v>-27.911530738017301</v>
      </c>
      <c r="AG3238">
        <v>-1.10881934877</v>
      </c>
      <c r="AH3238">
        <v>237.16602662447301</v>
      </c>
      <c r="AI3238">
        <v>90.2660362948737</v>
      </c>
      <c r="AJ3238">
        <v>96.712135135405504</v>
      </c>
      <c r="AK3238">
        <v>238.80537517678999</v>
      </c>
      <c r="AL3238">
        <v>88.906852191728703</v>
      </c>
      <c r="AM3238">
        <v>85.817395061526398</v>
      </c>
      <c r="AN3238">
        <v>0.99999994781173995</v>
      </c>
    </row>
    <row r="3239" spans="1:40" x14ac:dyDescent="0.25">
      <c r="A3239" t="str">
        <f>"20190312154619390"</f>
        <v>20190312154619390</v>
      </c>
      <c r="B3239" t="str">
        <f>"1552376779380367"</f>
        <v>1552376779380367</v>
      </c>
      <c r="C3239" t="s">
        <v>40</v>
      </c>
      <c r="D3239">
        <v>4.0966449999999996</v>
      </c>
      <c r="E3239">
        <v>0.42740630000000002</v>
      </c>
      <c r="F3239" t="s">
        <v>71</v>
      </c>
      <c r="G3239">
        <v>-187.98580000000001</v>
      </c>
      <c r="H3239">
        <v>1.383703E-2</v>
      </c>
      <c r="I3239">
        <v>-70.383569999999906</v>
      </c>
      <c r="J3239">
        <v>-190.57839999999999</v>
      </c>
      <c r="K3239">
        <v>1.1090439999999999</v>
      </c>
      <c r="L3239">
        <v>187.57810000000001</v>
      </c>
      <c r="M3239">
        <v>-0.1072766</v>
      </c>
      <c r="N3239">
        <v>0</v>
      </c>
      <c r="O3239">
        <v>-0.99413530000000006</v>
      </c>
      <c r="P3239">
        <v>-0.17894489999999999</v>
      </c>
      <c r="Q3239">
        <v>5.8116699999999997E-3</v>
      </c>
      <c r="R3239">
        <v>-0.9838422</v>
      </c>
      <c r="S3239">
        <v>3.0288700000000002E-2</v>
      </c>
      <c r="T3239">
        <v>-1.2951610000000001E-2</v>
      </c>
      <c r="U3239">
        <v>-3.0546259999999998</v>
      </c>
      <c r="V3239">
        <v>7.2402449999999993E-2</v>
      </c>
      <c r="W3239">
        <v>1.9285259999999999E-2</v>
      </c>
      <c r="X3239">
        <v>0.99718899999999999</v>
      </c>
      <c r="Y3239">
        <v>-0.1171392</v>
      </c>
      <c r="Z3239">
        <v>4.1885480000000003E-3</v>
      </c>
      <c r="AA3239">
        <v>0.99310670000000001</v>
      </c>
      <c r="AB3239">
        <v>29</v>
      </c>
      <c r="AC3239">
        <v>2.5925999999999698</v>
      </c>
      <c r="AD3239">
        <v>-1.09520697</v>
      </c>
      <c r="AE3239">
        <v>-257.96167000000003</v>
      </c>
      <c r="AF3239">
        <v>-30.252925648096902</v>
      </c>
      <c r="AG3239">
        <v>-1.09520697</v>
      </c>
      <c r="AH3239">
        <v>256.189980994417</v>
      </c>
      <c r="AI3239">
        <v>90.243246688747504</v>
      </c>
      <c r="AJ3239">
        <v>96.734746574620701</v>
      </c>
      <c r="AK3239">
        <v>257.97237323112</v>
      </c>
      <c r="AL3239">
        <v>88.894967456051603</v>
      </c>
      <c r="AM3239">
        <v>85.847238447109802</v>
      </c>
      <c r="AN3239">
        <v>0.99999996887013398</v>
      </c>
    </row>
    <row r="3240" spans="1:40" x14ac:dyDescent="0.25">
      <c r="A3240" t="str">
        <f>"20190312154619412"</f>
        <v>20190312154619412</v>
      </c>
      <c r="B3240" t="str">
        <f>"1552376779400861"</f>
        <v>1552376779400861</v>
      </c>
      <c r="C3240" t="s">
        <v>40</v>
      </c>
      <c r="D3240">
        <v>4.0807409999999997</v>
      </c>
      <c r="E3240">
        <v>0.4269694</v>
      </c>
      <c r="F3240" t="s">
        <v>72</v>
      </c>
      <c r="G3240">
        <v>-187.58779999999999</v>
      </c>
      <c r="H3240">
        <v>0.19552330000000001</v>
      </c>
      <c r="I3240">
        <v>-81.81523</v>
      </c>
      <c r="J3240">
        <v>-190.61019999999999</v>
      </c>
      <c r="K3240">
        <v>1.1092420000000001</v>
      </c>
      <c r="L3240">
        <v>187.29300000000001</v>
      </c>
      <c r="M3240">
        <v>-0.1079441</v>
      </c>
      <c r="N3240">
        <v>0</v>
      </c>
      <c r="O3240">
        <v>-0.99406309999999998</v>
      </c>
      <c r="P3240">
        <v>-0.17832419999999999</v>
      </c>
      <c r="Q3240">
        <v>6.3965130000000004E-3</v>
      </c>
      <c r="R3240">
        <v>-0.98395069999999996</v>
      </c>
      <c r="S3240">
        <v>3.3920289999999999E-2</v>
      </c>
      <c r="T3240">
        <v>-1.036131E-2</v>
      </c>
      <c r="U3240">
        <v>-3.0555110000000001</v>
      </c>
      <c r="V3240">
        <v>7.1095660000000005E-2</v>
      </c>
      <c r="W3240">
        <v>1.9888820000000001E-2</v>
      </c>
      <c r="X3240">
        <v>0.99727120000000002</v>
      </c>
      <c r="Y3240">
        <v>-0.118983199999999</v>
      </c>
      <c r="Z3240">
        <v>3.349126E-3</v>
      </c>
      <c r="AA3240">
        <v>0.99289059999999996</v>
      </c>
      <c r="AB3240">
        <v>29</v>
      </c>
      <c r="AC3240">
        <v>3.0224000000000002</v>
      </c>
      <c r="AD3240">
        <v>-0.91371869999999999</v>
      </c>
      <c r="AE3240">
        <v>-269.10822999999999</v>
      </c>
      <c r="AF3240">
        <v>-32.055723862725301</v>
      </c>
      <c r="AG3240">
        <v>-0.91371869999999999</v>
      </c>
      <c r="AH3240">
        <v>267.20616607457703</v>
      </c>
      <c r="AI3240">
        <v>90.194528892446797</v>
      </c>
      <c r="AJ3240">
        <v>96.840867575681997</v>
      </c>
      <c r="AK3240">
        <v>269.12365095342398</v>
      </c>
      <c r="AL3240">
        <v>88.860379416212297</v>
      </c>
      <c r="AM3240">
        <v>85.922271341009704</v>
      </c>
      <c r="AN3240">
        <v>1.0000000021906299</v>
      </c>
    </row>
    <row r="3241" spans="1:40" x14ac:dyDescent="0.25">
      <c r="A3241" t="str">
        <f>"20190312154619435"</f>
        <v>20190312154619435</v>
      </c>
      <c r="B3241" t="str">
        <f>"1552376779430141"</f>
        <v>1552376779430141</v>
      </c>
      <c r="C3241" t="s">
        <v>40</v>
      </c>
      <c r="D3241">
        <v>4.0435410000000003</v>
      </c>
      <c r="E3241">
        <v>0.42625639999999998</v>
      </c>
      <c r="F3241" t="s">
        <v>72</v>
      </c>
      <c r="G3241">
        <v>-187.1705</v>
      </c>
      <c r="H3241">
        <v>0.39346029999999999</v>
      </c>
      <c r="I3241">
        <v>-81.815290000000005</v>
      </c>
      <c r="J3241">
        <v>-190.6438</v>
      </c>
      <c r="K3241">
        <v>1.1094389999999901</v>
      </c>
      <c r="L3241">
        <v>186.99019999999999</v>
      </c>
      <c r="M3241">
        <v>-0.10839119999999999</v>
      </c>
      <c r="N3241">
        <v>0</v>
      </c>
      <c r="O3241">
        <v>-0.99401490000000003</v>
      </c>
      <c r="P3241">
        <v>-0.17832600000000001</v>
      </c>
      <c r="Q3241">
        <v>5.1343439999999999E-3</v>
      </c>
      <c r="R3241">
        <v>-0.98395840000000001</v>
      </c>
      <c r="S3241">
        <v>3.90625E-2</v>
      </c>
      <c r="T3241">
        <v>-8.1286429999999996E-3</v>
      </c>
      <c r="U3241">
        <v>-3.0560909999999999</v>
      </c>
      <c r="V3241">
        <v>7.0636560000000001E-2</v>
      </c>
      <c r="W3241">
        <v>1.864451E-2</v>
      </c>
      <c r="X3241">
        <v>0.99732790000000004</v>
      </c>
      <c r="Y3241">
        <v>-0.12109789999999999</v>
      </c>
      <c r="Z3241">
        <v>2.6263969999999999E-3</v>
      </c>
      <c r="AA3241">
        <v>0.99263710000000005</v>
      </c>
      <c r="AB3241">
        <v>29</v>
      </c>
      <c r="AC3241">
        <v>3.4732999999999898</v>
      </c>
      <c r="AD3241">
        <v>-0.71597869999999897</v>
      </c>
      <c r="AE3241">
        <v>-268.80549000000002</v>
      </c>
      <c r="AF3241">
        <v>-32.591457105262798</v>
      </c>
      <c r="AG3241">
        <v>-0.71597869999999897</v>
      </c>
      <c r="AH3241">
        <v>266.84307551573602</v>
      </c>
      <c r="AI3241">
        <v>90.152598548500904</v>
      </c>
      <c r="AJ3241">
        <v>96.963455077880198</v>
      </c>
      <c r="AK3241">
        <v>268.82697530649602</v>
      </c>
      <c r="AL3241">
        <v>88.931686409210698</v>
      </c>
      <c r="AM3241">
        <v>85.948744857218003</v>
      </c>
      <c r="AN3241">
        <v>1.00000004074009</v>
      </c>
    </row>
    <row r="3242" spans="1:40" x14ac:dyDescent="0.25">
      <c r="A3242" t="str">
        <f>"20190312154619457"</f>
        <v>20190312154619457</v>
      </c>
      <c r="B3242" t="str">
        <f>"1552376779450638"</f>
        <v>1552376779450638</v>
      </c>
      <c r="C3242" t="s">
        <v>40</v>
      </c>
      <c r="D3242">
        <v>4.0625669999999996</v>
      </c>
      <c r="E3242">
        <v>0.42586869999999999</v>
      </c>
      <c r="F3242" t="s">
        <v>72</v>
      </c>
      <c r="G3242">
        <v>-186.72329999999999</v>
      </c>
      <c r="H3242">
        <v>0.34911819999999999</v>
      </c>
      <c r="I3242">
        <v>-81.815280000000001</v>
      </c>
      <c r="J3242">
        <v>-190.6747</v>
      </c>
      <c r="K3242">
        <v>1.109629</v>
      </c>
      <c r="L3242">
        <v>186.71080000000001</v>
      </c>
      <c r="M3242">
        <v>-0.10857600000000001</v>
      </c>
      <c r="N3242">
        <v>0</v>
      </c>
      <c r="O3242">
        <v>-0.99399499999999996</v>
      </c>
      <c r="P3242">
        <v>-0.17904030000000001</v>
      </c>
      <c r="Q3242">
        <v>4.2389159999999997E-3</v>
      </c>
      <c r="R3242">
        <v>-0.98383259999999995</v>
      </c>
      <c r="S3242">
        <v>4.4586180000000003E-2</v>
      </c>
      <c r="T3242">
        <v>-8.6468459999999997E-3</v>
      </c>
      <c r="U3242">
        <v>-3.0570369999999998</v>
      </c>
      <c r="V3242">
        <v>7.116538E-2</v>
      </c>
      <c r="W3242">
        <v>1.7765369999999999E-2</v>
      </c>
      <c r="X3242">
        <v>0.99730629999999998</v>
      </c>
      <c r="Y3242">
        <v>-0.1230714</v>
      </c>
      <c r="Z3242">
        <v>2.7924999999999998E-3</v>
      </c>
      <c r="AA3242">
        <v>0.99239390000000005</v>
      </c>
      <c r="AB3242">
        <v>29</v>
      </c>
      <c r="AC3242">
        <v>3.9514</v>
      </c>
      <c r="AD3242">
        <v>-0.76051079999999904</v>
      </c>
      <c r="AE3242">
        <v>-268.52607999999998</v>
      </c>
      <c r="AF3242">
        <v>-33.085957971454</v>
      </c>
      <c r="AG3242">
        <v>-0.76051079999999904</v>
      </c>
      <c r="AH3242">
        <v>266.50709530479298</v>
      </c>
      <c r="AI3242">
        <v>90.162254538358198</v>
      </c>
      <c r="AJ3242">
        <v>97.076869073231407</v>
      </c>
      <c r="AK3242">
        <v>268.55407433022498</v>
      </c>
      <c r="AL3242">
        <v>88.982065715591403</v>
      </c>
      <c r="AM3242">
        <v>85.918429192825997</v>
      </c>
      <c r="AN3242">
        <v>0.99999998785073496</v>
      </c>
    </row>
    <row r="3243" spans="1:40" x14ac:dyDescent="0.25">
      <c r="A3243" t="str">
        <f>"20190312154619481"</f>
        <v>20190312154619481</v>
      </c>
      <c r="B3243" t="str">
        <f>"1552376779470158"</f>
        <v>1552376779470158</v>
      </c>
      <c r="C3243" t="s">
        <v>40</v>
      </c>
      <c r="D3243">
        <v>4.093826</v>
      </c>
      <c r="E3243">
        <v>0.42547220000000002</v>
      </c>
      <c r="F3243" t="s">
        <v>72</v>
      </c>
      <c r="G3243">
        <v>-186.69200000000001</v>
      </c>
      <c r="H3243">
        <v>0.38278479999999998</v>
      </c>
      <c r="I3243">
        <v>-81.815290000000005</v>
      </c>
      <c r="J3243">
        <v>-190.70830000000001</v>
      </c>
      <c r="K3243">
        <v>1.109839</v>
      </c>
      <c r="L3243">
        <v>186.40530000000001</v>
      </c>
      <c r="M3243">
        <v>-0.108529</v>
      </c>
      <c r="N3243">
        <v>0</v>
      </c>
      <c r="O3243">
        <v>-0.99400029999999995</v>
      </c>
      <c r="P3243">
        <v>-0.1793804</v>
      </c>
      <c r="Q3243">
        <v>3.6338989999999999E-3</v>
      </c>
      <c r="R3243">
        <v>-0.98377309999999996</v>
      </c>
      <c r="S3243">
        <v>4.534912E-2</v>
      </c>
      <c r="T3243">
        <v>-8.2762240000000004E-3</v>
      </c>
      <c r="U3243">
        <v>-3.0575869999999998</v>
      </c>
      <c r="V3243">
        <v>7.1547399999999997E-2</v>
      </c>
      <c r="W3243">
        <v>1.7183710000000001E-2</v>
      </c>
      <c r="X3243">
        <v>0.99728919999999999</v>
      </c>
      <c r="Y3243">
        <v>-0.1232695</v>
      </c>
      <c r="Z3243">
        <v>2.672312E-3</v>
      </c>
      <c r="AA3243">
        <v>0.99236970000000002</v>
      </c>
      <c r="AB3243">
        <v>29</v>
      </c>
      <c r="AC3243">
        <v>4.0163000000000002</v>
      </c>
      <c r="AD3243">
        <v>-0.72705419999999998</v>
      </c>
      <c r="AE3243">
        <v>-268.22059000000002</v>
      </c>
      <c r="AF3243">
        <v>-33.104732659393399</v>
      </c>
      <c r="AG3243">
        <v>-0.72705419999999998</v>
      </c>
      <c r="AH3243">
        <v>266.19811238477598</v>
      </c>
      <c r="AI3243">
        <v>90.155292596265994</v>
      </c>
      <c r="AJ3243">
        <v>97.088979445483503</v>
      </c>
      <c r="AK3243">
        <v>268.249672822685</v>
      </c>
      <c r="AL3243">
        <v>89.015397509951597</v>
      </c>
      <c r="AM3243">
        <v>85.896523603273096</v>
      </c>
      <c r="AN3243">
        <v>1.00000002938638</v>
      </c>
    </row>
    <row r="3244" spans="1:40" x14ac:dyDescent="0.25">
      <c r="A3244" t="str">
        <f>"20190312154619503"</f>
        <v>20190312154619503</v>
      </c>
      <c r="B3244" t="str">
        <f>"1552376779490655"</f>
        <v>1552376779490655</v>
      </c>
      <c r="C3244" t="s">
        <v>40</v>
      </c>
      <c r="D3244">
        <v>4.1705569999999996</v>
      </c>
      <c r="E3244">
        <v>0.42546650000000003</v>
      </c>
      <c r="F3244" t="s">
        <v>72</v>
      </c>
      <c r="G3244">
        <v>-186.5462</v>
      </c>
      <c r="H3244">
        <v>0.38806629999999998</v>
      </c>
      <c r="I3244">
        <v>-81.815290000000005</v>
      </c>
      <c r="J3244">
        <v>-190.73840000000001</v>
      </c>
      <c r="K3244">
        <v>1.110039</v>
      </c>
      <c r="L3244">
        <v>186.12899999999999</v>
      </c>
      <c r="M3244">
        <v>-0.10824010000000001</v>
      </c>
      <c r="N3244">
        <v>0</v>
      </c>
      <c r="O3244">
        <v>-0.99403200000000003</v>
      </c>
      <c r="P3244">
        <v>-0.17991689999999999</v>
      </c>
      <c r="Q3244">
        <v>3.12663E-3</v>
      </c>
      <c r="R3244">
        <v>-0.98367720000000003</v>
      </c>
      <c r="S3244">
        <v>4.7454830000000003E-2</v>
      </c>
      <c r="T3244">
        <v>-8.2293750000000006E-3</v>
      </c>
      <c r="U3244">
        <v>-3.0581510000000001</v>
      </c>
      <c r="V3244">
        <v>7.2372560000000002E-2</v>
      </c>
      <c r="W3244">
        <v>1.670027E-2</v>
      </c>
      <c r="X3244">
        <v>0.99723790000000001</v>
      </c>
      <c r="Y3244">
        <v>-0.12366149999999999</v>
      </c>
      <c r="Z3244">
        <v>2.6567420000000001E-3</v>
      </c>
      <c r="AA3244">
        <v>0.99232089999999995</v>
      </c>
      <c r="AB3244">
        <v>29</v>
      </c>
      <c r="AC3244">
        <v>4.1922000000000104</v>
      </c>
      <c r="AD3244">
        <v>-0.72197270000000002</v>
      </c>
      <c r="AE3244">
        <v>-267.944289999999</v>
      </c>
      <c r="AF3244">
        <v>-33.172316621434398</v>
      </c>
      <c r="AG3244">
        <v>-0.72197270000000002</v>
      </c>
      <c r="AH3244">
        <v>265.91403125183598</v>
      </c>
      <c r="AI3244">
        <v>90.1543646505814</v>
      </c>
      <c r="AJ3244">
        <v>97.110815002015698</v>
      </c>
      <c r="AK3244">
        <v>267.97611059796799</v>
      </c>
      <c r="AL3244">
        <v>89.043100584375694</v>
      </c>
      <c r="AM3244">
        <v>85.849149680359204</v>
      </c>
      <c r="AN3244">
        <v>1.00000005782771</v>
      </c>
    </row>
    <row r="3245" spans="1:40" x14ac:dyDescent="0.25">
      <c r="A3245" t="str">
        <f>"20190312154619525"</f>
        <v>20190312154619525</v>
      </c>
      <c r="B3245" t="str">
        <f>"1552376779520910"</f>
        <v>1552376779520910</v>
      </c>
      <c r="C3245" t="s">
        <v>40</v>
      </c>
      <c r="D3245">
        <v>4.3041260000000001</v>
      </c>
      <c r="E3245">
        <v>0.46514100000000003</v>
      </c>
      <c r="F3245" t="s">
        <v>72</v>
      </c>
      <c r="G3245">
        <v>-186.7182</v>
      </c>
      <c r="H3245">
        <v>0.30354399999999998</v>
      </c>
      <c r="I3245">
        <v>-81.815259999999995</v>
      </c>
      <c r="J3245">
        <v>-190.7687</v>
      </c>
      <c r="K3245">
        <v>1.1102529999999999</v>
      </c>
      <c r="L3245">
        <v>185.8468</v>
      </c>
      <c r="M3245">
        <v>-0.10767889999999999</v>
      </c>
      <c r="N3245">
        <v>0</v>
      </c>
      <c r="O3245">
        <v>-0.99409320000000001</v>
      </c>
      <c r="P3245">
        <v>-0.1804056</v>
      </c>
      <c r="Q3245">
        <v>2.758094E-3</v>
      </c>
      <c r="R3245">
        <v>-0.98358880000000004</v>
      </c>
      <c r="S3245">
        <v>4.5883180000000003E-2</v>
      </c>
      <c r="T3245">
        <v>-9.2048649999999996E-3</v>
      </c>
      <c r="U3245">
        <v>-3.0581670000000001</v>
      </c>
      <c r="V3245">
        <v>7.342274E-2</v>
      </c>
      <c r="W3245">
        <v>1.6359849999999999E-2</v>
      </c>
      <c r="X3245">
        <v>0.99716669999999996</v>
      </c>
      <c r="Y3245">
        <v>-0.12259109999999999</v>
      </c>
      <c r="Z3245">
        <v>2.972134E-3</v>
      </c>
      <c r="AA3245">
        <v>0.99245280000000002</v>
      </c>
      <c r="AB3245">
        <v>29</v>
      </c>
      <c r="AC3245">
        <v>4.0505000000000004</v>
      </c>
      <c r="AD3245">
        <v>-0.80670900000000001</v>
      </c>
      <c r="AE3245">
        <v>-267.66206</v>
      </c>
      <c r="AF3245">
        <v>-32.850854219068502</v>
      </c>
      <c r="AG3245">
        <v>-0.80670900000000001</v>
      </c>
      <c r="AH3245">
        <v>265.66690563500703</v>
      </c>
      <c r="AI3245">
        <v>90.172665521972405</v>
      </c>
      <c r="AJ3245">
        <v>97.049086867152198</v>
      </c>
      <c r="AK3245">
        <v>267.69149062309202</v>
      </c>
      <c r="AL3245">
        <v>89.062607810108801</v>
      </c>
      <c r="AM3245">
        <v>85.788833264391897</v>
      </c>
      <c r="AN3245">
        <v>0.99999998551500902</v>
      </c>
    </row>
    <row r="3246" spans="1:40" x14ac:dyDescent="0.25">
      <c r="A3246" t="str">
        <f>"20190312154619548"</f>
        <v>20190312154619548</v>
      </c>
      <c r="B3246" t="str">
        <f>"1552376779540430"</f>
        <v>1552376779540430</v>
      </c>
      <c r="C3246" t="s">
        <v>40</v>
      </c>
      <c r="D3246">
        <v>4.278632</v>
      </c>
      <c r="E3246">
        <v>0.51978769999999996</v>
      </c>
      <c r="F3246" t="s">
        <v>43</v>
      </c>
      <c r="G3246">
        <v>-207.04669999999999</v>
      </c>
      <c r="H3246">
        <v>-0.05</v>
      </c>
      <c r="I3246">
        <v>2.7160340000000001</v>
      </c>
      <c r="J3246">
        <v>-190.79900000000001</v>
      </c>
      <c r="K3246">
        <v>1.110452</v>
      </c>
      <c r="L3246">
        <v>185.56030000000001</v>
      </c>
      <c r="M3246">
        <v>-0.1068485</v>
      </c>
      <c r="N3246">
        <v>0</v>
      </c>
      <c r="O3246">
        <v>-0.99418289999999998</v>
      </c>
      <c r="P3246">
        <v>-0.18108550000000001</v>
      </c>
      <c r="Q3246">
        <v>2.8074829999999999E-3</v>
      </c>
      <c r="R3246">
        <v>-0.98346359999999999</v>
      </c>
      <c r="S3246">
        <v>-0.26676939999999999</v>
      </c>
      <c r="T3246">
        <v>-1.90146E-2</v>
      </c>
      <c r="U3246">
        <v>-3.0012050000000001</v>
      </c>
      <c r="V3246">
        <v>7.4936779999999995E-2</v>
      </c>
      <c r="W3246">
        <v>1.6438520000000002E-2</v>
      </c>
      <c r="X3246">
        <v>0.99705279999999996</v>
      </c>
      <c r="Y3246">
        <v>-1.840899E-2</v>
      </c>
      <c r="Z3246">
        <v>6.2683069999999999E-3</v>
      </c>
      <c r="AA3246">
        <v>0.99981089999999995</v>
      </c>
      <c r="AB3246">
        <v>29</v>
      </c>
      <c r="AC3246">
        <v>-16.247699999999899</v>
      </c>
      <c r="AD3246">
        <v>-1.160452</v>
      </c>
      <c r="AE3246">
        <v>-182.844266</v>
      </c>
      <c r="AF3246">
        <v>-3.3836257392248399</v>
      </c>
      <c r="AG3246">
        <v>-1.160452</v>
      </c>
      <c r="AH3246">
        <v>183.52621421743299</v>
      </c>
      <c r="AI3246">
        <v>90.362219747193393</v>
      </c>
      <c r="AJ3246">
        <v>91.056227926658096</v>
      </c>
      <c r="AK3246">
        <v>183.56107124597699</v>
      </c>
      <c r="AL3246">
        <v>89.058099773523693</v>
      </c>
      <c r="AM3246">
        <v>85.701828357812104</v>
      </c>
      <c r="AN3246">
        <v>1.00000001596219</v>
      </c>
    </row>
    <row r="3247" spans="1:40" x14ac:dyDescent="0.25">
      <c r="A3247" t="str">
        <f>"20190312154619568"</f>
        <v>20190312154619568</v>
      </c>
      <c r="B3247" t="str">
        <f>"1552376779560926"</f>
        <v>1552376779560926</v>
      </c>
      <c r="C3247" t="s">
        <v>40</v>
      </c>
      <c r="D3247">
        <v>4.2526729999999997</v>
      </c>
      <c r="E3247">
        <v>0.52225770000000005</v>
      </c>
      <c r="F3247" t="s">
        <v>52</v>
      </c>
      <c r="G3247">
        <v>-204.13319999999999</v>
      </c>
      <c r="H3247">
        <v>3.6654180000000001E-2</v>
      </c>
      <c r="I3247">
        <v>129.61580000000001</v>
      </c>
      <c r="J3247">
        <v>-190.8271</v>
      </c>
      <c r="K3247">
        <v>1.110617</v>
      </c>
      <c r="L3247">
        <v>185.28919999999999</v>
      </c>
      <c r="M3247">
        <v>-0.1058723</v>
      </c>
      <c r="N3247">
        <v>0</v>
      </c>
      <c r="O3247">
        <v>-0.99428729999999999</v>
      </c>
      <c r="P3247">
        <v>-0.1814462</v>
      </c>
      <c r="Q3247">
        <v>2.210414E-3</v>
      </c>
      <c r="R3247">
        <v>-0.98339869999999996</v>
      </c>
      <c r="S3247">
        <v>-0.69653319999999996</v>
      </c>
      <c r="T3247">
        <v>-5.6091189999999999E-2</v>
      </c>
      <c r="U3247">
        <v>-2.9223330000000001</v>
      </c>
      <c r="V3247">
        <v>7.6275519999999999E-2</v>
      </c>
      <c r="W3247">
        <v>1.5867349999999999E-2</v>
      </c>
      <c r="X3247">
        <v>0.99696050000000003</v>
      </c>
      <c r="Y3247">
        <v>0.12751279999999901</v>
      </c>
      <c r="Z3247">
        <v>1.8689330000000001E-2</v>
      </c>
      <c r="AA3247">
        <v>0.99166080000000001</v>
      </c>
      <c r="AB3247">
        <v>29</v>
      </c>
      <c r="AC3247">
        <v>-13.306099999999899</v>
      </c>
      <c r="AD3247">
        <v>-1.07396282</v>
      </c>
      <c r="AE3247">
        <v>-55.673400000000001</v>
      </c>
      <c r="AF3247">
        <v>7.3339080423896297</v>
      </c>
      <c r="AG3247">
        <v>-1.07396282</v>
      </c>
      <c r="AH3247">
        <v>56.749343456779101</v>
      </c>
      <c r="AI3247">
        <v>91.075234942762293</v>
      </c>
      <c r="AJ3247">
        <v>82.636287622371</v>
      </c>
      <c r="AK3247">
        <v>57.2313514263681</v>
      </c>
      <c r="AL3247">
        <v>89.090829644177404</v>
      </c>
      <c r="AM3247">
        <v>85.624933880202505</v>
      </c>
      <c r="AN3247">
        <v>0.99999998315377103</v>
      </c>
    </row>
    <row r="3248" spans="1:40" x14ac:dyDescent="0.25">
      <c r="A3248" t="str">
        <f>"20190312154619591"</f>
        <v>20190312154619591</v>
      </c>
      <c r="B3248" t="str">
        <f>"1552376779580449"</f>
        <v>1552376779580449</v>
      </c>
      <c r="C3248" t="s">
        <v>40</v>
      </c>
      <c r="D3248">
        <v>4.2511400000000004</v>
      </c>
      <c r="E3248">
        <v>0.52268579999999998</v>
      </c>
      <c r="F3248" t="s">
        <v>52</v>
      </c>
      <c r="G3248">
        <v>-203.0951</v>
      </c>
      <c r="H3248" s="1">
        <v>-6.9884699999999997E-6</v>
      </c>
      <c r="I3248">
        <v>135.3528</v>
      </c>
      <c r="J3248">
        <v>-190.85659999999999</v>
      </c>
      <c r="K3248">
        <v>1.110754</v>
      </c>
      <c r="L3248">
        <v>185.00040000000001</v>
      </c>
      <c r="M3248">
        <v>-0.1046371</v>
      </c>
      <c r="N3248">
        <v>0</v>
      </c>
      <c r="O3248">
        <v>-0.99441829999999998</v>
      </c>
      <c r="P3248">
        <v>-0.18056920000000001</v>
      </c>
      <c r="Q3248">
        <v>2.2213720000000001E-3</v>
      </c>
      <c r="R3248">
        <v>-0.9835602</v>
      </c>
      <c r="S3248">
        <v>-0.71699519999999906</v>
      </c>
      <c r="T3248">
        <v>-6.4909700000000001E-2</v>
      </c>
      <c r="U3248">
        <v>-2.9185029999999998</v>
      </c>
      <c r="V3248">
        <v>7.6618919999999993E-2</v>
      </c>
      <c r="W3248">
        <v>1.5901680000000001E-2</v>
      </c>
      <c r="X3248">
        <v>0.99693359999999998</v>
      </c>
      <c r="Y3248">
        <v>0.1355874</v>
      </c>
      <c r="Z3248">
        <v>2.1628870000000001E-2</v>
      </c>
      <c r="AA3248">
        <v>0.99052929999999995</v>
      </c>
      <c r="AB3248">
        <v>29</v>
      </c>
      <c r="AC3248">
        <v>-12.2385</v>
      </c>
      <c r="AD3248">
        <v>-1.11076098847</v>
      </c>
      <c r="AE3248">
        <v>-49.647599999999997</v>
      </c>
      <c r="AF3248">
        <v>6.9725567591472801</v>
      </c>
      <c r="AG3248">
        <v>-1.11076098847</v>
      </c>
      <c r="AH3248">
        <v>50.6318347068514</v>
      </c>
      <c r="AI3248">
        <v>91.245006849515093</v>
      </c>
      <c r="AJ3248">
        <v>82.159062996350102</v>
      </c>
      <c r="AK3248">
        <v>51.121747070253399</v>
      </c>
      <c r="AL3248">
        <v>89.088862413079198</v>
      </c>
      <c r="AM3248">
        <v>85.605195770924098</v>
      </c>
      <c r="AN3248">
        <v>0.99999996256887302</v>
      </c>
    </row>
    <row r="3249" spans="1:40" x14ac:dyDescent="0.25">
      <c r="A3249" t="str">
        <f>"20190312154619614"</f>
        <v>20190312154619614</v>
      </c>
      <c r="B3249" t="str">
        <f>"1552376779610702"</f>
        <v>1552376779610702</v>
      </c>
      <c r="C3249" t="s">
        <v>40</v>
      </c>
      <c r="D3249">
        <v>4.2499929999999999</v>
      </c>
      <c r="E3249">
        <v>0.52278199999999997</v>
      </c>
      <c r="F3249" t="s">
        <v>52</v>
      </c>
      <c r="G3249">
        <v>-203.0463</v>
      </c>
      <c r="H3249" s="1">
        <v>-7.0274699999999997E-6</v>
      </c>
      <c r="I3249">
        <v>135.4134</v>
      </c>
      <c r="J3249">
        <v>-190.88499999999999</v>
      </c>
      <c r="K3249">
        <v>1.1108769999999999</v>
      </c>
      <c r="L3249">
        <v>184.71789999999999</v>
      </c>
      <c r="M3249">
        <v>-0.10324800000000001</v>
      </c>
      <c r="N3249">
        <v>0</v>
      </c>
      <c r="O3249">
        <v>-0.99456319999999998</v>
      </c>
      <c r="P3249">
        <v>-0.179203</v>
      </c>
      <c r="Q3249">
        <v>2.2095600000000002E-3</v>
      </c>
      <c r="R3249">
        <v>-0.98380990000000001</v>
      </c>
      <c r="S3249">
        <v>-0.71745300000000001</v>
      </c>
      <c r="T3249">
        <v>-6.5376519999999994E-2</v>
      </c>
      <c r="U3249">
        <v>-2.9185639999999999</v>
      </c>
      <c r="V3249">
        <v>7.6621529999999993E-2</v>
      </c>
      <c r="W3249">
        <v>1.591074E-2</v>
      </c>
      <c r="X3249">
        <v>0.99693330000000002</v>
      </c>
      <c r="Y3249">
        <v>0.13711189999999901</v>
      </c>
      <c r="Z3249">
        <v>2.178596E-2</v>
      </c>
      <c r="AA3249">
        <v>0.99031599999999997</v>
      </c>
      <c r="AB3249">
        <v>29</v>
      </c>
      <c r="AC3249">
        <v>-12.161300000000001</v>
      </c>
      <c r="AD3249">
        <v>-1.11088402747</v>
      </c>
      <c r="AE3249">
        <v>-49.304499999999898</v>
      </c>
      <c r="AF3249">
        <v>7.0018839068327097</v>
      </c>
      <c r="AG3249">
        <v>-1.11088402747</v>
      </c>
      <c r="AH3249">
        <v>50.272638716816502</v>
      </c>
      <c r="AI3249">
        <v>91.253771425492204</v>
      </c>
      <c r="AJ3249">
        <v>82.070953287635405</v>
      </c>
      <c r="AK3249">
        <v>50.770056579826701</v>
      </c>
      <c r="AL3249">
        <v>89.088343288652993</v>
      </c>
      <c r="AM3249">
        <v>85.605045332446394</v>
      </c>
      <c r="AN3249">
        <v>1.0000000075778801</v>
      </c>
    </row>
    <row r="3250" spans="1:40" x14ac:dyDescent="0.25">
      <c r="A3250" t="str">
        <f>"20190312154619636"</f>
        <v>20190312154619636</v>
      </c>
      <c r="B3250" t="str">
        <f>"1552376779630221"</f>
        <v>1552376779630221</v>
      </c>
      <c r="C3250" t="s">
        <v>40</v>
      </c>
      <c r="D3250">
        <v>4.2668749999999998</v>
      </c>
      <c r="E3250">
        <v>0.52286639999999995</v>
      </c>
      <c r="F3250" t="s">
        <v>52</v>
      </c>
      <c r="G3250">
        <v>-202.4451</v>
      </c>
      <c r="H3250" s="1">
        <v>-7.8872859999999999E-6</v>
      </c>
      <c r="I3250">
        <v>137.45939999999999</v>
      </c>
      <c r="J3250">
        <v>-190.91229999999999</v>
      </c>
      <c r="K3250">
        <v>1.1109800000000001</v>
      </c>
      <c r="L3250">
        <v>184.43960000000001</v>
      </c>
      <c r="M3250">
        <v>-0.1017245</v>
      </c>
      <c r="N3250">
        <v>0</v>
      </c>
      <c r="O3250">
        <v>-0.99472059999999995</v>
      </c>
      <c r="P3250">
        <v>-0.17806559999999999</v>
      </c>
      <c r="Q3250">
        <v>2.7291389999999998E-3</v>
      </c>
      <c r="R3250">
        <v>-0.98401519999999998</v>
      </c>
      <c r="S3250">
        <v>-0.71414180000000005</v>
      </c>
      <c r="T3250">
        <v>-6.862617E-2</v>
      </c>
      <c r="U3250">
        <v>-2.9194490000000002</v>
      </c>
      <c r="V3250">
        <v>7.6990080000000002E-2</v>
      </c>
      <c r="W3250">
        <v>1.6449970000000001E-2</v>
      </c>
      <c r="X3250">
        <v>0.99689609999999995</v>
      </c>
      <c r="Y3250">
        <v>0.13749439999999999</v>
      </c>
      <c r="Z3250">
        <v>2.2869420000000001E-2</v>
      </c>
      <c r="AA3250">
        <v>0.99023850000000002</v>
      </c>
      <c r="AB3250">
        <v>29</v>
      </c>
      <c r="AC3250">
        <v>-11.5328</v>
      </c>
      <c r="AD3250">
        <v>-1.110987887286</v>
      </c>
      <c r="AE3250">
        <v>-46.980200000000004</v>
      </c>
      <c r="AF3250">
        <v>6.6899604677692004</v>
      </c>
      <c r="AG3250">
        <v>-1.110987887286</v>
      </c>
      <c r="AH3250">
        <v>47.8844699285358</v>
      </c>
      <c r="AI3250">
        <v>91.316325183938403</v>
      </c>
      <c r="AJ3250">
        <v>82.046661770852197</v>
      </c>
      <c r="AK3250">
        <v>48.362302731392603</v>
      </c>
      <c r="AL3250">
        <v>89.057443589791802</v>
      </c>
      <c r="AM3250">
        <v>85.583824860643503</v>
      </c>
      <c r="AN3250">
        <v>0.99999995406330699</v>
      </c>
    </row>
    <row r="3251" spans="1:40" x14ac:dyDescent="0.25">
      <c r="A3251" t="str">
        <f>"20190312154619659"</f>
        <v>20190312154619659</v>
      </c>
      <c r="B3251" t="str">
        <f>"1552376779650318"</f>
        <v>1552376779650318</v>
      </c>
      <c r="C3251" t="s">
        <v>40</v>
      </c>
      <c r="D3251">
        <v>4.2287280000000003</v>
      </c>
      <c r="E3251">
        <v>0.52301679999999995</v>
      </c>
      <c r="F3251" t="s">
        <v>52</v>
      </c>
      <c r="G3251">
        <v>-201.9324</v>
      </c>
      <c r="H3251" s="1">
        <v>-8.6099030000000002E-6</v>
      </c>
      <c r="I3251">
        <v>139.18289999999999</v>
      </c>
      <c r="J3251">
        <v>-190.94040000000001</v>
      </c>
      <c r="K3251">
        <v>1.1110799999999901</v>
      </c>
      <c r="L3251">
        <v>184.1465</v>
      </c>
      <c r="M3251">
        <v>-9.9979869999999998E-2</v>
      </c>
      <c r="N3251">
        <v>0</v>
      </c>
      <c r="O3251">
        <v>-0.99489729999999998</v>
      </c>
      <c r="P3251">
        <v>-0.17728969999999999</v>
      </c>
      <c r="Q3251">
        <v>3.464628E-3</v>
      </c>
      <c r="R3251">
        <v>-0.98415269999999999</v>
      </c>
      <c r="S3251">
        <v>-0.71109009999999995</v>
      </c>
      <c r="T3251">
        <v>-7.1688180000000004E-2</v>
      </c>
      <c r="U3251">
        <v>-2.920258</v>
      </c>
      <c r="V3251">
        <v>7.7945630000000002E-2</v>
      </c>
      <c r="W3251">
        <v>1.7206599999999999E-2</v>
      </c>
      <c r="X3251">
        <v>0.9968091</v>
      </c>
      <c r="Y3251">
        <v>0.13818569999999999</v>
      </c>
      <c r="Z3251">
        <v>2.3890939999999999E-2</v>
      </c>
      <c r="AA3251">
        <v>0.9901181</v>
      </c>
      <c r="AB3251">
        <v>29</v>
      </c>
      <c r="AC3251">
        <v>-10.9919999999999</v>
      </c>
      <c r="AD3251">
        <v>-1.11108860990299</v>
      </c>
      <c r="AE3251">
        <v>-44.9636</v>
      </c>
      <c r="AF3251">
        <v>6.4373377347127896</v>
      </c>
      <c r="AG3251">
        <v>-1.11108860990299</v>
      </c>
      <c r="AH3251">
        <v>45.8109503106799</v>
      </c>
      <c r="AI3251">
        <v>91.375854739086606</v>
      </c>
      <c r="AJ3251">
        <v>82.001191475949298</v>
      </c>
      <c r="AK3251">
        <v>46.274366590774598</v>
      </c>
      <c r="AL3251">
        <v>89.014085771980803</v>
      </c>
      <c r="AM3251">
        <v>85.528846449862897</v>
      </c>
      <c r="AN3251">
        <v>0.999999985081233</v>
      </c>
    </row>
    <row r="3252" spans="1:40" x14ac:dyDescent="0.25">
      <c r="A3252" t="str">
        <f>"20190312154619681"</f>
        <v>20190312154619681</v>
      </c>
      <c r="B3252" t="str">
        <f>"1552376779670799"</f>
        <v>1552376779670799</v>
      </c>
      <c r="C3252" t="s">
        <v>40</v>
      </c>
      <c r="D3252">
        <v>4.2414550000000002</v>
      </c>
      <c r="E3252">
        <v>0.52342179999999905</v>
      </c>
      <c r="F3252" t="s">
        <v>52</v>
      </c>
      <c r="G3252">
        <v>-202.6317</v>
      </c>
      <c r="H3252" s="1">
        <v>-7.3863029999999998E-6</v>
      </c>
      <c r="I3252">
        <v>136.05760000000001</v>
      </c>
      <c r="J3252">
        <v>-190.9667</v>
      </c>
      <c r="K3252">
        <v>1.1111679999999999</v>
      </c>
      <c r="L3252">
        <v>183.8664</v>
      </c>
      <c r="M3252">
        <v>-9.8203170000000006E-2</v>
      </c>
      <c r="N3252">
        <v>0</v>
      </c>
      <c r="O3252">
        <v>-0.99507449999999997</v>
      </c>
      <c r="P3252">
        <v>-0.17660600000000001</v>
      </c>
      <c r="Q3252">
        <v>3.6890719999999998E-3</v>
      </c>
      <c r="R3252">
        <v>-0.98427520000000002</v>
      </c>
      <c r="S3252">
        <v>-0.71005249999999998</v>
      </c>
      <c r="T3252">
        <v>-6.7480559999999995E-2</v>
      </c>
      <c r="U3252">
        <v>-2.9206240000000001</v>
      </c>
      <c r="V3252">
        <v>7.9028539999999994E-2</v>
      </c>
      <c r="W3252">
        <v>1.7449269999999999E-2</v>
      </c>
      <c r="X3252">
        <v>0.99671960000000004</v>
      </c>
      <c r="Y3252">
        <v>0.13960110000000001</v>
      </c>
      <c r="Z3252">
        <v>2.249139E-2</v>
      </c>
      <c r="AA3252">
        <v>0.98995230000000001</v>
      </c>
      <c r="AB3252">
        <v>29</v>
      </c>
      <c r="AC3252">
        <v>-11.6649999999999</v>
      </c>
      <c r="AD3252">
        <v>-1.1111753863029901</v>
      </c>
      <c r="AE3252">
        <v>-47.808799999999898</v>
      </c>
      <c r="AF3252">
        <v>6.9096776485188496</v>
      </c>
      <c r="AG3252">
        <v>-1.1111753863029901</v>
      </c>
      <c r="AH3252">
        <v>48.698484606741602</v>
      </c>
      <c r="AI3252">
        <v>91.294159392550398</v>
      </c>
      <c r="AJ3252">
        <v>81.924383304906996</v>
      </c>
      <c r="AK3252">
        <v>49.198788185671901</v>
      </c>
      <c r="AL3252">
        <v>89.000179706081298</v>
      </c>
      <c r="AM3252">
        <v>85.466579845656796</v>
      </c>
      <c r="AN3252">
        <v>0.99999997409111097</v>
      </c>
    </row>
    <row r="3253" spans="1:40" x14ac:dyDescent="0.25">
      <c r="A3253" t="str">
        <f>"20190312154619703"</f>
        <v>20190312154619703</v>
      </c>
      <c r="B3253" t="str">
        <f>"1552376779690322"</f>
        <v>1552376779690322</v>
      </c>
      <c r="C3253" t="s">
        <v>40</v>
      </c>
      <c r="D3253">
        <v>4.2584299999999997</v>
      </c>
      <c r="E3253">
        <v>0.5237619</v>
      </c>
      <c r="F3253" t="s">
        <v>52</v>
      </c>
      <c r="G3253">
        <v>-202.9967</v>
      </c>
      <c r="H3253" s="1">
        <v>-6.7442340000000003E-6</v>
      </c>
      <c r="I3253">
        <v>134.46559999999999</v>
      </c>
      <c r="J3253">
        <v>-190.9913</v>
      </c>
      <c r="K3253">
        <v>1.1112280000000001</v>
      </c>
      <c r="L3253">
        <v>183.5976</v>
      </c>
      <c r="M3253">
        <v>-9.6424330000000003E-2</v>
      </c>
      <c r="N3253">
        <v>0</v>
      </c>
      <c r="O3253">
        <v>-0.99524840000000003</v>
      </c>
      <c r="P3253">
        <v>-0.1755602</v>
      </c>
      <c r="Q3253">
        <v>4.1143769999999998E-3</v>
      </c>
      <c r="R3253">
        <v>-0.98446020000000001</v>
      </c>
      <c r="S3253">
        <v>-0.71121219999999996</v>
      </c>
      <c r="T3253">
        <v>-6.5692780000000006E-2</v>
      </c>
      <c r="U3253">
        <v>-2.9205779999999999</v>
      </c>
      <c r="V3253">
        <v>7.974705E-2</v>
      </c>
      <c r="W3253">
        <v>1.7887420000000001E-2</v>
      </c>
      <c r="X3253">
        <v>0.99665459999999995</v>
      </c>
      <c r="Y3253">
        <v>0.1417486</v>
      </c>
      <c r="Z3253">
        <v>2.18975E-2</v>
      </c>
      <c r="AA3253">
        <v>0.9896604</v>
      </c>
      <c r="AB3253">
        <v>29</v>
      </c>
      <c r="AC3253">
        <v>-12.0054</v>
      </c>
      <c r="AD3253">
        <v>-1.111234744234</v>
      </c>
      <c r="AE3253">
        <v>-49.131999999999998</v>
      </c>
      <c r="AF3253">
        <v>7.2080152700843296</v>
      </c>
      <c r="AG3253">
        <v>-1.111234744234</v>
      </c>
      <c r="AH3253">
        <v>50.036583324794101</v>
      </c>
      <c r="AI3253">
        <v>91.2592465878258</v>
      </c>
      <c r="AJ3253">
        <v>81.802654756869998</v>
      </c>
      <c r="AK3253">
        <v>50.565304286730303</v>
      </c>
      <c r="AL3253">
        <v>88.975071637721896</v>
      </c>
      <c r="AM3253">
        <v>85.4252400682999</v>
      </c>
      <c r="AN3253">
        <v>0.99999997173955901</v>
      </c>
    </row>
    <row r="3254" spans="1:40" x14ac:dyDescent="0.25">
      <c r="A3254" t="str">
        <f>"20190312154619724"</f>
        <v>20190312154619724</v>
      </c>
      <c r="B3254" t="str">
        <f>"1552376779720575"</f>
        <v>1552376779720575</v>
      </c>
      <c r="C3254" t="s">
        <v>40</v>
      </c>
      <c r="D3254">
        <v>4.242267</v>
      </c>
      <c r="E3254">
        <v>0.52423729999999902</v>
      </c>
      <c r="F3254" t="s">
        <v>52</v>
      </c>
      <c r="G3254">
        <v>-203.4931</v>
      </c>
      <c r="H3254" s="1">
        <v>-5.8287620000000002E-6</v>
      </c>
      <c r="I3254">
        <v>132.227</v>
      </c>
      <c r="J3254">
        <v>-191.0162</v>
      </c>
      <c r="K3254">
        <v>1.111272</v>
      </c>
      <c r="L3254">
        <v>183.31970000000001</v>
      </c>
      <c r="M3254">
        <v>-9.4534610000000005E-2</v>
      </c>
      <c r="N3254">
        <v>0</v>
      </c>
      <c r="O3254">
        <v>-0.99542980000000003</v>
      </c>
      <c r="P3254">
        <v>-0.17314019999999999</v>
      </c>
      <c r="Q3254">
        <v>4.8584459999999998E-3</v>
      </c>
      <c r="R3254">
        <v>-0.98488560000000003</v>
      </c>
      <c r="S3254">
        <v>-0.71083069999999904</v>
      </c>
      <c r="T3254">
        <v>-6.3182950000000002E-2</v>
      </c>
      <c r="U3254">
        <v>-2.9208530000000001</v>
      </c>
      <c r="V3254">
        <v>7.9185370000000005E-2</v>
      </c>
      <c r="W3254">
        <v>1.8636880000000002E-2</v>
      </c>
      <c r="X3254">
        <v>0.99668570000000001</v>
      </c>
      <c r="Y3254">
        <v>0.14348859999999999</v>
      </c>
      <c r="Z3254">
        <v>2.1062770000000001E-2</v>
      </c>
      <c r="AA3254">
        <v>0.98942779999999997</v>
      </c>
      <c r="AB3254">
        <v>29</v>
      </c>
      <c r="AC3254">
        <v>-12.476900000000001</v>
      </c>
      <c r="AD3254">
        <v>-1.111277828762</v>
      </c>
      <c r="AE3254">
        <v>-51.092700000000001</v>
      </c>
      <c r="AF3254">
        <v>7.5871558337248803</v>
      </c>
      <c r="AG3254">
        <v>-1.111277828762</v>
      </c>
      <c r="AH3254">
        <v>52.020225580590001</v>
      </c>
      <c r="AI3254">
        <v>91.210981779660202</v>
      </c>
      <c r="AJ3254">
        <v>81.701913590288797</v>
      </c>
      <c r="AK3254">
        <v>52.582351996781199</v>
      </c>
      <c r="AL3254">
        <v>88.932123630187604</v>
      </c>
      <c r="AM3254">
        <v>85.457467156011703</v>
      </c>
      <c r="AN3254">
        <v>1.00000002035133</v>
      </c>
    </row>
    <row r="3255" spans="1:40" x14ac:dyDescent="0.25">
      <c r="A3255" t="str">
        <f>"20190312154619746"</f>
        <v>20190312154619746</v>
      </c>
      <c r="B3255" t="str">
        <f>"1552376779740095"</f>
        <v>1552376779740095</v>
      </c>
      <c r="C3255" t="s">
        <v>40</v>
      </c>
      <c r="D3255">
        <v>4.2312149999999997</v>
      </c>
      <c r="E3255">
        <v>0.52443479999999998</v>
      </c>
      <c r="F3255" t="s">
        <v>52</v>
      </c>
      <c r="G3255">
        <v>-203.8964</v>
      </c>
      <c r="H3255" s="1">
        <v>-4.9991269999999998E-6</v>
      </c>
      <c r="I3255">
        <v>130.1396</v>
      </c>
      <c r="J3255">
        <v>-191.041</v>
      </c>
      <c r="K3255">
        <v>1.111299</v>
      </c>
      <c r="L3255">
        <v>183.03559999999999</v>
      </c>
      <c r="M3255">
        <v>-9.2573329999999995E-2</v>
      </c>
      <c r="N3255">
        <v>0</v>
      </c>
      <c r="O3255">
        <v>-0.99561379999999999</v>
      </c>
      <c r="P3255">
        <v>-0.1695429</v>
      </c>
      <c r="Q3255">
        <v>5.754009E-3</v>
      </c>
      <c r="R3255">
        <v>-0.98550629999999995</v>
      </c>
      <c r="S3255">
        <v>-0.70768739999999997</v>
      </c>
      <c r="T3255">
        <v>-6.105816E-2</v>
      </c>
      <c r="U3255">
        <v>-2.9219360000000001</v>
      </c>
      <c r="V3255">
        <v>7.7505480000000002E-2</v>
      </c>
      <c r="W3255">
        <v>1.9529830000000001E-2</v>
      </c>
      <c r="X3255">
        <v>0.99680060000000004</v>
      </c>
      <c r="Y3255">
        <v>0.14435229999999999</v>
      </c>
      <c r="Z3255">
        <v>2.035433E-2</v>
      </c>
      <c r="AA3255">
        <v>0.989317</v>
      </c>
      <c r="AB3255">
        <v>28</v>
      </c>
      <c r="AC3255">
        <v>-12.855399999999999</v>
      </c>
      <c r="AD3255">
        <v>-1.111303999127</v>
      </c>
      <c r="AE3255">
        <v>-52.896000000000001</v>
      </c>
      <c r="AF3255">
        <v>7.8996869171905697</v>
      </c>
      <c r="AG3255">
        <v>-1.111303999127</v>
      </c>
      <c r="AH3255">
        <v>53.836554699283496</v>
      </c>
      <c r="AI3255">
        <v>91.170016781865897</v>
      </c>
      <c r="AJ3255">
        <v>81.652296459410493</v>
      </c>
      <c r="AK3255">
        <v>54.424394088102098</v>
      </c>
      <c r="AL3255">
        <v>88.880951993829996</v>
      </c>
      <c r="AM3255">
        <v>85.553955263330494</v>
      </c>
      <c r="AN3255">
        <v>0.99999997492510895</v>
      </c>
    </row>
    <row r="3256" spans="1:40" x14ac:dyDescent="0.25">
      <c r="A3256" t="str">
        <f>"20190312154619771"</f>
        <v>20190312154619771</v>
      </c>
      <c r="B3256" t="str">
        <f>"1552376779760399"</f>
        <v>1552376779760399</v>
      </c>
      <c r="C3256" t="s">
        <v>40</v>
      </c>
      <c r="D3256">
        <v>4.2583000000000002</v>
      </c>
      <c r="E3256">
        <v>0.52459069999999997</v>
      </c>
      <c r="F3256" t="s">
        <v>52</v>
      </c>
      <c r="G3256">
        <v>-203.80070000000001</v>
      </c>
      <c r="H3256">
        <v>2.679343E-2</v>
      </c>
      <c r="I3256">
        <v>129.6156</v>
      </c>
      <c r="J3256">
        <v>-191.0667</v>
      </c>
      <c r="K3256">
        <v>1.1113150000000001</v>
      </c>
      <c r="L3256">
        <v>182.73410000000001</v>
      </c>
      <c r="M3256">
        <v>-9.0484690000000007E-2</v>
      </c>
      <c r="N3256">
        <v>0</v>
      </c>
      <c r="O3256">
        <v>-0.99580590000000002</v>
      </c>
      <c r="P3256">
        <v>-0.164775799999999</v>
      </c>
      <c r="Q3256">
        <v>6.6729160000000001E-3</v>
      </c>
      <c r="R3256">
        <v>-0.98630859999999998</v>
      </c>
      <c r="S3256">
        <v>-0.6984863</v>
      </c>
      <c r="T3256">
        <v>-5.9367660000000003E-2</v>
      </c>
      <c r="U3256">
        <v>-2.9243009999999998</v>
      </c>
      <c r="V3256">
        <v>7.47728E-2</v>
      </c>
      <c r="W3256">
        <v>2.0440409999999999E-2</v>
      </c>
      <c r="X3256">
        <v>0.99699110000000002</v>
      </c>
      <c r="Y3256">
        <v>0.14330470000000001</v>
      </c>
      <c r="Z3256">
        <v>1.9789879999999999E-2</v>
      </c>
      <c r="AA3256">
        <v>0.98948069999999999</v>
      </c>
      <c r="AB3256">
        <v>28</v>
      </c>
      <c r="AC3256">
        <v>-12.734</v>
      </c>
      <c r="AD3256">
        <v>-1.0845215699999999</v>
      </c>
      <c r="AE3256">
        <v>-53.118499999999997</v>
      </c>
      <c r="AF3256">
        <v>7.8717993595845401</v>
      </c>
      <c r="AG3256">
        <v>-1.0845215699999999</v>
      </c>
      <c r="AH3256">
        <v>54.031598063075997</v>
      </c>
      <c r="AI3256">
        <v>91.137876542350796</v>
      </c>
      <c r="AJ3256">
        <v>81.710963195207199</v>
      </c>
      <c r="AK3256">
        <v>54.612773244389899</v>
      </c>
      <c r="AL3256">
        <v>88.828769227868094</v>
      </c>
      <c r="AM3256">
        <v>85.710934249342202</v>
      </c>
      <c r="AN3256">
        <v>1.0000000177299999</v>
      </c>
    </row>
    <row r="3257" spans="1:40" x14ac:dyDescent="0.25">
      <c r="A3257" t="str">
        <f>"20190312154619791"</f>
        <v>20190312154619791</v>
      </c>
      <c r="B3257" t="str">
        <f>"1552376779780892"</f>
        <v>1552376779780892</v>
      </c>
      <c r="C3257" t="s">
        <v>40</v>
      </c>
      <c r="D3257">
        <v>4.2782390000000001</v>
      </c>
      <c r="E3257">
        <v>0.52474719999999997</v>
      </c>
      <c r="F3257" t="s">
        <v>52</v>
      </c>
      <c r="G3257">
        <v>-203.5171</v>
      </c>
      <c r="H3257">
        <v>6.9750439999999997E-2</v>
      </c>
      <c r="I3257">
        <v>129.57919999999999</v>
      </c>
      <c r="J3257">
        <v>-191.0891</v>
      </c>
      <c r="K3257">
        <v>1.1113189999999999</v>
      </c>
      <c r="L3257">
        <v>182.46549999999999</v>
      </c>
      <c r="M3257">
        <v>-8.8630089999999995E-2</v>
      </c>
      <c r="N3257">
        <v>0</v>
      </c>
      <c r="O3257">
        <v>-0.99597290000000005</v>
      </c>
      <c r="P3257">
        <v>-0.16069749999999999</v>
      </c>
      <c r="Q3257">
        <v>7.9574850000000003E-3</v>
      </c>
      <c r="R3257">
        <v>-0.98697199999999996</v>
      </c>
      <c r="S3257">
        <v>-0.68569950000000002</v>
      </c>
      <c r="T3257">
        <v>-5.7363869999999997E-2</v>
      </c>
      <c r="U3257">
        <v>-2.9274900000000001</v>
      </c>
      <c r="V3257">
        <v>7.2504040000000006E-2</v>
      </c>
      <c r="W3257">
        <v>2.1716619999999999E-2</v>
      </c>
      <c r="X3257">
        <v>0.99713160000000001</v>
      </c>
      <c r="Y3257">
        <v>0.14081359999999901</v>
      </c>
      <c r="Z3257">
        <v>1.911964E-2</v>
      </c>
      <c r="AA3257">
        <v>0.9898515</v>
      </c>
      <c r="AB3257">
        <v>28</v>
      </c>
      <c r="AC3257">
        <v>-12.4279999999999</v>
      </c>
      <c r="AD3257">
        <v>-1.04156856</v>
      </c>
      <c r="AE3257">
        <v>-52.886299999999999</v>
      </c>
      <c r="AF3257">
        <v>7.6885101682870598</v>
      </c>
      <c r="AG3257">
        <v>-1.04156856</v>
      </c>
      <c r="AH3257">
        <v>53.759968272607502</v>
      </c>
      <c r="AI3257">
        <v>91.0987569904064</v>
      </c>
      <c r="AJ3257">
        <v>81.861004621904499</v>
      </c>
      <c r="AK3257">
        <v>54.316960908585401</v>
      </c>
      <c r="AL3257">
        <v>88.755631428160399</v>
      </c>
      <c r="AM3257">
        <v>85.841193465074696</v>
      </c>
      <c r="AN3257">
        <v>0.99999993755955097</v>
      </c>
    </row>
    <row r="3258" spans="1:40" x14ac:dyDescent="0.25">
      <c r="A3258" t="str">
        <f>"20190312154619814"</f>
        <v>20190312154619814</v>
      </c>
      <c r="B3258" t="str">
        <f>"1552376779800412"</f>
        <v>1552376779800412</v>
      </c>
      <c r="C3258" t="s">
        <v>40</v>
      </c>
      <c r="D3258">
        <v>4.4947780000000002</v>
      </c>
      <c r="E3258">
        <v>0.49198639999999999</v>
      </c>
      <c r="F3258" t="s">
        <v>52</v>
      </c>
      <c r="G3258">
        <v>-203.9717</v>
      </c>
      <c r="H3258">
        <v>7.9988110000000001E-2</v>
      </c>
      <c r="I3258">
        <v>126.51560000000001</v>
      </c>
      <c r="J3258">
        <v>-191.11109999999999</v>
      </c>
      <c r="K3258">
        <v>1.1113280000000001</v>
      </c>
      <c r="L3258">
        <v>182.19579999999999</v>
      </c>
      <c r="M3258">
        <v>-8.6783990000000005E-2</v>
      </c>
      <c r="N3258">
        <v>0</v>
      </c>
      <c r="O3258">
        <v>-0.99613529999999995</v>
      </c>
      <c r="P3258">
        <v>-0.1566787</v>
      </c>
      <c r="Q3258">
        <v>9.5374689999999998E-3</v>
      </c>
      <c r="R3258">
        <v>-0.98760349999999997</v>
      </c>
      <c r="S3258">
        <v>-0.67468260000000002</v>
      </c>
      <c r="T3258">
        <v>-5.4012539999999998E-2</v>
      </c>
      <c r="U3258">
        <v>-2.9301910000000002</v>
      </c>
      <c r="V3258">
        <v>7.0288580000000003E-2</v>
      </c>
      <c r="W3258">
        <v>2.32874E-2</v>
      </c>
      <c r="X3258">
        <v>0.9972548</v>
      </c>
      <c r="Y3258">
        <v>0.13891899999999999</v>
      </c>
      <c r="Z3258">
        <v>1.800125E-2</v>
      </c>
      <c r="AA3258">
        <v>0.99014009999999997</v>
      </c>
      <c r="AB3258">
        <v>28</v>
      </c>
      <c r="AC3258">
        <v>-12.8606</v>
      </c>
      <c r="AD3258">
        <v>-1.0313398899999999</v>
      </c>
      <c r="AE3258">
        <v>-55.6801999999999</v>
      </c>
      <c r="AF3258">
        <v>7.9768797442485502</v>
      </c>
      <c r="AG3258">
        <v>-1.0313398899999999</v>
      </c>
      <c r="AH3258">
        <v>56.567860211348901</v>
      </c>
      <c r="AI3258">
        <v>91.034265194425203</v>
      </c>
      <c r="AJ3258">
        <v>81.973397095635505</v>
      </c>
      <c r="AK3258">
        <v>57.136827714825202</v>
      </c>
      <c r="AL3258">
        <v>88.665609587331602</v>
      </c>
      <c r="AM3258">
        <v>85.968342238678403</v>
      </c>
      <c r="AN3258">
        <v>0.99999996180010697</v>
      </c>
    </row>
    <row r="3259" spans="1:40" x14ac:dyDescent="0.25">
      <c r="A3259" t="str">
        <f>"20190312154619837"</f>
        <v>20190312154619837</v>
      </c>
      <c r="B3259" t="str">
        <f>"1552376779830667"</f>
        <v>1552376779830667</v>
      </c>
      <c r="C3259" t="s">
        <v>40</v>
      </c>
      <c r="D3259">
        <v>4.2283920000000004</v>
      </c>
      <c r="E3259">
        <v>0.42389690000000002</v>
      </c>
      <c r="F3259" t="s">
        <v>70</v>
      </c>
      <c r="G3259">
        <v>-212.08080000000001</v>
      </c>
      <c r="H3259">
        <v>0.49438330000000003</v>
      </c>
      <c r="I3259">
        <v>28.494990000000001</v>
      </c>
      <c r="J3259">
        <v>-191.1345</v>
      </c>
      <c r="K3259">
        <v>1.1113299999999999</v>
      </c>
      <c r="L3259">
        <v>181.90090000000001</v>
      </c>
      <c r="M3259">
        <v>-8.4786399999999998E-2</v>
      </c>
      <c r="N3259">
        <v>0</v>
      </c>
      <c r="O3259">
        <v>-0.99630730000000001</v>
      </c>
      <c r="P3259">
        <v>-0.15365760000000001</v>
      </c>
      <c r="Q3259">
        <v>1.159979E-2</v>
      </c>
      <c r="R3259">
        <v>-0.9880563</v>
      </c>
      <c r="S3259">
        <v>-0.40567019999999998</v>
      </c>
      <c r="T3259">
        <v>-1.193523E-2</v>
      </c>
      <c r="U3259">
        <v>-2.9734189999999998</v>
      </c>
      <c r="V3259">
        <v>6.9233069999999994E-2</v>
      </c>
      <c r="W3259">
        <v>2.5342440000000001E-2</v>
      </c>
      <c r="X3259">
        <v>0.99727860000000002</v>
      </c>
      <c r="Y3259">
        <v>5.0676159999999998E-2</v>
      </c>
      <c r="Z3259">
        <v>3.9713279999999997E-3</v>
      </c>
      <c r="AA3259">
        <v>0.99870720000000002</v>
      </c>
      <c r="AB3259">
        <v>28</v>
      </c>
      <c r="AC3259">
        <v>-20.946300000000001</v>
      </c>
      <c r="AD3259">
        <v>-0.61694669999999996</v>
      </c>
      <c r="AE3259">
        <v>-153.40591000000001</v>
      </c>
      <c r="AF3259">
        <v>7.8628115175399902</v>
      </c>
      <c r="AG3259">
        <v>-0.61694669999999996</v>
      </c>
      <c r="AH3259">
        <v>154.627085833389</v>
      </c>
      <c r="AI3259">
        <v>90.228308272008206</v>
      </c>
      <c r="AJ3259">
        <v>87.089007937202993</v>
      </c>
      <c r="AK3259">
        <v>154.82809855293499</v>
      </c>
      <c r="AL3259">
        <v>88.547829722953907</v>
      </c>
      <c r="AM3259">
        <v>86.028784145421</v>
      </c>
      <c r="AN3259">
        <v>1.0000000316323601</v>
      </c>
    </row>
    <row r="3260" spans="1:40" x14ac:dyDescent="0.25">
      <c r="A3260" t="str">
        <f>"20190312154619860"</f>
        <v>20190312154619860</v>
      </c>
      <c r="B3260" t="str">
        <f>"1552376779850189"</f>
        <v>1552376779850189</v>
      </c>
      <c r="C3260" t="s">
        <v>40</v>
      </c>
      <c r="D3260">
        <v>4.2113690000000004</v>
      </c>
      <c r="E3260">
        <v>0.41892259999999998</v>
      </c>
      <c r="F3260" t="s">
        <v>72</v>
      </c>
      <c r="G3260">
        <v>-179.14680000000001</v>
      </c>
      <c r="H3260">
        <v>4.8964549999999996</v>
      </c>
      <c r="I3260">
        <v>-81.816789999999997</v>
      </c>
      <c r="J3260">
        <v>-191.1568</v>
      </c>
      <c r="K3260">
        <v>1.111332</v>
      </c>
      <c r="L3260">
        <v>181.61320000000001</v>
      </c>
      <c r="M3260">
        <v>-8.2856479999999996E-2</v>
      </c>
      <c r="N3260">
        <v>0</v>
      </c>
      <c r="O3260">
        <v>-0.99646959999999996</v>
      </c>
      <c r="P3260">
        <v>-0.151124799999999</v>
      </c>
      <c r="Q3260">
        <v>1.436901E-2</v>
      </c>
      <c r="R3260">
        <v>-0.98841049999999997</v>
      </c>
      <c r="S3260">
        <v>0.13897709999999999</v>
      </c>
      <c r="T3260">
        <v>4.3882129999999998E-2</v>
      </c>
      <c r="U3260">
        <v>-3.0573579999999998</v>
      </c>
      <c r="V3260">
        <v>6.8602629999999998E-2</v>
      </c>
      <c r="W3260">
        <v>2.810472E-2</v>
      </c>
      <c r="X3260">
        <v>0.99724809999999997</v>
      </c>
      <c r="Y3260">
        <v>-0.12802749999999999</v>
      </c>
      <c r="Z3260">
        <v>-1.421101E-2</v>
      </c>
      <c r="AA3260">
        <v>0.99166880000000002</v>
      </c>
      <c r="AB3260">
        <v>28</v>
      </c>
      <c r="AC3260">
        <v>12.0099999999999</v>
      </c>
      <c r="AD3260">
        <v>3.785123</v>
      </c>
      <c r="AE3260">
        <v>-263.42998999999998</v>
      </c>
      <c r="AF3260">
        <v>-33.790614741811503</v>
      </c>
      <c r="AG3260">
        <v>3.785123</v>
      </c>
      <c r="AH3260">
        <v>261.47494837461198</v>
      </c>
      <c r="AI3260">
        <v>89.177480565123403</v>
      </c>
      <c r="AJ3260">
        <v>97.363567963514996</v>
      </c>
      <c r="AK3260">
        <v>263.67647113131</v>
      </c>
      <c r="AL3260">
        <v>88.389506072344005</v>
      </c>
      <c r="AM3260">
        <v>86.064712137574901</v>
      </c>
      <c r="AN3260">
        <v>0.99999998454140204</v>
      </c>
    </row>
    <row r="3261" spans="1:40" x14ac:dyDescent="0.25">
      <c r="A3261" t="str">
        <f>"20190312154619881"</f>
        <v>20190312154619881</v>
      </c>
      <c r="B3261" t="str">
        <f>"1552376779870768"</f>
        <v>1552376779870768</v>
      </c>
      <c r="C3261" t="s">
        <v>40</v>
      </c>
      <c r="D3261">
        <v>4.2068390000000004</v>
      </c>
      <c r="E3261">
        <v>0.41805100000000001</v>
      </c>
      <c r="F3261" t="s">
        <v>72</v>
      </c>
      <c r="G3261">
        <v>-175.1831</v>
      </c>
      <c r="H3261">
        <v>4.1900209999999998</v>
      </c>
      <c r="I3261">
        <v>-80.950019999999995</v>
      </c>
      <c r="J3261">
        <v>-191.17760000000001</v>
      </c>
      <c r="K3261">
        <v>1.1113299999999999</v>
      </c>
      <c r="L3261">
        <v>181.33930000000001</v>
      </c>
      <c r="M3261">
        <v>-8.1031880000000001E-2</v>
      </c>
      <c r="N3261">
        <v>0</v>
      </c>
      <c r="O3261">
        <v>-0.99661979999999994</v>
      </c>
      <c r="P3261">
        <v>-0.14985589999999999</v>
      </c>
      <c r="Q3261">
        <v>1.7275639999999998E-2</v>
      </c>
      <c r="R3261">
        <v>-0.98855700000000002</v>
      </c>
      <c r="S3261">
        <v>0.18635560000000001</v>
      </c>
      <c r="T3261">
        <v>3.5917280000000003E-2</v>
      </c>
      <c r="U3261">
        <v>-3.0631710000000001</v>
      </c>
      <c r="V3261">
        <v>6.914286E-2</v>
      </c>
      <c r="W3261">
        <v>3.1008819999999999E-2</v>
      </c>
      <c r="X3261">
        <v>0.99712469999999997</v>
      </c>
      <c r="Y3261">
        <v>-0.14141110000000001</v>
      </c>
      <c r="Z3261">
        <v>-1.159719E-2</v>
      </c>
      <c r="AA3261">
        <v>0.98988299999999996</v>
      </c>
      <c r="AB3261">
        <v>28</v>
      </c>
      <c r="AC3261">
        <v>15.9945</v>
      </c>
      <c r="AD3261">
        <v>3.0786910000000001</v>
      </c>
      <c r="AE3261">
        <v>-262.28931999999998</v>
      </c>
      <c r="AF3261">
        <v>-37.192527052064499</v>
      </c>
      <c r="AG3261">
        <v>3.0786910000000001</v>
      </c>
      <c r="AH3261">
        <v>260.09474153403698</v>
      </c>
      <c r="AI3261">
        <v>89.328661005307495</v>
      </c>
      <c r="AJ3261">
        <v>98.137903198371902</v>
      </c>
      <c r="AK3261">
        <v>262.75851457269601</v>
      </c>
      <c r="AL3261">
        <v>88.223040592055099</v>
      </c>
      <c r="AM3261">
        <v>86.033331893780996</v>
      </c>
      <c r="AN3261">
        <v>0.99999997467843005</v>
      </c>
    </row>
    <row r="3262" spans="1:40" x14ac:dyDescent="0.25">
      <c r="A3262" t="str">
        <f>"20190312154619903"</f>
        <v>20190312154619903</v>
      </c>
      <c r="B3262" t="str">
        <f>"1552376779900048"</f>
        <v>1552376779900048</v>
      </c>
      <c r="C3262" t="s">
        <v>40</v>
      </c>
      <c r="D3262">
        <v>4.2079469999999999</v>
      </c>
      <c r="E3262">
        <v>0.41807709999999998</v>
      </c>
      <c r="F3262" t="s">
        <v>72</v>
      </c>
      <c r="G3262">
        <v>-174.29130000000001</v>
      </c>
      <c r="H3262">
        <v>3.8852069999999999</v>
      </c>
      <c r="I3262">
        <v>-80.949919999999906</v>
      </c>
      <c r="J3262">
        <v>-191.1978</v>
      </c>
      <c r="K3262">
        <v>1.111329</v>
      </c>
      <c r="L3262">
        <v>181.06479999999999</v>
      </c>
      <c r="M3262">
        <v>-7.9209570000000007E-2</v>
      </c>
      <c r="N3262">
        <v>0</v>
      </c>
      <c r="O3262">
        <v>-0.99676609999999999</v>
      </c>
      <c r="P3262">
        <v>-0.14833629999999901</v>
      </c>
      <c r="Q3262">
        <v>1.9103450000000001E-2</v>
      </c>
      <c r="R3262">
        <v>-0.98875259999999998</v>
      </c>
      <c r="S3262">
        <v>0.19726560000000001</v>
      </c>
      <c r="T3262">
        <v>3.2404540000000003E-2</v>
      </c>
      <c r="U3262">
        <v>-3.0640719999999999</v>
      </c>
      <c r="V3262">
        <v>6.9430569999999997E-2</v>
      </c>
      <c r="W3262">
        <v>3.2833229999999998E-2</v>
      </c>
      <c r="X3262">
        <v>0.9970464</v>
      </c>
      <c r="Y3262">
        <v>-0.143095</v>
      </c>
      <c r="Z3262">
        <v>-1.0459919999999999E-2</v>
      </c>
      <c r="AA3262">
        <v>0.98965369999999997</v>
      </c>
      <c r="AB3262">
        <v>28</v>
      </c>
      <c r="AC3262">
        <v>16.906499999999902</v>
      </c>
      <c r="AD3262">
        <v>2.7738779999999998</v>
      </c>
      <c r="AE3262">
        <v>-262.01472000000001</v>
      </c>
      <c r="AF3262">
        <v>-37.605147020118601</v>
      </c>
      <c r="AG3262">
        <v>2.7738779999999998</v>
      </c>
      <c r="AH3262">
        <v>259.823035803663</v>
      </c>
      <c r="AI3262">
        <v>89.394639056980097</v>
      </c>
      <c r="AJ3262">
        <v>98.235442492633396</v>
      </c>
      <c r="AK3262">
        <v>262.54495122891899</v>
      </c>
      <c r="AL3262">
        <v>88.118456472675703</v>
      </c>
      <c r="AM3262">
        <v>86.016567434751806</v>
      </c>
      <c r="AN3262">
        <v>1.0000000743978501</v>
      </c>
    </row>
    <row r="3263" spans="1:40" x14ac:dyDescent="0.25">
      <c r="A3263" t="str">
        <f>"20190312154619925"</f>
        <v>20190312154619925</v>
      </c>
      <c r="B3263" t="str">
        <f>"1552376779920544"</f>
        <v>1552376779920544</v>
      </c>
      <c r="C3263" t="s">
        <v>40</v>
      </c>
      <c r="D3263">
        <v>4.2231009999999998</v>
      </c>
      <c r="E3263">
        <v>0.41828149999999997</v>
      </c>
      <c r="F3263" t="s">
        <v>44</v>
      </c>
      <c r="G3263">
        <v>0</v>
      </c>
      <c r="H3263">
        <v>0</v>
      </c>
      <c r="I3263">
        <v>0</v>
      </c>
      <c r="J3263">
        <v>-191.2175</v>
      </c>
      <c r="K3263">
        <v>1.1113230000000001</v>
      </c>
      <c r="L3263">
        <v>180.79140000000001</v>
      </c>
      <c r="M3263">
        <v>-7.7399640000000006E-2</v>
      </c>
      <c r="N3263">
        <v>0</v>
      </c>
      <c r="O3263">
        <v>-0.99690869999999998</v>
      </c>
      <c r="P3263">
        <v>-0.14659359999999999</v>
      </c>
      <c r="Q3263">
        <v>1.9977140000000001E-2</v>
      </c>
      <c r="R3263">
        <v>-0.98899559999999997</v>
      </c>
      <c r="S3263">
        <v>0.2022552</v>
      </c>
      <c r="T3263">
        <v>2.1466610000000001E-2</v>
      </c>
      <c r="U3263">
        <v>-3.064041</v>
      </c>
      <c r="V3263">
        <v>6.9482799999999997E-2</v>
      </c>
      <c r="W3263">
        <v>3.3703450000000003E-2</v>
      </c>
      <c r="X3263">
        <v>0.99701360000000006</v>
      </c>
      <c r="Y3263">
        <v>-0.14290539999999999</v>
      </c>
      <c r="Z3263">
        <v>-6.9307589999999999E-3</v>
      </c>
      <c r="AA3263">
        <v>0.98971209999999998</v>
      </c>
      <c r="AB3263">
        <v>28</v>
      </c>
      <c r="AC3263">
        <v>0.2022552</v>
      </c>
      <c r="AD3263">
        <v>2.1466610000000001E-2</v>
      </c>
      <c r="AE3263">
        <v>-3.064041</v>
      </c>
      <c r="AF3263">
        <v>-0.43880420359536199</v>
      </c>
      <c r="AG3263">
        <v>2.1466610000000001E-2</v>
      </c>
      <c r="AH3263">
        <v>3.03904322499403</v>
      </c>
      <c r="AI3263">
        <v>89.599445541459005</v>
      </c>
      <c r="AJ3263">
        <v>98.2160935643832</v>
      </c>
      <c r="AK3263">
        <v>3.0706340823712601</v>
      </c>
      <c r="AL3263">
        <v>88.068568686832606</v>
      </c>
      <c r="AM3263">
        <v>86.013449782951398</v>
      </c>
      <c r="AN3263">
        <v>0.99999995031135003</v>
      </c>
    </row>
    <row r="3264" spans="1:40" x14ac:dyDescent="0.25">
      <c r="A3264" t="str">
        <f>"20190312154619946"</f>
        <v>20190312154619946</v>
      </c>
      <c r="B3264" t="str">
        <f>"1552376779941041"</f>
        <v>1552376779941041</v>
      </c>
      <c r="C3264" t="s">
        <v>40</v>
      </c>
      <c r="D3264">
        <v>4.2301029999999997</v>
      </c>
      <c r="E3264">
        <v>0.4186339</v>
      </c>
      <c r="F3264" t="s">
        <v>44</v>
      </c>
      <c r="G3264">
        <v>0</v>
      </c>
      <c r="H3264">
        <v>0</v>
      </c>
      <c r="I3264">
        <v>0</v>
      </c>
      <c r="J3264">
        <v>-191.23689999999999</v>
      </c>
      <c r="K3264">
        <v>1.1113170000000001</v>
      </c>
      <c r="L3264">
        <v>180.51499999999999</v>
      </c>
      <c r="M3264">
        <v>-7.5572459999999994E-2</v>
      </c>
      <c r="N3264">
        <v>0</v>
      </c>
      <c r="O3264">
        <v>-0.99704870000000001</v>
      </c>
      <c r="P3264">
        <v>-0.14424770000000001</v>
      </c>
      <c r="Q3264">
        <v>1.9991559999999998E-2</v>
      </c>
      <c r="R3264">
        <v>-0.98933979999999999</v>
      </c>
      <c r="S3264">
        <v>0.2062378</v>
      </c>
      <c r="T3264">
        <v>1.681268E-2</v>
      </c>
      <c r="U3264">
        <v>-3.0636139999999998</v>
      </c>
      <c r="V3264">
        <v>6.8945740000000005E-2</v>
      </c>
      <c r="W3264">
        <v>3.3713460000000001E-2</v>
      </c>
      <c r="X3264">
        <v>0.99705060000000001</v>
      </c>
      <c r="Y3264">
        <v>-0.14238199999999901</v>
      </c>
      <c r="Z3264">
        <v>-5.4301130000000003E-3</v>
      </c>
      <c r="AA3264">
        <v>0.98979689999999998</v>
      </c>
      <c r="AB3264">
        <v>28</v>
      </c>
      <c r="AC3264">
        <v>0.2062378</v>
      </c>
      <c r="AD3264">
        <v>1.681268E-2</v>
      </c>
      <c r="AE3264">
        <v>-3.0636139999999998</v>
      </c>
      <c r="AF3264">
        <v>-0.43718080783782198</v>
      </c>
      <c r="AG3264">
        <v>1.681268E-2</v>
      </c>
      <c r="AH3264">
        <v>3.0391729805011298</v>
      </c>
      <c r="AI3264">
        <v>89.686272654954905</v>
      </c>
      <c r="AJ3264">
        <v>98.185765337799097</v>
      </c>
      <c r="AK3264">
        <v>3.0705019345961402</v>
      </c>
      <c r="AL3264">
        <v>88.067994936994296</v>
      </c>
      <c r="AM3264">
        <v>86.044311528419797</v>
      </c>
      <c r="AN3264">
        <v>1.0000000057048299</v>
      </c>
    </row>
    <row r="3265" spans="1:40" x14ac:dyDescent="0.25">
      <c r="A3265" t="str">
        <f>"20190312154619970"</f>
        <v>20190312154619970</v>
      </c>
      <c r="B3265" t="str">
        <f>"1552376779960565"</f>
        <v>1552376779960565</v>
      </c>
      <c r="C3265" t="s">
        <v>40</v>
      </c>
      <c r="D3265">
        <v>4.2924720000000001</v>
      </c>
      <c r="E3265">
        <v>0.41901559999999999</v>
      </c>
      <c r="F3265" t="s">
        <v>44</v>
      </c>
      <c r="G3265">
        <v>0</v>
      </c>
      <c r="H3265">
        <v>0</v>
      </c>
      <c r="I3265">
        <v>0</v>
      </c>
      <c r="J3265">
        <v>-191.25640000000001</v>
      </c>
      <c r="K3265">
        <v>1.1113090000000001</v>
      </c>
      <c r="L3265">
        <v>180.22900000000001</v>
      </c>
      <c r="M3265">
        <v>-7.3680700000000002E-2</v>
      </c>
      <c r="N3265">
        <v>0</v>
      </c>
      <c r="O3265">
        <v>-0.99719029999999997</v>
      </c>
      <c r="P3265">
        <v>-0.1398365</v>
      </c>
      <c r="Q3265">
        <v>2.0536390000000002E-2</v>
      </c>
      <c r="R3265">
        <v>-0.9899618</v>
      </c>
      <c r="S3265">
        <v>0.21083070000000001</v>
      </c>
      <c r="T3265">
        <v>1.000035E-2</v>
      </c>
      <c r="U3265">
        <v>-3.0628510000000002</v>
      </c>
      <c r="V3265">
        <v>6.6391409999999998E-2</v>
      </c>
      <c r="W3265">
        <v>3.4249109999999999E-2</v>
      </c>
      <c r="X3265">
        <v>0.99720569999999997</v>
      </c>
      <c r="Y3265">
        <v>-0.14199870000000001</v>
      </c>
      <c r="Z3265">
        <v>-3.2313369999999999E-3</v>
      </c>
      <c r="AA3265">
        <v>0.98986149999999995</v>
      </c>
      <c r="AB3265">
        <v>28</v>
      </c>
      <c r="AC3265">
        <v>0.21083070000000001</v>
      </c>
      <c r="AD3265">
        <v>1.000035E-2</v>
      </c>
      <c r="AE3265">
        <v>-3.0628510000000002</v>
      </c>
      <c r="AF3265">
        <v>-0.43594652639936099</v>
      </c>
      <c r="AG3265">
        <v>1.000035E-2</v>
      </c>
      <c r="AH3265">
        <v>3.0389564734571</v>
      </c>
      <c r="AI3265">
        <v>89.813366942403604</v>
      </c>
      <c r="AJ3265">
        <v>98.163540293865395</v>
      </c>
      <c r="AK3265">
        <v>3.07008238137783</v>
      </c>
      <c r="AL3265">
        <v>88.037286734806997</v>
      </c>
      <c r="AM3265">
        <v>86.191014466509003</v>
      </c>
      <c r="AN3265">
        <v>1.0000000144850301</v>
      </c>
    </row>
    <row r="3266" spans="1:40" x14ac:dyDescent="0.25">
      <c r="A3266" t="str">
        <f>"20190312154620004"</f>
        <v>20190312154620004</v>
      </c>
      <c r="B3266" t="str">
        <f>"1552376780000576"</f>
        <v>1552376780000576</v>
      </c>
      <c r="C3266" t="s">
        <v>40</v>
      </c>
      <c r="D3266">
        <v>4.3141480000000003</v>
      </c>
      <c r="E3266">
        <v>0.41995130000000003</v>
      </c>
      <c r="F3266" t="s">
        <v>44</v>
      </c>
      <c r="G3266">
        <v>0</v>
      </c>
      <c r="H3266">
        <v>0</v>
      </c>
      <c r="I3266">
        <v>0</v>
      </c>
      <c r="J3266">
        <v>-191.28440000000001</v>
      </c>
      <c r="K3266">
        <v>1.1113040000000001</v>
      </c>
      <c r="L3266">
        <v>179.8048</v>
      </c>
      <c r="M3266">
        <v>-7.0872099999999993E-2</v>
      </c>
      <c r="N3266">
        <v>0</v>
      </c>
      <c r="O3266">
        <v>-0.99739390000000006</v>
      </c>
      <c r="P3266">
        <v>-0.13344829999999999</v>
      </c>
      <c r="Q3266">
        <v>2.1063080000000001E-2</v>
      </c>
      <c r="R3266">
        <v>-0.99083209999999999</v>
      </c>
      <c r="S3266">
        <v>0.22143550000000001</v>
      </c>
      <c r="T3266">
        <v>4.2887929999999999E-3</v>
      </c>
      <c r="U3266">
        <v>-3.0616150000000002</v>
      </c>
      <c r="V3266">
        <v>6.2765459999999995E-2</v>
      </c>
      <c r="W3266">
        <v>3.4763309999999999E-2</v>
      </c>
      <c r="X3266">
        <v>0.9974227</v>
      </c>
      <c r="Y3266">
        <v>-0.14265039999999901</v>
      </c>
      <c r="Z3266">
        <v>-1.3865629999999999E-3</v>
      </c>
      <c r="AA3266">
        <v>0.98977219999999999</v>
      </c>
      <c r="AB3266">
        <v>28</v>
      </c>
      <c r="AC3266">
        <v>0.22143550000000001</v>
      </c>
      <c r="AD3266">
        <v>4.2887929999999999E-3</v>
      </c>
      <c r="AE3266">
        <v>-3.0616150000000002</v>
      </c>
      <c r="AF3266">
        <v>-0.43788061685840401</v>
      </c>
      <c r="AG3266">
        <v>4.2887929999999999E-3</v>
      </c>
      <c r="AH3266">
        <v>3.0382139271094499</v>
      </c>
      <c r="AI3266">
        <v>89.919947528075099</v>
      </c>
      <c r="AJ3266">
        <v>98.201243379833997</v>
      </c>
      <c r="AK3266">
        <v>3.06960937176826</v>
      </c>
      <c r="AL3266">
        <v>88.007807694004001</v>
      </c>
      <c r="AM3266">
        <v>86.399259452579301</v>
      </c>
      <c r="AN3266">
        <v>1.0000000165832199</v>
      </c>
    </row>
    <row r="3267" spans="1:40" x14ac:dyDescent="0.25">
      <c r="A3267" t="str">
        <f>"20190312154620024"</f>
        <v>20190312154620024</v>
      </c>
      <c r="B3267" t="str">
        <f>"1552376780020096"</f>
        <v>1552376780020096</v>
      </c>
      <c r="C3267" t="s">
        <v>40</v>
      </c>
      <c r="D3267">
        <v>4.2995890000000001</v>
      </c>
      <c r="E3267">
        <v>0.42044500000000001</v>
      </c>
      <c r="F3267" t="s">
        <v>45</v>
      </c>
      <c r="G3267">
        <v>-152.7595</v>
      </c>
      <c r="H3267">
        <v>-0.1</v>
      </c>
      <c r="I3267">
        <v>-324.03440000000001</v>
      </c>
      <c r="J3267">
        <v>-191.3015</v>
      </c>
      <c r="K3267">
        <v>1.111305</v>
      </c>
      <c r="L3267">
        <v>179.5368</v>
      </c>
      <c r="M3267">
        <v>-6.9095180000000006E-2</v>
      </c>
      <c r="N3267">
        <v>0</v>
      </c>
      <c r="O3267">
        <v>-0.99751869999999998</v>
      </c>
      <c r="P3267">
        <v>-0.1297102</v>
      </c>
      <c r="Q3267">
        <v>2.2055829999999998E-2</v>
      </c>
      <c r="R3267">
        <v>-0.99130680000000004</v>
      </c>
      <c r="S3267">
        <v>0.23393249999999999</v>
      </c>
      <c r="T3267">
        <v>-7.3553319999999896E-3</v>
      </c>
      <c r="U3267">
        <v>-3.0594329999999998</v>
      </c>
      <c r="V3267">
        <v>6.0777810000000002E-2</v>
      </c>
      <c r="W3267">
        <v>3.5747840000000003E-2</v>
      </c>
      <c r="X3267">
        <v>0.99751100000000004</v>
      </c>
      <c r="Y3267">
        <v>-0.14495810000000001</v>
      </c>
      <c r="Z3267">
        <v>2.3793450000000002E-3</v>
      </c>
      <c r="AA3267">
        <v>0.98943499999999995</v>
      </c>
      <c r="AB3267">
        <v>28</v>
      </c>
      <c r="AC3267">
        <v>38.542000000000002</v>
      </c>
      <c r="AD3267">
        <v>-1.2113049999999901</v>
      </c>
      <c r="AE3267">
        <v>-503.57119999999998</v>
      </c>
      <c r="AF3267">
        <v>-73.246963872892707</v>
      </c>
      <c r="AG3267">
        <v>-1.2113049999999901</v>
      </c>
      <c r="AH3267">
        <v>499.701297799553</v>
      </c>
      <c r="AI3267">
        <v>90.137419572796006</v>
      </c>
      <c r="AJ3267">
        <v>98.339114377769206</v>
      </c>
      <c r="AK3267">
        <v>505.04254474148701</v>
      </c>
      <c r="AL3267">
        <v>87.951363201443698</v>
      </c>
      <c r="AM3267">
        <v>86.5133092970501</v>
      </c>
      <c r="AN3267">
        <v>1.00000002268703</v>
      </c>
    </row>
    <row r="3268" spans="1:40" x14ac:dyDescent="0.25">
      <c r="A3268" t="str">
        <f>"20190312154620050"</f>
        <v>20190312154620050</v>
      </c>
      <c r="B3268" t="str">
        <f>"1552376780040592"</f>
        <v>1552376780040592</v>
      </c>
      <c r="C3268" t="s">
        <v>40</v>
      </c>
      <c r="D3268">
        <v>4.3588750000000003</v>
      </c>
      <c r="E3268">
        <v>0.42099809999999999</v>
      </c>
      <c r="F3268" t="s">
        <v>45</v>
      </c>
      <c r="G3268">
        <v>-161.38669999999999</v>
      </c>
      <c r="H3268">
        <v>-0.1</v>
      </c>
      <c r="I3268">
        <v>-199.0829</v>
      </c>
      <c r="J3268">
        <v>-191.32050000000001</v>
      </c>
      <c r="K3268">
        <v>1.11131</v>
      </c>
      <c r="L3268">
        <v>179.22799999999901</v>
      </c>
      <c r="M3268">
        <v>-6.7046149999999999E-2</v>
      </c>
      <c r="N3268">
        <v>0</v>
      </c>
      <c r="O3268">
        <v>-0.99765859999999995</v>
      </c>
      <c r="P3268">
        <v>-0.12595799999999999</v>
      </c>
      <c r="Q3268">
        <v>2.3166539999999999E-2</v>
      </c>
      <c r="R3268">
        <v>-0.99176509999999996</v>
      </c>
      <c r="S3268">
        <v>0.2416229</v>
      </c>
      <c r="T3268">
        <v>-9.7837449999999999E-3</v>
      </c>
      <c r="U3268">
        <v>-3.0581209999999999</v>
      </c>
      <c r="V3268">
        <v>5.9049240000000003E-2</v>
      </c>
      <c r="W3268">
        <v>3.6851950000000001E-2</v>
      </c>
      <c r="X3268">
        <v>0.99757459999999998</v>
      </c>
      <c r="Y3268">
        <v>-0.14543110000000001</v>
      </c>
      <c r="Z3268">
        <v>3.1665E-3</v>
      </c>
      <c r="AA3268">
        <v>0.98936329999999995</v>
      </c>
      <c r="AB3268">
        <v>28</v>
      </c>
      <c r="AC3268">
        <v>29.933800000000002</v>
      </c>
      <c r="AD3268">
        <v>-1.2113100000000001</v>
      </c>
      <c r="AE3268">
        <v>-378.3109</v>
      </c>
      <c r="AF3268">
        <v>-55.2324696926892</v>
      </c>
      <c r="AG3268">
        <v>-1.2113100000000001</v>
      </c>
      <c r="AH3268">
        <v>375.44854405618599</v>
      </c>
      <c r="AI3268">
        <v>90.182884443398606</v>
      </c>
      <c r="AJ3268">
        <v>98.368791238134804</v>
      </c>
      <c r="AK3268">
        <v>379.49137304315599</v>
      </c>
      <c r="AL3268">
        <v>87.888060547868804</v>
      </c>
      <c r="AM3268">
        <v>86.612454749292596</v>
      </c>
      <c r="AN3268">
        <v>0.99999998076426899</v>
      </c>
    </row>
    <row r="3269" spans="1:40" x14ac:dyDescent="0.25">
      <c r="A3269" t="str">
        <f>"20190312154620071"</f>
        <v>20190312154620071</v>
      </c>
      <c r="B3269" t="str">
        <f>"1552376780060112"</f>
        <v>1552376780060112</v>
      </c>
      <c r="C3269" t="s">
        <v>40</v>
      </c>
      <c r="D3269">
        <v>4.3669209999999996</v>
      </c>
      <c r="E3269">
        <v>0.42133930000000003</v>
      </c>
      <c r="F3269" t="s">
        <v>45</v>
      </c>
      <c r="G3269">
        <v>-164.29830000000001</v>
      </c>
      <c r="H3269">
        <v>-0.1</v>
      </c>
      <c r="I3269">
        <v>-152.4931</v>
      </c>
      <c r="J3269">
        <v>-191.33680000000001</v>
      </c>
      <c r="K3269">
        <v>1.1113139999999999</v>
      </c>
      <c r="L3269">
        <v>178.95609999999999</v>
      </c>
      <c r="M3269">
        <v>-6.5241220000000003E-2</v>
      </c>
      <c r="N3269">
        <v>0</v>
      </c>
      <c r="O3269">
        <v>-0.99777830000000001</v>
      </c>
      <c r="P3269">
        <v>-0.12332949999999999</v>
      </c>
      <c r="Q3269">
        <v>2.446599E-2</v>
      </c>
      <c r="R3269">
        <v>-0.99206439999999996</v>
      </c>
      <c r="S3269">
        <v>0.24900820000000001</v>
      </c>
      <c r="T3269">
        <v>-1.1162160000000001E-2</v>
      </c>
      <c r="U3269">
        <v>-3.0567929999999999</v>
      </c>
      <c r="V3269">
        <v>5.8207960000000003E-2</v>
      </c>
      <c r="W3269">
        <v>3.814708E-2</v>
      </c>
      <c r="X3269">
        <v>0.9975754</v>
      </c>
      <c r="Y3269">
        <v>-0.14604979999999901</v>
      </c>
      <c r="Z3269">
        <v>3.614323E-3</v>
      </c>
      <c r="AA3269">
        <v>0.9892706</v>
      </c>
      <c r="AB3269">
        <v>28</v>
      </c>
      <c r="AC3269">
        <v>27.038499999999999</v>
      </c>
      <c r="AD3269">
        <v>-1.211314</v>
      </c>
      <c r="AE3269">
        <v>-331.44920000000002</v>
      </c>
      <c r="AF3269">
        <v>-48.606358428353602</v>
      </c>
      <c r="AG3269">
        <v>-1.211314</v>
      </c>
      <c r="AH3269">
        <v>328.97437602101002</v>
      </c>
      <c r="AI3269">
        <v>90.208701688831198</v>
      </c>
      <c r="AJ3269">
        <v>98.404712670479</v>
      </c>
      <c r="AK3269">
        <v>332.54801975005802</v>
      </c>
      <c r="AL3269">
        <v>87.8138029201194</v>
      </c>
      <c r="AM3269">
        <v>86.660610083110299</v>
      </c>
      <c r="AN3269">
        <v>1.0000000225025201</v>
      </c>
    </row>
    <row r="3270" spans="1:40" x14ac:dyDescent="0.25">
      <c r="A3270" t="str">
        <f>"20190312154620093"</f>
        <v>20190312154620093</v>
      </c>
      <c r="B3270" t="str">
        <f>"1552376780080608"</f>
        <v>1552376780080608</v>
      </c>
      <c r="C3270" t="s">
        <v>40</v>
      </c>
      <c r="D3270">
        <v>4.3839309999999996</v>
      </c>
      <c r="E3270">
        <v>0.42155629999999999</v>
      </c>
      <c r="F3270" t="s">
        <v>45</v>
      </c>
      <c r="G3270">
        <v>-164.07900000000001</v>
      </c>
      <c r="H3270">
        <v>-0.1</v>
      </c>
      <c r="I3270">
        <v>-148.16499999999999</v>
      </c>
      <c r="J3270">
        <v>-191.35220000000001</v>
      </c>
      <c r="K3270">
        <v>1.1113150000000001</v>
      </c>
      <c r="L3270">
        <v>178.68960000000001</v>
      </c>
      <c r="M3270">
        <v>-6.3470910000000005E-2</v>
      </c>
      <c r="N3270">
        <v>0</v>
      </c>
      <c r="O3270">
        <v>-0.99789209999999995</v>
      </c>
      <c r="P3270">
        <v>-0.1209443</v>
      </c>
      <c r="Q3270">
        <v>2.4874569999999999E-2</v>
      </c>
      <c r="R3270">
        <v>-0.99234750000000005</v>
      </c>
      <c r="S3270">
        <v>0.2546387</v>
      </c>
      <c r="T3270">
        <v>-1.131594E-2</v>
      </c>
      <c r="U3270">
        <v>-3.0559229999999999</v>
      </c>
      <c r="V3270">
        <v>5.7578890000000001E-2</v>
      </c>
      <c r="W3270">
        <v>3.855161E-2</v>
      </c>
      <c r="X3270">
        <v>0.99759629999999999</v>
      </c>
      <c r="Y3270">
        <v>-0.14612790000000001</v>
      </c>
      <c r="Z3270">
        <v>3.6654909999999999E-3</v>
      </c>
      <c r="AA3270">
        <v>0.98925890000000005</v>
      </c>
      <c r="AB3270">
        <v>28</v>
      </c>
      <c r="AC3270">
        <v>27.273199999999999</v>
      </c>
      <c r="AD3270">
        <v>-1.2113149999999999</v>
      </c>
      <c r="AE3270">
        <v>-326.8546</v>
      </c>
      <c r="AF3270">
        <v>-47.965199797838103</v>
      </c>
      <c r="AG3270">
        <v>-1.2113149999999999</v>
      </c>
      <c r="AH3270">
        <v>324.45980040635499</v>
      </c>
      <c r="AI3270">
        <v>90.211603298901906</v>
      </c>
      <c r="AJ3270">
        <v>98.409184278990693</v>
      </c>
      <c r="AK3270">
        <v>327.98824636777402</v>
      </c>
      <c r="AL3270">
        <v>87.790607872641303</v>
      </c>
      <c r="AM3270">
        <v>86.696688515915795</v>
      </c>
      <c r="AN3270">
        <v>0.99999996649045597</v>
      </c>
    </row>
    <row r="3271" spans="1:40" x14ac:dyDescent="0.25">
      <c r="A3271" t="str">
        <f>"20190312154620114"</f>
        <v>20190312154620114</v>
      </c>
      <c r="B3271" t="str">
        <f>"1552376780110865"</f>
        <v>1552376780110865</v>
      </c>
      <c r="C3271" t="s">
        <v>40</v>
      </c>
      <c r="D3271">
        <v>4.4166930000000004</v>
      </c>
      <c r="E3271">
        <v>0.42860500000000001</v>
      </c>
      <c r="F3271" t="s">
        <v>45</v>
      </c>
      <c r="G3271">
        <v>-164.1635</v>
      </c>
      <c r="H3271">
        <v>-0.1</v>
      </c>
      <c r="I3271">
        <v>-140.86859999999999</v>
      </c>
      <c r="J3271">
        <v>-191.3672</v>
      </c>
      <c r="K3271">
        <v>1.111318</v>
      </c>
      <c r="L3271">
        <v>178.42259999999999</v>
      </c>
      <c r="M3271">
        <v>-6.169757E-2</v>
      </c>
      <c r="N3271">
        <v>0</v>
      </c>
      <c r="O3271">
        <v>-0.99800350000000004</v>
      </c>
      <c r="P3271">
        <v>-0.1195532</v>
      </c>
      <c r="Q3271">
        <v>2.5911670000000001E-2</v>
      </c>
      <c r="R3271">
        <v>-0.99248999999999998</v>
      </c>
      <c r="S3271">
        <v>0.25993349999999998</v>
      </c>
      <c r="T3271">
        <v>-1.158059E-2</v>
      </c>
      <c r="U3271">
        <v>-3.0550839999999999</v>
      </c>
      <c r="V3271">
        <v>5.795177E-2</v>
      </c>
      <c r="W3271">
        <v>3.9587949999999997E-2</v>
      </c>
      <c r="X3271">
        <v>0.99753420000000004</v>
      </c>
      <c r="Y3271">
        <v>-0.146094899999999</v>
      </c>
      <c r="Z3271">
        <v>3.75261E-3</v>
      </c>
      <c r="AA3271">
        <v>0.98926349999999996</v>
      </c>
      <c r="AB3271">
        <v>28</v>
      </c>
      <c r="AC3271">
        <v>27.203700000000001</v>
      </c>
      <c r="AD3271">
        <v>-1.2113179999999999</v>
      </c>
      <c r="AE3271">
        <v>-319.2912</v>
      </c>
      <c r="AF3271">
        <v>-46.8524832621329</v>
      </c>
      <c r="AG3271">
        <v>-1.2113179999999999</v>
      </c>
      <c r="AH3271">
        <v>316.99971921691701</v>
      </c>
      <c r="AI3271">
        <v>90.216584510493703</v>
      </c>
      <c r="AJ3271">
        <v>98.407435710364894</v>
      </c>
      <c r="AK3271">
        <v>320.44569658950002</v>
      </c>
      <c r="AL3271">
        <v>87.731184771550502</v>
      </c>
      <c r="AM3271">
        <v>86.675137647480696</v>
      </c>
      <c r="AN3271">
        <v>1.0000000468004799</v>
      </c>
    </row>
    <row r="3272" spans="1:40" x14ac:dyDescent="0.25">
      <c r="A3272" t="str">
        <f>"20190312154620138"</f>
        <v>20190312154620138</v>
      </c>
      <c r="B3272" t="str">
        <f>"1552376780130387"</f>
        <v>1552376780130387</v>
      </c>
      <c r="C3272" t="s">
        <v>40</v>
      </c>
      <c r="D3272">
        <v>4.4046960000000004</v>
      </c>
      <c r="E3272">
        <v>0.4284309</v>
      </c>
      <c r="F3272" t="s">
        <v>52</v>
      </c>
      <c r="G3272">
        <v>-187.67740000000001</v>
      </c>
      <c r="H3272" s="1">
        <v>-3.09661E-6</v>
      </c>
      <c r="I3272">
        <v>124.7629</v>
      </c>
      <c r="J3272">
        <v>-191.38329999999999</v>
      </c>
      <c r="K3272">
        <v>1.1113200000000001</v>
      </c>
      <c r="L3272">
        <v>178.12710000000001</v>
      </c>
      <c r="M3272">
        <v>-5.9734540000000003E-2</v>
      </c>
      <c r="N3272">
        <v>0</v>
      </c>
      <c r="O3272">
        <v>-0.99812290000000004</v>
      </c>
      <c r="P3272">
        <v>-0.1185359</v>
      </c>
      <c r="Q3272">
        <v>2.6249769999999999E-2</v>
      </c>
      <c r="R3272">
        <v>-0.9926026</v>
      </c>
      <c r="S3272">
        <v>0.20970150000000001</v>
      </c>
      <c r="T3272">
        <v>-6.3158989999999998E-2</v>
      </c>
      <c r="U3272">
        <v>-3.0496059999999998</v>
      </c>
      <c r="V3272">
        <v>5.8891350000000002E-2</v>
      </c>
      <c r="W3272">
        <v>3.9925750000000003E-2</v>
      </c>
      <c r="X3272">
        <v>0.99746570000000001</v>
      </c>
      <c r="Y3272">
        <v>-0.1280636</v>
      </c>
      <c r="Z3272">
        <v>2.05411E-2</v>
      </c>
      <c r="AA3272">
        <v>0.99155320000000002</v>
      </c>
      <c r="AB3272">
        <v>28</v>
      </c>
      <c r="AC3272">
        <v>3.7058999999999802</v>
      </c>
      <c r="AD3272">
        <v>-1.1113230966100001</v>
      </c>
      <c r="AE3272">
        <v>-53.364199999999997</v>
      </c>
      <c r="AF3272">
        <v>-6.8842866267534903</v>
      </c>
      <c r="AG3272">
        <v>-1.1113230966100001</v>
      </c>
      <c r="AH3272">
        <v>53.024613664650701</v>
      </c>
      <c r="AI3272">
        <v>91.190674736067194</v>
      </c>
      <c r="AJ3272">
        <v>97.397440876336603</v>
      </c>
      <c r="AK3272">
        <v>53.481193850453799</v>
      </c>
      <c r="AL3272">
        <v>87.711814927571297</v>
      </c>
      <c r="AM3272">
        <v>86.6211235960659</v>
      </c>
      <c r="AN3272">
        <v>1.00000003964718</v>
      </c>
    </row>
    <row r="3273" spans="1:40" x14ac:dyDescent="0.25">
      <c r="A3273" t="str">
        <f>"20190312154620159"</f>
        <v>20190312154620159</v>
      </c>
      <c r="B3273" t="str">
        <f>"1552376780150880"</f>
        <v>1552376780150880</v>
      </c>
      <c r="C3273" t="s">
        <v>40</v>
      </c>
      <c r="D3273">
        <v>4.4314929999999997</v>
      </c>
      <c r="E3273">
        <v>0.42833710000000003</v>
      </c>
      <c r="F3273" t="s">
        <v>52</v>
      </c>
      <c r="G3273">
        <v>-187.8681</v>
      </c>
      <c r="H3273" s="1">
        <v>-4.3214109999999999E-6</v>
      </c>
      <c r="I3273">
        <v>128.07299999999901</v>
      </c>
      <c r="J3273">
        <v>-191.3973</v>
      </c>
      <c r="K3273">
        <v>1.111316</v>
      </c>
      <c r="L3273">
        <v>177.8596</v>
      </c>
      <c r="M3273">
        <v>-5.7957099999999998E-2</v>
      </c>
      <c r="N3273">
        <v>0</v>
      </c>
      <c r="O3273">
        <v>-0.99822789999999995</v>
      </c>
      <c r="P3273">
        <v>-0.1181687</v>
      </c>
      <c r="Q3273">
        <v>2.713964E-2</v>
      </c>
      <c r="R3273">
        <v>-0.99262269999999997</v>
      </c>
      <c r="S3273">
        <v>0.21417240000000001</v>
      </c>
      <c r="T3273">
        <v>-6.7711469999999996E-2</v>
      </c>
      <c r="U3273">
        <v>-3.049728</v>
      </c>
      <c r="V3273">
        <v>6.0297709999999997E-2</v>
      </c>
      <c r="W3273">
        <v>4.0817190000000003E-2</v>
      </c>
      <c r="X3273">
        <v>0.99734560000000005</v>
      </c>
      <c r="Y3273">
        <v>-0.1277393</v>
      </c>
      <c r="Z3273">
        <v>2.2022949999999999E-2</v>
      </c>
      <c r="AA3273">
        <v>0.99156330000000004</v>
      </c>
      <c r="AB3273">
        <v>28</v>
      </c>
      <c r="AC3273">
        <v>3.5291999999999999</v>
      </c>
      <c r="AD3273">
        <v>-1.1113203214109999</v>
      </c>
      <c r="AE3273">
        <v>-49.7866</v>
      </c>
      <c r="AF3273">
        <v>-6.4058404182546296</v>
      </c>
      <c r="AG3273">
        <v>-1.1113203214109999</v>
      </c>
      <c r="AH3273">
        <v>49.473808936353201</v>
      </c>
      <c r="AI3273">
        <v>91.276157972955303</v>
      </c>
      <c r="AJ3273">
        <v>97.377579219742003</v>
      </c>
      <c r="AK3273">
        <v>49.899174291682499</v>
      </c>
      <c r="AL3273">
        <v>87.660697531568204</v>
      </c>
      <c r="AM3273">
        <v>86.540212159573002</v>
      </c>
      <c r="AN3273">
        <v>1.00000005133504</v>
      </c>
    </row>
    <row r="3274" spans="1:40" x14ac:dyDescent="0.25">
      <c r="A3274" t="str">
        <f>"20190312154620182"</f>
        <v>20190312154620182</v>
      </c>
      <c r="B3274" t="str">
        <f>"1552376780170401"</f>
        <v>1552376780170401</v>
      </c>
      <c r="C3274" t="s">
        <v>40</v>
      </c>
      <c r="D3274">
        <v>4.4342300000000003</v>
      </c>
      <c r="E3274">
        <v>0.42841230000000002</v>
      </c>
      <c r="F3274" t="s">
        <v>52</v>
      </c>
      <c r="G3274">
        <v>-187.923</v>
      </c>
      <c r="H3274" s="1">
        <v>-4.6455139999999998E-6</v>
      </c>
      <c r="I3274">
        <v>128.8484</v>
      </c>
      <c r="J3274">
        <v>-191.411</v>
      </c>
      <c r="K3274">
        <v>1.1113189999999999</v>
      </c>
      <c r="L3274">
        <v>177.58969999999999</v>
      </c>
      <c r="M3274">
        <v>-5.6163600000000001E-2</v>
      </c>
      <c r="N3274">
        <v>0</v>
      </c>
      <c r="O3274">
        <v>-0.99833039999999995</v>
      </c>
      <c r="P3274">
        <v>-0.11781800000000001</v>
      </c>
      <c r="Q3274">
        <v>2.8263010000000002E-2</v>
      </c>
      <c r="R3274">
        <v>-0.99263290000000004</v>
      </c>
      <c r="S3274">
        <v>0.2162018</v>
      </c>
      <c r="T3274">
        <v>-6.9156529999999994E-2</v>
      </c>
      <c r="U3274">
        <v>-3.0499269999999998</v>
      </c>
      <c r="V3274">
        <v>6.1736020000000003E-2</v>
      </c>
      <c r="W3274">
        <v>4.1941550000000001E-2</v>
      </c>
      <c r="X3274">
        <v>0.99721090000000001</v>
      </c>
      <c r="Y3274">
        <v>-0.12660859999999999</v>
      </c>
      <c r="Z3274">
        <v>2.2495850000000001E-2</v>
      </c>
      <c r="AA3274">
        <v>0.99169759999999996</v>
      </c>
      <c r="AB3274">
        <v>28</v>
      </c>
      <c r="AC3274">
        <v>3.4879999999999698</v>
      </c>
      <c r="AD3274">
        <v>-1.1113236455140001</v>
      </c>
      <c r="AE3274">
        <v>-48.741300000000003</v>
      </c>
      <c r="AF3274">
        <v>-6.2170140590526204</v>
      </c>
      <c r="AG3274">
        <v>-1.1113236455140001</v>
      </c>
      <c r="AH3274">
        <v>48.443379737599997</v>
      </c>
      <c r="AI3274">
        <v>91.303486462173097</v>
      </c>
      <c r="AJ3274">
        <v>97.313118496038399</v>
      </c>
      <c r="AK3274">
        <v>48.8533248045294</v>
      </c>
      <c r="AL3274">
        <v>87.596221112496394</v>
      </c>
      <c r="AM3274">
        <v>86.457414630833696</v>
      </c>
      <c r="AN3274">
        <v>1.0000000044303201</v>
      </c>
    </row>
    <row r="3275" spans="1:40" x14ac:dyDescent="0.25">
      <c r="A3275" t="str">
        <f>"20190312154620204"</f>
        <v>20190312154620204</v>
      </c>
      <c r="B3275" t="str">
        <f>"1552376780200656"</f>
        <v>1552376780200656</v>
      </c>
      <c r="C3275" t="s">
        <v>40</v>
      </c>
      <c r="D3275">
        <v>4.5030260000000002</v>
      </c>
      <c r="E3275">
        <v>0.42840669999999997</v>
      </c>
      <c r="F3275" t="s">
        <v>52</v>
      </c>
      <c r="G3275">
        <v>-187.93279999999999</v>
      </c>
      <c r="H3275" s="1">
        <v>-4.5682419999999996E-6</v>
      </c>
      <c r="I3275">
        <v>128.66659999999999</v>
      </c>
      <c r="J3275">
        <v>-191.42490000000001</v>
      </c>
      <c r="K3275">
        <v>1.111318</v>
      </c>
      <c r="L3275">
        <v>177.30599999999899</v>
      </c>
      <c r="M3275">
        <v>-5.4278170000000001E-2</v>
      </c>
      <c r="N3275">
        <v>0</v>
      </c>
      <c r="O3275">
        <v>-0.99843470000000001</v>
      </c>
      <c r="P3275">
        <v>-0.1168365</v>
      </c>
      <c r="Q3275">
        <v>2.9000990000000001E-2</v>
      </c>
      <c r="R3275">
        <v>-0.99272780000000005</v>
      </c>
      <c r="S3275">
        <v>0.2168427</v>
      </c>
      <c r="T3275">
        <v>-6.9282410000000003E-2</v>
      </c>
      <c r="U3275">
        <v>-3.049973</v>
      </c>
      <c r="V3275">
        <v>6.2632590000000002E-2</v>
      </c>
      <c r="W3275">
        <v>4.2679519999999999E-2</v>
      </c>
      <c r="X3275">
        <v>0.99712369999999995</v>
      </c>
      <c r="Y3275">
        <v>-0.12494130000000001</v>
      </c>
      <c r="Z3275">
        <v>2.2542220000000002E-2</v>
      </c>
      <c r="AA3275">
        <v>0.99190800000000001</v>
      </c>
      <c r="AB3275">
        <v>28</v>
      </c>
      <c r="AC3275">
        <v>3.4921000000000202</v>
      </c>
      <c r="AD3275">
        <v>-1.111322568242</v>
      </c>
      <c r="AE3275">
        <v>-48.639400000000002</v>
      </c>
      <c r="AF3275">
        <v>-6.1240685206583398</v>
      </c>
      <c r="AG3275">
        <v>-1.111322568242</v>
      </c>
      <c r="AH3275">
        <v>48.353010524578302</v>
      </c>
      <c r="AI3275">
        <v>91.306196065689207</v>
      </c>
      <c r="AJ3275">
        <v>97.218267265196403</v>
      </c>
      <c r="AK3275">
        <v>48.751952575116199</v>
      </c>
      <c r="AL3275">
        <v>87.553900705204498</v>
      </c>
      <c r="AM3275">
        <v>86.405787349399503</v>
      </c>
      <c r="AN3275">
        <v>1.00000002792961</v>
      </c>
    </row>
    <row r="3276" spans="1:40" x14ac:dyDescent="0.25">
      <c r="A3276" t="str">
        <f>"20190312154620227"</f>
        <v>20190312154620227</v>
      </c>
      <c r="B3276" t="str">
        <f>"1552376780220176"</f>
        <v>1552376780220176</v>
      </c>
      <c r="C3276" t="s">
        <v>40</v>
      </c>
      <c r="D3276">
        <v>4.4688230000000004</v>
      </c>
      <c r="E3276">
        <v>0.4284771</v>
      </c>
      <c r="F3276" t="s">
        <v>52</v>
      </c>
      <c r="G3276">
        <v>-188.01689999999999</v>
      </c>
      <c r="H3276" s="1">
        <v>-5.1120520000000001E-6</v>
      </c>
      <c r="I3276">
        <v>130.07839999999999</v>
      </c>
      <c r="J3276">
        <v>-191.43799999999999</v>
      </c>
      <c r="K3276">
        <v>1.1113170000000001</v>
      </c>
      <c r="L3276">
        <v>177.02680000000001</v>
      </c>
      <c r="M3276">
        <v>-5.2423110000000002E-2</v>
      </c>
      <c r="N3276">
        <v>0</v>
      </c>
      <c r="O3276">
        <v>-0.99853400000000003</v>
      </c>
      <c r="P3276">
        <v>-0.115533</v>
      </c>
      <c r="Q3276">
        <v>2.8894079999999999E-2</v>
      </c>
      <c r="R3276">
        <v>-0.99288390000000004</v>
      </c>
      <c r="S3276">
        <v>0.22009280000000001</v>
      </c>
      <c r="T3276">
        <v>-7.1770070000000005E-2</v>
      </c>
      <c r="U3276">
        <v>-3.0499879999999999</v>
      </c>
      <c r="V3276">
        <v>6.3176620000000003E-2</v>
      </c>
      <c r="W3276">
        <v>4.2572329999999999E-2</v>
      </c>
      <c r="X3276">
        <v>0.99709389999999998</v>
      </c>
      <c r="Y3276">
        <v>-0.12414790000000001</v>
      </c>
      <c r="Z3276">
        <v>2.335485E-2</v>
      </c>
      <c r="AA3276">
        <v>0.9919888</v>
      </c>
      <c r="AB3276">
        <v>28</v>
      </c>
      <c r="AC3276">
        <v>3.4210999999999898</v>
      </c>
      <c r="AD3276">
        <v>-1.111322112052</v>
      </c>
      <c r="AE3276">
        <v>-46.948399999999999</v>
      </c>
      <c r="AF3276">
        <v>-5.87452548965845</v>
      </c>
      <c r="AG3276">
        <v>-1.111322112052</v>
      </c>
      <c r="AH3276">
        <v>46.678454643729999</v>
      </c>
      <c r="AI3276">
        <v>91.353172109963893</v>
      </c>
      <c r="AJ3276">
        <v>97.173014198245895</v>
      </c>
      <c r="AK3276">
        <v>47.059783408895299</v>
      </c>
      <c r="AL3276">
        <v>87.560047678008004</v>
      </c>
      <c r="AM3276">
        <v>86.374542670335899</v>
      </c>
      <c r="AN3276">
        <v>0.99999996700673099</v>
      </c>
    </row>
    <row r="3277" spans="1:40" x14ac:dyDescent="0.25">
      <c r="A3277" t="str">
        <f>"20190312154620250"</f>
        <v>20190312154620250</v>
      </c>
      <c r="B3277" t="str">
        <f>"1552376780240672"</f>
        <v>1552376780240672</v>
      </c>
      <c r="C3277" t="s">
        <v>40</v>
      </c>
      <c r="D3277">
        <v>4.499295</v>
      </c>
      <c r="E3277">
        <v>0.42851299999999998</v>
      </c>
      <c r="F3277" t="s">
        <v>52</v>
      </c>
      <c r="G3277">
        <v>-188.17070000000001</v>
      </c>
      <c r="H3277" s="1">
        <v>-5.8701860000000002E-6</v>
      </c>
      <c r="I3277">
        <v>132.47640000000001</v>
      </c>
      <c r="J3277">
        <v>-191.45079999999999</v>
      </c>
      <c r="K3277">
        <v>1.1113040000000001</v>
      </c>
      <c r="L3277">
        <v>176.7424</v>
      </c>
      <c r="M3277">
        <v>-5.0533149999999999E-2</v>
      </c>
      <c r="N3277">
        <v>0</v>
      </c>
      <c r="O3277">
        <v>-0.99863139999999995</v>
      </c>
      <c r="P3277">
        <v>-0.113972</v>
      </c>
      <c r="Q3277">
        <v>2.8352390000000002E-2</v>
      </c>
      <c r="R3277">
        <v>-0.99307990000000002</v>
      </c>
      <c r="S3277">
        <v>0.22366330000000001</v>
      </c>
      <c r="T3277">
        <v>-7.6076389999999994E-2</v>
      </c>
      <c r="U3277">
        <v>-3.049728</v>
      </c>
      <c r="V3277">
        <v>6.3497769999999995E-2</v>
      </c>
      <c r="W3277">
        <v>4.2029219999999999E-2</v>
      </c>
      <c r="X3277">
        <v>0.9970966</v>
      </c>
      <c r="Y3277">
        <v>-0.1234287</v>
      </c>
      <c r="Z3277">
        <v>2.4761140000000001E-2</v>
      </c>
      <c r="AA3277">
        <v>0.99204440000000005</v>
      </c>
      <c r="AB3277">
        <v>28</v>
      </c>
      <c r="AC3277">
        <v>3.2800999999999698</v>
      </c>
      <c r="AD3277">
        <v>-1.111309870186</v>
      </c>
      <c r="AE3277">
        <v>-44.265999999999899</v>
      </c>
      <c r="AF3277">
        <v>-5.5095586573544999</v>
      </c>
      <c r="AG3277">
        <v>-1.111309870186</v>
      </c>
      <c r="AH3277">
        <v>44.016075207246999</v>
      </c>
      <c r="AI3277">
        <v>91.435092158715406</v>
      </c>
      <c r="AJ3277">
        <v>97.134691838306495</v>
      </c>
      <c r="AK3277">
        <v>44.373473189242503</v>
      </c>
      <c r="AL3277">
        <v>87.591193610174798</v>
      </c>
      <c r="AM3277">
        <v>86.356172505327905</v>
      </c>
      <c r="AN3277">
        <v>1.00000002593017</v>
      </c>
    </row>
    <row r="3278" spans="1:40" x14ac:dyDescent="0.25">
      <c r="A3278" t="str">
        <f>"20190312154620272"</f>
        <v>20190312154620272</v>
      </c>
      <c r="B3278" t="str">
        <f>"1552376780260194"</f>
        <v>1552376780260194</v>
      </c>
      <c r="C3278" t="s">
        <v>40</v>
      </c>
      <c r="D3278">
        <v>4.5202220000000004</v>
      </c>
      <c r="E3278">
        <v>0.42847679999999999</v>
      </c>
      <c r="F3278" t="s">
        <v>52</v>
      </c>
      <c r="G3278">
        <v>-188.3075</v>
      </c>
      <c r="H3278" s="1">
        <v>-6.5902909999999998E-6</v>
      </c>
      <c r="I3278">
        <v>134.75239999999999</v>
      </c>
      <c r="J3278">
        <v>-191.46270000000001</v>
      </c>
      <c r="K3278">
        <v>1.111302</v>
      </c>
      <c r="L3278">
        <v>176.46709999999999</v>
      </c>
      <c r="M3278">
        <v>-4.8702919999999997E-2</v>
      </c>
      <c r="N3278">
        <v>0</v>
      </c>
      <c r="O3278">
        <v>-0.99872240000000001</v>
      </c>
      <c r="P3278">
        <v>-0.11216379999999999</v>
      </c>
      <c r="Q3278">
        <v>2.834629E-2</v>
      </c>
      <c r="R3278">
        <v>-0.99328570000000005</v>
      </c>
      <c r="S3278">
        <v>0.22827149999999999</v>
      </c>
      <c r="T3278">
        <v>-8.0705399999999997E-2</v>
      </c>
      <c r="U3278">
        <v>-3.0493929999999998</v>
      </c>
      <c r="V3278">
        <v>6.3510029999999995E-2</v>
      </c>
      <c r="W3278">
        <v>4.2021589999999998E-2</v>
      </c>
      <c r="X3278">
        <v>0.99709610000000004</v>
      </c>
      <c r="Y3278">
        <v>-0.1231061</v>
      </c>
      <c r="Z3278">
        <v>2.627231E-2</v>
      </c>
      <c r="AA3278">
        <v>0.99204570000000003</v>
      </c>
      <c r="AB3278">
        <v>28</v>
      </c>
      <c r="AC3278">
        <v>3.1551999999999998</v>
      </c>
      <c r="AD3278">
        <v>-1.111308590291</v>
      </c>
      <c r="AE3278">
        <v>-41.714699999999901</v>
      </c>
      <c r="AF3278">
        <v>-5.1796120611347503</v>
      </c>
      <c r="AG3278">
        <v>-1.111308590291</v>
      </c>
      <c r="AH3278">
        <v>41.482233553604999</v>
      </c>
      <c r="AI3278">
        <v>91.522767175659894</v>
      </c>
      <c r="AJ3278">
        <v>97.117309127635295</v>
      </c>
      <c r="AK3278">
        <v>41.819123478171299</v>
      </c>
      <c r="AL3278">
        <v>87.591631065577104</v>
      </c>
      <c r="AM3278">
        <v>86.355469037064594</v>
      </c>
      <c r="AN3278">
        <v>0.99999998528596901</v>
      </c>
    </row>
    <row r="3279" spans="1:40" x14ac:dyDescent="0.25">
      <c r="A3279" t="str">
        <f>"20190312154620295"</f>
        <v>20190312154620295</v>
      </c>
      <c r="B3279" t="str">
        <f>"1552376780290449"</f>
        <v>1552376780290449</v>
      </c>
      <c r="C3279" t="s">
        <v>40</v>
      </c>
      <c r="D3279">
        <v>4.5181170000000002</v>
      </c>
      <c r="E3279">
        <v>0.42852820000000003</v>
      </c>
      <c r="F3279" t="s">
        <v>52</v>
      </c>
      <c r="G3279">
        <v>-188.36259999999999</v>
      </c>
      <c r="H3279" s="1">
        <v>-7.0283369999999997E-6</v>
      </c>
      <c r="I3279">
        <v>136.1318</v>
      </c>
      <c r="J3279">
        <v>-191.4743</v>
      </c>
      <c r="K3279">
        <v>1.11131</v>
      </c>
      <c r="L3279">
        <v>176.18620000000001</v>
      </c>
      <c r="M3279">
        <v>-4.6835340000000003E-2</v>
      </c>
      <c r="N3279">
        <v>0</v>
      </c>
      <c r="O3279">
        <v>-0.99881140000000002</v>
      </c>
      <c r="P3279">
        <v>-0.1103879</v>
      </c>
      <c r="Q3279">
        <v>2.8431560000000002E-2</v>
      </c>
      <c r="R3279">
        <v>-0.99348179999999997</v>
      </c>
      <c r="S3279">
        <v>0.23434450000000001</v>
      </c>
      <c r="T3279">
        <v>-8.4008570000000005E-2</v>
      </c>
      <c r="U3279">
        <v>-3.049118</v>
      </c>
      <c r="V3279">
        <v>6.3592079999999995E-2</v>
      </c>
      <c r="W3279">
        <v>4.2104490000000001E-2</v>
      </c>
      <c r="X3279">
        <v>0.99708739999999996</v>
      </c>
      <c r="Y3279">
        <v>-0.1232195</v>
      </c>
      <c r="Z3279">
        <v>2.735069E-2</v>
      </c>
      <c r="AA3279">
        <v>0.99200250000000001</v>
      </c>
      <c r="AB3279">
        <v>28</v>
      </c>
      <c r="AC3279">
        <v>3.1117000000000101</v>
      </c>
      <c r="AD3279">
        <v>-1.111317028337</v>
      </c>
      <c r="AE3279">
        <v>-40.054400000000001</v>
      </c>
      <c r="AF3279">
        <v>-4.9806060236110898</v>
      </c>
      <c r="AG3279">
        <v>-1.111317028337</v>
      </c>
      <c r="AH3279">
        <v>39.834206167122403</v>
      </c>
      <c r="AI3279">
        <v>91.585714708037202</v>
      </c>
      <c r="AJ3279">
        <v>97.126900281902394</v>
      </c>
      <c r="AK3279">
        <v>40.159749038866202</v>
      </c>
      <c r="AL3279">
        <v>87.586877102321907</v>
      </c>
      <c r="AM3279">
        <v>86.350741547510495</v>
      </c>
      <c r="AN3279">
        <v>1.0000000119778201</v>
      </c>
    </row>
    <row r="3280" spans="1:40" x14ac:dyDescent="0.25">
      <c r="A3280" t="str">
        <f>"20190312154620315"</f>
        <v>20190312154620315</v>
      </c>
      <c r="B3280" t="str">
        <f>"1552376780310944"</f>
        <v>1552376780310944</v>
      </c>
      <c r="C3280" t="s">
        <v>40</v>
      </c>
      <c r="D3280">
        <v>4.5218400000000001</v>
      </c>
      <c r="E3280">
        <v>0.4289982</v>
      </c>
      <c r="F3280" t="s">
        <v>52</v>
      </c>
      <c r="G3280">
        <v>-188.4512</v>
      </c>
      <c r="H3280" s="1">
        <v>-7.53057E-6</v>
      </c>
      <c r="I3280">
        <v>137.71799999999999</v>
      </c>
      <c r="J3280">
        <v>-191.4845</v>
      </c>
      <c r="K3280">
        <v>1.111307</v>
      </c>
      <c r="L3280">
        <v>175.92850000000001</v>
      </c>
      <c r="M3280">
        <v>-4.5121550000000003E-2</v>
      </c>
      <c r="N3280">
        <v>0</v>
      </c>
      <c r="O3280">
        <v>-0.99889050000000001</v>
      </c>
      <c r="P3280">
        <v>-0.10864459999999999</v>
      </c>
      <c r="Q3280">
        <v>2.8325889999999999E-2</v>
      </c>
      <c r="R3280">
        <v>-0.99367729999999999</v>
      </c>
      <c r="S3280">
        <v>0.23959349999999999</v>
      </c>
      <c r="T3280">
        <v>-8.8078740000000003E-2</v>
      </c>
      <c r="U3280">
        <v>-3.0488430000000002</v>
      </c>
      <c r="V3280">
        <v>6.3553789999999999E-2</v>
      </c>
      <c r="W3280">
        <v>4.1996829999999999E-2</v>
      </c>
      <c r="X3280">
        <v>0.99709440000000005</v>
      </c>
      <c r="Y3280">
        <v>-0.1232183</v>
      </c>
      <c r="Z3280">
        <v>2.8678829999999999E-2</v>
      </c>
      <c r="AA3280">
        <v>0.99196510000000004</v>
      </c>
      <c r="AB3280">
        <v>28</v>
      </c>
      <c r="AC3280">
        <v>3.0332999999999899</v>
      </c>
      <c r="AD3280">
        <v>-1.1113145305700001</v>
      </c>
      <c r="AE3280">
        <v>-38.210500000000003</v>
      </c>
      <c r="AF3280">
        <v>-4.7504905984067998</v>
      </c>
      <c r="AG3280">
        <v>-1.1113145305700001</v>
      </c>
      <c r="AH3280">
        <v>38.002751599904201</v>
      </c>
      <c r="AI3280">
        <v>91.6620949796106</v>
      </c>
      <c r="AJ3280">
        <v>97.125234045370902</v>
      </c>
      <c r="AK3280">
        <v>38.314635716334699</v>
      </c>
      <c r="AL3280">
        <v>87.593051070797898</v>
      </c>
      <c r="AM3280">
        <v>86.352958437937104</v>
      </c>
      <c r="AN3280">
        <v>1.0000000302323799</v>
      </c>
    </row>
    <row r="3281" spans="1:40" x14ac:dyDescent="0.25">
      <c r="A3281" t="str">
        <f>"20190312154620339"</f>
        <v>20190312154620339</v>
      </c>
      <c r="B3281" t="str">
        <f>"1552376780330464"</f>
        <v>1552376780330464</v>
      </c>
      <c r="C3281" t="s">
        <v>40</v>
      </c>
      <c r="D3281">
        <v>4.638922</v>
      </c>
      <c r="E3281">
        <v>0.42961290000000002</v>
      </c>
      <c r="F3281" t="s">
        <v>52</v>
      </c>
      <c r="G3281">
        <v>-189.3929</v>
      </c>
      <c r="H3281" s="1">
        <v>-1.07438899999999E-5</v>
      </c>
      <c r="I3281">
        <v>149.62110000000001</v>
      </c>
      <c r="J3281">
        <v>-191.49539999999999</v>
      </c>
      <c r="K3281">
        <v>1.1113059999999999</v>
      </c>
      <c r="L3281">
        <v>175.63910000000001</v>
      </c>
      <c r="M3281">
        <v>-4.3196730000000003E-2</v>
      </c>
      <c r="N3281">
        <v>0</v>
      </c>
      <c r="O3281">
        <v>-0.99897550000000002</v>
      </c>
      <c r="P3281">
        <v>-0.1068868</v>
      </c>
      <c r="Q3281">
        <v>2.8149210000000001E-2</v>
      </c>
      <c r="R3281">
        <v>-0.99387259999999999</v>
      </c>
      <c r="S3281">
        <v>0.2424316</v>
      </c>
      <c r="T3281">
        <v>-0.12881289999999901</v>
      </c>
      <c r="U3281">
        <v>-3.0492859999999999</v>
      </c>
      <c r="V3281">
        <v>6.3712210000000005E-2</v>
      </c>
      <c r="W3281">
        <v>4.1818639999999997E-2</v>
      </c>
      <c r="X3281">
        <v>0.99709179999999997</v>
      </c>
      <c r="Y3281">
        <v>-0.1221752</v>
      </c>
      <c r="Z3281">
        <v>4.1922729999999998E-2</v>
      </c>
      <c r="AA3281">
        <v>0.99162269999999997</v>
      </c>
      <c r="AB3281">
        <v>28</v>
      </c>
      <c r="AC3281">
        <v>2.1024999999999898</v>
      </c>
      <c r="AD3281">
        <v>-1.11131674389</v>
      </c>
      <c r="AE3281">
        <v>-26.018000000000001</v>
      </c>
      <c r="AF3281">
        <v>-3.2186977444373599</v>
      </c>
      <c r="AG3281">
        <v>-1.11131674389</v>
      </c>
      <c r="AH3281">
        <v>25.8560140949903</v>
      </c>
      <c r="AI3281">
        <v>92.442286035976295</v>
      </c>
      <c r="AJ3281">
        <v>97.0959869564863</v>
      </c>
      <c r="AK3281">
        <v>26.0792734744592</v>
      </c>
      <c r="AL3281">
        <v>87.603269632351399</v>
      </c>
      <c r="AM3281">
        <v>86.343882607668107</v>
      </c>
      <c r="AN3281">
        <v>1.00000005099088</v>
      </c>
    </row>
    <row r="3282" spans="1:40" x14ac:dyDescent="0.25">
      <c r="A3282" t="str">
        <f>"20190312154620360"</f>
        <v>20190312154620360</v>
      </c>
      <c r="B3282" t="str">
        <f>"1552376780350960"</f>
        <v>1552376780350960</v>
      </c>
      <c r="C3282" t="s">
        <v>40</v>
      </c>
      <c r="D3282">
        <v>4.5796299999999999</v>
      </c>
      <c r="E3282">
        <v>0.42934630000000001</v>
      </c>
      <c r="F3282" t="s">
        <v>52</v>
      </c>
      <c r="G3282">
        <v>-189.2961</v>
      </c>
      <c r="H3282" s="1">
        <v>-1.0327409999999999E-5</v>
      </c>
      <c r="I3282">
        <v>148.03030000000001</v>
      </c>
      <c r="J3282">
        <v>-191.505</v>
      </c>
      <c r="K3282">
        <v>1.111302</v>
      </c>
      <c r="L3282">
        <v>175.37029999999999</v>
      </c>
      <c r="M3282">
        <v>-4.1408979999999998E-2</v>
      </c>
      <c r="N3282">
        <v>0</v>
      </c>
      <c r="O3282">
        <v>-0.99905149999999998</v>
      </c>
      <c r="P3282">
        <v>-0.1056136</v>
      </c>
      <c r="Q3282">
        <v>2.7765660000000001E-2</v>
      </c>
      <c r="R3282">
        <v>-0.99401980000000001</v>
      </c>
      <c r="S3282">
        <v>0.2428131</v>
      </c>
      <c r="T3282">
        <v>-0.1226923</v>
      </c>
      <c r="U3282">
        <v>-3.0480800000000001</v>
      </c>
      <c r="V3282">
        <v>6.42205E-2</v>
      </c>
      <c r="W3282">
        <v>4.1434650000000003E-2</v>
      </c>
      <c r="X3282">
        <v>0.99707520000000005</v>
      </c>
      <c r="Y3282">
        <v>-0.12055970000000001</v>
      </c>
      <c r="Z3282">
        <v>3.9958100000000003E-2</v>
      </c>
      <c r="AA3282">
        <v>0.99190160000000005</v>
      </c>
      <c r="AB3282">
        <v>28</v>
      </c>
      <c r="AC3282">
        <v>2.2088999999999999</v>
      </c>
      <c r="AD3282">
        <v>-1.1113123274099901</v>
      </c>
      <c r="AE3282">
        <v>-27.3399999999999</v>
      </c>
      <c r="AF3282">
        <v>-3.3337567770621401</v>
      </c>
      <c r="AG3282">
        <v>-1.1113123274099901</v>
      </c>
      <c r="AH3282">
        <v>27.1804514946305</v>
      </c>
      <c r="AI3282">
        <v>92.323921650290799</v>
      </c>
      <c r="AJ3282">
        <v>96.992559122953693</v>
      </c>
      <c r="AK3282">
        <v>27.4066760624053</v>
      </c>
      <c r="AL3282">
        <v>87.625289670882594</v>
      </c>
      <c r="AM3282">
        <v>86.314733324482503</v>
      </c>
      <c r="AN3282">
        <v>1.00000002864795</v>
      </c>
    </row>
    <row r="3283" spans="1:40" x14ac:dyDescent="0.25">
      <c r="A3283" t="str">
        <f>"20190312154620384"</f>
        <v>20190312154620384</v>
      </c>
      <c r="B3283" t="str">
        <f>"1552376780370481"</f>
        <v>1552376780370481</v>
      </c>
      <c r="C3283" t="s">
        <v>40</v>
      </c>
      <c r="D3283">
        <v>4.9900669999999998</v>
      </c>
      <c r="E3283">
        <v>0.4293459</v>
      </c>
      <c r="F3283" t="s">
        <v>52</v>
      </c>
      <c r="G3283">
        <v>-189.32169999999999</v>
      </c>
      <c r="H3283" s="1">
        <v>-1.0488540000000001E-5</v>
      </c>
      <c r="I3283">
        <v>148.6499</v>
      </c>
      <c r="J3283">
        <v>-191.5147</v>
      </c>
      <c r="K3283">
        <v>1.1113</v>
      </c>
      <c r="L3283">
        <v>175.0865</v>
      </c>
      <c r="M3283">
        <v>-3.9520510000000002E-2</v>
      </c>
      <c r="N3283">
        <v>0</v>
      </c>
      <c r="O3283">
        <v>-0.99912769999999995</v>
      </c>
      <c r="P3283">
        <v>-0.10437349999999999</v>
      </c>
      <c r="Q3283">
        <v>2.804181E-2</v>
      </c>
      <c r="R3283">
        <v>-0.99414290000000005</v>
      </c>
      <c r="S3283">
        <v>0.249054</v>
      </c>
      <c r="T3283">
        <v>-0.12676950000000001</v>
      </c>
      <c r="U3283">
        <v>-3.0480499999999999</v>
      </c>
      <c r="V3283">
        <v>6.4861360000000007E-2</v>
      </c>
      <c r="W3283">
        <v>4.1710030000000002E-2</v>
      </c>
      <c r="X3283">
        <v>0.99702219999999997</v>
      </c>
      <c r="Y3283">
        <v>-0.1206974</v>
      </c>
      <c r="Z3283">
        <v>4.1285130000000003E-2</v>
      </c>
      <c r="AA3283">
        <v>0.99183049999999995</v>
      </c>
      <c r="AB3283">
        <v>28</v>
      </c>
      <c r="AC3283">
        <v>2.1930000000000098</v>
      </c>
      <c r="AD3283">
        <v>-1.11131048854</v>
      </c>
      <c r="AE3283">
        <v>-26.436599999999999</v>
      </c>
      <c r="AF3283">
        <v>-3.2304998315897602</v>
      </c>
      <c r="AG3283">
        <v>-1.11131048854</v>
      </c>
      <c r="AH3283">
        <v>26.283139169598599</v>
      </c>
      <c r="AI3283">
        <v>92.403090278418006</v>
      </c>
      <c r="AJ3283">
        <v>97.007164453161707</v>
      </c>
      <c r="AK3283">
        <v>26.504236355200501</v>
      </c>
      <c r="AL3283">
        <v>87.6094978269075</v>
      </c>
      <c r="AM3283">
        <v>86.277863405678602</v>
      </c>
      <c r="AN3283">
        <v>0.99999999495824499</v>
      </c>
    </row>
    <row r="3284" spans="1:40" x14ac:dyDescent="0.25">
      <c r="A3284" t="str">
        <f>"20190312154620405"</f>
        <v>20190312154620405</v>
      </c>
      <c r="B3284" t="str">
        <f>"1552376780400737"</f>
        <v>1552376780400737</v>
      </c>
      <c r="C3284" t="s">
        <v>40</v>
      </c>
      <c r="D3284">
        <v>4.6881250000000003</v>
      </c>
      <c r="E3284">
        <v>0.49971379999999999</v>
      </c>
      <c r="F3284" t="s">
        <v>52</v>
      </c>
      <c r="G3284">
        <v>-189.2869</v>
      </c>
      <c r="H3284" s="1">
        <v>-1.038823E-5</v>
      </c>
      <c r="I3284">
        <v>148.25790000000001</v>
      </c>
      <c r="J3284">
        <v>-191.52330000000001</v>
      </c>
      <c r="K3284">
        <v>1.1112949999999999</v>
      </c>
      <c r="L3284">
        <v>174.8175</v>
      </c>
      <c r="M3284">
        <v>-3.773083E-2</v>
      </c>
      <c r="N3284">
        <v>0</v>
      </c>
      <c r="O3284">
        <v>-0.99919709999999995</v>
      </c>
      <c r="P3284">
        <v>-0.1036697</v>
      </c>
      <c r="Q3284">
        <v>2.809269E-2</v>
      </c>
      <c r="R3284">
        <v>-0.99421499999999996</v>
      </c>
      <c r="S3284">
        <v>0.25308229999999998</v>
      </c>
      <c r="T3284">
        <v>-0.1262482</v>
      </c>
      <c r="U3284">
        <v>-3.047806</v>
      </c>
      <c r="V3284">
        <v>6.5941910000000006E-2</v>
      </c>
      <c r="W3284">
        <v>4.1761949999999999E-2</v>
      </c>
      <c r="X3284">
        <v>0.99694910000000003</v>
      </c>
      <c r="Y3284">
        <v>-0.1202285</v>
      </c>
      <c r="Z3284">
        <v>4.1122180000000001E-2</v>
      </c>
      <c r="AA3284">
        <v>0.99189419999999995</v>
      </c>
      <c r="AB3284">
        <v>28</v>
      </c>
      <c r="AC3284">
        <v>2.2364000000000002</v>
      </c>
      <c r="AD3284">
        <v>-1.1113053882299999</v>
      </c>
      <c r="AE3284">
        <v>-26.5595999999999</v>
      </c>
      <c r="AF3284">
        <v>-3.2313964502002901</v>
      </c>
      <c r="AG3284">
        <v>-1.1113053882299999</v>
      </c>
      <c r="AH3284">
        <v>26.4103831991882</v>
      </c>
      <c r="AI3284">
        <v>92.391675920088602</v>
      </c>
      <c r="AJ3284">
        <v>96.975653963207506</v>
      </c>
      <c r="AK3284">
        <v>26.630532540905701</v>
      </c>
      <c r="AL3284">
        <v>87.606520332805601</v>
      </c>
      <c r="AM3284">
        <v>86.215756951070105</v>
      </c>
      <c r="AN3284">
        <v>0.99999995197652902</v>
      </c>
    </row>
    <row r="3285" spans="1:40" x14ac:dyDescent="0.25">
      <c r="A3285" t="str">
        <f>"20190312154620428"</f>
        <v>20190312154620428</v>
      </c>
      <c r="B3285" t="str">
        <f>"1552376780420257"</f>
        <v>1552376780420257</v>
      </c>
      <c r="C3285" t="s">
        <v>40</v>
      </c>
      <c r="D3285">
        <v>4.6931940000000001</v>
      </c>
      <c r="E3285">
        <v>0.51776990000000001</v>
      </c>
      <c r="F3285" t="s">
        <v>52</v>
      </c>
      <c r="G3285">
        <v>-193.57089999999999</v>
      </c>
      <c r="H3285" s="1">
        <v>-1.313412E-5</v>
      </c>
      <c r="I3285">
        <v>154.54140000000001</v>
      </c>
      <c r="J3285">
        <v>-191.5316</v>
      </c>
      <c r="K3285">
        <v>1.111294</v>
      </c>
      <c r="L3285">
        <v>174.5444</v>
      </c>
      <c r="M3285">
        <v>-3.5913769999999998E-2</v>
      </c>
      <c r="N3285">
        <v>0</v>
      </c>
      <c r="O3285">
        <v>-0.99926420000000005</v>
      </c>
      <c r="P3285">
        <v>-0.10287</v>
      </c>
      <c r="Q3285">
        <v>2.8316790000000001E-2</v>
      </c>
      <c r="R3285">
        <v>-0.99429210000000001</v>
      </c>
      <c r="S3285">
        <v>-0.30200199999999999</v>
      </c>
      <c r="T3285">
        <v>-0.16391149999999999</v>
      </c>
      <c r="U3285">
        <v>-2.9906009999999998</v>
      </c>
      <c r="V3285">
        <v>6.6953120000000005E-2</v>
      </c>
      <c r="W3285">
        <v>4.1986349999999999E-2</v>
      </c>
      <c r="X3285">
        <v>0.99687230000000004</v>
      </c>
      <c r="Y3285">
        <v>6.4523349999999993E-2</v>
      </c>
      <c r="Z3285">
        <v>5.4478760000000001E-2</v>
      </c>
      <c r="AA3285">
        <v>0.99642799999999998</v>
      </c>
      <c r="AB3285">
        <v>28</v>
      </c>
      <c r="AC3285">
        <v>-2.0392999999999901</v>
      </c>
      <c r="AD3285">
        <v>-1.11130713412</v>
      </c>
      <c r="AE3285">
        <v>-20.002999999999901</v>
      </c>
      <c r="AF3285">
        <v>1.3155172527408401</v>
      </c>
      <c r="AG3285">
        <v>-1.11130713412</v>
      </c>
      <c r="AH3285">
        <v>20.002235700394699</v>
      </c>
      <c r="AI3285">
        <v>93.173193845537099</v>
      </c>
      <c r="AJ3285">
        <v>86.237161050877404</v>
      </c>
      <c r="AK3285">
        <v>20.076230278684001</v>
      </c>
      <c r="AL3285">
        <v>87.593651935327401</v>
      </c>
      <c r="AM3285">
        <v>86.157603500271094</v>
      </c>
      <c r="AN3285">
        <v>0.99999997818567299</v>
      </c>
    </row>
    <row r="3286" spans="1:40" x14ac:dyDescent="0.25">
      <c r="A3286" t="str">
        <f>"20190312154620450"</f>
        <v>20190312154620450</v>
      </c>
      <c r="B3286" t="str">
        <f>"1552376780440752"</f>
        <v>1552376780440752</v>
      </c>
      <c r="C3286" t="s">
        <v>40</v>
      </c>
      <c r="D3286">
        <v>4.7411940000000001</v>
      </c>
      <c r="E3286">
        <v>0.52694609999999997</v>
      </c>
      <c r="F3286" t="s">
        <v>52</v>
      </c>
      <c r="G3286">
        <v>-194.91419999999999</v>
      </c>
      <c r="H3286" s="1">
        <v>-1.2516569999999999E-5</v>
      </c>
      <c r="I3286">
        <v>151.8304</v>
      </c>
      <c r="J3286">
        <v>-191.5395</v>
      </c>
      <c r="K3286">
        <v>1.1112919999999999</v>
      </c>
      <c r="L3286">
        <v>174.2689</v>
      </c>
      <c r="M3286">
        <v>-3.408013E-2</v>
      </c>
      <c r="N3286">
        <v>0</v>
      </c>
      <c r="O3286">
        <v>-0.9993282</v>
      </c>
      <c r="P3286">
        <v>-0.1023351</v>
      </c>
      <c r="Q3286">
        <v>2.8068929999999999E-2</v>
      </c>
      <c r="R3286">
        <v>-0.99435419999999997</v>
      </c>
      <c r="S3286">
        <v>-0.44311519999999999</v>
      </c>
      <c r="T3286">
        <v>-0.14558099999999999</v>
      </c>
      <c r="U3286">
        <v>-2.9755250000000002</v>
      </c>
      <c r="V3286">
        <v>6.8247500000000003E-2</v>
      </c>
      <c r="W3286">
        <v>4.1739560000000002E-2</v>
      </c>
      <c r="X3286">
        <v>0.99679490000000004</v>
      </c>
      <c r="Y3286">
        <v>0.113326</v>
      </c>
      <c r="Z3286">
        <v>4.8401600000000003E-2</v>
      </c>
      <c r="AA3286">
        <v>0.99237819999999999</v>
      </c>
      <c r="AB3286">
        <v>28</v>
      </c>
      <c r="AC3286">
        <v>-3.37469999999999</v>
      </c>
      <c r="AD3286">
        <v>-1.11130451657</v>
      </c>
      <c r="AE3286">
        <v>-22.438500000000001</v>
      </c>
      <c r="AF3286">
        <v>2.6017222290267301</v>
      </c>
      <c r="AG3286">
        <v>-1.11130451657</v>
      </c>
      <c r="AH3286">
        <v>22.486546798497798</v>
      </c>
      <c r="AI3286">
        <v>92.810585388184606</v>
      </c>
      <c r="AJ3286">
        <v>83.400150873493502</v>
      </c>
      <c r="AK3286">
        <v>22.663820137094898</v>
      </c>
      <c r="AL3286">
        <v>87.607804401667707</v>
      </c>
      <c r="AM3286">
        <v>86.083245693979705</v>
      </c>
      <c r="AN3286">
        <v>0.99999999239562598</v>
      </c>
    </row>
    <row r="3287" spans="1:40" x14ac:dyDescent="0.25">
      <c r="A3287" t="str">
        <f>"20190312154620475"</f>
        <v>20190312154620475</v>
      </c>
      <c r="B3287" t="str">
        <f>"1552376780460272"</f>
        <v>1552376780460272</v>
      </c>
      <c r="C3287" t="s">
        <v>40</v>
      </c>
      <c r="D3287">
        <v>4.6568959999999997</v>
      </c>
      <c r="E3287">
        <v>0.53101330000000002</v>
      </c>
      <c r="F3287" t="s">
        <v>52</v>
      </c>
      <c r="G3287">
        <v>-195.3235</v>
      </c>
      <c r="H3287" s="1">
        <v>-1.275678E-5</v>
      </c>
      <c r="I3287">
        <v>152.4239</v>
      </c>
      <c r="J3287">
        <v>-191.54750000000001</v>
      </c>
      <c r="K3287">
        <v>1.111289</v>
      </c>
      <c r="L3287">
        <v>173.9693</v>
      </c>
      <c r="M3287">
        <v>-3.2086669999999998E-2</v>
      </c>
      <c r="N3287">
        <v>0</v>
      </c>
      <c r="O3287">
        <v>-0.99939409999999895</v>
      </c>
      <c r="P3287">
        <v>-0.1019491</v>
      </c>
      <c r="Q3287">
        <v>2.8514589999999999E-2</v>
      </c>
      <c r="R3287">
        <v>-0.99438070000000001</v>
      </c>
      <c r="S3287">
        <v>-0.5141907</v>
      </c>
      <c r="T3287">
        <v>-0.1510088</v>
      </c>
      <c r="U3287">
        <v>-2.9683839999999999</v>
      </c>
      <c r="V3287">
        <v>6.9848779999999999E-2</v>
      </c>
      <c r="W3287">
        <v>4.2186439999999999E-2</v>
      </c>
      <c r="X3287">
        <v>0.99666520000000003</v>
      </c>
      <c r="Y3287">
        <v>0.138759299999999</v>
      </c>
      <c r="Z3287">
        <v>5.0149399999999997E-2</v>
      </c>
      <c r="AA3287">
        <v>0.98905560000000003</v>
      </c>
      <c r="AB3287">
        <v>28</v>
      </c>
      <c r="AC3287">
        <v>-3.7759999999999798</v>
      </c>
      <c r="AD3287">
        <v>-1.1113017567800001</v>
      </c>
      <c r="AE3287">
        <v>-21.545400000000001</v>
      </c>
      <c r="AF3287">
        <v>3.0747359226257598</v>
      </c>
      <c r="AG3287">
        <v>-1.1113017567800001</v>
      </c>
      <c r="AH3287">
        <v>21.5997218345588</v>
      </c>
      <c r="AI3287">
        <v>92.915916474664201</v>
      </c>
      <c r="AJ3287">
        <v>81.898335318265893</v>
      </c>
      <c r="AK3287">
        <v>21.8457541851689</v>
      </c>
      <c r="AL3287">
        <v>87.582177591710902</v>
      </c>
      <c r="AM3287">
        <v>85.991123741339507</v>
      </c>
      <c r="AN3287">
        <v>1.0000000343391999</v>
      </c>
    </row>
    <row r="3288" spans="1:40" x14ac:dyDescent="0.25">
      <c r="A3288" t="str">
        <f>"20190312154620518"</f>
        <v>20190312154620518</v>
      </c>
      <c r="B3288" t="str">
        <f>"1552376780511025"</f>
        <v>1552376780511025</v>
      </c>
      <c r="C3288" t="s">
        <v>40</v>
      </c>
      <c r="D3288">
        <v>4.6620229999999996</v>
      </c>
      <c r="E3288">
        <v>0.53653509999999904</v>
      </c>
      <c r="F3288" t="s">
        <v>52</v>
      </c>
      <c r="G3288">
        <v>-195.56299999999999</v>
      </c>
      <c r="H3288" s="1">
        <v>-1.270183E-5</v>
      </c>
      <c r="I3288">
        <v>152.12110000000001</v>
      </c>
      <c r="J3288">
        <v>-191.56030000000001</v>
      </c>
      <c r="K3288">
        <v>1.11127</v>
      </c>
      <c r="L3288">
        <v>173.43209999999999</v>
      </c>
      <c r="M3288">
        <v>-2.8528029999999999E-2</v>
      </c>
      <c r="N3288">
        <v>0</v>
      </c>
      <c r="O3288">
        <v>-0.99950190000000005</v>
      </c>
      <c r="P3288">
        <v>-0.1010389</v>
      </c>
      <c r="Q3288">
        <v>2.796568E-2</v>
      </c>
      <c r="R3288">
        <v>-0.99448930000000002</v>
      </c>
      <c r="S3288">
        <v>-0.54502869999999903</v>
      </c>
      <c r="T3288">
        <v>-0.15083469999999999</v>
      </c>
      <c r="U3288">
        <v>-2.965408</v>
      </c>
      <c r="V3288">
        <v>7.2488810000000001E-2</v>
      </c>
      <c r="W3288">
        <v>4.1638559999999998E-2</v>
      </c>
      <c r="X3288">
        <v>0.99649969999999999</v>
      </c>
      <c r="Y3288">
        <v>0.15240689999999901</v>
      </c>
      <c r="Z3288">
        <v>5.0053309999999997E-2</v>
      </c>
      <c r="AA3288">
        <v>0.98704950000000002</v>
      </c>
      <c r="AB3288">
        <v>28</v>
      </c>
      <c r="AC3288">
        <v>-4.0026999999999697</v>
      </c>
      <c r="AD3288">
        <v>-1.11128270183</v>
      </c>
      <c r="AE3288">
        <v>-21.3109999999999</v>
      </c>
      <c r="AF3288">
        <v>3.3841657056590901</v>
      </c>
      <c r="AG3288">
        <v>-1.11128270183</v>
      </c>
      <c r="AH3288">
        <v>21.360420156402199</v>
      </c>
      <c r="AI3288">
        <v>92.941523773278107</v>
      </c>
      <c r="AJ3288">
        <v>80.997363664614596</v>
      </c>
      <c r="AK3288">
        <v>21.655370604650901</v>
      </c>
      <c r="AL3288">
        <v>87.613596387819499</v>
      </c>
      <c r="AM3288">
        <v>85.839436615618496</v>
      </c>
      <c r="AN3288">
        <v>1.0000000246770799</v>
      </c>
    </row>
    <row r="3289" spans="1:40" x14ac:dyDescent="0.25">
      <c r="A3289" t="str">
        <f>"20190312154620541"</f>
        <v>20190312154620541</v>
      </c>
      <c r="B3289" t="str">
        <f>"1552376780530544"</f>
        <v>1552376780530544</v>
      </c>
      <c r="C3289" t="s">
        <v>40</v>
      </c>
      <c r="D3289">
        <v>4.6936470000000003</v>
      </c>
      <c r="E3289">
        <v>0.53780439999999996</v>
      </c>
      <c r="F3289" t="s">
        <v>52</v>
      </c>
      <c r="G3289">
        <v>-195.80699999999999</v>
      </c>
      <c r="H3289" s="1">
        <v>-1.268506E-5</v>
      </c>
      <c r="I3289">
        <v>151.96850000000001</v>
      </c>
      <c r="J3289">
        <v>-191.56630000000001</v>
      </c>
      <c r="K3289">
        <v>1.1112569999999999</v>
      </c>
      <c r="L3289">
        <v>173.1499</v>
      </c>
      <c r="M3289">
        <v>-2.6675359999999999E-2</v>
      </c>
      <c r="N3289">
        <v>0</v>
      </c>
      <c r="O3289">
        <v>-0.99955329999999998</v>
      </c>
      <c r="P3289">
        <v>-0.10048650000000001</v>
      </c>
      <c r="Q3289">
        <v>2.7641570000000001E-2</v>
      </c>
      <c r="R3289">
        <v>-0.99455439999999995</v>
      </c>
      <c r="S3289">
        <v>-0.5859375</v>
      </c>
      <c r="T3289">
        <v>-0.15332789999999999</v>
      </c>
      <c r="U3289">
        <v>-2.9614259999999999</v>
      </c>
      <c r="V3289">
        <v>7.3784909999999995E-2</v>
      </c>
      <c r="W3289">
        <v>4.1313639999999999E-2</v>
      </c>
      <c r="X3289">
        <v>0.99641809999999997</v>
      </c>
      <c r="Y3289">
        <v>0.16760369999999999</v>
      </c>
      <c r="Z3289">
        <v>5.0821310000000001E-2</v>
      </c>
      <c r="AA3289">
        <v>0.98454359999999996</v>
      </c>
      <c r="AB3289">
        <v>28</v>
      </c>
      <c r="AC3289">
        <v>-4.2407000000000004</v>
      </c>
      <c r="AD3289">
        <v>-1.1112696850599999</v>
      </c>
      <c r="AE3289">
        <v>-21.1814</v>
      </c>
      <c r="AF3289">
        <v>3.6644202274658499</v>
      </c>
      <c r="AG3289">
        <v>-1.1112696850599999</v>
      </c>
      <c r="AH3289">
        <v>21.230807713129298</v>
      </c>
      <c r="AI3289">
        <v>92.9526804473862</v>
      </c>
      <c r="AJ3289">
        <v>80.207277447386801</v>
      </c>
      <c r="AK3289">
        <v>21.5733653394241</v>
      </c>
      <c r="AL3289">
        <v>87.632228977897896</v>
      </c>
      <c r="AM3289">
        <v>85.764968458322898</v>
      </c>
      <c r="AN3289">
        <v>1.0000000299006799</v>
      </c>
    </row>
    <row r="3290" spans="1:40" x14ac:dyDescent="0.25">
      <c r="A3290" t="str">
        <f>"20190312154620562"</f>
        <v>20190312154620562</v>
      </c>
      <c r="B3290" t="str">
        <f>"1552376780550065"</f>
        <v>1552376780550065</v>
      </c>
      <c r="C3290" t="s">
        <v>40</v>
      </c>
      <c r="D3290">
        <v>4.7076060000000002</v>
      </c>
      <c r="E3290">
        <v>0.53875669999999898</v>
      </c>
      <c r="F3290" t="s">
        <v>52</v>
      </c>
      <c r="G3290">
        <v>-195.78829999999999</v>
      </c>
      <c r="H3290" s="1">
        <v>-1.2719230000000001E-5</v>
      </c>
      <c r="I3290">
        <v>152.11089999999999</v>
      </c>
      <c r="J3290">
        <v>-191.57130000000001</v>
      </c>
      <c r="K3290">
        <v>1.111235</v>
      </c>
      <c r="L3290">
        <v>172.89230000000001</v>
      </c>
      <c r="M3290">
        <v>-2.5008079999999999E-2</v>
      </c>
      <c r="N3290">
        <v>0</v>
      </c>
      <c r="O3290">
        <v>-0.9995965</v>
      </c>
      <c r="P3290">
        <v>-9.9989869999999995E-2</v>
      </c>
      <c r="Q3290">
        <v>2.7506590000000001E-2</v>
      </c>
      <c r="R3290">
        <v>-0.9946083</v>
      </c>
      <c r="S3290">
        <v>-0.59414669999999903</v>
      </c>
      <c r="T3290">
        <v>-0.15638450000000001</v>
      </c>
      <c r="U3290">
        <v>-2.9607389999999998</v>
      </c>
      <c r="V3290">
        <v>7.4951939999999995E-2</v>
      </c>
      <c r="W3290">
        <v>4.1176419999999998E-2</v>
      </c>
      <c r="X3290">
        <v>0.99633660000000002</v>
      </c>
      <c r="Y3290">
        <v>0.17190549999999999</v>
      </c>
      <c r="Z3290">
        <v>5.1813579999999998E-2</v>
      </c>
      <c r="AA3290">
        <v>0.98374989999999995</v>
      </c>
      <c r="AB3290">
        <v>28</v>
      </c>
      <c r="AC3290">
        <v>-4.2169999999999801</v>
      </c>
      <c r="AD3290">
        <v>-1.1112477192300001</v>
      </c>
      <c r="AE3290">
        <v>-20.781400000000001</v>
      </c>
      <c r="AF3290">
        <v>3.6858084997975298</v>
      </c>
      <c r="AG3290">
        <v>-1.1112477192300001</v>
      </c>
      <c r="AH3290">
        <v>20.823181421678001</v>
      </c>
      <c r="AI3290">
        <v>93.008071559929903</v>
      </c>
      <c r="AJ3290">
        <v>79.962324735065096</v>
      </c>
      <c r="AK3290">
        <v>21.1760463805401</v>
      </c>
      <c r="AL3290">
        <v>87.640097625178996</v>
      </c>
      <c r="AM3290">
        <v>85.697883386718502</v>
      </c>
      <c r="AN3290">
        <v>0.999999955686669</v>
      </c>
    </row>
    <row r="3291" spans="1:40" x14ac:dyDescent="0.25">
      <c r="A3291" t="str">
        <f>"20190312154620585"</f>
        <v>20190312154620585</v>
      </c>
      <c r="B3291" t="str">
        <f>"1552376780580321"</f>
        <v>1552376780580321</v>
      </c>
      <c r="C3291" t="s">
        <v>40</v>
      </c>
      <c r="D3291">
        <v>4.6763510000000004</v>
      </c>
      <c r="E3291">
        <v>0.5398636</v>
      </c>
      <c r="F3291" t="s">
        <v>52</v>
      </c>
      <c r="G3291">
        <v>-195.77350000000001</v>
      </c>
      <c r="H3291" s="1">
        <v>-1.273363E-5</v>
      </c>
      <c r="I3291">
        <v>152.17330000000001</v>
      </c>
      <c r="J3291">
        <v>-191.5761</v>
      </c>
      <c r="K3291">
        <v>1.1112070000000001</v>
      </c>
      <c r="L3291">
        <v>172.62219999999999</v>
      </c>
      <c r="M3291">
        <v>-2.3298019999999999E-2</v>
      </c>
      <c r="N3291">
        <v>0</v>
      </c>
      <c r="O3291">
        <v>-0.99963800000000003</v>
      </c>
      <c r="P3291">
        <v>-9.9821530000000006E-2</v>
      </c>
      <c r="Q3291">
        <v>2.774507E-2</v>
      </c>
      <c r="R3291">
        <v>-0.99461880000000003</v>
      </c>
      <c r="S3291">
        <v>-0.60040280000000001</v>
      </c>
      <c r="T3291">
        <v>-0.15877339999999901</v>
      </c>
      <c r="U3291">
        <v>-2.9602970000000002</v>
      </c>
      <c r="V3291">
        <v>7.6490559999999999E-2</v>
      </c>
      <c r="W3291">
        <v>4.1410349999999999E-2</v>
      </c>
      <c r="X3291">
        <v>0.99621000000000004</v>
      </c>
      <c r="Y3291">
        <v>0.1756074</v>
      </c>
      <c r="Z3291">
        <v>5.2585680000000003E-2</v>
      </c>
      <c r="AA3291">
        <v>0.98305480000000001</v>
      </c>
      <c r="AB3291">
        <v>27</v>
      </c>
      <c r="AC3291">
        <v>-4.1974000000000098</v>
      </c>
      <c r="AD3291">
        <v>-1.11121973362999</v>
      </c>
      <c r="AE3291">
        <v>-20.448899999999899</v>
      </c>
      <c r="AF3291">
        <v>3.7092878511407199</v>
      </c>
      <c r="AG3291">
        <v>-1.11121973362999</v>
      </c>
      <c r="AH3291">
        <v>20.483107682270902</v>
      </c>
      <c r="AI3291">
        <v>93.055680427744093</v>
      </c>
      <c r="AJ3291">
        <v>79.735540255829505</v>
      </c>
      <c r="AK3291">
        <v>20.845894703334999</v>
      </c>
      <c r="AL3291">
        <v>87.626683070767001</v>
      </c>
      <c r="AM3291">
        <v>85.609355237811101</v>
      </c>
      <c r="AN3291">
        <v>0.99999999347811797</v>
      </c>
    </row>
    <row r="3292" spans="1:40" x14ac:dyDescent="0.25">
      <c r="A3292" t="str">
        <f>"20190312154620606"</f>
        <v>20190312154620606</v>
      </c>
      <c r="B3292" t="str">
        <f>"1552376780600817"</f>
        <v>1552376780600817</v>
      </c>
      <c r="C3292" t="s">
        <v>40</v>
      </c>
      <c r="D3292">
        <v>4.683052</v>
      </c>
      <c r="E3292">
        <v>0.54046260000000002</v>
      </c>
      <c r="F3292" t="s">
        <v>52</v>
      </c>
      <c r="G3292">
        <v>-195.7955</v>
      </c>
      <c r="H3292" s="1">
        <v>-1.2717179999999999E-5</v>
      </c>
      <c r="I3292">
        <v>152.1002</v>
      </c>
      <c r="J3292">
        <v>-191.5806</v>
      </c>
      <c r="K3292">
        <v>1.11117</v>
      </c>
      <c r="L3292">
        <v>172.3476</v>
      </c>
      <c r="M3292">
        <v>-2.160598E-2</v>
      </c>
      <c r="N3292">
        <v>0</v>
      </c>
      <c r="O3292">
        <v>-0.9996758</v>
      </c>
      <c r="P3292">
        <v>-9.9787169999999994E-2</v>
      </c>
      <c r="Q3292">
        <v>2.7693010000000001E-2</v>
      </c>
      <c r="R3292">
        <v>-0.99462379999999995</v>
      </c>
      <c r="S3292">
        <v>-0.60850519999999997</v>
      </c>
      <c r="T3292">
        <v>-0.1602584</v>
      </c>
      <c r="U3292">
        <v>-2.9596559999999998</v>
      </c>
      <c r="V3292">
        <v>7.8146699999999999E-2</v>
      </c>
      <c r="W3292">
        <v>4.1353170000000002E-2</v>
      </c>
      <c r="X3292">
        <v>0.99608390000000002</v>
      </c>
      <c r="Y3292">
        <v>0.17989189999999999</v>
      </c>
      <c r="Z3292">
        <v>5.3055320000000003E-2</v>
      </c>
      <c r="AA3292">
        <v>0.98225459999999998</v>
      </c>
      <c r="AB3292">
        <v>27</v>
      </c>
      <c r="AC3292">
        <v>-4.2149000000000001</v>
      </c>
      <c r="AD3292">
        <v>-1.1111827171799999</v>
      </c>
      <c r="AE3292">
        <v>-20.247399999999999</v>
      </c>
      <c r="AF3292">
        <v>3.7655411248116</v>
      </c>
      <c r="AG3292">
        <v>-1.1111827171799999</v>
      </c>
      <c r="AH3292">
        <v>20.275218538175402</v>
      </c>
      <c r="AI3292">
        <v>93.084317809291903</v>
      </c>
      <c r="AJ3292">
        <v>79.478823972885607</v>
      </c>
      <c r="AK3292">
        <v>20.6518404449671</v>
      </c>
      <c r="AL3292">
        <v>87.629962218531205</v>
      </c>
      <c r="AM3292">
        <v>85.514109251437304</v>
      </c>
      <c r="AN3292">
        <v>1.0000000636145701</v>
      </c>
    </row>
    <row r="3293" spans="1:40" x14ac:dyDescent="0.25">
      <c r="A3293" t="str">
        <f>"20190312154620630"</f>
        <v>20190312154620630</v>
      </c>
      <c r="B3293" t="str">
        <f>"1552376780620337"</f>
        <v>1552376780620337</v>
      </c>
      <c r="C3293" t="s">
        <v>40</v>
      </c>
      <c r="D3293">
        <v>4.6482070000000002</v>
      </c>
      <c r="E3293">
        <v>0.54086880000000004</v>
      </c>
      <c r="F3293" t="s">
        <v>52</v>
      </c>
      <c r="G3293">
        <v>-195.7834</v>
      </c>
      <c r="H3293" s="1">
        <v>-1.2704319999999999E-5</v>
      </c>
      <c r="I3293">
        <v>152.05330000000001</v>
      </c>
      <c r="J3293">
        <v>-191.5848</v>
      </c>
      <c r="K3293">
        <v>1.1111420000000001</v>
      </c>
      <c r="L3293">
        <v>172.0633</v>
      </c>
      <c r="M3293">
        <v>-1.9897439999999999E-2</v>
      </c>
      <c r="N3293">
        <v>0</v>
      </c>
      <c r="O3293">
        <v>-0.99971149999999998</v>
      </c>
      <c r="P3293">
        <v>-9.9923730000000002E-2</v>
      </c>
      <c r="Q3293">
        <v>2.7915260000000001E-2</v>
      </c>
      <c r="R3293">
        <v>-0.99460369999999998</v>
      </c>
      <c r="S3293">
        <v>-0.61283869999999996</v>
      </c>
      <c r="T3293">
        <v>-0.162027799999999</v>
      </c>
      <c r="U3293">
        <v>-2.9592290000000001</v>
      </c>
      <c r="V3293">
        <v>7.9989749999999998E-2</v>
      </c>
      <c r="W3293">
        <v>4.1569000000000002E-2</v>
      </c>
      <c r="X3293">
        <v>0.99592849999999999</v>
      </c>
      <c r="Y3293">
        <v>0.18297350000000001</v>
      </c>
      <c r="Z3293">
        <v>5.3626630000000002E-2</v>
      </c>
      <c r="AA3293">
        <v>0.98165420000000003</v>
      </c>
      <c r="AB3293">
        <v>27</v>
      </c>
      <c r="AC3293">
        <v>-4.1985999999999901</v>
      </c>
      <c r="AD3293">
        <v>-1.1111547043200001</v>
      </c>
      <c r="AE3293">
        <v>-20.009999999999899</v>
      </c>
      <c r="AF3293">
        <v>3.78839563366639</v>
      </c>
      <c r="AG3293">
        <v>-1.1111547043200001</v>
      </c>
      <c r="AH3293">
        <v>20.030426054201101</v>
      </c>
      <c r="AI3293">
        <v>93.119935164508703</v>
      </c>
      <c r="AJ3293">
        <v>79.290037461761003</v>
      </c>
      <c r="AK3293">
        <v>20.4157922737995</v>
      </c>
      <c r="AL3293">
        <v>87.6175851804297</v>
      </c>
      <c r="AM3293">
        <v>85.408045616474197</v>
      </c>
      <c r="AN3293">
        <v>0.99999995948915499</v>
      </c>
    </row>
    <row r="3294" spans="1:40" x14ac:dyDescent="0.25">
      <c r="A3294" t="str">
        <f>"20190312154620651"</f>
        <v>20190312154620651</v>
      </c>
      <c r="B3294" t="str">
        <f>"1552376780640833"</f>
        <v>1552376780640833</v>
      </c>
      <c r="C3294" t="s">
        <v>40</v>
      </c>
      <c r="D3294">
        <v>4.6448080000000003</v>
      </c>
      <c r="E3294">
        <v>0.54135659999999997</v>
      </c>
      <c r="F3294" t="s">
        <v>52</v>
      </c>
      <c r="G3294">
        <v>-195.79320000000001</v>
      </c>
      <c r="H3294" s="1">
        <v>-1.265565E-5</v>
      </c>
      <c r="I3294">
        <v>151.85640000000001</v>
      </c>
      <c r="J3294">
        <v>-191.5882</v>
      </c>
      <c r="K3294">
        <v>1.1111180000000001</v>
      </c>
      <c r="L3294">
        <v>171.80860000000001</v>
      </c>
      <c r="M3294">
        <v>-1.840746E-2</v>
      </c>
      <c r="N3294">
        <v>0</v>
      </c>
      <c r="O3294">
        <v>-0.99974010000000002</v>
      </c>
      <c r="P3294">
        <v>-0.1002899</v>
      </c>
      <c r="Q3294">
        <v>2.8092809999999999E-2</v>
      </c>
      <c r="R3294">
        <v>-0.99456169999999999</v>
      </c>
      <c r="S3294">
        <v>-0.61625669999999899</v>
      </c>
      <c r="T3294">
        <v>-0.16271040000000001</v>
      </c>
      <c r="U3294">
        <v>-2.9589690000000002</v>
      </c>
      <c r="V3294">
        <v>8.1844310000000003E-2</v>
      </c>
      <c r="W3294">
        <v>4.1741460000000001E-2</v>
      </c>
      <c r="X3294">
        <v>0.99577059999999995</v>
      </c>
      <c r="Y3294">
        <v>0.18553990000000001</v>
      </c>
      <c r="Z3294">
        <v>5.3839499999999998E-2</v>
      </c>
      <c r="AA3294">
        <v>0.9811607</v>
      </c>
      <c r="AB3294">
        <v>27</v>
      </c>
      <c r="AC3294">
        <v>-4.2050000000000098</v>
      </c>
      <c r="AD3294">
        <v>-1.11113065565</v>
      </c>
      <c r="AE3294">
        <v>-19.952200000000001</v>
      </c>
      <c r="AF3294">
        <v>3.82562489664542</v>
      </c>
      <c r="AG3294">
        <v>-1.11113065565</v>
      </c>
      <c r="AH3294">
        <v>19.966938579929899</v>
      </c>
      <c r="AI3294">
        <v>93.128353438318896</v>
      </c>
      <c r="AJ3294">
        <v>79.1536919832932</v>
      </c>
      <c r="AK3294">
        <v>20.360467908141299</v>
      </c>
      <c r="AL3294">
        <v>87.607695377220494</v>
      </c>
      <c r="AM3294">
        <v>85.301310847111296</v>
      </c>
      <c r="AN3294">
        <v>0.99999996419333304</v>
      </c>
    </row>
    <row r="3295" spans="1:40" x14ac:dyDescent="0.25">
      <c r="A3295" t="str">
        <f>"20190312154620675"</f>
        <v>20190312154620675</v>
      </c>
      <c r="B3295" t="str">
        <f>"1552376780670113"</f>
        <v>1552376780670113</v>
      </c>
      <c r="C3295" t="s">
        <v>40</v>
      </c>
      <c r="D3295">
        <v>4.5744809999999996</v>
      </c>
      <c r="E3295">
        <v>0.54198059999999904</v>
      </c>
      <c r="F3295" t="s">
        <v>52</v>
      </c>
      <c r="G3295">
        <v>-195.8032</v>
      </c>
      <c r="H3295" s="1">
        <v>-1.26204E-5</v>
      </c>
      <c r="I3295">
        <v>151.71279999999999</v>
      </c>
      <c r="J3295">
        <v>-191.5917</v>
      </c>
      <c r="K3295">
        <v>1.1110799999999901</v>
      </c>
      <c r="L3295">
        <v>171.5129</v>
      </c>
      <c r="M3295">
        <v>-1.6733390000000001E-2</v>
      </c>
      <c r="N3295">
        <v>0</v>
      </c>
      <c r="O3295">
        <v>-0.99976960000000004</v>
      </c>
      <c r="P3295">
        <v>-0.1001712</v>
      </c>
      <c r="Q3295">
        <v>2.8592650000000001E-2</v>
      </c>
      <c r="R3295">
        <v>-0.99455959999999999</v>
      </c>
      <c r="S3295">
        <v>-0.620529199999999</v>
      </c>
      <c r="T3295">
        <v>-0.16357849999999999</v>
      </c>
      <c r="U3295">
        <v>-2.958466</v>
      </c>
      <c r="V3295">
        <v>8.3396059999999994E-2</v>
      </c>
      <c r="W3295">
        <v>4.2233609999999998E-2</v>
      </c>
      <c r="X3295">
        <v>0.99562110000000004</v>
      </c>
      <c r="Y3295">
        <v>0.1885722</v>
      </c>
      <c r="Z3295">
        <v>5.4113620000000001E-2</v>
      </c>
      <c r="AA3295">
        <v>0.98056730000000003</v>
      </c>
      <c r="AB3295">
        <v>27</v>
      </c>
      <c r="AC3295">
        <v>-4.2115</v>
      </c>
      <c r="AD3295">
        <v>-1.11109262039999</v>
      </c>
      <c r="AE3295">
        <v>-19.8001</v>
      </c>
      <c r="AF3295">
        <v>3.8679048346097802</v>
      </c>
      <c r="AG3295">
        <v>-1.11109262039999</v>
      </c>
      <c r="AH3295">
        <v>19.808131254069199</v>
      </c>
      <c r="AI3295">
        <v>93.151123165266</v>
      </c>
      <c r="AJ3295">
        <v>78.950969263688506</v>
      </c>
      <c r="AK3295">
        <v>20.212799865410499</v>
      </c>
      <c r="AL3295">
        <v>87.579472401856606</v>
      </c>
      <c r="AM3295">
        <v>85.211919456797105</v>
      </c>
      <c r="AN3295">
        <v>0.99999997770118199</v>
      </c>
    </row>
    <row r="3296" spans="1:40" x14ac:dyDescent="0.25">
      <c r="A3296" t="str">
        <f>"20190312154620699"</f>
        <v>20190312154620699</v>
      </c>
      <c r="B3296" t="str">
        <f>"1552376780690610"</f>
        <v>1552376780690610</v>
      </c>
      <c r="C3296" t="s">
        <v>40</v>
      </c>
      <c r="D3296">
        <v>4.5659739999999998</v>
      </c>
      <c r="E3296">
        <v>0.54218889999999997</v>
      </c>
      <c r="F3296" t="s">
        <v>52</v>
      </c>
      <c r="G3296">
        <v>-195.83850000000001</v>
      </c>
      <c r="H3296" s="1">
        <v>-1.250392E-5</v>
      </c>
      <c r="I3296">
        <v>151.4188</v>
      </c>
      <c r="J3296">
        <v>-191.59469999999999</v>
      </c>
      <c r="K3296">
        <v>1.1110370000000001</v>
      </c>
      <c r="L3296">
        <v>171.22550000000001</v>
      </c>
      <c r="M3296">
        <v>-1.5165120000000001E-2</v>
      </c>
      <c r="N3296">
        <v>0</v>
      </c>
      <c r="O3296">
        <v>-0.99979450000000003</v>
      </c>
      <c r="P3296">
        <v>-0.1006348</v>
      </c>
      <c r="Q3296">
        <v>2.861122E-2</v>
      </c>
      <c r="R3296">
        <v>-0.99451239999999996</v>
      </c>
      <c r="S3296">
        <v>-0.62518309999999999</v>
      </c>
      <c r="T3296">
        <v>-0.1635691</v>
      </c>
      <c r="U3296">
        <v>-2.958145</v>
      </c>
      <c r="V3296">
        <v>8.5426799999999997E-2</v>
      </c>
      <c r="W3296">
        <v>4.2245039999999998E-2</v>
      </c>
      <c r="X3296">
        <v>0.99544849999999996</v>
      </c>
      <c r="Y3296">
        <v>0.19161039999999999</v>
      </c>
      <c r="Z3296">
        <v>5.4093570000000001E-2</v>
      </c>
      <c r="AA3296">
        <v>0.9799793</v>
      </c>
      <c r="AB3296">
        <v>27</v>
      </c>
      <c r="AC3296">
        <v>-4.2438000000000198</v>
      </c>
      <c r="AD3296">
        <v>-1.1110495039199999</v>
      </c>
      <c r="AE3296">
        <v>-19.806699999999999</v>
      </c>
      <c r="AF3296">
        <v>3.9310870675891301</v>
      </c>
      <c r="AG3296">
        <v>-1.1110495039199999</v>
      </c>
      <c r="AH3296">
        <v>19.809189600005698</v>
      </c>
      <c r="AI3296">
        <v>93.1489391877559</v>
      </c>
      <c r="AJ3296">
        <v>78.775615374060806</v>
      </c>
      <c r="AK3296">
        <v>20.226019606984</v>
      </c>
      <c r="AL3296">
        <v>87.578817098469202</v>
      </c>
      <c r="AM3296">
        <v>85.095042793760598</v>
      </c>
      <c r="AN3296">
        <v>1.00000004885754</v>
      </c>
    </row>
    <row r="3297" spans="1:40" x14ac:dyDescent="0.25">
      <c r="A3297" t="str">
        <f>"20190312154620720"</f>
        <v>20190312154620720</v>
      </c>
      <c r="B3297" t="str">
        <f>"1552376780710129"</f>
        <v>1552376780710129</v>
      </c>
      <c r="C3297" t="s">
        <v>40</v>
      </c>
      <c r="D3297">
        <v>4.4914909999999999</v>
      </c>
      <c r="E3297">
        <v>0.54252140000000004</v>
      </c>
      <c r="F3297" t="s">
        <v>52</v>
      </c>
      <c r="G3297">
        <v>-195.82830000000001</v>
      </c>
      <c r="H3297" s="1">
        <v>-1.24394E-5</v>
      </c>
      <c r="I3297">
        <v>151.27260000000001</v>
      </c>
      <c r="J3297">
        <v>-191.59710000000001</v>
      </c>
      <c r="K3297">
        <v>1.1109990000000001</v>
      </c>
      <c r="L3297">
        <v>170.96729999999999</v>
      </c>
      <c r="M3297">
        <v>-1.380762E-2</v>
      </c>
      <c r="N3297">
        <v>0</v>
      </c>
      <c r="O3297">
        <v>-0.99981430000000004</v>
      </c>
      <c r="P3297">
        <v>-0.1006063</v>
      </c>
      <c r="Q3297">
        <v>2.883724E-2</v>
      </c>
      <c r="R3297">
        <v>-0.99450839999999996</v>
      </c>
      <c r="S3297">
        <v>-0.62757869999999905</v>
      </c>
      <c r="T3297">
        <v>-0.1647004</v>
      </c>
      <c r="U3297">
        <v>-2.9577939999999998</v>
      </c>
      <c r="V3297">
        <v>8.675397E-2</v>
      </c>
      <c r="W3297">
        <v>4.2461800000000001E-2</v>
      </c>
      <c r="X3297">
        <v>0.9953244</v>
      </c>
      <c r="Y3297">
        <v>0.19372149999999999</v>
      </c>
      <c r="Z3297">
        <v>5.4458579999999999E-2</v>
      </c>
      <c r="AA3297">
        <v>0.97954390000000002</v>
      </c>
      <c r="AB3297">
        <v>27</v>
      </c>
      <c r="AC3297">
        <v>-4.2312000000000003</v>
      </c>
      <c r="AD3297">
        <v>-1.1110114393999999</v>
      </c>
      <c r="AE3297">
        <v>-19.694699999999902</v>
      </c>
      <c r="AF3297">
        <v>3.9468292843145001</v>
      </c>
      <c r="AG3297">
        <v>-1.1110114393999999</v>
      </c>
      <c r="AH3297">
        <v>19.691351552809301</v>
      </c>
      <c r="AI3297">
        <v>93.166432072582595</v>
      </c>
      <c r="AJ3297">
        <v>78.666123391864105</v>
      </c>
      <c r="AK3297">
        <v>20.1137051234805</v>
      </c>
      <c r="AL3297">
        <v>87.566386291791005</v>
      </c>
      <c r="AM3297">
        <v>85.018603095078603</v>
      </c>
      <c r="AN3297">
        <v>0.99999995850267898</v>
      </c>
    </row>
    <row r="3298" spans="1:40" x14ac:dyDescent="0.25">
      <c r="A3298" t="str">
        <f>"20190312154620741"</f>
        <v>20190312154620741</v>
      </c>
      <c r="B3298" t="str">
        <f>"1552376780730625"</f>
        <v>1552376780730625</v>
      </c>
      <c r="C3298" t="s">
        <v>40</v>
      </c>
      <c r="D3298">
        <v>4.4632820000000004</v>
      </c>
      <c r="E3298">
        <v>0.54288130000000001</v>
      </c>
      <c r="F3298" t="s">
        <v>52</v>
      </c>
      <c r="G3298">
        <v>-195.83539999999999</v>
      </c>
      <c r="H3298" s="1">
        <v>-1.235201E-5</v>
      </c>
      <c r="I3298">
        <v>151.0659</v>
      </c>
      <c r="J3298">
        <v>-191.5992</v>
      </c>
      <c r="K3298">
        <v>1.1109560000000001</v>
      </c>
      <c r="L3298">
        <v>170.71449999999999</v>
      </c>
      <c r="M3298">
        <v>-1.2530680000000001E-2</v>
      </c>
      <c r="N3298">
        <v>0</v>
      </c>
      <c r="O3298">
        <v>-0.99983089999999997</v>
      </c>
      <c r="P3298">
        <v>-0.1010148</v>
      </c>
      <c r="Q3298">
        <v>2.879717E-2</v>
      </c>
      <c r="R3298">
        <v>-0.99446809999999997</v>
      </c>
      <c r="S3298">
        <v>-0.62986759999999997</v>
      </c>
      <c r="T3298">
        <v>-0.16511289999999901</v>
      </c>
      <c r="U3298">
        <v>-2.9576419999999999</v>
      </c>
      <c r="V3298">
        <v>8.8439260000000006E-2</v>
      </c>
      <c r="W3298">
        <v>4.2412730000000003E-2</v>
      </c>
      <c r="X3298">
        <v>0.99517820000000001</v>
      </c>
      <c r="Y3298">
        <v>0.1957081</v>
      </c>
      <c r="Z3298">
        <v>5.4583489999999998E-2</v>
      </c>
      <c r="AA3298">
        <v>0.97914199999999996</v>
      </c>
      <c r="AB3298">
        <v>27</v>
      </c>
      <c r="AC3298">
        <v>-4.2361999999999904</v>
      </c>
      <c r="AD3298">
        <v>-1.11096835201</v>
      </c>
      <c r="AE3298">
        <v>-19.648599999999899</v>
      </c>
      <c r="AF3298">
        <v>3.9774835967058499</v>
      </c>
      <c r="AG3298">
        <v>-1.11096835201</v>
      </c>
      <c r="AH3298">
        <v>19.640144123875999</v>
      </c>
      <c r="AI3298">
        <v>93.173270455221996</v>
      </c>
      <c r="AJ3298">
        <v>78.551410549250505</v>
      </c>
      <c r="AK3298">
        <v>20.069625996710801</v>
      </c>
      <c r="AL3298">
        <v>87.569200422244506</v>
      </c>
      <c r="AM3298">
        <v>84.9215931016345</v>
      </c>
      <c r="AN3298">
        <v>0.99999999606531997</v>
      </c>
    </row>
    <row r="3299" spans="1:40" x14ac:dyDescent="0.25">
      <c r="A3299" t="str">
        <f>"20190312154620763"</f>
        <v>20190312154620763</v>
      </c>
      <c r="B3299" t="str">
        <f>"1552376780750146"</f>
        <v>1552376780750146</v>
      </c>
      <c r="C3299" t="s">
        <v>40</v>
      </c>
      <c r="D3299">
        <v>4.447622</v>
      </c>
      <c r="E3299">
        <v>0.54318330000000004</v>
      </c>
      <c r="F3299" t="s">
        <v>52</v>
      </c>
      <c r="G3299">
        <v>-195.84700000000001</v>
      </c>
      <c r="H3299" s="1">
        <v>-1.22797699999999E-5</v>
      </c>
      <c r="I3299">
        <v>150.89279999999999</v>
      </c>
      <c r="J3299">
        <v>-191.6011</v>
      </c>
      <c r="K3299">
        <v>1.1109070000000001</v>
      </c>
      <c r="L3299">
        <v>170.4402</v>
      </c>
      <c r="M3299">
        <v>-1.1207109999999999E-2</v>
      </c>
      <c r="N3299">
        <v>0</v>
      </c>
      <c r="O3299">
        <v>-0.99984680000000004</v>
      </c>
      <c r="P3299">
        <v>-0.1009905</v>
      </c>
      <c r="Q3299">
        <v>2.87823E-2</v>
      </c>
      <c r="R3299">
        <v>-0.9944712</v>
      </c>
      <c r="S3299">
        <v>-0.63371279999999997</v>
      </c>
      <c r="T3299">
        <v>-0.16574059999999999</v>
      </c>
      <c r="U3299">
        <v>-2.9571230000000002</v>
      </c>
      <c r="V3299">
        <v>8.973826E-2</v>
      </c>
      <c r="W3299">
        <v>4.2385590000000001E-2</v>
      </c>
      <c r="X3299">
        <v>0.99506309999999998</v>
      </c>
      <c r="Y3299">
        <v>0.19825599999999999</v>
      </c>
      <c r="Z3299">
        <v>5.4779540000000002E-2</v>
      </c>
      <c r="AA3299">
        <v>0.97861830000000005</v>
      </c>
      <c r="AB3299">
        <v>27</v>
      </c>
      <c r="AC3299">
        <v>-4.2458999999999998</v>
      </c>
      <c r="AD3299">
        <v>-1.1109192797699901</v>
      </c>
      <c r="AE3299">
        <v>-19.5474</v>
      </c>
      <c r="AF3299">
        <v>4.0141625012951803</v>
      </c>
      <c r="AG3299">
        <v>-1.1109192797699901</v>
      </c>
      <c r="AH3299">
        <v>19.533512293781701</v>
      </c>
      <c r="AI3299">
        <v>93.188556988152598</v>
      </c>
      <c r="AJ3299">
        <v>78.387311565577406</v>
      </c>
      <c r="AK3299">
        <v>19.972624884183102</v>
      </c>
      <c r="AL3299">
        <v>87.570756919723806</v>
      </c>
      <c r="AM3299">
        <v>84.846807061864297</v>
      </c>
      <c r="AN3299">
        <v>1.00000003326454</v>
      </c>
    </row>
    <row r="3300" spans="1:40" x14ac:dyDescent="0.25">
      <c r="A3300" t="str">
        <f>"20190312154620786"</f>
        <v>20190312154620786</v>
      </c>
      <c r="B3300" t="str">
        <f>"1552376780780401"</f>
        <v>1552376780780401</v>
      </c>
      <c r="C3300" t="s">
        <v>40</v>
      </c>
      <c r="D3300">
        <v>4.3842480000000004</v>
      </c>
      <c r="E3300">
        <v>0.54376040000000003</v>
      </c>
      <c r="F3300" t="s">
        <v>52</v>
      </c>
      <c r="G3300">
        <v>-195.86519999999999</v>
      </c>
      <c r="H3300" s="1">
        <v>-1.2164849999999999E-5</v>
      </c>
      <c r="I3300">
        <v>150.6174</v>
      </c>
      <c r="J3300">
        <v>-191.6027</v>
      </c>
      <c r="K3300">
        <v>1.1108450000000001</v>
      </c>
      <c r="L3300">
        <v>170.1695</v>
      </c>
      <c r="M3300">
        <v>-9.9774010000000003E-3</v>
      </c>
      <c r="N3300">
        <v>0</v>
      </c>
      <c r="O3300">
        <v>-0.99985999999999997</v>
      </c>
      <c r="P3300">
        <v>-0.1015262</v>
      </c>
      <c r="Q3300">
        <v>2.8802870000000001E-2</v>
      </c>
      <c r="R3300">
        <v>-0.99441619999999997</v>
      </c>
      <c r="S3300">
        <v>-0.63604740000000004</v>
      </c>
      <c r="T3300">
        <v>-0.165709299999999</v>
      </c>
      <c r="U3300">
        <v>-2.9568629999999998</v>
      </c>
      <c r="V3300">
        <v>9.1504429999999998E-2</v>
      </c>
      <c r="W3300">
        <v>4.2392720000000002E-2</v>
      </c>
      <c r="X3300">
        <v>0.99490190000000001</v>
      </c>
      <c r="Y3300">
        <v>0.20021739999999999</v>
      </c>
      <c r="Z3300">
        <v>5.4759469999999998E-2</v>
      </c>
      <c r="AA3300">
        <v>0.97821999999999998</v>
      </c>
      <c r="AB3300">
        <v>27</v>
      </c>
      <c r="AC3300">
        <v>-4.2624999999999797</v>
      </c>
      <c r="AD3300">
        <v>-1.1108571648500001</v>
      </c>
      <c r="AE3300">
        <v>-19.552099999999999</v>
      </c>
      <c r="AF3300">
        <v>4.0546964408859401</v>
      </c>
      <c r="AG3300">
        <v>-1.1108571648500001</v>
      </c>
      <c r="AH3300">
        <v>19.533466442566102</v>
      </c>
      <c r="AI3300">
        <v>93.187078609453295</v>
      </c>
      <c r="AJ3300">
        <v>78.273254840217604</v>
      </c>
      <c r="AK3300">
        <v>19.980762701440799</v>
      </c>
      <c r="AL3300">
        <v>87.570347945200794</v>
      </c>
      <c r="AM3300">
        <v>84.745100930401605</v>
      </c>
      <c r="AN3300">
        <v>0.99999999702111597</v>
      </c>
    </row>
    <row r="3301" spans="1:40" x14ac:dyDescent="0.25">
      <c r="A3301" t="str">
        <f>"20190312154620807"</f>
        <v>20190312154620807</v>
      </c>
      <c r="B3301" t="str">
        <f>"1552376780800896"</f>
        <v>1552376780800896</v>
      </c>
      <c r="C3301" t="s">
        <v>40</v>
      </c>
      <c r="D3301">
        <v>4.4184210000000004</v>
      </c>
      <c r="E3301">
        <v>0.54412559999999999</v>
      </c>
      <c r="F3301" t="s">
        <v>52</v>
      </c>
      <c r="G3301">
        <v>-195.84710000000001</v>
      </c>
      <c r="H3301" s="1">
        <v>-1.21598E-5</v>
      </c>
      <c r="I3301">
        <v>150.613</v>
      </c>
      <c r="J3301">
        <v>-191.60400000000001</v>
      </c>
      <c r="K3301">
        <v>1.1107899999999999</v>
      </c>
      <c r="L3301">
        <v>169.89959999999999</v>
      </c>
      <c r="M3301">
        <v>-8.8245779999999996E-3</v>
      </c>
      <c r="N3301">
        <v>0</v>
      </c>
      <c r="O3301">
        <v>-0.9998705</v>
      </c>
      <c r="P3301">
        <v>-0.10253760000000001</v>
      </c>
      <c r="Q3301">
        <v>2.8953119999999999E-2</v>
      </c>
      <c r="R3301">
        <v>-0.99430750000000001</v>
      </c>
      <c r="S3301">
        <v>-0.64160159999999999</v>
      </c>
      <c r="T3301">
        <v>-0.1679194</v>
      </c>
      <c r="U3301">
        <v>-2.9561920000000002</v>
      </c>
      <c r="V3301">
        <v>9.3669769999999999E-2</v>
      </c>
      <c r="W3301">
        <v>4.2529930000000001E-2</v>
      </c>
      <c r="X3301">
        <v>0.99469450000000004</v>
      </c>
      <c r="Y3301">
        <v>0.20313929999999999</v>
      </c>
      <c r="Z3301">
        <v>5.5473019999999998E-2</v>
      </c>
      <c r="AA3301">
        <v>0.97757720000000004</v>
      </c>
      <c r="AB3301">
        <v>27</v>
      </c>
      <c r="AC3301">
        <v>-4.2430999999999903</v>
      </c>
      <c r="AD3301">
        <v>-1.1108021598</v>
      </c>
      <c r="AE3301">
        <v>-19.2866</v>
      </c>
      <c r="AF3301">
        <v>4.0598778361932197</v>
      </c>
      <c r="AG3301">
        <v>-1.1108021598</v>
      </c>
      <c r="AH3301">
        <v>19.262350038023801</v>
      </c>
      <c r="AI3301">
        <v>93.229621086475404</v>
      </c>
      <c r="AJ3301">
        <v>78.098108890929296</v>
      </c>
      <c r="AK3301">
        <v>19.716861273295599</v>
      </c>
      <c r="AL3301">
        <v>87.562479264184901</v>
      </c>
      <c r="AM3301">
        <v>84.620356210269307</v>
      </c>
      <c r="AN3301">
        <v>0.999999984543953</v>
      </c>
    </row>
    <row r="3302" spans="1:40" x14ac:dyDescent="0.25">
      <c r="A3302" t="str">
        <f>"20190312154620831"</f>
        <v>20190312154620831</v>
      </c>
      <c r="B3302" t="str">
        <f>"1552376780820420"</f>
        <v>1552376780820420</v>
      </c>
      <c r="C3302" t="s">
        <v>40</v>
      </c>
      <c r="D3302">
        <v>4.3793059999999997</v>
      </c>
      <c r="E3302">
        <v>0.55911699999999998</v>
      </c>
      <c r="F3302" t="s">
        <v>52</v>
      </c>
      <c r="G3302">
        <v>-195.8759</v>
      </c>
      <c r="H3302" s="1">
        <v>-1.207408E-5</v>
      </c>
      <c r="I3302">
        <v>150.40129999999999</v>
      </c>
      <c r="J3302">
        <v>-191.6052</v>
      </c>
      <c r="K3302">
        <v>1.110741</v>
      </c>
      <c r="L3302">
        <v>169.6241</v>
      </c>
      <c r="M3302">
        <v>-7.7123290000000004E-3</v>
      </c>
      <c r="N3302">
        <v>0</v>
      </c>
      <c r="O3302">
        <v>-0.99987999999999999</v>
      </c>
      <c r="P3302">
        <v>-0.1041559</v>
      </c>
      <c r="Q3302">
        <v>2.8955519999999998E-2</v>
      </c>
      <c r="R3302">
        <v>-0.99413980000000002</v>
      </c>
      <c r="S3302">
        <v>-0.64747619999999995</v>
      </c>
      <c r="T3302">
        <v>-0.1683617</v>
      </c>
      <c r="U3302">
        <v>-2.9553069999999999</v>
      </c>
      <c r="V3302">
        <v>9.6401700000000007E-2</v>
      </c>
      <c r="W3302">
        <v>4.251945E-2</v>
      </c>
      <c r="X3302">
        <v>0.99443389999999998</v>
      </c>
      <c r="Y3302">
        <v>0.20614150000000001</v>
      </c>
      <c r="Z3302">
        <v>5.5606399999999903E-2</v>
      </c>
      <c r="AA3302">
        <v>0.9769409</v>
      </c>
      <c r="AB3302">
        <v>27</v>
      </c>
      <c r="AC3302">
        <v>-4.2706999999999997</v>
      </c>
      <c r="AD3302">
        <v>-1.11075307408</v>
      </c>
      <c r="AE3302">
        <v>-19.222799999999999</v>
      </c>
      <c r="AF3302">
        <v>4.1092321236662599</v>
      </c>
      <c r="AG3302">
        <v>-1.11075307408</v>
      </c>
      <c r="AH3302">
        <v>19.194095761927599</v>
      </c>
      <c r="AI3302">
        <v>93.2387561207602</v>
      </c>
      <c r="AJ3302">
        <v>77.916055524490901</v>
      </c>
      <c r="AK3302">
        <v>19.660439292035001</v>
      </c>
      <c r="AL3302">
        <v>87.563080272220901</v>
      </c>
      <c r="AM3302">
        <v>84.462975199428598</v>
      </c>
      <c r="AN3302">
        <v>0.99999998643020105</v>
      </c>
    </row>
    <row r="3303" spans="1:40" x14ac:dyDescent="0.25">
      <c r="A3303" t="str">
        <f>"20190312154620852"</f>
        <v>20190312154620852</v>
      </c>
      <c r="B3303" t="str">
        <f>"1552376780840913"</f>
        <v>1552376780840913</v>
      </c>
      <c r="C3303" t="s">
        <v>40</v>
      </c>
      <c r="D3303">
        <v>4.5464310000000001</v>
      </c>
      <c r="E3303">
        <v>0.5625677</v>
      </c>
      <c r="F3303" t="s">
        <v>52</v>
      </c>
      <c r="G3303">
        <v>-197.8176</v>
      </c>
      <c r="H3303" s="1">
        <v>-1.106882E-5</v>
      </c>
      <c r="I3303">
        <v>145.96850000000001</v>
      </c>
      <c r="J3303">
        <v>-191.60599999999999</v>
      </c>
      <c r="K3303">
        <v>1.110703</v>
      </c>
      <c r="L3303">
        <v>169.35650000000001</v>
      </c>
      <c r="M3303">
        <v>-6.7019159999999996E-3</v>
      </c>
      <c r="N3303">
        <v>0</v>
      </c>
      <c r="O3303">
        <v>-0.99988730000000003</v>
      </c>
      <c r="P3303">
        <v>-0.106751</v>
      </c>
      <c r="Q3303">
        <v>2.963182E-2</v>
      </c>
      <c r="R3303">
        <v>-0.99384450000000002</v>
      </c>
      <c r="S3303">
        <v>-0.77230829999999995</v>
      </c>
      <c r="T3303">
        <v>-0.1380855</v>
      </c>
      <c r="U3303">
        <v>-2.9407960000000002</v>
      </c>
      <c r="V3303">
        <v>0.100008</v>
      </c>
      <c r="W3303">
        <v>4.3183069999999997E-2</v>
      </c>
      <c r="X3303">
        <v>0.99404910000000002</v>
      </c>
      <c r="Y3303">
        <v>0.24725539999999999</v>
      </c>
      <c r="Z3303">
        <v>4.5405580000000001E-2</v>
      </c>
      <c r="AA3303">
        <v>0.96788589999999997</v>
      </c>
      <c r="AB3303">
        <v>27</v>
      </c>
      <c r="AC3303">
        <v>-6.2115999999999998</v>
      </c>
      <c r="AD3303">
        <v>-1.1107140688199999</v>
      </c>
      <c r="AE3303">
        <v>-23.388000000000002</v>
      </c>
      <c r="AF3303">
        <v>6.0419728896496201</v>
      </c>
      <c r="AG3303">
        <v>-1.1107140688199999</v>
      </c>
      <c r="AH3303">
        <v>23.379852140129302</v>
      </c>
      <c r="AI3303">
        <v>92.633533557405897</v>
      </c>
      <c r="AJ3303">
        <v>75.510263528552102</v>
      </c>
      <c r="AK3303">
        <v>24.173469098088599</v>
      </c>
      <c r="AL3303">
        <v>87.525022710723704</v>
      </c>
      <c r="AM3303">
        <v>84.2549917328231</v>
      </c>
      <c r="AN3303">
        <v>0.99999999540471696</v>
      </c>
    </row>
    <row r="3304" spans="1:40" x14ac:dyDescent="0.25">
      <c r="A3304" t="str">
        <f>"20190312154620876"</f>
        <v>20190312154620876</v>
      </c>
      <c r="B3304" t="str">
        <f>"1552376780870193"</f>
        <v>1552376780870193</v>
      </c>
      <c r="C3304" t="s">
        <v>40</v>
      </c>
      <c r="D3304">
        <v>4.511679</v>
      </c>
      <c r="E3304">
        <v>0.59026590000000001</v>
      </c>
      <c r="F3304" t="s">
        <v>52</v>
      </c>
      <c r="G3304">
        <v>-197.24469999999999</v>
      </c>
      <c r="H3304" s="1">
        <v>-1.177055E-5</v>
      </c>
      <c r="I3304">
        <v>148.82159999999999</v>
      </c>
      <c r="J3304">
        <v>-191.60669999999999</v>
      </c>
      <c r="K3304">
        <v>1.110652</v>
      </c>
      <c r="L3304">
        <v>169.0864</v>
      </c>
      <c r="M3304">
        <v>-5.7663150000000002E-3</v>
      </c>
      <c r="N3304">
        <v>0</v>
      </c>
      <c r="O3304">
        <v>-0.99989320000000004</v>
      </c>
      <c r="P3304">
        <v>-0.10978549999999999</v>
      </c>
      <c r="Q3304">
        <v>3.042767E-2</v>
      </c>
      <c r="R3304">
        <v>-0.99348970000000003</v>
      </c>
      <c r="S3304">
        <v>-0.80639649999999996</v>
      </c>
      <c r="T3304">
        <v>-0.1588445</v>
      </c>
      <c r="U3304">
        <v>-2.9367070000000002</v>
      </c>
      <c r="V3304">
        <v>0.10397969999999999</v>
      </c>
      <c r="W3304">
        <v>4.3963870000000002E-2</v>
      </c>
      <c r="X3304">
        <v>0.99360729999999997</v>
      </c>
      <c r="Y3304">
        <v>0.25886550000000003</v>
      </c>
      <c r="Z3304">
        <v>5.2126560000000002E-2</v>
      </c>
      <c r="AA3304">
        <v>0.96450579999999997</v>
      </c>
      <c r="AB3304">
        <v>27</v>
      </c>
      <c r="AC3304">
        <v>-5.6379999999999999</v>
      </c>
      <c r="AD3304">
        <v>-1.11066377055</v>
      </c>
      <c r="AE3304">
        <v>-20.264800000000001</v>
      </c>
      <c r="AF3304">
        <v>5.5056923007882101</v>
      </c>
      <c r="AG3304">
        <v>-1.11066377055</v>
      </c>
      <c r="AH3304">
        <v>20.240544629841299</v>
      </c>
      <c r="AI3304">
        <v>93.030939923389198</v>
      </c>
      <c r="AJ3304">
        <v>74.782977029226799</v>
      </c>
      <c r="AK3304">
        <v>21.005377136218399</v>
      </c>
      <c r="AL3304">
        <v>87.480243730107006</v>
      </c>
      <c r="AM3304">
        <v>84.025816991469895</v>
      </c>
      <c r="AN3304">
        <v>1.00000003324537</v>
      </c>
    </row>
    <row r="3305" spans="1:40" x14ac:dyDescent="0.25">
      <c r="A3305" t="str">
        <f>"20190312154620899"</f>
        <v>20190312154620899</v>
      </c>
      <c r="B3305" t="str">
        <f>"1552376780890689"</f>
        <v>1552376780890689</v>
      </c>
      <c r="C3305" t="s">
        <v>40</v>
      </c>
      <c r="D3305">
        <v>4.5148840000000003</v>
      </c>
      <c r="E3305">
        <v>0.5911478</v>
      </c>
      <c r="F3305" t="s">
        <v>52</v>
      </c>
      <c r="G3305">
        <v>-195.93559999999999</v>
      </c>
      <c r="H3305" s="1">
        <v>-1.427847E-5</v>
      </c>
      <c r="I3305">
        <v>156.8381</v>
      </c>
      <c r="J3305">
        <v>-191.60730000000001</v>
      </c>
      <c r="K3305">
        <v>1.1105799999999999</v>
      </c>
      <c r="L3305">
        <v>168.80090000000001</v>
      </c>
      <c r="M3305">
        <v>-4.8883199999999998E-3</v>
      </c>
      <c r="N3305">
        <v>0</v>
      </c>
      <c r="O3305">
        <v>-0.99989799999999995</v>
      </c>
      <c r="P3305">
        <v>-0.113345</v>
      </c>
      <c r="Q3305">
        <v>3.1754200000000003E-2</v>
      </c>
      <c r="R3305">
        <v>-0.9930485</v>
      </c>
      <c r="S3305">
        <v>-1.0298609999999999</v>
      </c>
      <c r="T3305">
        <v>-0.26423540000000001</v>
      </c>
      <c r="U3305">
        <v>-2.9139560000000002</v>
      </c>
      <c r="V3305">
        <v>0.1084204</v>
      </c>
      <c r="W3305">
        <v>4.52672E-2</v>
      </c>
      <c r="X3305">
        <v>0.99307389999999995</v>
      </c>
      <c r="Y3305">
        <v>0.32739869999999999</v>
      </c>
      <c r="Z3305">
        <v>8.5255189999999995E-2</v>
      </c>
      <c r="AA3305">
        <v>0.94103219999999999</v>
      </c>
      <c r="AB3305">
        <v>27</v>
      </c>
      <c r="AC3305">
        <v>-4.3282999999999801</v>
      </c>
      <c r="AD3305">
        <v>-1.11059427846999</v>
      </c>
      <c r="AE3305">
        <v>-11.9628</v>
      </c>
      <c r="AF3305">
        <v>4.23747083297825</v>
      </c>
      <c r="AG3305">
        <v>-1.11059427846999</v>
      </c>
      <c r="AH3305">
        <v>11.8931779838806</v>
      </c>
      <c r="AI3305">
        <v>95.027039100357598</v>
      </c>
      <c r="AJ3305">
        <v>70.389309367638603</v>
      </c>
      <c r="AK3305">
        <v>12.674275571722999</v>
      </c>
      <c r="AL3305">
        <v>87.405493734825995</v>
      </c>
      <c r="AM3305">
        <v>83.769320817300795</v>
      </c>
      <c r="AN3305">
        <v>0.99999993669660203</v>
      </c>
    </row>
    <row r="3306" spans="1:40" x14ac:dyDescent="0.25">
      <c r="A3306" t="str">
        <f>"20190312154620921"</f>
        <v>20190312154620921</v>
      </c>
      <c r="B3306" t="str">
        <f>"1552376780910209"</f>
        <v>1552376780910209</v>
      </c>
      <c r="C3306" t="s">
        <v>40</v>
      </c>
      <c r="D3306">
        <v>4.5288120000000003</v>
      </c>
      <c r="E3306">
        <v>0.59161980000000003</v>
      </c>
      <c r="F3306" t="s">
        <v>52</v>
      </c>
      <c r="G3306">
        <v>-196.1414</v>
      </c>
      <c r="H3306" s="1">
        <v>-1.406195E-5</v>
      </c>
      <c r="I3306">
        <v>156.2037</v>
      </c>
      <c r="J3306">
        <v>-191.60769999999999</v>
      </c>
      <c r="K3306">
        <v>1.110493</v>
      </c>
      <c r="L3306">
        <v>168.53579999999999</v>
      </c>
      <c r="M3306">
        <v>-4.20653E-3</v>
      </c>
      <c r="N3306">
        <v>0</v>
      </c>
      <c r="O3306">
        <v>-0.99990120000000005</v>
      </c>
      <c r="P3306">
        <v>-0.1162202</v>
      </c>
      <c r="Q3306">
        <v>3.2081119999999998E-2</v>
      </c>
      <c r="R3306">
        <v>-0.99270570000000002</v>
      </c>
      <c r="S3306">
        <v>-1.0472870000000001</v>
      </c>
      <c r="T3306">
        <v>-0.25652150000000001</v>
      </c>
      <c r="U3306">
        <v>-2.909653</v>
      </c>
      <c r="V3306">
        <v>0.1119844</v>
      </c>
      <c r="W3306">
        <v>4.5565870000000001E-2</v>
      </c>
      <c r="X3306">
        <v>0.99266469999999996</v>
      </c>
      <c r="Y3306">
        <v>0.3335439</v>
      </c>
      <c r="Z3306">
        <v>8.2727599999999998E-2</v>
      </c>
      <c r="AA3306">
        <v>0.93909779999999998</v>
      </c>
      <c r="AB3306">
        <v>27</v>
      </c>
      <c r="AC3306">
        <v>-4.5336999999999996</v>
      </c>
      <c r="AD3306">
        <v>-1.1105070619499999</v>
      </c>
      <c r="AE3306">
        <v>-12.332099999999899</v>
      </c>
      <c r="AF3306">
        <v>4.4499911755088704</v>
      </c>
      <c r="AG3306">
        <v>-1.1105070619499999</v>
      </c>
      <c r="AH3306">
        <v>12.263459221072001</v>
      </c>
      <c r="AI3306">
        <v>94.865472963294593</v>
      </c>
      <c r="AJ3306">
        <v>70.055891862792393</v>
      </c>
      <c r="AK3306">
        <v>13.093054626925101</v>
      </c>
      <c r="AL3306">
        <v>87.388363641627905</v>
      </c>
      <c r="AM3306">
        <v>83.563566155242697</v>
      </c>
      <c r="AN3306">
        <v>0.99999998048915295</v>
      </c>
    </row>
    <row r="3307" spans="1:40" x14ac:dyDescent="0.25">
      <c r="A3307" t="str">
        <f>"20190312154620942"</f>
        <v>20190312154620942</v>
      </c>
      <c r="B3307" t="str">
        <f>"1552376780930705"</f>
        <v>1552376780930705</v>
      </c>
      <c r="C3307" t="s">
        <v>40</v>
      </c>
      <c r="D3307">
        <v>4.5030089999999996</v>
      </c>
      <c r="E3307">
        <v>0.59197880000000003</v>
      </c>
      <c r="F3307" t="s">
        <v>52</v>
      </c>
      <c r="G3307">
        <v>-196.24950000000001</v>
      </c>
      <c r="H3307" s="1">
        <v>-1.390198E-5</v>
      </c>
      <c r="I3307">
        <v>155.80850000000001</v>
      </c>
      <c r="J3307">
        <v>-191.60820000000001</v>
      </c>
      <c r="K3307">
        <v>1.1103700000000001</v>
      </c>
      <c r="L3307">
        <v>168.2723</v>
      </c>
      <c r="M3307">
        <v>-3.7003729999999999E-3</v>
      </c>
      <c r="N3307">
        <v>0</v>
      </c>
      <c r="O3307">
        <v>-0.99990299999999999</v>
      </c>
      <c r="P3307">
        <v>-0.1190626</v>
      </c>
      <c r="Q3307">
        <v>3.1790600000000002E-2</v>
      </c>
      <c r="R3307">
        <v>-0.99237790000000003</v>
      </c>
      <c r="S3307">
        <v>-1.059906</v>
      </c>
      <c r="T3307">
        <v>-0.25357289999999999</v>
      </c>
      <c r="U3307">
        <v>-2.906158</v>
      </c>
      <c r="V3307">
        <v>0.1153449</v>
      </c>
      <c r="W3307">
        <v>4.5237189999999997E-2</v>
      </c>
      <c r="X3307">
        <v>0.99229489999999998</v>
      </c>
      <c r="Y3307">
        <v>0.33800849999999999</v>
      </c>
      <c r="Z3307">
        <v>8.175027E-2</v>
      </c>
      <c r="AA3307">
        <v>0.93758580000000002</v>
      </c>
      <c r="AB3307">
        <v>27</v>
      </c>
      <c r="AC3307">
        <v>-4.6413000000000002</v>
      </c>
      <c r="AD3307">
        <v>-1.1103839019799999</v>
      </c>
      <c r="AE3307">
        <v>-12.4637999999999</v>
      </c>
      <c r="AF3307">
        <v>4.5633357854551804</v>
      </c>
      <c r="AG3307">
        <v>-1.1103839019799999</v>
      </c>
      <c r="AH3307">
        <v>12.394498062446701</v>
      </c>
      <c r="AI3307">
        <v>94.805551419355396</v>
      </c>
      <c r="AJ3307">
        <v>69.787589240310297</v>
      </c>
      <c r="AK3307">
        <v>13.2544546519495</v>
      </c>
      <c r="AL3307">
        <v>87.407215131935601</v>
      </c>
      <c r="AM3307">
        <v>83.369663253281999</v>
      </c>
      <c r="AN3307">
        <v>1.0000000089405501</v>
      </c>
    </row>
    <row r="3308" spans="1:40" x14ac:dyDescent="0.25">
      <c r="A3308" t="str">
        <f>"20190312154620964"</f>
        <v>20190312154620964</v>
      </c>
      <c r="B3308" t="str">
        <f>"1552376780960961"</f>
        <v>1552376780960961</v>
      </c>
      <c r="C3308" t="s">
        <v>40</v>
      </c>
      <c r="D3308">
        <v>4.5089129999999997</v>
      </c>
      <c r="E3308">
        <v>0.59232399999999996</v>
      </c>
      <c r="F3308" t="s">
        <v>52</v>
      </c>
      <c r="G3308">
        <v>-196.255</v>
      </c>
      <c r="H3308" s="1">
        <v>-1.384725E-5</v>
      </c>
      <c r="I3308">
        <v>155.6798</v>
      </c>
      <c r="J3308">
        <v>-191.6086</v>
      </c>
      <c r="K3308">
        <v>1.110222</v>
      </c>
      <c r="L3308">
        <v>168.01249999999999</v>
      </c>
      <c r="M3308">
        <v>-3.4025320000000002E-3</v>
      </c>
      <c r="N3308">
        <v>0</v>
      </c>
      <c r="O3308">
        <v>-0.99990429999999997</v>
      </c>
      <c r="P3308">
        <v>-0.12142360000000001</v>
      </c>
      <c r="Q3308">
        <v>3.1644949999999998E-2</v>
      </c>
      <c r="R3308">
        <v>-0.9920968</v>
      </c>
      <c r="S3308">
        <v>-1.071167</v>
      </c>
      <c r="T3308">
        <v>-0.25595810000000002</v>
      </c>
      <c r="U3308">
        <v>-2.9027400000000001</v>
      </c>
      <c r="V3308">
        <v>0.1180192</v>
      </c>
      <c r="W3308">
        <v>4.5044269999999997E-2</v>
      </c>
      <c r="X3308">
        <v>0.99198909999999996</v>
      </c>
      <c r="Y3308">
        <v>0.3418254</v>
      </c>
      <c r="Z3308">
        <v>8.2492670000000004E-2</v>
      </c>
      <c r="AA3308">
        <v>0.93613590000000002</v>
      </c>
      <c r="AB3308">
        <v>27</v>
      </c>
      <c r="AC3308">
        <v>-4.6463999999999999</v>
      </c>
      <c r="AD3308">
        <v>-1.11023584725</v>
      </c>
      <c r="AE3308">
        <v>-12.3326999999999</v>
      </c>
      <c r="AF3308">
        <v>4.5719601241166004</v>
      </c>
      <c r="AG3308">
        <v>-1.11023584725</v>
      </c>
      <c r="AH3308">
        <v>12.261421325294</v>
      </c>
      <c r="AI3308">
        <v>94.849420024750003</v>
      </c>
      <c r="AJ3308">
        <v>69.550843292859</v>
      </c>
      <c r="AK3308">
        <v>13.133084022018799</v>
      </c>
      <c r="AL3308">
        <v>87.418279750501497</v>
      </c>
      <c r="AM3308">
        <v>83.215282033720896</v>
      </c>
      <c r="AN3308">
        <v>0.99999994617363996</v>
      </c>
    </row>
    <row r="3309" spans="1:40" x14ac:dyDescent="0.25">
      <c r="A3309" t="str">
        <f>"20190312154620988"</f>
        <v>20190312154620988</v>
      </c>
      <c r="B3309" t="str">
        <f>"1552376780980481"</f>
        <v>1552376780980481</v>
      </c>
      <c r="C3309" t="s">
        <v>40</v>
      </c>
      <c r="D3309">
        <v>4.5290949999999999</v>
      </c>
      <c r="E3309">
        <v>0.59264949999999905</v>
      </c>
      <c r="F3309" t="s">
        <v>52</v>
      </c>
      <c r="G3309">
        <v>-196.2559</v>
      </c>
      <c r="H3309" s="1">
        <v>-1.378969E-5</v>
      </c>
      <c r="I3309">
        <v>155.5454</v>
      </c>
      <c r="J3309">
        <v>-191.60939999999999</v>
      </c>
      <c r="K3309">
        <v>1.11002</v>
      </c>
      <c r="L3309">
        <v>167.7236</v>
      </c>
      <c r="M3309">
        <v>-3.3705219999999999E-3</v>
      </c>
      <c r="N3309">
        <v>0</v>
      </c>
      <c r="O3309">
        <v>-0.99990420000000002</v>
      </c>
      <c r="P3309">
        <v>-0.124265899999999</v>
      </c>
      <c r="Q3309">
        <v>3.138498E-2</v>
      </c>
      <c r="R3309">
        <v>-0.99175259999999998</v>
      </c>
      <c r="S3309">
        <v>-1.0809329999999999</v>
      </c>
      <c r="T3309">
        <v>-0.25823869999999999</v>
      </c>
      <c r="U3309">
        <v>-2.899826</v>
      </c>
      <c r="V3309">
        <v>0.1209162</v>
      </c>
      <c r="W3309">
        <v>4.4721289999999997E-2</v>
      </c>
      <c r="X3309">
        <v>0.99165479999999995</v>
      </c>
      <c r="Y3309">
        <v>0.34490949999999998</v>
      </c>
      <c r="Z3309">
        <v>8.3204920000000002E-2</v>
      </c>
      <c r="AA3309">
        <v>0.93494089999999996</v>
      </c>
      <c r="AB3309">
        <v>27</v>
      </c>
      <c r="AC3309">
        <v>-4.6464999999999996</v>
      </c>
      <c r="AD3309">
        <v>-1.1100337896899899</v>
      </c>
      <c r="AE3309">
        <v>-12.1782</v>
      </c>
      <c r="AF3309">
        <v>4.5722630501636603</v>
      </c>
      <c r="AG3309">
        <v>-1.1100337896899899</v>
      </c>
      <c r="AH3309">
        <v>12.105995617769601</v>
      </c>
      <c r="AI3309">
        <v>94.902759134910994</v>
      </c>
      <c r="AJ3309">
        <v>69.309159471516793</v>
      </c>
      <c r="AK3309">
        <v>12.988182871810899</v>
      </c>
      <c r="AL3309">
        <v>87.436803901211704</v>
      </c>
      <c r="AM3309">
        <v>83.048028138986396</v>
      </c>
      <c r="AN3309">
        <v>0.99999998178237104</v>
      </c>
    </row>
    <row r="3310" spans="1:40" x14ac:dyDescent="0.25">
      <c r="A3310" t="str">
        <f>"20190312154621009"</f>
        <v>20190312154621009</v>
      </c>
      <c r="B3310" t="str">
        <f>"1552376781000977"</f>
        <v>1552376781000977</v>
      </c>
      <c r="C3310" t="s">
        <v>40</v>
      </c>
      <c r="D3310">
        <v>4.5345240000000002</v>
      </c>
      <c r="E3310">
        <v>0.59297250000000001</v>
      </c>
      <c r="F3310" t="s">
        <v>52</v>
      </c>
      <c r="G3310">
        <v>-196.26230000000001</v>
      </c>
      <c r="H3310" s="1">
        <v>-1.3718110000000001E-5</v>
      </c>
      <c r="I3310">
        <v>155.37729999999999</v>
      </c>
      <c r="J3310">
        <v>-191.6104</v>
      </c>
      <c r="K3310">
        <v>1.1098349999999999</v>
      </c>
      <c r="L3310">
        <v>167.4632</v>
      </c>
      <c r="M3310">
        <v>-3.574514E-3</v>
      </c>
      <c r="N3310">
        <v>0</v>
      </c>
      <c r="O3310">
        <v>-0.99990369999999995</v>
      </c>
      <c r="P3310">
        <v>-0.1284421</v>
      </c>
      <c r="Q3310">
        <v>3.0781119999999999E-2</v>
      </c>
      <c r="R3310">
        <v>-0.99123939999999999</v>
      </c>
      <c r="S3310">
        <v>-1.091537</v>
      </c>
      <c r="T3310">
        <v>-0.26041039999999999</v>
      </c>
      <c r="U3310">
        <v>-2.896423</v>
      </c>
      <c r="V3310">
        <v>0.1249113</v>
      </c>
      <c r="W3310">
        <v>4.4055799999999999E-2</v>
      </c>
      <c r="X3310">
        <v>0.99118930000000005</v>
      </c>
      <c r="Y3310">
        <v>0.34805649999999999</v>
      </c>
      <c r="Z3310">
        <v>8.3888870000000004E-2</v>
      </c>
      <c r="AA3310">
        <v>0.93371269999999995</v>
      </c>
      <c r="AB3310">
        <v>27</v>
      </c>
      <c r="AC3310">
        <v>-4.6519000000000101</v>
      </c>
      <c r="AD3310">
        <v>-1.1098487181100001</v>
      </c>
      <c r="AE3310">
        <v>-12.085900000000001</v>
      </c>
      <c r="AF3310">
        <v>4.5750629591916496</v>
      </c>
      <c r="AG3310">
        <v>-1.1098487181100001</v>
      </c>
      <c r="AH3310">
        <v>12.0142124265976</v>
      </c>
      <c r="AI3310">
        <v>94.934130865709193</v>
      </c>
      <c r="AJ3310">
        <v>69.152954793477406</v>
      </c>
      <c r="AK3310">
        <v>12.903653183849499</v>
      </c>
      <c r="AL3310">
        <v>87.474971305102201</v>
      </c>
      <c r="AM3310">
        <v>82.817355869778396</v>
      </c>
      <c r="AN3310">
        <v>0.99999998740790996</v>
      </c>
    </row>
    <row r="3311" spans="1:40" x14ac:dyDescent="0.25">
      <c r="A3311" t="str">
        <f>"20190312154621042"</f>
        <v>20190312154621042</v>
      </c>
      <c r="B3311" t="str">
        <f>"1552376781030261"</f>
        <v>1552376781030261</v>
      </c>
      <c r="C3311" t="s">
        <v>40</v>
      </c>
      <c r="D3311">
        <v>4.5231820000000003</v>
      </c>
      <c r="E3311">
        <v>0.59350199999999997</v>
      </c>
      <c r="F3311" t="s">
        <v>52</v>
      </c>
      <c r="G3311">
        <v>-196.26329999999999</v>
      </c>
      <c r="H3311" s="1">
        <v>-1.3684479999999999E-5</v>
      </c>
      <c r="I3311">
        <v>155.29859999999999</v>
      </c>
      <c r="J3311">
        <v>-191.61250000000001</v>
      </c>
      <c r="K3311">
        <v>1.109518</v>
      </c>
      <c r="L3311">
        <v>167.0667</v>
      </c>
      <c r="M3311">
        <v>-4.4273569999999998E-3</v>
      </c>
      <c r="N3311">
        <v>0</v>
      </c>
      <c r="O3311">
        <v>-0.99990040000000002</v>
      </c>
      <c r="P3311">
        <v>-0.13124369999999999</v>
      </c>
      <c r="Q3311">
        <v>3.1879820000000003E-2</v>
      </c>
      <c r="R3311">
        <v>-0.990838</v>
      </c>
      <c r="S3311">
        <v>-1.105942</v>
      </c>
      <c r="T3311">
        <v>-0.26380179999999998</v>
      </c>
      <c r="U3311">
        <v>-2.8914179999999998</v>
      </c>
      <c r="V3311">
        <v>0.12690319999999999</v>
      </c>
      <c r="W3311">
        <v>4.505282E-2</v>
      </c>
      <c r="X3311">
        <v>0.99089150000000004</v>
      </c>
      <c r="Y3311">
        <v>0.3518194</v>
      </c>
      <c r="Z3311">
        <v>8.4975250000000002E-2</v>
      </c>
      <c r="AA3311">
        <v>0.93220289999999995</v>
      </c>
      <c r="AB3311">
        <v>27</v>
      </c>
      <c r="AC3311">
        <v>-4.6507999999999701</v>
      </c>
      <c r="AD3311">
        <v>-1.1095316844800001</v>
      </c>
      <c r="AE3311">
        <v>-11.7681</v>
      </c>
      <c r="AF3311">
        <v>4.5635614257144397</v>
      </c>
      <c r="AG3311">
        <v>-1.1095316844800001</v>
      </c>
      <c r="AH3311">
        <v>11.6986328597308</v>
      </c>
      <c r="AI3311">
        <v>95.049425762903795</v>
      </c>
      <c r="AJ3311">
        <v>68.689563273820497</v>
      </c>
      <c r="AK3311">
        <v>12.6061558070614</v>
      </c>
      <c r="AL3311">
        <v>87.417789698255504</v>
      </c>
      <c r="AM3311">
        <v>82.7018732845345</v>
      </c>
      <c r="AN3311">
        <v>1.0000000717662101</v>
      </c>
    </row>
    <row r="3312" spans="1:40" x14ac:dyDescent="0.25">
      <c r="A3312" t="str">
        <f>"20190312154621065"</f>
        <v>20190312154621065</v>
      </c>
      <c r="B3312" t="str">
        <f>"1552376781060514"</f>
        <v>1552376781060514</v>
      </c>
      <c r="C3312" t="s">
        <v>40</v>
      </c>
      <c r="D3312">
        <v>4.5177259999999997</v>
      </c>
      <c r="E3312">
        <v>0.59422019999999998</v>
      </c>
      <c r="F3312" t="s">
        <v>52</v>
      </c>
      <c r="G3312">
        <v>-196.43260000000001</v>
      </c>
      <c r="H3312" s="1">
        <v>-1.3412889999999999E-5</v>
      </c>
      <c r="I3312">
        <v>154.63059999999999</v>
      </c>
      <c r="J3312">
        <v>-191.6146</v>
      </c>
      <c r="K3312">
        <v>1.109251</v>
      </c>
      <c r="L3312">
        <v>166.8004</v>
      </c>
      <c r="M3312">
        <v>-5.5105359999999999E-3</v>
      </c>
      <c r="N3312">
        <v>0</v>
      </c>
      <c r="O3312">
        <v>-0.99989490000000003</v>
      </c>
      <c r="P3312">
        <v>-0.13326070000000001</v>
      </c>
      <c r="Q3312">
        <v>3.1768150000000002E-2</v>
      </c>
      <c r="R3312">
        <v>-0.9905718</v>
      </c>
      <c r="S3312">
        <v>-1.1192629999999999</v>
      </c>
      <c r="T3312">
        <v>-0.25764209999999999</v>
      </c>
      <c r="U3312">
        <v>-2.887772</v>
      </c>
      <c r="V3312">
        <v>0.12787709999999999</v>
      </c>
      <c r="W3312">
        <v>4.4856090000000001E-2</v>
      </c>
      <c r="X3312">
        <v>0.99077510000000002</v>
      </c>
      <c r="Y3312">
        <v>0.35500159999999997</v>
      </c>
      <c r="Z3312">
        <v>8.2984810000000006E-2</v>
      </c>
      <c r="AA3312">
        <v>0.93117530000000004</v>
      </c>
      <c r="AB3312">
        <v>27</v>
      </c>
      <c r="AC3312">
        <v>-4.8180000000000103</v>
      </c>
      <c r="AD3312">
        <v>-1.10926441289</v>
      </c>
      <c r="AE3312">
        <v>-12.1698</v>
      </c>
      <c r="AF3312">
        <v>4.7169794718704097</v>
      </c>
      <c r="AG3312">
        <v>-1.10926441289</v>
      </c>
      <c r="AH3312">
        <v>12.109194320675099</v>
      </c>
      <c r="AI3312">
        <v>94.878810818623407</v>
      </c>
      <c r="AJ3312">
        <v>68.717244720923205</v>
      </c>
      <c r="AK3312">
        <v>13.0427355248667</v>
      </c>
      <c r="AL3312">
        <v>87.429072615907202</v>
      </c>
      <c r="AM3312">
        <v>82.645621148092104</v>
      </c>
      <c r="AN3312">
        <v>0.99999996014725301</v>
      </c>
    </row>
    <row r="3313" spans="1:40" x14ac:dyDescent="0.25">
      <c r="A3313" t="str">
        <f>"20190312154621088"</f>
        <v>20190312154621088</v>
      </c>
      <c r="B3313" t="str">
        <f>"1552376781081011"</f>
        <v>1552376781081011</v>
      </c>
      <c r="C3313" t="s">
        <v>40</v>
      </c>
      <c r="D3313">
        <v>4.5431239999999997</v>
      </c>
      <c r="E3313">
        <v>0.59470999999999996</v>
      </c>
      <c r="F3313" t="s">
        <v>52</v>
      </c>
      <c r="G3313">
        <v>-196.55070000000001</v>
      </c>
      <c r="H3313" s="1">
        <v>-1.331735E-5</v>
      </c>
      <c r="I3313">
        <v>154.2193</v>
      </c>
      <c r="J3313">
        <v>-191.61779999999999</v>
      </c>
      <c r="K3313">
        <v>1.1088819999999999</v>
      </c>
      <c r="L3313">
        <v>166.5155</v>
      </c>
      <c r="M3313">
        <v>-7.2400479999999998E-3</v>
      </c>
      <c r="N3313">
        <v>0</v>
      </c>
      <c r="O3313">
        <v>-0.99988390000000005</v>
      </c>
      <c r="P3313">
        <v>-0.13633990000000001</v>
      </c>
      <c r="Q3313">
        <v>3.0821129999999999E-2</v>
      </c>
      <c r="R3313">
        <v>-0.99018280000000003</v>
      </c>
      <c r="S3313">
        <v>-1.1316679999999999</v>
      </c>
      <c r="T3313">
        <v>-0.25431569999999998</v>
      </c>
      <c r="U3313">
        <v>-2.88443</v>
      </c>
      <c r="V3313">
        <v>0.12928249999999999</v>
      </c>
      <c r="W3313">
        <v>4.3793329999999998E-2</v>
      </c>
      <c r="X3313">
        <v>0.99064030000000003</v>
      </c>
      <c r="Y3313">
        <v>0.35725620000000002</v>
      </c>
      <c r="Z3313">
        <v>8.1909869999999996E-2</v>
      </c>
      <c r="AA3313">
        <v>0.93040789999999995</v>
      </c>
      <c r="AB3313">
        <v>27</v>
      </c>
      <c r="AC3313">
        <v>-4.9329000000000098</v>
      </c>
      <c r="AD3313">
        <v>-1.10889531735</v>
      </c>
      <c r="AE3313">
        <v>-12.296200000000001</v>
      </c>
      <c r="AF3313">
        <v>4.8100415960406</v>
      </c>
      <c r="AG3313">
        <v>-1.10889531735</v>
      </c>
      <c r="AH3313">
        <v>12.245809165241299</v>
      </c>
      <c r="AI3313">
        <v>94.817747140160506</v>
      </c>
      <c r="AJ3313">
        <v>68.555554998990104</v>
      </c>
      <c r="AK3313">
        <v>13.203256836553299</v>
      </c>
      <c r="AL3313">
        <v>87.490024319379401</v>
      </c>
      <c r="AM3313">
        <v>82.5646937772011</v>
      </c>
      <c r="AN3313">
        <v>1.0000000122714101</v>
      </c>
    </row>
    <row r="3314" spans="1:40" x14ac:dyDescent="0.25">
      <c r="A3314" t="str">
        <f>"20190312154621110"</f>
        <v>20190312154621110</v>
      </c>
      <c r="B3314" t="str">
        <f>"1552376781100529"</f>
        <v>1552376781100529</v>
      </c>
      <c r="C3314" t="s">
        <v>40</v>
      </c>
      <c r="D3314">
        <v>4.6723860000000004</v>
      </c>
      <c r="E3314">
        <v>0.59423570000000003</v>
      </c>
      <c r="F3314" t="s">
        <v>52</v>
      </c>
      <c r="G3314">
        <v>-196.58240000000001</v>
      </c>
      <c r="H3314" s="1">
        <v>-1.327174E-5</v>
      </c>
      <c r="I3314">
        <v>154.02680000000001</v>
      </c>
      <c r="J3314">
        <v>-191.6217</v>
      </c>
      <c r="K3314">
        <v>1.1085320000000001</v>
      </c>
      <c r="L3314">
        <v>166.25360000000001</v>
      </c>
      <c r="M3314">
        <v>-9.267328E-3</v>
      </c>
      <c r="N3314">
        <v>0</v>
      </c>
      <c r="O3314">
        <v>-0.9998669</v>
      </c>
      <c r="P3314">
        <v>-0.1393789</v>
      </c>
      <c r="Q3314">
        <v>3.0711209999999999E-2</v>
      </c>
      <c r="R3314">
        <v>-0.98976330000000001</v>
      </c>
      <c r="S3314">
        <v>-1.1448969999999901</v>
      </c>
      <c r="T3314">
        <v>-0.25572660000000003</v>
      </c>
      <c r="U3314">
        <v>-2.8800659999999998</v>
      </c>
      <c r="V3314">
        <v>0.1303531</v>
      </c>
      <c r="W3314">
        <v>4.3575610000000001E-2</v>
      </c>
      <c r="X3314">
        <v>0.99050959999999999</v>
      </c>
      <c r="Y3314">
        <v>0.35952410000000001</v>
      </c>
      <c r="Z3314">
        <v>8.2370499999999999E-2</v>
      </c>
      <c r="AA3314">
        <v>0.92949309999999996</v>
      </c>
      <c r="AB3314">
        <v>27</v>
      </c>
      <c r="AC3314">
        <v>-4.9607000000000001</v>
      </c>
      <c r="AD3314">
        <v>-1.1085452717399999</v>
      </c>
      <c r="AE3314">
        <v>-12.2267999999999</v>
      </c>
      <c r="AF3314">
        <v>4.81319398346709</v>
      </c>
      <c r="AG3314">
        <v>-1.1085452717399999</v>
      </c>
      <c r="AH3314">
        <v>12.1862373061025</v>
      </c>
      <c r="AI3314">
        <v>94.836088682157893</v>
      </c>
      <c r="AJ3314">
        <v>68.447483918475498</v>
      </c>
      <c r="AK3314">
        <v>13.149147828761601</v>
      </c>
      <c r="AL3314">
        <v>87.502510685634903</v>
      </c>
      <c r="AM3314">
        <v>82.502840861238298</v>
      </c>
      <c r="AN3314">
        <v>1.0000000160793201</v>
      </c>
    </row>
    <row r="3315" spans="1:40" x14ac:dyDescent="0.25">
      <c r="A3315" t="str">
        <f>"20190312154621132"</f>
        <v>20190312154621132</v>
      </c>
      <c r="B3315" t="str">
        <f>"1552376781120049"</f>
        <v>1552376781120049</v>
      </c>
      <c r="C3315" t="s">
        <v>40</v>
      </c>
      <c r="D3315">
        <v>4.5255489999999998</v>
      </c>
      <c r="E3315">
        <v>0.59441100000000002</v>
      </c>
      <c r="F3315" t="s">
        <v>52</v>
      </c>
      <c r="G3315">
        <v>-196.35300000000001</v>
      </c>
      <c r="H3315" s="1">
        <v>-1.3348760000000001E-5</v>
      </c>
      <c r="I3315">
        <v>154.41380000000001</v>
      </c>
      <c r="J3315">
        <v>-191.62700000000001</v>
      </c>
      <c r="K3315">
        <v>1.108166</v>
      </c>
      <c r="L3315">
        <v>165.9768</v>
      </c>
      <c r="M3315">
        <v>-1.1904639999999999E-2</v>
      </c>
      <c r="N3315">
        <v>0</v>
      </c>
      <c r="O3315">
        <v>-0.99983869999999997</v>
      </c>
      <c r="P3315">
        <v>-0.1437677</v>
      </c>
      <c r="Q3315">
        <v>3.1728010000000001E-2</v>
      </c>
      <c r="R3315">
        <v>-0.98910279999999995</v>
      </c>
      <c r="S3315">
        <v>-1.149872</v>
      </c>
      <c r="T3315">
        <v>-0.26941409999999999</v>
      </c>
      <c r="U3315">
        <v>-2.877472</v>
      </c>
      <c r="V3315">
        <v>0.13217880000000001</v>
      </c>
      <c r="W3315">
        <v>4.4474529999999998E-2</v>
      </c>
      <c r="X3315">
        <v>0.99022759999999999</v>
      </c>
      <c r="Y3315">
        <v>0.35859869999999999</v>
      </c>
      <c r="Z3315">
        <v>8.6802530000000003E-2</v>
      </c>
      <c r="AA3315">
        <v>0.92944729999999998</v>
      </c>
      <c r="AB3315">
        <v>27</v>
      </c>
      <c r="AC3315">
        <v>-4.7259999999999698</v>
      </c>
      <c r="AD3315">
        <v>-1.10817934876</v>
      </c>
      <c r="AE3315">
        <v>-11.562999999999899</v>
      </c>
      <c r="AF3315">
        <v>4.5521724167593902</v>
      </c>
      <c r="AG3315">
        <v>-1.10817934876</v>
      </c>
      <c r="AH3315">
        <v>11.5277206146539</v>
      </c>
      <c r="AI3315">
        <v>95.109386035138598</v>
      </c>
      <c r="AJ3315">
        <v>68.451471644980799</v>
      </c>
      <c r="AK3315">
        <v>12.443419053878999</v>
      </c>
      <c r="AL3315">
        <v>87.450956232322895</v>
      </c>
      <c r="AM3315">
        <v>82.396917144143302</v>
      </c>
      <c r="AN3315">
        <v>0.999999959394959</v>
      </c>
    </row>
    <row r="3316" spans="1:40" x14ac:dyDescent="0.25">
      <c r="A3316" t="str">
        <f>"20190312154621154"</f>
        <v>20190312154621154</v>
      </c>
      <c r="B3316" t="str">
        <f>"1552376781140545"</f>
        <v>1552376781140545</v>
      </c>
      <c r="C3316" t="s">
        <v>40</v>
      </c>
      <c r="D3316">
        <v>4.677727</v>
      </c>
      <c r="E3316">
        <v>0.59409609999999902</v>
      </c>
      <c r="F3316" t="s">
        <v>52</v>
      </c>
      <c r="G3316">
        <v>-196.34899999999999</v>
      </c>
      <c r="H3316" s="1">
        <v>-1.332475E-5</v>
      </c>
      <c r="I3316">
        <v>154.31970000000001</v>
      </c>
      <c r="J3316">
        <v>-191.63290000000001</v>
      </c>
      <c r="K3316">
        <v>1.1078269999999999</v>
      </c>
      <c r="L3316">
        <v>165.72069999999999</v>
      </c>
      <c r="M3316">
        <v>-1.482004E-2</v>
      </c>
      <c r="N3316">
        <v>0</v>
      </c>
      <c r="O3316">
        <v>-0.99979949999999995</v>
      </c>
      <c r="P3316">
        <v>-0.14890309999999901</v>
      </c>
      <c r="Q3316">
        <v>3.1946200000000001E-2</v>
      </c>
      <c r="R3316">
        <v>-0.98833590000000004</v>
      </c>
      <c r="S3316">
        <v>-1.163681</v>
      </c>
      <c r="T3316">
        <v>-0.27309329999999998</v>
      </c>
      <c r="U3316">
        <v>-2.8726959999999999</v>
      </c>
      <c r="V3316">
        <v>0.13447249999999999</v>
      </c>
      <c r="W3316">
        <v>4.4580769999999999E-2</v>
      </c>
      <c r="X3316">
        <v>0.98991399999999996</v>
      </c>
      <c r="Y3316">
        <v>0.36021540000000002</v>
      </c>
      <c r="Z3316">
        <v>8.800384E-2</v>
      </c>
      <c r="AA3316">
        <v>0.92870889999999995</v>
      </c>
      <c r="AB3316">
        <v>27</v>
      </c>
      <c r="AC3316">
        <v>-4.7161000000000097</v>
      </c>
      <c r="AD3316">
        <v>-1.1078403247499999</v>
      </c>
      <c r="AE3316">
        <v>-11.4009999999999</v>
      </c>
      <c r="AF3316">
        <v>4.5102395391044796</v>
      </c>
      <c r="AG3316">
        <v>-1.1078403247499999</v>
      </c>
      <c r="AH3316">
        <v>11.377912321374501</v>
      </c>
      <c r="AI3316">
        <v>95.172056420912298</v>
      </c>
      <c r="AJ3316">
        <v>68.376472709742501</v>
      </c>
      <c r="AK3316">
        <v>12.2892823093185</v>
      </c>
      <c r="AL3316">
        <v>87.444863221665997</v>
      </c>
      <c r="AM3316">
        <v>82.264143739978095</v>
      </c>
      <c r="AN3316">
        <v>1.00000001285302</v>
      </c>
    </row>
    <row r="3317" spans="1:40" x14ac:dyDescent="0.25">
      <c r="A3317" t="str">
        <f>"20190312154621176"</f>
        <v>20190312154621176</v>
      </c>
      <c r="B3317" t="str">
        <f>"1552376781170801"</f>
        <v>1552376781170801</v>
      </c>
      <c r="C3317" t="s">
        <v>40</v>
      </c>
      <c r="D3317">
        <v>4.6785290000000002</v>
      </c>
      <c r="E3317">
        <v>0.59130539999999998</v>
      </c>
      <c r="F3317" t="s">
        <v>52</v>
      </c>
      <c r="G3317">
        <v>-196.20240000000001</v>
      </c>
      <c r="H3317" s="1">
        <v>-1.3374699999999999E-5</v>
      </c>
      <c r="I3317">
        <v>154.57</v>
      </c>
      <c r="J3317">
        <v>-191.6405</v>
      </c>
      <c r="K3317">
        <v>1.107494</v>
      </c>
      <c r="L3317">
        <v>165.4537</v>
      </c>
      <c r="M3317">
        <v>-1.833392E-2</v>
      </c>
      <c r="N3317">
        <v>0</v>
      </c>
      <c r="O3317">
        <v>-0.99974110000000005</v>
      </c>
      <c r="P3317">
        <v>-0.1553851</v>
      </c>
      <c r="Q3317">
        <v>3.2178020000000002E-2</v>
      </c>
      <c r="R3317">
        <v>-0.98732960000000003</v>
      </c>
      <c r="S3317">
        <v>-1.1751100000000001</v>
      </c>
      <c r="T3317">
        <v>-0.28489890000000001</v>
      </c>
      <c r="U3317">
        <v>-2.8675989999999998</v>
      </c>
      <c r="V3317">
        <v>0.1375277</v>
      </c>
      <c r="W3317">
        <v>4.469414E-2</v>
      </c>
      <c r="X3317">
        <v>0.98948899999999995</v>
      </c>
      <c r="Y3317">
        <v>0.36055540000000003</v>
      </c>
      <c r="Z3317">
        <v>9.1844040000000002E-2</v>
      </c>
      <c r="AA3317">
        <v>0.92820499999999995</v>
      </c>
      <c r="AB3317">
        <v>27</v>
      </c>
      <c r="AC3317">
        <v>-4.5618999999999996</v>
      </c>
      <c r="AD3317">
        <v>-1.1075073746999999</v>
      </c>
      <c r="AE3317">
        <v>-10.883699999999999</v>
      </c>
      <c r="AF3317">
        <v>4.3234952597163101</v>
      </c>
      <c r="AG3317">
        <v>-1.1075073746999999</v>
      </c>
      <c r="AH3317">
        <v>10.869780735731799</v>
      </c>
      <c r="AI3317">
        <v>95.408323333755504</v>
      </c>
      <c r="AJ3317">
        <v>68.3096288039863</v>
      </c>
      <c r="AK3317">
        <v>11.750375189273299</v>
      </c>
      <c r="AL3317">
        <v>87.438360977065898</v>
      </c>
      <c r="AM3317">
        <v>82.087231945529794</v>
      </c>
      <c r="AN3317">
        <v>0.99999995776931305</v>
      </c>
    </row>
    <row r="3318" spans="1:40" x14ac:dyDescent="0.25">
      <c r="A3318" t="str">
        <f>"20190312154621199"</f>
        <v>20190312154621199</v>
      </c>
      <c r="B3318" t="str">
        <f>"1552376781190325"</f>
        <v>1552376781190325</v>
      </c>
      <c r="C3318" t="s">
        <v>40</v>
      </c>
      <c r="D3318">
        <v>4.6770170000000002</v>
      </c>
      <c r="E3318">
        <v>0.59170710000000004</v>
      </c>
      <c r="F3318" t="s">
        <v>52</v>
      </c>
      <c r="G3318">
        <v>-194.44479999999999</v>
      </c>
      <c r="H3318" s="1">
        <v>-1.4707039999999999E-5</v>
      </c>
      <c r="I3318">
        <v>158.54140000000001</v>
      </c>
      <c r="J3318">
        <v>-191.64940000000001</v>
      </c>
      <c r="K3318">
        <v>1.1071770000000001</v>
      </c>
      <c r="L3318">
        <v>165.1876</v>
      </c>
      <c r="M3318">
        <v>-2.2269440000000001E-2</v>
      </c>
      <c r="N3318">
        <v>0</v>
      </c>
      <c r="O3318">
        <v>-0.99966089999999996</v>
      </c>
      <c r="P3318">
        <v>-0.1625384</v>
      </c>
      <c r="Q3318">
        <v>3.2691440000000002E-2</v>
      </c>
      <c r="R3318">
        <v>-0.9861605</v>
      </c>
      <c r="S3318">
        <v>-1.1644589999999999</v>
      </c>
      <c r="T3318">
        <v>-0.45988059999999997</v>
      </c>
      <c r="U3318">
        <v>-2.8702549999999998</v>
      </c>
      <c r="V3318">
        <v>0.14084459999999999</v>
      </c>
      <c r="W3318">
        <v>4.5089039999999997E-2</v>
      </c>
      <c r="X3318">
        <v>0.98900440000000001</v>
      </c>
      <c r="Y3318">
        <v>0.3511068</v>
      </c>
      <c r="Z3318">
        <v>0.14742060000000001</v>
      </c>
      <c r="AA3318">
        <v>0.92465730000000002</v>
      </c>
      <c r="AB3318">
        <v>27</v>
      </c>
      <c r="AC3318">
        <v>-2.7953999999999701</v>
      </c>
      <c r="AD3318">
        <v>-1.1071917070399999</v>
      </c>
      <c r="AE3318">
        <v>-6.6461999999999897</v>
      </c>
      <c r="AF3318">
        <v>2.58571299057009</v>
      </c>
      <c r="AG3318">
        <v>-1.1071917070399999</v>
      </c>
      <c r="AH3318">
        <v>6.5523010860456399</v>
      </c>
      <c r="AI3318">
        <v>98.9327368786345</v>
      </c>
      <c r="AJ3318">
        <v>68.464483944978895</v>
      </c>
      <c r="AK3318">
        <v>7.13052835825901</v>
      </c>
      <c r="AL3318">
        <v>87.415712053082004</v>
      </c>
      <c r="AM3318">
        <v>81.894978778800194</v>
      </c>
      <c r="AN3318">
        <v>0.99999996304831995</v>
      </c>
    </row>
    <row r="3319" spans="1:40" x14ac:dyDescent="0.25">
      <c r="A3319" t="str">
        <f>"20190312154621221"</f>
        <v>20190312154621221</v>
      </c>
      <c r="B3319" t="str">
        <f>"1552376781210817"</f>
        <v>1552376781210817</v>
      </c>
      <c r="C3319" t="s">
        <v>40</v>
      </c>
      <c r="D3319">
        <v>4.6990540000000003</v>
      </c>
      <c r="E3319">
        <v>0.59134469999999995</v>
      </c>
      <c r="F3319" t="s">
        <v>52</v>
      </c>
      <c r="G3319">
        <v>-194.5093</v>
      </c>
      <c r="H3319" s="1">
        <v>-1.4645500000000001E-5</v>
      </c>
      <c r="I3319">
        <v>158.29679999999999</v>
      </c>
      <c r="J3319">
        <v>-191.65989999999999</v>
      </c>
      <c r="K3319">
        <v>1.106886</v>
      </c>
      <c r="L3319">
        <v>164.91659999999999</v>
      </c>
      <c r="M3319">
        <v>-2.6668569999999999E-2</v>
      </c>
      <c r="N3319">
        <v>0</v>
      </c>
      <c r="O3319">
        <v>-0.99955300000000002</v>
      </c>
      <c r="P3319">
        <v>-0.16960420000000001</v>
      </c>
      <c r="Q3319">
        <v>3.303876E-2</v>
      </c>
      <c r="R3319">
        <v>-0.98495820000000001</v>
      </c>
      <c r="S3319">
        <v>-1.187683</v>
      </c>
      <c r="T3319">
        <v>-0.45979510000000001</v>
      </c>
      <c r="U3319">
        <v>-2.8616030000000001</v>
      </c>
      <c r="V3319">
        <v>0.1436191</v>
      </c>
      <c r="W3319">
        <v>4.5325310000000001E-2</v>
      </c>
      <c r="X3319">
        <v>0.98859450000000004</v>
      </c>
      <c r="Y3319">
        <v>0.3543828</v>
      </c>
      <c r="Z3319">
        <v>0.14746529999999899</v>
      </c>
      <c r="AA3319">
        <v>0.92339959999999999</v>
      </c>
      <c r="AB3319">
        <v>27</v>
      </c>
      <c r="AC3319">
        <v>-2.8494000000000002</v>
      </c>
      <c r="AD3319">
        <v>-1.1069006454999999</v>
      </c>
      <c r="AE3319">
        <v>-6.6197999999999899</v>
      </c>
      <c r="AF3319">
        <v>2.6102564747538302</v>
      </c>
      <c r="AG3319">
        <v>-1.1069006454999999</v>
      </c>
      <c r="AH3319">
        <v>6.5391889520347899</v>
      </c>
      <c r="AI3319">
        <v>98.934336337688094</v>
      </c>
      <c r="AJ3319">
        <v>68.239534719921394</v>
      </c>
      <c r="AK3319">
        <v>7.1273880246143797</v>
      </c>
      <c r="AL3319">
        <v>87.402160910128103</v>
      </c>
      <c r="AM3319">
        <v>81.734122800691495</v>
      </c>
      <c r="AN3319">
        <v>0.99999995752082704</v>
      </c>
    </row>
    <row r="3320" spans="1:40" x14ac:dyDescent="0.25">
      <c r="A3320" t="str">
        <f>"20190312154621243"</f>
        <v>20190312154621243</v>
      </c>
      <c r="B3320" t="str">
        <f>"1552376781230338"</f>
        <v>1552376781230338</v>
      </c>
      <c r="C3320" t="s">
        <v>40</v>
      </c>
      <c r="D3320">
        <v>4.7156029999999998</v>
      </c>
      <c r="E3320">
        <v>0.59145649999999905</v>
      </c>
      <c r="F3320" t="s">
        <v>52</v>
      </c>
      <c r="G3320">
        <v>-194.62370000000001</v>
      </c>
      <c r="H3320" s="1">
        <v>-1.4546169999999999E-5</v>
      </c>
      <c r="I3320">
        <v>157.90209999999999</v>
      </c>
      <c r="J3320">
        <v>-191.67160000000001</v>
      </c>
      <c r="K3320">
        <v>1.106616</v>
      </c>
      <c r="L3320">
        <v>164.65559999999999</v>
      </c>
      <c r="M3320">
        <v>-3.1239349999999999E-2</v>
      </c>
      <c r="N3320">
        <v>0</v>
      </c>
      <c r="O3320">
        <v>-0.99942039999999999</v>
      </c>
      <c r="P3320">
        <v>-0.17780560000000001</v>
      </c>
      <c r="Q3320">
        <v>3.2403599999999998E-2</v>
      </c>
      <c r="R3320">
        <v>-0.98353219999999997</v>
      </c>
      <c r="S3320">
        <v>-1.205597</v>
      </c>
      <c r="T3320">
        <v>-0.45025779999999899</v>
      </c>
      <c r="U3320">
        <v>-2.8533170000000001</v>
      </c>
      <c r="V3320">
        <v>0.1473592</v>
      </c>
      <c r="W3320">
        <v>4.4579809999999997E-2</v>
      </c>
      <c r="X3320">
        <v>0.98807789999999995</v>
      </c>
      <c r="Y3320">
        <v>0.35615720000000001</v>
      </c>
      <c r="Z3320">
        <v>0.14460999999999999</v>
      </c>
      <c r="AA3320">
        <v>0.9231684</v>
      </c>
      <c r="AB3320">
        <v>27</v>
      </c>
      <c r="AC3320">
        <v>-2.9521000000000002</v>
      </c>
      <c r="AD3320">
        <v>-1.1066305461699999</v>
      </c>
      <c r="AE3320">
        <v>-6.7534999999999998</v>
      </c>
      <c r="AF3320">
        <v>2.67926642718436</v>
      </c>
      <c r="AG3320">
        <v>-1.1066305461699999</v>
      </c>
      <c r="AH3320">
        <v>6.6915861082745698</v>
      </c>
      <c r="AI3320">
        <v>98.728315854150694</v>
      </c>
      <c r="AJ3320">
        <v>68.179165564955397</v>
      </c>
      <c r="AK3320">
        <v>7.2924909597480498</v>
      </c>
      <c r="AL3320">
        <v>87.444918285525901</v>
      </c>
      <c r="AM3320">
        <v>81.517585866954803</v>
      </c>
      <c r="AN3320">
        <v>1.0000000148763399</v>
      </c>
    </row>
    <row r="3321" spans="1:40" x14ac:dyDescent="0.25">
      <c r="A3321" t="str">
        <f>"20190312154621266"</f>
        <v>20190312154621266</v>
      </c>
      <c r="B3321" t="str">
        <f>"1552376781250834"</f>
        <v>1552376781250834</v>
      </c>
      <c r="C3321" t="s">
        <v>40</v>
      </c>
      <c r="D3321">
        <v>4.6820589999999997</v>
      </c>
      <c r="E3321">
        <v>0.59150080000000005</v>
      </c>
      <c r="F3321" t="s">
        <v>52</v>
      </c>
      <c r="G3321">
        <v>-194.679</v>
      </c>
      <c r="H3321" s="1">
        <v>-1.449787E-5</v>
      </c>
      <c r="I3321">
        <v>157.71010000000001</v>
      </c>
      <c r="J3321">
        <v>-191.68539999999999</v>
      </c>
      <c r="K3321">
        <v>1.1063810000000001</v>
      </c>
      <c r="L3321">
        <v>164.38810000000001</v>
      </c>
      <c r="M3321">
        <v>-3.6240420000000002E-2</v>
      </c>
      <c r="N3321">
        <v>0</v>
      </c>
      <c r="O3321">
        <v>-0.99925140000000001</v>
      </c>
      <c r="P3321">
        <v>-0.1870655</v>
      </c>
      <c r="Q3321">
        <v>2.9900690000000001E-2</v>
      </c>
      <c r="R3321">
        <v>-0.98189230000000005</v>
      </c>
      <c r="S3321">
        <v>-1.23085</v>
      </c>
      <c r="T3321">
        <v>-0.45291969999999998</v>
      </c>
      <c r="U3321">
        <v>-2.8426209999999998</v>
      </c>
      <c r="V3321">
        <v>0.1517259</v>
      </c>
      <c r="W3321">
        <v>4.1965860000000001E-2</v>
      </c>
      <c r="X3321">
        <v>0.9875313</v>
      </c>
      <c r="Y3321">
        <v>0.35960560000000003</v>
      </c>
      <c r="Z3321">
        <v>0.14556259999999999</v>
      </c>
      <c r="AA3321">
        <v>0.92168070000000002</v>
      </c>
      <c r="AB3321">
        <v>27</v>
      </c>
      <c r="AC3321">
        <v>-2.99360000000001</v>
      </c>
      <c r="AD3321">
        <v>-1.1063954978699999</v>
      </c>
      <c r="AE3321">
        <v>-6.6779999999999902</v>
      </c>
      <c r="AF3321">
        <v>2.6881566901764602</v>
      </c>
      <c r="AG3321">
        <v>-1.1063954978699999</v>
      </c>
      <c r="AH3321">
        <v>6.6305629448209498</v>
      </c>
      <c r="AI3321">
        <v>98.790462915635004</v>
      </c>
      <c r="AJ3321">
        <v>67.931427826078306</v>
      </c>
      <c r="AK3321">
        <v>7.2397971210442202</v>
      </c>
      <c r="AL3321">
        <v>87.594826954600506</v>
      </c>
      <c r="AM3321">
        <v>81.265286552506893</v>
      </c>
      <c r="AN3321">
        <v>0.99999997530801898</v>
      </c>
    </row>
    <row r="3322" spans="1:40" x14ac:dyDescent="0.25">
      <c r="A3322" t="str">
        <f>"20190312154621288"</f>
        <v>20190312154621288</v>
      </c>
      <c r="B3322" t="str">
        <f>"1552376781280113"</f>
        <v>1552376781280113</v>
      </c>
      <c r="C3322" t="s">
        <v>40</v>
      </c>
      <c r="D3322">
        <v>4.7373310000000002</v>
      </c>
      <c r="E3322">
        <v>0.59132459999999998</v>
      </c>
      <c r="F3322" t="s">
        <v>52</v>
      </c>
      <c r="G3322">
        <v>-194.6978</v>
      </c>
      <c r="H3322" s="1">
        <v>-1.447166E-5</v>
      </c>
      <c r="I3322">
        <v>157.60589999999999</v>
      </c>
      <c r="J3322">
        <v>-191.7013</v>
      </c>
      <c r="K3322">
        <v>1.10616</v>
      </c>
      <c r="L3322">
        <v>164.1114</v>
      </c>
      <c r="M3322">
        <v>-4.169469E-2</v>
      </c>
      <c r="N3322">
        <v>0</v>
      </c>
      <c r="O3322">
        <v>-0.99903839999999999</v>
      </c>
      <c r="P3322">
        <v>-0.19721230000000001</v>
      </c>
      <c r="Q3322">
        <v>2.771508E-2</v>
      </c>
      <c r="R3322">
        <v>-0.97996910000000004</v>
      </c>
      <c r="S3322">
        <v>-1.2569889999999999</v>
      </c>
      <c r="T3322">
        <v>-0.46165390000000001</v>
      </c>
      <c r="U3322">
        <v>-2.8299099999999999</v>
      </c>
      <c r="V3322">
        <v>0.15654849999999901</v>
      </c>
      <c r="W3322">
        <v>3.9670370000000003E-2</v>
      </c>
      <c r="X3322">
        <v>0.98687329999999995</v>
      </c>
      <c r="Y3322">
        <v>0.36298599999999998</v>
      </c>
      <c r="Z3322">
        <v>0.14849419999999999</v>
      </c>
      <c r="AA3322">
        <v>0.91988619999999999</v>
      </c>
      <c r="AB3322">
        <v>27</v>
      </c>
      <c r="AC3322">
        <v>-2.9964999999999899</v>
      </c>
      <c r="AD3322">
        <v>-1.1061744716599999</v>
      </c>
      <c r="AE3322">
        <v>-6.5055000000000103</v>
      </c>
      <c r="AF3322">
        <v>2.6591967833868102</v>
      </c>
      <c r="AG3322">
        <v>-1.1061744716599999</v>
      </c>
      <c r="AH3322">
        <v>6.47045784936505</v>
      </c>
      <c r="AI3322">
        <v>98.985484286602798</v>
      </c>
      <c r="AJ3322">
        <v>67.658560272813304</v>
      </c>
      <c r="AK3322">
        <v>7.0824977426707898</v>
      </c>
      <c r="AL3322">
        <v>87.726458727198406</v>
      </c>
      <c r="AM3322">
        <v>80.986230643458896</v>
      </c>
      <c r="AN3322">
        <v>1.0000000406805301</v>
      </c>
    </row>
    <row r="3323" spans="1:40" x14ac:dyDescent="0.25">
      <c r="A3323" t="str">
        <f>"20190312154621312"</f>
        <v>20190312154621312</v>
      </c>
      <c r="B3323" t="str">
        <f>"1552376781300610"</f>
        <v>1552376781300610</v>
      </c>
      <c r="C3323" t="s">
        <v>40</v>
      </c>
      <c r="D3323">
        <v>4.7411459999999996</v>
      </c>
      <c r="E3323">
        <v>0.59116230000000003</v>
      </c>
      <c r="F3323" t="s">
        <v>52</v>
      </c>
      <c r="G3323">
        <v>-194.72739999999999</v>
      </c>
      <c r="H3323" s="1">
        <v>-1.443921E-5</v>
      </c>
      <c r="I3323">
        <v>157.477</v>
      </c>
      <c r="J3323">
        <v>-191.71899999999999</v>
      </c>
      <c r="K3323">
        <v>1.1059909999999999</v>
      </c>
      <c r="L3323">
        <v>163.83439999999999</v>
      </c>
      <c r="M3323">
        <v>-4.7366060000000001E-2</v>
      </c>
      <c r="N3323">
        <v>0</v>
      </c>
      <c r="O3323">
        <v>-0.99878540000000005</v>
      </c>
      <c r="P3323">
        <v>-0.20721229999999999</v>
      </c>
      <c r="Q3323">
        <v>2.642773E-2</v>
      </c>
      <c r="R3323">
        <v>-0.97793909999999995</v>
      </c>
      <c r="S3323">
        <v>-1.2844850000000001</v>
      </c>
      <c r="T3323">
        <v>-0.46953699999999998</v>
      </c>
      <c r="U3323">
        <v>-2.8161010000000002</v>
      </c>
      <c r="V3323">
        <v>0.16102830000000001</v>
      </c>
      <c r="W3323">
        <v>3.8285260000000002E-2</v>
      </c>
      <c r="X3323">
        <v>0.9862069</v>
      </c>
      <c r="Y3323">
        <v>0.3666703</v>
      </c>
      <c r="Z3323">
        <v>0.151174</v>
      </c>
      <c r="AA3323">
        <v>0.91798659999999999</v>
      </c>
      <c r="AB3323">
        <v>27</v>
      </c>
      <c r="AC3323">
        <v>-3.00839999999996</v>
      </c>
      <c r="AD3323">
        <v>-1.1060054392100001</v>
      </c>
      <c r="AE3323">
        <v>-6.3573999999999797</v>
      </c>
      <c r="AF3323">
        <v>2.6386207172768801</v>
      </c>
      <c r="AG3323">
        <v>-1.1060054392100001</v>
      </c>
      <c r="AH3323">
        <v>6.3360898996468702</v>
      </c>
      <c r="AI3323">
        <v>99.154054659054694</v>
      </c>
      <c r="AJ3323">
        <v>67.391052018923901</v>
      </c>
      <c r="AK3323">
        <v>6.9520933924690498</v>
      </c>
      <c r="AL3323">
        <v>87.805879869090603</v>
      </c>
      <c r="AM3323">
        <v>80.726553436159605</v>
      </c>
      <c r="AN3323">
        <v>0.99999996207088304</v>
      </c>
    </row>
    <row r="3324" spans="1:40" x14ac:dyDescent="0.25">
      <c r="A3324" t="str">
        <f>"20190312154621334"</f>
        <v>20190312154621334</v>
      </c>
      <c r="B3324" t="str">
        <f>"1552376781320129"</f>
        <v>1552376781320129</v>
      </c>
      <c r="C3324" t="s">
        <v>40</v>
      </c>
      <c r="D3324">
        <v>4.6509400000000003</v>
      </c>
      <c r="E3324">
        <v>0.59167250000000005</v>
      </c>
      <c r="F3324" t="s">
        <v>52</v>
      </c>
      <c r="G3324">
        <v>-194.79740000000001</v>
      </c>
      <c r="H3324" s="1">
        <v>-1.4385490000000001E-5</v>
      </c>
      <c r="I3324">
        <v>157.26349999999999</v>
      </c>
      <c r="J3324">
        <v>-191.73779999999999</v>
      </c>
      <c r="K3324">
        <v>1.1058539999999999</v>
      </c>
      <c r="L3324">
        <v>163.56710000000001</v>
      </c>
      <c r="M3324">
        <v>-5.3022779999999999E-2</v>
      </c>
      <c r="N3324">
        <v>0</v>
      </c>
      <c r="O3324">
        <v>-0.99850079999999997</v>
      </c>
      <c r="P3324">
        <v>-0.21655559999999999</v>
      </c>
      <c r="Q3324">
        <v>2.5435300000000001E-2</v>
      </c>
      <c r="R3324">
        <v>-0.975939</v>
      </c>
      <c r="S3324">
        <v>-1.312851</v>
      </c>
      <c r="T3324">
        <v>-0.4716746</v>
      </c>
      <c r="U3324">
        <v>-2.8022610000000001</v>
      </c>
      <c r="V3324">
        <v>0.16487550000000001</v>
      </c>
      <c r="W3324">
        <v>3.7209329999999999E-2</v>
      </c>
      <c r="X3324">
        <v>0.9856123</v>
      </c>
      <c r="Y3324">
        <v>0.37071379999999998</v>
      </c>
      <c r="Z3324">
        <v>0.15201719999999999</v>
      </c>
      <c r="AA3324">
        <v>0.91622159999999997</v>
      </c>
      <c r="AB3324">
        <v>27</v>
      </c>
      <c r="AC3324">
        <v>-3.0596000000000099</v>
      </c>
      <c r="AD3324">
        <v>-1.10586838549</v>
      </c>
      <c r="AE3324">
        <v>-6.3036000000000101</v>
      </c>
      <c r="AF3324">
        <v>2.6548991430359501</v>
      </c>
      <c r="AG3324">
        <v>-1.10586838549</v>
      </c>
      <c r="AH3324">
        <v>6.3000467832898801</v>
      </c>
      <c r="AI3324">
        <v>99.188411728639593</v>
      </c>
      <c r="AJ3324">
        <v>67.148983328756302</v>
      </c>
      <c r="AK3324">
        <v>6.9254619930630303</v>
      </c>
      <c r="AL3324">
        <v>87.867570244332498</v>
      </c>
      <c r="AM3324">
        <v>80.5033609329287</v>
      </c>
      <c r="AN3324">
        <v>1.00000003532529</v>
      </c>
    </row>
    <row r="3325" spans="1:40" x14ac:dyDescent="0.25">
      <c r="A3325" t="str">
        <f>"20190312154621356"</f>
        <v>20190312154621356</v>
      </c>
      <c r="B3325" t="str">
        <f>"1552376781340625"</f>
        <v>1552376781340625</v>
      </c>
      <c r="C3325" t="s">
        <v>40</v>
      </c>
      <c r="D3325">
        <v>4.653645</v>
      </c>
      <c r="E3325">
        <v>0.59177809999999997</v>
      </c>
      <c r="F3325" t="s">
        <v>52</v>
      </c>
      <c r="G3325">
        <v>-195.01349999999999</v>
      </c>
      <c r="H3325" s="1">
        <v>-1.4210069999999999E-5</v>
      </c>
      <c r="I3325">
        <v>156.78219999999999</v>
      </c>
      <c r="J3325">
        <v>-191.75729999999999</v>
      </c>
      <c r="K3325">
        <v>1.105734</v>
      </c>
      <c r="L3325">
        <v>163.31209999999999</v>
      </c>
      <c r="M3325">
        <v>-5.8591780000000003E-2</v>
      </c>
      <c r="N3325">
        <v>0</v>
      </c>
      <c r="O3325">
        <v>-0.9981894</v>
      </c>
      <c r="P3325">
        <v>-0.22638990000000001</v>
      </c>
      <c r="Q3325">
        <v>2.41671E-2</v>
      </c>
      <c r="R3325">
        <v>-0.97373699999999996</v>
      </c>
      <c r="S3325">
        <v>-1.3456570000000001</v>
      </c>
      <c r="T3325">
        <v>-0.45428629999999998</v>
      </c>
      <c r="U3325">
        <v>-2.787201</v>
      </c>
      <c r="V3325">
        <v>0.16931660000000001</v>
      </c>
      <c r="W3325">
        <v>3.5852200000000001E-2</v>
      </c>
      <c r="X3325">
        <v>0.98490940000000005</v>
      </c>
      <c r="Y3325">
        <v>0.37657629999999997</v>
      </c>
      <c r="Z3325">
        <v>0.146649799999999</v>
      </c>
      <c r="AA3325">
        <v>0.91470439999999997</v>
      </c>
      <c r="AB3325">
        <v>27</v>
      </c>
      <c r="AC3325">
        <v>-3.2562000000000002</v>
      </c>
      <c r="AD3325">
        <v>-1.10574821007</v>
      </c>
      <c r="AE3325">
        <v>-6.5298999999999898</v>
      </c>
      <c r="AF3325">
        <v>2.8035884010140601</v>
      </c>
      <c r="AG3325">
        <v>-1.10574821007</v>
      </c>
      <c r="AH3325">
        <v>6.5588637253530297</v>
      </c>
      <c r="AI3325">
        <v>98.811853553413499</v>
      </c>
      <c r="AJ3325">
        <v>66.855698808845901</v>
      </c>
      <c r="AK3325">
        <v>7.2181355206261903</v>
      </c>
      <c r="AL3325">
        <v>87.9453799499653</v>
      </c>
      <c r="AM3325">
        <v>80.245580639563997</v>
      </c>
      <c r="AN3325">
        <v>1.0000000087443699</v>
      </c>
    </row>
    <row r="3326" spans="1:40" x14ac:dyDescent="0.25">
      <c r="A3326" t="str">
        <f>"20190312154621377"</f>
        <v>20190312154621377</v>
      </c>
      <c r="B3326" t="str">
        <f>"1552376781370881"</f>
        <v>1552376781370881</v>
      </c>
      <c r="C3326" t="s">
        <v>40</v>
      </c>
      <c r="D3326">
        <v>4.675154</v>
      </c>
      <c r="E3326">
        <v>0.59365019999999902</v>
      </c>
      <c r="F3326" t="s">
        <v>52</v>
      </c>
      <c r="G3326">
        <v>-195.14340000000001</v>
      </c>
      <c r="H3326" s="1">
        <v>-1.4095060000000001E-5</v>
      </c>
      <c r="I3326">
        <v>156.4872</v>
      </c>
      <c r="J3326">
        <v>-191.7792</v>
      </c>
      <c r="K3326">
        <v>1.105599</v>
      </c>
      <c r="L3326">
        <v>163.0489</v>
      </c>
      <c r="M3326">
        <v>-6.4515390000000006E-2</v>
      </c>
      <c r="N3326">
        <v>0</v>
      </c>
      <c r="O3326">
        <v>-0.99782369999999998</v>
      </c>
      <c r="P3326">
        <v>-0.23557929999999999</v>
      </c>
      <c r="Q3326">
        <v>2.305838E-2</v>
      </c>
      <c r="R3326">
        <v>-0.97158180000000005</v>
      </c>
      <c r="S3326">
        <v>-1.3754120000000001</v>
      </c>
      <c r="T3326">
        <v>-0.4491581</v>
      </c>
      <c r="U3326">
        <v>-2.772278</v>
      </c>
      <c r="V3326">
        <v>0.17277379999999901</v>
      </c>
      <c r="W3326">
        <v>3.466371E-2</v>
      </c>
      <c r="X3326">
        <v>0.98435139999999999</v>
      </c>
      <c r="Y3326">
        <v>0.38101980000000002</v>
      </c>
      <c r="Z3326">
        <v>0.1451819</v>
      </c>
      <c r="AA3326">
        <v>0.91309700000000005</v>
      </c>
      <c r="AB3326">
        <v>27</v>
      </c>
      <c r="AC3326">
        <v>-3.3642000000000101</v>
      </c>
      <c r="AD3326">
        <v>-1.1056130950600001</v>
      </c>
      <c r="AE3326">
        <v>-6.5617000000000001</v>
      </c>
      <c r="AF3326">
        <v>2.86931488643688</v>
      </c>
      <c r="AG3326">
        <v>-1.1056130950600001</v>
      </c>
      <c r="AH3326">
        <v>6.6163477622153701</v>
      </c>
      <c r="AI3326">
        <v>98.716018990683096</v>
      </c>
      <c r="AJ3326">
        <v>66.555044693583298</v>
      </c>
      <c r="AK3326">
        <v>7.2959856047054297</v>
      </c>
      <c r="AL3326">
        <v>88.013517799249101</v>
      </c>
      <c r="AM3326">
        <v>80.044823591236295</v>
      </c>
      <c r="AN3326">
        <v>1.00000001871968</v>
      </c>
    </row>
    <row r="3327" spans="1:40" x14ac:dyDescent="0.25">
      <c r="A3327" t="str">
        <f>"20190312154621400"</f>
        <v>20190312154621400</v>
      </c>
      <c r="B3327" t="str">
        <f>"1552376781390405"</f>
        <v>1552376781390405</v>
      </c>
      <c r="C3327" t="s">
        <v>40</v>
      </c>
      <c r="D3327">
        <v>4.6926519999999998</v>
      </c>
      <c r="E3327">
        <v>0.59247590000000006</v>
      </c>
      <c r="F3327" t="s">
        <v>52</v>
      </c>
      <c r="G3327">
        <v>-196.8433</v>
      </c>
      <c r="H3327" s="1">
        <v>-1.3098340000000001E-5</v>
      </c>
      <c r="I3327">
        <v>153.2457</v>
      </c>
      <c r="J3327">
        <v>-191.80350000000001</v>
      </c>
      <c r="K3327">
        <v>1.105456</v>
      </c>
      <c r="L3327">
        <v>162.77780000000001</v>
      </c>
      <c r="M3327">
        <v>-7.0800269999999998E-2</v>
      </c>
      <c r="N3327">
        <v>0</v>
      </c>
      <c r="O3327">
        <v>-0.99739719999999998</v>
      </c>
      <c r="P3327">
        <v>-0.2443758</v>
      </c>
      <c r="Q3327">
        <v>2.1309729999999999E-2</v>
      </c>
      <c r="R3327">
        <v>-0.96944640000000004</v>
      </c>
      <c r="S3327">
        <v>-1.420898</v>
      </c>
      <c r="T3327">
        <v>-0.3102125</v>
      </c>
      <c r="U3327">
        <v>-2.7505950000000001</v>
      </c>
      <c r="V3327">
        <v>0.17548429999999901</v>
      </c>
      <c r="W3327">
        <v>3.2841799999999997E-2</v>
      </c>
      <c r="X3327">
        <v>0.98393430000000004</v>
      </c>
      <c r="Y3327">
        <v>0.3925631</v>
      </c>
      <c r="Z3327">
        <v>0.10090010000000001</v>
      </c>
      <c r="AA3327">
        <v>0.91417360000000003</v>
      </c>
      <c r="AB3327">
        <v>27</v>
      </c>
      <c r="AC3327">
        <v>-5.0397999999999801</v>
      </c>
      <c r="AD3327">
        <v>-1.10546909834</v>
      </c>
      <c r="AE3327">
        <v>-9.5321000000000105</v>
      </c>
      <c r="AF3327">
        <v>4.30694023540042</v>
      </c>
      <c r="AG3327">
        <v>-1.10546909834</v>
      </c>
      <c r="AH3327">
        <v>9.7624105677074802</v>
      </c>
      <c r="AI3327">
        <v>95.914903727137798</v>
      </c>
      <c r="AJ3327">
        <v>66.194084009451402</v>
      </c>
      <c r="AK3327">
        <v>10.727369491687201</v>
      </c>
      <c r="AL3327">
        <v>88.117965071186802</v>
      </c>
      <c r="AM3327">
        <v>79.887645263924398</v>
      </c>
      <c r="AN3327">
        <v>1.0000000150451001</v>
      </c>
    </row>
    <row r="3328" spans="1:40" x14ac:dyDescent="0.25">
      <c r="A3328" t="str">
        <f>"20190312154621422"</f>
        <v>20190312154621422</v>
      </c>
      <c r="B3328" t="str">
        <f>"1552376781410897"</f>
        <v>1552376781410897</v>
      </c>
      <c r="C3328" t="s">
        <v>40</v>
      </c>
      <c r="D3328">
        <v>4.6944499999999998</v>
      </c>
      <c r="E3328">
        <v>0.59168609999999999</v>
      </c>
      <c r="F3328" t="s">
        <v>52</v>
      </c>
      <c r="G3328">
        <v>-196.83869999999999</v>
      </c>
      <c r="H3328" s="1">
        <v>-1.3081870000000001E-5</v>
      </c>
      <c r="I3328">
        <v>153.18180000000001</v>
      </c>
      <c r="J3328">
        <v>-191.8289</v>
      </c>
      <c r="K3328">
        <v>1.1053230000000001</v>
      </c>
      <c r="L3328">
        <v>162.51560000000001</v>
      </c>
      <c r="M3328">
        <v>-7.7051819999999993E-2</v>
      </c>
      <c r="N3328">
        <v>0</v>
      </c>
      <c r="O3328">
        <v>-0.99693379999999998</v>
      </c>
      <c r="P3328">
        <v>-0.25305490000000003</v>
      </c>
      <c r="Q3328">
        <v>1.935926E-2</v>
      </c>
      <c r="R3328">
        <v>-0.96725859999999997</v>
      </c>
      <c r="S3328">
        <v>-1.4373020000000001</v>
      </c>
      <c r="T3328">
        <v>-0.31555759999999899</v>
      </c>
      <c r="U3328">
        <v>-2.739166</v>
      </c>
      <c r="V3328">
        <v>0.17812039999999901</v>
      </c>
      <c r="W3328">
        <v>3.0818180000000001E-2</v>
      </c>
      <c r="X3328">
        <v>0.98352600000000001</v>
      </c>
      <c r="Y3328">
        <v>0.392571</v>
      </c>
      <c r="Z3328">
        <v>0.10278859999999999</v>
      </c>
      <c r="AA3328">
        <v>0.91395979999999999</v>
      </c>
      <c r="AB3328">
        <v>26</v>
      </c>
      <c r="AC3328">
        <v>-5.0097999999999798</v>
      </c>
      <c r="AD3328">
        <v>-1.10533608187</v>
      </c>
      <c r="AE3328">
        <v>-9.3337999999999894</v>
      </c>
      <c r="AF3328">
        <v>4.2296007608653303</v>
      </c>
      <c r="AG3328">
        <v>-1.10533608187</v>
      </c>
      <c r="AH3328">
        <v>9.5877105973465593</v>
      </c>
      <c r="AI3328">
        <v>96.021237646142197</v>
      </c>
      <c r="AJ3328">
        <v>66.1954149344961</v>
      </c>
      <c r="AK3328">
        <v>10.5373376594217</v>
      </c>
      <c r="AL3328">
        <v>88.233968753734601</v>
      </c>
      <c r="AM3328">
        <v>79.734773910058706</v>
      </c>
      <c r="AN3328">
        <v>1.0000000148953301</v>
      </c>
    </row>
    <row r="3329" spans="1:40" x14ac:dyDescent="0.25">
      <c r="A3329" t="str">
        <f>"20190312154621444"</f>
        <v>20190312154621444</v>
      </c>
      <c r="B3329" t="str">
        <f>"1552376781430418"</f>
        <v>1552376781430418</v>
      </c>
      <c r="C3329" t="s">
        <v>40</v>
      </c>
      <c r="D3329">
        <v>4.7023460000000004</v>
      </c>
      <c r="E3329">
        <v>0.59068430000000005</v>
      </c>
      <c r="F3329" t="s">
        <v>52</v>
      </c>
      <c r="G3329">
        <v>-196.8212</v>
      </c>
      <c r="H3329" s="1">
        <v>-1.30755199999999E-5</v>
      </c>
      <c r="I3329">
        <v>153.1628</v>
      </c>
      <c r="J3329">
        <v>-191.85550000000001</v>
      </c>
      <c r="K3329">
        <v>1.1051949999999999</v>
      </c>
      <c r="L3329">
        <v>162.26</v>
      </c>
      <c r="M3329">
        <v>-8.3325140000000006E-2</v>
      </c>
      <c r="N3329">
        <v>0</v>
      </c>
      <c r="O3329">
        <v>-0.99642850000000005</v>
      </c>
      <c r="P3329">
        <v>-0.26114199999999999</v>
      </c>
      <c r="Q3329">
        <v>1.716107E-2</v>
      </c>
      <c r="R3329">
        <v>-0.96514789999999995</v>
      </c>
      <c r="S3329">
        <v>-1.4556880000000001</v>
      </c>
      <c r="T3329">
        <v>-0.3223028</v>
      </c>
      <c r="U3329">
        <v>-2.7271730000000001</v>
      </c>
      <c r="V3329">
        <v>0.18014289999999999</v>
      </c>
      <c r="W3329">
        <v>2.8557059999999999E-2</v>
      </c>
      <c r="X3329">
        <v>0.98322580000000004</v>
      </c>
      <c r="Y3329">
        <v>0.39313589999999998</v>
      </c>
      <c r="Z3329">
        <v>0.1051141</v>
      </c>
      <c r="AA3329">
        <v>0.91345240000000005</v>
      </c>
      <c r="AB3329">
        <v>26</v>
      </c>
      <c r="AC3329">
        <v>-4.9656999999999902</v>
      </c>
      <c r="AD3329">
        <v>-1.10520807552</v>
      </c>
      <c r="AE3329">
        <v>-9.0971999999999795</v>
      </c>
      <c r="AF3329">
        <v>4.1432174907716997</v>
      </c>
      <c r="AG3329">
        <v>-1.10520807552</v>
      </c>
      <c r="AH3329">
        <v>9.3727824278872198</v>
      </c>
      <c r="AI3329">
        <v>96.1555233869734</v>
      </c>
      <c r="AJ3329">
        <v>66.152282088389398</v>
      </c>
      <c r="AK3329">
        <v>10.3071230955365</v>
      </c>
      <c r="AL3329">
        <v>88.363578470854307</v>
      </c>
      <c r="AM3329">
        <v>79.617635035651205</v>
      </c>
      <c r="AN3329">
        <v>0.99999997194094603</v>
      </c>
    </row>
    <row r="3330" spans="1:40" x14ac:dyDescent="0.25">
      <c r="A3330" t="str">
        <f>"20190312154621467"</f>
        <v>20190312154621467</v>
      </c>
      <c r="B3330" t="str">
        <f>"1552376781460419"</f>
        <v>1552376781460419</v>
      </c>
      <c r="C3330" t="s">
        <v>40</v>
      </c>
      <c r="D3330">
        <v>4.67225</v>
      </c>
      <c r="E3330">
        <v>0.58952510000000002</v>
      </c>
      <c r="F3330" t="s">
        <v>52</v>
      </c>
      <c r="G3330">
        <v>-196.8151</v>
      </c>
      <c r="H3330" s="1">
        <v>-1.3058849999999999E-5</v>
      </c>
      <c r="I3330">
        <v>153.09870000000001</v>
      </c>
      <c r="J3330">
        <v>-191.88640000000001</v>
      </c>
      <c r="K3330">
        <v>1.105075</v>
      </c>
      <c r="L3330">
        <v>161.98410000000001</v>
      </c>
      <c r="M3330">
        <v>-9.0291819999999995E-2</v>
      </c>
      <c r="N3330">
        <v>0</v>
      </c>
      <c r="O3330">
        <v>-0.99582119999999996</v>
      </c>
      <c r="P3330">
        <v>-0.269733</v>
      </c>
      <c r="Q3330">
        <v>1.578015E-2</v>
      </c>
      <c r="R3330">
        <v>-0.96280589999999999</v>
      </c>
      <c r="S3330">
        <v>-1.4704900000000001</v>
      </c>
      <c r="T3330">
        <v>-0.32768849999999999</v>
      </c>
      <c r="U3330">
        <v>-2.716278</v>
      </c>
      <c r="V3330">
        <v>0.18201929999999999</v>
      </c>
      <c r="W3330">
        <v>2.7115670000000001E-2</v>
      </c>
      <c r="X3330">
        <v>0.98292100000000004</v>
      </c>
      <c r="Y3330">
        <v>0.39199479999999998</v>
      </c>
      <c r="Z3330">
        <v>0.1070212</v>
      </c>
      <c r="AA3330">
        <v>0.91372129999999996</v>
      </c>
      <c r="AB3330">
        <v>26</v>
      </c>
      <c r="AC3330">
        <v>-4.9286999999999903</v>
      </c>
      <c r="AD3330">
        <v>-1.1050880588500001</v>
      </c>
      <c r="AE3330">
        <v>-8.8854000000000006</v>
      </c>
      <c r="AF3330">
        <v>4.0582068811773198</v>
      </c>
      <c r="AG3330">
        <v>-1.1050880588500001</v>
      </c>
      <c r="AH3330">
        <v>9.1855101758454403</v>
      </c>
      <c r="AI3330">
        <v>96.279910044942596</v>
      </c>
      <c r="AJ3330">
        <v>66.163905330989493</v>
      </c>
      <c r="AK3330">
        <v>10.102665979770199</v>
      </c>
      <c r="AL3330">
        <v>88.446196084870806</v>
      </c>
      <c r="AM3330">
        <v>79.508698116900504</v>
      </c>
      <c r="AN3330">
        <v>0.99999998868651896</v>
      </c>
    </row>
    <row r="3331" spans="1:40" x14ac:dyDescent="0.25">
      <c r="A3331" t="str">
        <f>"20190312154621491"</f>
        <v>20190312154621491</v>
      </c>
      <c r="B3331" t="str">
        <f>"1552376781480899"</f>
        <v>1552376781480899</v>
      </c>
      <c r="C3331" t="s">
        <v>40</v>
      </c>
      <c r="D3331">
        <v>4.7194000000000003</v>
      </c>
      <c r="E3331">
        <v>0.58887789999999995</v>
      </c>
      <c r="F3331" t="s">
        <v>52</v>
      </c>
      <c r="G3331">
        <v>-196.828</v>
      </c>
      <c r="H3331" s="1">
        <v>-1.3031210000000001E-5</v>
      </c>
      <c r="I3331">
        <v>152.98429999999999</v>
      </c>
      <c r="J3331">
        <v>-191.92</v>
      </c>
      <c r="K3331">
        <v>1.1049739999999999</v>
      </c>
      <c r="L3331">
        <v>161.70349999999999</v>
      </c>
      <c r="M3331">
        <v>-9.7536940000000003E-2</v>
      </c>
      <c r="N3331">
        <v>0</v>
      </c>
      <c r="O3331">
        <v>-0.99513759999999996</v>
      </c>
      <c r="P3331">
        <v>-0.27778659999999999</v>
      </c>
      <c r="Q3331">
        <v>1.496479E-2</v>
      </c>
      <c r="R3331">
        <v>-0.96052649999999995</v>
      </c>
      <c r="S3331">
        <v>-1.4853670000000001</v>
      </c>
      <c r="T3331">
        <v>-0.33217279999999999</v>
      </c>
      <c r="U3331">
        <v>-2.7052149999999999</v>
      </c>
      <c r="V3331">
        <v>0.18309310000000001</v>
      </c>
      <c r="W3331">
        <v>2.6258139999999999E-2</v>
      </c>
      <c r="X3331">
        <v>0.98274490000000003</v>
      </c>
      <c r="Y3331">
        <v>0.39065569999999999</v>
      </c>
      <c r="Z3331">
        <v>0.1086376</v>
      </c>
      <c r="AA3331">
        <v>0.91410389999999997</v>
      </c>
      <c r="AB3331">
        <v>26</v>
      </c>
      <c r="AC3331">
        <v>-4.9080000000000101</v>
      </c>
      <c r="AD3331">
        <v>-1.1049870312100001</v>
      </c>
      <c r="AE3331">
        <v>-8.7192000000000007</v>
      </c>
      <c r="AF3331">
        <v>3.98546240750147</v>
      </c>
      <c r="AG3331">
        <v>-1.1049870312100001</v>
      </c>
      <c r="AH3331">
        <v>9.04604710995714</v>
      </c>
      <c r="AI3331">
        <v>96.378231463704694</v>
      </c>
      <c r="AJ3331">
        <v>66.222908851573095</v>
      </c>
      <c r="AK3331">
        <v>9.9466514594768896</v>
      </c>
      <c r="AL3331">
        <v>88.495346543129301</v>
      </c>
      <c r="AM3331">
        <v>79.446343715642499</v>
      </c>
      <c r="AN3331">
        <v>1.00000005582993</v>
      </c>
    </row>
    <row r="3332" spans="1:40" x14ac:dyDescent="0.25">
      <c r="A3332" t="str">
        <f>"20190312154621513"</f>
        <v>20190312154621513</v>
      </c>
      <c r="B3332" t="str">
        <f>"1552376781500419"</f>
        <v>1552376781500419</v>
      </c>
      <c r="C3332" t="s">
        <v>40</v>
      </c>
      <c r="D3332">
        <v>4.7087909999999997</v>
      </c>
      <c r="E3332">
        <v>0.58187670000000002</v>
      </c>
      <c r="F3332" t="s">
        <v>52</v>
      </c>
      <c r="G3332">
        <v>-196.87100000000001</v>
      </c>
      <c r="H3332" s="1">
        <v>-1.299561E-5</v>
      </c>
      <c r="I3332">
        <v>152.82759999999999</v>
      </c>
      <c r="J3332">
        <v>-191.95330000000001</v>
      </c>
      <c r="K3332">
        <v>1.104895</v>
      </c>
      <c r="L3332">
        <v>161.4417</v>
      </c>
      <c r="M3332">
        <v>-0.1044214</v>
      </c>
      <c r="N3332">
        <v>0</v>
      </c>
      <c r="O3332">
        <v>-0.99443839999999994</v>
      </c>
      <c r="P3332">
        <v>-0.2848678</v>
      </c>
      <c r="Q3332">
        <v>1.3804139999999999E-2</v>
      </c>
      <c r="R3332">
        <v>-0.95846750000000003</v>
      </c>
      <c r="S3332">
        <v>-1.5027010000000001</v>
      </c>
      <c r="T3332">
        <v>-0.33537909999999999</v>
      </c>
      <c r="U3332">
        <v>-2.6939389999999999</v>
      </c>
      <c r="V3332">
        <v>0.1835338</v>
      </c>
      <c r="W3332">
        <v>2.5071679999999999E-2</v>
      </c>
      <c r="X3332">
        <v>0.98269359999999994</v>
      </c>
      <c r="Y3332">
        <v>0.39034180000000002</v>
      </c>
      <c r="Z3332">
        <v>0.10980090000000001</v>
      </c>
      <c r="AA3332">
        <v>0.91409899999999999</v>
      </c>
      <c r="AB3332">
        <v>26</v>
      </c>
      <c r="AC3332">
        <v>-4.91769999999996</v>
      </c>
      <c r="AD3332">
        <v>-1.1049079956100001</v>
      </c>
      <c r="AE3332">
        <v>-8.6141000000000005</v>
      </c>
      <c r="AF3332">
        <v>3.9423115212698798</v>
      </c>
      <c r="AG3332">
        <v>-1.1049079956100001</v>
      </c>
      <c r="AH3332">
        <v>8.96926606028509</v>
      </c>
      <c r="AI3332">
        <v>96.434364682742896</v>
      </c>
      <c r="AJ3332">
        <v>66.272802849842805</v>
      </c>
      <c r="AK3332">
        <v>9.8595322135323595</v>
      </c>
      <c r="AL3332">
        <v>88.563347981890502</v>
      </c>
      <c r="AM3332">
        <v>79.420974281067998</v>
      </c>
      <c r="AN3332">
        <v>0.99999997818070996</v>
      </c>
    </row>
    <row r="3333" spans="1:40" x14ac:dyDescent="0.25">
      <c r="A3333" t="str">
        <f>"20190312154621536"</f>
        <v>20190312154621536</v>
      </c>
      <c r="B3333" t="str">
        <f>"1552376781520916"</f>
        <v>1552376781520916</v>
      </c>
      <c r="C3333" t="s">
        <v>40</v>
      </c>
      <c r="D3333">
        <v>4.7243820000000003</v>
      </c>
      <c r="E3333">
        <v>0.58128690000000005</v>
      </c>
      <c r="F3333" t="s">
        <v>52</v>
      </c>
      <c r="G3333">
        <v>-196.6602</v>
      </c>
      <c r="H3333" s="1">
        <v>-1.296911E-5</v>
      </c>
      <c r="I3333">
        <v>152.79660000000001</v>
      </c>
      <c r="J3333">
        <v>-191.9897</v>
      </c>
      <c r="K3333">
        <v>1.104824</v>
      </c>
      <c r="L3333">
        <v>161.17179999999999</v>
      </c>
      <c r="M3333">
        <v>-0.1116366</v>
      </c>
      <c r="N3333">
        <v>0</v>
      </c>
      <c r="O3333">
        <v>-0.99365409999999998</v>
      </c>
      <c r="P3333">
        <v>-0.2924119</v>
      </c>
      <c r="Q3333">
        <v>1.310439E-2</v>
      </c>
      <c r="R3333">
        <v>-0.95620269999999996</v>
      </c>
      <c r="S3333">
        <v>-1.469147</v>
      </c>
      <c r="T3333">
        <v>-0.3448697</v>
      </c>
      <c r="U3333">
        <v>-2.698334</v>
      </c>
      <c r="V3333">
        <v>0.18413959999999999</v>
      </c>
      <c r="W3333">
        <v>2.4347580000000001E-2</v>
      </c>
      <c r="X3333">
        <v>0.98259850000000004</v>
      </c>
      <c r="Y3333">
        <v>0.37406430000000002</v>
      </c>
      <c r="Z3333">
        <v>0.1132817</v>
      </c>
      <c r="AA3333">
        <v>0.92045809999999995</v>
      </c>
      <c r="AB3333">
        <v>26</v>
      </c>
      <c r="AC3333">
        <v>-4.6704999999999997</v>
      </c>
      <c r="AD3333">
        <v>-1.10483696911</v>
      </c>
      <c r="AE3333">
        <v>-8.3751999999999693</v>
      </c>
      <c r="AF3333">
        <v>3.6576796587842102</v>
      </c>
      <c r="AG3333">
        <v>-1.10483696911</v>
      </c>
      <c r="AH3333">
        <v>8.7284224902481995</v>
      </c>
      <c r="AI3333">
        <v>96.658749840509799</v>
      </c>
      <c r="AJ3333">
        <v>67.2636880323507</v>
      </c>
      <c r="AK3333">
        <v>9.5280976266443993</v>
      </c>
      <c r="AL3333">
        <v>88.604848565818301</v>
      </c>
      <c r="AM3333">
        <v>79.385843698057798</v>
      </c>
      <c r="AN3333">
        <v>1.0000000045711299</v>
      </c>
    </row>
    <row r="3334" spans="1:40" x14ac:dyDescent="0.25">
      <c r="A3334" t="str">
        <f>"20190312154621579"</f>
        <v>20190312154621579</v>
      </c>
      <c r="B3334" t="str">
        <f>"1552376781570255"</f>
        <v>1552376781570255</v>
      </c>
      <c r="C3334" t="s">
        <v>40</v>
      </c>
      <c r="D3334">
        <v>4.710051</v>
      </c>
      <c r="E3334">
        <v>0.57934469999999905</v>
      </c>
      <c r="F3334" t="s">
        <v>52</v>
      </c>
      <c r="G3334">
        <v>-196.78</v>
      </c>
      <c r="H3334" s="1">
        <v>-1.29070899999999E-5</v>
      </c>
      <c r="I3334">
        <v>152.50790000000001</v>
      </c>
      <c r="J3334">
        <v>-192.0633</v>
      </c>
      <c r="K3334">
        <v>1.104711</v>
      </c>
      <c r="L3334">
        <v>160.667</v>
      </c>
      <c r="M3334">
        <v>-0.12539349999999999</v>
      </c>
      <c r="N3334">
        <v>0</v>
      </c>
      <c r="O3334">
        <v>-0.99201170000000005</v>
      </c>
      <c r="P3334">
        <v>-0.30800460000000002</v>
      </c>
      <c r="Q3334">
        <v>1.2769320000000001E-2</v>
      </c>
      <c r="R3334">
        <v>-0.95129940000000002</v>
      </c>
      <c r="S3334">
        <v>-1.4860530000000001</v>
      </c>
      <c r="T3334">
        <v>-0.34274139999999997</v>
      </c>
      <c r="U3334">
        <v>-2.6876829999999998</v>
      </c>
      <c r="V3334">
        <v>0.18659039999999999</v>
      </c>
      <c r="W3334">
        <v>2.3950969999999999E-2</v>
      </c>
      <c r="X3334">
        <v>0.98214579999999996</v>
      </c>
      <c r="Y3334">
        <v>0.36722700000000003</v>
      </c>
      <c r="Z3334">
        <v>0.112697699999999</v>
      </c>
      <c r="AA3334">
        <v>0.92327870000000001</v>
      </c>
      <c r="AB3334">
        <v>26</v>
      </c>
      <c r="AC3334">
        <v>-4.7167000000000003</v>
      </c>
      <c r="AD3334">
        <v>-1.1047239070899999</v>
      </c>
      <c r="AE3334">
        <v>-8.1590999999999898</v>
      </c>
      <c r="AF3334">
        <v>3.6067111113186798</v>
      </c>
      <c r="AG3334">
        <v>-1.1047239070899999</v>
      </c>
      <c r="AH3334">
        <v>8.5684525108688803</v>
      </c>
      <c r="AI3334">
        <v>96.776735203626998</v>
      </c>
      <c r="AJ3334">
        <v>67.172357475858703</v>
      </c>
      <c r="AK3334">
        <v>9.3620061088647599</v>
      </c>
      <c r="AL3334">
        <v>88.627579266972603</v>
      </c>
      <c r="AM3334">
        <v>79.243007099452697</v>
      </c>
      <c r="AN3334">
        <v>0.99999999939687001</v>
      </c>
    </row>
    <row r="3335" spans="1:40" x14ac:dyDescent="0.25">
      <c r="A3335" t="str">
        <f>"20190312154621600"</f>
        <v>20190312154621600</v>
      </c>
      <c r="B3335" t="str">
        <f>"1552376781590747"</f>
        <v>1552376781590747</v>
      </c>
      <c r="C3335" t="s">
        <v>40</v>
      </c>
      <c r="D3335">
        <v>4.762543</v>
      </c>
      <c r="E3335">
        <v>0.57958769999999904</v>
      </c>
      <c r="F3335" t="s">
        <v>52</v>
      </c>
      <c r="G3335">
        <v>-197.0078</v>
      </c>
      <c r="H3335" s="1">
        <v>-1.2790119999999999E-5</v>
      </c>
      <c r="I3335">
        <v>151.96270000000001</v>
      </c>
      <c r="J3335">
        <v>-192.10300000000001</v>
      </c>
      <c r="K3335">
        <v>1.1046609999999999</v>
      </c>
      <c r="L3335">
        <v>160.41460000000001</v>
      </c>
      <c r="M3335">
        <v>-0.13237009999999999</v>
      </c>
      <c r="N3335">
        <v>0</v>
      </c>
      <c r="O3335">
        <v>-0.99110480000000001</v>
      </c>
      <c r="P3335">
        <v>-0.31617469999999998</v>
      </c>
      <c r="Q3335">
        <v>1.2233569999999999E-2</v>
      </c>
      <c r="R3335">
        <v>-0.94862219999999997</v>
      </c>
      <c r="S3335">
        <v>-1.515274</v>
      </c>
      <c r="T3335">
        <v>-0.33855410000000002</v>
      </c>
      <c r="U3335">
        <v>-2.6675110000000002</v>
      </c>
      <c r="V3335">
        <v>0.18812180000000001</v>
      </c>
      <c r="W3335">
        <v>2.338322E-2</v>
      </c>
      <c r="X3335">
        <v>0.9818673</v>
      </c>
      <c r="Y3335">
        <v>0.37138549999999998</v>
      </c>
      <c r="Z3335">
        <v>0.111536999999999</v>
      </c>
      <c r="AA3335">
        <v>0.92175499999999999</v>
      </c>
      <c r="AB3335">
        <v>26</v>
      </c>
      <c r="AC3335">
        <v>-4.9048000000000203</v>
      </c>
      <c r="AD3335">
        <v>-1.1046737901200001</v>
      </c>
      <c r="AE3335">
        <v>-8.4518999999999895</v>
      </c>
      <c r="AF3335">
        <v>3.6955208082829301</v>
      </c>
      <c r="AG3335">
        <v>-1.1046737901200001</v>
      </c>
      <c r="AH3335">
        <v>8.9129228124420301</v>
      </c>
      <c r="AI3335">
        <v>96.531332847537996</v>
      </c>
      <c r="AJ3335">
        <v>67.479880540666201</v>
      </c>
      <c r="AK3335">
        <v>9.7117130974704899</v>
      </c>
      <c r="AL3335">
        <v>88.660118048884797</v>
      </c>
      <c r="AM3335">
        <v>79.153803509994503</v>
      </c>
      <c r="AN3335">
        <v>0.99999999071104895</v>
      </c>
    </row>
    <row r="3336" spans="1:40" x14ac:dyDescent="0.25">
      <c r="A3336" t="str">
        <f>"20190312154621622"</f>
        <v>20190312154621622</v>
      </c>
      <c r="B3336" t="str">
        <f>"1552376781610268"</f>
        <v>1552376781610268</v>
      </c>
      <c r="C3336" t="s">
        <v>40</v>
      </c>
      <c r="D3336">
        <v>4.7841209999999998</v>
      </c>
      <c r="E3336">
        <v>0.58358999999999905</v>
      </c>
      <c r="F3336" t="s">
        <v>52</v>
      </c>
      <c r="G3336">
        <v>-197.1063</v>
      </c>
      <c r="H3336" s="1">
        <v>-1.275582E-5</v>
      </c>
      <c r="I3336">
        <v>151.79169999999999</v>
      </c>
      <c r="J3336">
        <v>-192.1463</v>
      </c>
      <c r="K3336">
        <v>1.1046240000000001</v>
      </c>
      <c r="L3336">
        <v>160.15129999999999</v>
      </c>
      <c r="M3336">
        <v>-0.1396925</v>
      </c>
      <c r="N3336">
        <v>0</v>
      </c>
      <c r="O3336">
        <v>-0.99009919999999996</v>
      </c>
      <c r="P3336">
        <v>-0.324358799999999</v>
      </c>
      <c r="Q3336">
        <v>1.1612839999999999E-2</v>
      </c>
      <c r="R3336">
        <v>-0.94586309999999996</v>
      </c>
      <c r="S3336">
        <v>-1.539749</v>
      </c>
      <c r="T3336">
        <v>-0.3399606</v>
      </c>
      <c r="U3336">
        <v>-2.6536710000000001</v>
      </c>
      <c r="V3336">
        <v>0.18934019999999999</v>
      </c>
      <c r="W3336">
        <v>2.2739180000000001E-2</v>
      </c>
      <c r="X3336">
        <v>0.98164819999999997</v>
      </c>
      <c r="Y3336">
        <v>0.37294840000000001</v>
      </c>
      <c r="Z3336">
        <v>0.1120476</v>
      </c>
      <c r="AA3336">
        <v>0.92106180000000004</v>
      </c>
      <c r="AB3336">
        <v>26</v>
      </c>
      <c r="AC3336">
        <v>-4.96</v>
      </c>
      <c r="AD3336">
        <v>-1.1046367558200001</v>
      </c>
      <c r="AE3336">
        <v>-8.3596000000000004</v>
      </c>
      <c r="AF3336">
        <v>3.69574469080196</v>
      </c>
      <c r="AG3336">
        <v>-1.1046367558200001</v>
      </c>
      <c r="AH3336">
        <v>8.8561850288725505</v>
      </c>
      <c r="AI3336">
        <v>96.566400427821605</v>
      </c>
      <c r="AJ3336">
        <v>67.348899306505103</v>
      </c>
      <c r="AK3336">
        <v>9.6597497093623392</v>
      </c>
      <c r="AL3336">
        <v>88.6970286325774</v>
      </c>
      <c r="AM3336">
        <v>79.082860817235996</v>
      </c>
      <c r="AN3336">
        <v>0.999999985103176</v>
      </c>
    </row>
    <row r="3337" spans="1:40" x14ac:dyDescent="0.25">
      <c r="A3337" t="str">
        <f>"20190312154621646"</f>
        <v>20190312154621646</v>
      </c>
      <c r="B3337" t="str">
        <f>"1552376781640523"</f>
        <v>1552376781640523</v>
      </c>
      <c r="C3337" t="s">
        <v>40</v>
      </c>
      <c r="D3337">
        <v>4.8161319999999996</v>
      </c>
      <c r="E3337">
        <v>0.58679320000000001</v>
      </c>
      <c r="F3337" t="s">
        <v>52</v>
      </c>
      <c r="G3337">
        <v>-197.1515</v>
      </c>
      <c r="H3337" s="1">
        <v>-1.278318E-5</v>
      </c>
      <c r="I3337">
        <v>151.8845</v>
      </c>
      <c r="J3337">
        <v>-192.1919</v>
      </c>
      <c r="K3337">
        <v>1.1046039999999999</v>
      </c>
      <c r="L3337">
        <v>159.8877</v>
      </c>
      <c r="M3337">
        <v>-0.147063</v>
      </c>
      <c r="N3337">
        <v>0</v>
      </c>
      <c r="O3337">
        <v>-0.98903110000000005</v>
      </c>
      <c r="P3337">
        <v>-0.33385029999999999</v>
      </c>
      <c r="Q3337">
        <v>1.113545E-2</v>
      </c>
      <c r="R3337">
        <v>-0.94256070000000003</v>
      </c>
      <c r="S3337">
        <v>-1.5923309999999999</v>
      </c>
      <c r="T3337">
        <v>-0.35142269999999998</v>
      </c>
      <c r="U3337">
        <v>-2.6299589999999999</v>
      </c>
      <c r="V3337">
        <v>0.19189020000000001</v>
      </c>
      <c r="W3337">
        <v>2.22229E-2</v>
      </c>
      <c r="X3337">
        <v>0.98116479999999995</v>
      </c>
      <c r="Y3337">
        <v>0.3829997</v>
      </c>
      <c r="Z3337">
        <v>0.1156768</v>
      </c>
      <c r="AA3337">
        <v>0.91647699999999999</v>
      </c>
      <c r="AB3337">
        <v>26</v>
      </c>
      <c r="AC3337">
        <v>-4.9595999999999902</v>
      </c>
      <c r="AD3337">
        <v>-1.10461678318</v>
      </c>
      <c r="AE3337">
        <v>-8.0031999999999908</v>
      </c>
      <c r="AF3337">
        <v>3.67795418658975</v>
      </c>
      <c r="AG3337">
        <v>-1.10461678318</v>
      </c>
      <c r="AH3337">
        <v>8.5282245605830305</v>
      </c>
      <c r="AI3337">
        <v>96.782648674950494</v>
      </c>
      <c r="AJ3337">
        <v>66.670987604071399</v>
      </c>
      <c r="AK3337">
        <v>9.3529748952976206</v>
      </c>
      <c r="AL3337">
        <v>88.726616840342402</v>
      </c>
      <c r="AM3337">
        <v>78.934118393546001</v>
      </c>
      <c r="AN3337">
        <v>1.00000003544974</v>
      </c>
    </row>
    <row r="3338" spans="1:40" x14ac:dyDescent="0.25">
      <c r="A3338" t="str">
        <f>"20190312154621667"</f>
        <v>20190312154621667</v>
      </c>
      <c r="B3338" t="str">
        <f>"1552376781660947"</f>
        <v>1552376781660947</v>
      </c>
      <c r="C3338" t="s">
        <v>40</v>
      </c>
      <c r="D3338">
        <v>4.7505839999999999</v>
      </c>
      <c r="E3338">
        <v>0.58818340000000002</v>
      </c>
      <c r="F3338" t="s">
        <v>52</v>
      </c>
      <c r="G3338">
        <v>-196.98500000000001</v>
      </c>
      <c r="H3338" s="1">
        <v>-1.286701E-5</v>
      </c>
      <c r="I3338">
        <v>152.27629999999999</v>
      </c>
      <c r="J3338">
        <v>-192.239</v>
      </c>
      <c r="K3338">
        <v>1.1046</v>
      </c>
      <c r="L3338">
        <v>159.62719999999999</v>
      </c>
      <c r="M3338">
        <v>-0.15436929999999999</v>
      </c>
      <c r="N3338">
        <v>0</v>
      </c>
      <c r="O3338">
        <v>-0.98791700000000005</v>
      </c>
      <c r="P3338">
        <v>-0.34348010000000001</v>
      </c>
      <c r="Q3338">
        <v>1.1043829999999999E-2</v>
      </c>
      <c r="R3338">
        <v>-0.93909540000000002</v>
      </c>
      <c r="S3338">
        <v>-1.6410979999999999</v>
      </c>
      <c r="T3338">
        <v>-0.3782046</v>
      </c>
      <c r="U3338">
        <v>-2.606033</v>
      </c>
      <c r="V3338">
        <v>0.19467899999999999</v>
      </c>
      <c r="W3338">
        <v>2.2092750000000001E-2</v>
      </c>
      <c r="X3338">
        <v>0.9806182</v>
      </c>
      <c r="Y3338">
        <v>0.39170949999999999</v>
      </c>
      <c r="Z3338">
        <v>0.1242962</v>
      </c>
      <c r="AA3338">
        <v>0.91165459999999998</v>
      </c>
      <c r="AB3338">
        <v>26</v>
      </c>
      <c r="AC3338">
        <v>-4.7460000000000004</v>
      </c>
      <c r="AD3338">
        <v>-1.1046128670099999</v>
      </c>
      <c r="AE3338">
        <v>-7.3508999999999904</v>
      </c>
      <c r="AF3338">
        <v>3.4984820467278301</v>
      </c>
      <c r="AG3338">
        <v>-1.1046128670099999</v>
      </c>
      <c r="AH3338">
        <v>7.8700479324420698</v>
      </c>
      <c r="AI3338">
        <v>97.308588552690296</v>
      </c>
      <c r="AJ3338">
        <v>66.033359158659394</v>
      </c>
      <c r="AK3338">
        <v>8.6831561471723404</v>
      </c>
      <c r="AL3338">
        <v>88.734075708134498</v>
      </c>
      <c r="AM3338">
        <v>78.771251768817507</v>
      </c>
      <c r="AN3338">
        <v>1.0000000284074</v>
      </c>
    </row>
    <row r="3339" spans="1:40" x14ac:dyDescent="0.25">
      <c r="A3339" t="str">
        <f>"20190312154621690"</f>
        <v>20190312154621690</v>
      </c>
      <c r="B3339" t="str">
        <f>"1552376781680461"</f>
        <v>1552376781680461</v>
      </c>
      <c r="C3339" t="s">
        <v>40</v>
      </c>
      <c r="D3339">
        <v>4.7560979999999997</v>
      </c>
      <c r="E3339">
        <v>0.58895520000000001</v>
      </c>
      <c r="F3339" t="s">
        <v>52</v>
      </c>
      <c r="G3339">
        <v>-197.11439999999999</v>
      </c>
      <c r="H3339" s="1">
        <v>-1.283788E-5</v>
      </c>
      <c r="I3339">
        <v>152.11500000000001</v>
      </c>
      <c r="J3339">
        <v>-192.2878</v>
      </c>
      <c r="K3339">
        <v>1.1046020000000001</v>
      </c>
      <c r="L3339">
        <v>159.36779999999999</v>
      </c>
      <c r="M3339">
        <v>-0.16165089999999999</v>
      </c>
      <c r="N3339">
        <v>0</v>
      </c>
      <c r="O3339">
        <v>-0.98675159999999995</v>
      </c>
      <c r="P3339">
        <v>-0.3529427</v>
      </c>
      <c r="Q3339">
        <v>1.1294210000000001E-2</v>
      </c>
      <c r="R3339">
        <v>-0.93557679999999999</v>
      </c>
      <c r="S3339">
        <v>-1.6778869999999999</v>
      </c>
      <c r="T3339">
        <v>-0.38015310000000002</v>
      </c>
      <c r="U3339">
        <v>-2.5853269999999999</v>
      </c>
      <c r="V3339">
        <v>0.19734950000000001</v>
      </c>
      <c r="W3339">
        <v>2.2309659999999999E-2</v>
      </c>
      <c r="X3339">
        <v>0.98007929999999999</v>
      </c>
      <c r="Y3339">
        <v>0.3973565</v>
      </c>
      <c r="Z3339">
        <v>0.12493750000000001</v>
      </c>
      <c r="AA3339">
        <v>0.90911960000000003</v>
      </c>
      <c r="AB3339">
        <v>26</v>
      </c>
      <c r="AC3339">
        <v>-4.8265999999999796</v>
      </c>
      <c r="AD3339">
        <v>-1.10461483787999</v>
      </c>
      <c r="AE3339">
        <v>-7.2527999999999704</v>
      </c>
      <c r="AF3339">
        <v>3.5337655343848899</v>
      </c>
      <c r="AG3339">
        <v>-1.10461483787999</v>
      </c>
      <c r="AH3339">
        <v>7.8121021240300497</v>
      </c>
      <c r="AI3339">
        <v>97.341007671676607</v>
      </c>
      <c r="AJ3339">
        <v>65.660618849930998</v>
      </c>
      <c r="AK3339">
        <v>8.6450339726542396</v>
      </c>
      <c r="AL3339">
        <v>88.721644568078304</v>
      </c>
      <c r="AM3339">
        <v>78.615120775191698</v>
      </c>
      <c r="AN3339">
        <v>0.99999999018402697</v>
      </c>
    </row>
    <row r="3340" spans="1:40" x14ac:dyDescent="0.25">
      <c r="A3340" t="str">
        <f>"20190312154621714"</f>
        <v>20190312154621714</v>
      </c>
      <c r="B3340" t="str">
        <f>"1552376781700953"</f>
        <v>1552376781700953</v>
      </c>
      <c r="C3340" t="s">
        <v>40</v>
      </c>
      <c r="D3340">
        <v>4.9389430000000001</v>
      </c>
      <c r="E3340">
        <v>0.58931089999999997</v>
      </c>
      <c r="F3340" t="s">
        <v>52</v>
      </c>
      <c r="G3340">
        <v>-197.25890000000001</v>
      </c>
      <c r="H3340" s="1">
        <v>-1.279797E-5</v>
      </c>
      <c r="I3340">
        <v>151.90539999999999</v>
      </c>
      <c r="J3340">
        <v>-192.34100000000001</v>
      </c>
      <c r="K3340">
        <v>1.1046129999999901</v>
      </c>
      <c r="L3340">
        <v>159.0966</v>
      </c>
      <c r="M3340">
        <v>-0.16926620000000001</v>
      </c>
      <c r="N3340">
        <v>0</v>
      </c>
      <c r="O3340">
        <v>-0.98547370000000001</v>
      </c>
      <c r="P3340">
        <v>-0.36297200000000002</v>
      </c>
      <c r="Q3340">
        <v>1.115616E-2</v>
      </c>
      <c r="R3340">
        <v>-0.93173340000000004</v>
      </c>
      <c r="S3340">
        <v>-1.7095180000000001</v>
      </c>
      <c r="T3340">
        <v>-0.3798724</v>
      </c>
      <c r="U3340">
        <v>-2.566284</v>
      </c>
      <c r="V3340">
        <v>0.2003057</v>
      </c>
      <c r="W3340">
        <v>2.2135660000000001E-2</v>
      </c>
      <c r="X3340">
        <v>0.9794834</v>
      </c>
      <c r="Y3340">
        <v>0.40116289999999999</v>
      </c>
      <c r="Z3340">
        <v>0.1248721</v>
      </c>
      <c r="AA3340">
        <v>0.90745540000000002</v>
      </c>
      <c r="AB3340">
        <v>26</v>
      </c>
      <c r="AC3340">
        <v>-4.9179000000000297</v>
      </c>
      <c r="AD3340">
        <v>-1.1046257979699901</v>
      </c>
      <c r="AE3340">
        <v>-7.1912000000000003</v>
      </c>
      <c r="AF3340">
        <v>3.5721518229816098</v>
      </c>
      <c r="AG3340">
        <v>-1.1046257979699901</v>
      </c>
      <c r="AH3340">
        <v>7.7946164847919102</v>
      </c>
      <c r="AI3340">
        <v>97.341085821911406</v>
      </c>
      <c r="AJ3340">
        <v>65.378748054030197</v>
      </c>
      <c r="AK3340">
        <v>8.6450282211778493</v>
      </c>
      <c r="AL3340">
        <v>88.731616567092502</v>
      </c>
      <c r="AM3340">
        <v>78.4422934924456</v>
      </c>
      <c r="AN3340">
        <v>1.00000004588584</v>
      </c>
    </row>
    <row r="3341" spans="1:40" x14ac:dyDescent="0.25">
      <c r="A3341" t="str">
        <f>"20190312154621736"</f>
        <v>20190312154621736</v>
      </c>
      <c r="B3341" t="str">
        <f>"1552376781730234"</f>
        <v>1552376781730234</v>
      </c>
      <c r="C3341" t="s">
        <v>40</v>
      </c>
      <c r="D3341">
        <v>4.7169559999999997</v>
      </c>
      <c r="E3341">
        <v>0.58976219999999901</v>
      </c>
      <c r="F3341" t="s">
        <v>52</v>
      </c>
      <c r="G3341">
        <v>-197.3794</v>
      </c>
      <c r="H3341" s="1">
        <v>-1.276243E-5</v>
      </c>
      <c r="I3341">
        <v>151.7217</v>
      </c>
      <c r="J3341">
        <v>-192.392</v>
      </c>
      <c r="K3341">
        <v>1.104617</v>
      </c>
      <c r="L3341">
        <v>158.84639999999999</v>
      </c>
      <c r="M3341">
        <v>-0.17628849999999999</v>
      </c>
      <c r="N3341">
        <v>0</v>
      </c>
      <c r="O3341">
        <v>-0.98424179999999994</v>
      </c>
      <c r="P3341">
        <v>-0.37239509999999998</v>
      </c>
      <c r="Q3341">
        <v>1.1233419999999999E-2</v>
      </c>
      <c r="R3341">
        <v>-0.92800660000000001</v>
      </c>
      <c r="S3341">
        <v>-1.73979199999999</v>
      </c>
      <c r="T3341">
        <v>-0.38142999999999999</v>
      </c>
      <c r="U3341">
        <v>-2.54657</v>
      </c>
      <c r="V3341">
        <v>0.20324739999999999</v>
      </c>
      <c r="W3341">
        <v>2.2176660000000001E-2</v>
      </c>
      <c r="X3341">
        <v>0.97887619999999997</v>
      </c>
      <c r="Y3341">
        <v>0.40522829999999999</v>
      </c>
      <c r="Z3341">
        <v>0.12543499999999999</v>
      </c>
      <c r="AA3341">
        <v>0.90556950000000003</v>
      </c>
      <c r="AB3341">
        <v>26</v>
      </c>
      <c r="AC3341">
        <v>-4.9874000000000001</v>
      </c>
      <c r="AD3341">
        <v>-1.1046297624300001</v>
      </c>
      <c r="AE3341">
        <v>-7.12469999999999</v>
      </c>
      <c r="AF3341">
        <v>3.5951531351418402</v>
      </c>
      <c r="AG3341">
        <v>-1.1046297624300001</v>
      </c>
      <c r="AH3341">
        <v>7.7670959549302898</v>
      </c>
      <c r="AI3341">
        <v>97.354154708230993</v>
      </c>
      <c r="AJ3341">
        <v>65.162012918270705</v>
      </c>
      <c r="AK3341">
        <v>8.6297805621151706</v>
      </c>
      <c r="AL3341">
        <v>88.729266757322804</v>
      </c>
      <c r="AM3341">
        <v>78.270151112947502</v>
      </c>
      <c r="AN3341">
        <v>0.99999996239097699</v>
      </c>
    </row>
    <row r="3342" spans="1:40" x14ac:dyDescent="0.25">
      <c r="A3342" t="str">
        <f>"20190312154621757"</f>
        <v>20190312154621757</v>
      </c>
      <c r="B3342" t="str">
        <f>"1552376781750730"</f>
        <v>1552376781750730</v>
      </c>
      <c r="C3342" t="s">
        <v>40</v>
      </c>
      <c r="D3342">
        <v>4.7325229999999996</v>
      </c>
      <c r="E3342">
        <v>0.58989259999999999</v>
      </c>
      <c r="F3342" t="s">
        <v>52</v>
      </c>
      <c r="G3342">
        <v>-197.32220000000001</v>
      </c>
      <c r="H3342" s="1">
        <v>-1.27771E-5</v>
      </c>
      <c r="I3342">
        <v>151.80019999999999</v>
      </c>
      <c r="J3342">
        <v>-192.44460000000001</v>
      </c>
      <c r="K3342">
        <v>1.1046320000000001</v>
      </c>
      <c r="L3342">
        <v>158.59719999999999</v>
      </c>
      <c r="M3342">
        <v>-0.1832809</v>
      </c>
      <c r="N3342">
        <v>0</v>
      </c>
      <c r="O3342">
        <v>-0.9829637</v>
      </c>
      <c r="P3342">
        <v>-0.3817873</v>
      </c>
      <c r="Q3342">
        <v>1.175109E-2</v>
      </c>
      <c r="R3342">
        <v>-0.92417559999999999</v>
      </c>
      <c r="S3342">
        <v>-1.7686770000000001</v>
      </c>
      <c r="T3342">
        <v>-0.39627699999999999</v>
      </c>
      <c r="U3342">
        <v>-2.527771</v>
      </c>
      <c r="V3342">
        <v>0.20622280000000001</v>
      </c>
      <c r="W3342">
        <v>2.265576E-2</v>
      </c>
      <c r="X3342">
        <v>0.97824279999999997</v>
      </c>
      <c r="Y3342">
        <v>0.40849259999999998</v>
      </c>
      <c r="Z3342">
        <v>0.1302748</v>
      </c>
      <c r="AA3342">
        <v>0.90341700000000003</v>
      </c>
      <c r="AB3342">
        <v>26</v>
      </c>
      <c r="AC3342">
        <v>-4.8776000000000002</v>
      </c>
      <c r="AD3342">
        <v>-1.1046447770999901</v>
      </c>
      <c r="AE3342">
        <v>-6.7969999999999899</v>
      </c>
      <c r="AF3342">
        <v>3.4882655187046199</v>
      </c>
      <c r="AG3342">
        <v>-1.1046447770999901</v>
      </c>
      <c r="AH3342">
        <v>7.4460784941371303</v>
      </c>
      <c r="AI3342">
        <v>97.651395764534698</v>
      </c>
      <c r="AJ3342">
        <v>64.898312219544493</v>
      </c>
      <c r="AK3342">
        <v>8.2965246551438305</v>
      </c>
      <c r="AL3342">
        <v>88.701809564077394</v>
      </c>
      <c r="AM3342">
        <v>78.095810429265498</v>
      </c>
      <c r="AN3342">
        <v>1.00000005122642</v>
      </c>
    </row>
    <row r="3343" spans="1:40" x14ac:dyDescent="0.25">
      <c r="A3343" t="str">
        <f>"20190312154621780"</f>
        <v>20190312154621780</v>
      </c>
      <c r="B3343" t="str">
        <f>"1552376781770250"</f>
        <v>1552376781770250</v>
      </c>
      <c r="C3343" t="s">
        <v>40</v>
      </c>
      <c r="D3343">
        <v>4.8160669999999897</v>
      </c>
      <c r="E3343">
        <v>0.59002339999999998</v>
      </c>
      <c r="F3343" t="s">
        <v>52</v>
      </c>
      <c r="G3343">
        <v>-197.381</v>
      </c>
      <c r="H3343" s="1">
        <v>-1.275581E-5</v>
      </c>
      <c r="I3343">
        <v>151.69479999999999</v>
      </c>
      <c r="J3343">
        <v>-192.50219999999999</v>
      </c>
      <c r="K3343">
        <v>1.1046419999999999</v>
      </c>
      <c r="L3343">
        <v>158.3338</v>
      </c>
      <c r="M3343">
        <v>-0.1906746</v>
      </c>
      <c r="N3343">
        <v>0</v>
      </c>
      <c r="O3343">
        <v>-0.98155619999999999</v>
      </c>
      <c r="P3343">
        <v>-0.39120369999999999</v>
      </c>
      <c r="Q3343">
        <v>1.266596E-2</v>
      </c>
      <c r="R3343">
        <v>-0.92021699999999995</v>
      </c>
      <c r="S3343">
        <v>-1.794937</v>
      </c>
      <c r="T3343">
        <v>-0.40166030000000003</v>
      </c>
      <c r="U3343">
        <v>-2.5097659999999999</v>
      </c>
      <c r="V3343">
        <v>0.20886089999999999</v>
      </c>
      <c r="W3343">
        <v>2.3535770000000001E-2</v>
      </c>
      <c r="X3343">
        <v>0.97766209999999998</v>
      </c>
      <c r="Y3343">
        <v>0.41081830000000003</v>
      </c>
      <c r="Z3343">
        <v>0.1320547</v>
      </c>
      <c r="AA3343">
        <v>0.90210310000000005</v>
      </c>
      <c r="AB3343">
        <v>26</v>
      </c>
      <c r="AC3343">
        <v>-4.8787999999999796</v>
      </c>
      <c r="AD3343">
        <v>-1.1046547558099999</v>
      </c>
      <c r="AE3343">
        <v>-6.6390000000000002</v>
      </c>
      <c r="AF3343">
        <v>3.4610442906718402</v>
      </c>
      <c r="AG3343">
        <v>-1.1046547558099999</v>
      </c>
      <c r="AH3343">
        <v>7.3160047766740703</v>
      </c>
      <c r="AI3343">
        <v>97.772202317848496</v>
      </c>
      <c r="AJ3343">
        <v>64.682177213367197</v>
      </c>
      <c r="AK3343">
        <v>8.1684157340235508</v>
      </c>
      <c r="AL3343">
        <v>88.651375177134</v>
      </c>
      <c r="AM3343">
        <v>77.941002915154698</v>
      </c>
      <c r="AN3343">
        <v>0.99999999489735603</v>
      </c>
    </row>
    <row r="3344" spans="1:40" x14ac:dyDescent="0.25">
      <c r="A3344" t="str">
        <f>"20190312154621801"</f>
        <v>20190312154621801</v>
      </c>
      <c r="B3344" t="str">
        <f>"1552376781790746"</f>
        <v>1552376781790746</v>
      </c>
      <c r="C3344" t="s">
        <v>40</v>
      </c>
      <c r="D3344">
        <v>4.6354559999999996</v>
      </c>
      <c r="E3344">
        <v>0.59014940000000005</v>
      </c>
      <c r="F3344" t="s">
        <v>52</v>
      </c>
      <c r="G3344">
        <v>-197.42599999999999</v>
      </c>
      <c r="H3344" s="1">
        <v>-1.273508E-5</v>
      </c>
      <c r="I3344">
        <v>151.5966</v>
      </c>
      <c r="J3344">
        <v>-192.559</v>
      </c>
      <c r="K3344">
        <v>1.1046499999999999</v>
      </c>
      <c r="L3344">
        <v>158.08269999999999</v>
      </c>
      <c r="M3344">
        <v>-0.19773830000000001</v>
      </c>
      <c r="N3344">
        <v>0</v>
      </c>
      <c r="O3344">
        <v>-0.98015739999999996</v>
      </c>
      <c r="P3344">
        <v>-0.39981650000000002</v>
      </c>
      <c r="Q3344">
        <v>1.342995E-2</v>
      </c>
      <c r="R3344">
        <v>-0.91649689999999995</v>
      </c>
      <c r="S3344">
        <v>-1.820953</v>
      </c>
      <c r="T3344">
        <v>-0.4085259</v>
      </c>
      <c r="U3344">
        <v>-2.4915919999999998</v>
      </c>
      <c r="V3344">
        <v>0.21100070000000001</v>
      </c>
      <c r="W3344">
        <v>2.4269880000000001E-2</v>
      </c>
      <c r="X3344">
        <v>0.97718459999999996</v>
      </c>
      <c r="Y3344">
        <v>0.41336010000000001</v>
      </c>
      <c r="Z3344">
        <v>0.1343097</v>
      </c>
      <c r="AA3344">
        <v>0.90060779999999996</v>
      </c>
      <c r="AB3344">
        <v>26</v>
      </c>
      <c r="AC3344">
        <v>-4.86699999999996</v>
      </c>
      <c r="AD3344">
        <v>-1.10466273507999</v>
      </c>
      <c r="AE3344">
        <v>-6.4860999999999898</v>
      </c>
      <c r="AF3344">
        <v>3.4246562980275299</v>
      </c>
      <c r="AG3344">
        <v>-1.10466273507999</v>
      </c>
      <c r="AH3344">
        <v>7.1871165743341203</v>
      </c>
      <c r="AI3344">
        <v>97.899545890260796</v>
      </c>
      <c r="AJ3344">
        <v>64.522231204150899</v>
      </c>
      <c r="AK3344">
        <v>8.0376112851370394</v>
      </c>
      <c r="AL3344">
        <v>88.609301802606396</v>
      </c>
      <c r="AM3344">
        <v>77.815353993393501</v>
      </c>
      <c r="AN3344">
        <v>1.00000003247643</v>
      </c>
    </row>
    <row r="3345" spans="1:40" x14ac:dyDescent="0.25">
      <c r="A3345" t="str">
        <f>"20190312154621824"</f>
        <v>20190312154621824</v>
      </c>
      <c r="B3345" t="str">
        <f>"1552376781821001"</f>
        <v>1552376781821001</v>
      </c>
      <c r="C3345" t="s">
        <v>40</v>
      </c>
      <c r="D3345">
        <v>4.6119399999999997</v>
      </c>
      <c r="E3345">
        <v>0.59058120000000003</v>
      </c>
      <c r="F3345" t="s">
        <v>52</v>
      </c>
      <c r="G3345">
        <v>-197.57919999999999</v>
      </c>
      <c r="H3345" s="1">
        <v>-1.2687050000000001E-5</v>
      </c>
      <c r="I3345">
        <v>151.35169999999999</v>
      </c>
      <c r="J3345">
        <v>-192.6182</v>
      </c>
      <c r="K3345">
        <v>1.104643</v>
      </c>
      <c r="L3345">
        <v>157.83009999999999</v>
      </c>
      <c r="M3345">
        <v>-0.2048751</v>
      </c>
      <c r="N3345">
        <v>0</v>
      </c>
      <c r="O3345">
        <v>-0.97869039999999996</v>
      </c>
      <c r="P3345">
        <v>-0.40796830000000001</v>
      </c>
      <c r="Q3345">
        <v>1.322973E-2</v>
      </c>
      <c r="R3345">
        <v>-0.91290039999999995</v>
      </c>
      <c r="S3345">
        <v>-1.8453520000000001</v>
      </c>
      <c r="T3345">
        <v>-0.40605930000000001</v>
      </c>
      <c r="U3345">
        <v>-2.474243</v>
      </c>
      <c r="V3345">
        <v>0.2125861</v>
      </c>
      <c r="W3345">
        <v>2.4042979999999999E-2</v>
      </c>
      <c r="X3345">
        <v>0.97684649999999995</v>
      </c>
      <c r="Y3345">
        <v>0.4155354</v>
      </c>
      <c r="Z3345">
        <v>0.13353579999999901</v>
      </c>
      <c r="AA3345">
        <v>0.8997214</v>
      </c>
      <c r="AB3345">
        <v>26</v>
      </c>
      <c r="AC3345">
        <v>-4.9609999999999799</v>
      </c>
      <c r="AD3345">
        <v>-1.1046556870499999</v>
      </c>
      <c r="AE3345">
        <v>-6.4783999999999899</v>
      </c>
      <c r="AF3345">
        <v>3.46485570870398</v>
      </c>
      <c r="AG3345">
        <v>-1.1046556870499999</v>
      </c>
      <c r="AH3345">
        <v>7.2250207173108398</v>
      </c>
      <c r="AI3345">
        <v>97.849325447583595</v>
      </c>
      <c r="AJ3345">
        <v>64.379327355326694</v>
      </c>
      <c r="AK3345">
        <v>8.0886595697087795</v>
      </c>
      <c r="AL3345">
        <v>88.6223059641395</v>
      </c>
      <c r="AM3345">
        <v>77.722448045356501</v>
      </c>
      <c r="AN3345">
        <v>0.99999999968136999</v>
      </c>
    </row>
    <row r="3346" spans="1:40" x14ac:dyDescent="0.25">
      <c r="A3346" t="str">
        <f>"20190312154621846"</f>
        <v>20190312154621846</v>
      </c>
      <c r="B3346" t="str">
        <f>"1552376781840522"</f>
        <v>1552376781840522</v>
      </c>
      <c r="C3346" t="s">
        <v>40</v>
      </c>
      <c r="D3346">
        <v>4.7885330000000002</v>
      </c>
      <c r="E3346">
        <v>0.59097619999999995</v>
      </c>
      <c r="F3346" t="s">
        <v>52</v>
      </c>
      <c r="G3346">
        <v>-197.82910000000001</v>
      </c>
      <c r="H3346" s="1">
        <v>-1.261892E-5</v>
      </c>
      <c r="I3346">
        <v>150.99279999999999</v>
      </c>
      <c r="J3346">
        <v>-192.68010000000001</v>
      </c>
      <c r="K3346">
        <v>1.104625</v>
      </c>
      <c r="L3346">
        <v>157.57499999999999</v>
      </c>
      <c r="M3346">
        <v>-0.21213660000000001</v>
      </c>
      <c r="N3346">
        <v>0</v>
      </c>
      <c r="O3346">
        <v>-0.97714230000000002</v>
      </c>
      <c r="P3346">
        <v>-0.41534019999999999</v>
      </c>
      <c r="Q3346">
        <v>1.272386E-2</v>
      </c>
      <c r="R3346">
        <v>-0.90957759999999999</v>
      </c>
      <c r="S3346">
        <v>-1.8715059999999999</v>
      </c>
      <c r="T3346">
        <v>-0.39673829999999999</v>
      </c>
      <c r="U3346">
        <v>-2.4556119999999999</v>
      </c>
      <c r="V3346">
        <v>0.21322869999999999</v>
      </c>
      <c r="W3346">
        <v>2.3519080000000001E-2</v>
      </c>
      <c r="X3346">
        <v>0.97671920000000001</v>
      </c>
      <c r="Y3346">
        <v>0.41839359999999998</v>
      </c>
      <c r="Z3346">
        <v>0.13053399999999901</v>
      </c>
      <c r="AA3346">
        <v>0.89883690000000005</v>
      </c>
      <c r="AB3346">
        <v>26</v>
      </c>
      <c r="AC3346">
        <v>-5.149</v>
      </c>
      <c r="AD3346">
        <v>-1.10463761892</v>
      </c>
      <c r="AE3346">
        <v>-6.5822000000000003</v>
      </c>
      <c r="AF3346">
        <v>3.5729004774736999</v>
      </c>
      <c r="AG3346">
        <v>-1.10463761892</v>
      </c>
      <c r="AH3346">
        <v>7.3955387739350904</v>
      </c>
      <c r="AI3346">
        <v>97.659885988298399</v>
      </c>
      <c r="AJ3346">
        <v>64.214085074603702</v>
      </c>
      <c r="AK3346">
        <v>8.2873298382435898</v>
      </c>
      <c r="AL3346">
        <v>88.652331729691994</v>
      </c>
      <c r="AM3346">
        <v>77.684910464979595</v>
      </c>
      <c r="AN3346">
        <v>1.0000000106381799</v>
      </c>
    </row>
    <row r="3347" spans="1:40" x14ac:dyDescent="0.25">
      <c r="A3347" t="str">
        <f>"20190312154621869"</f>
        <v>20190312154621869</v>
      </c>
      <c r="B3347" t="str">
        <f>"1552376781861017"</f>
        <v>1552376781861017</v>
      </c>
      <c r="C3347" t="s">
        <v>40</v>
      </c>
      <c r="D3347">
        <v>4.6780470000000003</v>
      </c>
      <c r="E3347">
        <v>0.62040079999999997</v>
      </c>
      <c r="F3347" t="s">
        <v>52</v>
      </c>
      <c r="G3347">
        <v>-197.995</v>
      </c>
      <c r="H3347" s="1">
        <v>-1.25691E-5</v>
      </c>
      <c r="I3347">
        <v>150.7363</v>
      </c>
      <c r="J3347">
        <v>-192.74510000000001</v>
      </c>
      <c r="K3347">
        <v>1.104592</v>
      </c>
      <c r="L3347">
        <v>157.3158</v>
      </c>
      <c r="M3347">
        <v>-0.21957389999999999</v>
      </c>
      <c r="N3347">
        <v>0</v>
      </c>
      <c r="O3347">
        <v>-0.97549799999999998</v>
      </c>
      <c r="P3347">
        <v>-0.42258459999999998</v>
      </c>
      <c r="Q3347">
        <v>1.344618E-2</v>
      </c>
      <c r="R3347">
        <v>-0.90622400000000003</v>
      </c>
      <c r="S3347">
        <v>-1.895065</v>
      </c>
      <c r="T3347">
        <v>-0.39386579999999999</v>
      </c>
      <c r="U3347">
        <v>-2.4383849999999998</v>
      </c>
      <c r="V3347">
        <v>0.21359510000000001</v>
      </c>
      <c r="W3347">
        <v>2.4224599999999999E-2</v>
      </c>
      <c r="X3347">
        <v>0.97662190000000004</v>
      </c>
      <c r="Y3347">
        <v>0.4200565</v>
      </c>
      <c r="Z3347">
        <v>0.12960169999999999</v>
      </c>
      <c r="AA3347">
        <v>0.89819590000000005</v>
      </c>
      <c r="AB3347">
        <v>26</v>
      </c>
      <c r="AC3347">
        <v>-5.2498999999999896</v>
      </c>
      <c r="AD3347">
        <v>-1.1046045690999999</v>
      </c>
      <c r="AE3347">
        <v>-6.5794999999999897</v>
      </c>
      <c r="AF3347">
        <v>3.61468201771675</v>
      </c>
      <c r="AG3347">
        <v>-1.1046045690999999</v>
      </c>
      <c r="AH3347">
        <v>7.4435651753462899</v>
      </c>
      <c r="AI3347">
        <v>97.6034580436352</v>
      </c>
      <c r="AJ3347">
        <v>64.098249950318007</v>
      </c>
      <c r="AK3347">
        <v>8.3482177656616905</v>
      </c>
      <c r="AL3347">
        <v>88.611896896602005</v>
      </c>
      <c r="AM3347">
        <v>77.663204933121193</v>
      </c>
      <c r="AN3347">
        <v>1.0000000167743801</v>
      </c>
    </row>
    <row r="3348" spans="1:40" x14ac:dyDescent="0.25">
      <c r="A3348" t="str">
        <f>"20190312154621891"</f>
        <v>20190312154621891</v>
      </c>
      <c r="B3348" t="str">
        <f>"1552376781880541"</f>
        <v>1552376781880541</v>
      </c>
      <c r="C3348" t="s">
        <v>40</v>
      </c>
      <c r="D3348">
        <v>4.6921989999999996</v>
      </c>
      <c r="E3348">
        <v>0.62761690000000003</v>
      </c>
      <c r="F3348" t="s">
        <v>52</v>
      </c>
      <c r="G3348">
        <v>-196.82320000000001</v>
      </c>
      <c r="H3348" s="1">
        <v>-1.2995370000000001E-5</v>
      </c>
      <c r="I3348">
        <v>152.84350000000001</v>
      </c>
      <c r="J3348">
        <v>-192.809</v>
      </c>
      <c r="K3348">
        <v>1.1045700000000001</v>
      </c>
      <c r="L3348">
        <v>157.06880000000001</v>
      </c>
      <c r="M3348">
        <v>-0.2267256</v>
      </c>
      <c r="N3348">
        <v>0</v>
      </c>
      <c r="O3348">
        <v>-0.97386059999999997</v>
      </c>
      <c r="P3348">
        <v>-0.4299924</v>
      </c>
      <c r="Q3348">
        <v>1.49382E-2</v>
      </c>
      <c r="R3348">
        <v>-0.90270910000000004</v>
      </c>
      <c r="S3348">
        <v>-2.1235050000000002</v>
      </c>
      <c r="T3348">
        <v>-0.57518179999999997</v>
      </c>
      <c r="U3348">
        <v>-2.328735</v>
      </c>
      <c r="V3348">
        <v>0.2144547</v>
      </c>
      <c r="W3348">
        <v>2.5688030000000001E-2</v>
      </c>
      <c r="X3348">
        <v>0.97639609999999999</v>
      </c>
      <c r="Y3348">
        <v>0.47692699999999999</v>
      </c>
      <c r="Z3348">
        <v>0.1853977</v>
      </c>
      <c r="AA3348">
        <v>0.85916719999999902</v>
      </c>
      <c r="AB3348">
        <v>26</v>
      </c>
      <c r="AC3348">
        <v>-4.0141999999999802</v>
      </c>
      <c r="AD3348">
        <v>-1.1045829953699999</v>
      </c>
      <c r="AE3348">
        <v>-4.2252999999999998</v>
      </c>
      <c r="AF3348">
        <v>2.8492244720750701</v>
      </c>
      <c r="AG3348">
        <v>-1.1045829953699999</v>
      </c>
      <c r="AH3348">
        <v>4.8511986071367703</v>
      </c>
      <c r="AI3348">
        <v>101.107843971753</v>
      </c>
      <c r="AJ3348">
        <v>59.573269283805601</v>
      </c>
      <c r="AK3348">
        <v>5.7334380272065202</v>
      </c>
      <c r="AL3348">
        <v>88.528022407355706</v>
      </c>
      <c r="AM3348">
        <v>77.612309793389798</v>
      </c>
      <c r="AN3348">
        <v>1.0000000186662901</v>
      </c>
    </row>
    <row r="3349" spans="1:40" x14ac:dyDescent="0.25">
      <c r="A3349" t="str">
        <f>"20190312154621914"</f>
        <v>20190312154621914</v>
      </c>
      <c r="B3349" t="str">
        <f>"1552376781910793"</f>
        <v>1552376781910793</v>
      </c>
      <c r="C3349" t="s">
        <v>40</v>
      </c>
      <c r="D3349">
        <v>4.6299890000000001</v>
      </c>
      <c r="E3349">
        <v>0.63055839999999996</v>
      </c>
      <c r="F3349" t="s">
        <v>52</v>
      </c>
      <c r="G3349">
        <v>-197.13079999999999</v>
      </c>
      <c r="H3349" s="1">
        <v>-1.295293E-5</v>
      </c>
      <c r="I3349">
        <v>152.56649999999999</v>
      </c>
      <c r="J3349">
        <v>-192.87979999999999</v>
      </c>
      <c r="K3349">
        <v>1.1045210000000001</v>
      </c>
      <c r="L3349">
        <v>156.80420000000001</v>
      </c>
      <c r="M3349">
        <v>-0.23449030000000001</v>
      </c>
      <c r="N3349">
        <v>0</v>
      </c>
      <c r="O3349">
        <v>-0.97202010000000005</v>
      </c>
      <c r="P3349">
        <v>-0.43673499999999998</v>
      </c>
      <c r="Q3349">
        <v>1.6180159999999999E-2</v>
      </c>
      <c r="R3349">
        <v>-0.89944489999999999</v>
      </c>
      <c r="S3349">
        <v>-2.1951900000000002</v>
      </c>
      <c r="T3349">
        <v>-0.56106509999999998</v>
      </c>
      <c r="U3349">
        <v>-2.2869570000000001</v>
      </c>
      <c r="V3349">
        <v>0.21399270000000001</v>
      </c>
      <c r="W3349">
        <v>2.6916889999999999E-2</v>
      </c>
      <c r="X3349">
        <v>0.97646429999999995</v>
      </c>
      <c r="Y3349">
        <v>0.4925329</v>
      </c>
      <c r="Z3349">
        <v>0.18038319999999999</v>
      </c>
      <c r="AA3349">
        <v>0.85139489999999995</v>
      </c>
      <c r="AB3349">
        <v>26</v>
      </c>
      <c r="AC3349">
        <v>-4.2510000000000003</v>
      </c>
      <c r="AD3349">
        <v>-1.10453395292999</v>
      </c>
      <c r="AE3349">
        <v>-4.23770000000001</v>
      </c>
      <c r="AF3349">
        <v>3.03585960259805</v>
      </c>
      <c r="AG3349">
        <v>-1.10453395292999</v>
      </c>
      <c r="AH3349">
        <v>4.9488617540610402</v>
      </c>
      <c r="AI3349">
        <v>100.771549058879</v>
      </c>
      <c r="AJ3349">
        <v>58.473130921279299</v>
      </c>
      <c r="AK3349">
        <v>5.9099637427542699</v>
      </c>
      <c r="AL3349">
        <v>88.457589457408503</v>
      </c>
      <c r="AM3349">
        <v>77.639012114925805</v>
      </c>
      <c r="AN3349">
        <v>0.99999996189752505</v>
      </c>
    </row>
    <row r="3350" spans="1:40" x14ac:dyDescent="0.25">
      <c r="A3350" t="str">
        <f>"20190312154621938"</f>
        <v>20190312154621938</v>
      </c>
      <c r="B3350" t="str">
        <f>"1552376781930313"</f>
        <v>1552376781930313</v>
      </c>
      <c r="C3350" t="s">
        <v>40</v>
      </c>
      <c r="D3350">
        <v>4.6127310000000001</v>
      </c>
      <c r="E3350">
        <v>0.63090789999999997</v>
      </c>
      <c r="F3350" t="s">
        <v>52</v>
      </c>
      <c r="G3350">
        <v>-197.33340000000001</v>
      </c>
      <c r="H3350" s="1">
        <v>-1.290356E-5</v>
      </c>
      <c r="I3350">
        <v>152.2988</v>
      </c>
      <c r="J3350">
        <v>-192.9513</v>
      </c>
      <c r="K3350">
        <v>1.1044620000000001</v>
      </c>
      <c r="L3350">
        <v>156.5453</v>
      </c>
      <c r="M3350">
        <v>-0.24219830000000001</v>
      </c>
      <c r="N3350">
        <v>0</v>
      </c>
      <c r="O3350">
        <v>-0.9701282</v>
      </c>
      <c r="P3350">
        <v>-0.4439496</v>
      </c>
      <c r="Q3350">
        <v>1.6930839999999999E-2</v>
      </c>
      <c r="R3350">
        <v>-0.89589219999999903</v>
      </c>
      <c r="S3350">
        <v>-2.2344210000000002</v>
      </c>
      <c r="T3350">
        <v>-0.55416019999999999</v>
      </c>
      <c r="U3350">
        <v>-2.2604060000000001</v>
      </c>
      <c r="V3350">
        <v>0.21410699999999999</v>
      </c>
      <c r="W3350">
        <v>2.7641889999999999E-2</v>
      </c>
      <c r="X3350">
        <v>0.97641900000000004</v>
      </c>
      <c r="Y3350">
        <v>0.49847910000000001</v>
      </c>
      <c r="Z3350">
        <v>0.17795710000000001</v>
      </c>
      <c r="AA3350">
        <v>0.84843959999999996</v>
      </c>
      <c r="AB3350">
        <v>26</v>
      </c>
      <c r="AC3350">
        <v>-4.3821000000000003</v>
      </c>
      <c r="AD3350">
        <v>-1.1044749035600001</v>
      </c>
      <c r="AE3350">
        <v>-4.2464999999999904</v>
      </c>
      <c r="AF3350">
        <v>3.12077307972933</v>
      </c>
      <c r="AG3350">
        <v>-1.1044749035600001</v>
      </c>
      <c r="AH3350">
        <v>5.0171175830005703</v>
      </c>
      <c r="AI3350">
        <v>100.588045595643</v>
      </c>
      <c r="AJ3350">
        <v>58.117350814994097</v>
      </c>
      <c r="AK3350">
        <v>6.0108700093589302</v>
      </c>
      <c r="AL3350">
        <v>88.416034566902894</v>
      </c>
      <c r="AM3350">
        <v>77.632056745321606</v>
      </c>
      <c r="AN3350">
        <v>0.99999997254638495</v>
      </c>
    </row>
    <row r="3351" spans="1:40" x14ac:dyDescent="0.25">
      <c r="A3351" t="str">
        <f>"20190312154621959"</f>
        <v>20190312154621959</v>
      </c>
      <c r="B3351" t="str">
        <f>"1552376781950810"</f>
        <v>1552376781950810</v>
      </c>
      <c r="C3351" t="s">
        <v>40</v>
      </c>
      <c r="D3351">
        <v>4.6551229999999997</v>
      </c>
      <c r="E3351">
        <v>0.63095259999999997</v>
      </c>
      <c r="F3351" t="s">
        <v>52</v>
      </c>
      <c r="G3351">
        <v>-197.49870000000001</v>
      </c>
      <c r="H3351" s="1">
        <v>-1.2849619999999999E-5</v>
      </c>
      <c r="I3351">
        <v>152.02619999999999</v>
      </c>
      <c r="J3351">
        <v>-193.02160000000001</v>
      </c>
      <c r="K3351">
        <v>1.104393</v>
      </c>
      <c r="L3351">
        <v>156.29859999999999</v>
      </c>
      <c r="M3351">
        <v>-0.2496593</v>
      </c>
      <c r="N3351">
        <v>0</v>
      </c>
      <c r="O3351">
        <v>-0.9682347</v>
      </c>
      <c r="P3351">
        <v>-0.45115139999999998</v>
      </c>
      <c r="Q3351">
        <v>1.693544E-2</v>
      </c>
      <c r="R3351">
        <v>-0.89228700000000005</v>
      </c>
      <c r="S3351">
        <v>-2.2553709999999998</v>
      </c>
      <c r="T3351">
        <v>-0.54778719999999903</v>
      </c>
      <c r="U3351">
        <v>-2.2413479999999999</v>
      </c>
      <c r="V3351">
        <v>0.21446009999999999</v>
      </c>
      <c r="W3351">
        <v>2.761282E-2</v>
      </c>
      <c r="X3351">
        <v>0.97634240000000005</v>
      </c>
      <c r="Y3351">
        <v>0.49965270000000001</v>
      </c>
      <c r="Z3351">
        <v>0.17595229999999901</v>
      </c>
      <c r="AA3351">
        <v>0.84816740000000002</v>
      </c>
      <c r="AB3351">
        <v>26</v>
      </c>
      <c r="AC3351">
        <v>-4.4771000000000001</v>
      </c>
      <c r="AD3351">
        <v>-1.10440584962</v>
      </c>
      <c r="AE3351">
        <v>-4.2724000000000002</v>
      </c>
      <c r="AF3351">
        <v>3.1676684872444301</v>
      </c>
      <c r="AG3351">
        <v>-1.10440584962</v>
      </c>
      <c r="AH3351">
        <v>5.0927453872070796</v>
      </c>
      <c r="AI3351">
        <v>100.433784609472</v>
      </c>
      <c r="AJ3351">
        <v>58.118543154321102</v>
      </c>
      <c r="AK3351">
        <v>6.0983515399389203</v>
      </c>
      <c r="AL3351">
        <v>88.417700901478497</v>
      </c>
      <c r="AM3351">
        <v>77.611347183985799</v>
      </c>
      <c r="AN3351">
        <v>1.00000004217906</v>
      </c>
    </row>
    <row r="3352" spans="1:40" x14ac:dyDescent="0.25">
      <c r="A3352" t="str">
        <f>"20190312154621981"</f>
        <v>20190312154621981</v>
      </c>
      <c r="B3352" t="str">
        <f>"1552376781970333"</f>
        <v>1552376781970333</v>
      </c>
      <c r="C3352" t="s">
        <v>40</v>
      </c>
      <c r="D3352">
        <v>4.6339860000000002</v>
      </c>
      <c r="E3352">
        <v>0.63112009999999996</v>
      </c>
      <c r="F3352" t="s">
        <v>52</v>
      </c>
      <c r="G3352">
        <v>-197.6233</v>
      </c>
      <c r="H3352" s="1">
        <v>-1.2803650000000001E-5</v>
      </c>
      <c r="I3352">
        <v>151.7996</v>
      </c>
      <c r="J3352">
        <v>-193.09270000000001</v>
      </c>
      <c r="K3352">
        <v>1.1043270000000001</v>
      </c>
      <c r="L3352">
        <v>156.0565</v>
      </c>
      <c r="M3352">
        <v>-0.25709549999999998</v>
      </c>
      <c r="N3352">
        <v>0</v>
      </c>
      <c r="O3352">
        <v>-0.96628650000000005</v>
      </c>
      <c r="P3352">
        <v>-0.45890510000000001</v>
      </c>
      <c r="Q3352">
        <v>1.7147829999999999E-2</v>
      </c>
      <c r="R3352">
        <v>-0.88831990000000005</v>
      </c>
      <c r="S3352">
        <v>-2.2736360000000002</v>
      </c>
      <c r="T3352">
        <v>-0.54567679999999996</v>
      </c>
      <c r="U3352">
        <v>-2.2229160000000001</v>
      </c>
      <c r="V3352">
        <v>0.2154664</v>
      </c>
      <c r="W3352">
        <v>2.7778690000000002E-2</v>
      </c>
      <c r="X3352">
        <v>0.97611610000000004</v>
      </c>
      <c r="Y3352">
        <v>0.50003399999999998</v>
      </c>
      <c r="Z3352">
        <v>0.1753152</v>
      </c>
      <c r="AA3352">
        <v>0.84807469999999996</v>
      </c>
      <c r="AB3352">
        <v>26</v>
      </c>
      <c r="AC3352">
        <v>-4.53059999999999</v>
      </c>
      <c r="AD3352">
        <v>-1.1043398036499901</v>
      </c>
      <c r="AE3352">
        <v>-4.2568999999999999</v>
      </c>
      <c r="AF3352">
        <v>3.1832912021250701</v>
      </c>
      <c r="AG3352">
        <v>-1.1043398036499901</v>
      </c>
      <c r="AH3352">
        <v>5.11721013339967</v>
      </c>
      <c r="AI3352">
        <v>100.38402107983801</v>
      </c>
      <c r="AJ3352">
        <v>58.115267655643997</v>
      </c>
      <c r="AK3352">
        <v>6.12688736870696</v>
      </c>
      <c r="AL3352">
        <v>88.408193589158699</v>
      </c>
      <c r="AM3352">
        <v>77.552228410289402</v>
      </c>
      <c r="AN3352">
        <v>1.00000003291314</v>
      </c>
    </row>
    <row r="3353" spans="1:40" x14ac:dyDescent="0.25">
      <c r="A3353" t="str">
        <f>"20190312154622003"</f>
        <v>20190312154622003</v>
      </c>
      <c r="B3353" t="str">
        <f>"1552376782000586"</f>
        <v>1552376782000586</v>
      </c>
      <c r="C3353" t="s">
        <v>40</v>
      </c>
      <c r="D3353">
        <v>4.6114790000000001</v>
      </c>
      <c r="E3353">
        <v>0.6311717</v>
      </c>
      <c r="F3353" t="s">
        <v>52</v>
      </c>
      <c r="G3353">
        <v>-197.7499</v>
      </c>
      <c r="H3353" s="1">
        <v>-1.276124E-5</v>
      </c>
      <c r="I3353">
        <v>151.5864</v>
      </c>
      <c r="J3353">
        <v>-193.16800000000001</v>
      </c>
      <c r="K3353">
        <v>1.1042449999999999</v>
      </c>
      <c r="L3353">
        <v>155.80779999999999</v>
      </c>
      <c r="M3353">
        <v>-0.26486490000000001</v>
      </c>
      <c r="N3353">
        <v>0</v>
      </c>
      <c r="O3353">
        <v>-0.96418579999999998</v>
      </c>
      <c r="P3353">
        <v>-0.4667906</v>
      </c>
      <c r="Q3353">
        <v>1.738543E-2</v>
      </c>
      <c r="R3353">
        <v>-0.88419740000000002</v>
      </c>
      <c r="S3353">
        <v>-2.2944490000000002</v>
      </c>
      <c r="T3353">
        <v>-0.5440758</v>
      </c>
      <c r="U3353">
        <v>-2.2023320000000002</v>
      </c>
      <c r="V3353">
        <v>0.21630450000000001</v>
      </c>
      <c r="W3353">
        <v>2.7969830000000001E-2</v>
      </c>
      <c r="X3353">
        <v>0.9759253</v>
      </c>
      <c r="Y3353">
        <v>0.50097130000000001</v>
      </c>
      <c r="Z3353">
        <v>0.1748132</v>
      </c>
      <c r="AA3353">
        <v>0.84762499999999996</v>
      </c>
      <c r="AB3353">
        <v>26</v>
      </c>
      <c r="AC3353">
        <v>-4.5818999999999903</v>
      </c>
      <c r="AD3353">
        <v>-1.10425776124</v>
      </c>
      <c r="AE3353">
        <v>-4.2213999999999796</v>
      </c>
      <c r="AF3353">
        <v>3.1995036677334898</v>
      </c>
      <c r="AG3353">
        <v>-1.10425776124</v>
      </c>
      <c r="AH3353">
        <v>5.1233509147147096</v>
      </c>
      <c r="AI3353">
        <v>100.36008046943699</v>
      </c>
      <c r="AJ3353">
        <v>58.015455298648398</v>
      </c>
      <c r="AK3353">
        <v>6.1404343102428003</v>
      </c>
      <c r="AL3353">
        <v>88.397237876090799</v>
      </c>
      <c r="AM3353">
        <v>77.502961946219898</v>
      </c>
      <c r="AN3353">
        <v>1.00000006964528</v>
      </c>
    </row>
    <row r="3354" spans="1:40" x14ac:dyDescent="0.25">
      <c r="A3354" t="str">
        <f>"20190312154622025"</f>
        <v>20190312154622025</v>
      </c>
      <c r="B3354" t="str">
        <f>"1552376782021082"</f>
        <v>1552376782021082</v>
      </c>
      <c r="C3354" t="s">
        <v>40</v>
      </c>
      <c r="D3354">
        <v>4.550351</v>
      </c>
      <c r="E3354">
        <v>0.63076940000000004</v>
      </c>
      <c r="F3354" t="s">
        <v>52</v>
      </c>
      <c r="G3354">
        <v>-197.93180000000001</v>
      </c>
      <c r="H3354" s="1">
        <v>-1.2710370000000001E-5</v>
      </c>
      <c r="I3354">
        <v>151.3201</v>
      </c>
      <c r="J3354">
        <v>-193.24299999999999</v>
      </c>
      <c r="K3354">
        <v>1.104163</v>
      </c>
      <c r="L3354">
        <v>155.56790000000001</v>
      </c>
      <c r="M3354">
        <v>-0.27249559999999901</v>
      </c>
      <c r="N3354">
        <v>0</v>
      </c>
      <c r="O3354">
        <v>-0.96205689999999999</v>
      </c>
      <c r="P3354">
        <v>-0.4744776</v>
      </c>
      <c r="Q3354">
        <v>1.7331880000000001E-2</v>
      </c>
      <c r="R3354">
        <v>-0.88009689999999996</v>
      </c>
      <c r="S3354">
        <v>-2.3152919999999999</v>
      </c>
      <c r="T3354">
        <v>-0.53668979999999999</v>
      </c>
      <c r="U3354">
        <v>-2.181152</v>
      </c>
      <c r="V3354">
        <v>0.2170812</v>
      </c>
      <c r="W3354">
        <v>2.787164E-2</v>
      </c>
      <c r="X3354">
        <v>0.97575559999999995</v>
      </c>
      <c r="Y3354">
        <v>0.50236979999999998</v>
      </c>
      <c r="Z3354">
        <v>0.1725092</v>
      </c>
      <c r="AA3354">
        <v>0.84726919999999994</v>
      </c>
      <c r="AB3354">
        <v>26</v>
      </c>
      <c r="AC3354">
        <v>-4.6888000000000103</v>
      </c>
      <c r="AD3354">
        <v>-1.1041757103700001</v>
      </c>
      <c r="AE3354">
        <v>-4.2478000000000096</v>
      </c>
      <c r="AF3354">
        <v>3.25457976192062</v>
      </c>
      <c r="AG3354">
        <v>-1.1041757103700001</v>
      </c>
      <c r="AH3354">
        <v>5.20624618653087</v>
      </c>
      <c r="AI3354">
        <v>100.19502115880201</v>
      </c>
      <c r="AJ3354">
        <v>57.989268168641402</v>
      </c>
      <c r="AK3354">
        <v>6.23830848714951</v>
      </c>
      <c r="AL3354">
        <v>88.402865884417196</v>
      </c>
      <c r="AM3354">
        <v>77.457393004489703</v>
      </c>
      <c r="AN3354">
        <v>1.0000000333205401</v>
      </c>
    </row>
    <row r="3355" spans="1:40" x14ac:dyDescent="0.25">
      <c r="A3355" t="str">
        <f>"20190312154622047"</f>
        <v>20190312154622047</v>
      </c>
      <c r="B3355" t="str">
        <f>"1552376782040602"</f>
        <v>1552376782040602</v>
      </c>
      <c r="C3355" t="s">
        <v>40</v>
      </c>
      <c r="D3355">
        <v>4.5757560000000002</v>
      </c>
      <c r="E3355">
        <v>0.63039540000000005</v>
      </c>
      <c r="F3355" t="s">
        <v>52</v>
      </c>
      <c r="G3355">
        <v>-198.0804</v>
      </c>
      <c r="H3355" s="1">
        <v>-1.266399E-5</v>
      </c>
      <c r="I3355">
        <v>151.08330000000001</v>
      </c>
      <c r="J3355">
        <v>-193.3244</v>
      </c>
      <c r="K3355">
        <v>1.10407099999999</v>
      </c>
      <c r="L3355">
        <v>155.31540000000001</v>
      </c>
      <c r="M3355">
        <v>-0.28066669999999999</v>
      </c>
      <c r="N3355">
        <v>0</v>
      </c>
      <c r="O3355">
        <v>-0.95970480000000002</v>
      </c>
      <c r="P3355">
        <v>-0.48299789999999998</v>
      </c>
      <c r="Q3355">
        <v>1.6999609999999998E-2</v>
      </c>
      <c r="R3355">
        <v>-0.87545689999999998</v>
      </c>
      <c r="S3355">
        <v>-2.3320470000000002</v>
      </c>
      <c r="T3355">
        <v>-0.53230630000000001</v>
      </c>
      <c r="U3355">
        <v>-2.1619570000000001</v>
      </c>
      <c r="V3355">
        <v>0.21825430000000001</v>
      </c>
      <c r="W3355">
        <v>2.7487930000000001E-2</v>
      </c>
      <c r="X3355">
        <v>0.97550479999999995</v>
      </c>
      <c r="Y3355">
        <v>0.50201379999999995</v>
      </c>
      <c r="Z3355">
        <v>0.1711549</v>
      </c>
      <c r="AA3355">
        <v>0.84775480000000003</v>
      </c>
      <c r="AB3355">
        <v>26</v>
      </c>
      <c r="AC3355">
        <v>-4.7560000000000002</v>
      </c>
      <c r="AD3355">
        <v>-1.10408366398999</v>
      </c>
      <c r="AE3355">
        <v>-4.2321</v>
      </c>
      <c r="AF3355">
        <v>3.2782736913096602</v>
      </c>
      <c r="AG3355">
        <v>-1.10408366398999</v>
      </c>
      <c r="AH3355">
        <v>5.2393573173899304</v>
      </c>
      <c r="AI3355">
        <v>100.128554034838</v>
      </c>
      <c r="AJ3355">
        <v>57.965723404136199</v>
      </c>
      <c r="AK3355">
        <v>6.2782915057768696</v>
      </c>
      <c r="AL3355">
        <v>88.424859332586394</v>
      </c>
      <c r="AM3355">
        <v>77.388636780558301</v>
      </c>
      <c r="AN3355">
        <v>1.0000000702936001</v>
      </c>
    </row>
    <row r="3356" spans="1:40" x14ac:dyDescent="0.25">
      <c r="A3356" t="str">
        <f>"20190312154622069"</f>
        <v>20190312154622069</v>
      </c>
      <c r="B3356" t="str">
        <f>"1552376782061098"</f>
        <v>1552376782061098</v>
      </c>
      <c r="C3356" t="s">
        <v>40</v>
      </c>
      <c r="D3356">
        <v>4.5298449999999999</v>
      </c>
      <c r="E3356">
        <v>0.63008790000000003</v>
      </c>
      <c r="F3356" t="s">
        <v>52</v>
      </c>
      <c r="G3356">
        <v>-198.18979999999999</v>
      </c>
      <c r="H3356" s="1">
        <v>-1.262366E-5</v>
      </c>
      <c r="I3356">
        <v>150.8845</v>
      </c>
      <c r="J3356">
        <v>-193.4068</v>
      </c>
      <c r="K3356">
        <v>1.103993</v>
      </c>
      <c r="L3356">
        <v>155.06729999999999</v>
      </c>
      <c r="M3356">
        <v>-0.28880719999999999</v>
      </c>
      <c r="N3356">
        <v>0</v>
      </c>
      <c r="O3356">
        <v>-0.95728619999999998</v>
      </c>
      <c r="P3356">
        <v>-0.4913786</v>
      </c>
      <c r="Q3356">
        <v>1.6102040000000001E-2</v>
      </c>
      <c r="R3356">
        <v>-0.87079740000000005</v>
      </c>
      <c r="S3356">
        <v>-2.3503569999999998</v>
      </c>
      <c r="T3356">
        <v>-0.53335330000000003</v>
      </c>
      <c r="U3356">
        <v>-2.1404570000000001</v>
      </c>
      <c r="V3356">
        <v>0.21932019999999999</v>
      </c>
      <c r="W3356">
        <v>2.654509E-2</v>
      </c>
      <c r="X3356">
        <v>0.97529169999999998</v>
      </c>
      <c r="Y3356">
        <v>0.50218220000000002</v>
      </c>
      <c r="Z3356">
        <v>0.17151649999999999</v>
      </c>
      <c r="AA3356">
        <v>0.8475819</v>
      </c>
      <c r="AB3356">
        <v>26</v>
      </c>
      <c r="AC3356">
        <v>-4.7829999999999799</v>
      </c>
      <c r="AD3356">
        <v>-1.10400562366</v>
      </c>
      <c r="AE3356">
        <v>-4.1827999999999799</v>
      </c>
      <c r="AF3356">
        <v>3.27221750460135</v>
      </c>
      <c r="AG3356">
        <v>-1.10400562366</v>
      </c>
      <c r="AH3356">
        <v>5.2281876119864403</v>
      </c>
      <c r="AI3356">
        <v>100.148243917531</v>
      </c>
      <c r="AJ3356">
        <v>57.958378240576501</v>
      </c>
      <c r="AK3356">
        <v>6.2657945641890302</v>
      </c>
      <c r="AL3356">
        <v>88.478899619907594</v>
      </c>
      <c r="AM3356">
        <v>77.326350856230206</v>
      </c>
      <c r="AN3356">
        <v>0.99999994601001696</v>
      </c>
    </row>
    <row r="3357" spans="1:40" x14ac:dyDescent="0.25">
      <c r="A3357" t="str">
        <f>"20190312154622092"</f>
        <v>20190312154622092</v>
      </c>
      <c r="B3357" t="str">
        <f>"1552376782080619"</f>
        <v>1552376782080619</v>
      </c>
      <c r="C3357" t="s">
        <v>40</v>
      </c>
      <c r="D3357">
        <v>4.4985059999999999</v>
      </c>
      <c r="E3357">
        <v>0.62984219999999902</v>
      </c>
      <c r="F3357" t="s">
        <v>52</v>
      </c>
      <c r="G3357">
        <v>-198.28579999999999</v>
      </c>
      <c r="H3357" s="1">
        <v>-1.258673E-5</v>
      </c>
      <c r="I3357">
        <v>150.7039</v>
      </c>
      <c r="J3357">
        <v>-193.48929999999999</v>
      </c>
      <c r="K3357">
        <v>1.1039270000000001</v>
      </c>
      <c r="L3357">
        <v>154.8261</v>
      </c>
      <c r="M3357">
        <v>-0.29683320000000002</v>
      </c>
      <c r="N3357">
        <v>0</v>
      </c>
      <c r="O3357">
        <v>-0.9548278</v>
      </c>
      <c r="P3357">
        <v>-0.49948530000000002</v>
      </c>
      <c r="Q3357">
        <v>1.496829E-2</v>
      </c>
      <c r="R3357">
        <v>-0.86619310000000005</v>
      </c>
      <c r="S3357">
        <v>-2.3686829999999999</v>
      </c>
      <c r="T3357">
        <v>-0.53598630000000003</v>
      </c>
      <c r="U3357">
        <v>-2.1183930000000002</v>
      </c>
      <c r="V3357">
        <v>0.22021859999999999</v>
      </c>
      <c r="W3357">
        <v>2.537151E-2</v>
      </c>
      <c r="X3357">
        <v>0.97512049999999995</v>
      </c>
      <c r="Y3357">
        <v>0.50248679999999901</v>
      </c>
      <c r="Z3357">
        <v>0.17237439999999901</v>
      </c>
      <c r="AA3357">
        <v>0.84722730000000002</v>
      </c>
      <c r="AB3357">
        <v>26</v>
      </c>
      <c r="AC3357">
        <v>-4.7965</v>
      </c>
      <c r="AD3357">
        <v>-1.1039395867299999</v>
      </c>
      <c r="AE3357">
        <v>-4.1221999999999897</v>
      </c>
      <c r="AF3357">
        <v>3.2573079671118101</v>
      </c>
      <c r="AG3357">
        <v>-1.1039395867299999</v>
      </c>
      <c r="AH3357">
        <v>5.2017840927889401</v>
      </c>
      <c r="AI3357">
        <v>100.196684347416</v>
      </c>
      <c r="AJ3357">
        <v>57.945591232098899</v>
      </c>
      <c r="AK3357">
        <v>6.23596789213605</v>
      </c>
      <c r="AL3357">
        <v>88.546163505586406</v>
      </c>
      <c r="AM3357">
        <v>77.273961524375196</v>
      </c>
      <c r="AN3357">
        <v>0.99999996741294395</v>
      </c>
    </row>
    <row r="3358" spans="1:40" x14ac:dyDescent="0.25">
      <c r="A3358" t="str">
        <f>"20190312154622116"</f>
        <v>20190312154622116</v>
      </c>
      <c r="B3358" t="str">
        <f>"1552376782110874"</f>
        <v>1552376782110874</v>
      </c>
      <c r="C3358" t="s">
        <v>40</v>
      </c>
      <c r="D3358">
        <v>4.5047550000000003</v>
      </c>
      <c r="E3358">
        <v>0.62949219999999995</v>
      </c>
      <c r="F3358" t="s">
        <v>52</v>
      </c>
      <c r="G3358">
        <v>-198.35239999999999</v>
      </c>
      <c r="H3358" s="1">
        <v>-1.2555169999999999E-5</v>
      </c>
      <c r="I3358">
        <v>150.55500000000001</v>
      </c>
      <c r="J3358">
        <v>-193.58099999999999</v>
      </c>
      <c r="K3358">
        <v>1.1038479999999999</v>
      </c>
      <c r="L3358">
        <v>154.56549999999999</v>
      </c>
      <c r="M3358">
        <v>-0.30563970000000001</v>
      </c>
      <c r="N3358">
        <v>0</v>
      </c>
      <c r="O3358">
        <v>-0.95204529999999998</v>
      </c>
      <c r="P3358">
        <v>-0.50814950000000003</v>
      </c>
      <c r="Q3358">
        <v>1.443667E-2</v>
      </c>
      <c r="R3358">
        <v>-0.86114780000000002</v>
      </c>
      <c r="S3358">
        <v>-2.3869479999999998</v>
      </c>
      <c r="T3358">
        <v>-0.54184290000000002</v>
      </c>
      <c r="U3358">
        <v>-2.0963750000000001</v>
      </c>
      <c r="V3358">
        <v>0.2209883</v>
      </c>
      <c r="W3358">
        <v>2.479806E-2</v>
      </c>
      <c r="X3358">
        <v>0.97496119999999997</v>
      </c>
      <c r="Y3358">
        <v>0.50191839999999999</v>
      </c>
      <c r="Z3358">
        <v>0.17418459999999999</v>
      </c>
      <c r="AA3358">
        <v>0.847194</v>
      </c>
      <c r="AB3358">
        <v>26</v>
      </c>
      <c r="AC3358">
        <v>-4.7713999999999999</v>
      </c>
      <c r="AD3358">
        <v>-1.10386055517</v>
      </c>
      <c r="AE3358">
        <v>-4.0104999999999702</v>
      </c>
      <c r="AF3358">
        <v>3.2162674646475198</v>
      </c>
      <c r="AG3358">
        <v>-1.10386055517</v>
      </c>
      <c r="AH3358">
        <v>5.1165432109359203</v>
      </c>
      <c r="AI3358">
        <v>100.35118397220999</v>
      </c>
      <c r="AJ3358">
        <v>57.8464640259444</v>
      </c>
      <c r="AK3358">
        <v>6.1434435749654996</v>
      </c>
      <c r="AL3358">
        <v>88.579030241438502</v>
      </c>
      <c r="AM3358">
        <v>77.228919830135396</v>
      </c>
      <c r="AN3358">
        <v>1.0000000570110399</v>
      </c>
    </row>
    <row r="3359" spans="1:40" x14ac:dyDescent="0.25">
      <c r="A3359" t="str">
        <f>"20190312154622138"</f>
        <v>20190312154622138</v>
      </c>
      <c r="B3359" t="str">
        <f>"1552376782130394"</f>
        <v>1552376782130394</v>
      </c>
      <c r="C3359" t="s">
        <v>40</v>
      </c>
      <c r="D3359">
        <v>4.5376560000000001</v>
      </c>
      <c r="E3359">
        <v>0.62982830000000001</v>
      </c>
      <c r="F3359" t="s">
        <v>52</v>
      </c>
      <c r="G3359">
        <v>-198.48400000000001</v>
      </c>
      <c r="H3359" s="1">
        <v>-1.25107399999999E-5</v>
      </c>
      <c r="I3359">
        <v>150.3408</v>
      </c>
      <c r="J3359">
        <v>-193.66759999999999</v>
      </c>
      <c r="K3359">
        <v>1.1037669999999999</v>
      </c>
      <c r="L3359">
        <v>154.32669999999999</v>
      </c>
      <c r="M3359">
        <v>-0.31384649999999997</v>
      </c>
      <c r="N3359">
        <v>0</v>
      </c>
      <c r="O3359">
        <v>-0.94937139999999998</v>
      </c>
      <c r="P3359">
        <v>-0.51591160000000003</v>
      </c>
      <c r="Q3359">
        <v>1.4992480000000001E-2</v>
      </c>
      <c r="R3359">
        <v>-0.85651080000000002</v>
      </c>
      <c r="S3359">
        <v>-2.4059300000000001</v>
      </c>
      <c r="T3359">
        <v>-0.54167209999999999</v>
      </c>
      <c r="U3359">
        <v>-2.073105</v>
      </c>
      <c r="V3359">
        <v>0.22140009999999999</v>
      </c>
      <c r="W3359">
        <v>2.5317650000000001E-2</v>
      </c>
      <c r="X3359">
        <v>0.97485440000000001</v>
      </c>
      <c r="Y3359">
        <v>0.502502</v>
      </c>
      <c r="Z3359">
        <v>0.17413389999999901</v>
      </c>
      <c r="AA3359">
        <v>0.84685840000000001</v>
      </c>
      <c r="AB3359">
        <v>26</v>
      </c>
      <c r="AC3359">
        <v>-4.8164000000000096</v>
      </c>
      <c r="AD3359">
        <v>-1.1037795107399999</v>
      </c>
      <c r="AE3359">
        <v>-3.98589999999998</v>
      </c>
      <c r="AF3359">
        <v>3.22149654663614</v>
      </c>
      <c r="AG3359">
        <v>-1.1037795107399999</v>
      </c>
      <c r="AH3359">
        <v>5.1361252295075799</v>
      </c>
      <c r="AI3359">
        <v>100.318092685488</v>
      </c>
      <c r="AJ3359">
        <v>57.903112064165803</v>
      </c>
      <c r="AK3359">
        <v>6.1624793372069302</v>
      </c>
      <c r="AL3359">
        <v>88.549250559748003</v>
      </c>
      <c r="AM3359">
        <v>77.204548631925505</v>
      </c>
      <c r="AN3359">
        <v>1.00000004444044</v>
      </c>
    </row>
    <row r="3360" spans="1:40" x14ac:dyDescent="0.25">
      <c r="A3360" t="str">
        <f>"20190312154622161"</f>
        <v>20190312154622161</v>
      </c>
      <c r="B3360" t="str">
        <f>"1552376782150891"</f>
        <v>1552376782150891</v>
      </c>
      <c r="C3360" t="s">
        <v>40</v>
      </c>
      <c r="D3360">
        <v>4.4569640000000001</v>
      </c>
      <c r="E3360">
        <v>0.65839879999999995</v>
      </c>
      <c r="F3360" t="s">
        <v>52</v>
      </c>
      <c r="G3360">
        <v>-198.6456</v>
      </c>
      <c r="H3360" s="1">
        <v>-1.244608E-5</v>
      </c>
      <c r="I3360">
        <v>150.1233</v>
      </c>
      <c r="J3360">
        <v>-193.76349999999999</v>
      </c>
      <c r="K3360">
        <v>1.1036680000000001</v>
      </c>
      <c r="L3360">
        <v>154.06989999999999</v>
      </c>
      <c r="M3360">
        <v>-0.32282660000000002</v>
      </c>
      <c r="N3360">
        <v>0</v>
      </c>
      <c r="O3360">
        <v>-0.9463549</v>
      </c>
      <c r="P3360">
        <v>-0.52484819999999999</v>
      </c>
      <c r="Q3360">
        <v>1.584319E-2</v>
      </c>
      <c r="R3360">
        <v>-0.85104849999999999</v>
      </c>
      <c r="S3360">
        <v>-2.427505</v>
      </c>
      <c r="T3360">
        <v>-0.53826189999999996</v>
      </c>
      <c r="U3360">
        <v>-2.04982</v>
      </c>
      <c r="V3360">
        <v>0.22239229999999999</v>
      </c>
      <c r="W3360">
        <v>2.6112750000000001E-2</v>
      </c>
      <c r="X3360">
        <v>0.97460749999999996</v>
      </c>
      <c r="Y3360">
        <v>0.50297449999999999</v>
      </c>
      <c r="Z3360">
        <v>0.17292389999999999</v>
      </c>
      <c r="AA3360">
        <v>0.84682579999999996</v>
      </c>
      <c r="AB3360">
        <v>26</v>
      </c>
      <c r="AC3360">
        <v>-4.8821000000000003</v>
      </c>
      <c r="AD3360">
        <v>-1.10368044608</v>
      </c>
      <c r="AE3360">
        <v>-3.9465999999999801</v>
      </c>
      <c r="AF3360">
        <v>3.2461267044167301</v>
      </c>
      <c r="AG3360">
        <v>-1.10368044608</v>
      </c>
      <c r="AH3360">
        <v>5.1522286372455399</v>
      </c>
      <c r="AI3360">
        <v>100.27284637635999</v>
      </c>
      <c r="AJ3360">
        <v>57.787299713301799</v>
      </c>
      <c r="AK3360">
        <v>6.1887728217021998</v>
      </c>
      <c r="AL3360">
        <v>88.503679542310493</v>
      </c>
      <c r="AM3360">
        <v>77.145958498918304</v>
      </c>
      <c r="AN3360">
        <v>0.99999999493405101</v>
      </c>
    </row>
    <row r="3361" spans="1:40" x14ac:dyDescent="0.25">
      <c r="A3361" t="str">
        <f>"20190312154622183"</f>
        <v>20190312154622183</v>
      </c>
      <c r="B3361" t="str">
        <f>"1552376782180170"</f>
        <v>1552376782180170</v>
      </c>
      <c r="C3361" t="s">
        <v>40</v>
      </c>
      <c r="D3361">
        <v>4.4730980000000002</v>
      </c>
      <c r="E3361">
        <v>0.66213279999999997</v>
      </c>
      <c r="F3361" t="s">
        <v>52</v>
      </c>
      <c r="G3361">
        <v>-198.60249999999999</v>
      </c>
      <c r="H3361" s="1">
        <v>-1.258327E-5</v>
      </c>
      <c r="I3361">
        <v>150.57849999999999</v>
      </c>
      <c r="J3361">
        <v>-193.851</v>
      </c>
      <c r="K3361">
        <v>1.103566</v>
      </c>
      <c r="L3361">
        <v>153.84219999999999</v>
      </c>
      <c r="M3361">
        <v>-0.33094659999999998</v>
      </c>
      <c r="N3361">
        <v>0</v>
      </c>
      <c r="O3361">
        <v>-0.94354590000000005</v>
      </c>
      <c r="P3361">
        <v>-0.53277209999999997</v>
      </c>
      <c r="Q3361">
        <v>1.6509409999999999E-2</v>
      </c>
      <c r="R3361">
        <v>-0.84609780000000001</v>
      </c>
      <c r="S3361">
        <v>-2.6425320000000001</v>
      </c>
      <c r="T3361">
        <v>-0.6027074</v>
      </c>
      <c r="U3361">
        <v>-1.9065859999999999</v>
      </c>
      <c r="V3361">
        <v>0.22313949999999999</v>
      </c>
      <c r="W3361">
        <v>2.6726699999999999E-2</v>
      </c>
      <c r="X3361">
        <v>0.97442010000000001</v>
      </c>
      <c r="Y3361">
        <v>0.55634119999999998</v>
      </c>
      <c r="Z3361">
        <v>0.19035260000000001</v>
      </c>
      <c r="AA3361">
        <v>0.80885739999999995</v>
      </c>
      <c r="AB3361">
        <v>26</v>
      </c>
      <c r="AC3361">
        <v>-4.7514999999999903</v>
      </c>
      <c r="AD3361">
        <v>-1.10357858327</v>
      </c>
      <c r="AE3361">
        <v>-3.2637</v>
      </c>
      <c r="AF3361">
        <v>3.2831471783279</v>
      </c>
      <c r="AG3361">
        <v>-1.10357858327</v>
      </c>
      <c r="AH3361">
        <v>4.48790813339245</v>
      </c>
      <c r="AI3361">
        <v>101.225264626956</v>
      </c>
      <c r="AJ3361">
        <v>53.812514124249603</v>
      </c>
      <c r="AK3361">
        <v>5.6690616946532497</v>
      </c>
      <c r="AL3361">
        <v>88.468490586879497</v>
      </c>
      <c r="AM3361">
        <v>77.101815485233601</v>
      </c>
      <c r="AN3361">
        <v>1.00000004211857</v>
      </c>
    </row>
    <row r="3362" spans="1:40" x14ac:dyDescent="0.25">
      <c r="A3362" t="str">
        <f>"20190312154622205"</f>
        <v>20190312154622205</v>
      </c>
      <c r="B3362" t="str">
        <f>"1552376782200667"</f>
        <v>1552376782200667</v>
      </c>
      <c r="C3362" t="s">
        <v>40</v>
      </c>
      <c r="D3362">
        <v>4.4391369999999997</v>
      </c>
      <c r="E3362">
        <v>0.6628889</v>
      </c>
      <c r="F3362" t="s">
        <v>52</v>
      </c>
      <c r="G3362">
        <v>-198.7945</v>
      </c>
      <c r="H3362" s="1">
        <v>-1.255738E-5</v>
      </c>
      <c r="I3362">
        <v>150.40790000000001</v>
      </c>
      <c r="J3362">
        <v>-193.9444</v>
      </c>
      <c r="K3362">
        <v>1.1034489999999999</v>
      </c>
      <c r="L3362">
        <v>153.6063</v>
      </c>
      <c r="M3362">
        <v>-0.339536</v>
      </c>
      <c r="N3362">
        <v>0</v>
      </c>
      <c r="O3362">
        <v>-0.94048889999999996</v>
      </c>
      <c r="P3362">
        <v>-0.54118710000000003</v>
      </c>
      <c r="Q3362">
        <v>1.6870469999999999E-2</v>
      </c>
      <c r="R3362">
        <v>-0.84073310000000001</v>
      </c>
      <c r="S3362">
        <v>-2.6860659999999998</v>
      </c>
      <c r="T3362">
        <v>-0.59963540000000004</v>
      </c>
      <c r="U3362">
        <v>-1.8659969999999999</v>
      </c>
      <c r="V3362">
        <v>0.22399259999999999</v>
      </c>
      <c r="W3362">
        <v>2.702748E-2</v>
      </c>
      <c r="X3362">
        <v>0.97421599999999997</v>
      </c>
      <c r="Y3362">
        <v>0.5634863</v>
      </c>
      <c r="Z3362">
        <v>0.1889623</v>
      </c>
      <c r="AA3362">
        <v>0.80422419999999994</v>
      </c>
      <c r="AB3362">
        <v>26</v>
      </c>
      <c r="AC3362">
        <v>-4.8500999999999896</v>
      </c>
      <c r="AD3362">
        <v>-1.10346155738</v>
      </c>
      <c r="AE3362">
        <v>-3.1983999999999901</v>
      </c>
      <c r="AF3362">
        <v>3.3548110299254699</v>
      </c>
      <c r="AG3362">
        <v>-1.10346155738</v>
      </c>
      <c r="AH3362">
        <v>4.4932095280799604</v>
      </c>
      <c r="AI3362">
        <v>101.132664163857</v>
      </c>
      <c r="AJ3362">
        <v>53.253501296651201</v>
      </c>
      <c r="AK3362">
        <v>5.7150079893516903</v>
      </c>
      <c r="AL3362">
        <v>88.451250857585606</v>
      </c>
      <c r="AM3362">
        <v>77.051541044784301</v>
      </c>
      <c r="AN3362">
        <v>0.99999999209295498</v>
      </c>
    </row>
    <row r="3363" spans="1:40" x14ac:dyDescent="0.25">
      <c r="A3363" t="str">
        <f>"20190312154622227"</f>
        <v>20190312154622227</v>
      </c>
      <c r="B3363" t="str">
        <f>"1552376782220186"</f>
        <v>1552376782220186</v>
      </c>
      <c r="C3363" t="s">
        <v>40</v>
      </c>
      <c r="D3363">
        <v>4.4532629999999997</v>
      </c>
      <c r="E3363">
        <v>0.66319890000000004</v>
      </c>
      <c r="F3363" t="s">
        <v>52</v>
      </c>
      <c r="G3363">
        <v>-198.92089999999999</v>
      </c>
      <c r="H3363" s="1">
        <v>-1.252496E-5</v>
      </c>
      <c r="I3363">
        <v>150.2345</v>
      </c>
      <c r="J3363">
        <v>-194.04329999999999</v>
      </c>
      <c r="K3363">
        <v>1.1033200000000001</v>
      </c>
      <c r="L3363">
        <v>153.3639</v>
      </c>
      <c r="M3363">
        <v>-0.34856740000000003</v>
      </c>
      <c r="N3363">
        <v>0</v>
      </c>
      <c r="O3363">
        <v>-0.93717890000000004</v>
      </c>
      <c r="P3363">
        <v>-0.54974239999999996</v>
      </c>
      <c r="Q3363">
        <v>1.732028E-2</v>
      </c>
      <c r="R3363">
        <v>-0.83515469999999903</v>
      </c>
      <c r="S3363">
        <v>-2.7098390000000001</v>
      </c>
      <c r="T3363">
        <v>-0.60086660000000003</v>
      </c>
      <c r="U3363">
        <v>-1.8360289999999999</v>
      </c>
      <c r="V3363">
        <v>0.22458649999999999</v>
      </c>
      <c r="W3363">
        <v>2.741882E-2</v>
      </c>
      <c r="X3363">
        <v>0.9740683</v>
      </c>
      <c r="Y3363">
        <v>0.56495050000000002</v>
      </c>
      <c r="Z3363">
        <v>0.1891765</v>
      </c>
      <c r="AA3363">
        <v>0.80314580000000002</v>
      </c>
      <c r="AB3363">
        <v>25</v>
      </c>
      <c r="AC3363">
        <v>-4.8776000000000002</v>
      </c>
      <c r="AD3363">
        <v>-1.1033325249599999</v>
      </c>
      <c r="AE3363">
        <v>-3.1294</v>
      </c>
      <c r="AF3363">
        <v>3.3589646620443898</v>
      </c>
      <c r="AG3363">
        <v>-1.1033325249599999</v>
      </c>
      <c r="AH3363">
        <v>4.4713593338367303</v>
      </c>
      <c r="AI3363">
        <v>101.160501353922</v>
      </c>
      <c r="AJ3363">
        <v>53.085473068336597</v>
      </c>
      <c r="AK3363">
        <v>5.7002667090046204</v>
      </c>
      <c r="AL3363">
        <v>88.428820379628405</v>
      </c>
      <c r="AM3363">
        <v>77.016468904748905</v>
      </c>
      <c r="AN3363">
        <v>0.99999997036866495</v>
      </c>
    </row>
    <row r="3364" spans="1:40" x14ac:dyDescent="0.25">
      <c r="A3364" t="str">
        <f>"20190312154622249"</f>
        <v>20190312154622249</v>
      </c>
      <c r="B3364" t="str">
        <f>"1552376782240681"</f>
        <v>1552376782240681</v>
      </c>
      <c r="C3364" t="s">
        <v>40</v>
      </c>
      <c r="D3364">
        <v>4.4753970000000001</v>
      </c>
      <c r="E3364">
        <v>0.66344399999999903</v>
      </c>
      <c r="F3364" t="s">
        <v>52</v>
      </c>
      <c r="G3364">
        <v>-199.04409999999999</v>
      </c>
      <c r="H3364" s="1">
        <v>-1.248667E-5</v>
      </c>
      <c r="I3364">
        <v>150.0531</v>
      </c>
      <c r="J3364">
        <v>-194.1412</v>
      </c>
      <c r="K3364">
        <v>1.103208</v>
      </c>
      <c r="L3364">
        <v>153.13079999999999</v>
      </c>
      <c r="M3364">
        <v>-0.35741270000000003</v>
      </c>
      <c r="N3364">
        <v>0</v>
      </c>
      <c r="O3364">
        <v>-0.93384089999999997</v>
      </c>
      <c r="P3364">
        <v>-0.55813419999999903</v>
      </c>
      <c r="Q3364">
        <v>1.7683529999999999E-2</v>
      </c>
      <c r="R3364">
        <v>-0.82956249999999998</v>
      </c>
      <c r="S3364">
        <v>-2.7301639999999998</v>
      </c>
      <c r="T3364">
        <v>-0.60236639999999997</v>
      </c>
      <c r="U3364">
        <v>-1.807526</v>
      </c>
      <c r="V3364">
        <v>0.22521350000000001</v>
      </c>
      <c r="W3364">
        <v>2.773055E-2</v>
      </c>
      <c r="X3364">
        <v>0.97391470000000002</v>
      </c>
      <c r="Y3364">
        <v>0.56574089999999999</v>
      </c>
      <c r="Z3364">
        <v>0.189522</v>
      </c>
      <c r="AA3364">
        <v>0.80250779999999999</v>
      </c>
      <c r="AB3364">
        <v>25</v>
      </c>
      <c r="AC3364">
        <v>-4.9028999999999803</v>
      </c>
      <c r="AD3364">
        <v>-1.1032204866699999</v>
      </c>
      <c r="AE3364">
        <v>-3.0776999999999899</v>
      </c>
      <c r="AF3364">
        <v>3.35693988900722</v>
      </c>
      <c r="AG3364">
        <v>-1.1032204866699999</v>
      </c>
      <c r="AH3364">
        <v>4.4647396584135599</v>
      </c>
      <c r="AI3364">
        <v>101.172071573468</v>
      </c>
      <c r="AJ3364">
        <v>53.061296480471803</v>
      </c>
      <c r="AK3364">
        <v>5.6938599454172598</v>
      </c>
      <c r="AL3364">
        <v>88.4109527763176</v>
      </c>
      <c r="AM3364">
        <v>76.979471392975896</v>
      </c>
      <c r="AN3364">
        <v>0.99999997343082003</v>
      </c>
    </row>
    <row r="3365" spans="1:40" x14ac:dyDescent="0.25">
      <c r="A3365" t="str">
        <f>"20190312154622271"</f>
        <v>20190312154622271</v>
      </c>
      <c r="B3365" t="str">
        <f>"1552376782260206"</f>
        <v>1552376782260206</v>
      </c>
      <c r="C3365" t="s">
        <v>40</v>
      </c>
      <c r="D3365">
        <v>4.4892310000000002</v>
      </c>
      <c r="E3365">
        <v>0.66329530000000003</v>
      </c>
      <c r="F3365" t="s">
        <v>52</v>
      </c>
      <c r="G3365">
        <v>-199.16560000000001</v>
      </c>
      <c r="H3365" s="1">
        <v>-1.2434259999999999E-5</v>
      </c>
      <c r="I3365">
        <v>149.88059999999999</v>
      </c>
      <c r="J3365">
        <v>-194.24449999999999</v>
      </c>
      <c r="K3365">
        <v>1.1031029999999999</v>
      </c>
      <c r="L3365">
        <v>152.89160000000001</v>
      </c>
      <c r="M3365">
        <v>-0.36666660000000001</v>
      </c>
      <c r="N3365">
        <v>0</v>
      </c>
      <c r="O3365">
        <v>-0.93024580000000001</v>
      </c>
      <c r="P3365">
        <v>-0.56732799999999906</v>
      </c>
      <c r="Q3365">
        <v>1.834504E-2</v>
      </c>
      <c r="R3365">
        <v>-0.82328760000000001</v>
      </c>
      <c r="S3365">
        <v>-2.7501370000000001</v>
      </c>
      <c r="T3365">
        <v>-0.60384539999999998</v>
      </c>
      <c r="U3365">
        <v>-1.7789459999999999</v>
      </c>
      <c r="V3365">
        <v>0.2264022</v>
      </c>
      <c r="W3365">
        <v>2.8330649999999999E-2</v>
      </c>
      <c r="X3365">
        <v>0.97362179999999998</v>
      </c>
      <c r="Y3365">
        <v>0.56611129999999998</v>
      </c>
      <c r="Z3365">
        <v>0.1898186</v>
      </c>
      <c r="AA3365">
        <v>0.80217640000000001</v>
      </c>
      <c r="AB3365">
        <v>25</v>
      </c>
      <c r="AC3365">
        <v>-4.9211000000000196</v>
      </c>
      <c r="AD3365">
        <v>-1.10311543426</v>
      </c>
      <c r="AE3365">
        <v>-3.0110000000000201</v>
      </c>
      <c r="AF3365">
        <v>3.3516068341815002</v>
      </c>
      <c r="AG3365">
        <v>-1.10311543426</v>
      </c>
      <c r="AH3365">
        <v>4.4433767990313102</v>
      </c>
      <c r="AI3365">
        <v>101.210696587971</v>
      </c>
      <c r="AJ3365">
        <v>52.973014881107702</v>
      </c>
      <c r="AK3365">
        <v>5.6739518336345203</v>
      </c>
      <c r="AL3365">
        <v>88.3765560980506</v>
      </c>
      <c r="AM3365">
        <v>76.909305830084307</v>
      </c>
      <c r="AN3365">
        <v>0.99999999566475095</v>
      </c>
    </row>
    <row r="3366" spans="1:40" x14ac:dyDescent="0.25">
      <c r="A3366" t="str">
        <f>"20190312154622293"</f>
        <v>20190312154622293</v>
      </c>
      <c r="B3366" t="str">
        <f>"1552376782290459"</f>
        <v>1552376782290459</v>
      </c>
      <c r="C3366" t="s">
        <v>40</v>
      </c>
      <c r="D3366">
        <v>4.4783739999999996</v>
      </c>
      <c r="E3366">
        <v>0.66289069999999894</v>
      </c>
      <c r="F3366" t="s">
        <v>52</v>
      </c>
      <c r="G3366">
        <v>-199.31299999999999</v>
      </c>
      <c r="H3366" s="1">
        <v>-1.237854E-5</v>
      </c>
      <c r="I3366">
        <v>149.68979999999999</v>
      </c>
      <c r="J3366">
        <v>-194.346</v>
      </c>
      <c r="K3366">
        <v>1.103</v>
      </c>
      <c r="L3366">
        <v>152.66309999999999</v>
      </c>
      <c r="M3366">
        <v>-0.37568309999999999</v>
      </c>
      <c r="N3366">
        <v>0</v>
      </c>
      <c r="O3366">
        <v>-0.92664120000000005</v>
      </c>
      <c r="P3366">
        <v>-0.57589469999999898</v>
      </c>
      <c r="Q3366">
        <v>1.8704930000000002E-2</v>
      </c>
      <c r="R3366">
        <v>-0.81731030000000005</v>
      </c>
      <c r="S3366">
        <v>-2.7690579999999998</v>
      </c>
      <c r="T3366">
        <v>-0.60266519999999901</v>
      </c>
      <c r="U3366">
        <v>-1.7491909999999999</v>
      </c>
      <c r="V3366">
        <v>0.22713140000000001</v>
      </c>
      <c r="W3366">
        <v>2.8640470000000001E-2</v>
      </c>
      <c r="X3366">
        <v>0.9734429</v>
      </c>
      <c r="Y3366">
        <v>0.56688380000000005</v>
      </c>
      <c r="Z3366">
        <v>0.18937100000000001</v>
      </c>
      <c r="AA3366">
        <v>0.80173649999999996</v>
      </c>
      <c r="AB3366">
        <v>25</v>
      </c>
      <c r="AC3366">
        <v>-4.9670000000000103</v>
      </c>
      <c r="AD3366">
        <v>-1.1030123785399999</v>
      </c>
      <c r="AE3366">
        <v>-2.9732999999999898</v>
      </c>
      <c r="AF3366">
        <v>3.3638303013930799</v>
      </c>
      <c r="AG3366">
        <v>-1.1030123785399999</v>
      </c>
      <c r="AH3366">
        <v>4.4597476661798501</v>
      </c>
      <c r="AI3366">
        <v>101.169710384727</v>
      </c>
      <c r="AJ3366">
        <v>52.974038113550797</v>
      </c>
      <c r="AK3366">
        <v>5.6939739944769201</v>
      </c>
      <c r="AL3366">
        <v>88.358797544011097</v>
      </c>
      <c r="AM3366">
        <v>76.866272236551197</v>
      </c>
      <c r="AN3366">
        <v>1.0000000144740899</v>
      </c>
    </row>
    <row r="3367" spans="1:40" x14ac:dyDescent="0.25">
      <c r="A3367" t="str">
        <f>"20190312154622317"</f>
        <v>20190312154622317</v>
      </c>
      <c r="B3367" t="str">
        <f>"1552376782310954"</f>
        <v>1552376782310954</v>
      </c>
      <c r="C3367" t="s">
        <v>40</v>
      </c>
      <c r="D3367">
        <v>4.5535329999999998</v>
      </c>
      <c r="E3367">
        <v>0.66264699999999999</v>
      </c>
      <c r="F3367" t="s">
        <v>52</v>
      </c>
      <c r="G3367">
        <v>-199.43969999999999</v>
      </c>
      <c r="H3367" s="1">
        <v>-1.2342479999999999E-5</v>
      </c>
      <c r="I3367">
        <v>149.51400000000001</v>
      </c>
      <c r="J3367">
        <v>-194.45849999999999</v>
      </c>
      <c r="K3367">
        <v>1.1028770000000001</v>
      </c>
      <c r="L3367">
        <v>152.4171</v>
      </c>
      <c r="M3367">
        <v>-0.38559300000000002</v>
      </c>
      <c r="N3367">
        <v>0</v>
      </c>
      <c r="O3367">
        <v>-0.92256079999999996</v>
      </c>
      <c r="P3367">
        <v>-0.58552559999999998</v>
      </c>
      <c r="Q3367">
        <v>1.902711E-2</v>
      </c>
      <c r="R3367">
        <v>-0.8104306</v>
      </c>
      <c r="S3367">
        <v>-2.7851409999999999</v>
      </c>
      <c r="T3367">
        <v>-0.60311630000000005</v>
      </c>
      <c r="U3367">
        <v>-1.7218929999999999</v>
      </c>
      <c r="V3367">
        <v>0.2282344</v>
      </c>
      <c r="W3367">
        <v>2.8899279999999999E-2</v>
      </c>
      <c r="X3367">
        <v>0.97317719999999996</v>
      </c>
      <c r="Y3367">
        <v>0.56587919999999903</v>
      </c>
      <c r="Z3367">
        <v>0.18934699999999999</v>
      </c>
      <c r="AA3367">
        <v>0.80245159999999904</v>
      </c>
      <c r="AB3367">
        <v>25</v>
      </c>
      <c r="AC3367">
        <v>-4.9812000000000003</v>
      </c>
      <c r="AD3367">
        <v>-1.1028893424799999</v>
      </c>
      <c r="AE3367">
        <v>-2.90309999999999</v>
      </c>
      <c r="AF3367">
        <v>3.3536708150162</v>
      </c>
      <c r="AG3367">
        <v>-1.1028893424799999</v>
      </c>
      <c r="AH3367">
        <v>4.4370944448060596</v>
      </c>
      <c r="AI3367">
        <v>101.215861807333</v>
      </c>
      <c r="AJ3367">
        <v>52.917068123885898</v>
      </c>
      <c r="AK3367">
        <v>5.6702098681950197</v>
      </c>
      <c r="AL3367">
        <v>88.343962635872103</v>
      </c>
      <c r="AM3367">
        <v>76.801241753914297</v>
      </c>
      <c r="AN3367">
        <v>0.99999998616385899</v>
      </c>
    </row>
    <row r="3368" spans="1:40" x14ac:dyDescent="0.25">
      <c r="A3368" t="str">
        <f>"20190312154622341"</f>
        <v>20190312154622341</v>
      </c>
      <c r="B3368" t="str">
        <f>"1552376782330474"</f>
        <v>1552376782330474</v>
      </c>
      <c r="C3368" t="s">
        <v>40</v>
      </c>
      <c r="D3368">
        <v>4.557023</v>
      </c>
      <c r="E3368">
        <v>0.66206369999999903</v>
      </c>
      <c r="F3368" t="s">
        <v>52</v>
      </c>
      <c r="G3368">
        <v>-199.70609999999999</v>
      </c>
      <c r="H3368" s="1">
        <v>-1.231779E-5</v>
      </c>
      <c r="I3368">
        <v>149.2552</v>
      </c>
      <c r="J3368">
        <v>-194.57300000000001</v>
      </c>
      <c r="K3368">
        <v>1.102741</v>
      </c>
      <c r="L3368">
        <v>152.17410000000001</v>
      </c>
      <c r="M3368">
        <v>-0.39560129999999999</v>
      </c>
      <c r="N3368">
        <v>0</v>
      </c>
      <c r="O3368">
        <v>-0.91831339999999995</v>
      </c>
      <c r="P3368">
        <v>-0.59479340000000003</v>
      </c>
      <c r="Q3368">
        <v>1.923948E-2</v>
      </c>
      <c r="R3368">
        <v>-0.80364849999999999</v>
      </c>
      <c r="S3368">
        <v>-2.8040919999999998</v>
      </c>
      <c r="T3368">
        <v>-0.58933950000000002</v>
      </c>
      <c r="U3368">
        <v>-1.6896359999999999</v>
      </c>
      <c r="V3368">
        <v>0.22884389999999999</v>
      </c>
      <c r="W3368">
        <v>2.9054199999999999E-2</v>
      </c>
      <c r="X3368">
        <v>0.97302949999999999</v>
      </c>
      <c r="Y3368">
        <v>0.56689230000000002</v>
      </c>
      <c r="Z3368">
        <v>0.18503520000000001</v>
      </c>
      <c r="AA3368">
        <v>0.80274219999999996</v>
      </c>
      <c r="AB3368">
        <v>25</v>
      </c>
      <c r="AC3368">
        <v>-5.1331000000000104</v>
      </c>
      <c r="AD3368">
        <v>-1.10275331779</v>
      </c>
      <c r="AE3368">
        <v>-2.9188999999999998</v>
      </c>
      <c r="AF3368">
        <v>3.43947640184438</v>
      </c>
      <c r="AG3368">
        <v>-1.10275331779</v>
      </c>
      <c r="AH3368">
        <v>4.5528155104872301</v>
      </c>
      <c r="AI3368">
        <v>100.938299522393</v>
      </c>
      <c r="AJ3368">
        <v>52.9303608936046</v>
      </c>
      <c r="AK3368">
        <v>5.8115567511015804</v>
      </c>
      <c r="AL3368">
        <v>88.3350827385472</v>
      </c>
      <c r="AM3368">
        <v>76.765295038520307</v>
      </c>
      <c r="AN3368">
        <v>1.0000000424875399</v>
      </c>
    </row>
    <row r="3369" spans="1:40" x14ac:dyDescent="0.25">
      <c r="A3369" t="str">
        <f>"20190312154622362"</f>
        <v>20190312154622362</v>
      </c>
      <c r="B3369" t="str">
        <f>"1552376782350969"</f>
        <v>1552376782350969</v>
      </c>
      <c r="C3369" t="s">
        <v>40</v>
      </c>
      <c r="D3369">
        <v>4.50122</v>
      </c>
      <c r="E3369">
        <v>0.66159659999999998</v>
      </c>
      <c r="F3369" t="s">
        <v>52</v>
      </c>
      <c r="G3369">
        <v>-199.95500000000001</v>
      </c>
      <c r="H3369" s="1">
        <v>-1.227991E-5</v>
      </c>
      <c r="I3369">
        <v>149.0077</v>
      </c>
      <c r="J3369">
        <v>-194.6823</v>
      </c>
      <c r="K3369">
        <v>1.1026039999999999</v>
      </c>
      <c r="L3369">
        <v>151.94880000000001</v>
      </c>
      <c r="M3369">
        <v>-0.40507720000000003</v>
      </c>
      <c r="N3369">
        <v>0</v>
      </c>
      <c r="O3369">
        <v>-0.91417250000000005</v>
      </c>
      <c r="P3369">
        <v>-0.60334619999999894</v>
      </c>
      <c r="Q3369">
        <v>1.9304519999999999E-2</v>
      </c>
      <c r="R3369">
        <v>-0.79724600000000001</v>
      </c>
      <c r="S3369">
        <v>-2.8204349999999998</v>
      </c>
      <c r="T3369">
        <v>-0.57789579999999996</v>
      </c>
      <c r="U3369">
        <v>-1.659348</v>
      </c>
      <c r="V3369">
        <v>0.229189</v>
      </c>
      <c r="W3369">
        <v>2.906707E-2</v>
      </c>
      <c r="X3369">
        <v>0.97294780000000003</v>
      </c>
      <c r="Y3369">
        <v>0.56747609999999904</v>
      </c>
      <c r="Z3369">
        <v>0.18144840000000001</v>
      </c>
      <c r="AA3369">
        <v>0.80314839999999998</v>
      </c>
      <c r="AB3369">
        <v>25</v>
      </c>
      <c r="AC3369">
        <v>-5.2727000000000102</v>
      </c>
      <c r="AD3369">
        <v>-1.1026162799099899</v>
      </c>
      <c r="AE3369">
        <v>-2.9411</v>
      </c>
      <c r="AF3369">
        <v>3.5120137235904099</v>
      </c>
      <c r="AG3369">
        <v>-1.1026162799099899</v>
      </c>
      <c r="AH3369">
        <v>4.6692744272897997</v>
      </c>
      <c r="AI3369">
        <v>100.68711529821999</v>
      </c>
      <c r="AJ3369">
        <v>53.051196073287102</v>
      </c>
      <c r="AK3369">
        <v>5.9457654454874396</v>
      </c>
      <c r="AL3369">
        <v>88.3343448877295</v>
      </c>
      <c r="AM3369">
        <v>76.744967145623207</v>
      </c>
      <c r="AN3369">
        <v>0.99999995690211096</v>
      </c>
    </row>
    <row r="3370" spans="1:40" x14ac:dyDescent="0.25">
      <c r="A3370" t="str">
        <f>"20190312154622385"</f>
        <v>20190312154622385</v>
      </c>
      <c r="B3370" t="str">
        <f>"1552376782380251"</f>
        <v>1552376782380251</v>
      </c>
      <c r="C3370" t="s">
        <v>40</v>
      </c>
      <c r="D3370">
        <v>4.5422099999999999</v>
      </c>
      <c r="E3370">
        <v>0.66102869999999903</v>
      </c>
      <c r="F3370" t="s">
        <v>52</v>
      </c>
      <c r="G3370">
        <v>-200.09100000000001</v>
      </c>
      <c r="H3370" s="1">
        <v>-1.2171219999999999E-5</v>
      </c>
      <c r="I3370">
        <v>148.83959999999999</v>
      </c>
      <c r="J3370">
        <v>-194.79390000000001</v>
      </c>
      <c r="K3370">
        <v>1.10246</v>
      </c>
      <c r="L3370">
        <v>151.72540000000001</v>
      </c>
      <c r="M3370">
        <v>-0.41467500000000002</v>
      </c>
      <c r="N3370">
        <v>0</v>
      </c>
      <c r="O3370">
        <v>-0.90985839999999996</v>
      </c>
      <c r="P3370">
        <v>-0.61218799999999995</v>
      </c>
      <c r="Q3370">
        <v>1.9279709999999999E-2</v>
      </c>
      <c r="R3370">
        <v>-0.79047709999999904</v>
      </c>
      <c r="S3370">
        <v>-2.836319</v>
      </c>
      <c r="T3370">
        <v>-0.57821420000000001</v>
      </c>
      <c r="U3370">
        <v>-1.630447</v>
      </c>
      <c r="V3370">
        <v>0.2297961</v>
      </c>
      <c r="W3370">
        <v>2.89827E-2</v>
      </c>
      <c r="X3370">
        <v>0.97280719999999998</v>
      </c>
      <c r="Y3370">
        <v>0.56697739999999996</v>
      </c>
      <c r="Z3370">
        <v>0.18135200000000001</v>
      </c>
      <c r="AA3370">
        <v>0.80352219999999996</v>
      </c>
      <c r="AB3370">
        <v>25</v>
      </c>
      <c r="AC3370">
        <v>-5.2970999999999702</v>
      </c>
      <c r="AD3370">
        <v>-1.1024721712200001</v>
      </c>
      <c r="AE3370">
        <v>-2.8858000000000099</v>
      </c>
      <c r="AF3370">
        <v>3.50619051354745</v>
      </c>
      <c r="AG3370">
        <v>-1.1024721712200001</v>
      </c>
      <c r="AH3370">
        <v>4.6668448253932198</v>
      </c>
      <c r="AI3370">
        <v>100.695481724727</v>
      </c>
      <c r="AJ3370">
        <v>53.082540509881603</v>
      </c>
      <c r="AK3370">
        <v>5.9403920266177899</v>
      </c>
      <c r="AL3370">
        <v>88.339181119070403</v>
      </c>
      <c r="AM3370">
        <v>76.709247477098202</v>
      </c>
      <c r="AN3370">
        <v>1.00000004642316</v>
      </c>
    </row>
    <row r="3371" spans="1:40" x14ac:dyDescent="0.25">
      <c r="A3371" t="str">
        <f>"20190312154622405"</f>
        <v>20190312154622405</v>
      </c>
      <c r="B3371" t="str">
        <f>"1552376782400748"</f>
        <v>1552376782400748</v>
      </c>
      <c r="C3371" t="s">
        <v>40</v>
      </c>
      <c r="D3371">
        <v>4.5337809999999896</v>
      </c>
      <c r="E3371">
        <v>0.65376909999999999</v>
      </c>
      <c r="F3371" t="s">
        <v>52</v>
      </c>
      <c r="G3371">
        <v>-200.20599999999999</v>
      </c>
      <c r="H3371" s="1">
        <v>-1.2074789999999999E-5</v>
      </c>
      <c r="I3371">
        <v>148.68690000000001</v>
      </c>
      <c r="J3371">
        <v>-194.9057</v>
      </c>
      <c r="K3371">
        <v>1.10232</v>
      </c>
      <c r="L3371">
        <v>151.50799999999899</v>
      </c>
      <c r="M3371">
        <v>-0.42421510000000001</v>
      </c>
      <c r="N3371">
        <v>0</v>
      </c>
      <c r="O3371">
        <v>-0.90544939999999996</v>
      </c>
      <c r="P3371">
        <v>-0.62060959999999998</v>
      </c>
      <c r="Q3371">
        <v>1.8799550000000002E-2</v>
      </c>
      <c r="R3371">
        <v>-0.78389449999999905</v>
      </c>
      <c r="S3371">
        <v>-2.8515779999999999</v>
      </c>
      <c r="T3371">
        <v>-0.58087709999999904</v>
      </c>
      <c r="U3371">
        <v>-1.600922</v>
      </c>
      <c r="V3371">
        <v>0.2299745</v>
      </c>
      <c r="W3371">
        <v>2.8456490000000001E-2</v>
      </c>
      <c r="X3371">
        <v>0.97278050000000005</v>
      </c>
      <c r="Y3371">
        <v>0.5664266</v>
      </c>
      <c r="Z3371">
        <v>0.18197650000000001</v>
      </c>
      <c r="AA3371">
        <v>0.80376950000000003</v>
      </c>
      <c r="AB3371">
        <v>25</v>
      </c>
      <c r="AC3371">
        <v>-5.3002999999999902</v>
      </c>
      <c r="AD3371">
        <v>-1.1023320747900001</v>
      </c>
      <c r="AE3371">
        <v>-2.8210999999999702</v>
      </c>
      <c r="AF3371">
        <v>3.48529299168325</v>
      </c>
      <c r="AG3371">
        <v>-1.1023320747900001</v>
      </c>
      <c r="AH3371">
        <v>4.6466996230057296</v>
      </c>
      <c r="AI3371">
        <v>100.745688442127</v>
      </c>
      <c r="AJ3371">
        <v>53.127985332742803</v>
      </c>
      <c r="AK3371">
        <v>5.9122094539544898</v>
      </c>
      <c r="AL3371">
        <v>88.369343050107105</v>
      </c>
      <c r="AM3371">
        <v>76.698943822413497</v>
      </c>
      <c r="AN3371">
        <v>0.999999971826809</v>
      </c>
    </row>
    <row r="3372" spans="1:40" x14ac:dyDescent="0.25">
      <c r="A3372" t="str">
        <f>"20190312154622429"</f>
        <v>20190312154622429</v>
      </c>
      <c r="B3372" t="str">
        <f>"1552376782420266"</f>
        <v>1552376782420266</v>
      </c>
      <c r="C3372" t="s">
        <v>40</v>
      </c>
      <c r="D3372">
        <v>4.5827239999999998</v>
      </c>
      <c r="E3372">
        <v>0.65365130000000005</v>
      </c>
      <c r="F3372" t="s">
        <v>52</v>
      </c>
      <c r="G3372">
        <v>-199.70689999999999</v>
      </c>
      <c r="H3372" s="1">
        <v>-1.217491E-5</v>
      </c>
      <c r="I3372">
        <v>148.77449999999999</v>
      </c>
      <c r="J3372">
        <v>-195.02940000000001</v>
      </c>
      <c r="K3372">
        <v>1.10219</v>
      </c>
      <c r="L3372">
        <v>151.27440000000001</v>
      </c>
      <c r="M3372">
        <v>-0.43465169999999997</v>
      </c>
      <c r="N3372">
        <v>0</v>
      </c>
      <c r="O3372">
        <v>-0.90048539999999999</v>
      </c>
      <c r="P3372">
        <v>-0.62965150000000003</v>
      </c>
      <c r="Q3372">
        <v>1.7374420000000002E-2</v>
      </c>
      <c r="R3372">
        <v>-0.77668329999999997</v>
      </c>
      <c r="S3372">
        <v>-2.8232729999999999</v>
      </c>
      <c r="T3372">
        <v>-0.64820739999999999</v>
      </c>
      <c r="U3372">
        <v>-1.607391</v>
      </c>
      <c r="V3372">
        <v>0.2299717</v>
      </c>
      <c r="W3372">
        <v>2.6995060000000001E-2</v>
      </c>
      <c r="X3372">
        <v>0.97282279999999999</v>
      </c>
      <c r="Y3372">
        <v>0.548288</v>
      </c>
      <c r="Z3372">
        <v>0.202405</v>
      </c>
      <c r="AA3372">
        <v>0.81142619999999999</v>
      </c>
      <c r="AB3372">
        <v>25</v>
      </c>
      <c r="AC3372">
        <v>-4.6774999999999798</v>
      </c>
      <c r="AD3372">
        <v>-1.1022021749099999</v>
      </c>
      <c r="AE3372">
        <v>-2.4999000000000202</v>
      </c>
      <c r="AF3372">
        <v>2.9963435409928998</v>
      </c>
      <c r="AG3372">
        <v>-1.1022021749099999</v>
      </c>
      <c r="AH3372">
        <v>4.1072543977040104</v>
      </c>
      <c r="AI3372">
        <v>102.232194316861</v>
      </c>
      <c r="AJ3372">
        <v>53.888325265978501</v>
      </c>
      <c r="AK3372">
        <v>5.2021594494483896</v>
      </c>
      <c r="AL3372">
        <v>88.453109012232105</v>
      </c>
      <c r="AM3372">
        <v>76.699657801939196</v>
      </c>
      <c r="AN3372">
        <v>0.99999995813256504</v>
      </c>
    </row>
    <row r="3373" spans="1:40" x14ac:dyDescent="0.25">
      <c r="A3373" t="str">
        <f>"20190312154622450"</f>
        <v>20190312154622450</v>
      </c>
      <c r="B3373" t="str">
        <f>"1552376782440762"</f>
        <v>1552376782440762</v>
      </c>
      <c r="C3373" t="s">
        <v>40</v>
      </c>
      <c r="D3373">
        <v>4.6536379999999999</v>
      </c>
      <c r="E3373">
        <v>0.65270220000000001</v>
      </c>
      <c r="F3373" t="s">
        <v>52</v>
      </c>
      <c r="G3373">
        <v>-200.46979999999999</v>
      </c>
      <c r="H3373" s="1">
        <v>-1.1831779999999999E-5</v>
      </c>
      <c r="I3373">
        <v>148.26320000000001</v>
      </c>
      <c r="J3373">
        <v>-195.15309999999999</v>
      </c>
      <c r="K3373">
        <v>1.102082</v>
      </c>
      <c r="L3373">
        <v>151.04740000000001</v>
      </c>
      <c r="M3373">
        <v>-0.44496459999999999</v>
      </c>
      <c r="N3373">
        <v>0</v>
      </c>
      <c r="O3373">
        <v>-0.8954337</v>
      </c>
      <c r="P3373">
        <v>-0.63839749999999995</v>
      </c>
      <c r="Q3373">
        <v>1.655413E-2</v>
      </c>
      <c r="R3373">
        <v>-0.76952909999999997</v>
      </c>
      <c r="S3373">
        <v>-2.8409119999999999</v>
      </c>
      <c r="T3373">
        <v>-0.57555639999999997</v>
      </c>
      <c r="U3373">
        <v>-1.5723879999999999</v>
      </c>
      <c r="V3373">
        <v>0.22978799999999999</v>
      </c>
      <c r="W3373">
        <v>2.6150409999999999E-2</v>
      </c>
      <c r="X3373">
        <v>0.97288929999999996</v>
      </c>
      <c r="Y3373">
        <v>0.55259689999999995</v>
      </c>
      <c r="Z3373">
        <v>0.1802967</v>
      </c>
      <c r="AA3373">
        <v>0.81371359999999904</v>
      </c>
      <c r="AB3373">
        <v>25</v>
      </c>
      <c r="AC3373">
        <v>-5.3166999999999902</v>
      </c>
      <c r="AD3373">
        <v>-1.10209383178</v>
      </c>
      <c r="AE3373">
        <v>-2.78419999999999</v>
      </c>
      <c r="AF3373">
        <v>3.4073428265871901</v>
      </c>
      <c r="AG3373">
        <v>-1.10209383178</v>
      </c>
      <c r="AH3373">
        <v>4.7007909725931496</v>
      </c>
      <c r="AI3373">
        <v>100.748347411533</v>
      </c>
      <c r="AJ3373">
        <v>54.063725705415997</v>
      </c>
      <c r="AK3373">
        <v>5.9094865868327302</v>
      </c>
      <c r="AL3373">
        <v>88.501521022965704</v>
      </c>
      <c r="AM3373">
        <v>76.710781078357201</v>
      </c>
      <c r="AN3373">
        <v>0.99999997947082797</v>
      </c>
    </row>
    <row r="3374" spans="1:40" x14ac:dyDescent="0.25">
      <c r="A3374" t="str">
        <f>"20190312154622485"</f>
        <v>20190312154622485</v>
      </c>
      <c r="B3374" t="str">
        <f>"1552376782480778"</f>
        <v>1552376782480778</v>
      </c>
      <c r="C3374" t="s">
        <v>40</v>
      </c>
      <c r="D3374">
        <v>4.571542</v>
      </c>
      <c r="E3374">
        <v>0.6514915</v>
      </c>
      <c r="F3374" t="s">
        <v>52</v>
      </c>
      <c r="G3374">
        <v>-200.77340000000001</v>
      </c>
      <c r="H3374" s="1">
        <v>-1.1620779999999999E-5</v>
      </c>
      <c r="I3374">
        <v>148.00649999999999</v>
      </c>
      <c r="J3374">
        <v>-195.34379999999999</v>
      </c>
      <c r="K3374">
        <v>1.1019369999999999</v>
      </c>
      <c r="L3374">
        <v>150.70939999999999</v>
      </c>
      <c r="M3374">
        <v>-0.46061429999999998</v>
      </c>
      <c r="N3374">
        <v>0</v>
      </c>
      <c r="O3374">
        <v>-0.88748439999999995</v>
      </c>
      <c r="P3374">
        <v>-0.65120749999999905</v>
      </c>
      <c r="Q3374">
        <v>1.6799419999999999E-2</v>
      </c>
      <c r="R3374">
        <v>-0.758714</v>
      </c>
      <c r="S3374">
        <v>-2.8530579999999999</v>
      </c>
      <c r="T3374">
        <v>-0.55946359999999995</v>
      </c>
      <c r="U3374">
        <v>-1.5436399999999999</v>
      </c>
      <c r="V3374">
        <v>0.2290353</v>
      </c>
      <c r="W3374">
        <v>2.6377310000000001E-2</v>
      </c>
      <c r="X3374">
        <v>0.9730607</v>
      </c>
      <c r="Y3374">
        <v>0.54675549999999995</v>
      </c>
      <c r="Z3374">
        <v>0.17471030000000001</v>
      </c>
      <c r="AA3374">
        <v>0.81886179999999997</v>
      </c>
      <c r="AB3374">
        <v>25</v>
      </c>
      <c r="AC3374">
        <v>-5.4296000000000202</v>
      </c>
      <c r="AD3374">
        <v>-1.10194862078</v>
      </c>
      <c r="AE3374">
        <v>-2.7029000000000001</v>
      </c>
      <c r="AF3374">
        <v>3.4598513118459202</v>
      </c>
      <c r="AG3374">
        <v>-1.10194862078</v>
      </c>
      <c r="AH3374">
        <v>4.7436524446617199</v>
      </c>
      <c r="AI3374">
        <v>100.629737770472</v>
      </c>
      <c r="AJ3374">
        <v>53.894319377476698</v>
      </c>
      <c r="AK3374">
        <v>5.9738681253159598</v>
      </c>
      <c r="AL3374">
        <v>88.488516198332803</v>
      </c>
      <c r="AM3374">
        <v>76.7550255774063</v>
      </c>
      <c r="AN3374">
        <v>1.0000000285066999</v>
      </c>
    </row>
    <row r="3375" spans="1:40" x14ac:dyDescent="0.25">
      <c r="A3375" t="str">
        <f>"20190312154622512"</f>
        <v>20190312154622512</v>
      </c>
      <c r="B3375" t="str">
        <f>"1552376782500299"</f>
        <v>1552376782500299</v>
      </c>
      <c r="C3375" t="s">
        <v>40</v>
      </c>
      <c r="D3375">
        <v>4.5850369999999998</v>
      </c>
      <c r="E3375">
        <v>0.65100230000000003</v>
      </c>
      <c r="F3375" t="s">
        <v>52</v>
      </c>
      <c r="G3375">
        <v>-200.6602</v>
      </c>
      <c r="H3375" s="1">
        <v>-1.164724E-5</v>
      </c>
      <c r="I3375">
        <v>147.92679999999999</v>
      </c>
      <c r="J3375">
        <v>-195.49639999999999</v>
      </c>
      <c r="K3375">
        <v>1.1018289999999999</v>
      </c>
      <c r="L3375">
        <v>150.44980000000001</v>
      </c>
      <c r="M3375">
        <v>-0.47291030000000001</v>
      </c>
      <c r="N3375">
        <v>0</v>
      </c>
      <c r="O3375">
        <v>-0.88099280000000002</v>
      </c>
      <c r="P3375">
        <v>-0.66195319999999902</v>
      </c>
      <c r="Q3375">
        <v>1.6563669999999999E-2</v>
      </c>
      <c r="R3375">
        <v>-0.74936219999999998</v>
      </c>
      <c r="S3375">
        <v>-2.8712460000000002</v>
      </c>
      <c r="T3375">
        <v>-0.5951303</v>
      </c>
      <c r="U3375">
        <v>-1.5028079999999999</v>
      </c>
      <c r="V3375">
        <v>0.2293713</v>
      </c>
      <c r="W3375">
        <v>2.6109420000000001E-2</v>
      </c>
      <c r="X3375">
        <v>0.97298870000000004</v>
      </c>
      <c r="Y3375">
        <v>0.54457630000000001</v>
      </c>
      <c r="Z3375">
        <v>0.185139</v>
      </c>
      <c r="AA3375">
        <v>0.81802209999999997</v>
      </c>
      <c r="AB3375">
        <v>25</v>
      </c>
      <c r="AC3375">
        <v>-5.1638000000000002</v>
      </c>
      <c r="AD3375">
        <v>-1.10184064724</v>
      </c>
      <c r="AE3375">
        <v>-2.5230000000000201</v>
      </c>
      <c r="AF3375">
        <v>3.2374708504809999</v>
      </c>
      <c r="AG3375">
        <v>-1.10184064724</v>
      </c>
      <c r="AH3375">
        <v>4.4998482531494597</v>
      </c>
      <c r="AI3375">
        <v>101.241843387915</v>
      </c>
      <c r="AJ3375">
        <v>54.266410372053002</v>
      </c>
      <c r="AK3375">
        <v>5.6518938968275698</v>
      </c>
      <c r="AL3375">
        <v>88.503870339132504</v>
      </c>
      <c r="AM3375">
        <v>76.735334413111502</v>
      </c>
      <c r="AN3375">
        <v>0.99999995270205699</v>
      </c>
    </row>
    <row r="3376" spans="1:40" x14ac:dyDescent="0.25">
      <c r="A3376" t="str">
        <f>"20190312154622531"</f>
        <v>20190312154622531</v>
      </c>
      <c r="B3376" t="str">
        <f>"1552376782520794"</f>
        <v>1552376782520794</v>
      </c>
      <c r="C3376" t="s">
        <v>40</v>
      </c>
      <c r="D3376">
        <v>4.5760459999999998</v>
      </c>
      <c r="E3376">
        <v>0.65052730000000003</v>
      </c>
      <c r="F3376" t="s">
        <v>52</v>
      </c>
      <c r="G3376">
        <v>-200.7567</v>
      </c>
      <c r="H3376" s="1">
        <v>-1.156194E-5</v>
      </c>
      <c r="I3376">
        <v>147.78380000000001</v>
      </c>
      <c r="J3376">
        <v>-195.61279999999999</v>
      </c>
      <c r="K3376">
        <v>1.1017570000000001</v>
      </c>
      <c r="L3376">
        <v>150.25710000000001</v>
      </c>
      <c r="M3376">
        <v>-0.4821549</v>
      </c>
      <c r="N3376">
        <v>0</v>
      </c>
      <c r="O3376">
        <v>-0.87596719999999895</v>
      </c>
      <c r="P3376">
        <v>-0.66973879999999997</v>
      </c>
      <c r="Q3376">
        <v>1.6851379999999999E-2</v>
      </c>
      <c r="R3376">
        <v>-0.74240569999999995</v>
      </c>
      <c r="S3376">
        <v>-2.8894350000000002</v>
      </c>
      <c r="T3376">
        <v>-0.60523359999999904</v>
      </c>
      <c r="U3376">
        <v>-1.4644010000000001</v>
      </c>
      <c r="V3376">
        <v>0.22930229999999999</v>
      </c>
      <c r="W3376">
        <v>2.6382070000000001E-2</v>
      </c>
      <c r="X3376">
        <v>0.97299769999999997</v>
      </c>
      <c r="Y3376">
        <v>0.54599219999999904</v>
      </c>
      <c r="Z3376">
        <v>0.18796570000000001</v>
      </c>
      <c r="AA3376">
        <v>0.81643219999999905</v>
      </c>
      <c r="AB3376">
        <v>25</v>
      </c>
      <c r="AC3376">
        <v>-5.1439000000000004</v>
      </c>
      <c r="AD3376">
        <v>-1.1017685619399999</v>
      </c>
      <c r="AE3376">
        <v>-2.4732999999999898</v>
      </c>
      <c r="AF3376">
        <v>3.1946774800484099</v>
      </c>
      <c r="AG3376">
        <v>-1.1017685619399999</v>
      </c>
      <c r="AH3376">
        <v>4.4802259337931698</v>
      </c>
      <c r="AI3376">
        <v>101.322472277733</v>
      </c>
      <c r="AJ3376">
        <v>54.508787439511401</v>
      </c>
      <c r="AK3376">
        <v>5.6117985159341401</v>
      </c>
      <c r="AL3376">
        <v>88.488243394837397</v>
      </c>
      <c r="AM3376">
        <v>76.739302046415901</v>
      </c>
      <c r="AN3376">
        <v>1.00000004130403</v>
      </c>
    </row>
    <row r="3377" spans="1:40" x14ac:dyDescent="0.25">
      <c r="A3377" t="str">
        <f>"20190312154622553"</f>
        <v>20190312154622553</v>
      </c>
      <c r="B3377" t="str">
        <f>"1552376782551051"</f>
        <v>1552376782551051</v>
      </c>
      <c r="C3377" t="s">
        <v>40</v>
      </c>
      <c r="D3377">
        <v>4.6150960000000003</v>
      </c>
      <c r="E3377">
        <v>0.64972319999999995</v>
      </c>
      <c r="F3377" t="s">
        <v>52</v>
      </c>
      <c r="G3377">
        <v>-200.83860000000001</v>
      </c>
      <c r="H3377" s="1">
        <v>-1.149164E-5</v>
      </c>
      <c r="I3377">
        <v>147.66970000000001</v>
      </c>
      <c r="J3377">
        <v>-195.7474</v>
      </c>
      <c r="K3377">
        <v>1.101666</v>
      </c>
      <c r="L3377">
        <v>150.0402</v>
      </c>
      <c r="M3377">
        <v>-0.49270619999999998</v>
      </c>
      <c r="N3377">
        <v>0</v>
      </c>
      <c r="O3377">
        <v>-0.87007559999999995</v>
      </c>
      <c r="P3377">
        <v>-0.67800050000000001</v>
      </c>
      <c r="Q3377">
        <v>1.7492339999999999E-2</v>
      </c>
      <c r="R3377">
        <v>-0.73485330000000004</v>
      </c>
      <c r="S3377">
        <v>-2.9020389999999998</v>
      </c>
      <c r="T3377">
        <v>-0.61184369999999999</v>
      </c>
      <c r="U3377">
        <v>-1.436844</v>
      </c>
      <c r="V3377">
        <v>0.22845219999999999</v>
      </c>
      <c r="W3377">
        <v>2.7019850000000002E-2</v>
      </c>
      <c r="X3377">
        <v>0.97318009999999999</v>
      </c>
      <c r="Y3377">
        <v>0.5432709</v>
      </c>
      <c r="Z3377">
        <v>0.1893726</v>
      </c>
      <c r="AA3377">
        <v>0.81792100000000001</v>
      </c>
      <c r="AB3377">
        <v>25</v>
      </c>
      <c r="AC3377">
        <v>-5.0912000000000104</v>
      </c>
      <c r="AD3377">
        <v>-1.1016774916399901</v>
      </c>
      <c r="AE3377">
        <v>-2.3704999999999901</v>
      </c>
      <c r="AF3377">
        <v>3.14123032004282</v>
      </c>
      <c r="AG3377">
        <v>-1.1016774916399901</v>
      </c>
      <c r="AH3377">
        <v>4.4020596452316001</v>
      </c>
      <c r="AI3377">
        <v>101.514510991064</v>
      </c>
      <c r="AJ3377">
        <v>54.489031154150901</v>
      </c>
      <c r="AK3377">
        <v>5.5189809149261499</v>
      </c>
      <c r="AL3377">
        <v>88.451688186291506</v>
      </c>
      <c r="AM3377">
        <v>76.789125895861403</v>
      </c>
      <c r="AN3377">
        <v>0.99999999350743596</v>
      </c>
    </row>
    <row r="3378" spans="1:40" x14ac:dyDescent="0.25">
      <c r="A3378" t="str">
        <f>"20190312154622576"</f>
        <v>20190312154622576</v>
      </c>
      <c r="B3378" t="str">
        <f>"1552376782570570"</f>
        <v>1552376782570570</v>
      </c>
      <c r="C3378" t="s">
        <v>40</v>
      </c>
      <c r="D3378">
        <v>4.6069209999999998</v>
      </c>
      <c r="E3378">
        <v>0.64877299999999904</v>
      </c>
      <c r="F3378" t="s">
        <v>52</v>
      </c>
      <c r="G3378">
        <v>-200.98330000000001</v>
      </c>
      <c r="H3378" s="1">
        <v>-1.13801299999999E-5</v>
      </c>
      <c r="I3378">
        <v>147.51060000000001</v>
      </c>
      <c r="J3378">
        <v>-195.8871</v>
      </c>
      <c r="K3378">
        <v>1.101564</v>
      </c>
      <c r="L3378">
        <v>149.82140000000001</v>
      </c>
      <c r="M3378">
        <v>-0.50351829999999997</v>
      </c>
      <c r="N3378">
        <v>0</v>
      </c>
      <c r="O3378">
        <v>-0.8638633</v>
      </c>
      <c r="P3378">
        <v>-0.68570549999999997</v>
      </c>
      <c r="Q3378">
        <v>1.7338490000000002E-2</v>
      </c>
      <c r="R3378">
        <v>-0.72767280000000001</v>
      </c>
      <c r="S3378">
        <v>-2.9144739999999998</v>
      </c>
      <c r="T3378">
        <v>-0.61323070000000002</v>
      </c>
      <c r="U3378">
        <v>-1.408066</v>
      </c>
      <c r="V3378">
        <v>0.2265712</v>
      </c>
      <c r="W3378">
        <v>2.6884000000000002E-2</v>
      </c>
      <c r="X3378">
        <v>0.97362349999999998</v>
      </c>
      <c r="Y3378">
        <v>0.54078490000000001</v>
      </c>
      <c r="Z3378">
        <v>0.18918280000000001</v>
      </c>
      <c r="AA3378">
        <v>0.81961059999999997</v>
      </c>
      <c r="AB3378">
        <v>25</v>
      </c>
      <c r="AC3378">
        <v>-5.0961999999999996</v>
      </c>
      <c r="AD3378">
        <v>-1.1015753801299999</v>
      </c>
      <c r="AE3378">
        <v>-2.3108</v>
      </c>
      <c r="AF3378">
        <v>3.1183759136315499</v>
      </c>
      <c r="AG3378">
        <v>-1.1015753801299999</v>
      </c>
      <c r="AH3378">
        <v>4.3924911013615802</v>
      </c>
      <c r="AI3378">
        <v>101.557251021832</v>
      </c>
      <c r="AJ3378">
        <v>54.627787215154299</v>
      </c>
      <c r="AK3378">
        <v>5.4983374516636099</v>
      </c>
      <c r="AL3378">
        <v>88.459474639535799</v>
      </c>
      <c r="AM3378">
        <v>76.899893136181703</v>
      </c>
      <c r="AN3378">
        <v>0.99999998893884401</v>
      </c>
    </row>
    <row r="3379" spans="1:40" x14ac:dyDescent="0.25">
      <c r="A3379" t="str">
        <f>"20190312154622595"</f>
        <v>20190312154622595</v>
      </c>
      <c r="B3379" t="str">
        <f>"1552376782591065"</f>
        <v>1552376782591065</v>
      </c>
      <c r="C3379" t="s">
        <v>40</v>
      </c>
      <c r="D3379">
        <v>4.5674640000000002</v>
      </c>
      <c r="E3379">
        <v>0.64782949999999995</v>
      </c>
      <c r="F3379" t="s">
        <v>52</v>
      </c>
      <c r="G3379">
        <v>-201.2724</v>
      </c>
      <c r="H3379" s="1">
        <v>-1.118269E-5</v>
      </c>
      <c r="I3379">
        <v>147.27789999999999</v>
      </c>
      <c r="J3379">
        <v>-196.01060000000001</v>
      </c>
      <c r="K3379">
        <v>1.101467</v>
      </c>
      <c r="L3379">
        <v>149.63339999999999</v>
      </c>
      <c r="M3379">
        <v>-0.51296049999999904</v>
      </c>
      <c r="N3379">
        <v>0</v>
      </c>
      <c r="O3379">
        <v>-0.85828950000000004</v>
      </c>
      <c r="P3379">
        <v>-0.69212039999999997</v>
      </c>
      <c r="Q3379">
        <v>1.728903E-2</v>
      </c>
      <c r="R3379">
        <v>-0.72157539999999998</v>
      </c>
      <c r="S3379">
        <v>-2.9243929999999998</v>
      </c>
      <c r="T3379">
        <v>-0.59819019999999901</v>
      </c>
      <c r="U3379">
        <v>-1.3812409999999999</v>
      </c>
      <c r="V3379">
        <v>0.22451840000000001</v>
      </c>
      <c r="W3379">
        <v>2.6860169999999999E-2</v>
      </c>
      <c r="X3379">
        <v>0.97409959999999995</v>
      </c>
      <c r="Y3379">
        <v>0.53975479999999998</v>
      </c>
      <c r="Z3379">
        <v>0.18425159999999999</v>
      </c>
      <c r="AA3379">
        <v>0.82141109999999995</v>
      </c>
      <c r="AB3379">
        <v>25</v>
      </c>
      <c r="AC3379">
        <v>-5.2617999999999903</v>
      </c>
      <c r="AD3379">
        <v>-1.10147818269</v>
      </c>
      <c r="AE3379">
        <v>-2.3555000000000001</v>
      </c>
      <c r="AF3379">
        <v>3.1917032854673502</v>
      </c>
      <c r="AG3379">
        <v>-1.10147818269</v>
      </c>
      <c r="AH3379">
        <v>4.5550112655727402</v>
      </c>
      <c r="AI3379">
        <v>101.201841919025</v>
      </c>
      <c r="AJ3379">
        <v>54.9810130307837</v>
      </c>
      <c r="AK3379">
        <v>5.6699516469631197</v>
      </c>
      <c r="AL3379">
        <v>88.460840517010098</v>
      </c>
      <c r="AM3379">
        <v>77.020675428653703</v>
      </c>
      <c r="AN3379">
        <v>1.00000000569557</v>
      </c>
    </row>
    <row r="3380" spans="1:40" x14ac:dyDescent="0.25">
      <c r="A3380" t="str">
        <f>"20190312154622619"</f>
        <v>20190312154622619</v>
      </c>
      <c r="B3380" t="str">
        <f>"1552376782610586"</f>
        <v>1552376782610586</v>
      </c>
      <c r="C3380" t="s">
        <v>40</v>
      </c>
      <c r="D3380">
        <v>4.5138889999999998</v>
      </c>
      <c r="E3380">
        <v>0.64708779999999999</v>
      </c>
      <c r="F3380" t="s">
        <v>52</v>
      </c>
      <c r="G3380">
        <v>-201.48500000000001</v>
      </c>
      <c r="H3380" s="1">
        <v>-1.103291E-5</v>
      </c>
      <c r="I3380">
        <v>147.09119999999999</v>
      </c>
      <c r="J3380">
        <v>-196.15649999999999</v>
      </c>
      <c r="K3380">
        <v>1.101356</v>
      </c>
      <c r="L3380">
        <v>149.417</v>
      </c>
      <c r="M3380">
        <v>-0.52398940000000005</v>
      </c>
      <c r="N3380">
        <v>0</v>
      </c>
      <c r="O3380">
        <v>-0.85160049999999898</v>
      </c>
      <c r="P3380">
        <v>-0.70041379999999998</v>
      </c>
      <c r="Q3380">
        <v>1.8343399999999999E-2</v>
      </c>
      <c r="R3380">
        <v>-0.7135013</v>
      </c>
      <c r="S3380">
        <v>-2.9305110000000001</v>
      </c>
      <c r="T3380">
        <v>-0.58963160000000003</v>
      </c>
      <c r="U3380">
        <v>-1.360825</v>
      </c>
      <c r="V3380">
        <v>0.22325439999999999</v>
      </c>
      <c r="W3380">
        <v>2.7916920000000001E-2</v>
      </c>
      <c r="X3380">
        <v>0.97436029999999996</v>
      </c>
      <c r="Y3380">
        <v>0.53489039999999999</v>
      </c>
      <c r="Z3380">
        <v>0.18094950000000001</v>
      </c>
      <c r="AA3380">
        <v>0.82531790000000005</v>
      </c>
      <c r="AB3380">
        <v>25</v>
      </c>
      <c r="AC3380">
        <v>-5.3285000000000204</v>
      </c>
      <c r="AD3380">
        <v>-1.10136703291</v>
      </c>
      <c r="AE3380">
        <v>-2.3258000000000099</v>
      </c>
      <c r="AF3380">
        <v>3.2044180956718602</v>
      </c>
      <c r="AG3380">
        <v>-1.10136703291</v>
      </c>
      <c r="AH3380">
        <v>4.6078793877448101</v>
      </c>
      <c r="AI3380">
        <v>101.102223792332</v>
      </c>
      <c r="AJ3380">
        <v>55.184420821502897</v>
      </c>
      <c r="AK3380">
        <v>5.7196028817614399</v>
      </c>
      <c r="AL3380">
        <v>88.400270368975995</v>
      </c>
      <c r="AM3380">
        <v>77.094630693812604</v>
      </c>
      <c r="AN3380">
        <v>0.99999993787886599</v>
      </c>
    </row>
    <row r="3381" spans="1:40" x14ac:dyDescent="0.25">
      <c r="A3381" t="str">
        <f>"20190312154622641"</f>
        <v>20190312154622641</v>
      </c>
      <c r="B3381" t="str">
        <f>"1552376782631082"</f>
        <v>1552376782631082</v>
      </c>
      <c r="C3381" t="s">
        <v>40</v>
      </c>
      <c r="D3381">
        <v>4.4414119999999997</v>
      </c>
      <c r="E3381">
        <v>0.64670859999999997</v>
      </c>
      <c r="F3381" t="s">
        <v>52</v>
      </c>
      <c r="G3381">
        <v>-201.76499999999999</v>
      </c>
      <c r="H3381" s="1">
        <v>-1.08451399999999E-5</v>
      </c>
      <c r="I3381">
        <v>146.87739999999999</v>
      </c>
      <c r="J3381">
        <v>-196.303</v>
      </c>
      <c r="K3381">
        <v>1.1012420000000001</v>
      </c>
      <c r="L3381">
        <v>149.20590000000001</v>
      </c>
      <c r="M3381">
        <v>-0.53493659999999998</v>
      </c>
      <c r="N3381">
        <v>0</v>
      </c>
      <c r="O3381">
        <v>-0.84476629999999997</v>
      </c>
      <c r="P3381">
        <v>-0.70903609999999995</v>
      </c>
      <c r="Q3381">
        <v>1.8304040000000001E-2</v>
      </c>
      <c r="R3381">
        <v>-0.70493499999999998</v>
      </c>
      <c r="S3381">
        <v>-2.9414980000000002</v>
      </c>
      <c r="T3381">
        <v>-0.57763149999999996</v>
      </c>
      <c r="U3381">
        <v>-1.3319240000000001</v>
      </c>
      <c r="V3381">
        <v>0.22253110000000001</v>
      </c>
      <c r="W3381">
        <v>2.786783E-2</v>
      </c>
      <c r="X3381">
        <v>0.97452720000000004</v>
      </c>
      <c r="Y3381">
        <v>0.53268669999999996</v>
      </c>
      <c r="Z3381">
        <v>0.1767022</v>
      </c>
      <c r="AA3381">
        <v>0.82766010000000001</v>
      </c>
      <c r="AB3381">
        <v>25</v>
      </c>
      <c r="AC3381">
        <v>-5.4619999999999802</v>
      </c>
      <c r="AD3381">
        <v>-1.1012528451399901</v>
      </c>
      <c r="AE3381">
        <v>-2.32850000000002</v>
      </c>
      <c r="AF3381">
        <v>3.2568391838906501</v>
      </c>
      <c r="AG3381">
        <v>-1.1012528451399901</v>
      </c>
      <c r="AH3381">
        <v>4.7267842946059604</v>
      </c>
      <c r="AI3381">
        <v>100.86025786522799</v>
      </c>
      <c r="AJ3381">
        <v>55.432461193580501</v>
      </c>
      <c r="AK3381">
        <v>5.8448480789827197</v>
      </c>
      <c r="AL3381">
        <v>88.403084188938294</v>
      </c>
      <c r="AM3381">
        <v>77.137178185408999</v>
      </c>
      <c r="AN3381">
        <v>0.99999998497797904</v>
      </c>
    </row>
    <row r="3382" spans="1:40" x14ac:dyDescent="0.25">
      <c r="A3382" t="str">
        <f>"20190312154622666"</f>
        <v>20190312154622666</v>
      </c>
      <c r="B3382" t="str">
        <f>"1552376782660363"</f>
        <v>1552376782660363</v>
      </c>
      <c r="C3382" t="s">
        <v>40</v>
      </c>
      <c r="D3382">
        <v>4.3260389999999997</v>
      </c>
      <c r="E3382">
        <v>0.64545079999999999</v>
      </c>
      <c r="F3382" t="s">
        <v>52</v>
      </c>
      <c r="G3382">
        <v>-201.9479</v>
      </c>
      <c r="H3382" s="1">
        <v>-1.07197699999999E-5</v>
      </c>
      <c r="I3382">
        <v>146.7286</v>
      </c>
      <c r="J3382">
        <v>-196.45849999999999</v>
      </c>
      <c r="K3382">
        <v>1.1011230000000001</v>
      </c>
      <c r="L3382">
        <v>148.98869999999999</v>
      </c>
      <c r="M3382">
        <v>-0.54639700000000002</v>
      </c>
      <c r="N3382">
        <v>0</v>
      </c>
      <c r="O3382">
        <v>-0.83739869999999905</v>
      </c>
      <c r="P3382">
        <v>-0.71866770000000002</v>
      </c>
      <c r="Q3382">
        <v>1.8008650000000001E-2</v>
      </c>
      <c r="R3382">
        <v>-0.69512079999999998</v>
      </c>
      <c r="S3382">
        <v>-2.9561769999999998</v>
      </c>
      <c r="T3382">
        <v>-0.57672009999999996</v>
      </c>
      <c r="U3382">
        <v>-1.297318</v>
      </c>
      <c r="V3382">
        <v>0.22265889999999999</v>
      </c>
      <c r="W3382">
        <v>2.7544180000000001E-2</v>
      </c>
      <c r="X3382">
        <v>0.97450720000000002</v>
      </c>
      <c r="Y3382">
        <v>0.53100439999999904</v>
      </c>
      <c r="Z3382">
        <v>0.17566789999999999</v>
      </c>
      <c r="AA3382">
        <v>0.82896019999999904</v>
      </c>
      <c r="AB3382">
        <v>25</v>
      </c>
      <c r="AC3382">
        <v>-5.4894000000000096</v>
      </c>
      <c r="AD3382">
        <v>-1.10113371976999</v>
      </c>
      <c r="AE3382">
        <v>-2.2600999999999898</v>
      </c>
      <c r="AF3382">
        <v>3.2504319195903699</v>
      </c>
      <c r="AG3382">
        <v>-1.10113371976999</v>
      </c>
      <c r="AH3382">
        <v>4.7297896922604901</v>
      </c>
      <c r="AI3382">
        <v>100.86124683132699</v>
      </c>
      <c r="AJ3382">
        <v>55.502159563215997</v>
      </c>
      <c r="AK3382">
        <v>5.8436900726955097</v>
      </c>
      <c r="AL3382">
        <v>88.421635074355606</v>
      </c>
      <c r="AM3382">
        <v>77.1297816267017</v>
      </c>
      <c r="AN3382">
        <v>0.999999975226461</v>
      </c>
    </row>
    <row r="3383" spans="1:40" x14ac:dyDescent="0.25">
      <c r="A3383" t="str">
        <f>"20190312154622685"</f>
        <v>20190312154622685</v>
      </c>
      <c r="B3383" t="str">
        <f>"1552376782680858"</f>
        <v>1552376782680858</v>
      </c>
      <c r="C3383" t="s">
        <v>40</v>
      </c>
      <c r="D3383">
        <v>4.3030689999999998</v>
      </c>
      <c r="E3383">
        <v>0.64460799999999996</v>
      </c>
      <c r="F3383" t="s">
        <v>52</v>
      </c>
      <c r="G3383">
        <v>-202.10749999999999</v>
      </c>
      <c r="H3383" s="1">
        <v>-1.0606189999999999E-5</v>
      </c>
      <c r="I3383">
        <v>146.5847</v>
      </c>
      <c r="J3383">
        <v>-196.59780000000001</v>
      </c>
      <c r="K3383">
        <v>1.1010219999999999</v>
      </c>
      <c r="L3383">
        <v>148.7996</v>
      </c>
      <c r="M3383">
        <v>-0.55653850000000005</v>
      </c>
      <c r="N3383">
        <v>0</v>
      </c>
      <c r="O3383">
        <v>-0.83069249999999994</v>
      </c>
      <c r="P3383">
        <v>-0.7274678</v>
      </c>
      <c r="Q3383">
        <v>1.7638669999999999E-2</v>
      </c>
      <c r="R3383">
        <v>-0.6859151</v>
      </c>
      <c r="S3383">
        <v>-2.967438</v>
      </c>
      <c r="T3383">
        <v>-0.57843020000000001</v>
      </c>
      <c r="U3383">
        <v>-1.262802</v>
      </c>
      <c r="V3383">
        <v>0.22322249999999999</v>
      </c>
      <c r="W3383">
        <v>2.71414E-2</v>
      </c>
      <c r="X3383">
        <v>0.97438959999999997</v>
      </c>
      <c r="Y3383">
        <v>0.53000970000000003</v>
      </c>
      <c r="Z3383">
        <v>0.17564260000000001</v>
      </c>
      <c r="AA3383">
        <v>0.8296019</v>
      </c>
      <c r="AB3383">
        <v>25</v>
      </c>
      <c r="AC3383">
        <v>-5.5096999999999801</v>
      </c>
      <c r="AD3383">
        <v>-1.10103260619</v>
      </c>
      <c r="AE3383">
        <v>-2.2149000000000001</v>
      </c>
      <c r="AF3383">
        <v>3.2333897459037702</v>
      </c>
      <c r="AG3383">
        <v>-1.10103260619</v>
      </c>
      <c r="AH3383">
        <v>4.74370687522529</v>
      </c>
      <c r="AI3383">
        <v>100.856839244084</v>
      </c>
      <c r="AJ3383">
        <v>55.721004992660397</v>
      </c>
      <c r="AK3383">
        <v>5.8454971530973197</v>
      </c>
      <c r="AL3383">
        <v>88.444721364691802</v>
      </c>
      <c r="AM3383">
        <v>77.096787993908606</v>
      </c>
      <c r="AN3383">
        <v>1.00000001634418</v>
      </c>
    </row>
    <row r="3384" spans="1:40" x14ac:dyDescent="0.25">
      <c r="A3384" t="str">
        <f>"20190312154622712"</f>
        <v>20190312154622712</v>
      </c>
      <c r="B3384" t="str">
        <f>"1552376782700379"</f>
        <v>1552376782700379</v>
      </c>
      <c r="C3384" t="s">
        <v>40</v>
      </c>
      <c r="D3384">
        <v>4.2706390000000001</v>
      </c>
      <c r="E3384">
        <v>0.64466480000000004</v>
      </c>
      <c r="F3384" t="s">
        <v>52</v>
      </c>
      <c r="G3384">
        <v>-202.2578</v>
      </c>
      <c r="H3384" s="1">
        <v>-1.0503509999999999E-5</v>
      </c>
      <c r="I3384">
        <v>146.46369999999999</v>
      </c>
      <c r="J3384">
        <v>-196.7773</v>
      </c>
      <c r="K3384">
        <v>1.100916</v>
      </c>
      <c r="L3384">
        <v>148.56360000000001</v>
      </c>
      <c r="M3384">
        <v>-0.56938520000000004</v>
      </c>
      <c r="N3384">
        <v>0</v>
      </c>
      <c r="O3384">
        <v>-0.82193950000000005</v>
      </c>
      <c r="P3384">
        <v>-0.7393383</v>
      </c>
      <c r="Q3384">
        <v>1.8327409999999999E-2</v>
      </c>
      <c r="R3384">
        <v>-0.67308489999999999</v>
      </c>
      <c r="S3384">
        <v>-2.97879</v>
      </c>
      <c r="T3384">
        <v>-0.57946299999999995</v>
      </c>
      <c r="U3384">
        <v>-1.229355</v>
      </c>
      <c r="V3384">
        <v>0.22512779999999999</v>
      </c>
      <c r="W3384">
        <v>2.7766300000000001E-2</v>
      </c>
      <c r="X3384">
        <v>0.97393350000000001</v>
      </c>
      <c r="Y3384">
        <v>0.52602979999999999</v>
      </c>
      <c r="Z3384">
        <v>0.17494599999999999</v>
      </c>
      <c r="AA3384">
        <v>0.83227799999999996</v>
      </c>
      <c r="AB3384">
        <v>25</v>
      </c>
      <c r="AC3384">
        <v>-5.4805000000000001</v>
      </c>
      <c r="AD3384">
        <v>-1.10092650351</v>
      </c>
      <c r="AE3384">
        <v>-2.0999000000000101</v>
      </c>
      <c r="AF3384">
        <v>3.1968563853282799</v>
      </c>
      <c r="AG3384">
        <v>-1.10092650351</v>
      </c>
      <c r="AH3384">
        <v>4.6822736552019304</v>
      </c>
      <c r="AI3384">
        <v>100.989106610386</v>
      </c>
      <c r="AJ3384">
        <v>55.676408406751001</v>
      </c>
      <c r="AK3384">
        <v>5.7754321480511797</v>
      </c>
      <c r="AL3384">
        <v>88.408903670518299</v>
      </c>
      <c r="AM3384">
        <v>76.984500019270101</v>
      </c>
      <c r="AN3384">
        <v>0.99999997808538899</v>
      </c>
    </row>
    <row r="3385" spans="1:40" x14ac:dyDescent="0.25">
      <c r="A3385" t="str">
        <f>"20190312154622732"</f>
        <v>20190312154622732</v>
      </c>
      <c r="B3385" t="str">
        <f>"1552376782720874"</f>
        <v>1552376782720874</v>
      </c>
      <c r="C3385" t="s">
        <v>40</v>
      </c>
      <c r="D3385">
        <v>4.215967</v>
      </c>
      <c r="E3385">
        <v>0.67215309999999995</v>
      </c>
      <c r="F3385" t="s">
        <v>52</v>
      </c>
      <c r="G3385">
        <v>-202.4828</v>
      </c>
      <c r="H3385" s="1">
        <v>-1.0362329999999999E-5</v>
      </c>
      <c r="I3385">
        <v>146.3244</v>
      </c>
      <c r="J3385">
        <v>-196.9204</v>
      </c>
      <c r="K3385">
        <v>1.1008549999999999</v>
      </c>
      <c r="L3385">
        <v>148.38079999999999</v>
      </c>
      <c r="M3385">
        <v>-0.57945590000000002</v>
      </c>
      <c r="N3385">
        <v>0</v>
      </c>
      <c r="O3385">
        <v>-0.8148706</v>
      </c>
      <c r="P3385">
        <v>-0.74884669999999998</v>
      </c>
      <c r="Q3385">
        <v>1.9415740000000001E-2</v>
      </c>
      <c r="R3385">
        <v>-0.66245940000000003</v>
      </c>
      <c r="S3385">
        <v>-3.0001370000000001</v>
      </c>
      <c r="T3385">
        <v>-0.57890450000000004</v>
      </c>
      <c r="U3385">
        <v>-1.1774290000000001</v>
      </c>
      <c r="V3385">
        <v>0.22705690000000001</v>
      </c>
      <c r="W3385">
        <v>2.879777E-2</v>
      </c>
      <c r="X3385">
        <v>0.97345559999999998</v>
      </c>
      <c r="Y3385">
        <v>0.53020339999999999</v>
      </c>
      <c r="Z3385">
        <v>0.17431450000000001</v>
      </c>
      <c r="AA3385">
        <v>0.82975829999999995</v>
      </c>
      <c r="AB3385">
        <v>25</v>
      </c>
      <c r="AC3385">
        <v>-5.5623999999999896</v>
      </c>
      <c r="AD3385">
        <v>-1.10086536233</v>
      </c>
      <c r="AE3385">
        <v>-2.0563999999999898</v>
      </c>
      <c r="AF3385">
        <v>3.2300981013055101</v>
      </c>
      <c r="AG3385">
        <v>-1.10086536233</v>
      </c>
      <c r="AH3385">
        <v>4.7361902535876803</v>
      </c>
      <c r="AI3385">
        <v>100.870136584919</v>
      </c>
      <c r="AJ3385">
        <v>55.705877172522698</v>
      </c>
      <c r="AK3385">
        <v>5.8375454095205397</v>
      </c>
      <c r="AL3385">
        <v>88.349781135920793</v>
      </c>
      <c r="AM3385">
        <v>76.870596252282198</v>
      </c>
      <c r="AN3385">
        <v>0.99999997628297099</v>
      </c>
    </row>
    <row r="3386" spans="1:40" x14ac:dyDescent="0.25">
      <c r="A3386" t="str">
        <f>"20190312154622758"</f>
        <v>20190312154622758</v>
      </c>
      <c r="B3386" t="str">
        <f>"1552376782751130"</f>
        <v>1552376782751130</v>
      </c>
      <c r="C3386" t="s">
        <v>40</v>
      </c>
      <c r="D3386">
        <v>4.1434089999999903</v>
      </c>
      <c r="E3386">
        <v>0.68143189999999998</v>
      </c>
      <c r="F3386" t="s">
        <v>52</v>
      </c>
      <c r="G3386">
        <v>-204.16460000000001</v>
      </c>
      <c r="H3386" s="1">
        <v>-9.6301680000000005E-6</v>
      </c>
      <c r="I3386">
        <v>146.15969999999999</v>
      </c>
      <c r="J3386">
        <v>-197.1011</v>
      </c>
      <c r="K3386">
        <v>1.100786</v>
      </c>
      <c r="L3386">
        <v>148.15649999999999</v>
      </c>
      <c r="M3386">
        <v>-0.59195439999999999</v>
      </c>
      <c r="N3386">
        <v>0</v>
      </c>
      <c r="O3386">
        <v>-0.80583640000000001</v>
      </c>
      <c r="P3386">
        <v>-0.76028890000000005</v>
      </c>
      <c r="Q3386">
        <v>1.950849E-2</v>
      </c>
      <c r="R3386">
        <v>-0.64929250000000005</v>
      </c>
      <c r="S3386">
        <v>-3.1611630000000002</v>
      </c>
      <c r="T3386">
        <v>-0.48038629999999999</v>
      </c>
      <c r="U3386">
        <v>-0.96925349999999999</v>
      </c>
      <c r="V3386">
        <v>0.22903409999999999</v>
      </c>
      <c r="W3386">
        <v>2.883399E-2</v>
      </c>
      <c r="X3386">
        <v>0.97299119999999995</v>
      </c>
      <c r="Y3386">
        <v>0.58527169999999995</v>
      </c>
      <c r="Z3386">
        <v>0.1439068</v>
      </c>
      <c r="AA3386">
        <v>0.79796489999999998</v>
      </c>
      <c r="AB3386">
        <v>25</v>
      </c>
      <c r="AC3386">
        <v>-7.0635000000000003</v>
      </c>
      <c r="AD3386">
        <v>-1.100795630168</v>
      </c>
      <c r="AE3386">
        <v>-1.9967999999999999</v>
      </c>
      <c r="AF3386">
        <v>4.4112931236006698</v>
      </c>
      <c r="AG3386">
        <v>-1.100795630168</v>
      </c>
      <c r="AH3386">
        <v>5.6636211710744204</v>
      </c>
      <c r="AI3386">
        <v>98.717739503059207</v>
      </c>
      <c r="AJ3386">
        <v>52.0856136692625</v>
      </c>
      <c r="AK3386">
        <v>7.2627723915296896</v>
      </c>
      <c r="AL3386">
        <v>88.347704971559693</v>
      </c>
      <c r="AM3386">
        <v>76.754179802746194</v>
      </c>
      <c r="AN3386">
        <v>0.99999994660978297</v>
      </c>
    </row>
    <row r="3387" spans="1:40" x14ac:dyDescent="0.25">
      <c r="A3387" t="str">
        <f>"20190312154622786"</f>
        <v>20190312154622786</v>
      </c>
      <c r="B3387" t="str">
        <f>"1552376782780411"</f>
        <v>1552376782780411</v>
      </c>
      <c r="C3387" t="s">
        <v>40</v>
      </c>
      <c r="D3387">
        <v>4.1633149999999999</v>
      </c>
      <c r="E3387">
        <v>0.68168909999999905</v>
      </c>
      <c r="F3387" t="s">
        <v>52</v>
      </c>
      <c r="G3387">
        <v>-204.76079999999999</v>
      </c>
      <c r="H3387" s="1">
        <v>-9.3955649999999995E-6</v>
      </c>
      <c r="I3387">
        <v>146.12119999999999</v>
      </c>
      <c r="J3387">
        <v>-197.30420000000001</v>
      </c>
      <c r="K3387">
        <v>1.100708</v>
      </c>
      <c r="L3387">
        <v>147.9128</v>
      </c>
      <c r="M3387">
        <v>-0.60569119999999999</v>
      </c>
      <c r="N3387">
        <v>0</v>
      </c>
      <c r="O3387">
        <v>-0.79556210000000005</v>
      </c>
      <c r="P3387">
        <v>-0.77246359999999903</v>
      </c>
      <c r="Q3387">
        <v>1.866365E-2</v>
      </c>
      <c r="R3387">
        <v>-0.63478509999999999</v>
      </c>
      <c r="S3387">
        <v>-3.225784</v>
      </c>
      <c r="T3387">
        <v>-0.46358310000000003</v>
      </c>
      <c r="U3387">
        <v>-0.85713200000000001</v>
      </c>
      <c r="V3387">
        <v>0.23076279999999999</v>
      </c>
      <c r="W3387">
        <v>2.7943610000000001E-2</v>
      </c>
      <c r="X3387">
        <v>0.97260869999999999</v>
      </c>
      <c r="Y3387">
        <v>0.60245649999999995</v>
      </c>
      <c r="Z3387">
        <v>0.13786779999999901</v>
      </c>
      <c r="AA3387">
        <v>0.78615440000000003</v>
      </c>
      <c r="AB3387">
        <v>25</v>
      </c>
      <c r="AC3387">
        <v>-7.4565999999999804</v>
      </c>
      <c r="AD3387">
        <v>-1.100717395565</v>
      </c>
      <c r="AE3387">
        <v>-1.7916000000000101</v>
      </c>
      <c r="AF3387">
        <v>4.7497127299188699</v>
      </c>
      <c r="AG3387">
        <v>-1.100717395565</v>
      </c>
      <c r="AH3387">
        <v>5.8224273948943699</v>
      </c>
      <c r="AI3387">
        <v>98.333901889684697</v>
      </c>
      <c r="AJ3387">
        <v>50.793755148472798</v>
      </c>
      <c r="AK3387">
        <v>7.5942090154583699</v>
      </c>
      <c r="AL3387">
        <v>88.3987406460149</v>
      </c>
      <c r="AM3387">
        <v>76.652706448757797</v>
      </c>
      <c r="AN3387">
        <v>0.99999999925968097</v>
      </c>
    </row>
    <row r="3388" spans="1:40" x14ac:dyDescent="0.25">
      <c r="A3388" t="str">
        <f>"20190312154622809"</f>
        <v>20190312154622809</v>
      </c>
      <c r="B3388" t="str">
        <f>"1552376782800906"</f>
        <v>1552376782800906</v>
      </c>
      <c r="C3388" t="s">
        <v>40</v>
      </c>
      <c r="D3388">
        <v>4.142919</v>
      </c>
      <c r="E3388">
        <v>0.68101409999999996</v>
      </c>
      <c r="F3388" t="s">
        <v>52</v>
      </c>
      <c r="G3388">
        <v>-204.54509999999999</v>
      </c>
      <c r="H3388" s="1">
        <v>-9.4809519999999999E-6</v>
      </c>
      <c r="I3388">
        <v>146.137</v>
      </c>
      <c r="J3388">
        <v>-197.47059999999999</v>
      </c>
      <c r="K3388">
        <v>1.100665</v>
      </c>
      <c r="L3388">
        <v>147.7199</v>
      </c>
      <c r="M3388">
        <v>-0.61668069999999997</v>
      </c>
      <c r="N3388">
        <v>0</v>
      </c>
      <c r="O3388">
        <v>-0.78707389999999999</v>
      </c>
      <c r="P3388">
        <v>-0.7813099</v>
      </c>
      <c r="Q3388">
        <v>1.9115630000000002E-2</v>
      </c>
      <c r="R3388">
        <v>-0.62385059999999903</v>
      </c>
      <c r="S3388">
        <v>-3.2421720000000001</v>
      </c>
      <c r="T3388">
        <v>-0.49285839999999997</v>
      </c>
      <c r="U3388">
        <v>-0.79515080000000005</v>
      </c>
      <c r="V3388">
        <v>0.23094899999999999</v>
      </c>
      <c r="W3388">
        <v>2.8393100000000001E-2</v>
      </c>
      <c r="X3388">
        <v>0.97255150000000001</v>
      </c>
      <c r="Y3388">
        <v>0.60515109999999905</v>
      </c>
      <c r="Z3388">
        <v>0.145923</v>
      </c>
      <c r="AA3388">
        <v>0.78262290000000001</v>
      </c>
      <c r="AB3388">
        <v>25</v>
      </c>
      <c r="AC3388">
        <v>-7.0744999999999996</v>
      </c>
      <c r="AD3388">
        <v>-1.1006744809519999</v>
      </c>
      <c r="AE3388">
        <v>-1.58289999999999</v>
      </c>
      <c r="AF3388">
        <v>4.4890329312796498</v>
      </c>
      <c r="AG3388">
        <v>-1.1006744809519999</v>
      </c>
      <c r="AH3388">
        <v>5.48279274795647</v>
      </c>
      <c r="AI3388">
        <v>98.829154507512499</v>
      </c>
      <c r="AJ3388">
        <v>50.6911208639997</v>
      </c>
      <c r="AK3388">
        <v>7.1710471542290302</v>
      </c>
      <c r="AL3388">
        <v>88.372976567178597</v>
      </c>
      <c r="AM3388">
        <v>76.6415650741002</v>
      </c>
      <c r="AN3388">
        <v>1.00000001444043</v>
      </c>
    </row>
    <row r="3389" spans="1:40" x14ac:dyDescent="0.25">
      <c r="A3389" t="str">
        <f>"20190312154622832"</f>
        <v>20190312154622832</v>
      </c>
      <c r="B3389" t="str">
        <f>"1552376782820430"</f>
        <v>1552376782820430</v>
      </c>
      <c r="C3389" t="s">
        <v>40</v>
      </c>
      <c r="D3389">
        <v>4.1515420000000001</v>
      </c>
      <c r="E3389">
        <v>0.67994500000000002</v>
      </c>
      <c r="F3389" t="s">
        <v>52</v>
      </c>
      <c r="G3389">
        <v>-204.9256</v>
      </c>
      <c r="H3389" s="1">
        <v>-9.2986450000000008E-6</v>
      </c>
      <c r="I3389">
        <v>145.989</v>
      </c>
      <c r="J3389">
        <v>-197.64359999999999</v>
      </c>
      <c r="K3389">
        <v>1.1006309999999999</v>
      </c>
      <c r="L3389">
        <v>147.52500000000001</v>
      </c>
      <c r="M3389">
        <v>-0.62785299999999999</v>
      </c>
      <c r="N3389">
        <v>0</v>
      </c>
      <c r="O3389">
        <v>-0.77819039999999995</v>
      </c>
      <c r="P3389">
        <v>-0.7902361</v>
      </c>
      <c r="Q3389">
        <v>1.8731100000000001E-2</v>
      </c>
      <c r="R3389">
        <v>-0.61251659999999997</v>
      </c>
      <c r="S3389">
        <v>-3.2491150000000002</v>
      </c>
      <c r="T3389">
        <v>-0.47970659999999998</v>
      </c>
      <c r="U3389">
        <v>-0.75436400000000003</v>
      </c>
      <c r="V3389">
        <v>0.23109469999999999</v>
      </c>
      <c r="W3389">
        <v>2.801178E-2</v>
      </c>
      <c r="X3389">
        <v>0.9725279</v>
      </c>
      <c r="Y3389">
        <v>0.60426159999999995</v>
      </c>
      <c r="Z3389">
        <v>0.14141909999999999</v>
      </c>
      <c r="AA3389">
        <v>0.78413559999999904</v>
      </c>
      <c r="AB3389">
        <v>25</v>
      </c>
      <c r="AC3389">
        <v>-7.2820000000000098</v>
      </c>
      <c r="AD3389">
        <v>-1.1006402986449999</v>
      </c>
      <c r="AE3389">
        <v>-1.536</v>
      </c>
      <c r="AF3389">
        <v>4.60225871698941</v>
      </c>
      <c r="AG3389">
        <v>-1.1006402986449999</v>
      </c>
      <c r="AH3389">
        <v>5.6445059440935097</v>
      </c>
      <c r="AI3389">
        <v>98.593839224188997</v>
      </c>
      <c r="AJ3389">
        <v>50.807852389113599</v>
      </c>
      <c r="AK3389">
        <v>7.36563926064896</v>
      </c>
      <c r="AL3389">
        <v>88.394833213351106</v>
      </c>
      <c r="AM3389">
        <v>76.633127222495304</v>
      </c>
      <c r="AN3389">
        <v>0.99999996823263304</v>
      </c>
    </row>
    <row r="3390" spans="1:40" x14ac:dyDescent="0.25">
      <c r="A3390" t="str">
        <f>"20190312154622853"</f>
        <v>20190312154622853</v>
      </c>
      <c r="B3390" t="str">
        <f>"1552376782850683"</f>
        <v>1552376782850683</v>
      </c>
      <c r="C3390" t="s">
        <v>40</v>
      </c>
      <c r="D3390">
        <v>4.1545379999999996</v>
      </c>
      <c r="E3390">
        <v>0.67832990000000004</v>
      </c>
      <c r="F3390" t="s">
        <v>52</v>
      </c>
      <c r="G3390">
        <v>-205.2705</v>
      </c>
      <c r="H3390" s="1">
        <v>-9.1113619999999999E-6</v>
      </c>
      <c r="I3390">
        <v>145.85079999999999</v>
      </c>
      <c r="J3390">
        <v>-197.80439999999999</v>
      </c>
      <c r="K3390">
        <v>1.100622</v>
      </c>
      <c r="L3390">
        <v>147.34889999999999</v>
      </c>
      <c r="M3390">
        <v>-0.63799309999999998</v>
      </c>
      <c r="N3390">
        <v>0</v>
      </c>
      <c r="O3390">
        <v>-0.76989839999999998</v>
      </c>
      <c r="P3390">
        <v>-0.79794069999999995</v>
      </c>
      <c r="Q3390">
        <v>1.727923E-2</v>
      </c>
      <c r="R3390">
        <v>-0.60248869999999999</v>
      </c>
      <c r="S3390">
        <v>-3.2538299999999998</v>
      </c>
      <c r="T3390">
        <v>-0.46956300000000001</v>
      </c>
      <c r="U3390">
        <v>-0.71424869999999996</v>
      </c>
      <c r="V3390">
        <v>0.23062959999999999</v>
      </c>
      <c r="W3390">
        <v>2.6582270000000002E-2</v>
      </c>
      <c r="X3390">
        <v>0.97267840000000005</v>
      </c>
      <c r="Y3390">
        <v>0.60387550000000001</v>
      </c>
      <c r="Z3390">
        <v>0.1379427</v>
      </c>
      <c r="AA3390">
        <v>0.78505179999999997</v>
      </c>
      <c r="AB3390">
        <v>25</v>
      </c>
      <c r="AC3390">
        <v>-7.4661000000000097</v>
      </c>
      <c r="AD3390">
        <v>-1.100631111362</v>
      </c>
      <c r="AE3390">
        <v>-1.49809999999999</v>
      </c>
      <c r="AF3390">
        <v>4.6948132428668696</v>
      </c>
      <c r="AG3390">
        <v>-1.100631111362</v>
      </c>
      <c r="AH3390">
        <v>5.7962714951519896</v>
      </c>
      <c r="AI3390">
        <v>98.3937485764733</v>
      </c>
      <c r="AJ3390">
        <v>50.993522271812402</v>
      </c>
      <c r="AK3390">
        <v>7.5398556666694603</v>
      </c>
      <c r="AL3390">
        <v>88.476768616273006</v>
      </c>
      <c r="AM3390">
        <v>76.661056967623594</v>
      </c>
      <c r="AN3390">
        <v>0.99999994965053496</v>
      </c>
    </row>
    <row r="3391" spans="1:40" x14ac:dyDescent="0.25">
      <c r="A3391" t="str">
        <f>"20190312154622876"</f>
        <v>20190312154622876</v>
      </c>
      <c r="B3391" t="str">
        <f>"1552376782871178"</f>
        <v>1552376782871178</v>
      </c>
      <c r="C3391" t="s">
        <v>40</v>
      </c>
      <c r="D3391">
        <v>4.1048019999999896</v>
      </c>
      <c r="E3391">
        <v>0.67703789999999997</v>
      </c>
      <c r="F3391" t="s">
        <v>52</v>
      </c>
      <c r="G3391">
        <v>-205.21449999999999</v>
      </c>
      <c r="H3391" s="1">
        <v>-9.1207959999999999E-6</v>
      </c>
      <c r="I3391">
        <v>145.79249999999999</v>
      </c>
      <c r="J3391">
        <v>-197.9795</v>
      </c>
      <c r="K3391">
        <v>1.1006209999999901</v>
      </c>
      <c r="L3391">
        <v>147.16210000000001</v>
      </c>
      <c r="M3391">
        <v>-0.64878740000000001</v>
      </c>
      <c r="N3391">
        <v>0</v>
      </c>
      <c r="O3391">
        <v>-0.7608241</v>
      </c>
      <c r="P3391">
        <v>-0.80647720000000001</v>
      </c>
      <c r="Q3391">
        <v>1.6256070000000001E-2</v>
      </c>
      <c r="R3391">
        <v>-0.59104209999999902</v>
      </c>
      <c r="S3391">
        <v>-3.254089</v>
      </c>
      <c r="T3391">
        <v>-0.48332930000000002</v>
      </c>
      <c r="U3391">
        <v>-0.68347170000000002</v>
      </c>
      <c r="V3391">
        <v>0.23078380000000001</v>
      </c>
      <c r="W3391">
        <v>2.557077E-2</v>
      </c>
      <c r="X3391">
        <v>0.97266900000000001</v>
      </c>
      <c r="Y3391">
        <v>0.59920130000000005</v>
      </c>
      <c r="Z3391">
        <v>0.14111760000000001</v>
      </c>
      <c r="AA3391">
        <v>0.78806319999999996</v>
      </c>
      <c r="AB3391">
        <v>25</v>
      </c>
      <c r="AC3391">
        <v>-7.2349999999999799</v>
      </c>
      <c r="AD3391">
        <v>-1.1006301207960001</v>
      </c>
      <c r="AE3391">
        <v>-1.3696000000000099</v>
      </c>
      <c r="AF3391">
        <v>4.5156085759292104</v>
      </c>
      <c r="AG3391">
        <v>-1.1006301207960001</v>
      </c>
      <c r="AH3391">
        <v>5.6112721593244901</v>
      </c>
      <c r="AI3391">
        <v>98.688193913285701</v>
      </c>
      <c r="AJ3391">
        <v>51.175016228313297</v>
      </c>
      <c r="AK3391">
        <v>7.28618437316947</v>
      </c>
      <c r="AL3391">
        <v>88.534743098110198</v>
      </c>
      <c r="AM3391">
        <v>76.652333197749897</v>
      </c>
      <c r="AN3391">
        <v>1.0000000050909099</v>
      </c>
    </row>
    <row r="3392" spans="1:40" x14ac:dyDescent="0.25">
      <c r="A3392" t="str">
        <f>"20190312154622898"</f>
        <v>20190312154622898</v>
      </c>
      <c r="B3392" t="str">
        <f>"1552376782890699"</f>
        <v>1552376782890699</v>
      </c>
      <c r="C3392" t="s">
        <v>40</v>
      </c>
      <c r="D3392">
        <v>4.1142770000000004</v>
      </c>
      <c r="E3392">
        <v>0.67617539999999998</v>
      </c>
      <c r="F3392" t="s">
        <v>52</v>
      </c>
      <c r="G3392">
        <v>-205.3081</v>
      </c>
      <c r="H3392" s="1">
        <v>-9.0575939999999997E-6</v>
      </c>
      <c r="I3392">
        <v>145.71019999999999</v>
      </c>
      <c r="J3392">
        <v>-198.14949999999999</v>
      </c>
      <c r="K3392">
        <v>1.1006359999999999</v>
      </c>
      <c r="L3392">
        <v>146.98589999999999</v>
      </c>
      <c r="M3392">
        <v>-0.65899589999999997</v>
      </c>
      <c r="N3392">
        <v>0</v>
      </c>
      <c r="O3392">
        <v>-0.75199879999999997</v>
      </c>
      <c r="P3392">
        <v>-0.81435939999999996</v>
      </c>
      <c r="Q3392">
        <v>1.6473680000000001E-2</v>
      </c>
      <c r="R3392">
        <v>-0.58012699999999995</v>
      </c>
      <c r="S3392">
        <v>-3.256866</v>
      </c>
      <c r="T3392">
        <v>-0.48913030000000002</v>
      </c>
      <c r="U3392">
        <v>-0.64521790000000001</v>
      </c>
      <c r="V3392">
        <v>0.23075760000000001</v>
      </c>
      <c r="W3392">
        <v>2.580673E-2</v>
      </c>
      <c r="X3392">
        <v>0.97266889999999995</v>
      </c>
      <c r="Y3392">
        <v>0.59725379999999995</v>
      </c>
      <c r="Z3392">
        <v>0.1420874</v>
      </c>
      <c r="AA3392">
        <v>0.78936619999999902</v>
      </c>
      <c r="AB3392">
        <v>25</v>
      </c>
      <c r="AC3392">
        <v>-7.1585999999999999</v>
      </c>
      <c r="AD3392">
        <v>-1.1006450575940001</v>
      </c>
      <c r="AE3392">
        <v>-1.2757000000000001</v>
      </c>
      <c r="AF3392">
        <v>4.4413232152924502</v>
      </c>
      <c r="AG3392">
        <v>-1.1006450575940001</v>
      </c>
      <c r="AH3392">
        <v>5.5502764197846002</v>
      </c>
      <c r="AI3392">
        <v>98.801491685812294</v>
      </c>
      <c r="AJ3392">
        <v>51.3332553317533</v>
      </c>
      <c r="AK3392">
        <v>7.1932148432754799</v>
      </c>
      <c r="AL3392">
        <v>88.521219001760599</v>
      </c>
      <c r="AM3392">
        <v>76.653792960404502</v>
      </c>
      <c r="AN3392">
        <v>0.999999923149128</v>
      </c>
    </row>
    <row r="3393" spans="1:40" x14ac:dyDescent="0.25">
      <c r="A3393" t="str">
        <f>"20190312154622922"</f>
        <v>20190312154622922</v>
      </c>
      <c r="B3393" t="str">
        <f>"1552376782910218"</f>
        <v>1552376782910218</v>
      </c>
      <c r="C3393" t="s">
        <v>40</v>
      </c>
      <c r="D3393">
        <v>4.0872299999999999</v>
      </c>
      <c r="E3393">
        <v>0.67529629999999996</v>
      </c>
      <c r="F3393" t="s">
        <v>52</v>
      </c>
      <c r="G3393">
        <v>-205.4838</v>
      </c>
      <c r="H3393" s="1">
        <v>-8.9559199999999998E-6</v>
      </c>
      <c r="I3393">
        <v>145.62020000000001</v>
      </c>
      <c r="J3393">
        <v>-198.3476</v>
      </c>
      <c r="K3393">
        <v>1.100662</v>
      </c>
      <c r="L3393">
        <v>146.786</v>
      </c>
      <c r="M3393">
        <v>-0.67059219999999997</v>
      </c>
      <c r="N3393">
        <v>0</v>
      </c>
      <c r="O3393">
        <v>-0.74167629999999996</v>
      </c>
      <c r="P3393">
        <v>-0.82338739999999999</v>
      </c>
      <c r="Q3393">
        <v>1.6388070000000001E-2</v>
      </c>
      <c r="R3393">
        <v>-0.56724319999999995</v>
      </c>
      <c r="S3393">
        <v>-3.2612299999999999</v>
      </c>
      <c r="T3393">
        <v>-0.48940650000000002</v>
      </c>
      <c r="U3393">
        <v>-0.60723879999999997</v>
      </c>
      <c r="V3393">
        <v>0.23095660000000001</v>
      </c>
      <c r="W3393">
        <v>2.5738560000000001E-2</v>
      </c>
      <c r="X3393">
        <v>0.97262360000000003</v>
      </c>
      <c r="Y3393">
        <v>0.594032</v>
      </c>
      <c r="Z3393">
        <v>0.1411328</v>
      </c>
      <c r="AA3393">
        <v>0.79196440000000001</v>
      </c>
      <c r="AB3393">
        <v>24</v>
      </c>
      <c r="AC3393">
        <v>-7.1361999999999997</v>
      </c>
      <c r="AD3393">
        <v>-1.1006709559200001</v>
      </c>
      <c r="AE3393">
        <v>-1.16579999999999</v>
      </c>
      <c r="AF3393">
        <v>4.4093081010780297</v>
      </c>
      <c r="AG3393">
        <v>-1.1006709559200001</v>
      </c>
      <c r="AH3393">
        <v>5.5227867584382899</v>
      </c>
      <c r="AI3393">
        <v>98.852519197619799</v>
      </c>
      <c r="AJ3393">
        <v>51.3966712844705</v>
      </c>
      <c r="AK3393">
        <v>7.1522477629497399</v>
      </c>
      <c r="AL3393">
        <v>88.525126334293901</v>
      </c>
      <c r="AM3393">
        <v>76.642096024680598</v>
      </c>
      <c r="AN3393">
        <v>1.0000000459156899</v>
      </c>
    </row>
    <row r="3394" spans="1:40" x14ac:dyDescent="0.25">
      <c r="A3394" t="str">
        <f>"20190312154622945"</f>
        <v>20190312154622945</v>
      </c>
      <c r="B3394" t="str">
        <f>"1552376782940474"</f>
        <v>1552376782940474</v>
      </c>
      <c r="C3394" t="s">
        <v>40</v>
      </c>
      <c r="D3394">
        <v>4.1318960000000002</v>
      </c>
      <c r="E3394">
        <v>0.67359729999999995</v>
      </c>
      <c r="F3394" t="s">
        <v>52</v>
      </c>
      <c r="G3394">
        <v>-205.7139</v>
      </c>
      <c r="H3394" s="1">
        <v>-8.8275040000000007E-6</v>
      </c>
      <c r="I3394">
        <v>145.52029999999999</v>
      </c>
      <c r="J3394">
        <v>-198.5196</v>
      </c>
      <c r="K3394">
        <v>1.1006849999999999</v>
      </c>
      <c r="L3394">
        <v>146.61779999999999</v>
      </c>
      <c r="M3394">
        <v>-0.68037440000000005</v>
      </c>
      <c r="N3394">
        <v>0</v>
      </c>
      <c r="O3394">
        <v>-0.73271269999999999</v>
      </c>
      <c r="P3394">
        <v>-0.83094780000000001</v>
      </c>
      <c r="Q3394">
        <v>1.6274879999999999E-2</v>
      </c>
      <c r="R3394">
        <v>-0.5561123</v>
      </c>
      <c r="S3394">
        <v>-3.266556</v>
      </c>
      <c r="T3394">
        <v>-0.48809180000000002</v>
      </c>
      <c r="U3394">
        <v>-0.56124879999999999</v>
      </c>
      <c r="V3394">
        <v>0.23113610000000001</v>
      </c>
      <c r="W3394">
        <v>2.5639889999999999E-2</v>
      </c>
      <c r="X3394">
        <v>0.97258350000000005</v>
      </c>
      <c r="Y3394">
        <v>0.59458549999999999</v>
      </c>
      <c r="Z3394">
        <v>0.14009050000000001</v>
      </c>
      <c r="AA3394">
        <v>0.79173400000000005</v>
      </c>
      <c r="AB3394">
        <v>24</v>
      </c>
      <c r="AC3394">
        <v>-7.1942999999999904</v>
      </c>
      <c r="AD3394">
        <v>-1.1006938275039999</v>
      </c>
      <c r="AE3394">
        <v>-1.0974999999999899</v>
      </c>
      <c r="AF3394">
        <v>4.4239494136940198</v>
      </c>
      <c r="AG3394">
        <v>-1.1006938275039999</v>
      </c>
      <c r="AH3394">
        <v>5.5721407925078799</v>
      </c>
      <c r="AI3394">
        <v>98.794241716679693</v>
      </c>
      <c r="AJ3394">
        <v>51.552508440936201</v>
      </c>
      <c r="AK3394">
        <v>7.1994172214394796</v>
      </c>
      <c r="AL3394">
        <v>88.530781481879998</v>
      </c>
      <c r="AM3394">
        <v>76.631555394624002</v>
      </c>
      <c r="AN3394">
        <v>0.99999998257733502</v>
      </c>
    </row>
    <row r="3395" spans="1:40" x14ac:dyDescent="0.25">
      <c r="A3395" t="str">
        <f>"20190312154622967"</f>
        <v>20190312154622967</v>
      </c>
      <c r="B3395" t="str">
        <f>"1552376782960971"</f>
        <v>1552376782960971</v>
      </c>
      <c r="C3395" t="s">
        <v>40</v>
      </c>
      <c r="D3395">
        <v>4.1393930000000001</v>
      </c>
      <c r="E3395">
        <v>0.67228880000000002</v>
      </c>
      <c r="F3395" t="s">
        <v>52</v>
      </c>
      <c r="G3395">
        <v>-205.93770000000001</v>
      </c>
      <c r="H3395" s="1">
        <v>-8.7016029999999997E-6</v>
      </c>
      <c r="I3395">
        <v>145.4195</v>
      </c>
      <c r="J3395">
        <v>-198.69980000000001</v>
      </c>
      <c r="K3395">
        <v>1.100711</v>
      </c>
      <c r="L3395">
        <v>146.44640000000001</v>
      </c>
      <c r="M3395">
        <v>-0.69035639999999998</v>
      </c>
      <c r="N3395">
        <v>0</v>
      </c>
      <c r="O3395">
        <v>-0.72331569999999901</v>
      </c>
      <c r="P3395">
        <v>-0.83856790000000003</v>
      </c>
      <c r="Q3395">
        <v>1.649484E-2</v>
      </c>
      <c r="R3395">
        <v>-0.54454749999999996</v>
      </c>
      <c r="S3395">
        <v>-3.2666469999999999</v>
      </c>
      <c r="T3395">
        <v>-0.4847033</v>
      </c>
      <c r="U3395">
        <v>-0.52769469999999996</v>
      </c>
      <c r="V3395">
        <v>0.23127529999999999</v>
      </c>
      <c r="W3395">
        <v>2.5874890000000001E-2</v>
      </c>
      <c r="X3395">
        <v>0.97254419999999997</v>
      </c>
      <c r="Y3395">
        <v>0.59178929999999996</v>
      </c>
      <c r="Z3395">
        <v>0.13828280000000001</v>
      </c>
      <c r="AA3395">
        <v>0.79414309999999999</v>
      </c>
      <c r="AB3395">
        <v>24</v>
      </c>
      <c r="AC3395">
        <v>-7.23789999999999</v>
      </c>
      <c r="AD3395">
        <v>-1.1007197016029999</v>
      </c>
      <c r="AE3395">
        <v>-1.0269000000000099</v>
      </c>
      <c r="AF3395">
        <v>4.4265092807858002</v>
      </c>
      <c r="AG3395">
        <v>-1.1007197016029999</v>
      </c>
      <c r="AH3395">
        <v>5.6128913750564697</v>
      </c>
      <c r="AI3395">
        <v>98.753816424874401</v>
      </c>
      <c r="AJ3395">
        <v>51.7395353015852</v>
      </c>
      <c r="AK3395">
        <v>7.2325733914398098</v>
      </c>
      <c r="AL3395">
        <v>88.517312527072505</v>
      </c>
      <c r="AM3395">
        <v>76.623272534150502</v>
      </c>
      <c r="AN3395">
        <v>0.99999999763812097</v>
      </c>
    </row>
    <row r="3396" spans="1:40" x14ac:dyDescent="0.25">
      <c r="A3396" t="str">
        <f>"20190312154622990"</f>
        <v>20190312154622990</v>
      </c>
      <c r="B3396" t="str">
        <f>"1552376782980491"</f>
        <v>1552376782980491</v>
      </c>
      <c r="C3396" t="s">
        <v>40</v>
      </c>
      <c r="D3396">
        <v>4.1293410000000002</v>
      </c>
      <c r="E3396">
        <v>0.67099149999999996</v>
      </c>
      <c r="F3396" t="s">
        <v>52</v>
      </c>
      <c r="G3396">
        <v>-206.12289999999999</v>
      </c>
      <c r="H3396" s="1">
        <v>-8.5961200000000003E-6</v>
      </c>
      <c r="I3396">
        <v>145.33090000000001</v>
      </c>
      <c r="J3396">
        <v>-198.88630000000001</v>
      </c>
      <c r="K3396">
        <v>1.100738</v>
      </c>
      <c r="L3396">
        <v>146.2739</v>
      </c>
      <c r="M3396">
        <v>-0.70041629999999999</v>
      </c>
      <c r="N3396">
        <v>0</v>
      </c>
      <c r="O3396">
        <v>-0.71357859999999995</v>
      </c>
      <c r="P3396">
        <v>-0.84580929999999999</v>
      </c>
      <c r="Q3396">
        <v>1.664999E-2</v>
      </c>
      <c r="R3396">
        <v>-0.53322539999999996</v>
      </c>
      <c r="S3396">
        <v>-3.2681429999999998</v>
      </c>
      <c r="T3396">
        <v>-0.48461340000000003</v>
      </c>
      <c r="U3396">
        <v>-0.49111939999999998</v>
      </c>
      <c r="V3396">
        <v>0.23073160000000001</v>
      </c>
      <c r="W3396">
        <v>2.6062220000000001E-2</v>
      </c>
      <c r="X3396">
        <v>0.97266830000000004</v>
      </c>
      <c r="Y3396">
        <v>0.58939249999999999</v>
      </c>
      <c r="Z3396">
        <v>0.13733380000000001</v>
      </c>
      <c r="AA3396">
        <v>0.79608789999999996</v>
      </c>
      <c r="AB3396">
        <v>24</v>
      </c>
      <c r="AC3396">
        <v>-7.2365999999999797</v>
      </c>
      <c r="AD3396">
        <v>-1.10074659612</v>
      </c>
      <c r="AE3396">
        <v>-0.94299999999998296</v>
      </c>
      <c r="AF3396">
        <v>4.4037046815169099</v>
      </c>
      <c r="AG3396">
        <v>-1.10074659612</v>
      </c>
      <c r="AH3396">
        <v>5.6144443384546499</v>
      </c>
      <c r="AI3396">
        <v>98.7695797589694</v>
      </c>
      <c r="AJ3396">
        <v>51.8910398989307</v>
      </c>
      <c r="AK3396">
        <v>7.2198506369930699</v>
      </c>
      <c r="AL3396">
        <v>88.506575640785798</v>
      </c>
      <c r="AM3396">
        <v>76.655234973012796</v>
      </c>
      <c r="AN3396">
        <v>0.99999996618738796</v>
      </c>
    </row>
    <row r="3397" spans="1:40" x14ac:dyDescent="0.25">
      <c r="A3397" t="str">
        <f>"20190312154623011"</f>
        <v>20190312154623011</v>
      </c>
      <c r="B3397" t="str">
        <f>"1552376783000987"</f>
        <v>1552376783000987</v>
      </c>
      <c r="C3397" t="s">
        <v>40</v>
      </c>
      <c r="D3397">
        <v>4.1702409999999999</v>
      </c>
      <c r="E3397">
        <v>0.66977399999999998</v>
      </c>
      <c r="F3397" t="s">
        <v>52</v>
      </c>
      <c r="G3397">
        <v>-206.3125</v>
      </c>
      <c r="H3397" s="1">
        <v>-8.4874809999999993E-6</v>
      </c>
      <c r="I3397">
        <v>145.2379</v>
      </c>
      <c r="J3397">
        <v>-199.06829999999999</v>
      </c>
      <c r="K3397">
        <v>1.100762</v>
      </c>
      <c r="L3397">
        <v>146.11000000000001</v>
      </c>
      <c r="M3397">
        <v>-0.70997790000000005</v>
      </c>
      <c r="N3397">
        <v>0</v>
      </c>
      <c r="O3397">
        <v>-0.70406599999999997</v>
      </c>
      <c r="P3397">
        <v>-0.85268469999999996</v>
      </c>
      <c r="Q3397">
        <v>1.6523699999999999E-2</v>
      </c>
      <c r="R3397">
        <v>-0.52216459999999998</v>
      </c>
      <c r="S3397">
        <v>-3.2689210000000002</v>
      </c>
      <c r="T3397">
        <v>-0.48453859999999899</v>
      </c>
      <c r="U3397">
        <v>-0.45603939999999998</v>
      </c>
      <c r="V3397">
        <v>0.2302765</v>
      </c>
      <c r="W3397">
        <v>2.5963079999999999E-2</v>
      </c>
      <c r="X3397">
        <v>0.97277880000000005</v>
      </c>
      <c r="Y3397">
        <v>0.58704109999999998</v>
      </c>
      <c r="Z3397">
        <v>0.13639860000000001</v>
      </c>
      <c r="AA3397">
        <v>0.79798380000000002</v>
      </c>
      <c r="AB3397">
        <v>24</v>
      </c>
      <c r="AC3397">
        <v>-7.2442000000000002</v>
      </c>
      <c r="AD3397">
        <v>-1.100770487481</v>
      </c>
      <c r="AE3397">
        <v>-0.87210000000001697</v>
      </c>
      <c r="AF3397">
        <v>4.3819895716351898</v>
      </c>
      <c r="AG3397">
        <v>-1.100770487481</v>
      </c>
      <c r="AH3397">
        <v>5.6297477716813296</v>
      </c>
      <c r="AI3397">
        <v>98.771353665143295</v>
      </c>
      <c r="AJ3397">
        <v>52.104116042341801</v>
      </c>
      <c r="AK3397">
        <v>7.21855859883257</v>
      </c>
      <c r="AL3397">
        <v>88.512257874290398</v>
      </c>
      <c r="AM3397">
        <v>76.682076569186293</v>
      </c>
      <c r="AN3397">
        <v>0.99999997085238701</v>
      </c>
    </row>
    <row r="3398" spans="1:40" x14ac:dyDescent="0.25">
      <c r="A3398" t="str">
        <f>"20190312154623032"</f>
        <v>20190312154623032</v>
      </c>
      <c r="B3398" t="str">
        <f>"1552376783020506"</f>
        <v>1552376783020506</v>
      </c>
      <c r="C3398" t="s">
        <v>40</v>
      </c>
      <c r="D3398">
        <v>4.1892329999999998</v>
      </c>
      <c r="E3398">
        <v>0.66913069999999997</v>
      </c>
      <c r="F3398" t="s">
        <v>52</v>
      </c>
      <c r="G3398">
        <v>-206.47579999999999</v>
      </c>
      <c r="H3398" s="1">
        <v>-8.3933290000000008E-6</v>
      </c>
      <c r="I3398">
        <v>145.15549999999999</v>
      </c>
      <c r="J3398">
        <v>-199.24279999999999</v>
      </c>
      <c r="K3398">
        <v>1.100786</v>
      </c>
      <c r="L3398">
        <v>145.9571</v>
      </c>
      <c r="M3398">
        <v>-0.71891649999999996</v>
      </c>
      <c r="N3398">
        <v>0</v>
      </c>
      <c r="O3398">
        <v>-0.69493629999999995</v>
      </c>
      <c r="P3398">
        <v>-0.85875639999999998</v>
      </c>
      <c r="Q3398">
        <v>1.5981200000000001E-2</v>
      </c>
      <c r="R3398">
        <v>-0.51213509999999995</v>
      </c>
      <c r="S3398">
        <v>-3.2696990000000001</v>
      </c>
      <c r="T3398">
        <v>-0.48588799999999999</v>
      </c>
      <c r="U3398">
        <v>-0.42134090000000002</v>
      </c>
      <c r="V3398">
        <v>0.22924120000000001</v>
      </c>
      <c r="W3398">
        <v>2.5460179999999999E-2</v>
      </c>
      <c r="X3398">
        <v>0.97303660000000003</v>
      </c>
      <c r="Y3398">
        <v>0.58511329999999995</v>
      </c>
      <c r="Z3398">
        <v>0.1358906</v>
      </c>
      <c r="AA3398">
        <v>0.79948490000000005</v>
      </c>
      <c r="AB3398">
        <v>24</v>
      </c>
      <c r="AC3398">
        <v>-7.2329999999999997</v>
      </c>
      <c r="AD3398">
        <v>-1.1007943933290001</v>
      </c>
      <c r="AE3398">
        <v>-0.80160000000000697</v>
      </c>
      <c r="AF3398">
        <v>4.3511282869473504</v>
      </c>
      <c r="AG3398">
        <v>-1.1007943933290001</v>
      </c>
      <c r="AH3398">
        <v>5.6288318923206102</v>
      </c>
      <c r="AI3398">
        <v>98.795376059901798</v>
      </c>
      <c r="AJ3398">
        <v>52.295714079086899</v>
      </c>
      <c r="AK3398">
        <v>7.19915370983726</v>
      </c>
      <c r="AL3398">
        <v>88.541081475172604</v>
      </c>
      <c r="AM3398">
        <v>76.743221994505106</v>
      </c>
      <c r="AN3398">
        <v>0.99999998674131596</v>
      </c>
    </row>
    <row r="3399" spans="1:40" x14ac:dyDescent="0.25">
      <c r="A3399" t="str">
        <f>"20190312154623057"</f>
        <v>20190312154623057</v>
      </c>
      <c r="B3399" t="str">
        <f>"1552376783050763"</f>
        <v>1552376783050763</v>
      </c>
      <c r="C3399" t="s">
        <v>40</v>
      </c>
      <c r="D3399">
        <v>4.1949940000000003</v>
      </c>
      <c r="E3399">
        <v>0.64639329999999995</v>
      </c>
      <c r="F3399" t="s">
        <v>52</v>
      </c>
      <c r="G3399">
        <v>-206.64750000000001</v>
      </c>
      <c r="H3399" s="1">
        <v>-8.2977390000000002E-6</v>
      </c>
      <c r="I3399">
        <v>145.08179999999999</v>
      </c>
      <c r="J3399">
        <v>-199.4521</v>
      </c>
      <c r="K3399">
        <v>1.100811</v>
      </c>
      <c r="L3399">
        <v>145.77850000000001</v>
      </c>
      <c r="M3399">
        <v>-0.72936459999999903</v>
      </c>
      <c r="N3399">
        <v>0</v>
      </c>
      <c r="O3399">
        <v>-0.68396250000000003</v>
      </c>
      <c r="P3399">
        <v>-0.865791599999999</v>
      </c>
      <c r="Q3399">
        <v>1.6306859999999999E-2</v>
      </c>
      <c r="R3399">
        <v>-0.50013909999999995</v>
      </c>
      <c r="S3399">
        <v>-3.2718509999999998</v>
      </c>
      <c r="T3399">
        <v>-0.48639860000000001</v>
      </c>
      <c r="U3399">
        <v>-0.38673400000000002</v>
      </c>
      <c r="V3399">
        <v>0.22803319999999999</v>
      </c>
      <c r="W3399">
        <v>2.5831989999999999E-2</v>
      </c>
      <c r="X3399">
        <v>0.97331060000000003</v>
      </c>
      <c r="Y3399">
        <v>0.58139289999999999</v>
      </c>
      <c r="Z3399">
        <v>0.134742</v>
      </c>
      <c r="AA3399">
        <v>0.8023882</v>
      </c>
      <c r="AB3399">
        <v>24</v>
      </c>
      <c r="AC3399">
        <v>-7.1954000000000002</v>
      </c>
      <c r="AD3399">
        <v>-1.1008192977389999</v>
      </c>
      <c r="AE3399">
        <v>-0.69670000000002097</v>
      </c>
      <c r="AF3399">
        <v>4.31369918741819</v>
      </c>
      <c r="AG3399">
        <v>-1.1008192977389999</v>
      </c>
      <c r="AH3399">
        <v>5.59547418569682</v>
      </c>
      <c r="AI3399">
        <v>98.855948311523207</v>
      </c>
      <c r="AJ3399">
        <v>52.370418969674603</v>
      </c>
      <c r="AK3399">
        <v>7.1504639827501002</v>
      </c>
      <c r="AL3399">
        <v>88.519771308877196</v>
      </c>
      <c r="AM3399">
        <v>76.814214654331394</v>
      </c>
      <c r="AN3399">
        <v>0.99999997804097895</v>
      </c>
    </row>
    <row r="3400" spans="1:40" x14ac:dyDescent="0.25">
      <c r="A3400" t="str">
        <f>"20190312154623079"</f>
        <v>20190312154623079</v>
      </c>
      <c r="B3400" t="str">
        <f>"1552376783070283"</f>
        <v>1552376783070283</v>
      </c>
      <c r="C3400" t="s">
        <v>40</v>
      </c>
      <c r="D3400">
        <v>4.2274789999999998</v>
      </c>
      <c r="E3400">
        <v>0.64512219999999998</v>
      </c>
      <c r="F3400" t="s">
        <v>52</v>
      </c>
      <c r="G3400">
        <v>-206.4665</v>
      </c>
      <c r="H3400" s="1">
        <v>-8.2720129999999902E-6</v>
      </c>
      <c r="I3400">
        <v>144.68039999999999</v>
      </c>
      <c r="J3400">
        <v>-199.6378</v>
      </c>
      <c r="K3400">
        <v>1.10084</v>
      </c>
      <c r="L3400">
        <v>145.62459999999999</v>
      </c>
      <c r="M3400">
        <v>-0.73838249999999905</v>
      </c>
      <c r="N3400">
        <v>0</v>
      </c>
      <c r="O3400">
        <v>-0.67421699999999996</v>
      </c>
      <c r="P3400">
        <v>-0.87184030000000001</v>
      </c>
      <c r="Q3400">
        <v>1.704816E-2</v>
      </c>
      <c r="R3400">
        <v>-0.48949340000000002</v>
      </c>
      <c r="S3400">
        <v>-3.1863100000000002</v>
      </c>
      <c r="T3400">
        <v>-0.50005319999999998</v>
      </c>
      <c r="U3400">
        <v>-0.49882510000000002</v>
      </c>
      <c r="V3400">
        <v>0.2270394</v>
      </c>
      <c r="W3400">
        <v>2.6610399999999999E-2</v>
      </c>
      <c r="X3400">
        <v>0.97352190000000005</v>
      </c>
      <c r="Y3400">
        <v>0.53903459999999903</v>
      </c>
      <c r="Z3400">
        <v>0.13714879999999999</v>
      </c>
      <c r="AA3400">
        <v>0.83104270000000002</v>
      </c>
      <c r="AB3400">
        <v>24</v>
      </c>
      <c r="AC3400">
        <v>-6.8286999999999898</v>
      </c>
      <c r="AD3400">
        <v>-1.100848272013</v>
      </c>
      <c r="AE3400">
        <v>-0.94419999999999404</v>
      </c>
      <c r="AF3400">
        <v>3.8101188417194898</v>
      </c>
      <c r="AG3400">
        <v>-1.100848272013</v>
      </c>
      <c r="AH3400">
        <v>5.5381922995756296</v>
      </c>
      <c r="AI3400">
        <v>99.300318882708396</v>
      </c>
      <c r="AJ3400">
        <v>55.473134018955299</v>
      </c>
      <c r="AK3400">
        <v>6.8117873170775596</v>
      </c>
      <c r="AL3400">
        <v>88.475156310246902</v>
      </c>
      <c r="AM3400">
        <v>76.872436250921297</v>
      </c>
      <c r="AN3400">
        <v>0.99999994616006305</v>
      </c>
    </row>
    <row r="3401" spans="1:40" x14ac:dyDescent="0.25">
      <c r="A3401" t="str">
        <f>"20190312154623099"</f>
        <v>20190312154623099</v>
      </c>
      <c r="B3401" t="str">
        <f>"1552376783090780"</f>
        <v>1552376783090780</v>
      </c>
      <c r="C3401" t="s">
        <v>40</v>
      </c>
      <c r="D3401">
        <v>4.2302970000000002</v>
      </c>
      <c r="E3401">
        <v>0.64355090000000004</v>
      </c>
      <c r="F3401" t="s">
        <v>52</v>
      </c>
      <c r="G3401">
        <v>-206.7081</v>
      </c>
      <c r="H3401" s="1">
        <v>-8.1393989999999993E-6</v>
      </c>
      <c r="I3401">
        <v>144.5839</v>
      </c>
      <c r="J3401">
        <v>-199.8126</v>
      </c>
      <c r="K3401">
        <v>1.1008579999999999</v>
      </c>
      <c r="L3401">
        <v>145.4836</v>
      </c>
      <c r="M3401">
        <v>-0.74666659999999996</v>
      </c>
      <c r="N3401">
        <v>0</v>
      </c>
      <c r="O3401">
        <v>-0.66503129999999999</v>
      </c>
      <c r="P3401">
        <v>-0.87755839999999996</v>
      </c>
      <c r="Q3401">
        <v>1.738311E-2</v>
      </c>
      <c r="R3401">
        <v>-0.4791551</v>
      </c>
      <c r="S3401">
        <v>-3.187271</v>
      </c>
      <c r="T3401">
        <v>-0.49626120000000001</v>
      </c>
      <c r="U3401">
        <v>-0.46917720000000002</v>
      </c>
      <c r="V3401">
        <v>0.22650400000000001</v>
      </c>
      <c r="W3401">
        <v>2.696933E-2</v>
      </c>
      <c r="X3401">
        <v>0.97363679999999997</v>
      </c>
      <c r="Y3401">
        <v>0.53655439999999999</v>
      </c>
      <c r="Z3401">
        <v>0.13505989999999901</v>
      </c>
      <c r="AA3401">
        <v>0.83298749999999999</v>
      </c>
      <c r="AB3401">
        <v>24</v>
      </c>
      <c r="AC3401">
        <v>-6.8954999999999904</v>
      </c>
      <c r="AD3401">
        <v>-1.10086613939899</v>
      </c>
      <c r="AE3401">
        <v>-0.89969999999999495</v>
      </c>
      <c r="AF3401">
        <v>3.8186809157482502</v>
      </c>
      <c r="AG3401">
        <v>-1.10086613939899</v>
      </c>
      <c r="AH3401">
        <v>5.6070855354816702</v>
      </c>
      <c r="AI3401">
        <v>99.217355439629102</v>
      </c>
      <c r="AJ3401">
        <v>55.743352045442201</v>
      </c>
      <c r="AK3401">
        <v>6.8726733077735496</v>
      </c>
      <c r="AL3401">
        <v>88.454583853749796</v>
      </c>
      <c r="AM3401">
        <v>76.903817355919202</v>
      </c>
      <c r="AN3401">
        <v>1.00000001254544</v>
      </c>
    </row>
    <row r="3402" spans="1:40" x14ac:dyDescent="0.25">
      <c r="A3402" t="str">
        <f>"20190312154623122"</f>
        <v>20190312154623122</v>
      </c>
      <c r="B3402" t="str">
        <f>"1552376783110302"</f>
        <v>1552376783110302</v>
      </c>
      <c r="C3402" t="s">
        <v>40</v>
      </c>
      <c r="D3402">
        <v>4.2449120000000002</v>
      </c>
      <c r="E3402">
        <v>0.64203980000000005</v>
      </c>
      <c r="F3402" t="s">
        <v>52</v>
      </c>
      <c r="G3402">
        <v>-206.9348</v>
      </c>
      <c r="H3402" s="1">
        <v>-8.015388E-6</v>
      </c>
      <c r="I3402">
        <v>144.4949</v>
      </c>
      <c r="J3402">
        <v>-200.0172</v>
      </c>
      <c r="K3402">
        <v>1.1008849999999999</v>
      </c>
      <c r="L3402">
        <v>145.3229</v>
      </c>
      <c r="M3402">
        <v>-0.75612100000000004</v>
      </c>
      <c r="N3402">
        <v>0</v>
      </c>
      <c r="O3402">
        <v>-0.6542616</v>
      </c>
      <c r="P3402">
        <v>-0.88419760000000003</v>
      </c>
      <c r="Q3402">
        <v>1.7354830000000002E-2</v>
      </c>
      <c r="R3402">
        <v>-0.4667907</v>
      </c>
      <c r="S3402">
        <v>-3.1867679999999998</v>
      </c>
      <c r="T3402">
        <v>-0.49257800000000002</v>
      </c>
      <c r="U3402">
        <v>-0.44241330000000001</v>
      </c>
      <c r="V3402">
        <v>0.22621340000000001</v>
      </c>
      <c r="W3402">
        <v>2.6959319999999998E-2</v>
      </c>
      <c r="X3402">
        <v>0.97370460000000003</v>
      </c>
      <c r="Y3402">
        <v>0.531671</v>
      </c>
      <c r="Z3402">
        <v>0.1326744</v>
      </c>
      <c r="AA3402">
        <v>0.83649479999999998</v>
      </c>
      <c r="AB3402">
        <v>24</v>
      </c>
      <c r="AC3402">
        <v>-6.9175999999999904</v>
      </c>
      <c r="AD3402">
        <v>-1.1008930153880001</v>
      </c>
      <c r="AE3402">
        <v>-0.82800000000000296</v>
      </c>
      <c r="AF3402">
        <v>3.8052724472878299</v>
      </c>
      <c r="AG3402">
        <v>-1.1008930153880001</v>
      </c>
      <c r="AH3402">
        <v>5.6322818139462401</v>
      </c>
      <c r="AI3402">
        <v>99.199816663713094</v>
      </c>
      <c r="AJ3402">
        <v>55.956321204270203</v>
      </c>
      <c r="AK3402">
        <v>6.8858305425799999</v>
      </c>
      <c r="AL3402">
        <v>88.455157539215705</v>
      </c>
      <c r="AM3402">
        <v>76.9209208837202</v>
      </c>
      <c r="AN3402">
        <v>0.99999997766779103</v>
      </c>
    </row>
    <row r="3403" spans="1:40" x14ac:dyDescent="0.25">
      <c r="A3403" t="str">
        <f>"20190312154623146"</f>
        <v>20190312154623146</v>
      </c>
      <c r="B3403" t="str">
        <f>"1552376783140555"</f>
        <v>1552376783140555</v>
      </c>
      <c r="C3403" t="s">
        <v>40</v>
      </c>
      <c r="D3403">
        <v>4.3185890000000002</v>
      </c>
      <c r="E3403">
        <v>0.6398104</v>
      </c>
      <c r="F3403" t="s">
        <v>52</v>
      </c>
      <c r="G3403">
        <v>-207.1643</v>
      </c>
      <c r="H3403" s="1">
        <v>-7.8906830000000007E-6</v>
      </c>
      <c r="I3403">
        <v>144.40809999999999</v>
      </c>
      <c r="J3403">
        <v>-200.21530000000001</v>
      </c>
      <c r="K3403">
        <v>1.1009119999999999</v>
      </c>
      <c r="L3403">
        <v>145.17189999999999</v>
      </c>
      <c r="M3403">
        <v>-0.76502729999999997</v>
      </c>
      <c r="N3403">
        <v>0</v>
      </c>
      <c r="O3403">
        <v>-0.64382519999999999</v>
      </c>
      <c r="P3403">
        <v>-0.89065019999999995</v>
      </c>
      <c r="Q3403">
        <v>1.7291959999999999E-2</v>
      </c>
      <c r="R3403">
        <v>-0.4543604</v>
      </c>
      <c r="S3403">
        <v>-3.187195</v>
      </c>
      <c r="T3403">
        <v>-0.49093170000000003</v>
      </c>
      <c r="U3403">
        <v>-0.40791319999999998</v>
      </c>
      <c r="V3403">
        <v>0.22648889999999999</v>
      </c>
      <c r="W3403">
        <v>2.689973E-2</v>
      </c>
      <c r="X3403">
        <v>0.97364220000000001</v>
      </c>
      <c r="Y3403">
        <v>0.52920649999999902</v>
      </c>
      <c r="Z3403">
        <v>0.13103619999999999</v>
      </c>
      <c r="AA3403">
        <v>0.8383138</v>
      </c>
      <c r="AB3403">
        <v>24</v>
      </c>
      <c r="AC3403">
        <v>-6.9489999999999803</v>
      </c>
      <c r="AD3403">
        <v>-1.100919890683</v>
      </c>
      <c r="AE3403">
        <v>-0.76380000000000303</v>
      </c>
      <c r="AF3403">
        <v>3.7959075022757398</v>
      </c>
      <c r="AG3403">
        <v>-1.100919890683</v>
      </c>
      <c r="AH3403">
        <v>5.6680076769537999</v>
      </c>
      <c r="AI3403">
        <v>99.167668150604797</v>
      </c>
      <c r="AJ3403">
        <v>56.189481312151997</v>
      </c>
      <c r="AK3403">
        <v>6.9099384510675597</v>
      </c>
      <c r="AL3403">
        <v>88.4585730300699</v>
      </c>
      <c r="AM3403">
        <v>76.904730455781504</v>
      </c>
      <c r="AN3403">
        <v>0.99999997545906105</v>
      </c>
    </row>
    <row r="3404" spans="1:40" x14ac:dyDescent="0.25">
      <c r="A3404" t="str">
        <f>"20190312154623170"</f>
        <v>20190312154623170</v>
      </c>
      <c r="B3404" t="str">
        <f>"1552376783161051"</f>
        <v>1552376783161051</v>
      </c>
      <c r="C3404" t="s">
        <v>40</v>
      </c>
      <c r="D3404">
        <v>4.3380179999999999</v>
      </c>
      <c r="E3404">
        <v>0.63923669999999899</v>
      </c>
      <c r="F3404" t="s">
        <v>52</v>
      </c>
      <c r="G3404">
        <v>-207.346</v>
      </c>
      <c r="H3404" s="1">
        <v>-7.7878129999999906E-6</v>
      </c>
      <c r="I3404">
        <v>144.3236</v>
      </c>
      <c r="J3404">
        <v>-200.4417</v>
      </c>
      <c r="K3404">
        <v>1.100938</v>
      </c>
      <c r="L3404">
        <v>145.00470000000001</v>
      </c>
      <c r="M3404">
        <v>-0.77492289999999997</v>
      </c>
      <c r="N3404">
        <v>0</v>
      </c>
      <c r="O3404">
        <v>-0.63187969999999904</v>
      </c>
      <c r="P3404">
        <v>-0.89765419999999996</v>
      </c>
      <c r="Q3404">
        <v>1.7873199999999999E-2</v>
      </c>
      <c r="R3404">
        <v>-0.44033830000000002</v>
      </c>
      <c r="S3404">
        <v>-3.1846009999999998</v>
      </c>
      <c r="T3404">
        <v>-0.4916739</v>
      </c>
      <c r="U3404">
        <v>-0.37886049999999999</v>
      </c>
      <c r="V3404">
        <v>0.2266562</v>
      </c>
      <c r="W3404">
        <v>2.7486980000000001E-2</v>
      </c>
      <c r="X3404">
        <v>0.97358690000000003</v>
      </c>
      <c r="Y3404">
        <v>0.52364979999999905</v>
      </c>
      <c r="Z3404">
        <v>0.12968209999999999</v>
      </c>
      <c r="AA3404">
        <v>0.84200560000000002</v>
      </c>
      <c r="AB3404">
        <v>24</v>
      </c>
      <c r="AC3404">
        <v>-6.9042999999999699</v>
      </c>
      <c r="AD3404">
        <v>-1.100945787813</v>
      </c>
      <c r="AE3404">
        <v>-0.68110000000001403</v>
      </c>
      <c r="AF3404">
        <v>3.7411060577301298</v>
      </c>
      <c r="AG3404">
        <v>-1.100945787813</v>
      </c>
      <c r="AH3404">
        <v>5.6393088735690604</v>
      </c>
      <c r="AI3404">
        <v>99.240143703782394</v>
      </c>
      <c r="AJ3404">
        <v>56.439785291890203</v>
      </c>
      <c r="AK3404">
        <v>6.8563664381655602</v>
      </c>
      <c r="AL3404">
        <v>88.424913688305097</v>
      </c>
      <c r="AM3404">
        <v>76.894672467782897</v>
      </c>
      <c r="AN3404">
        <v>1.0000000094597801</v>
      </c>
    </row>
    <row r="3405" spans="1:40" x14ac:dyDescent="0.25">
      <c r="A3405" t="str">
        <f>"20190312154623190"</f>
        <v>20190312154623190</v>
      </c>
      <c r="B3405" t="str">
        <f>"1552376783180571"</f>
        <v>1552376783180571</v>
      </c>
      <c r="C3405" t="s">
        <v>40</v>
      </c>
      <c r="D3405">
        <v>4.3062769999999997</v>
      </c>
      <c r="E3405">
        <v>0.65674500000000002</v>
      </c>
      <c r="F3405" t="s">
        <v>52</v>
      </c>
      <c r="G3405">
        <v>-207.6215</v>
      </c>
      <c r="H3405" s="1">
        <v>-7.6471910000000006E-6</v>
      </c>
      <c r="I3405">
        <v>144.25370000000001</v>
      </c>
      <c r="J3405">
        <v>-200.6163</v>
      </c>
      <c r="K3405">
        <v>1.1009530000000001</v>
      </c>
      <c r="L3405">
        <v>144.8793</v>
      </c>
      <c r="M3405">
        <v>-0.78235219999999905</v>
      </c>
      <c r="N3405">
        <v>0</v>
      </c>
      <c r="O3405">
        <v>-0.62265780000000004</v>
      </c>
      <c r="P3405">
        <v>-0.90278689999999995</v>
      </c>
      <c r="Q3405">
        <v>1.8049550000000001E-2</v>
      </c>
      <c r="R3405">
        <v>-0.42970960000000002</v>
      </c>
      <c r="S3405">
        <v>-3.1881870000000001</v>
      </c>
      <c r="T3405">
        <v>-0.4888786</v>
      </c>
      <c r="U3405">
        <v>-0.33349610000000002</v>
      </c>
      <c r="V3405">
        <v>0.2266205</v>
      </c>
      <c r="W3405">
        <v>2.767145E-2</v>
      </c>
      <c r="X3405">
        <v>0.97358999999999996</v>
      </c>
      <c r="Y3405">
        <v>0.525756</v>
      </c>
      <c r="Z3405">
        <v>0.12810360000000001</v>
      </c>
      <c r="AA3405">
        <v>0.84093410000000002</v>
      </c>
      <c r="AB3405">
        <v>24</v>
      </c>
      <c r="AC3405">
        <v>-7.0052000000000003</v>
      </c>
      <c r="AD3405">
        <v>-1.1009606471910001</v>
      </c>
      <c r="AE3405">
        <v>-0.62559999999999105</v>
      </c>
      <c r="AF3405">
        <v>3.7802000239917701</v>
      </c>
      <c r="AG3405">
        <v>-1.1009606471910001</v>
      </c>
      <c r="AH3405">
        <v>5.7303005872778998</v>
      </c>
      <c r="AI3405">
        <v>99.111300645207805</v>
      </c>
      <c r="AJ3405">
        <v>56.587715957758903</v>
      </c>
      <c r="AK3405">
        <v>6.9525801964887899</v>
      </c>
      <c r="AL3405">
        <v>88.414340337327104</v>
      </c>
      <c r="AM3405">
        <v>76.896705704620999</v>
      </c>
      <c r="AN3405">
        <v>1.0000000241326701</v>
      </c>
    </row>
    <row r="3406" spans="1:40" x14ac:dyDescent="0.25">
      <c r="A3406" t="str">
        <f>"20190312154623212"</f>
        <v>20190312154623212</v>
      </c>
      <c r="B3406" t="str">
        <f>"1552376783201067"</f>
        <v>1552376783201067</v>
      </c>
      <c r="C3406" t="s">
        <v>40</v>
      </c>
      <c r="D3406">
        <v>4.3345529999999997</v>
      </c>
      <c r="E3406">
        <v>0.65760240000000003</v>
      </c>
      <c r="F3406" t="s">
        <v>52</v>
      </c>
      <c r="G3406">
        <v>-208.71619999999999</v>
      </c>
      <c r="H3406" s="1">
        <v>-7.2153659999999999E-6</v>
      </c>
      <c r="I3406">
        <v>144.45689999999999</v>
      </c>
      <c r="J3406">
        <v>-200.8177</v>
      </c>
      <c r="K3406">
        <v>1.100976</v>
      </c>
      <c r="L3406">
        <v>144.73849999999999</v>
      </c>
      <c r="M3406">
        <v>-0.79071930000000001</v>
      </c>
      <c r="N3406">
        <v>0</v>
      </c>
      <c r="O3406">
        <v>-0.61199720000000002</v>
      </c>
      <c r="P3406">
        <v>-0.90844230000000004</v>
      </c>
      <c r="Q3406">
        <v>1.7595300000000001E-2</v>
      </c>
      <c r="R3406">
        <v>-0.41764000000000001</v>
      </c>
      <c r="S3406">
        <v>-3.2511749999999999</v>
      </c>
      <c r="T3406">
        <v>-0.44190479999999999</v>
      </c>
      <c r="U3406">
        <v>-0.1695557</v>
      </c>
      <c r="V3406">
        <v>0.2263945</v>
      </c>
      <c r="W3406">
        <v>2.7231020000000002E-2</v>
      </c>
      <c r="X3406">
        <v>0.97365500000000005</v>
      </c>
      <c r="Y3406">
        <v>0.56004149999999997</v>
      </c>
      <c r="Z3406">
        <v>0.1154442</v>
      </c>
      <c r="AA3406">
        <v>0.82038180000000005</v>
      </c>
      <c r="AB3406">
        <v>24</v>
      </c>
      <c r="AC3406">
        <v>-7.8984999999999799</v>
      </c>
      <c r="AD3406">
        <v>-1.100983215366</v>
      </c>
      <c r="AE3406">
        <v>-0.28159999999999702</v>
      </c>
      <c r="AF3406">
        <v>4.5239182031292602</v>
      </c>
      <c r="AG3406">
        <v>-1.100983215366</v>
      </c>
      <c r="AH3406">
        <v>6.2963657375658997</v>
      </c>
      <c r="AI3406">
        <v>98.082313053046605</v>
      </c>
      <c r="AJ3406">
        <v>54.302877991296697</v>
      </c>
      <c r="AK3406">
        <v>7.8308506211212903</v>
      </c>
      <c r="AL3406">
        <v>88.439584637459404</v>
      </c>
      <c r="AM3406">
        <v>76.910166701522499</v>
      </c>
      <c r="AN3406">
        <v>1.00000002855274</v>
      </c>
    </row>
    <row r="3407" spans="1:40" x14ac:dyDescent="0.25">
      <c r="A3407" t="str">
        <f>"20190312154623235"</f>
        <v>20190312154623235</v>
      </c>
      <c r="B3407" t="str">
        <f>"1552376783230347"</f>
        <v>1552376783230347</v>
      </c>
      <c r="C3407" t="s">
        <v>40</v>
      </c>
      <c r="D3407">
        <v>4.3499910000000002</v>
      </c>
      <c r="E3407">
        <v>0.65647609999999901</v>
      </c>
      <c r="F3407" t="s">
        <v>52</v>
      </c>
      <c r="G3407">
        <v>-209.23769999999999</v>
      </c>
      <c r="H3407" s="1">
        <v>-6.9769339999999997E-6</v>
      </c>
      <c r="I3407">
        <v>144.4298</v>
      </c>
      <c r="J3407">
        <v>-201.0179</v>
      </c>
      <c r="K3407">
        <v>1.101002</v>
      </c>
      <c r="L3407">
        <v>144.6026</v>
      </c>
      <c r="M3407">
        <v>-0.79881359999999901</v>
      </c>
      <c r="N3407">
        <v>0</v>
      </c>
      <c r="O3407">
        <v>-0.60139390000000004</v>
      </c>
      <c r="P3407">
        <v>-0.91366780000000003</v>
      </c>
      <c r="Q3407">
        <v>1.7372060000000002E-2</v>
      </c>
      <c r="R3407">
        <v>-0.40609099999999998</v>
      </c>
      <c r="S3407">
        <v>-3.2557070000000001</v>
      </c>
      <c r="T3407">
        <v>-0.42571029999999999</v>
      </c>
      <c r="U3407">
        <v>-0.1193695</v>
      </c>
      <c r="V3407">
        <v>0.22574350000000001</v>
      </c>
      <c r="W3407">
        <v>2.7032250000000001E-2</v>
      </c>
      <c r="X3407">
        <v>0.97381169999999995</v>
      </c>
      <c r="Y3407">
        <v>0.56251689999999999</v>
      </c>
      <c r="Z3407">
        <v>0.11029269999999999</v>
      </c>
      <c r="AA3407">
        <v>0.81939629999999997</v>
      </c>
      <c r="AB3407">
        <v>24</v>
      </c>
      <c r="AC3407">
        <v>-8.2197999999999904</v>
      </c>
      <c r="AD3407">
        <v>-1.1010089769339999</v>
      </c>
      <c r="AE3407">
        <v>-0.17279999999999501</v>
      </c>
      <c r="AF3407">
        <v>4.7211690422981203</v>
      </c>
      <c r="AG3407">
        <v>-1.1010089769339999</v>
      </c>
      <c r="AH3407">
        <v>6.5532271742968504</v>
      </c>
      <c r="AI3407">
        <v>97.762597298609606</v>
      </c>
      <c r="AJ3407">
        <v>54.229731502975099</v>
      </c>
      <c r="AK3407">
        <v>8.1514688425575308</v>
      </c>
      <c r="AL3407">
        <v>88.450977544520299</v>
      </c>
      <c r="AM3407">
        <v>76.948544474534401</v>
      </c>
      <c r="AN3407">
        <v>1.0000000486945999</v>
      </c>
    </row>
    <row r="3408" spans="1:40" x14ac:dyDescent="0.25">
      <c r="A3408" t="str">
        <f>"20190312154623256"</f>
        <v>20190312154623256</v>
      </c>
      <c r="B3408" t="str">
        <f>"1552376783250843"</f>
        <v>1552376783250843</v>
      </c>
      <c r="C3408" t="s">
        <v>40</v>
      </c>
      <c r="D3408">
        <v>4.3278889999999999</v>
      </c>
      <c r="E3408">
        <v>0.65505990000000003</v>
      </c>
      <c r="F3408" t="s">
        <v>52</v>
      </c>
      <c r="G3408">
        <v>-209.74279999999999</v>
      </c>
      <c r="H3408" s="1">
        <v>-6.7377540000000001E-6</v>
      </c>
      <c r="I3408">
        <v>144.37209999999999</v>
      </c>
      <c r="J3408">
        <v>-201.22470000000001</v>
      </c>
      <c r="K3408">
        <v>1.1010200000000001</v>
      </c>
      <c r="L3408">
        <v>144.46610000000001</v>
      </c>
      <c r="M3408">
        <v>-0.80695850000000002</v>
      </c>
      <c r="N3408">
        <v>0</v>
      </c>
      <c r="O3408">
        <v>-0.5904201</v>
      </c>
      <c r="P3408">
        <v>-0.91894189999999998</v>
      </c>
      <c r="Q3408">
        <v>1.6892089999999998E-2</v>
      </c>
      <c r="R3408">
        <v>-0.39403110000000002</v>
      </c>
      <c r="S3408">
        <v>-3.253098</v>
      </c>
      <c r="T3408">
        <v>-0.41051480000000001</v>
      </c>
      <c r="U3408">
        <v>-8.5922239999999997E-2</v>
      </c>
      <c r="V3408">
        <v>0.22524330000000001</v>
      </c>
      <c r="W3408">
        <v>2.657226E-2</v>
      </c>
      <c r="X3408">
        <v>0.97394009999999998</v>
      </c>
      <c r="Y3408">
        <v>0.56038669999999902</v>
      </c>
      <c r="Z3408">
        <v>0.1053024</v>
      </c>
      <c r="AA3408">
        <v>0.82150970000000001</v>
      </c>
      <c r="AB3408">
        <v>24</v>
      </c>
      <c r="AC3408">
        <v>-8.5180999999999703</v>
      </c>
      <c r="AD3408">
        <v>-1.101026737754</v>
      </c>
      <c r="AE3408">
        <v>-9.4000000000022496E-2</v>
      </c>
      <c r="AF3408">
        <v>4.8725554035908702</v>
      </c>
      <c r="AG3408">
        <v>-1.101026737754</v>
      </c>
      <c r="AH3408">
        <v>6.8161555218784304</v>
      </c>
      <c r="AI3408">
        <v>97.486264013258094</v>
      </c>
      <c r="AJ3408">
        <v>54.440771292804499</v>
      </c>
      <c r="AK3408">
        <v>8.4506823474051895</v>
      </c>
      <c r="AL3408">
        <v>88.477342386487393</v>
      </c>
      <c r="AM3408">
        <v>76.978135287753403</v>
      </c>
      <c r="AN3408">
        <v>0.99999997379220296</v>
      </c>
    </row>
    <row r="3409" spans="1:40" x14ac:dyDescent="0.25">
      <c r="A3409" t="str">
        <f>"20190312154623278"</f>
        <v>20190312154623278</v>
      </c>
      <c r="B3409" t="str">
        <f>"1552376783271050"</f>
        <v>1552376783271050</v>
      </c>
      <c r="C3409" t="s">
        <v>40</v>
      </c>
      <c r="D3409">
        <v>4.366466</v>
      </c>
      <c r="E3409">
        <v>0.65349789999999996</v>
      </c>
      <c r="F3409" t="s">
        <v>42</v>
      </c>
      <c r="G3409">
        <v>-210.08359999999999</v>
      </c>
      <c r="H3409" s="1">
        <v>-5.5136640000000001E-6</v>
      </c>
      <c r="I3409">
        <v>144.32069999999999</v>
      </c>
      <c r="J3409">
        <v>-201.42349999999999</v>
      </c>
      <c r="K3409">
        <v>1.1010390000000001</v>
      </c>
      <c r="L3409">
        <v>144.33869999999999</v>
      </c>
      <c r="M3409">
        <v>-0.81458209999999998</v>
      </c>
      <c r="N3409">
        <v>0</v>
      </c>
      <c r="O3409">
        <v>-0.57985699999999996</v>
      </c>
      <c r="P3409">
        <v>-0.92377480000000001</v>
      </c>
      <c r="Q3409">
        <v>1.690272E-2</v>
      </c>
      <c r="R3409">
        <v>-0.38256299999999999</v>
      </c>
      <c r="S3409">
        <v>-3.2491759999999998</v>
      </c>
      <c r="T3409">
        <v>-0.40382170000000001</v>
      </c>
      <c r="U3409">
        <v>-5.3314210000000001E-2</v>
      </c>
      <c r="V3409">
        <v>0.2246756</v>
      </c>
      <c r="W3409">
        <v>2.6603720000000001E-2</v>
      </c>
      <c r="X3409">
        <v>0.9740704</v>
      </c>
      <c r="Y3409">
        <v>0.55820110000000001</v>
      </c>
      <c r="Z3409">
        <v>0.1025842</v>
      </c>
      <c r="AA3409">
        <v>0.8233395</v>
      </c>
      <c r="AB3409">
        <v>24</v>
      </c>
      <c r="AC3409">
        <v>-8.6600999999999999</v>
      </c>
      <c r="AD3409">
        <v>-1.1010445136639999</v>
      </c>
      <c r="AE3409">
        <v>-1.8000000000000599E-2</v>
      </c>
      <c r="AF3409">
        <v>4.9278563516141602</v>
      </c>
      <c r="AG3409">
        <v>-1.1010445136639999</v>
      </c>
      <c r="AH3409">
        <v>6.9531889377089504</v>
      </c>
      <c r="AI3409">
        <v>97.361539848828798</v>
      </c>
      <c r="AJ3409">
        <v>54.674079049781803</v>
      </c>
      <c r="AK3409">
        <v>8.5931893757028099</v>
      </c>
      <c r="AL3409">
        <v>88.475539284540005</v>
      </c>
      <c r="AM3409">
        <v>77.0115196440928</v>
      </c>
      <c r="AN3409">
        <v>1.0000000136546701</v>
      </c>
    </row>
    <row r="3410" spans="1:40" x14ac:dyDescent="0.25">
      <c r="A3410" t="str">
        <f>"20190312154623301"</f>
        <v>20190312154623301</v>
      </c>
      <c r="B3410" t="str">
        <f>"1552376783290561"</f>
        <v>1552376783290561</v>
      </c>
      <c r="C3410" t="s">
        <v>40</v>
      </c>
      <c r="D3410">
        <v>4.3714550000000001</v>
      </c>
      <c r="E3410">
        <v>0.65185400000000004</v>
      </c>
      <c r="F3410" t="s">
        <v>42</v>
      </c>
      <c r="G3410">
        <v>-210.23349999999999</v>
      </c>
      <c r="H3410" s="1">
        <v>-5.4474370000000001E-6</v>
      </c>
      <c r="I3410">
        <v>144.27180000000001</v>
      </c>
      <c r="J3410">
        <v>-201.6371</v>
      </c>
      <c r="K3410">
        <v>1.1010660000000001</v>
      </c>
      <c r="L3410">
        <v>144.20570000000001</v>
      </c>
      <c r="M3410">
        <v>-0.82255069999999997</v>
      </c>
      <c r="N3410">
        <v>0</v>
      </c>
      <c r="O3410">
        <v>-0.56849680000000002</v>
      </c>
      <c r="P3410">
        <v>-0.92859700000000001</v>
      </c>
      <c r="Q3410">
        <v>1.6846460000000001E-2</v>
      </c>
      <c r="R3410">
        <v>-0.37070710000000001</v>
      </c>
      <c r="S3410">
        <v>-3.2447659999999998</v>
      </c>
      <c r="T3410">
        <v>-0.40552260000000001</v>
      </c>
      <c r="U3410">
        <v>-2.4627690000000001E-2</v>
      </c>
      <c r="V3410">
        <v>0.22362409999999999</v>
      </c>
      <c r="W3410">
        <v>2.6580369999999999E-2</v>
      </c>
      <c r="X3410">
        <v>0.97431299999999998</v>
      </c>
      <c r="Y3410">
        <v>0.55400869999999902</v>
      </c>
      <c r="Z3410">
        <v>0.1017721</v>
      </c>
      <c r="AA3410">
        <v>0.82626679999999997</v>
      </c>
      <c r="AB3410">
        <v>24</v>
      </c>
      <c r="AC3410">
        <v>-8.5963999999999796</v>
      </c>
      <c r="AD3410">
        <v>-1.10107144743699</v>
      </c>
      <c r="AE3410">
        <v>6.6100000000005807E-2</v>
      </c>
      <c r="AF3410">
        <v>4.8621811020510304</v>
      </c>
      <c r="AG3410">
        <v>-1.10107144743699</v>
      </c>
      <c r="AH3410">
        <v>6.9206450027020203</v>
      </c>
      <c r="AI3410">
        <v>97.417197385715397</v>
      </c>
      <c r="AJ3410">
        <v>54.909586411130199</v>
      </c>
      <c r="AK3410">
        <v>8.5292725747819595</v>
      </c>
      <c r="AL3410">
        <v>88.4768776514439</v>
      </c>
      <c r="AM3410">
        <v>77.073370715253802</v>
      </c>
      <c r="AN3410">
        <v>1.0000000380695699</v>
      </c>
    </row>
    <row r="3411" spans="1:40" x14ac:dyDescent="0.25">
      <c r="A3411" t="str">
        <f>"20190312154623323"</f>
        <v>20190312154623323</v>
      </c>
      <c r="B3411" t="str">
        <f>"1552376783311053"</f>
        <v>1552376783311053</v>
      </c>
      <c r="C3411" t="s">
        <v>40</v>
      </c>
      <c r="D3411">
        <v>4.3944049999999999</v>
      </c>
      <c r="E3411">
        <v>0.65105089999999999</v>
      </c>
      <c r="F3411" t="s">
        <v>42</v>
      </c>
      <c r="G3411">
        <v>-210.4085</v>
      </c>
      <c r="H3411" s="1">
        <v>-5.3706470000000001E-6</v>
      </c>
      <c r="I3411">
        <v>144.21780000000001</v>
      </c>
      <c r="J3411">
        <v>-201.83969999999999</v>
      </c>
      <c r="K3411">
        <v>1.1010850000000001</v>
      </c>
      <c r="L3411">
        <v>144.08340000000001</v>
      </c>
      <c r="M3411">
        <v>-0.829904999999999</v>
      </c>
      <c r="N3411">
        <v>0</v>
      </c>
      <c r="O3411">
        <v>-0.55770600000000004</v>
      </c>
      <c r="P3411">
        <v>-0.93290150000000005</v>
      </c>
      <c r="Q3411">
        <v>1.6865479999999999E-2</v>
      </c>
      <c r="R3411">
        <v>-0.35973680000000002</v>
      </c>
      <c r="S3411">
        <v>-3.2398380000000002</v>
      </c>
      <c r="T3411">
        <v>-0.40669420000000001</v>
      </c>
      <c r="U3411">
        <v>4.4555659999999898E-3</v>
      </c>
      <c r="V3411">
        <v>0.22238169999999999</v>
      </c>
      <c r="W3411">
        <v>2.6637089999999999E-2</v>
      </c>
      <c r="X3411">
        <v>0.97459569999999995</v>
      </c>
      <c r="Y3411">
        <v>0.55061660000000001</v>
      </c>
      <c r="Z3411">
        <v>0.1009222</v>
      </c>
      <c r="AA3411">
        <v>0.82863509999999996</v>
      </c>
      <c r="AB3411">
        <v>24</v>
      </c>
      <c r="AC3411">
        <v>-8.5688000000000102</v>
      </c>
      <c r="AD3411">
        <v>-1.1010903706470001</v>
      </c>
      <c r="AE3411">
        <v>0.13439999999999899</v>
      </c>
      <c r="AF3411">
        <v>4.8115231474069899</v>
      </c>
      <c r="AG3411">
        <v>-1.1010903706470001</v>
      </c>
      <c r="AH3411">
        <v>6.9228311015239301</v>
      </c>
      <c r="AI3411">
        <v>97.441007791760995</v>
      </c>
      <c r="AJ3411">
        <v>55.1998315191559</v>
      </c>
      <c r="AK3411">
        <v>8.5022788393813507</v>
      </c>
      <c r="AL3411">
        <v>88.4736265749941</v>
      </c>
      <c r="AM3411">
        <v>77.1464003625901</v>
      </c>
      <c r="AN3411">
        <v>0.99999996675852298</v>
      </c>
    </row>
    <row r="3412" spans="1:40" x14ac:dyDescent="0.25">
      <c r="A3412" t="str">
        <f>"20190312154623348"</f>
        <v>20190312154623348</v>
      </c>
      <c r="B3412" t="str">
        <f>"1552376783340333"</f>
        <v>1552376783340333</v>
      </c>
      <c r="C3412" t="s">
        <v>40</v>
      </c>
      <c r="D3412">
        <v>4.3891080000000002</v>
      </c>
      <c r="E3412">
        <v>0.63513180000000002</v>
      </c>
      <c r="F3412" t="s">
        <v>42</v>
      </c>
      <c r="G3412">
        <v>-210.571</v>
      </c>
      <c r="H3412" s="1">
        <v>-5.3019879999999999E-6</v>
      </c>
      <c r="I3412">
        <v>144.1825</v>
      </c>
      <c r="J3412">
        <v>-202.06829999999999</v>
      </c>
      <c r="K3412">
        <v>1.101108</v>
      </c>
      <c r="L3412">
        <v>143.94999999999999</v>
      </c>
      <c r="M3412">
        <v>-0.83796510000000002</v>
      </c>
      <c r="N3412">
        <v>0</v>
      </c>
      <c r="O3412">
        <v>-0.54552100000000003</v>
      </c>
      <c r="P3412">
        <v>-0.93768790000000002</v>
      </c>
      <c r="Q3412">
        <v>1.7017350000000001E-2</v>
      </c>
      <c r="R3412">
        <v>-0.34706179999999998</v>
      </c>
      <c r="S3412">
        <v>-3.2373349999999999</v>
      </c>
      <c r="T3412">
        <v>-0.4082539</v>
      </c>
      <c r="U3412">
        <v>3.675842E-2</v>
      </c>
      <c r="V3412">
        <v>0.22134889999999999</v>
      </c>
      <c r="W3412">
        <v>2.6821080000000001E-2</v>
      </c>
      <c r="X3412">
        <v>0.97482579999999996</v>
      </c>
      <c r="Y3412">
        <v>0.54677940000000003</v>
      </c>
      <c r="Z3412">
        <v>9.9890919999999994E-2</v>
      </c>
      <c r="AA3412">
        <v>0.831296699999999</v>
      </c>
      <c r="AB3412">
        <v>24</v>
      </c>
      <c r="AC3412">
        <v>-8.5027000000000008</v>
      </c>
      <c r="AD3412">
        <v>-1.1011133019879999</v>
      </c>
      <c r="AE3412">
        <v>0.232500000000015</v>
      </c>
      <c r="AF3412">
        <v>4.7540935059355203</v>
      </c>
      <c r="AG3412">
        <v>-1.1011133019879999</v>
      </c>
      <c r="AH3412">
        <v>6.8835513125454204</v>
      </c>
      <c r="AI3412">
        <v>97.498316883047195</v>
      </c>
      <c r="AJ3412">
        <v>55.3692778143852</v>
      </c>
      <c r="AK3412">
        <v>8.4378394295838</v>
      </c>
      <c r="AL3412">
        <v>88.463081042976</v>
      </c>
      <c r="AM3412">
        <v>77.207047310160306</v>
      </c>
      <c r="AN3412">
        <v>1.0000000231046</v>
      </c>
    </row>
    <row r="3413" spans="1:40" x14ac:dyDescent="0.25">
      <c r="A3413" t="str">
        <f>"20190312154623370"</f>
        <v>20190312154623370</v>
      </c>
      <c r="B3413" t="str">
        <f>"1552376783360829"</f>
        <v>1552376783360829</v>
      </c>
      <c r="C3413" t="s">
        <v>40</v>
      </c>
      <c r="D3413">
        <v>4.3922840000000001</v>
      </c>
      <c r="E3413">
        <v>0.63489960000000001</v>
      </c>
      <c r="F3413" t="s">
        <v>42</v>
      </c>
      <c r="G3413">
        <v>-210.52619999999999</v>
      </c>
      <c r="H3413" s="1">
        <v>-5.2597739999999997E-6</v>
      </c>
      <c r="I3413">
        <v>143.8476</v>
      </c>
      <c r="J3413">
        <v>-202.2843</v>
      </c>
      <c r="K3413">
        <v>1.1011280000000001</v>
      </c>
      <c r="L3413">
        <v>143.828</v>
      </c>
      <c r="M3413">
        <v>-0.84535799999999905</v>
      </c>
      <c r="N3413">
        <v>0</v>
      </c>
      <c r="O3413">
        <v>-0.5339931</v>
      </c>
      <c r="P3413">
        <v>-0.94193490000000002</v>
      </c>
      <c r="Q3413">
        <v>1.7086420000000001E-2</v>
      </c>
      <c r="R3413">
        <v>-0.33536070000000001</v>
      </c>
      <c r="S3413">
        <v>-3.192596</v>
      </c>
      <c r="T3413">
        <v>-0.41563509999999998</v>
      </c>
      <c r="U3413">
        <v>-3.8650509999999999E-2</v>
      </c>
      <c r="V3413">
        <v>0.2201333</v>
      </c>
      <c r="W3413">
        <v>2.69269E-2</v>
      </c>
      <c r="X3413">
        <v>0.97509809999999997</v>
      </c>
      <c r="Y3413">
        <v>0.51531759999999904</v>
      </c>
      <c r="Z3413">
        <v>9.9668580000000007E-2</v>
      </c>
      <c r="AA3413">
        <v>0.85118389999999999</v>
      </c>
      <c r="AB3413">
        <v>24</v>
      </c>
      <c r="AC3413">
        <v>-8.2418999999999798</v>
      </c>
      <c r="AD3413">
        <v>-1.101133259774</v>
      </c>
      <c r="AE3413">
        <v>1.9599999999996901E-2</v>
      </c>
      <c r="AF3413">
        <v>4.3406968156751002</v>
      </c>
      <c r="AG3413">
        <v>-1.101133259774</v>
      </c>
      <c r="AH3413">
        <v>6.83564754143947</v>
      </c>
      <c r="AI3413">
        <v>97.743933891881497</v>
      </c>
      <c r="AJ3413">
        <v>57.584090528056599</v>
      </c>
      <c r="AK3413">
        <v>8.1719165813277801</v>
      </c>
      <c r="AL3413">
        <v>88.457015802435194</v>
      </c>
      <c r="AM3413">
        <v>77.278447696236796</v>
      </c>
      <c r="AN3413">
        <v>1.00000001616805</v>
      </c>
    </row>
    <row r="3414" spans="1:40" x14ac:dyDescent="0.25">
      <c r="A3414" t="str">
        <f>"20190312154623393"</f>
        <v>20190312154623393</v>
      </c>
      <c r="B3414" t="str">
        <f>"1552376783380659"</f>
        <v>1552376783380659</v>
      </c>
      <c r="C3414" t="s">
        <v>40</v>
      </c>
      <c r="D3414">
        <v>4.382428</v>
      </c>
      <c r="E3414">
        <v>0.62490959999999995</v>
      </c>
      <c r="F3414" t="s">
        <v>42</v>
      </c>
      <c r="G3414">
        <v>-210.80680000000001</v>
      </c>
      <c r="H3414" s="1">
        <v>-5.148228E-6</v>
      </c>
      <c r="I3414">
        <v>143.8261</v>
      </c>
      <c r="J3414">
        <v>-202.50579999999999</v>
      </c>
      <c r="K3414">
        <v>1.1011580000000001</v>
      </c>
      <c r="L3414">
        <v>143.70679999999999</v>
      </c>
      <c r="M3414">
        <v>-0.85271830000000004</v>
      </c>
      <c r="N3414">
        <v>0</v>
      </c>
      <c r="O3414">
        <v>-0.52215959999999995</v>
      </c>
      <c r="P3414">
        <v>-0.94616009999999995</v>
      </c>
      <c r="Q3414">
        <v>1.804451E-2</v>
      </c>
      <c r="R3414">
        <v>-0.32319609999999999</v>
      </c>
      <c r="S3414">
        <v>-3.1921689999999998</v>
      </c>
      <c r="T3414">
        <v>-0.41244029999999998</v>
      </c>
      <c r="U3414">
        <v>-7.0190429999999896E-4</v>
      </c>
      <c r="V3414">
        <v>0.2191167</v>
      </c>
      <c r="W3414">
        <v>2.7916440000000001E-2</v>
      </c>
      <c r="X3414">
        <v>0.97529920000000003</v>
      </c>
      <c r="Y3414">
        <v>0.51376469999999996</v>
      </c>
      <c r="Z3414">
        <v>9.7565940000000004E-2</v>
      </c>
      <c r="AA3414">
        <v>0.85236529999999999</v>
      </c>
      <c r="AB3414">
        <v>24</v>
      </c>
      <c r="AC3414">
        <v>-8.3010000000000108</v>
      </c>
      <c r="AD3414">
        <v>-1.101163148228</v>
      </c>
      <c r="AE3414">
        <v>0.119300000000009</v>
      </c>
      <c r="AF3414">
        <v>4.3599590449329</v>
      </c>
      <c r="AG3414">
        <v>-1.101163148228</v>
      </c>
      <c r="AH3414">
        <v>6.8955783447722299</v>
      </c>
      <c r="AI3414">
        <v>97.686995648340002</v>
      </c>
      <c r="AJ3414">
        <v>57.695515921619403</v>
      </c>
      <c r="AK3414">
        <v>8.2323024641590603</v>
      </c>
      <c r="AL3414">
        <v>88.400297969364601</v>
      </c>
      <c r="AM3414">
        <v>77.337825216716595</v>
      </c>
      <c r="AN3414">
        <v>0.99999999268090101</v>
      </c>
    </row>
    <row r="3415" spans="1:40" x14ac:dyDescent="0.25">
      <c r="A3415" t="str">
        <f>"20190312154623413"</f>
        <v>20190312154623413</v>
      </c>
      <c r="B3415" t="str">
        <f>"1552376783410914"</f>
        <v>1552376783410914</v>
      </c>
      <c r="C3415" t="s">
        <v>40</v>
      </c>
      <c r="D3415">
        <v>4.3873569999999997</v>
      </c>
      <c r="E3415">
        <v>0.62321729999999997</v>
      </c>
      <c r="F3415" t="s">
        <v>42</v>
      </c>
      <c r="G3415">
        <v>-210.94409999999999</v>
      </c>
      <c r="H3415" s="1">
        <v>-5.0575030000000002E-6</v>
      </c>
      <c r="I3415">
        <v>143.61189999999999</v>
      </c>
      <c r="J3415">
        <v>-202.70419999999999</v>
      </c>
      <c r="K3415">
        <v>1.101183</v>
      </c>
      <c r="L3415">
        <v>143.60159999999999</v>
      </c>
      <c r="M3415">
        <v>-0.85912630000000001</v>
      </c>
      <c r="N3415">
        <v>0</v>
      </c>
      <c r="O3415">
        <v>-0.51154759999999999</v>
      </c>
      <c r="P3415">
        <v>-0.94966589999999995</v>
      </c>
      <c r="Q3415">
        <v>1.905983E-2</v>
      </c>
      <c r="R3415">
        <v>-0.31268459999999998</v>
      </c>
      <c r="S3415">
        <v>-3.1664430000000001</v>
      </c>
      <c r="T3415">
        <v>-0.41320659999999998</v>
      </c>
      <c r="U3415">
        <v>-3.5583499999999997E-2</v>
      </c>
      <c r="V3415">
        <v>0.2178495</v>
      </c>
      <c r="W3415">
        <v>2.8968879999999999E-2</v>
      </c>
      <c r="X3415">
        <v>0.97555239999999999</v>
      </c>
      <c r="Y3415">
        <v>0.49373590000000001</v>
      </c>
      <c r="Z3415">
        <v>9.5982479999999995E-2</v>
      </c>
      <c r="AA3415">
        <v>0.86429869999999898</v>
      </c>
      <c r="AB3415">
        <v>24</v>
      </c>
      <c r="AC3415">
        <v>-8.2399000000000004</v>
      </c>
      <c r="AD3415">
        <v>-1.101188057503</v>
      </c>
      <c r="AE3415">
        <v>1.03000000000008E-2</v>
      </c>
      <c r="AF3415">
        <v>4.1502932862170798</v>
      </c>
      <c r="AG3415">
        <v>-1.101188057503</v>
      </c>
      <c r="AH3415">
        <v>6.9504929010233596</v>
      </c>
      <c r="AI3415">
        <v>97.746266204591706</v>
      </c>
      <c r="AJ3415">
        <v>59.157638945023699</v>
      </c>
      <c r="AK3415">
        <v>8.16987766534983</v>
      </c>
      <c r="AL3415">
        <v>88.339973273477298</v>
      </c>
      <c r="AM3415">
        <v>77.411875755781907</v>
      </c>
      <c r="AN3415">
        <v>1.00000004290223</v>
      </c>
    </row>
    <row r="3416" spans="1:40" x14ac:dyDescent="0.25">
      <c r="A3416" t="str">
        <f>"20190312154623437"</f>
        <v>20190312154623437</v>
      </c>
      <c r="B3416" t="str">
        <f>"1552376783430433"</f>
        <v>1552376783430433</v>
      </c>
      <c r="C3416" t="s">
        <v>40</v>
      </c>
      <c r="D3416">
        <v>4.4310169999999998</v>
      </c>
      <c r="E3416">
        <v>0.62178929999999999</v>
      </c>
      <c r="F3416" t="s">
        <v>42</v>
      </c>
      <c r="G3416">
        <v>-211.41970000000001</v>
      </c>
      <c r="H3416" s="1">
        <v>-4.8663939999999999E-6</v>
      </c>
      <c r="I3416">
        <v>143.5643</v>
      </c>
      <c r="J3416">
        <v>-202.92519999999999</v>
      </c>
      <c r="K3416">
        <v>1.101205</v>
      </c>
      <c r="L3416">
        <v>143.488</v>
      </c>
      <c r="M3416">
        <v>-0.86606249999999996</v>
      </c>
      <c r="N3416">
        <v>0</v>
      </c>
      <c r="O3416">
        <v>-0.49971470000000001</v>
      </c>
      <c r="P3416">
        <v>-0.95348520000000003</v>
      </c>
      <c r="Q3416">
        <v>1.9599760000000001E-2</v>
      </c>
      <c r="R3416">
        <v>-0.30080210000000002</v>
      </c>
      <c r="S3416">
        <v>-3.162582</v>
      </c>
      <c r="T3416">
        <v>-0.3995843</v>
      </c>
      <c r="U3416">
        <v>-1.3534549999999999E-2</v>
      </c>
      <c r="V3416">
        <v>0.2166527</v>
      </c>
      <c r="W3416">
        <v>2.9545599999999901E-2</v>
      </c>
      <c r="X3416">
        <v>0.97580149999999999</v>
      </c>
      <c r="Y3416">
        <v>0.48849209999999899</v>
      </c>
      <c r="Z3416">
        <v>9.1351589999999996E-2</v>
      </c>
      <c r="AA3416">
        <v>0.86777320000000002</v>
      </c>
      <c r="AB3416">
        <v>24</v>
      </c>
      <c r="AC3416">
        <v>-8.4945000000000093</v>
      </c>
      <c r="AD3416">
        <v>-1.101209866394</v>
      </c>
      <c r="AE3416">
        <v>7.6300000000003296E-2</v>
      </c>
      <c r="AF3416">
        <v>4.2401295469823204</v>
      </c>
      <c r="AG3416">
        <v>-1.101209866394</v>
      </c>
      <c r="AH3416">
        <v>7.1984804347232902</v>
      </c>
      <c r="AI3416">
        <v>97.508937270769394</v>
      </c>
      <c r="AJ3416">
        <v>59.500587835954903</v>
      </c>
      <c r="AK3416">
        <v>8.4267124262152198</v>
      </c>
      <c r="AL3416">
        <v>88.306915345559602</v>
      </c>
      <c r="AM3416">
        <v>77.4819401623419</v>
      </c>
      <c r="AN3416">
        <v>0.99999995114944795</v>
      </c>
    </row>
    <row r="3417" spans="1:40" x14ac:dyDescent="0.25">
      <c r="A3417" t="str">
        <f>"20190312154623458"</f>
        <v>20190312154623458</v>
      </c>
      <c r="B3417" t="str">
        <f>"1552376783450929"</f>
        <v>1552376783450929</v>
      </c>
      <c r="C3417" t="s">
        <v>40</v>
      </c>
      <c r="D3417">
        <v>4.3329879999999896</v>
      </c>
      <c r="E3417">
        <v>0.62000089999999997</v>
      </c>
      <c r="F3417" t="s">
        <v>42</v>
      </c>
      <c r="G3417">
        <v>-211.79839999999999</v>
      </c>
      <c r="H3417" s="1">
        <v>-4.7149560000000002E-6</v>
      </c>
      <c r="I3417">
        <v>143.53039999999999</v>
      </c>
      <c r="J3417">
        <v>-203.1388</v>
      </c>
      <c r="K3417">
        <v>1.1012379999999999</v>
      </c>
      <c r="L3417">
        <v>143.3818</v>
      </c>
      <c r="M3417">
        <v>-0.87255969999999905</v>
      </c>
      <c r="N3417">
        <v>0</v>
      </c>
      <c r="O3417">
        <v>-0.48828159999999998</v>
      </c>
      <c r="P3417">
        <v>-0.95696219999999999</v>
      </c>
      <c r="Q3417">
        <v>1.961742E-2</v>
      </c>
      <c r="R3417">
        <v>-0.28954960000000002</v>
      </c>
      <c r="S3417">
        <v>-3.159195</v>
      </c>
      <c r="T3417">
        <v>-0.39207350000000002</v>
      </c>
      <c r="U3417">
        <v>1.5090940000000001E-2</v>
      </c>
      <c r="V3417">
        <v>0.2153119</v>
      </c>
      <c r="W3417">
        <v>2.9604229999999999E-2</v>
      </c>
      <c r="X3417">
        <v>0.97609650000000003</v>
      </c>
      <c r="Y3417">
        <v>0.48528070000000001</v>
      </c>
      <c r="Z3417">
        <v>8.8328379999999998E-2</v>
      </c>
      <c r="AA3417">
        <v>0.86988549999999998</v>
      </c>
      <c r="AB3417">
        <v>24</v>
      </c>
      <c r="AC3417">
        <v>-8.6595999999999798</v>
      </c>
      <c r="AD3417">
        <v>-1.101242714956</v>
      </c>
      <c r="AE3417">
        <v>0.14859999999998699</v>
      </c>
      <c r="AF3417">
        <v>4.2891222516351002</v>
      </c>
      <c r="AG3417">
        <v>-1.101242714956</v>
      </c>
      <c r="AH3417">
        <v>7.3652081586164799</v>
      </c>
      <c r="AI3417">
        <v>97.362236134932502</v>
      </c>
      <c r="AJ3417">
        <v>59.785656558684401</v>
      </c>
      <c r="AK3417">
        <v>8.5939278811533999</v>
      </c>
      <c r="AL3417">
        <v>88.303554708366804</v>
      </c>
      <c r="AM3417">
        <v>77.560634141389599</v>
      </c>
      <c r="AN3417">
        <v>1.0000000010138701</v>
      </c>
    </row>
    <row r="3418" spans="1:40" x14ac:dyDescent="0.25">
      <c r="A3418" t="str">
        <f>"20190312154623482"</f>
        <v>20190312154623482</v>
      </c>
      <c r="B3418" t="str">
        <f>"1552376783470450"</f>
        <v>1552376783470450</v>
      </c>
      <c r="C3418" t="s">
        <v>40</v>
      </c>
      <c r="D3418">
        <v>4.3242900000000004</v>
      </c>
      <c r="E3418">
        <v>0.61900469999999996</v>
      </c>
      <c r="F3418" t="s">
        <v>42</v>
      </c>
      <c r="G3418">
        <v>-212.1096</v>
      </c>
      <c r="H3418" s="1">
        <v>-4.5885180000000003E-6</v>
      </c>
      <c r="I3418">
        <v>143.4914</v>
      </c>
      <c r="J3418">
        <v>-203.369</v>
      </c>
      <c r="K3418">
        <v>1.101275</v>
      </c>
      <c r="L3418">
        <v>143.27109999999999</v>
      </c>
      <c r="M3418">
        <v>-0.87934230000000002</v>
      </c>
      <c r="N3418">
        <v>0</v>
      </c>
      <c r="O3418">
        <v>-0.47595890000000002</v>
      </c>
      <c r="P3418">
        <v>-0.96067990000000003</v>
      </c>
      <c r="Q3418">
        <v>1.920827E-2</v>
      </c>
      <c r="R3418">
        <v>-0.2769934</v>
      </c>
      <c r="S3418">
        <v>-3.1544949999999998</v>
      </c>
      <c r="T3418">
        <v>-0.38723869999999999</v>
      </c>
      <c r="U3418">
        <v>3.8513180000000001E-2</v>
      </c>
      <c r="V3418">
        <v>0.2143552</v>
      </c>
      <c r="W3418">
        <v>2.922864E-2</v>
      </c>
      <c r="X3418">
        <v>0.97631840000000003</v>
      </c>
      <c r="Y3418">
        <v>0.47975810000000002</v>
      </c>
      <c r="Z3418">
        <v>8.5717600000000005E-2</v>
      </c>
      <c r="AA3418">
        <v>0.87320359999999997</v>
      </c>
      <c r="AB3418">
        <v>24</v>
      </c>
      <c r="AC3418">
        <v>-8.7405999999999704</v>
      </c>
      <c r="AD3418">
        <v>-1.101279588518</v>
      </c>
      <c r="AE3418">
        <v>0.22030000000000799</v>
      </c>
      <c r="AF3418">
        <v>4.2863623699682796</v>
      </c>
      <c r="AG3418">
        <v>-1.101279588518</v>
      </c>
      <c r="AH3418">
        <v>7.4635521658530104</v>
      </c>
      <c r="AI3418">
        <v>97.291611898944595</v>
      </c>
      <c r="AJ3418">
        <v>60.130992702281802</v>
      </c>
      <c r="AK3418">
        <v>8.6770000594200596</v>
      </c>
      <c r="AL3418">
        <v>88.325083815257202</v>
      </c>
      <c r="AM3418">
        <v>77.616924926073096</v>
      </c>
      <c r="AN3418">
        <v>1.00000004167092</v>
      </c>
    </row>
    <row r="3419" spans="1:40" x14ac:dyDescent="0.25">
      <c r="A3419" t="str">
        <f>"20190312154623505"</f>
        <v>20190312154623505</v>
      </c>
      <c r="B3419" t="str">
        <f>"1552376783490945"</f>
        <v>1552376783490945</v>
      </c>
      <c r="C3419" t="s">
        <v>40</v>
      </c>
      <c r="D3419">
        <v>4.3283820000000004</v>
      </c>
      <c r="E3419">
        <v>0.60576339999999995</v>
      </c>
      <c r="F3419" t="s">
        <v>42</v>
      </c>
      <c r="G3419">
        <v>-212.3338</v>
      </c>
      <c r="H3419" s="1">
        <v>-4.499458E-6</v>
      </c>
      <c r="I3419">
        <v>143.47460000000001</v>
      </c>
      <c r="J3419">
        <v>-203.58629999999999</v>
      </c>
      <c r="K3419">
        <v>1.1013120000000001</v>
      </c>
      <c r="L3419">
        <v>143.1704</v>
      </c>
      <c r="M3419">
        <v>-0.88552619999999904</v>
      </c>
      <c r="N3419">
        <v>0</v>
      </c>
      <c r="O3419">
        <v>-0.4643524</v>
      </c>
      <c r="P3419">
        <v>-0.96407430000000005</v>
      </c>
      <c r="Q3419">
        <v>1.8011590000000001E-2</v>
      </c>
      <c r="R3419">
        <v>-0.2650227</v>
      </c>
      <c r="S3419">
        <v>-3.151154</v>
      </c>
      <c r="T3419">
        <v>-0.38710339999999999</v>
      </c>
      <c r="U3419">
        <v>7.1517940000000002E-2</v>
      </c>
      <c r="V3419">
        <v>0.21364079999999999</v>
      </c>
      <c r="W3419">
        <v>2.8062779999999999E-2</v>
      </c>
      <c r="X3419">
        <v>0.97650919999999997</v>
      </c>
      <c r="Y3419">
        <v>0.47749560000000002</v>
      </c>
      <c r="Z3419">
        <v>8.4389080000000005E-2</v>
      </c>
      <c r="AA3419">
        <v>0.87457220000000002</v>
      </c>
      <c r="AB3419">
        <v>24</v>
      </c>
      <c r="AC3419">
        <v>-8.7475000000000005</v>
      </c>
      <c r="AD3419">
        <v>-1.101316499458</v>
      </c>
      <c r="AE3419">
        <v>0.30420000000000802</v>
      </c>
      <c r="AF3419">
        <v>4.2642654547282204</v>
      </c>
      <c r="AG3419">
        <v>-1.101316499458</v>
      </c>
      <c r="AH3419">
        <v>7.48718590471979</v>
      </c>
      <c r="AI3419">
        <v>97.283862538243298</v>
      </c>
      <c r="AJ3419">
        <v>60.336678071971697</v>
      </c>
      <c r="AK3419">
        <v>8.6864728556648103</v>
      </c>
      <c r="AL3419">
        <v>88.391910133946297</v>
      </c>
      <c r="AM3419">
        <v>77.659265789411705</v>
      </c>
      <c r="AN3419">
        <v>1.0000000643653</v>
      </c>
    </row>
    <row r="3420" spans="1:40" x14ac:dyDescent="0.25">
      <c r="A3420" t="str">
        <f>"20190312154623527"</f>
        <v>20190312154623527</v>
      </c>
      <c r="B3420" t="str">
        <f>"1552376783521201"</f>
        <v>1552376783521201</v>
      </c>
      <c r="C3420" t="s">
        <v>40</v>
      </c>
      <c r="D3420">
        <v>4.3651609999999996</v>
      </c>
      <c r="E3420">
        <v>0.60412109999999997</v>
      </c>
      <c r="F3420" t="s">
        <v>42</v>
      </c>
      <c r="G3420">
        <v>-213.49369999999999</v>
      </c>
      <c r="H3420" s="1">
        <v>-4.0055930000000003E-6</v>
      </c>
      <c r="I3420">
        <v>143.20150000000001</v>
      </c>
      <c r="J3420">
        <v>-203.81039999999999</v>
      </c>
      <c r="K3420">
        <v>1.1013660000000001</v>
      </c>
      <c r="L3420">
        <v>143.0703</v>
      </c>
      <c r="M3420">
        <v>-0.89168359999999902</v>
      </c>
      <c r="N3420">
        <v>0</v>
      </c>
      <c r="O3420">
        <v>-0.45241609999999999</v>
      </c>
      <c r="P3420">
        <v>-0.96731659999999997</v>
      </c>
      <c r="Q3420">
        <v>1.6830330000000001E-2</v>
      </c>
      <c r="R3420">
        <v>-0.25301240000000003</v>
      </c>
      <c r="S3420">
        <v>-3.1209560000000001</v>
      </c>
      <c r="T3420">
        <v>-0.34692820000000002</v>
      </c>
      <c r="U3420">
        <v>9.7808840000000001E-3</v>
      </c>
      <c r="V3420">
        <v>0.21264939999999999</v>
      </c>
      <c r="W3420">
        <v>2.692166E-2</v>
      </c>
      <c r="X3420">
        <v>0.9767576</v>
      </c>
      <c r="Y3420">
        <v>0.4498586</v>
      </c>
      <c r="Z3420">
        <v>7.3638980000000007E-2</v>
      </c>
      <c r="AA3420">
        <v>0.89005869999999998</v>
      </c>
      <c r="AB3420">
        <v>24</v>
      </c>
      <c r="AC3420">
        <v>-9.6832999999999991</v>
      </c>
      <c r="AD3420">
        <v>-1.101370005593</v>
      </c>
      <c r="AE3420">
        <v>0.13120000000000601</v>
      </c>
      <c r="AF3420">
        <v>4.44092475906477</v>
      </c>
      <c r="AG3420">
        <v>-1.101370005593</v>
      </c>
      <c r="AH3420">
        <v>8.4665186029908597</v>
      </c>
      <c r="AI3420">
        <v>96.571487115494406</v>
      </c>
      <c r="AJ3420">
        <v>62.321738546933901</v>
      </c>
      <c r="AK3420">
        <v>9.6237604843265299</v>
      </c>
      <c r="AL3420">
        <v>88.457316079410404</v>
      </c>
      <c r="AM3420">
        <v>77.717819353349199</v>
      </c>
      <c r="AN3420">
        <v>0.99999997612763702</v>
      </c>
    </row>
    <row r="3421" spans="1:40" x14ac:dyDescent="0.25">
      <c r="A3421" t="str">
        <f>"20190312154623561"</f>
        <v>20190312154623561</v>
      </c>
      <c r="B3421" t="str">
        <f>"1552376783550481"</f>
        <v>1552376783550481</v>
      </c>
      <c r="C3421" t="s">
        <v>40</v>
      </c>
      <c r="D3421">
        <v>4.3183410000000002</v>
      </c>
      <c r="E3421">
        <v>0.59380390000000005</v>
      </c>
      <c r="F3421" t="s">
        <v>42</v>
      </c>
      <c r="G3421">
        <v>-213.79480000000001</v>
      </c>
      <c r="H3421" s="1">
        <v>-3.863679E-6</v>
      </c>
      <c r="I3421">
        <v>143.1866</v>
      </c>
      <c r="J3421">
        <v>-204.14930000000001</v>
      </c>
      <c r="K3421">
        <v>1.101461</v>
      </c>
      <c r="L3421">
        <v>142.92529999999999</v>
      </c>
      <c r="M3421">
        <v>-0.90058959999999999</v>
      </c>
      <c r="N3421">
        <v>0</v>
      </c>
      <c r="O3421">
        <v>-0.43441819999999998</v>
      </c>
      <c r="P3421">
        <v>-0.9718542</v>
      </c>
      <c r="Q3421">
        <v>1.681933E-2</v>
      </c>
      <c r="R3421">
        <v>-0.23498260000000001</v>
      </c>
      <c r="S3421">
        <v>-3.1168520000000002</v>
      </c>
      <c r="T3421">
        <v>-0.34381820000000002</v>
      </c>
      <c r="U3421">
        <v>3.6300659999999998E-2</v>
      </c>
      <c r="V3421">
        <v>0.21118899999999999</v>
      </c>
      <c r="W3421">
        <v>2.6971229999999999E-2</v>
      </c>
      <c r="X3421">
        <v>0.97707310000000003</v>
      </c>
      <c r="Y3421">
        <v>0.4397549</v>
      </c>
      <c r="Z3421">
        <v>7.0737830000000002E-2</v>
      </c>
      <c r="AA3421">
        <v>0.89532769999999995</v>
      </c>
      <c r="AB3421">
        <v>24</v>
      </c>
      <c r="AC3421">
        <v>-9.6454999999999895</v>
      </c>
      <c r="AD3421">
        <v>-1.1014648636790001</v>
      </c>
      <c r="AE3421">
        <v>0.26130000000000497</v>
      </c>
      <c r="AF3421">
        <v>4.3690573352160103</v>
      </c>
      <c r="AG3421">
        <v>-1.1014648636790001</v>
      </c>
      <c r="AH3421">
        <v>8.4637730078865392</v>
      </c>
      <c r="AI3421">
        <v>96.596402410863902</v>
      </c>
      <c r="AJ3421">
        <v>62.696908593539298</v>
      </c>
      <c r="AK3421">
        <v>9.5883961314368396</v>
      </c>
      <c r="AL3421">
        <v>88.454474997467102</v>
      </c>
      <c r="AM3421">
        <v>77.803455543931193</v>
      </c>
      <c r="AN3421">
        <v>1.0000000418561601</v>
      </c>
    </row>
    <row r="3422" spans="1:40" x14ac:dyDescent="0.25">
      <c r="A3422" t="str">
        <f>"20190312154623584"</f>
        <v>20190312154623584</v>
      </c>
      <c r="B3422" t="str">
        <f>"1552376783571444"</f>
        <v>1552376783571444</v>
      </c>
      <c r="C3422" t="s">
        <v>40</v>
      </c>
      <c r="D3422">
        <v>4.2531780000000001</v>
      </c>
      <c r="E3422">
        <v>0.59293680000000004</v>
      </c>
      <c r="F3422" t="s">
        <v>42</v>
      </c>
      <c r="G3422">
        <v>-214.56460000000001</v>
      </c>
      <c r="H3422" s="1">
        <v>-3.443984E-6</v>
      </c>
      <c r="I3422">
        <v>142.9769</v>
      </c>
      <c r="J3422">
        <v>-204.37350000000001</v>
      </c>
      <c r="K3422">
        <v>1.1015269999999999</v>
      </c>
      <c r="L3422">
        <v>142.83349999999999</v>
      </c>
      <c r="M3422">
        <v>-0.90621220000000002</v>
      </c>
      <c r="N3422">
        <v>0</v>
      </c>
      <c r="O3422">
        <v>-0.422564</v>
      </c>
      <c r="P3422">
        <v>-0.97454419999999997</v>
      </c>
      <c r="Q3422">
        <v>1.7958249999999999E-2</v>
      </c>
      <c r="R3422">
        <v>-0.2234758</v>
      </c>
      <c r="S3422">
        <v>-3.0962679999999998</v>
      </c>
      <c r="T3422">
        <v>-0.32744319999999999</v>
      </c>
      <c r="U3422">
        <v>1.5350340000000001E-2</v>
      </c>
      <c r="V3422">
        <v>0.20993039999999999</v>
      </c>
      <c r="W3422">
        <v>2.8158579999999999E-2</v>
      </c>
      <c r="X3422">
        <v>0.97731080000000004</v>
      </c>
      <c r="Y3422">
        <v>0.42249930000000002</v>
      </c>
      <c r="Z3422">
        <v>6.5760079999999999E-2</v>
      </c>
      <c r="AA3422">
        <v>0.90397450000000001</v>
      </c>
      <c r="AB3422">
        <v>24</v>
      </c>
      <c r="AC3422">
        <v>-10.1911</v>
      </c>
      <c r="AD3422">
        <v>-1.1015304439839999</v>
      </c>
      <c r="AE3422">
        <v>0.14340000000001299</v>
      </c>
      <c r="AF3422">
        <v>4.38560248420288</v>
      </c>
      <c r="AG3422">
        <v>-1.1015304439839999</v>
      </c>
      <c r="AH3422">
        <v>9.0697685167612292</v>
      </c>
      <c r="AI3422">
        <v>96.239887095205006</v>
      </c>
      <c r="AJ3422">
        <v>64.194341657723896</v>
      </c>
      <c r="AK3422">
        <v>10.1344747972503</v>
      </c>
      <c r="AL3422">
        <v>88.386418987904406</v>
      </c>
      <c r="AM3422">
        <v>77.876846727742702</v>
      </c>
      <c r="AN3422">
        <v>1.0000000391342001</v>
      </c>
    </row>
    <row r="3423" spans="1:40" x14ac:dyDescent="0.25">
      <c r="A3423" t="str">
        <f>"20190312154623606"</f>
        <v>20190312154623606</v>
      </c>
      <c r="B3423" t="str">
        <f>"1552376783600700"</f>
        <v>1552376783600700</v>
      </c>
      <c r="C3423" t="s">
        <v>40</v>
      </c>
      <c r="D3423">
        <v>4.2631949999999996</v>
      </c>
      <c r="E3423">
        <v>0.58936469999999996</v>
      </c>
      <c r="F3423" t="s">
        <v>42</v>
      </c>
      <c r="G3423">
        <v>-214.95689999999999</v>
      </c>
      <c r="H3423" s="1">
        <v>-3.2617060000000002E-6</v>
      </c>
      <c r="I3423">
        <v>142.98869999999999</v>
      </c>
      <c r="J3423">
        <v>-204.59909999999999</v>
      </c>
      <c r="K3423">
        <v>1.1016079999999999</v>
      </c>
      <c r="L3423">
        <v>142.7448</v>
      </c>
      <c r="M3423">
        <v>-0.91163899999999998</v>
      </c>
      <c r="N3423">
        <v>0</v>
      </c>
      <c r="O3423">
        <v>-0.41072599999999998</v>
      </c>
      <c r="P3423">
        <v>-0.97707359999999999</v>
      </c>
      <c r="Q3423">
        <v>1.844923E-2</v>
      </c>
      <c r="R3423">
        <v>-0.2121007</v>
      </c>
      <c r="S3423">
        <v>-3.0947110000000002</v>
      </c>
      <c r="T3423">
        <v>-0.32210280000000002</v>
      </c>
      <c r="U3423">
        <v>4.5379639999999999E-2</v>
      </c>
      <c r="V3423">
        <v>0.20859440000000001</v>
      </c>
      <c r="W3423">
        <v>2.8702910000000002E-2</v>
      </c>
      <c r="X3423">
        <v>0.97758100000000003</v>
      </c>
      <c r="Y3423">
        <v>0.41970540000000001</v>
      </c>
      <c r="Z3423">
        <v>6.3463359999999996E-2</v>
      </c>
      <c r="AA3423">
        <v>0.90543899999999999</v>
      </c>
      <c r="AB3423">
        <v>24</v>
      </c>
      <c r="AC3423">
        <v>-10.3577999999999</v>
      </c>
      <c r="AD3423">
        <v>-1.1016112617060001</v>
      </c>
      <c r="AE3423">
        <v>0.24389999999999601</v>
      </c>
      <c r="AF3423">
        <v>4.4270071179309296</v>
      </c>
      <c r="AG3423">
        <v>-1.1016112617060001</v>
      </c>
      <c r="AH3423">
        <v>9.2389700707006792</v>
      </c>
      <c r="AI3423">
        <v>96.137335800969595</v>
      </c>
      <c r="AJ3423">
        <v>64.397809292717099</v>
      </c>
      <c r="AK3423">
        <v>10.3039073831936</v>
      </c>
      <c r="AL3423">
        <v>88.355218576318606</v>
      </c>
      <c r="AM3423">
        <v>77.954970266082498</v>
      </c>
      <c r="AN3423">
        <v>1.0000000461574099</v>
      </c>
    </row>
    <row r="3424" spans="1:40" x14ac:dyDescent="0.25">
      <c r="A3424" t="str">
        <f>"20190312154623626"</f>
        <v>20190312154623626</v>
      </c>
      <c r="B3424" t="str">
        <f>"1552376783610460"</f>
        <v>1552376783610460</v>
      </c>
      <c r="C3424" t="s">
        <v>40</v>
      </c>
      <c r="D3424">
        <v>4.2984299999999998</v>
      </c>
      <c r="E3424">
        <v>0.58523449999999999</v>
      </c>
      <c r="F3424" t="s">
        <v>42</v>
      </c>
      <c r="G3424">
        <v>-232.11269999999999</v>
      </c>
      <c r="H3424" s="1">
        <v>-4.2020709999999998E-6</v>
      </c>
      <c r="I3424">
        <v>143.2525</v>
      </c>
      <c r="J3424">
        <v>-204.8022</v>
      </c>
      <c r="K3424">
        <v>1.1016779999999999</v>
      </c>
      <c r="L3424">
        <v>142.6677</v>
      </c>
      <c r="M3424">
        <v>-0.91634450000000001</v>
      </c>
      <c r="N3424">
        <v>0</v>
      </c>
      <c r="O3424">
        <v>-0.40011849999999999</v>
      </c>
      <c r="P3424">
        <v>-0.97935410000000001</v>
      </c>
      <c r="Q3424">
        <v>1.9536850000000001E-2</v>
      </c>
      <c r="R3424">
        <v>-0.20120569999999999</v>
      </c>
      <c r="S3424">
        <v>-3.0850680000000001</v>
      </c>
      <c r="T3424">
        <v>-0.1235223</v>
      </c>
      <c r="U3424">
        <v>5.6930540000000002E-2</v>
      </c>
      <c r="V3424">
        <v>0.2081442</v>
      </c>
      <c r="W3424">
        <v>2.9820139999999998E-2</v>
      </c>
      <c r="X3424">
        <v>0.97764340000000005</v>
      </c>
      <c r="Y3424">
        <v>0.4163615</v>
      </c>
      <c r="Z3424">
        <v>2.4011000000000001E-2</v>
      </c>
      <c r="AA3424">
        <v>0.90888199999999997</v>
      </c>
      <c r="AB3424">
        <v>24</v>
      </c>
      <c r="AC3424">
        <v>-27.310499999999902</v>
      </c>
      <c r="AD3424">
        <v>-1.101682202071</v>
      </c>
      <c r="AE3424">
        <v>0.58480000000000099</v>
      </c>
      <c r="AF3424">
        <v>11.4459470962579</v>
      </c>
      <c r="AG3424">
        <v>-1.101682202071</v>
      </c>
      <c r="AH3424">
        <v>24.754276367195999</v>
      </c>
      <c r="AI3424">
        <v>92.313233740807902</v>
      </c>
      <c r="AJ3424">
        <v>65.184999317714002</v>
      </c>
      <c r="AK3424">
        <v>27.294644292758498</v>
      </c>
      <c r="AL3424">
        <v>88.291178396459401</v>
      </c>
      <c r="AM3424">
        <v>77.980954574566397</v>
      </c>
      <c r="AN3424">
        <v>0.99999993315340696</v>
      </c>
    </row>
    <row r="3425" spans="1:40" x14ac:dyDescent="0.25">
      <c r="A3425" t="str">
        <f>"20190312154623649"</f>
        <v>20190312154623649</v>
      </c>
      <c r="B3425" t="str">
        <f>"1552376783640716"</f>
        <v>1552376783640716</v>
      </c>
      <c r="C3425" t="s">
        <v>40</v>
      </c>
      <c r="D3425">
        <v>4.4038940000000002</v>
      </c>
      <c r="E3425">
        <v>0.58401259999999999</v>
      </c>
      <c r="F3425" t="s">
        <v>42</v>
      </c>
      <c r="G3425">
        <v>-219.59270000000001</v>
      </c>
      <c r="H3425" s="1">
        <v>-1.0571020000000001E-6</v>
      </c>
      <c r="I3425">
        <v>142.93899999999999</v>
      </c>
      <c r="J3425">
        <v>-205.02979999999999</v>
      </c>
      <c r="K3425">
        <v>1.101774</v>
      </c>
      <c r="L3425">
        <v>142.58439999999999</v>
      </c>
      <c r="M3425">
        <v>-0.92140489999999997</v>
      </c>
      <c r="N3425">
        <v>0</v>
      </c>
      <c r="O3425">
        <v>-0.38832410000000001</v>
      </c>
      <c r="P3425">
        <v>-0.98182230000000004</v>
      </c>
      <c r="Q3425">
        <v>2.089537E-2</v>
      </c>
      <c r="R3425">
        <v>-0.18864839999999999</v>
      </c>
      <c r="S3425">
        <v>-3.079437</v>
      </c>
      <c r="T3425">
        <v>-0.22937440000000001</v>
      </c>
      <c r="U3425">
        <v>5.6503299999999999E-2</v>
      </c>
      <c r="V3425">
        <v>0.2081239</v>
      </c>
      <c r="W3425">
        <v>3.1204229999999999E-2</v>
      </c>
      <c r="X3425">
        <v>0.97760460000000005</v>
      </c>
      <c r="Y3425">
        <v>0.40305489999999999</v>
      </c>
      <c r="Z3425">
        <v>4.3309180000000003E-2</v>
      </c>
      <c r="AA3425">
        <v>0.91415049999999998</v>
      </c>
      <c r="AB3425">
        <v>24</v>
      </c>
      <c r="AC3425">
        <v>-14.562900000000001</v>
      </c>
      <c r="AD3425">
        <v>-1.101775057102</v>
      </c>
      <c r="AE3425">
        <v>0.35460000000000402</v>
      </c>
      <c r="AF3425">
        <v>5.9484773924677103</v>
      </c>
      <c r="AG3425">
        <v>-1.101775057102</v>
      </c>
      <c r="AH3425">
        <v>13.2065238570737</v>
      </c>
      <c r="AI3425">
        <v>94.349914838527596</v>
      </c>
      <c r="AJ3425">
        <v>65.752264329973002</v>
      </c>
      <c r="AK3425">
        <v>14.5262026680275</v>
      </c>
      <c r="AL3425">
        <v>88.211839062050899</v>
      </c>
      <c r="AM3425">
        <v>77.981629584199098</v>
      </c>
      <c r="AN3425">
        <v>1.00000000783113</v>
      </c>
    </row>
    <row r="3426" spans="1:40" x14ac:dyDescent="0.25">
      <c r="A3426" t="str">
        <f>"20190312154623806"</f>
        <v>20190312154623806</v>
      </c>
      <c r="B3426" t="str">
        <f>"1552376783800781"</f>
        <v>1552376783800781</v>
      </c>
      <c r="C3426" t="s">
        <v>40</v>
      </c>
      <c r="D3426">
        <v>2.7608489999999999</v>
      </c>
      <c r="E3426">
        <v>0.59046259999999995</v>
      </c>
      <c r="F3426" t="s">
        <v>42</v>
      </c>
      <c r="G3426">
        <v>-230.4999</v>
      </c>
      <c r="H3426" s="1">
        <v>-4.7612649999999997E-6</v>
      </c>
      <c r="I3426">
        <v>143.3109</v>
      </c>
      <c r="J3426">
        <v>-206.6345</v>
      </c>
      <c r="K3426">
        <v>1.1027880000000001</v>
      </c>
      <c r="L3426">
        <v>142.08000000000001</v>
      </c>
      <c r="M3426">
        <v>-0.95082560000000005</v>
      </c>
      <c r="N3426">
        <v>0</v>
      </c>
      <c r="O3426">
        <v>-0.30938700000000002</v>
      </c>
      <c r="P3426">
        <v>-0.99111749999999998</v>
      </c>
      <c r="Q3426">
        <v>1.6920979999999999E-2</v>
      </c>
      <c r="R3426">
        <v>-0.13190829999999901</v>
      </c>
      <c r="S3426">
        <v>-3.0752259999999998</v>
      </c>
      <c r="T3426">
        <v>-0.13302720000000001</v>
      </c>
      <c r="U3426">
        <v>8.772278E-2</v>
      </c>
      <c r="V3426">
        <v>0.1817472</v>
      </c>
      <c r="W3426">
        <v>2.8051340000000001E-2</v>
      </c>
      <c r="X3426">
        <v>0.98294510000000002</v>
      </c>
      <c r="Y3426">
        <v>0.33581149999999999</v>
      </c>
      <c r="Z3426">
        <v>2.048061E-2</v>
      </c>
      <c r="AA3426">
        <v>0.9417065</v>
      </c>
      <c r="AB3426">
        <v>23</v>
      </c>
      <c r="AC3426">
        <v>-23.865399999999902</v>
      </c>
      <c r="AD3426">
        <v>-1.1027927612649999</v>
      </c>
      <c r="AE3426">
        <v>1.2308999999999899</v>
      </c>
      <c r="AF3426">
        <v>8.53673583219833</v>
      </c>
      <c r="AG3426">
        <v>-1.1027927612649999</v>
      </c>
      <c r="AH3426">
        <v>22.265938499760601</v>
      </c>
      <c r="AI3426">
        <v>92.647802027759994</v>
      </c>
      <c r="AJ3426">
        <v>69.023232370852696</v>
      </c>
      <c r="AK3426">
        <v>23.8718249787937</v>
      </c>
      <c r="AL3426">
        <v>88.392565745840699</v>
      </c>
      <c r="AM3426">
        <v>79.524285234494499</v>
      </c>
      <c r="AN3426">
        <v>0.99999999599882206</v>
      </c>
    </row>
    <row r="3427" spans="1:40" x14ac:dyDescent="0.25">
      <c r="A3427" t="str">
        <f>"20190312154623828"</f>
        <v>20190312154623828</v>
      </c>
      <c r="B3427" t="str">
        <f>"1552376783820300"</f>
        <v>1552376783820300</v>
      </c>
      <c r="C3427" t="s">
        <v>40</v>
      </c>
      <c r="D3427">
        <v>4.3126189999999998</v>
      </c>
      <c r="E3427">
        <v>0.56569789999999998</v>
      </c>
      <c r="F3427" t="s">
        <v>42</v>
      </c>
      <c r="G3427">
        <v>-229.13919999999999</v>
      </c>
      <c r="H3427" s="1">
        <v>-1.618015E-6</v>
      </c>
      <c r="I3427">
        <v>144.3759</v>
      </c>
      <c r="J3427">
        <v>-206.85550000000001</v>
      </c>
      <c r="K3427">
        <v>1.102954</v>
      </c>
      <c r="L3427">
        <v>142.02090000000001</v>
      </c>
      <c r="M3427">
        <v>-0.95405379999999995</v>
      </c>
      <c r="N3427">
        <v>0</v>
      </c>
      <c r="O3427">
        <v>-0.2992861</v>
      </c>
      <c r="P3427">
        <v>-0.99203529999999995</v>
      </c>
      <c r="Q3427">
        <v>1.8143840000000001E-2</v>
      </c>
      <c r="R3427">
        <v>-0.12464799999999999</v>
      </c>
      <c r="S3427">
        <v>-3.0711520000000001</v>
      </c>
      <c r="T3427">
        <v>-0.1504945</v>
      </c>
      <c r="U3427">
        <v>0.31332399999999999</v>
      </c>
      <c r="V3427">
        <v>0.17852079999999901</v>
      </c>
      <c r="W3427">
        <v>2.9367819999999999E-2</v>
      </c>
      <c r="X3427">
        <v>0.98349779999999998</v>
      </c>
      <c r="Y3427">
        <v>0.39379229999999998</v>
      </c>
      <c r="Z3427">
        <v>2.4122810000000001E-2</v>
      </c>
      <c r="AA3427">
        <v>0.91888289999999995</v>
      </c>
      <c r="AB3427">
        <v>23</v>
      </c>
      <c r="AC3427">
        <v>-22.2836999999999</v>
      </c>
      <c r="AD3427">
        <v>-1.102955618015</v>
      </c>
      <c r="AE3427">
        <v>2.35499999999998</v>
      </c>
      <c r="AF3427">
        <v>8.8953792864376897</v>
      </c>
      <c r="AG3427">
        <v>-1.102955618015</v>
      </c>
      <c r="AH3427">
        <v>20.507494470718601</v>
      </c>
      <c r="AI3427">
        <v>92.824752503062598</v>
      </c>
      <c r="AJ3427">
        <v>66.550614926120801</v>
      </c>
      <c r="AK3427">
        <v>22.380831378915499</v>
      </c>
      <c r="AL3427">
        <v>88.317105950873497</v>
      </c>
      <c r="AM3427">
        <v>79.7119020933347</v>
      </c>
      <c r="AN3427">
        <v>1.0000000337445101</v>
      </c>
    </row>
    <row r="3428" spans="1:40" x14ac:dyDescent="0.25">
      <c r="A3428" t="str">
        <f>"20190312154623849"</f>
        <v>20190312154623849</v>
      </c>
      <c r="B3428" t="str">
        <f>"1552376783840796"</f>
        <v>1552376783840796</v>
      </c>
      <c r="C3428" t="s">
        <v>40</v>
      </c>
      <c r="D3428">
        <v>4.4409320000000001</v>
      </c>
      <c r="E3428">
        <v>0.5629324</v>
      </c>
      <c r="F3428" t="s">
        <v>42</v>
      </c>
      <c r="G3428">
        <v>-210.9957</v>
      </c>
      <c r="H3428" s="1">
        <v>-4.7840679999999996E-6</v>
      </c>
      <c r="I3428">
        <v>142.1823</v>
      </c>
      <c r="J3428">
        <v>-207.0797</v>
      </c>
      <c r="K3428">
        <v>1.1031089999999999</v>
      </c>
      <c r="L3428">
        <v>141.9633</v>
      </c>
      <c r="M3428">
        <v>-0.9571518</v>
      </c>
      <c r="N3428">
        <v>0</v>
      </c>
      <c r="O3428">
        <v>-0.28922769999999998</v>
      </c>
      <c r="P3428">
        <v>-0.99287110000000001</v>
      </c>
      <c r="Q3428">
        <v>1.8500200000000001E-2</v>
      </c>
      <c r="R3428">
        <v>-0.1177488</v>
      </c>
      <c r="S3428">
        <v>-3.053925</v>
      </c>
      <c r="T3428">
        <v>-0.81356969999999995</v>
      </c>
      <c r="U3428">
        <v>0.1190643</v>
      </c>
      <c r="V3428">
        <v>0.17499629999999999</v>
      </c>
      <c r="W3428">
        <v>2.9816800000000001E-2</v>
      </c>
      <c r="X3428">
        <v>0.98411749999999998</v>
      </c>
      <c r="Y3428">
        <v>0.30577290000000001</v>
      </c>
      <c r="Z3428">
        <v>0.1149916</v>
      </c>
      <c r="AA3428">
        <v>0.9451349</v>
      </c>
      <c r="AB3428">
        <v>23</v>
      </c>
      <c r="AC3428">
        <v>-3.9159999999999902</v>
      </c>
      <c r="AD3428">
        <v>-1.1031137840680001</v>
      </c>
      <c r="AE3428">
        <v>0.21899999999999401</v>
      </c>
      <c r="AF3428">
        <v>1.2439683546044999</v>
      </c>
      <c r="AG3428">
        <v>-1.1031137840680001</v>
      </c>
      <c r="AH3428">
        <v>3.4150999660927299</v>
      </c>
      <c r="AI3428">
        <v>106.88319804978499</v>
      </c>
      <c r="AJ3428">
        <v>69.985577501998804</v>
      </c>
      <c r="AK3428">
        <v>3.7983187157299998</v>
      </c>
      <c r="AL3428">
        <v>88.291369964085703</v>
      </c>
      <c r="AM3428">
        <v>79.917027295460699</v>
      </c>
      <c r="AN3428">
        <v>1.00000000019109</v>
      </c>
    </row>
    <row r="3429" spans="1:40" x14ac:dyDescent="0.25">
      <c r="A3429" t="str">
        <f>"20190312154623873"</f>
        <v>20190312154623873</v>
      </c>
      <c r="B3429" t="str">
        <f>"1552376783871053"</f>
        <v>1552376783871053</v>
      </c>
      <c r="C3429" t="s">
        <v>40</v>
      </c>
      <c r="D3429">
        <v>4.3606030000000002</v>
      </c>
      <c r="E3429">
        <v>0.55717130000000004</v>
      </c>
      <c r="F3429" t="s">
        <v>42</v>
      </c>
      <c r="G3429">
        <v>-212.35820000000001</v>
      </c>
      <c r="H3429" s="1">
        <v>-4.2600809999999998E-6</v>
      </c>
      <c r="I3429">
        <v>142.178</v>
      </c>
      <c r="J3429">
        <v>-207.3271</v>
      </c>
      <c r="K3429">
        <v>1.103264</v>
      </c>
      <c r="L3429">
        <v>141.9024</v>
      </c>
      <c r="M3429">
        <v>-0.96037329999999999</v>
      </c>
      <c r="N3429">
        <v>0</v>
      </c>
      <c r="O3429">
        <v>-0.27834569999999997</v>
      </c>
      <c r="P3429">
        <v>-0.9937935</v>
      </c>
      <c r="Q3429">
        <v>1.8234319999999998E-2</v>
      </c>
      <c r="R3429">
        <v>-0.10973529999999999</v>
      </c>
      <c r="S3429">
        <v>-3.0481410000000002</v>
      </c>
      <c r="T3429">
        <v>-0.63699919999999899</v>
      </c>
      <c r="U3429">
        <v>0.1239624</v>
      </c>
      <c r="V3429">
        <v>0.17174909999999999</v>
      </c>
      <c r="W3429">
        <v>2.9633300000000001E-2</v>
      </c>
      <c r="X3429">
        <v>0.98469499999999999</v>
      </c>
      <c r="Y3429">
        <v>0.30468400000000001</v>
      </c>
      <c r="Z3429">
        <v>8.8508080000000003E-2</v>
      </c>
      <c r="AA3429">
        <v>0.94833219999999996</v>
      </c>
      <c r="AB3429">
        <v>23</v>
      </c>
      <c r="AC3429">
        <v>-5.0311000000000003</v>
      </c>
      <c r="AD3429">
        <v>-1.103268260081</v>
      </c>
      <c r="AE3429">
        <v>0.27559999999999701</v>
      </c>
      <c r="AF3429">
        <v>1.58905054096638</v>
      </c>
      <c r="AG3429">
        <v>-1.103268260081</v>
      </c>
      <c r="AH3429">
        <v>4.5379460739886799</v>
      </c>
      <c r="AI3429">
        <v>102.923337422554</v>
      </c>
      <c r="AJ3429">
        <v>70.701299824905007</v>
      </c>
      <c r="AK3429">
        <v>4.9330758200008402</v>
      </c>
      <c r="AL3429">
        <v>88.301888496696805</v>
      </c>
      <c r="AM3429">
        <v>80.106080906128199</v>
      </c>
      <c r="AN3429">
        <v>1.0000000644223399</v>
      </c>
    </row>
    <row r="3430" spans="1:40" x14ac:dyDescent="0.25">
      <c r="A3430" t="str">
        <f>"20190312154623895"</f>
        <v>20190312154623895</v>
      </c>
      <c r="B3430" t="str">
        <f>"1552376783890572"</f>
        <v>1552376783890572</v>
      </c>
      <c r="C3430" t="s">
        <v>40</v>
      </c>
      <c r="D3430">
        <v>4.2952250000000003</v>
      </c>
      <c r="E3430">
        <v>0.5546565</v>
      </c>
      <c r="F3430" t="s">
        <v>42</v>
      </c>
      <c r="G3430">
        <v>-258.01339999999999</v>
      </c>
      <c r="H3430" s="1">
        <v>-1.9784579999999999E-6</v>
      </c>
      <c r="I3430">
        <v>143.9153</v>
      </c>
      <c r="J3430">
        <v>-207.55340000000001</v>
      </c>
      <c r="K3430">
        <v>1.103405</v>
      </c>
      <c r="L3430">
        <v>141.84899999999999</v>
      </c>
      <c r="M3430">
        <v>-0.96314929999999999</v>
      </c>
      <c r="N3430">
        <v>0</v>
      </c>
      <c r="O3430">
        <v>-0.26858530000000003</v>
      </c>
      <c r="P3430">
        <v>-0.99452759999999996</v>
      </c>
      <c r="Q3430">
        <v>1.7870879999999999E-2</v>
      </c>
      <c r="R3430">
        <v>-0.10293579999999999</v>
      </c>
      <c r="S3430">
        <v>-3.0332789999999998</v>
      </c>
      <c r="T3430">
        <v>-6.6024070000000004E-2</v>
      </c>
      <c r="U3430">
        <v>0.12046809999999999</v>
      </c>
      <c r="V3430">
        <v>0.1684744</v>
      </c>
      <c r="W3430">
        <v>2.9348280000000001E-2</v>
      </c>
      <c r="X3430">
        <v>0.98526899999999995</v>
      </c>
      <c r="Y3430">
        <v>0.30649189999999998</v>
      </c>
      <c r="Z3430">
        <v>9.1308169999999994E-3</v>
      </c>
      <c r="AA3430">
        <v>0.9518295</v>
      </c>
      <c r="AB3430">
        <v>23</v>
      </c>
      <c r="AC3430">
        <v>-50.459999999999901</v>
      </c>
      <c r="AD3430">
        <v>-1.1034069784580001</v>
      </c>
      <c r="AE3430">
        <v>2.0663000000000098</v>
      </c>
      <c r="AF3430">
        <v>15.537148984428701</v>
      </c>
      <c r="AG3430">
        <v>-1.1034069784580001</v>
      </c>
      <c r="AH3430">
        <v>48.027543406642799</v>
      </c>
      <c r="AI3430">
        <v>91.252233752646703</v>
      </c>
      <c r="AJ3430">
        <v>72.073347968395893</v>
      </c>
      <c r="AK3430">
        <v>50.490250853025103</v>
      </c>
      <c r="AL3430">
        <v>88.318225892103101</v>
      </c>
      <c r="AM3430">
        <v>80.296650305220595</v>
      </c>
      <c r="AN3430">
        <v>0.99999997367765803</v>
      </c>
    </row>
    <row r="3431" spans="1:40" x14ac:dyDescent="0.25">
      <c r="A3431" t="str">
        <f>"20190312154623917"</f>
        <v>20190312154623917</v>
      </c>
      <c r="B3431" t="str">
        <f>"1552376783911069"</f>
        <v>1552376783911069</v>
      </c>
      <c r="C3431" t="s">
        <v>40</v>
      </c>
      <c r="D3431">
        <v>4.3483710000000002</v>
      </c>
      <c r="E3431">
        <v>0.55173090000000002</v>
      </c>
      <c r="F3431" t="s">
        <v>42</v>
      </c>
      <c r="G3431">
        <v>-274.56599999999997</v>
      </c>
      <c r="H3431" s="1">
        <v>-3.5963059999999999E-6</v>
      </c>
      <c r="I3431">
        <v>144.54390000000001</v>
      </c>
      <c r="J3431">
        <v>-207.78200000000001</v>
      </c>
      <c r="K3431">
        <v>1.10355</v>
      </c>
      <c r="L3431">
        <v>141.7972</v>
      </c>
      <c r="M3431">
        <v>-0.96579400000000004</v>
      </c>
      <c r="N3431">
        <v>0</v>
      </c>
      <c r="O3431">
        <v>-0.25891609999999998</v>
      </c>
      <c r="P3431">
        <v>-0.99516590000000005</v>
      </c>
      <c r="Q3431">
        <v>1.751583E-2</v>
      </c>
      <c r="R3431">
        <v>-9.663207E-2</v>
      </c>
      <c r="S3431">
        <v>-3.030014</v>
      </c>
      <c r="T3431">
        <v>-4.9891350000000001E-2</v>
      </c>
      <c r="U3431">
        <v>0.1218567</v>
      </c>
      <c r="V3431">
        <v>0.16482249999999901</v>
      </c>
      <c r="W3431">
        <v>2.907707E-2</v>
      </c>
      <c r="X3431">
        <v>0.98589459999999995</v>
      </c>
      <c r="Y3431">
        <v>0.29747210000000002</v>
      </c>
      <c r="Z3431">
        <v>6.6781419999999998E-3</v>
      </c>
      <c r="AA3431">
        <v>0.95470710000000003</v>
      </c>
      <c r="AB3431">
        <v>23</v>
      </c>
      <c r="AC3431">
        <v>-66.783999999999907</v>
      </c>
      <c r="AD3431">
        <v>-1.1035535963059999</v>
      </c>
      <c r="AE3431">
        <v>2.7467000000000001</v>
      </c>
      <c r="AF3431">
        <v>19.9408021997167</v>
      </c>
      <c r="AG3431">
        <v>-1.1035535963059999</v>
      </c>
      <c r="AH3431">
        <v>63.777556859611501</v>
      </c>
      <c r="AI3431">
        <v>90.946140266734105</v>
      </c>
      <c r="AJ3431">
        <v>72.637532956347499</v>
      </c>
      <c r="AK3431">
        <v>66.831356277492404</v>
      </c>
      <c r="AL3431">
        <v>88.333771838473695</v>
      </c>
      <c r="AM3431">
        <v>80.509027030954201</v>
      </c>
      <c r="AN3431">
        <v>1.0000000474075901</v>
      </c>
    </row>
    <row r="3432" spans="1:40" x14ac:dyDescent="0.25">
      <c r="A3432" t="str">
        <f>"20190312154623939"</f>
        <v>20190312154623939</v>
      </c>
      <c r="B3432" t="str">
        <f>"1552376783930588"</f>
        <v>1552376783930588</v>
      </c>
      <c r="C3432" t="s">
        <v>40</v>
      </c>
      <c r="D3432">
        <v>4.3764370000000001</v>
      </c>
      <c r="E3432">
        <v>0.54998539999999996</v>
      </c>
      <c r="F3432" t="s">
        <v>42</v>
      </c>
      <c r="G3432">
        <v>-273.99329999999998</v>
      </c>
      <c r="H3432" s="1">
        <v>-3.7616370000000001E-6</v>
      </c>
      <c r="I3432">
        <v>144.37729999999999</v>
      </c>
      <c r="J3432">
        <v>-208.00630000000001</v>
      </c>
      <c r="K3432">
        <v>1.1037030000000001</v>
      </c>
      <c r="L3432">
        <v>141.74860000000001</v>
      </c>
      <c r="M3432">
        <v>-0.96824410000000005</v>
      </c>
      <c r="N3432">
        <v>0</v>
      </c>
      <c r="O3432">
        <v>-0.24960019999999999</v>
      </c>
      <c r="P3432">
        <v>-0.99578849999999997</v>
      </c>
      <c r="Q3432">
        <v>1.7088539999999999E-2</v>
      </c>
      <c r="R3432">
        <v>-9.0076829999999997E-2</v>
      </c>
      <c r="S3432">
        <v>-3.0268860000000002</v>
      </c>
      <c r="T3432">
        <v>-5.0449609999999999E-2</v>
      </c>
      <c r="U3432">
        <v>0.1179504</v>
      </c>
      <c r="V3432">
        <v>0.16180029999999901</v>
      </c>
      <c r="W3432">
        <v>2.8721500000000001E-2</v>
      </c>
      <c r="X3432">
        <v>0.98640539999999999</v>
      </c>
      <c r="Y3432">
        <v>0.28706759999999998</v>
      </c>
      <c r="Z3432">
        <v>6.5215330000000004E-3</v>
      </c>
      <c r="AA3432">
        <v>0.95788810000000002</v>
      </c>
      <c r="AB3432">
        <v>23</v>
      </c>
      <c r="AC3432">
        <v>-65.986999999999895</v>
      </c>
      <c r="AD3432">
        <v>-1.103706761637</v>
      </c>
      <c r="AE3432">
        <v>2.6286999999999798</v>
      </c>
      <c r="AF3432">
        <v>19.0122125283762</v>
      </c>
      <c r="AG3432">
        <v>-1.103706761637</v>
      </c>
      <c r="AH3432">
        <v>63.2241622374776</v>
      </c>
      <c r="AI3432">
        <v>90.957755065949399</v>
      </c>
      <c r="AJ3432">
        <v>73.263379875476005</v>
      </c>
      <c r="AK3432">
        <v>66.030122553806606</v>
      </c>
      <c r="AL3432">
        <v>88.354152829459693</v>
      </c>
      <c r="AM3432">
        <v>80.684714674724205</v>
      </c>
      <c r="AN3432">
        <v>0.999999937395748</v>
      </c>
    </row>
    <row r="3433" spans="1:40" x14ac:dyDescent="0.25">
      <c r="A3433" t="str">
        <f>"20190312154623964"</f>
        <v>20190312154623964</v>
      </c>
      <c r="B3433" t="str">
        <f>"1552376783960844"</f>
        <v>1552376783960844</v>
      </c>
      <c r="C3433" t="s">
        <v>40</v>
      </c>
      <c r="D3433">
        <v>4.4165960000000002</v>
      </c>
      <c r="E3433">
        <v>0.54807659999999903</v>
      </c>
      <c r="F3433" t="s">
        <v>42</v>
      </c>
      <c r="G3433">
        <v>-267.74869999999999</v>
      </c>
      <c r="H3433" s="1">
        <v>-2.167974E-6</v>
      </c>
      <c r="I3433">
        <v>144.20070000000001</v>
      </c>
      <c r="J3433">
        <v>-208.2593</v>
      </c>
      <c r="K3433">
        <v>1.1038730000000001</v>
      </c>
      <c r="L3433">
        <v>141.6961</v>
      </c>
      <c r="M3433">
        <v>-0.97084749999999997</v>
      </c>
      <c r="N3433">
        <v>0</v>
      </c>
      <c r="O3433">
        <v>-0.2392764</v>
      </c>
      <c r="P3433">
        <v>-0.99652790000000002</v>
      </c>
      <c r="Q3433">
        <v>1.66994E-2</v>
      </c>
      <c r="R3433">
        <v>-8.1567399999999998E-2</v>
      </c>
      <c r="S3433">
        <v>-3.0248870000000001</v>
      </c>
      <c r="T3433">
        <v>-5.5883049999999997E-2</v>
      </c>
      <c r="U3433">
        <v>0.1241608</v>
      </c>
      <c r="V3433">
        <v>0.15970619999999999</v>
      </c>
      <c r="W3433">
        <v>2.83869E-2</v>
      </c>
      <c r="X3433">
        <v>0.98675639999999998</v>
      </c>
      <c r="Y3433">
        <v>0.27883160000000001</v>
      </c>
      <c r="Z3433">
        <v>6.9658890000000003E-3</v>
      </c>
      <c r="AA3433">
        <v>0.96031480000000002</v>
      </c>
      <c r="AB3433">
        <v>23</v>
      </c>
      <c r="AC3433">
        <v>-59.489399999999897</v>
      </c>
      <c r="AD3433">
        <v>-1.103875167974</v>
      </c>
      <c r="AE3433">
        <v>2.5046000000000102</v>
      </c>
      <c r="AF3433">
        <v>16.661950235120699</v>
      </c>
      <c r="AG3433">
        <v>-1.103875167974</v>
      </c>
      <c r="AH3433">
        <v>57.141975140922703</v>
      </c>
      <c r="AI3433">
        <v>91.0624730098464</v>
      </c>
      <c r="AJ3433">
        <v>73.743916020734304</v>
      </c>
      <c r="AK3433">
        <v>59.5318775869696</v>
      </c>
      <c r="AL3433">
        <v>88.373331985310998</v>
      </c>
      <c r="AM3433">
        <v>80.806419910028197</v>
      </c>
      <c r="AN3433">
        <v>1.0000000396755</v>
      </c>
    </row>
    <row r="3434" spans="1:40" x14ac:dyDescent="0.25">
      <c r="A3434" t="str">
        <f>"20190312154623991"</f>
        <v>20190312154623991</v>
      </c>
      <c r="B3434" t="str">
        <f>"1552376783980364"</f>
        <v>1552376783980364</v>
      </c>
      <c r="C3434" t="s">
        <v>40</v>
      </c>
      <c r="D3434">
        <v>4.4304860000000001</v>
      </c>
      <c r="E3434">
        <v>0.54697209999999996</v>
      </c>
      <c r="F3434" t="s">
        <v>42</v>
      </c>
      <c r="G3434">
        <v>-261.33780000000002</v>
      </c>
      <c r="H3434" s="1">
        <v>-4.6094749999999996E-6</v>
      </c>
      <c r="I3434">
        <v>144.0626</v>
      </c>
      <c r="J3434">
        <v>-208.5102</v>
      </c>
      <c r="K3434">
        <v>1.1040129999999999</v>
      </c>
      <c r="L3434">
        <v>141.64680000000001</v>
      </c>
      <c r="M3434">
        <v>-0.97326710000000005</v>
      </c>
      <c r="N3434">
        <v>0</v>
      </c>
      <c r="O3434">
        <v>-0.22923830000000001</v>
      </c>
      <c r="P3434">
        <v>-0.99716959999999999</v>
      </c>
      <c r="Q3434">
        <v>1.6775559999999998E-2</v>
      </c>
      <c r="R3434">
        <v>-7.3289740000000006E-2</v>
      </c>
      <c r="S3434">
        <v>-3.0225219999999999</v>
      </c>
      <c r="T3434">
        <v>-6.2859650000000003E-2</v>
      </c>
      <c r="U3434">
        <v>0.13476560000000001</v>
      </c>
      <c r="V3434">
        <v>0.1577006</v>
      </c>
      <c r="W3434">
        <v>2.8507970000000001E-2</v>
      </c>
      <c r="X3434">
        <v>0.98707540000000005</v>
      </c>
      <c r="Y3434">
        <v>0.27228249999999998</v>
      </c>
      <c r="Z3434">
        <v>7.568656E-3</v>
      </c>
      <c r="AA3434">
        <v>0.96218760000000003</v>
      </c>
      <c r="AB3434">
        <v>23</v>
      </c>
      <c r="AC3434">
        <v>-52.827599999999997</v>
      </c>
      <c r="AD3434">
        <v>-1.1040176094749901</v>
      </c>
      <c r="AE3434">
        <v>2.4157999999999902</v>
      </c>
      <c r="AF3434">
        <v>14.4564804732913</v>
      </c>
      <c r="AG3434">
        <v>-1.1040176094749901</v>
      </c>
      <c r="AH3434">
        <v>50.844522484705898</v>
      </c>
      <c r="AI3434">
        <v>91.196493176830202</v>
      </c>
      <c r="AJ3434">
        <v>74.128107348266099</v>
      </c>
      <c r="AK3434">
        <v>52.871297972098702</v>
      </c>
      <c r="AL3434">
        <v>88.366392335789598</v>
      </c>
      <c r="AM3434">
        <v>80.922823752767897</v>
      </c>
      <c r="AN3434">
        <v>1.00000001443952</v>
      </c>
    </row>
    <row r="3435" spans="1:40" x14ac:dyDescent="0.25">
      <c r="A3435" t="str">
        <f>"20190312154624016"</f>
        <v>20190312154624016</v>
      </c>
      <c r="B3435" t="str">
        <f>"1552376784010620"</f>
        <v>1552376784010620</v>
      </c>
      <c r="C3435" t="s">
        <v>40</v>
      </c>
      <c r="D3435">
        <v>4.4109319999999999</v>
      </c>
      <c r="E3435">
        <v>0.54461250000000005</v>
      </c>
      <c r="F3435" t="s">
        <v>42</v>
      </c>
      <c r="G3435">
        <v>-261.09140000000002</v>
      </c>
      <c r="H3435" s="1">
        <v>-4.7311369999999999E-6</v>
      </c>
      <c r="I3435">
        <v>144.2758</v>
      </c>
      <c r="J3435">
        <v>-208.7979</v>
      </c>
      <c r="K3435">
        <v>1.104123</v>
      </c>
      <c r="L3435">
        <v>141.5933</v>
      </c>
      <c r="M3435">
        <v>-0.97587360000000001</v>
      </c>
      <c r="N3435">
        <v>0</v>
      </c>
      <c r="O3435">
        <v>-0.2178783</v>
      </c>
      <c r="P3435">
        <v>-0.99781240000000004</v>
      </c>
      <c r="Q3435">
        <v>1.6507850000000001E-2</v>
      </c>
      <c r="R3435">
        <v>-6.4014680000000004E-2</v>
      </c>
      <c r="S3435">
        <v>-3.0206759999999999</v>
      </c>
      <c r="T3435">
        <v>-6.3423400000000005E-2</v>
      </c>
      <c r="U3435">
        <v>0.15103150000000001</v>
      </c>
      <c r="V3435">
        <v>0.1553612</v>
      </c>
      <c r="W3435">
        <v>2.827965E-2</v>
      </c>
      <c r="X3435">
        <v>0.98745289999999997</v>
      </c>
      <c r="Y3435">
        <v>0.26625910000000003</v>
      </c>
      <c r="Z3435">
        <v>7.343395E-3</v>
      </c>
      <c r="AA3435">
        <v>0.96387350000000005</v>
      </c>
      <c r="AB3435">
        <v>23</v>
      </c>
      <c r="AC3435">
        <v>-52.293500000000002</v>
      </c>
      <c r="AD3435">
        <v>-1.1041277311369999</v>
      </c>
      <c r="AE3435">
        <v>2.6825000000000001</v>
      </c>
      <c r="AF3435">
        <v>14.006571716591599</v>
      </c>
      <c r="AG3435">
        <v>-1.1041277311369999</v>
      </c>
      <c r="AH3435">
        <v>50.430004227103197</v>
      </c>
      <c r="AI3435">
        <v>91.208515541244097</v>
      </c>
      <c r="AJ3435">
        <v>74.477748339488599</v>
      </c>
      <c r="AK3435">
        <v>52.350630136077001</v>
      </c>
      <c r="AL3435">
        <v>88.379479418482006</v>
      </c>
      <c r="AM3435">
        <v>81.058649672224803</v>
      </c>
      <c r="AN3435">
        <v>1.00000003539398</v>
      </c>
    </row>
    <row r="3436" spans="1:40" x14ac:dyDescent="0.25">
      <c r="A3436" t="str">
        <f>"20190312154624053"</f>
        <v>20190312154624053</v>
      </c>
      <c r="B3436" t="str">
        <f>"1552376784040876"</f>
        <v>1552376784040876</v>
      </c>
      <c r="C3436" t="s">
        <v>40</v>
      </c>
      <c r="D3436">
        <v>4.4782510000000002</v>
      </c>
      <c r="E3436">
        <v>0.5420161</v>
      </c>
      <c r="F3436" t="s">
        <v>42</v>
      </c>
      <c r="G3436">
        <v>-261.0856</v>
      </c>
      <c r="H3436" s="1">
        <v>-4.7505800000000002E-6</v>
      </c>
      <c r="I3436">
        <v>144.3741</v>
      </c>
      <c r="J3436">
        <v>-209.17789999999999</v>
      </c>
      <c r="K3436">
        <v>1.1042099999999999</v>
      </c>
      <c r="L3436">
        <v>141.52760000000001</v>
      </c>
      <c r="M3436">
        <v>-0.97906789999999999</v>
      </c>
      <c r="N3436">
        <v>0</v>
      </c>
      <c r="O3436">
        <v>-0.20304620000000001</v>
      </c>
      <c r="P3436">
        <v>-0.99839710000000004</v>
      </c>
      <c r="Q3436">
        <v>1.486468E-2</v>
      </c>
      <c r="R3436">
        <v>-5.4611739999999999E-2</v>
      </c>
      <c r="S3436">
        <v>-3.0179140000000002</v>
      </c>
      <c r="T3436">
        <v>-6.3727499999999895E-2</v>
      </c>
      <c r="U3436">
        <v>0.16050719999999999</v>
      </c>
      <c r="V3436">
        <v>0.14965290000000001</v>
      </c>
      <c r="W3436">
        <v>2.6714789999999999E-2</v>
      </c>
      <c r="X3436">
        <v>0.98837759999999997</v>
      </c>
      <c r="Y3436">
        <v>0.2546814</v>
      </c>
      <c r="Z3436">
        <v>6.9545479999999996E-3</v>
      </c>
      <c r="AA3436">
        <v>0.96699999999999997</v>
      </c>
      <c r="AB3436">
        <v>23</v>
      </c>
      <c r="AC3436">
        <v>-51.907699999999998</v>
      </c>
      <c r="AD3436">
        <v>-1.10421475058</v>
      </c>
      <c r="AE3436">
        <v>2.84649999999999</v>
      </c>
      <c r="AF3436">
        <v>13.3218890324287</v>
      </c>
      <c r="AG3436">
        <v>-1.10421475058</v>
      </c>
      <c r="AH3436">
        <v>50.2255136662966</v>
      </c>
      <c r="AI3436">
        <v>91.217370875039194</v>
      </c>
      <c r="AJ3436">
        <v>75.144846375830397</v>
      </c>
      <c r="AK3436">
        <v>51.973976571464</v>
      </c>
      <c r="AL3436">
        <v>88.469173121066603</v>
      </c>
      <c r="AM3436">
        <v>81.390091401026595</v>
      </c>
      <c r="AN3436">
        <v>0.99999997533245599</v>
      </c>
    </row>
    <row r="3437" spans="1:40" x14ac:dyDescent="0.25">
      <c r="A3437" t="str">
        <f>"20190312154624074"</f>
        <v>20190312154624074</v>
      </c>
      <c r="B3437" t="str">
        <f>"1552376784060397"</f>
        <v>1552376784060397</v>
      </c>
      <c r="C3437" t="s">
        <v>40</v>
      </c>
      <c r="D3437">
        <v>4.498704</v>
      </c>
      <c r="E3437">
        <v>0.54052440000000002</v>
      </c>
      <c r="F3437" t="s">
        <v>42</v>
      </c>
      <c r="G3437">
        <v>-256.21699999999998</v>
      </c>
      <c r="H3437" s="1">
        <v>-2.8144180000000002E-6</v>
      </c>
      <c r="I3437">
        <v>144.16079999999999</v>
      </c>
      <c r="J3437">
        <v>-209.3965</v>
      </c>
      <c r="K3437">
        <v>1.104247</v>
      </c>
      <c r="L3437">
        <v>141.4924</v>
      </c>
      <c r="M3437">
        <v>-0.98078889999999996</v>
      </c>
      <c r="N3437">
        <v>0</v>
      </c>
      <c r="O3437">
        <v>-0.19456390000000001</v>
      </c>
      <c r="P3437">
        <v>-0.99869350000000001</v>
      </c>
      <c r="Q3437">
        <v>1.4709E-2</v>
      </c>
      <c r="R3437">
        <v>-4.8936609999999998E-2</v>
      </c>
      <c r="S3437">
        <v>-3.0151059999999998</v>
      </c>
      <c r="T3437">
        <v>-7.0777770000000004E-2</v>
      </c>
      <c r="U3437">
        <v>0.16879269999999999</v>
      </c>
      <c r="V3437">
        <v>0.1467098</v>
      </c>
      <c r="W3437">
        <v>2.659276E-2</v>
      </c>
      <c r="X3437">
        <v>0.98882199999999998</v>
      </c>
      <c r="Y3437">
        <v>0.24898380000000001</v>
      </c>
      <c r="Z3437">
        <v>7.4674090000000004E-3</v>
      </c>
      <c r="AA3437">
        <v>0.96847890000000003</v>
      </c>
      <c r="AB3437">
        <v>23</v>
      </c>
      <c r="AC3437">
        <v>-46.820499999999903</v>
      </c>
      <c r="AD3437">
        <v>-1.104249814418</v>
      </c>
      <c r="AE3437">
        <v>2.6683999999999899</v>
      </c>
      <c r="AF3437">
        <v>11.721378633451</v>
      </c>
      <c r="AG3437">
        <v>-1.104249814418</v>
      </c>
      <c r="AH3437">
        <v>45.381187216012201</v>
      </c>
      <c r="AI3437">
        <v>91.349615746807899</v>
      </c>
      <c r="AJ3437">
        <v>75.517745704001797</v>
      </c>
      <c r="AK3437">
        <v>46.883496433778497</v>
      </c>
      <c r="AL3437">
        <v>88.476167362344796</v>
      </c>
      <c r="AM3437">
        <v>81.560690719659704</v>
      </c>
      <c r="AN3437">
        <v>0.99999994399222703</v>
      </c>
    </row>
    <row r="3438" spans="1:40" x14ac:dyDescent="0.25">
      <c r="A3438" t="str">
        <f>"20190312154624095"</f>
        <v>20190312154624095</v>
      </c>
      <c r="B3438" t="str">
        <f>"1552376784090652"</f>
        <v>1552376784090652</v>
      </c>
      <c r="C3438" t="s">
        <v>40</v>
      </c>
      <c r="D3438">
        <v>4.5235190000000003</v>
      </c>
      <c r="E3438">
        <v>0.53833310000000001</v>
      </c>
      <c r="F3438" t="s">
        <v>42</v>
      </c>
      <c r="G3438">
        <v>-255.45419999999999</v>
      </c>
      <c r="H3438" s="1">
        <v>-3.1399420000000001E-6</v>
      </c>
      <c r="I3438">
        <v>144.15440000000001</v>
      </c>
      <c r="J3438">
        <v>-209.61940000000001</v>
      </c>
      <c r="K3438">
        <v>1.1042780000000001</v>
      </c>
      <c r="L3438">
        <v>141.45849999999999</v>
      </c>
      <c r="M3438">
        <v>-0.98246460000000002</v>
      </c>
      <c r="N3438">
        <v>0</v>
      </c>
      <c r="O3438">
        <v>-0.18592</v>
      </c>
      <c r="P3438">
        <v>-0.99891839999999998</v>
      </c>
      <c r="Q3438">
        <v>1.406166E-2</v>
      </c>
      <c r="R3438">
        <v>-4.4320749999999999E-2</v>
      </c>
      <c r="S3438">
        <v>-3.0135350000000001</v>
      </c>
      <c r="T3438">
        <v>-7.2250599999999998E-2</v>
      </c>
      <c r="U3438">
        <v>0.1741791</v>
      </c>
      <c r="V3438">
        <v>0.14256179999999999</v>
      </c>
      <c r="W3438">
        <v>2.5997389999999999E-2</v>
      </c>
      <c r="X3438">
        <v>0.9894444</v>
      </c>
      <c r="Y3438">
        <v>0.24220240000000001</v>
      </c>
      <c r="Z3438">
        <v>7.3405969999999999E-3</v>
      </c>
      <c r="AA3438">
        <v>0.970198</v>
      </c>
      <c r="AB3438">
        <v>23</v>
      </c>
      <c r="AC3438">
        <v>-45.834799999999902</v>
      </c>
      <c r="AD3438">
        <v>-1.1042811399420001</v>
      </c>
      <c r="AE3438">
        <v>2.6959000000000199</v>
      </c>
      <c r="AF3438">
        <v>11.1648747499707</v>
      </c>
      <c r="AG3438">
        <v>-1.1042811399420001</v>
      </c>
      <c r="AH3438">
        <v>44.508488859188297</v>
      </c>
      <c r="AI3438">
        <v>91.378555791650101</v>
      </c>
      <c r="AJ3438">
        <v>75.918025583950595</v>
      </c>
      <c r="AK3438">
        <v>45.900756481206798</v>
      </c>
      <c r="AL3438">
        <v>88.510291399784293</v>
      </c>
      <c r="AM3438">
        <v>81.801095788773694</v>
      </c>
      <c r="AN3438">
        <v>0.99999997589870504</v>
      </c>
    </row>
    <row r="3439" spans="1:40" x14ac:dyDescent="0.25">
      <c r="A3439" t="str">
        <f>"20190312154624118"</f>
        <v>20190312154624118</v>
      </c>
      <c r="B3439" t="str">
        <f>"1552376784111149"</f>
        <v>1552376784111149</v>
      </c>
      <c r="C3439" t="s">
        <v>40</v>
      </c>
      <c r="D3439">
        <v>4.4863119999999999</v>
      </c>
      <c r="E3439">
        <v>0.53771800000000003</v>
      </c>
      <c r="F3439" t="s">
        <v>42</v>
      </c>
      <c r="G3439">
        <v>-252.88659999999999</v>
      </c>
      <c r="H3439" s="1">
        <v>-4.0561890000000001E-6</v>
      </c>
      <c r="I3439">
        <v>143.91470000000001</v>
      </c>
      <c r="J3439">
        <v>-209.8586</v>
      </c>
      <c r="K3439">
        <v>1.1042909999999999</v>
      </c>
      <c r="L3439">
        <v>141.42429999999999</v>
      </c>
      <c r="M3439">
        <v>-0.98417540000000003</v>
      </c>
      <c r="N3439">
        <v>0</v>
      </c>
      <c r="O3439">
        <v>-0.17664150000000001</v>
      </c>
      <c r="P3439">
        <v>-0.99909369999999997</v>
      </c>
      <c r="Q3439">
        <v>1.3785560000000001E-2</v>
      </c>
      <c r="R3439">
        <v>-4.0275940000000003E-2</v>
      </c>
      <c r="S3439">
        <v>-3.0119319999999998</v>
      </c>
      <c r="T3439">
        <v>-7.6871750000000003E-2</v>
      </c>
      <c r="U3439">
        <v>0.17099</v>
      </c>
      <c r="V3439">
        <v>0.13722479999999901</v>
      </c>
      <c r="W3439">
        <v>2.579147E-2</v>
      </c>
      <c r="X3439">
        <v>0.99020410000000003</v>
      </c>
      <c r="Y3439">
        <v>0.2320305</v>
      </c>
      <c r="Z3439">
        <v>7.4503269999999996E-3</v>
      </c>
      <c r="AA3439">
        <v>0.97267999999999999</v>
      </c>
      <c r="AB3439">
        <v>23</v>
      </c>
      <c r="AC3439">
        <v>-43.027999999999899</v>
      </c>
      <c r="AD3439">
        <v>-1.1042950561889999</v>
      </c>
      <c r="AE3439">
        <v>2.4904000000000202</v>
      </c>
      <c r="AF3439">
        <v>10.0459140492081</v>
      </c>
      <c r="AG3439">
        <v>-1.1042950561889999</v>
      </c>
      <c r="AH3439">
        <v>41.883814910635202</v>
      </c>
      <c r="AI3439">
        <v>91.468656609980499</v>
      </c>
      <c r="AJ3439">
        <v>76.512288454952596</v>
      </c>
      <c r="AK3439">
        <v>43.0858887354497</v>
      </c>
      <c r="AL3439">
        <v>88.522093744077097</v>
      </c>
      <c r="AM3439">
        <v>82.110069646259305</v>
      </c>
      <c r="AN3439">
        <v>1.0000000026583</v>
      </c>
    </row>
    <row r="3440" spans="1:40" x14ac:dyDescent="0.25">
      <c r="A3440" t="str">
        <f>"20190312154624141"</f>
        <v>20190312154624141</v>
      </c>
      <c r="B3440" t="str">
        <f>"1552376784130668"</f>
        <v>1552376784130668</v>
      </c>
      <c r="C3440" t="s">
        <v>40</v>
      </c>
      <c r="D3440">
        <v>4.508699</v>
      </c>
      <c r="E3440">
        <v>0.52075150000000003</v>
      </c>
      <c r="F3440" t="s">
        <v>42</v>
      </c>
      <c r="G3440">
        <v>-253.16200000000001</v>
      </c>
      <c r="H3440" s="1">
        <v>-3.9774869999999999E-6</v>
      </c>
      <c r="I3440">
        <v>143.99940000000001</v>
      </c>
      <c r="J3440">
        <v>-210.08879999999999</v>
      </c>
      <c r="K3440">
        <v>1.1042970000000001</v>
      </c>
      <c r="L3440">
        <v>141.39349999999999</v>
      </c>
      <c r="M3440">
        <v>-0.98573730000000004</v>
      </c>
      <c r="N3440">
        <v>0</v>
      </c>
      <c r="O3440">
        <v>-0.167708</v>
      </c>
      <c r="P3440">
        <v>-0.9992202</v>
      </c>
      <c r="Q3440">
        <v>1.499021E-2</v>
      </c>
      <c r="R3440">
        <v>-3.653286E-2</v>
      </c>
      <c r="S3440">
        <v>-3.011002</v>
      </c>
      <c r="T3440">
        <v>-7.6784610000000003E-2</v>
      </c>
      <c r="U3440">
        <v>0.1790619</v>
      </c>
      <c r="V3440">
        <v>0.1319631</v>
      </c>
      <c r="W3440">
        <v>2.7066570000000002E-2</v>
      </c>
      <c r="X3440">
        <v>0.99088500000000002</v>
      </c>
      <c r="Y3440">
        <v>0.22582459999999999</v>
      </c>
      <c r="Z3440">
        <v>7.1392349999999999E-3</v>
      </c>
      <c r="AA3440">
        <v>0.97414179999999995</v>
      </c>
      <c r="AB3440">
        <v>23</v>
      </c>
      <c r="AC3440">
        <v>-43.0732</v>
      </c>
      <c r="AD3440">
        <v>-1.1043009774869901</v>
      </c>
      <c r="AE3440">
        <v>2.6059000000000201</v>
      </c>
      <c r="AF3440">
        <v>9.7870033744367895</v>
      </c>
      <c r="AG3440">
        <v>-1.1043009774869901</v>
      </c>
      <c r="AH3440">
        <v>41.998443667813397</v>
      </c>
      <c r="AI3440">
        <v>91.466895001842204</v>
      </c>
      <c r="AJ3440">
        <v>76.882323926222</v>
      </c>
      <c r="AK3440">
        <v>43.1378509689415</v>
      </c>
      <c r="AL3440">
        <v>88.449010313313593</v>
      </c>
      <c r="AM3440">
        <v>82.414157118748605</v>
      </c>
      <c r="AN3440">
        <v>0.999999971099087</v>
      </c>
    </row>
    <row r="3441" spans="1:40" x14ac:dyDescent="0.25">
      <c r="A3441" t="str">
        <f>"20190312154624164"</f>
        <v>20190312154624164</v>
      </c>
      <c r="B3441" t="str">
        <f>"1552376784151164"</f>
        <v>1552376784151164</v>
      </c>
      <c r="C3441" t="s">
        <v>40</v>
      </c>
      <c r="D3441">
        <v>4.5723949999999904</v>
      </c>
      <c r="E3441">
        <v>0.52028079999999999</v>
      </c>
      <c r="F3441" t="s">
        <v>42</v>
      </c>
      <c r="G3441">
        <v>-239.6206</v>
      </c>
      <c r="H3441" s="1">
        <v>-7.6307709999999999E-7</v>
      </c>
      <c r="I3441">
        <v>141.93889999999999</v>
      </c>
      <c r="J3441">
        <v>-210.33369999999999</v>
      </c>
      <c r="K3441">
        <v>1.104317</v>
      </c>
      <c r="L3441">
        <v>141.3631</v>
      </c>
      <c r="M3441">
        <v>-0.98730410000000002</v>
      </c>
      <c r="N3441">
        <v>0</v>
      </c>
      <c r="O3441">
        <v>-0.15822310000000001</v>
      </c>
      <c r="P3441">
        <v>-0.99938360000000004</v>
      </c>
      <c r="Q3441">
        <v>1.6747459999999999E-2</v>
      </c>
      <c r="R3441">
        <v>-3.0854590000000001E-2</v>
      </c>
      <c r="S3441">
        <v>-3.0060579999999999</v>
      </c>
      <c r="T3441">
        <v>-0.11240700000000001</v>
      </c>
      <c r="U3441">
        <v>5.5526730000000003E-2</v>
      </c>
      <c r="V3441">
        <v>0.1280828</v>
      </c>
      <c r="W3441">
        <v>2.887545E-2</v>
      </c>
      <c r="X3441">
        <v>0.99134299999999997</v>
      </c>
      <c r="Y3441">
        <v>0.17621429999999999</v>
      </c>
      <c r="Z3441">
        <v>9.1911330000000006E-3</v>
      </c>
      <c r="AA3441">
        <v>0.98430890000000004</v>
      </c>
      <c r="AB3441">
        <v>23</v>
      </c>
      <c r="AC3441">
        <v>-29.286899999999999</v>
      </c>
      <c r="AD3441">
        <v>-1.1043177630770999</v>
      </c>
      <c r="AE3441">
        <v>0.57579999999998599</v>
      </c>
      <c r="AF3441">
        <v>5.1954797558530501</v>
      </c>
      <c r="AG3441">
        <v>-1.1043177630770999</v>
      </c>
      <c r="AH3441">
        <v>28.785885461996301</v>
      </c>
      <c r="AI3441">
        <v>92.1620710737851</v>
      </c>
      <c r="AJ3441">
        <v>79.768998042951594</v>
      </c>
      <c r="AK3441">
        <v>29.271824839707101</v>
      </c>
      <c r="AL3441">
        <v>88.345328536706603</v>
      </c>
      <c r="AM3441">
        <v>82.638094316534605</v>
      </c>
      <c r="AN3441">
        <v>0.99999996945877001</v>
      </c>
    </row>
    <row r="3442" spans="1:40" x14ac:dyDescent="0.25">
      <c r="A3442" t="str">
        <f>"20190312154624188"</f>
        <v>20190312154624188</v>
      </c>
      <c r="B3442" t="str">
        <f>"1552376784180444"</f>
        <v>1552376784180444</v>
      </c>
      <c r="C3442" t="s">
        <v>40</v>
      </c>
      <c r="D3442">
        <v>4.5512610000000002</v>
      </c>
      <c r="E3442">
        <v>0.51970760000000005</v>
      </c>
      <c r="F3442" t="s">
        <v>42</v>
      </c>
      <c r="G3442">
        <v>-241.3064</v>
      </c>
      <c r="H3442" s="1">
        <v>-4.2670239999999998E-6</v>
      </c>
      <c r="I3442">
        <v>142.0718</v>
      </c>
      <c r="J3442">
        <v>-210.57470000000001</v>
      </c>
      <c r="K3442">
        <v>1.1043559999999999</v>
      </c>
      <c r="L3442">
        <v>141.3355</v>
      </c>
      <c r="M3442">
        <v>-0.98874569999999995</v>
      </c>
      <c r="N3442">
        <v>0</v>
      </c>
      <c r="O3442">
        <v>-0.14895129999999901</v>
      </c>
      <c r="P3442">
        <v>-0.99955559999999999</v>
      </c>
      <c r="Q3442">
        <v>1.706096E-2</v>
      </c>
      <c r="R3442">
        <v>-2.4448919999999999E-2</v>
      </c>
      <c r="S3442">
        <v>-3.0057680000000002</v>
      </c>
      <c r="T3442">
        <v>-0.10716970000000001</v>
      </c>
      <c r="U3442">
        <v>6.8786620000000007E-2</v>
      </c>
      <c r="V3442">
        <v>0.12513260000000001</v>
      </c>
      <c r="W3442">
        <v>2.9231500000000001E-2</v>
      </c>
      <c r="X3442">
        <v>0.99170930000000002</v>
      </c>
      <c r="Y3442">
        <v>0.17134739999999901</v>
      </c>
      <c r="Z3442">
        <v>8.3496190000000008E-3</v>
      </c>
      <c r="AA3442">
        <v>0.98517529999999998</v>
      </c>
      <c r="AB3442">
        <v>23</v>
      </c>
      <c r="AC3442">
        <v>-30.731699999999901</v>
      </c>
      <c r="AD3442">
        <v>-1.10436026702399</v>
      </c>
      <c r="AE3442">
        <v>0.73629999999999995</v>
      </c>
      <c r="AF3442">
        <v>5.2992193971199502</v>
      </c>
      <c r="AG3442">
        <v>-1.10436026702399</v>
      </c>
      <c r="AH3442">
        <v>30.240094034626601</v>
      </c>
      <c r="AI3442">
        <v>92.060132441319794</v>
      </c>
      <c r="AJ3442">
        <v>80.060513178543303</v>
      </c>
      <c r="AK3442">
        <v>30.720752351484698</v>
      </c>
      <c r="AL3442">
        <v>88.324919795960696</v>
      </c>
      <c r="AM3442">
        <v>82.808497229271296</v>
      </c>
      <c r="AN3442">
        <v>0.99999999194074995</v>
      </c>
    </row>
    <row r="3443" spans="1:40" x14ac:dyDescent="0.25">
      <c r="A3443" t="str">
        <f>"20190312154624230"</f>
        <v>20190312154624230</v>
      </c>
      <c r="B3443" t="str">
        <f>"1552376784220461"</f>
        <v>1552376784220461</v>
      </c>
      <c r="C3443" t="s">
        <v>40</v>
      </c>
      <c r="D3443">
        <v>4.595046</v>
      </c>
      <c r="E3443">
        <v>0.51862779999999997</v>
      </c>
      <c r="F3443" t="s">
        <v>42</v>
      </c>
      <c r="G3443">
        <v>-240.55879999999999</v>
      </c>
      <c r="H3443" s="1">
        <v>-4.5382970000000004E-6</v>
      </c>
      <c r="I3443">
        <v>142.1669</v>
      </c>
      <c r="J3443">
        <v>-211.0078</v>
      </c>
      <c r="K3443">
        <v>1.1044700000000001</v>
      </c>
      <c r="L3443">
        <v>141.29150000000001</v>
      </c>
      <c r="M3443">
        <v>-0.99108649999999998</v>
      </c>
      <c r="N3443">
        <v>0</v>
      </c>
      <c r="O3443">
        <v>-0.13248740000000001</v>
      </c>
      <c r="P3443">
        <v>-0.99979119999999999</v>
      </c>
      <c r="Q3443">
        <v>1.445108E-2</v>
      </c>
      <c r="R3443">
        <v>-1.4445110000000001E-2</v>
      </c>
      <c r="S3443">
        <v>-3.0052639999999999</v>
      </c>
      <c r="T3443">
        <v>-0.1106886</v>
      </c>
      <c r="U3443">
        <v>8.3328250000000006E-2</v>
      </c>
      <c r="V3443">
        <v>0.1185203</v>
      </c>
      <c r="W3443">
        <v>2.672718E-2</v>
      </c>
      <c r="X3443">
        <v>0.99259189999999997</v>
      </c>
      <c r="Y3443">
        <v>0.159724</v>
      </c>
      <c r="Z3443">
        <v>7.8089190000000001E-3</v>
      </c>
      <c r="AA3443">
        <v>0.98713079999999997</v>
      </c>
      <c r="AB3443">
        <v>23</v>
      </c>
      <c r="AC3443">
        <v>-29.550999999999899</v>
      </c>
      <c r="AD3443">
        <v>-1.104474538297</v>
      </c>
      <c r="AE3443">
        <v>0.87539999999998397</v>
      </c>
      <c r="AF3443">
        <v>4.7765312859742002</v>
      </c>
      <c r="AG3443">
        <v>-1.104474538297</v>
      </c>
      <c r="AH3443">
        <v>29.133795584453299</v>
      </c>
      <c r="AI3443">
        <v>92.142490540505605</v>
      </c>
      <c r="AJ3443">
        <v>80.689103728907895</v>
      </c>
      <c r="AK3443">
        <v>29.5434114531201</v>
      </c>
      <c r="AL3443">
        <v>88.468463074596997</v>
      </c>
      <c r="AM3443">
        <v>83.190843726245703</v>
      </c>
      <c r="AN3443">
        <v>1.0000000418042201</v>
      </c>
    </row>
    <row r="3444" spans="1:40" x14ac:dyDescent="0.25">
      <c r="A3444" t="str">
        <f>"20190312154624251"</f>
        <v>20190312154624251</v>
      </c>
      <c r="B3444" t="str">
        <f>"1552376784240957"</f>
        <v>1552376784240957</v>
      </c>
      <c r="C3444" t="s">
        <v>40</v>
      </c>
      <c r="D3444">
        <v>4.6228009999999999</v>
      </c>
      <c r="E3444">
        <v>0.51817769999999996</v>
      </c>
      <c r="F3444" t="s">
        <v>42</v>
      </c>
      <c r="G3444">
        <v>-237.36259999999999</v>
      </c>
      <c r="H3444" s="1">
        <v>-1.803347E-6</v>
      </c>
      <c r="I3444">
        <v>142.208</v>
      </c>
      <c r="J3444">
        <v>-211.23609999999999</v>
      </c>
      <c r="K3444">
        <v>1.1045739999999999</v>
      </c>
      <c r="L3444">
        <v>141.27099999999999</v>
      </c>
      <c r="M3444">
        <v>-0.99218550000000005</v>
      </c>
      <c r="N3444">
        <v>0</v>
      </c>
      <c r="O3444">
        <v>-0.1239927</v>
      </c>
      <c r="P3444">
        <v>-0.99986120000000001</v>
      </c>
      <c r="Q3444">
        <v>1.43153E-2</v>
      </c>
      <c r="R3444">
        <v>-8.5326180000000005E-3</v>
      </c>
      <c r="S3444">
        <v>-3.0039669999999998</v>
      </c>
      <c r="T3444">
        <v>-0.12588949999999999</v>
      </c>
      <c r="U3444">
        <v>0.1044769</v>
      </c>
      <c r="V3444">
        <v>0.1158781</v>
      </c>
      <c r="W3444">
        <v>2.6638999999999999E-2</v>
      </c>
      <c r="X3444">
        <v>0.99290619999999996</v>
      </c>
      <c r="Y3444">
        <v>0.15817290000000001</v>
      </c>
      <c r="Z3444">
        <v>8.4975320000000003E-3</v>
      </c>
      <c r="AA3444">
        <v>0.9873748</v>
      </c>
      <c r="AB3444">
        <v>23</v>
      </c>
      <c r="AC3444">
        <v>-26.1265</v>
      </c>
      <c r="AD3444">
        <v>-1.1045758033469999</v>
      </c>
      <c r="AE3444">
        <v>0.93699999999998296</v>
      </c>
      <c r="AF3444">
        <v>4.1621470427624399</v>
      </c>
      <c r="AG3444">
        <v>-1.1045758033469999</v>
      </c>
      <c r="AH3444">
        <v>25.762663805769201</v>
      </c>
      <c r="AI3444">
        <v>92.423668611423906</v>
      </c>
      <c r="AJ3444">
        <v>80.822743366068707</v>
      </c>
      <c r="AK3444">
        <v>26.120076609382402</v>
      </c>
      <c r="AL3444">
        <v>88.473517222482897</v>
      </c>
      <c r="AM3444">
        <v>83.343352217550802</v>
      </c>
      <c r="AN3444">
        <v>1.00000004618952</v>
      </c>
    </row>
    <row r="3445" spans="1:40" x14ac:dyDescent="0.25">
      <c r="A3445" t="str">
        <f>"20190312154624299"</f>
        <v>20190312154624299</v>
      </c>
      <c r="B3445" t="str">
        <f>"1552376784290733"</f>
        <v>1552376784290733</v>
      </c>
      <c r="C3445" t="s">
        <v>40</v>
      </c>
      <c r="D3445">
        <v>4.6535950000000001</v>
      </c>
      <c r="E3445">
        <v>0.51159579999999905</v>
      </c>
      <c r="F3445" t="s">
        <v>42</v>
      </c>
      <c r="G3445">
        <v>-236.7664</v>
      </c>
      <c r="H3445" s="1">
        <v>-2.0758889999999998E-6</v>
      </c>
      <c r="I3445">
        <v>142.27109999999999</v>
      </c>
      <c r="J3445">
        <v>-211.71879999999999</v>
      </c>
      <c r="K3445">
        <v>1.104889</v>
      </c>
      <c r="L3445">
        <v>141.23330000000001</v>
      </c>
      <c r="M3445">
        <v>-0.99419539999999995</v>
      </c>
      <c r="N3445">
        <v>0</v>
      </c>
      <c r="O3445">
        <v>-0.1066921</v>
      </c>
      <c r="P3445">
        <v>-0.99990990000000002</v>
      </c>
      <c r="Q3445">
        <v>1.342541E-2</v>
      </c>
      <c r="R3445">
        <v>4.0340949999999998E-4</v>
      </c>
      <c r="S3445">
        <v>-3.0032809999999999</v>
      </c>
      <c r="T3445">
        <v>-0.12993750000000001</v>
      </c>
      <c r="U3445">
        <v>0.1176605</v>
      </c>
      <c r="V3445">
        <v>0.10742</v>
      </c>
      <c r="W3445">
        <v>2.5902060000000001E-2</v>
      </c>
      <c r="X3445">
        <v>0.99387630000000005</v>
      </c>
      <c r="Y3445">
        <v>0.14530899999999999</v>
      </c>
      <c r="Z3445">
        <v>7.7491180000000002E-3</v>
      </c>
      <c r="AA3445">
        <v>0.98935600000000001</v>
      </c>
      <c r="AB3445">
        <v>23</v>
      </c>
      <c r="AC3445">
        <v>-25.047599999999999</v>
      </c>
      <c r="AD3445">
        <v>-1.104891075889</v>
      </c>
      <c r="AE3445">
        <v>1.0377999999999701</v>
      </c>
      <c r="AF3445">
        <v>3.6973311624343301</v>
      </c>
      <c r="AG3445">
        <v>-1.104891075889</v>
      </c>
      <c r="AH3445">
        <v>24.745798917146999</v>
      </c>
      <c r="AI3445">
        <v>92.528507581521495</v>
      </c>
      <c r="AJ3445">
        <v>81.502158955663006</v>
      </c>
      <c r="AK3445">
        <v>25.044871851581998</v>
      </c>
      <c r="AL3445">
        <v>88.5157553363631</v>
      </c>
      <c r="AM3445">
        <v>83.831311390821398</v>
      </c>
      <c r="AN3445">
        <v>1.0000000364069599</v>
      </c>
    </row>
    <row r="3446" spans="1:40" x14ac:dyDescent="0.25">
      <c r="A3446" t="str">
        <f>"20190312154624320"</f>
        <v>20190312154624320</v>
      </c>
      <c r="B3446" t="str">
        <f>"1552376784311229"</f>
        <v>1552376784311229</v>
      </c>
      <c r="C3446" t="s">
        <v>40</v>
      </c>
      <c r="D3446">
        <v>4.6098369999999997</v>
      </c>
      <c r="E3446">
        <v>0.51128999999999902</v>
      </c>
      <c r="F3446" t="s">
        <v>42</v>
      </c>
      <c r="G3446">
        <v>-233.28489999999999</v>
      </c>
      <c r="H3446" s="1">
        <v>-3.465305E-6</v>
      </c>
      <c r="I3446">
        <v>141.87960000000001</v>
      </c>
      <c r="J3446">
        <v>-211.9375</v>
      </c>
      <c r="K3446">
        <v>1.1050770000000001</v>
      </c>
      <c r="L3446">
        <v>141.21860000000001</v>
      </c>
      <c r="M3446">
        <v>-0.99496620000000002</v>
      </c>
      <c r="N3446">
        <v>0</v>
      </c>
      <c r="O3446">
        <v>-9.9250110000000002E-2</v>
      </c>
      <c r="P3446">
        <v>-0.99991410000000003</v>
      </c>
      <c r="Q3446">
        <v>1.2716409999999999E-2</v>
      </c>
      <c r="R3446">
        <v>3.1760920000000002E-3</v>
      </c>
      <c r="S3446">
        <v>-3.0023040000000001</v>
      </c>
      <c r="T3446">
        <v>-0.15381710000000001</v>
      </c>
      <c r="U3446">
        <v>8.9981080000000005E-2</v>
      </c>
      <c r="V3446">
        <v>0.102717</v>
      </c>
      <c r="W3446">
        <v>2.5276179999999999E-2</v>
      </c>
      <c r="X3446">
        <v>0.99438939999999998</v>
      </c>
      <c r="Y3446">
        <v>0.1287257</v>
      </c>
      <c r="Z3446">
        <v>8.3710980000000004E-3</v>
      </c>
      <c r="AA3446">
        <v>0.99164490000000005</v>
      </c>
      <c r="AB3446">
        <v>23</v>
      </c>
      <c r="AC3446">
        <v>-21.3474</v>
      </c>
      <c r="AD3446">
        <v>-1.1050804653049999</v>
      </c>
      <c r="AE3446">
        <v>0.66100000000000103</v>
      </c>
      <c r="AF3446">
        <v>2.7692567123077101</v>
      </c>
      <c r="AG3446">
        <v>-1.1050804653049999</v>
      </c>
      <c r="AH3446">
        <v>21.1198246367791</v>
      </c>
      <c r="AI3446">
        <v>92.969856088617405</v>
      </c>
      <c r="AJ3446">
        <v>82.529924637302003</v>
      </c>
      <c r="AK3446">
        <v>21.3292517042151</v>
      </c>
      <c r="AL3446">
        <v>88.551627272891395</v>
      </c>
      <c r="AM3446">
        <v>84.1024599044909</v>
      </c>
      <c r="AN3446">
        <v>0.99999997309837496</v>
      </c>
    </row>
    <row r="3447" spans="1:40" x14ac:dyDescent="0.25">
      <c r="A3447" t="str">
        <f>"20190312154624340"</f>
        <v>20190312154624340</v>
      </c>
      <c r="B3447" t="str">
        <f>"1552376784330748"</f>
        <v>1552376784330748</v>
      </c>
      <c r="C3447" t="s">
        <v>40</v>
      </c>
      <c r="D3447">
        <v>4.6084990000000001</v>
      </c>
      <c r="E3447">
        <v>0.51108370000000003</v>
      </c>
      <c r="F3447" t="s">
        <v>42</v>
      </c>
      <c r="G3447">
        <v>-233.0898</v>
      </c>
      <c r="H3447" s="1">
        <v>-3.551982E-6</v>
      </c>
      <c r="I3447">
        <v>141.89089999999999</v>
      </c>
      <c r="J3447">
        <v>-212.15350000000001</v>
      </c>
      <c r="K3447">
        <v>1.1052959999999901</v>
      </c>
      <c r="L3447">
        <v>141.2054</v>
      </c>
      <c r="M3447">
        <v>-0.99564450000000004</v>
      </c>
      <c r="N3447">
        <v>0</v>
      </c>
      <c r="O3447">
        <v>-9.2202080000000006E-2</v>
      </c>
      <c r="P3447">
        <v>-0.99989709999999998</v>
      </c>
      <c r="Q3447">
        <v>1.272537E-2</v>
      </c>
      <c r="R3447">
        <v>6.6262400000000003E-3</v>
      </c>
      <c r="S3447">
        <v>-3.0019680000000002</v>
      </c>
      <c r="T3447">
        <v>-0.15683459999999999</v>
      </c>
      <c r="U3447">
        <v>9.5413209999999998E-2</v>
      </c>
      <c r="V3447">
        <v>9.9090999999999999E-2</v>
      </c>
      <c r="W3447">
        <v>2.5355309999999999E-2</v>
      </c>
      <c r="X3447">
        <v>0.99475530000000001</v>
      </c>
      <c r="Y3447">
        <v>0.12350270000000001</v>
      </c>
      <c r="Z3447">
        <v>8.032707E-3</v>
      </c>
      <c r="AA3447">
        <v>0.99231170000000002</v>
      </c>
      <c r="AB3447">
        <v>23</v>
      </c>
      <c r="AC3447">
        <v>-20.9362999999999</v>
      </c>
      <c r="AD3447">
        <v>-1.1052995519819999</v>
      </c>
      <c r="AE3447">
        <v>0.68549999999999001</v>
      </c>
      <c r="AF3447">
        <v>2.6058788314787402</v>
      </c>
      <c r="AG3447">
        <v>-1.1052995519819999</v>
      </c>
      <c r="AH3447">
        <v>20.726185264996101</v>
      </c>
      <c r="AI3447">
        <v>93.028814578010497</v>
      </c>
      <c r="AJ3447">
        <v>82.833871430622693</v>
      </c>
      <c r="AK3447">
        <v>20.9185813864827</v>
      </c>
      <c r="AL3447">
        <v>88.547092061394807</v>
      </c>
      <c r="AM3447">
        <v>84.311336518831595</v>
      </c>
      <c r="AN3447">
        <v>1.00000001245214</v>
      </c>
    </row>
    <row r="3448" spans="1:40" x14ac:dyDescent="0.25">
      <c r="A3448" t="str">
        <f>"20190312154624365"</f>
        <v>20190312154624365</v>
      </c>
      <c r="B3448" t="str">
        <f>"1552376784361005"</f>
        <v>1552376784361005</v>
      </c>
      <c r="C3448" t="s">
        <v>40</v>
      </c>
      <c r="D3448">
        <v>4.5885600000000002</v>
      </c>
      <c r="E3448">
        <v>0.5097718</v>
      </c>
      <c r="F3448" t="s">
        <v>42</v>
      </c>
      <c r="G3448">
        <v>-233.24719999999999</v>
      </c>
      <c r="H3448" s="1">
        <v>-3.4957499999999999E-6</v>
      </c>
      <c r="I3448">
        <v>141.9333</v>
      </c>
      <c r="J3448">
        <v>-212.41</v>
      </c>
      <c r="K3448">
        <v>1.105615</v>
      </c>
      <c r="L3448">
        <v>141.19120000000001</v>
      </c>
      <c r="M3448">
        <v>-0.99634290000000003</v>
      </c>
      <c r="N3448">
        <v>0</v>
      </c>
      <c r="O3448">
        <v>-8.4328269999999997E-2</v>
      </c>
      <c r="P3448">
        <v>-0.99984289999999998</v>
      </c>
      <c r="Q3448">
        <v>1.357824E-2</v>
      </c>
      <c r="R3448">
        <v>1.139518E-2</v>
      </c>
      <c r="S3448">
        <v>-3.0016020000000001</v>
      </c>
      <c r="T3448">
        <v>-0.15728310000000001</v>
      </c>
      <c r="U3448">
        <v>0.10357669999999999</v>
      </c>
      <c r="V3448">
        <v>9.5958189999999999E-2</v>
      </c>
      <c r="W3448">
        <v>2.6279589999999999E-2</v>
      </c>
      <c r="X3448">
        <v>0.99503839999999999</v>
      </c>
      <c r="Y3448">
        <v>0.11837209999999999</v>
      </c>
      <c r="Z3448">
        <v>7.5108029999999999E-3</v>
      </c>
      <c r="AA3448">
        <v>0.99294090000000002</v>
      </c>
      <c r="AB3448">
        <v>23</v>
      </c>
      <c r="AC3448">
        <v>-20.837199999999999</v>
      </c>
      <c r="AD3448">
        <v>-1.1056184957499999</v>
      </c>
      <c r="AE3448">
        <v>0.74209999999999299</v>
      </c>
      <c r="AF3448">
        <v>2.4897870271642901</v>
      </c>
      <c r="AG3448">
        <v>-1.1056184957499999</v>
      </c>
      <c r="AH3448">
        <v>20.6423367152602</v>
      </c>
      <c r="AI3448">
        <v>93.043854631336799</v>
      </c>
      <c r="AJ3448">
        <v>83.122460729941693</v>
      </c>
      <c r="AK3448">
        <v>20.821323127144399</v>
      </c>
      <c r="AL3448">
        <v>88.494117046820904</v>
      </c>
      <c r="AM3448">
        <v>84.491619701082001</v>
      </c>
      <c r="AN3448">
        <v>1.0000000042766</v>
      </c>
    </row>
    <row r="3449" spans="1:40" x14ac:dyDescent="0.25">
      <c r="A3449" t="str">
        <f>"20190312154624389"</f>
        <v>20190312154624389</v>
      </c>
      <c r="B3449" t="str">
        <f>"1552376784380525"</f>
        <v>1552376784380525</v>
      </c>
      <c r="C3449" t="s">
        <v>40</v>
      </c>
      <c r="D3449">
        <v>4.6093190000000002</v>
      </c>
      <c r="E3449">
        <v>0.50609819999999905</v>
      </c>
      <c r="F3449" t="s">
        <v>42</v>
      </c>
      <c r="G3449">
        <v>-233.65190000000001</v>
      </c>
      <c r="H3449" s="1">
        <v>-3.3247589999999998E-6</v>
      </c>
      <c r="I3449">
        <v>141.94309999999999</v>
      </c>
      <c r="J3449">
        <v>-212.64580000000001</v>
      </c>
      <c r="K3449">
        <v>1.1059270000000001</v>
      </c>
      <c r="L3449">
        <v>141.17949999999999</v>
      </c>
      <c r="M3449">
        <v>-0.99689039999999995</v>
      </c>
      <c r="N3449">
        <v>0</v>
      </c>
      <c r="O3449">
        <v>-7.7594679999999999E-2</v>
      </c>
      <c r="P3449">
        <v>-0.99978100000000003</v>
      </c>
      <c r="Q3449">
        <v>1.417535E-2</v>
      </c>
      <c r="R3449">
        <v>1.53914E-2</v>
      </c>
      <c r="S3449">
        <v>-3.0013890000000001</v>
      </c>
      <c r="T3449">
        <v>-0.15621940000000001</v>
      </c>
      <c r="U3449">
        <v>0.10624690000000001</v>
      </c>
      <c r="V3449">
        <v>9.3195680000000003E-2</v>
      </c>
      <c r="W3449">
        <v>2.6938819999999999E-2</v>
      </c>
      <c r="X3449">
        <v>0.99528329999999998</v>
      </c>
      <c r="Y3449">
        <v>0.11256670000000001</v>
      </c>
      <c r="Z3449">
        <v>6.9600490000000003E-3</v>
      </c>
      <c r="AA3449">
        <v>0.99361980000000005</v>
      </c>
      <c r="AB3449">
        <v>23</v>
      </c>
      <c r="AC3449">
        <v>-21.0061</v>
      </c>
      <c r="AD3449">
        <v>-1.105930324759</v>
      </c>
      <c r="AE3449">
        <v>0.76359999999999595</v>
      </c>
      <c r="AF3449">
        <v>2.3848110946940602</v>
      </c>
      <c r="AG3449">
        <v>-1.105930324759</v>
      </c>
      <c r="AH3449">
        <v>20.8258482215147</v>
      </c>
      <c r="AI3449">
        <v>93.020064957377699</v>
      </c>
      <c r="AJ3449">
        <v>83.467396272312001</v>
      </c>
      <c r="AK3449">
        <v>20.9911019240573</v>
      </c>
      <c r="AL3449">
        <v>88.456332550095297</v>
      </c>
      <c r="AM3449">
        <v>84.650573771304593</v>
      </c>
      <c r="AN3449">
        <v>0.99999999102627202</v>
      </c>
    </row>
    <row r="3450" spans="1:40" x14ac:dyDescent="0.25">
      <c r="A3450" t="str">
        <f>"20190312154624432"</f>
        <v>20190312154624432</v>
      </c>
      <c r="B3450" t="str">
        <f>"1552376784420541"</f>
        <v>1552376784420541</v>
      </c>
      <c r="C3450" t="s">
        <v>40</v>
      </c>
      <c r="D3450">
        <v>4.5542299999999996</v>
      </c>
      <c r="E3450">
        <v>0.50611930000000005</v>
      </c>
      <c r="F3450" t="s">
        <v>42</v>
      </c>
      <c r="G3450">
        <v>-233.8638</v>
      </c>
      <c r="H3450" s="1">
        <v>-3.1956809999999999E-6</v>
      </c>
      <c r="I3450">
        <v>141.7997</v>
      </c>
      <c r="J3450">
        <v>-213.08099999999999</v>
      </c>
      <c r="K3450">
        <v>1.1064309999999999</v>
      </c>
      <c r="L3450">
        <v>141.16059999999999</v>
      </c>
      <c r="M3450">
        <v>-0.99771240000000005</v>
      </c>
      <c r="N3450">
        <v>0</v>
      </c>
      <c r="O3450">
        <v>-6.6208690000000001E-2</v>
      </c>
      <c r="P3450">
        <v>-0.99967249999999996</v>
      </c>
      <c r="Q3450">
        <v>1.1600259999999999E-2</v>
      </c>
      <c r="R3450">
        <v>2.2821879999999999E-2</v>
      </c>
      <c r="S3450">
        <v>-3.0015260000000001</v>
      </c>
      <c r="T3450">
        <v>-0.1564469</v>
      </c>
      <c r="U3450">
        <v>8.7738040000000003E-2</v>
      </c>
      <c r="V3450">
        <v>8.9175039999999997E-2</v>
      </c>
      <c r="W3450">
        <v>2.444578E-2</v>
      </c>
      <c r="X3450">
        <v>0.99571589999999999</v>
      </c>
      <c r="Y3450">
        <v>9.5122289999999998E-2</v>
      </c>
      <c r="Z3450">
        <v>5.9239389999999996E-3</v>
      </c>
      <c r="AA3450">
        <v>0.995448</v>
      </c>
      <c r="AB3450">
        <v>23</v>
      </c>
      <c r="AC3450">
        <v>-20.782800000000002</v>
      </c>
      <c r="AD3450">
        <v>-1.106434195681</v>
      </c>
      <c r="AE3450">
        <v>0.63910000000001299</v>
      </c>
      <c r="AF3450">
        <v>2.0081413691536998</v>
      </c>
      <c r="AG3450">
        <v>-1.106434195681</v>
      </c>
      <c r="AH3450">
        <v>20.636437672968398</v>
      </c>
      <c r="AI3450">
        <v>93.054605959471402</v>
      </c>
      <c r="AJ3450">
        <v>84.442020348906595</v>
      </c>
      <c r="AK3450">
        <v>20.763414656992001</v>
      </c>
      <c r="AL3450">
        <v>88.599220394885805</v>
      </c>
      <c r="AM3450">
        <v>84.882316844444404</v>
      </c>
      <c r="AN3450">
        <v>0.99999996871580898</v>
      </c>
    </row>
    <row r="3451" spans="1:40" x14ac:dyDescent="0.25">
      <c r="A3451" t="str">
        <f>"20190312154624453"</f>
        <v>20190312154624453</v>
      </c>
      <c r="B3451" t="str">
        <f>"1552376784441037"</f>
        <v>1552376784441037</v>
      </c>
      <c r="C3451" t="s">
        <v>40</v>
      </c>
      <c r="D3451">
        <v>4.5417630000000004</v>
      </c>
      <c r="E3451">
        <v>0.50586149999999996</v>
      </c>
      <c r="F3451" t="s">
        <v>42</v>
      </c>
      <c r="G3451">
        <v>-232.8914</v>
      </c>
      <c r="H3451" s="1">
        <v>-3.6352669999999999E-6</v>
      </c>
      <c r="I3451">
        <v>141.88399999999999</v>
      </c>
      <c r="J3451">
        <v>-213.31190000000001</v>
      </c>
      <c r="K3451">
        <v>1.106662</v>
      </c>
      <c r="L3451">
        <v>141.15199999999999</v>
      </c>
      <c r="M3451">
        <v>-0.99806059999999996</v>
      </c>
      <c r="N3451">
        <v>0</v>
      </c>
      <c r="O3451">
        <v>-6.0741200000000002E-2</v>
      </c>
      <c r="P3451">
        <v>-0.99956900000000004</v>
      </c>
      <c r="Q3451">
        <v>1.245958E-2</v>
      </c>
      <c r="R3451">
        <v>2.6580889999999999E-2</v>
      </c>
      <c r="S3451">
        <v>-3.0004119999999999</v>
      </c>
      <c r="T3451">
        <v>-0.1675769</v>
      </c>
      <c r="U3451">
        <v>0.1095734</v>
      </c>
      <c r="V3451">
        <v>8.7454820000000003E-2</v>
      </c>
      <c r="W3451">
        <v>2.5334329999999999E-2</v>
      </c>
      <c r="X3451">
        <v>0.99584629999999996</v>
      </c>
      <c r="Y3451">
        <v>9.6888699999999994E-2</v>
      </c>
      <c r="Z3451">
        <v>6.0910679999999998E-3</v>
      </c>
      <c r="AA3451">
        <v>0.99527659999999996</v>
      </c>
      <c r="AB3451">
        <v>23</v>
      </c>
      <c r="AC3451">
        <v>-19.579499999999999</v>
      </c>
      <c r="AD3451">
        <v>-1.1066656352669999</v>
      </c>
      <c r="AE3451">
        <v>0.73199999999997001</v>
      </c>
      <c r="AF3451">
        <v>1.91393491266426</v>
      </c>
      <c r="AG3451">
        <v>-1.1066656352669999</v>
      </c>
      <c r="AH3451">
        <v>19.436865781816401</v>
      </c>
      <c r="AI3451">
        <v>93.243047564426206</v>
      </c>
      <c r="AJ3451">
        <v>84.376253257711994</v>
      </c>
      <c r="AK3451">
        <v>19.562198421919302</v>
      </c>
      <c r="AL3451">
        <v>88.548294514651005</v>
      </c>
      <c r="AM3451">
        <v>84.981183523005399</v>
      </c>
      <c r="AN3451">
        <v>1.0000000135207301</v>
      </c>
    </row>
    <row r="3452" spans="1:40" x14ac:dyDescent="0.25">
      <c r="A3452" t="str">
        <f>"20190312154624476"</f>
        <v>20190312154624476</v>
      </c>
      <c r="B3452" t="str">
        <f>"1552376784470317"</f>
        <v>1552376784470317</v>
      </c>
      <c r="C3452" t="s">
        <v>40</v>
      </c>
      <c r="D3452">
        <v>4.5213780000000003</v>
      </c>
      <c r="E3452">
        <v>0.50561540000000005</v>
      </c>
      <c r="F3452" t="s">
        <v>42</v>
      </c>
      <c r="G3452">
        <v>-233.42910000000001</v>
      </c>
      <c r="H3452" s="1">
        <v>-3.421646E-6</v>
      </c>
      <c r="I3452">
        <v>141.94810000000001</v>
      </c>
      <c r="J3452">
        <v>-213.5438</v>
      </c>
      <c r="K3452">
        <v>1.106897</v>
      </c>
      <c r="L3452">
        <v>141.14410000000001</v>
      </c>
      <c r="M3452">
        <v>-0.99835910000000005</v>
      </c>
      <c r="N3452">
        <v>0</v>
      </c>
      <c r="O3452">
        <v>-5.5631720000000003E-2</v>
      </c>
      <c r="P3452">
        <v>-0.99941610000000003</v>
      </c>
      <c r="Q3452">
        <v>1.519653E-2</v>
      </c>
      <c r="R3452">
        <v>3.061169E-2</v>
      </c>
      <c r="S3452">
        <v>-3.0001980000000001</v>
      </c>
      <c r="T3452">
        <v>-0.16504340000000001</v>
      </c>
      <c r="U3452">
        <v>0.1187439</v>
      </c>
      <c r="V3452">
        <v>8.6376590000000003E-2</v>
      </c>
      <c r="W3452">
        <v>2.8090899999999999E-2</v>
      </c>
      <c r="X3452">
        <v>0.99586649999999999</v>
      </c>
      <c r="Y3452">
        <v>9.4852549999999994E-2</v>
      </c>
      <c r="Z3452">
        <v>5.6627469999999897E-3</v>
      </c>
      <c r="AA3452">
        <v>0.9954752</v>
      </c>
      <c r="AB3452">
        <v>23</v>
      </c>
      <c r="AC3452">
        <v>-19.885300000000001</v>
      </c>
      <c r="AD3452">
        <v>-1.1069004216459899</v>
      </c>
      <c r="AE3452">
        <v>0.80400000000000205</v>
      </c>
      <c r="AF3452">
        <v>1.9032224854445701</v>
      </c>
      <c r="AG3452">
        <v>-1.1069004216459899</v>
      </c>
      <c r="AH3452">
        <v>19.748675474929399</v>
      </c>
      <c r="AI3452">
        <v>93.193270826913306</v>
      </c>
      <c r="AJ3452">
        <v>84.495281905407197</v>
      </c>
      <c r="AK3452">
        <v>19.871025826227999</v>
      </c>
      <c r="AL3452">
        <v>88.3902983180066</v>
      </c>
      <c r="AM3452">
        <v>85.042850290426799</v>
      </c>
      <c r="AN3452">
        <v>1.0000000498925401</v>
      </c>
    </row>
    <row r="3453" spans="1:40" x14ac:dyDescent="0.25">
      <c r="A3453" t="str">
        <f>"20190312154624499"</f>
        <v>20190312154624499</v>
      </c>
      <c r="B3453" t="str">
        <f>"1552376784490813"</f>
        <v>1552376784490813</v>
      </c>
      <c r="C3453" t="s">
        <v>40</v>
      </c>
      <c r="D3453">
        <v>4.4933199999999998</v>
      </c>
      <c r="E3453">
        <v>0.50521899999999997</v>
      </c>
      <c r="F3453" t="s">
        <v>42</v>
      </c>
      <c r="G3453">
        <v>-235.3416</v>
      </c>
      <c r="H3453" s="1">
        <v>-2.6355380000000002E-6</v>
      </c>
      <c r="I3453">
        <v>142.0771</v>
      </c>
      <c r="J3453">
        <v>-213.779</v>
      </c>
      <c r="K3453">
        <v>1.1071709999999999</v>
      </c>
      <c r="L3453">
        <v>141.1369</v>
      </c>
      <c r="M3453">
        <v>-0.9986121</v>
      </c>
      <c r="N3453">
        <v>0</v>
      </c>
      <c r="O3453">
        <v>-5.0897289999999998E-2</v>
      </c>
      <c r="P3453">
        <v>-0.99929290000000004</v>
      </c>
      <c r="Q3453">
        <v>1.6634860000000001E-2</v>
      </c>
      <c r="R3453">
        <v>3.3720989999999999E-2</v>
      </c>
      <c r="S3453">
        <v>-3.0001370000000001</v>
      </c>
      <c r="T3453">
        <v>-0.15234819999999999</v>
      </c>
      <c r="U3453">
        <v>0.128418</v>
      </c>
      <c r="V3453">
        <v>8.4741559999999994E-2</v>
      </c>
      <c r="W3453">
        <v>2.9560380000000001E-2</v>
      </c>
      <c r="X3453">
        <v>0.99596439999999997</v>
      </c>
      <c r="Y3453">
        <v>9.3379210000000004E-2</v>
      </c>
      <c r="Z3453">
        <v>4.9501500000000004E-3</v>
      </c>
      <c r="AA3453">
        <v>0.99561829999999996</v>
      </c>
      <c r="AB3453">
        <v>23</v>
      </c>
      <c r="AC3453">
        <v>-21.5625999999999</v>
      </c>
      <c r="AD3453">
        <v>-1.107173635538</v>
      </c>
      <c r="AE3453">
        <v>0.94020000000000403</v>
      </c>
      <c r="AF3453">
        <v>2.0312145488584501</v>
      </c>
      <c r="AG3453">
        <v>-1.107173635538</v>
      </c>
      <c r="AH3453">
        <v>21.4303952100183</v>
      </c>
      <c r="AI3453">
        <v>92.944310527328796</v>
      </c>
      <c r="AJ3453">
        <v>84.585569616987598</v>
      </c>
      <c r="AK3453">
        <v>21.5548951484413</v>
      </c>
      <c r="AL3453">
        <v>88.306068255536204</v>
      </c>
      <c r="AM3453">
        <v>85.1367059624137</v>
      </c>
      <c r="AN3453">
        <v>1.0000000170621599</v>
      </c>
    </row>
    <row r="3454" spans="1:40" x14ac:dyDescent="0.25">
      <c r="A3454" t="str">
        <f>"20190312154624522"</f>
        <v>20190312154624522</v>
      </c>
      <c r="B3454" t="str">
        <f>"1552376784510333"</f>
        <v>1552376784510333</v>
      </c>
      <c r="C3454" t="s">
        <v>40</v>
      </c>
      <c r="D3454">
        <v>4.463679</v>
      </c>
      <c r="E3454">
        <v>0.50046679999999999</v>
      </c>
      <c r="F3454" t="s">
        <v>42</v>
      </c>
      <c r="G3454">
        <v>-236.28909999999999</v>
      </c>
      <c r="H3454" s="1">
        <v>-2.2470540000000001E-6</v>
      </c>
      <c r="I3454">
        <v>142.1447</v>
      </c>
      <c r="J3454">
        <v>-214.00790000000001</v>
      </c>
      <c r="K3454">
        <v>1.107494</v>
      </c>
      <c r="L3454">
        <v>141.13050000000001</v>
      </c>
      <c r="M3454">
        <v>-0.99881520000000001</v>
      </c>
      <c r="N3454">
        <v>0</v>
      </c>
      <c r="O3454">
        <v>-4.6753179999999998E-2</v>
      </c>
      <c r="P3454">
        <v>-0.9992394</v>
      </c>
      <c r="Q3454">
        <v>1.6211400000000001E-2</v>
      </c>
      <c r="R3454">
        <v>3.5465209999999997E-2</v>
      </c>
      <c r="S3454">
        <v>-3.0000610000000001</v>
      </c>
      <c r="T3454">
        <v>-0.1475602</v>
      </c>
      <c r="U3454">
        <v>0.1343231</v>
      </c>
      <c r="V3454">
        <v>8.2321030000000003E-2</v>
      </c>
      <c r="W3454">
        <v>2.9181450000000001E-2</v>
      </c>
      <c r="X3454">
        <v>0.99617860000000003</v>
      </c>
      <c r="Y3454">
        <v>9.1223849999999995E-2</v>
      </c>
      <c r="Z3454">
        <v>4.538215E-3</v>
      </c>
      <c r="AA3454">
        <v>0.99582000000000004</v>
      </c>
      <c r="AB3454">
        <v>23</v>
      </c>
      <c r="AC3454">
        <v>-22.281199999999899</v>
      </c>
      <c r="AD3454">
        <v>-1.107496247054</v>
      </c>
      <c r="AE3454">
        <v>1.01419999999998</v>
      </c>
      <c r="AF3454">
        <v>2.0498487378337198</v>
      </c>
      <c r="AG3454">
        <v>-1.107496247054</v>
      </c>
      <c r="AH3454">
        <v>22.154785980910798</v>
      </c>
      <c r="AI3454">
        <v>92.849627026235197</v>
      </c>
      <c r="AJ3454">
        <v>84.713817221993907</v>
      </c>
      <c r="AK3454">
        <v>22.276960511820299</v>
      </c>
      <c r="AL3454">
        <v>88.327788780848806</v>
      </c>
      <c r="AM3454">
        <v>85.275992733968906</v>
      </c>
      <c r="AN3454">
        <v>1.0000000560511599</v>
      </c>
    </row>
    <row r="3455" spans="1:40" x14ac:dyDescent="0.25">
      <c r="A3455" t="str">
        <f>"20190312154624565"</f>
        <v>20190312154624565</v>
      </c>
      <c r="B3455" t="str">
        <f>"1552376784561085"</f>
        <v>1552376784561085</v>
      </c>
      <c r="C3455" t="s">
        <v>40</v>
      </c>
      <c r="D3455">
        <v>4.4327209999999999</v>
      </c>
      <c r="E3455">
        <v>0.49875520000000001</v>
      </c>
      <c r="F3455" t="s">
        <v>42</v>
      </c>
      <c r="G3455">
        <v>-238.2792</v>
      </c>
      <c r="H3455" s="1">
        <v>-1.344491E-6</v>
      </c>
      <c r="I3455">
        <v>141.96119999999999</v>
      </c>
      <c r="J3455">
        <v>-214.44579999999999</v>
      </c>
      <c r="K3455">
        <v>1.108177</v>
      </c>
      <c r="L3455">
        <v>141.119</v>
      </c>
      <c r="M3455">
        <v>-0.99910109999999996</v>
      </c>
      <c r="N3455">
        <v>0</v>
      </c>
      <c r="O3455">
        <v>-4.0207930000000003E-2</v>
      </c>
      <c r="P3455">
        <v>-0.99921329999999997</v>
      </c>
      <c r="Q3455">
        <v>1.6053080000000001E-2</v>
      </c>
      <c r="R3455">
        <v>3.6271369999999997E-2</v>
      </c>
      <c r="S3455">
        <v>-3.000839</v>
      </c>
      <c r="T3455">
        <v>-0.13692799999999999</v>
      </c>
      <c r="U3455">
        <v>0.1027222</v>
      </c>
      <c r="V3455">
        <v>7.6545710000000003E-2</v>
      </c>
      <c r="W3455">
        <v>2.9122350000000002E-2</v>
      </c>
      <c r="X3455">
        <v>0.99664070000000005</v>
      </c>
      <c r="Y3455">
        <v>7.4252460000000006E-2</v>
      </c>
      <c r="Z3455">
        <v>3.5259929999999998E-3</v>
      </c>
      <c r="AA3455">
        <v>0.99723329999999999</v>
      </c>
      <c r="AB3455">
        <v>23</v>
      </c>
      <c r="AC3455">
        <v>-23.833400000000001</v>
      </c>
      <c r="AD3455">
        <v>-1.1081783444910001</v>
      </c>
      <c r="AE3455">
        <v>0.84219999999999096</v>
      </c>
      <c r="AF3455">
        <v>1.79601883093749</v>
      </c>
      <c r="AG3455">
        <v>-1.1081783444910001</v>
      </c>
      <c r="AH3455">
        <v>23.7290199236378</v>
      </c>
      <c r="AI3455">
        <v>92.666234903774097</v>
      </c>
      <c r="AJ3455">
        <v>85.671609422358401</v>
      </c>
      <c r="AK3455">
        <v>23.822680987258401</v>
      </c>
      <c r="AL3455">
        <v>88.331176342384296</v>
      </c>
      <c r="AM3455">
        <v>85.608093314140703</v>
      </c>
      <c r="AN3455">
        <v>1.0000000209427</v>
      </c>
    </row>
    <row r="3456" spans="1:40" x14ac:dyDescent="0.25">
      <c r="A3456" t="str">
        <f>"20190312154624589"</f>
        <v>20190312154624589</v>
      </c>
      <c r="B3456" t="str">
        <f>"1552376784580605"</f>
        <v>1552376784580605</v>
      </c>
      <c r="C3456" t="s">
        <v>40</v>
      </c>
      <c r="D3456">
        <v>4.3823489999999996</v>
      </c>
      <c r="E3456">
        <v>0.498249</v>
      </c>
      <c r="F3456" t="s">
        <v>42</v>
      </c>
      <c r="G3456">
        <v>-238.38339999999999</v>
      </c>
      <c r="H3456" s="1">
        <v>-1.271148E-6</v>
      </c>
      <c r="I3456">
        <v>141.8537</v>
      </c>
      <c r="J3456">
        <v>-214.6919</v>
      </c>
      <c r="K3456">
        <v>1.1084879999999999</v>
      </c>
      <c r="L3456">
        <v>141.11279999999999</v>
      </c>
      <c r="M3456">
        <v>-0.99921550000000003</v>
      </c>
      <c r="N3456">
        <v>0</v>
      </c>
      <c r="O3456">
        <v>-3.7268900000000001E-2</v>
      </c>
      <c r="P3456">
        <v>-0.99915849999999995</v>
      </c>
      <c r="Q3456">
        <v>1.7648589999999999E-2</v>
      </c>
      <c r="R3456">
        <v>3.7032950000000002E-2</v>
      </c>
      <c r="S3456">
        <v>-3.0012509999999999</v>
      </c>
      <c r="T3456">
        <v>-0.13894129999999999</v>
      </c>
      <c r="U3456">
        <v>9.2117309999999994E-2</v>
      </c>
      <c r="V3456">
        <v>7.4355169999999998E-2</v>
      </c>
      <c r="W3456">
        <v>3.075193E-2</v>
      </c>
      <c r="X3456">
        <v>0.99675760000000002</v>
      </c>
      <c r="Y3456">
        <v>6.7799460000000006E-2</v>
      </c>
      <c r="Z3456">
        <v>3.2922770000000001E-3</v>
      </c>
      <c r="AA3456">
        <v>0.99769350000000001</v>
      </c>
      <c r="AB3456">
        <v>23</v>
      </c>
      <c r="AC3456">
        <v>-23.691499999999898</v>
      </c>
      <c r="AD3456">
        <v>-1.1084892711480001</v>
      </c>
      <c r="AE3456">
        <v>0.74090000000001</v>
      </c>
      <c r="AF3456">
        <v>1.6198778367084901</v>
      </c>
      <c r="AG3456">
        <v>-1.1084892711480001</v>
      </c>
      <c r="AH3456">
        <v>23.595818324107899</v>
      </c>
      <c r="AI3456">
        <v>92.683368954787099</v>
      </c>
      <c r="AJ3456">
        <v>86.072746190747097</v>
      </c>
      <c r="AK3456">
        <v>23.677318155872701</v>
      </c>
      <c r="AL3456">
        <v>88.237766448294394</v>
      </c>
      <c r="AM3456">
        <v>85.733805927427994</v>
      </c>
      <c r="AN3456">
        <v>1.0000000428311</v>
      </c>
    </row>
    <row r="3457" spans="1:40" x14ac:dyDescent="0.25">
      <c r="A3457" t="str">
        <f>"20190312154624632"</f>
        <v>20190312154624632</v>
      </c>
      <c r="B3457" t="str">
        <f>"1552376784620620"</f>
        <v>1552376784620620</v>
      </c>
      <c r="C3457" t="s">
        <v>40</v>
      </c>
      <c r="D3457">
        <v>4.3186609999999996</v>
      </c>
      <c r="E3457">
        <v>0.49733919999999998</v>
      </c>
      <c r="F3457" t="s">
        <v>42</v>
      </c>
      <c r="G3457">
        <v>-239.80690000000001</v>
      </c>
      <c r="H3457" s="1">
        <v>-6.6386250000000003E-7</v>
      </c>
      <c r="I3457">
        <v>141.8665</v>
      </c>
      <c r="J3457">
        <v>-215.11959999999999</v>
      </c>
      <c r="K3457">
        <v>1.1088610000000001</v>
      </c>
      <c r="L3457">
        <v>141.1026</v>
      </c>
      <c r="M3457">
        <v>-0.9993609</v>
      </c>
      <c r="N3457">
        <v>0</v>
      </c>
      <c r="O3457">
        <v>-3.3163310000000001E-2</v>
      </c>
      <c r="P3457">
        <v>-0.99920500000000001</v>
      </c>
      <c r="Q3457">
        <v>1.6689530000000001E-2</v>
      </c>
      <c r="R3457">
        <v>3.6210340000000001E-2</v>
      </c>
      <c r="S3457">
        <v>-3.0015260000000001</v>
      </c>
      <c r="T3457">
        <v>-0.13247690000000001</v>
      </c>
      <c r="U3457">
        <v>9.0072630000000001E-2</v>
      </c>
      <c r="V3457">
        <v>6.9407120000000003E-2</v>
      </c>
      <c r="W3457">
        <v>2.9825859999999999E-2</v>
      </c>
      <c r="X3457">
        <v>0.99714239999999998</v>
      </c>
      <c r="Y3457">
        <v>6.3036700000000001E-2</v>
      </c>
      <c r="Z3457">
        <v>2.8529050000000002E-3</v>
      </c>
      <c r="AA3457">
        <v>0.99800710000000004</v>
      </c>
      <c r="AB3457">
        <v>23</v>
      </c>
      <c r="AC3457">
        <v>-24.6873</v>
      </c>
      <c r="AD3457">
        <v>-1.1088616638625</v>
      </c>
      <c r="AE3457">
        <v>0.76390000000000602</v>
      </c>
      <c r="AF3457">
        <v>1.5790824840112001</v>
      </c>
      <c r="AG3457">
        <v>-1.1088616638625</v>
      </c>
      <c r="AH3457">
        <v>24.598802602486</v>
      </c>
      <c r="AI3457">
        <v>92.575730090612396</v>
      </c>
      <c r="AJ3457">
        <v>86.327024795187199</v>
      </c>
      <c r="AK3457">
        <v>24.674362507610301</v>
      </c>
      <c r="AL3457">
        <v>88.2908505442131</v>
      </c>
      <c r="AM3457">
        <v>86.018290643178403</v>
      </c>
      <c r="AN3457">
        <v>0.99999994805459502</v>
      </c>
    </row>
    <row r="3458" spans="1:40" x14ac:dyDescent="0.25">
      <c r="A3458" t="str">
        <f>"20190312154624655"</f>
        <v>20190312154624655</v>
      </c>
      <c r="B3458" t="str">
        <f>"1552376784650877"</f>
        <v>1552376784650877</v>
      </c>
      <c r="C3458" t="s">
        <v>40</v>
      </c>
      <c r="D3458">
        <v>4.3253149999999998</v>
      </c>
      <c r="E3458">
        <v>0.49685020000000002</v>
      </c>
      <c r="F3458" t="s">
        <v>42</v>
      </c>
      <c r="G3458">
        <v>-240.1182</v>
      </c>
      <c r="H3458" s="1">
        <v>-4.6188919999999997E-6</v>
      </c>
      <c r="I3458">
        <v>141.77600000000001</v>
      </c>
      <c r="J3458">
        <v>-215.36250000000001</v>
      </c>
      <c r="K3458">
        <v>1.1090679999999999</v>
      </c>
      <c r="L3458">
        <v>141.09700000000001</v>
      </c>
      <c r="M3458">
        <v>-0.999417</v>
      </c>
      <c r="N3458">
        <v>0</v>
      </c>
      <c r="O3458">
        <v>-3.1438170000000001E-2</v>
      </c>
      <c r="P3458">
        <v>-0.99928059999999996</v>
      </c>
      <c r="Q3458">
        <v>1.628245E-2</v>
      </c>
      <c r="R3458">
        <v>3.4255229999999998E-2</v>
      </c>
      <c r="S3458">
        <v>-3.0016780000000001</v>
      </c>
      <c r="T3458">
        <v>-0.13314570000000001</v>
      </c>
      <c r="U3458">
        <v>8.0856319999999995E-2</v>
      </c>
      <c r="V3458">
        <v>6.5717639999999994E-2</v>
      </c>
      <c r="W3458">
        <v>2.943788E-2</v>
      </c>
      <c r="X3458">
        <v>0.99740390000000001</v>
      </c>
      <c r="Y3458">
        <v>5.8255359999999999E-2</v>
      </c>
      <c r="Z3458">
        <v>2.6848169999999999E-3</v>
      </c>
      <c r="AA3458">
        <v>0.99829809999999997</v>
      </c>
      <c r="AB3458">
        <v>22</v>
      </c>
      <c r="AC3458">
        <v>-24.755699999999901</v>
      </c>
      <c r="AD3458">
        <v>-1.1090726188919999</v>
      </c>
      <c r="AE3458">
        <v>0.67900000000000205</v>
      </c>
      <c r="AF3458">
        <v>1.4540909031301199</v>
      </c>
      <c r="AG3458">
        <v>-1.1090726188919999</v>
      </c>
      <c r="AH3458">
        <v>24.672629372238301</v>
      </c>
      <c r="AI3458">
        <v>92.569348422975693</v>
      </c>
      <c r="AJ3458">
        <v>86.627152643094902</v>
      </c>
      <c r="AK3458">
        <v>24.740312499408301</v>
      </c>
      <c r="AL3458">
        <v>88.313089962072794</v>
      </c>
      <c r="AM3458">
        <v>86.230304786920797</v>
      </c>
      <c r="AN3458">
        <v>0.99999996836063598</v>
      </c>
    </row>
    <row r="3459" spans="1:40" x14ac:dyDescent="0.25">
      <c r="A3459" t="str">
        <f>"20190312154624678"</f>
        <v>20190312154624678</v>
      </c>
      <c r="B3459" t="str">
        <f>"1552376784670399"</f>
        <v>1552376784670399</v>
      </c>
      <c r="C3459" t="s">
        <v>40</v>
      </c>
      <c r="D3459">
        <v>4.3170640000000002</v>
      </c>
      <c r="E3459">
        <v>0.49156549999999999</v>
      </c>
      <c r="F3459" t="s">
        <v>42</v>
      </c>
      <c r="G3459">
        <v>-240.33539999999999</v>
      </c>
      <c r="H3459" s="1">
        <v>-4.5299959999999997E-6</v>
      </c>
      <c r="I3459">
        <v>141.69149999999999</v>
      </c>
      <c r="J3459">
        <v>-215.57980000000001</v>
      </c>
      <c r="K3459">
        <v>1.10927</v>
      </c>
      <c r="L3459">
        <v>141.09190000000001</v>
      </c>
      <c r="M3459">
        <v>-0.99945510000000004</v>
      </c>
      <c r="N3459">
        <v>0</v>
      </c>
      <c r="O3459">
        <v>-3.021161E-2</v>
      </c>
      <c r="P3459">
        <v>-0.9993628</v>
      </c>
      <c r="Q3459">
        <v>1.5570509999999999E-2</v>
      </c>
      <c r="R3459">
        <v>3.2119309999999998E-2</v>
      </c>
      <c r="S3459">
        <v>-3.0018769999999999</v>
      </c>
      <c r="T3459">
        <v>-0.13331680000000001</v>
      </c>
      <c r="U3459">
        <v>7.1472170000000002E-2</v>
      </c>
      <c r="V3459">
        <v>6.2344379999999998E-2</v>
      </c>
      <c r="W3459">
        <v>2.874724E-2</v>
      </c>
      <c r="X3459">
        <v>0.99764059999999999</v>
      </c>
      <c r="Y3459">
        <v>5.3914379999999998E-2</v>
      </c>
      <c r="Z3459">
        <v>2.5374070000000002E-3</v>
      </c>
      <c r="AA3459">
        <v>0.99854229999999999</v>
      </c>
      <c r="AB3459">
        <v>22</v>
      </c>
      <c r="AC3459">
        <v>-24.755599999999902</v>
      </c>
      <c r="AD3459">
        <v>-1.1092745299959901</v>
      </c>
      <c r="AE3459">
        <v>0.59959999999998004</v>
      </c>
      <c r="AF3459">
        <v>1.34460071808075</v>
      </c>
      <c r="AG3459">
        <v>-1.1092745299959901</v>
      </c>
      <c r="AH3459">
        <v>24.676663231968501</v>
      </c>
      <c r="AI3459">
        <v>92.570041113433007</v>
      </c>
      <c r="AJ3459">
        <v>86.881108414552997</v>
      </c>
      <c r="AK3459">
        <v>24.738151696073601</v>
      </c>
      <c r="AL3459">
        <v>88.352677523591893</v>
      </c>
      <c r="AM3459">
        <v>86.4241322979898</v>
      </c>
      <c r="AN3459">
        <v>0.99999999614678103</v>
      </c>
    </row>
    <row r="3460" spans="1:40" x14ac:dyDescent="0.25">
      <c r="A3460" t="str">
        <f>"20190312154624699"</f>
        <v>20190312154624699</v>
      </c>
      <c r="B3460" t="str">
        <f>"1552376784690893"</f>
        <v>1552376784690893</v>
      </c>
      <c r="C3460" t="s">
        <v>40</v>
      </c>
      <c r="D3460">
        <v>4.2962259999999999</v>
      </c>
      <c r="E3460">
        <v>0.4914094</v>
      </c>
      <c r="F3460" t="s">
        <v>42</v>
      </c>
      <c r="G3460">
        <v>-242.7937</v>
      </c>
      <c r="H3460" s="1">
        <v>-3.523115E-6</v>
      </c>
      <c r="I3460">
        <v>141.3049</v>
      </c>
      <c r="J3460">
        <v>-215.80179999999999</v>
      </c>
      <c r="K3460">
        <v>1.1095170000000001</v>
      </c>
      <c r="L3460">
        <v>141.0866</v>
      </c>
      <c r="M3460">
        <v>-0.99948230000000005</v>
      </c>
      <c r="N3460">
        <v>0</v>
      </c>
      <c r="O3460">
        <v>-2.9303510000000001E-2</v>
      </c>
      <c r="P3460">
        <v>-0.99943070000000001</v>
      </c>
      <c r="Q3460">
        <v>1.531389E-2</v>
      </c>
      <c r="R3460">
        <v>3.0065789999999998E-2</v>
      </c>
      <c r="S3460">
        <v>-3.0030670000000002</v>
      </c>
      <c r="T3460">
        <v>-0.122409</v>
      </c>
      <c r="U3460">
        <v>2.351379E-2</v>
      </c>
      <c r="V3460">
        <v>5.9369379999999999E-2</v>
      </c>
      <c r="W3460">
        <v>2.851559E-2</v>
      </c>
      <c r="X3460">
        <v>0.99782870000000001</v>
      </c>
      <c r="Y3460">
        <v>3.7076400000000002E-2</v>
      </c>
      <c r="Z3460">
        <v>1.949264E-3</v>
      </c>
      <c r="AA3460">
        <v>0.99931060000000005</v>
      </c>
      <c r="AB3460">
        <v>22</v>
      </c>
      <c r="AC3460">
        <v>-26.991900000000001</v>
      </c>
      <c r="AD3460">
        <v>-1.109520523115</v>
      </c>
      <c r="AE3460">
        <v>0.21829999999999899</v>
      </c>
      <c r="AF3460">
        <v>1.0075311431404399</v>
      </c>
      <c r="AG3460">
        <v>-1.109520523115</v>
      </c>
      <c r="AH3460">
        <v>26.9284116805594</v>
      </c>
      <c r="AI3460">
        <v>92.357752567421997</v>
      </c>
      <c r="AJ3460">
        <v>87.857268072904802</v>
      </c>
      <c r="AK3460">
        <v>26.9700854732294</v>
      </c>
      <c r="AL3460">
        <v>88.365955521745093</v>
      </c>
      <c r="AM3460">
        <v>86.594997302922195</v>
      </c>
      <c r="AN3460">
        <v>0.99999998834916104</v>
      </c>
    </row>
    <row r="3461" spans="1:40" x14ac:dyDescent="0.25">
      <c r="A3461" t="str">
        <f>"20190312154624722"</f>
        <v>20190312154624722</v>
      </c>
      <c r="B3461" t="str">
        <f>"1552376784710413"</f>
        <v>1552376784710413</v>
      </c>
      <c r="C3461" t="s">
        <v>40</v>
      </c>
      <c r="D3461">
        <v>4.2934720000000004</v>
      </c>
      <c r="E3461">
        <v>0.49129899999999999</v>
      </c>
      <c r="F3461" t="s">
        <v>42</v>
      </c>
      <c r="G3461">
        <v>-243.68680000000001</v>
      </c>
      <c r="H3461" s="1">
        <v>-3.1217090000000002E-6</v>
      </c>
      <c r="I3461">
        <v>141.2363</v>
      </c>
      <c r="J3461">
        <v>-216.0249</v>
      </c>
      <c r="K3461">
        <v>1.109801</v>
      </c>
      <c r="L3461">
        <v>141.08090000000001</v>
      </c>
      <c r="M3461">
        <v>-0.99949829999999995</v>
      </c>
      <c r="N3461">
        <v>0</v>
      </c>
      <c r="O3461">
        <v>-2.876548E-2</v>
      </c>
      <c r="P3461">
        <v>-0.99949339999999998</v>
      </c>
      <c r="Q3461">
        <v>1.5668890000000001E-2</v>
      </c>
      <c r="R3461">
        <v>2.771844E-2</v>
      </c>
      <c r="S3461">
        <v>-3.0030359999999998</v>
      </c>
      <c r="T3461">
        <v>-0.1194882</v>
      </c>
      <c r="U3461">
        <v>1.612854E-2</v>
      </c>
      <c r="V3461">
        <v>5.646868E-2</v>
      </c>
      <c r="W3461">
        <v>2.889738E-2</v>
      </c>
      <c r="X3461">
        <v>0.99798609999999999</v>
      </c>
      <c r="Y3461">
        <v>3.4086289999999998E-2</v>
      </c>
      <c r="Z3461">
        <v>1.821956E-3</v>
      </c>
      <c r="AA3461">
        <v>0.99941720000000001</v>
      </c>
      <c r="AB3461">
        <v>22</v>
      </c>
      <c r="AC3461">
        <v>-27.661899999999999</v>
      </c>
      <c r="AD3461">
        <v>-1.109804121709</v>
      </c>
      <c r="AE3461">
        <v>0.15539999999998599</v>
      </c>
      <c r="AF3461">
        <v>0.94958498248532297</v>
      </c>
      <c r="AG3461">
        <v>-1.109804121709</v>
      </c>
      <c r="AH3461">
        <v>27.601553460615602</v>
      </c>
      <c r="AI3461">
        <v>92.301150271250606</v>
      </c>
      <c r="AJ3461">
        <v>88.029612287973407</v>
      </c>
      <c r="AK3461">
        <v>27.640172399367199</v>
      </c>
      <c r="AL3461">
        <v>88.344071587943603</v>
      </c>
      <c r="AM3461">
        <v>86.761507173842105</v>
      </c>
      <c r="AN3461">
        <v>1.0000000130925</v>
      </c>
    </row>
    <row r="3462" spans="1:40" x14ac:dyDescent="0.25">
      <c r="A3462" t="str">
        <f>"20190312154624744"</f>
        <v>20190312154624744</v>
      </c>
      <c r="B3462" t="str">
        <f>"1552376784730909"</f>
        <v>1552376784730909</v>
      </c>
      <c r="C3462" t="s">
        <v>40</v>
      </c>
      <c r="D3462">
        <v>4.3037939999999999</v>
      </c>
      <c r="E3462">
        <v>0.49100460000000001</v>
      </c>
      <c r="F3462" t="s">
        <v>42</v>
      </c>
      <c r="G3462">
        <v>-244.0146</v>
      </c>
      <c r="H3462" s="1">
        <v>-2.9598719999999999E-6</v>
      </c>
      <c r="I3462">
        <v>141.15649999999999</v>
      </c>
      <c r="J3462">
        <v>-216.24549999999999</v>
      </c>
      <c r="K3462">
        <v>1.110058</v>
      </c>
      <c r="L3462">
        <v>141.07499999999999</v>
      </c>
      <c r="M3462">
        <v>-0.99950289999999997</v>
      </c>
      <c r="N3462">
        <v>0</v>
      </c>
      <c r="O3462">
        <v>-2.8610900000000002E-2</v>
      </c>
      <c r="P3462">
        <v>-0.99956829999999997</v>
      </c>
      <c r="Q3462">
        <v>1.5315189999999999E-2</v>
      </c>
      <c r="R3462">
        <v>2.507904E-2</v>
      </c>
      <c r="S3462">
        <v>-3.0031430000000001</v>
      </c>
      <c r="T3462">
        <v>-0.1190761</v>
      </c>
      <c r="U3462">
        <v>8.1176759999999903E-3</v>
      </c>
      <c r="V3462">
        <v>5.3659970000000001E-2</v>
      </c>
      <c r="W3462">
        <v>2.856707E-2</v>
      </c>
      <c r="X3462">
        <v>0.99815050000000005</v>
      </c>
      <c r="Y3462">
        <v>3.1268200000000003E-2</v>
      </c>
      <c r="Z3462">
        <v>1.7536380000000001E-3</v>
      </c>
      <c r="AA3462">
        <v>0.99950950000000005</v>
      </c>
      <c r="AB3462">
        <v>22</v>
      </c>
      <c r="AC3462">
        <v>-27.769100000000002</v>
      </c>
      <c r="AD3462">
        <v>-1.1100609598719999</v>
      </c>
      <c r="AE3462">
        <v>8.1500000000005401E-2</v>
      </c>
      <c r="AF3462">
        <v>0.87463761053116396</v>
      </c>
      <c r="AG3462">
        <v>-1.1100609598719999</v>
      </c>
      <c r="AH3462">
        <v>27.7111167236894</v>
      </c>
      <c r="AI3462">
        <v>92.292806008132303</v>
      </c>
      <c r="AJ3462">
        <v>88.1921907662812</v>
      </c>
      <c r="AK3462">
        <v>27.747129876048898</v>
      </c>
      <c r="AL3462">
        <v>88.363004662311994</v>
      </c>
      <c r="AM3462">
        <v>86.922775571451297</v>
      </c>
      <c r="AN3462">
        <v>0.99999994525951597</v>
      </c>
    </row>
    <row r="3463" spans="1:40" x14ac:dyDescent="0.25">
      <c r="A3463" t="str">
        <f>"20190312154624767"</f>
        <v>20190312154624767</v>
      </c>
      <c r="B3463" t="str">
        <f>"1552376784761164"</f>
        <v>1552376784761164</v>
      </c>
      <c r="C3463" t="s">
        <v>40</v>
      </c>
      <c r="D3463">
        <v>4.2660359999999997</v>
      </c>
      <c r="E3463">
        <v>0.49099229999999999</v>
      </c>
      <c r="F3463" t="s">
        <v>42</v>
      </c>
      <c r="G3463">
        <v>-244.34970000000001</v>
      </c>
      <c r="H3463" s="1">
        <v>-2.7890319999999999E-6</v>
      </c>
      <c r="I3463">
        <v>141.0548</v>
      </c>
      <c r="J3463">
        <v>-216.47110000000001</v>
      </c>
      <c r="K3463">
        <v>1.1102810000000001</v>
      </c>
      <c r="L3463">
        <v>141.0684</v>
      </c>
      <c r="M3463">
        <v>-0.99949569999999999</v>
      </c>
      <c r="N3463">
        <v>0</v>
      </c>
      <c r="O3463">
        <v>-2.8862619999999999E-2</v>
      </c>
      <c r="P3463">
        <v>-0.99968509999999999</v>
      </c>
      <c r="Q3463">
        <v>1.355454E-2</v>
      </c>
      <c r="R3463">
        <v>2.1118020000000001E-2</v>
      </c>
      <c r="S3463">
        <v>-3.0031889999999999</v>
      </c>
      <c r="T3463">
        <v>-0.1186203</v>
      </c>
      <c r="U3463">
        <v>-2.1514889999999999E-3</v>
      </c>
      <c r="V3463">
        <v>4.9940980000000003E-2</v>
      </c>
      <c r="W3463">
        <v>2.6824899999999999E-2</v>
      </c>
      <c r="X3463">
        <v>0.9983919</v>
      </c>
      <c r="Y3463">
        <v>2.8104629999999999E-2</v>
      </c>
      <c r="Z3463">
        <v>1.694376E-3</v>
      </c>
      <c r="AA3463">
        <v>0.99960360000000004</v>
      </c>
      <c r="AB3463">
        <v>22</v>
      </c>
      <c r="AC3463">
        <v>-27.878599999999999</v>
      </c>
      <c r="AD3463">
        <v>-1.1102837890320001</v>
      </c>
      <c r="AE3463">
        <v>-1.35999999999967E-2</v>
      </c>
      <c r="AF3463">
        <v>0.78987283551813903</v>
      </c>
      <c r="AG3463">
        <v>-1.1102837890320001</v>
      </c>
      <c r="AH3463">
        <v>27.8232459805993</v>
      </c>
      <c r="AI3463">
        <v>92.284250460008295</v>
      </c>
      <c r="AJ3463">
        <v>88.373869538108806</v>
      </c>
      <c r="AK3463">
        <v>27.856590711812</v>
      </c>
      <c r="AL3463">
        <v>88.462862107025003</v>
      </c>
      <c r="AM3463">
        <v>87.136370591878901</v>
      </c>
      <c r="AN3463">
        <v>1.0000000313644799</v>
      </c>
    </row>
    <row r="3464" spans="1:40" x14ac:dyDescent="0.25">
      <c r="A3464" t="str">
        <f>"20190312154624790"</f>
        <v>20190312154624790</v>
      </c>
      <c r="B3464" t="str">
        <f>"1552376784780685"</f>
        <v>1552376784780685</v>
      </c>
      <c r="C3464" t="s">
        <v>40</v>
      </c>
      <c r="D3464">
        <v>4.2620399999999998</v>
      </c>
      <c r="E3464">
        <v>0.49111729999999998</v>
      </c>
      <c r="F3464" t="s">
        <v>42</v>
      </c>
      <c r="G3464">
        <v>-243.64330000000001</v>
      </c>
      <c r="H3464" s="1">
        <v>-3.061773E-6</v>
      </c>
      <c r="I3464">
        <v>140.9409</v>
      </c>
      <c r="J3464">
        <v>-216.7081</v>
      </c>
      <c r="K3464">
        <v>1.1104560000000001</v>
      </c>
      <c r="L3464">
        <v>141.06110000000001</v>
      </c>
      <c r="M3464">
        <v>-0.99947830000000004</v>
      </c>
      <c r="N3464">
        <v>0</v>
      </c>
      <c r="O3464">
        <v>-2.946493E-2</v>
      </c>
      <c r="P3464">
        <v>-0.99978579999999995</v>
      </c>
      <c r="Q3464">
        <v>1.153534E-2</v>
      </c>
      <c r="R3464">
        <v>1.7187770000000002E-2</v>
      </c>
      <c r="S3464">
        <v>-3.0028990000000002</v>
      </c>
      <c r="T3464">
        <v>-0.12270150000000001</v>
      </c>
      <c r="U3464">
        <v>-1.408386E-2</v>
      </c>
      <c r="V3464">
        <v>4.660827E-2</v>
      </c>
      <c r="W3464">
        <v>2.48157E-2</v>
      </c>
      <c r="X3464">
        <v>0.99860499999999996</v>
      </c>
      <c r="Y3464">
        <v>2.4733959999999999E-2</v>
      </c>
      <c r="Z3464">
        <v>1.7085259999999999E-3</v>
      </c>
      <c r="AA3464">
        <v>0.99969260000000004</v>
      </c>
      <c r="AB3464">
        <v>22</v>
      </c>
      <c r="AC3464">
        <v>-26.935199999999998</v>
      </c>
      <c r="AD3464">
        <v>-1.1104590617729999</v>
      </c>
      <c r="AE3464">
        <v>-0.12020000000001101</v>
      </c>
      <c r="AF3464">
        <v>0.67242253826516296</v>
      </c>
      <c r="AG3464">
        <v>-1.1104590617729999</v>
      </c>
      <c r="AH3464">
        <v>26.8813565450026</v>
      </c>
      <c r="AI3464">
        <v>92.364783952952806</v>
      </c>
      <c r="AJ3464">
        <v>88.567076006579697</v>
      </c>
      <c r="AK3464">
        <v>26.912684761974202</v>
      </c>
      <c r="AL3464">
        <v>88.578019219878399</v>
      </c>
      <c r="AM3464">
        <v>87.327751633382107</v>
      </c>
      <c r="AN3464">
        <v>1.00000004791194</v>
      </c>
    </row>
    <row r="3465" spans="1:40" x14ac:dyDescent="0.25">
      <c r="A3465" t="str">
        <f>"20190312154624834"</f>
        <v>20190312154624834</v>
      </c>
      <c r="B3465" t="str">
        <f>"1552376784830461"</f>
        <v>1552376784830461</v>
      </c>
      <c r="C3465" t="s">
        <v>40</v>
      </c>
      <c r="D3465">
        <v>4.258578</v>
      </c>
      <c r="E3465">
        <v>0.49113859999999898</v>
      </c>
      <c r="F3465" t="s">
        <v>42</v>
      </c>
      <c r="G3465">
        <v>-242.8116</v>
      </c>
      <c r="H3465" s="1">
        <v>-3.3930119999999999E-6</v>
      </c>
      <c r="I3465">
        <v>140.84479999999999</v>
      </c>
      <c r="J3465">
        <v>-217.13900000000001</v>
      </c>
      <c r="K3465">
        <v>1.1106860000000001</v>
      </c>
      <c r="L3465">
        <v>141.04660000000001</v>
      </c>
      <c r="M3465">
        <v>-0.99942350000000002</v>
      </c>
      <c r="N3465">
        <v>0</v>
      </c>
      <c r="O3465">
        <v>-3.1275310000000001E-2</v>
      </c>
      <c r="P3465">
        <v>-0.99987110000000001</v>
      </c>
      <c r="Q3465">
        <v>1.141149E-2</v>
      </c>
      <c r="R3465">
        <v>1.131301E-2</v>
      </c>
      <c r="S3465">
        <v>-3.002548</v>
      </c>
      <c r="T3465">
        <v>-0.1277306</v>
      </c>
      <c r="U3465">
        <v>-2.4871830000000001E-2</v>
      </c>
      <c r="V3465">
        <v>4.2534660000000002E-2</v>
      </c>
      <c r="W3465">
        <v>2.4696530000000001E-2</v>
      </c>
      <c r="X3465">
        <v>0.9987897</v>
      </c>
      <c r="Y3465">
        <v>2.2948699999999999E-2</v>
      </c>
      <c r="Z3465">
        <v>1.8176589999999999E-3</v>
      </c>
      <c r="AA3465">
        <v>0.99973500000000004</v>
      </c>
      <c r="AB3465">
        <v>22</v>
      </c>
      <c r="AC3465">
        <v>-25.6725999999999</v>
      </c>
      <c r="AD3465">
        <v>-1.1106893930120001</v>
      </c>
      <c r="AE3465">
        <v>-0.20180000000001999</v>
      </c>
      <c r="AF3465">
        <v>0.60016405091498204</v>
      </c>
      <c r="AG3465">
        <v>-1.1106893930120001</v>
      </c>
      <c r="AH3465">
        <v>25.618402852103898</v>
      </c>
      <c r="AI3465">
        <v>92.481831674867394</v>
      </c>
      <c r="AJ3465">
        <v>88.657973388004905</v>
      </c>
      <c r="AK3465">
        <v>25.6494910769872</v>
      </c>
      <c r="AL3465">
        <v>88.584849169404507</v>
      </c>
      <c r="AM3465">
        <v>87.5614638069422</v>
      </c>
      <c r="AN3465">
        <v>0.99999999036072296</v>
      </c>
    </row>
    <row r="3466" spans="1:40" x14ac:dyDescent="0.25">
      <c r="A3466" t="str">
        <f>"20190312154624855"</f>
        <v>20190312154624855</v>
      </c>
      <c r="B3466" t="str">
        <f>"1552376784850957"</f>
        <v>1552376784850957</v>
      </c>
      <c r="C3466" t="s">
        <v>40</v>
      </c>
      <c r="D3466">
        <v>4.2942460000000002</v>
      </c>
      <c r="E3466">
        <v>0.49110979999999999</v>
      </c>
      <c r="F3466" t="s">
        <v>42</v>
      </c>
      <c r="G3466">
        <v>-243.11539999999999</v>
      </c>
      <c r="H3466" s="1">
        <v>-3.2188020000000001E-6</v>
      </c>
      <c r="I3466">
        <v>140.6799</v>
      </c>
      <c r="J3466">
        <v>-217.3553</v>
      </c>
      <c r="K3466">
        <v>1.1107899999999999</v>
      </c>
      <c r="L3466">
        <v>141.0386</v>
      </c>
      <c r="M3466">
        <v>-0.999386</v>
      </c>
      <c r="N3466">
        <v>0</v>
      </c>
      <c r="O3466">
        <v>-3.2453200000000001E-2</v>
      </c>
      <c r="P3466">
        <v>-0.99989349999999999</v>
      </c>
      <c r="Q3466">
        <v>1.154766E-2</v>
      </c>
      <c r="R3466">
        <v>8.9293399999999992E-3</v>
      </c>
      <c r="S3466">
        <v>-3.002335</v>
      </c>
      <c r="T3466">
        <v>-0.12837299999999999</v>
      </c>
      <c r="U3466">
        <v>-4.237366E-2</v>
      </c>
      <c r="V3466">
        <v>4.1324079999999999E-2</v>
      </c>
      <c r="W3466">
        <v>2.4835719999999999E-2</v>
      </c>
      <c r="X3466">
        <v>0.99883710000000003</v>
      </c>
      <c r="Y3466">
        <v>1.830172E-2</v>
      </c>
      <c r="Z3466">
        <v>1.7778539999999999E-3</v>
      </c>
      <c r="AA3466">
        <v>0.99983089999999997</v>
      </c>
      <c r="AB3466">
        <v>22</v>
      </c>
      <c r="AC3466">
        <v>-25.760099999999898</v>
      </c>
      <c r="AD3466">
        <v>-1.110793218802</v>
      </c>
      <c r="AE3466">
        <v>-0.35869999999999802</v>
      </c>
      <c r="AF3466">
        <v>0.47667341547486197</v>
      </c>
      <c r="AG3466">
        <v>-1.110793218802</v>
      </c>
      <c r="AH3466">
        <v>25.710374197135</v>
      </c>
      <c r="AI3466">
        <v>92.473448772532507</v>
      </c>
      <c r="AJ3466">
        <v>88.937851077259097</v>
      </c>
      <c r="AK3466">
        <v>25.738772707273</v>
      </c>
      <c r="AL3466">
        <v>88.576871768553602</v>
      </c>
      <c r="AM3466">
        <v>87.630899105747005</v>
      </c>
      <c r="AN3466">
        <v>1.0000000224560801</v>
      </c>
    </row>
    <row r="3467" spans="1:40" x14ac:dyDescent="0.25">
      <c r="A3467" t="str">
        <f>"20190312154624878"</f>
        <v>20190312154624878</v>
      </c>
      <c r="B3467" t="str">
        <f>"1552376784870477"</f>
        <v>1552376784870477</v>
      </c>
      <c r="C3467" t="s">
        <v>40</v>
      </c>
      <c r="D3467">
        <v>4.2861279999999997</v>
      </c>
      <c r="E3467">
        <v>0.491203</v>
      </c>
      <c r="F3467" t="s">
        <v>42</v>
      </c>
      <c r="G3467">
        <v>-243.3552</v>
      </c>
      <c r="H3467" s="1">
        <v>-3.0967240000000002E-6</v>
      </c>
      <c r="I3467">
        <v>140.6078</v>
      </c>
      <c r="J3467">
        <v>-217.58269999999999</v>
      </c>
      <c r="K3467">
        <v>1.1108880000000001</v>
      </c>
      <c r="L3467">
        <v>141.02979999999999</v>
      </c>
      <c r="M3467">
        <v>-0.99934020000000001</v>
      </c>
      <c r="N3467">
        <v>0</v>
      </c>
      <c r="O3467">
        <v>-3.3837819999999998E-2</v>
      </c>
      <c r="P3467">
        <v>-0.99990670000000004</v>
      </c>
      <c r="Q3467">
        <v>1.103152E-2</v>
      </c>
      <c r="R3467">
        <v>8.0721660000000004E-3</v>
      </c>
      <c r="S3467">
        <v>-3.0022280000000001</v>
      </c>
      <c r="T3467">
        <v>-0.1282644</v>
      </c>
      <c r="U3467">
        <v>-4.974365E-2</v>
      </c>
      <c r="V3467">
        <v>4.1847130000000003E-2</v>
      </c>
      <c r="W3467">
        <v>2.4326130000000001E-2</v>
      </c>
      <c r="X3467">
        <v>0.99882780000000004</v>
      </c>
      <c r="Y3467">
        <v>1.7232419999999998E-2</v>
      </c>
      <c r="Z3467">
        <v>1.812634E-3</v>
      </c>
      <c r="AA3467">
        <v>0.99984989999999996</v>
      </c>
      <c r="AB3467">
        <v>22</v>
      </c>
      <c r="AC3467">
        <v>-25.772500000000001</v>
      </c>
      <c r="AD3467">
        <v>-1.11089109672399</v>
      </c>
      <c r="AE3467">
        <v>-0.42199999999999599</v>
      </c>
      <c r="AF3467">
        <v>0.449567833129497</v>
      </c>
      <c r="AG3467">
        <v>-1.11089109672399</v>
      </c>
      <c r="AH3467">
        <v>25.724238193321298</v>
      </c>
      <c r="AI3467">
        <v>92.472382215122806</v>
      </c>
      <c r="AJ3467">
        <v>88.998776278176294</v>
      </c>
      <c r="AK3467">
        <v>25.7521381809762</v>
      </c>
      <c r="AL3467">
        <v>88.606077860128906</v>
      </c>
      <c r="AM3467">
        <v>87.600925264404296</v>
      </c>
      <c r="AN3467">
        <v>0.99999995847142598</v>
      </c>
    </row>
    <row r="3468" spans="1:40" x14ac:dyDescent="0.25">
      <c r="A3468" t="str">
        <f>"20190312154624898"</f>
        <v>20190312154624898</v>
      </c>
      <c r="B3468" t="str">
        <f>"1552376784890973"</f>
        <v>1552376784890973</v>
      </c>
      <c r="C3468" t="s">
        <v>40</v>
      </c>
      <c r="D3468">
        <v>4.3025539999999998</v>
      </c>
      <c r="E3468">
        <v>0.49140980000000001</v>
      </c>
      <c r="F3468" t="s">
        <v>42</v>
      </c>
      <c r="G3468">
        <v>-243.34819999999999</v>
      </c>
      <c r="H3468" s="1">
        <v>-3.0945900000000001E-6</v>
      </c>
      <c r="I3468">
        <v>140.58850000000001</v>
      </c>
      <c r="J3468">
        <v>-217.78870000000001</v>
      </c>
      <c r="K3468">
        <v>1.1109719999999901</v>
      </c>
      <c r="L3468">
        <v>141.02119999999999</v>
      </c>
      <c r="M3468">
        <v>-0.99929179999999995</v>
      </c>
      <c r="N3468">
        <v>0</v>
      </c>
      <c r="O3468">
        <v>-3.5236940000000001E-2</v>
      </c>
      <c r="P3468">
        <v>-0.99991699999999994</v>
      </c>
      <c r="Q3468">
        <v>1.014023E-2</v>
      </c>
      <c r="R3468">
        <v>7.9810950000000005E-3</v>
      </c>
      <c r="S3468">
        <v>-3.0021209999999998</v>
      </c>
      <c r="T3468">
        <v>-0.12943769999999999</v>
      </c>
      <c r="U3468">
        <v>-5.1406859999999999E-2</v>
      </c>
      <c r="V3468">
        <v>4.3152309999999999E-2</v>
      </c>
      <c r="W3468">
        <v>2.3443760000000001E-2</v>
      </c>
      <c r="X3468">
        <v>0.99879340000000005</v>
      </c>
      <c r="Y3468">
        <v>1.8074980000000001E-2</v>
      </c>
      <c r="Z3468">
        <v>1.907667E-3</v>
      </c>
      <c r="AA3468">
        <v>0.99983480000000002</v>
      </c>
      <c r="AB3468">
        <v>22</v>
      </c>
      <c r="AC3468">
        <v>-25.5594999999999</v>
      </c>
      <c r="AD3468">
        <v>-1.1109750945900001</v>
      </c>
      <c r="AE3468">
        <v>-0.43269999999998199</v>
      </c>
      <c r="AF3468">
        <v>0.46740299118473499</v>
      </c>
      <c r="AG3468">
        <v>-1.1109750945900001</v>
      </c>
      <c r="AH3468">
        <v>25.510688913266701</v>
      </c>
      <c r="AI3468">
        <v>92.493203055462203</v>
      </c>
      <c r="AJ3468">
        <v>88.950352818672798</v>
      </c>
      <c r="AK3468">
        <v>25.5391460320512</v>
      </c>
      <c r="AL3468">
        <v>88.656648415383998</v>
      </c>
      <c r="AM3468">
        <v>87.526106415054997</v>
      </c>
      <c r="AN3468">
        <v>0.999999993812417</v>
      </c>
    </row>
    <row r="3469" spans="1:40" x14ac:dyDescent="0.25">
      <c r="A3469" t="str">
        <f>"20190312154624922"</f>
        <v>20190312154624922</v>
      </c>
      <c r="B3469" t="str">
        <f>"1552376784910497"</f>
        <v>1552376784910497</v>
      </c>
      <c r="C3469" t="s">
        <v>40</v>
      </c>
      <c r="D3469">
        <v>4.3250199999999897</v>
      </c>
      <c r="E3469">
        <v>0.49163499999999999</v>
      </c>
      <c r="F3469" t="s">
        <v>42</v>
      </c>
      <c r="G3469">
        <v>-242.83619999999999</v>
      </c>
      <c r="H3469" s="1">
        <v>-3.318397E-6</v>
      </c>
      <c r="I3469">
        <v>140.60409999999999</v>
      </c>
      <c r="J3469">
        <v>-218.01679999999999</v>
      </c>
      <c r="K3469">
        <v>1.1110629999999999</v>
      </c>
      <c r="L3469">
        <v>141.01130000000001</v>
      </c>
      <c r="M3469">
        <v>-0.99923030000000002</v>
      </c>
      <c r="N3469">
        <v>0</v>
      </c>
      <c r="O3469">
        <v>-3.6937240000000003E-2</v>
      </c>
      <c r="P3469">
        <v>-0.99992610000000004</v>
      </c>
      <c r="Q3469">
        <v>8.8828880000000002E-3</v>
      </c>
      <c r="R3469">
        <v>8.3103629999999994E-3</v>
      </c>
      <c r="S3469">
        <v>-3.0020289999999998</v>
      </c>
      <c r="T3469">
        <v>-0.13315439999999901</v>
      </c>
      <c r="U3469">
        <v>-4.9987789999999997E-2</v>
      </c>
      <c r="V3469">
        <v>4.5179909999999997E-2</v>
      </c>
      <c r="W3469">
        <v>2.219811E-2</v>
      </c>
      <c r="X3469">
        <v>0.99873219999999996</v>
      </c>
      <c r="Y3469">
        <v>2.0241499999999999E-2</v>
      </c>
      <c r="Z3469">
        <v>2.085815E-3</v>
      </c>
      <c r="AA3469">
        <v>0.99979289999999998</v>
      </c>
      <c r="AB3469">
        <v>22</v>
      </c>
      <c r="AC3469">
        <v>-24.819400000000002</v>
      </c>
      <c r="AD3469">
        <v>-1.111066318397</v>
      </c>
      <c r="AE3469">
        <v>-0.40720000000001699</v>
      </c>
      <c r="AF3469">
        <v>0.508898477906647</v>
      </c>
      <c r="AG3469">
        <v>-1.111066318397</v>
      </c>
      <c r="AH3469">
        <v>24.7678806857271</v>
      </c>
      <c r="AI3469">
        <v>92.567977264964895</v>
      </c>
      <c r="AJ3469">
        <v>88.822925818885295</v>
      </c>
      <c r="AK3469">
        <v>24.7980112042701</v>
      </c>
      <c r="AL3469">
        <v>88.728037500192997</v>
      </c>
      <c r="AM3469">
        <v>87.4098616871498</v>
      </c>
      <c r="AN3469">
        <v>0.99999999383601001</v>
      </c>
    </row>
    <row r="3470" spans="1:40" x14ac:dyDescent="0.25">
      <c r="A3470" t="str">
        <f>"20190312154624944"</f>
        <v>20190312154624944</v>
      </c>
      <c r="B3470" t="str">
        <f>"1552376784940750"</f>
        <v>1552376784940750</v>
      </c>
      <c r="C3470" t="s">
        <v>40</v>
      </c>
      <c r="D3470">
        <v>4.3127870000000001</v>
      </c>
      <c r="E3470">
        <v>0.49184640000000002</v>
      </c>
      <c r="F3470" t="s">
        <v>42</v>
      </c>
      <c r="G3470">
        <v>-241.8837</v>
      </c>
      <c r="H3470" s="1">
        <v>-3.735452E-6</v>
      </c>
      <c r="I3470">
        <v>140.63570000000001</v>
      </c>
      <c r="J3470">
        <v>-218.23060000000001</v>
      </c>
      <c r="K3470">
        <v>1.1111329999999999</v>
      </c>
      <c r="L3470">
        <v>141.00139999999999</v>
      </c>
      <c r="M3470">
        <v>-0.99916519999999998</v>
      </c>
      <c r="N3470">
        <v>0</v>
      </c>
      <c r="O3470">
        <v>-3.8663339999999997E-2</v>
      </c>
      <c r="P3470">
        <v>-0.99992380000000003</v>
      </c>
      <c r="Q3470">
        <v>8.2129390000000007E-3</v>
      </c>
      <c r="R3470">
        <v>9.2282249999999996E-3</v>
      </c>
      <c r="S3470">
        <v>-3.001862</v>
      </c>
      <c r="T3470">
        <v>-0.1397446</v>
      </c>
      <c r="U3470">
        <v>-4.7225950000000003E-2</v>
      </c>
      <c r="V3470">
        <v>4.782074E-2</v>
      </c>
      <c r="W3470">
        <v>2.1540710000000001E-2</v>
      </c>
      <c r="X3470">
        <v>0.9986237</v>
      </c>
      <c r="Y3470">
        <v>2.2876790000000001E-2</v>
      </c>
      <c r="Z3470">
        <v>2.330646E-3</v>
      </c>
      <c r="AA3470">
        <v>0.99973559999999995</v>
      </c>
      <c r="AB3470">
        <v>22</v>
      </c>
      <c r="AC3470">
        <v>-23.653099999999899</v>
      </c>
      <c r="AD3470">
        <v>-1.1111367354520001</v>
      </c>
      <c r="AE3470">
        <v>-0.36569999999997499</v>
      </c>
      <c r="AF3470">
        <v>0.54795200622468498</v>
      </c>
      <c r="AG3470">
        <v>-1.1111367354520001</v>
      </c>
      <c r="AH3470">
        <v>23.5974897545624</v>
      </c>
      <c r="AI3470">
        <v>92.695173862414293</v>
      </c>
      <c r="AJ3470">
        <v>88.669786632008098</v>
      </c>
      <c r="AK3470">
        <v>23.629989398276798</v>
      </c>
      <c r="AL3470">
        <v>88.765712838535805</v>
      </c>
      <c r="AM3470">
        <v>87.258391609104393</v>
      </c>
      <c r="AN3470">
        <v>1.0000000597815599</v>
      </c>
    </row>
    <row r="3471" spans="1:40" x14ac:dyDescent="0.25">
      <c r="A3471" t="str">
        <f>"20190312154624968"</f>
        <v>20190312154624968</v>
      </c>
      <c r="B3471" t="str">
        <f>"1552376784961246"</f>
        <v>1552376784961246</v>
      </c>
      <c r="C3471" t="s">
        <v>40</v>
      </c>
      <c r="D3471">
        <v>4.3697800000000004</v>
      </c>
      <c r="E3471">
        <v>0.49192459999999999</v>
      </c>
      <c r="F3471" t="s">
        <v>42</v>
      </c>
      <c r="G3471">
        <v>-241.1711</v>
      </c>
      <c r="H3471" s="1">
        <v>-4.0508780000000003E-6</v>
      </c>
      <c r="I3471">
        <v>140.67240000000001</v>
      </c>
      <c r="J3471">
        <v>-218.46979999999999</v>
      </c>
      <c r="K3471">
        <v>1.111173</v>
      </c>
      <c r="L3471">
        <v>140.9898</v>
      </c>
      <c r="M3471">
        <v>-0.99908399999999997</v>
      </c>
      <c r="N3471">
        <v>0</v>
      </c>
      <c r="O3471">
        <v>-4.0706340000000001E-2</v>
      </c>
      <c r="P3471">
        <v>-0.9999207</v>
      </c>
      <c r="Q3471">
        <v>8.7905589999999999E-3</v>
      </c>
      <c r="R3471">
        <v>9.0171160000000004E-3</v>
      </c>
      <c r="S3471">
        <v>-3.0018159999999998</v>
      </c>
      <c r="T3471">
        <v>-0.14539479999999999</v>
      </c>
      <c r="U3471">
        <v>-4.304504E-2</v>
      </c>
      <c r="V3471">
        <v>4.9648020000000001E-2</v>
      </c>
      <c r="W3471">
        <v>2.212517E-2</v>
      </c>
      <c r="X3471">
        <v>0.99852169999999896</v>
      </c>
      <c r="Y3471">
        <v>2.630089E-2</v>
      </c>
      <c r="Z3471">
        <v>2.6065440000000001E-3</v>
      </c>
      <c r="AA3471">
        <v>0.9996507</v>
      </c>
      <c r="AB3471">
        <v>22</v>
      </c>
      <c r="AC3471">
        <v>-22.7013</v>
      </c>
      <c r="AD3471">
        <v>-1.1111770508779999</v>
      </c>
      <c r="AE3471">
        <v>-0.31739999999999202</v>
      </c>
      <c r="AF3471">
        <v>0.60557982254269904</v>
      </c>
      <c r="AG3471">
        <v>-1.1111770508779999</v>
      </c>
      <c r="AH3471">
        <v>22.6411672257798</v>
      </c>
      <c r="AI3471">
        <v>92.808689439332795</v>
      </c>
      <c r="AJ3471">
        <v>88.467883870669894</v>
      </c>
      <c r="AK3471">
        <v>22.6765053459653</v>
      </c>
      <c r="AL3471">
        <v>88.732217710657494</v>
      </c>
      <c r="AM3471">
        <v>87.153510743168098</v>
      </c>
      <c r="AN3471">
        <v>1.0000000172041601</v>
      </c>
    </row>
    <row r="3472" spans="1:40" x14ac:dyDescent="0.25">
      <c r="A3472" t="str">
        <f>"20190312154624991"</f>
        <v>20190312154624991</v>
      </c>
      <c r="B3472" t="str">
        <f>"1552376784980766"</f>
        <v>1552376784980766</v>
      </c>
      <c r="C3472" t="s">
        <v>40</v>
      </c>
      <c r="D3472">
        <v>4.3725129999999996</v>
      </c>
      <c r="E3472">
        <v>0.49194450000000001</v>
      </c>
      <c r="F3472" t="s">
        <v>42</v>
      </c>
      <c r="G3472">
        <v>-241.46260000000001</v>
      </c>
      <c r="H3472" s="1">
        <v>-3.9227060000000003E-6</v>
      </c>
      <c r="I3472">
        <v>140.66059999999999</v>
      </c>
      <c r="J3472">
        <v>-218.69460000000001</v>
      </c>
      <c r="K3472">
        <v>1.111181</v>
      </c>
      <c r="L3472">
        <v>140.97829999999999</v>
      </c>
      <c r="M3472">
        <v>-0.99900149999999999</v>
      </c>
      <c r="N3472">
        <v>0</v>
      </c>
      <c r="O3472">
        <v>-4.2685620000000001E-2</v>
      </c>
      <c r="P3472">
        <v>-0.99992199999999998</v>
      </c>
      <c r="Q3472">
        <v>9.6572519999999999E-3</v>
      </c>
      <c r="R3472">
        <v>7.9328179999999995E-3</v>
      </c>
      <c r="S3472">
        <v>-3.0019070000000001</v>
      </c>
      <c r="T3472">
        <v>-0.145073799999999</v>
      </c>
      <c r="U3472">
        <v>-4.296875E-2</v>
      </c>
      <c r="V3472">
        <v>5.0540160000000001E-2</v>
      </c>
      <c r="W3472">
        <v>2.299327E-2</v>
      </c>
      <c r="X3472">
        <v>0.99845729999999999</v>
      </c>
      <c r="Y3472">
        <v>2.8302859999999999E-2</v>
      </c>
      <c r="Z3472">
        <v>2.7445849999999999E-3</v>
      </c>
      <c r="AA3472">
        <v>0.99959560000000003</v>
      </c>
      <c r="AB3472">
        <v>22</v>
      </c>
      <c r="AC3472">
        <v>-22.768000000000001</v>
      </c>
      <c r="AD3472">
        <v>-1.111184922706</v>
      </c>
      <c r="AE3472">
        <v>-0.31770000000000198</v>
      </c>
      <c r="AF3472">
        <v>0.65298530699672297</v>
      </c>
      <c r="AG3472">
        <v>-1.111184922706</v>
      </c>
      <c r="AH3472">
        <v>22.7067324153284</v>
      </c>
      <c r="AI3472">
        <v>92.800456260833798</v>
      </c>
      <c r="AJ3472">
        <v>88.352779554788995</v>
      </c>
      <c r="AK3472">
        <v>22.743280737943898</v>
      </c>
      <c r="AL3472">
        <v>88.682466545449699</v>
      </c>
      <c r="AM3472">
        <v>87.102261159316697</v>
      </c>
      <c r="AN3472">
        <v>0.99999998908070398</v>
      </c>
    </row>
    <row r="3473" spans="1:40" x14ac:dyDescent="0.25">
      <c r="A3473" t="str">
        <f>"20190312154625025"</f>
        <v>20190312154625025</v>
      </c>
      <c r="B3473" t="str">
        <f>"1552376785020781"</f>
        <v>1552376785020781</v>
      </c>
      <c r="C3473" t="s">
        <v>40</v>
      </c>
      <c r="D3473">
        <v>4.3916029999999999</v>
      </c>
      <c r="E3473">
        <v>0.4919075</v>
      </c>
      <c r="F3473" t="s">
        <v>42</v>
      </c>
      <c r="G3473">
        <v>-241.9177</v>
      </c>
      <c r="H3473" s="1">
        <v>-3.717962E-6</v>
      </c>
      <c r="I3473">
        <v>140.6249</v>
      </c>
      <c r="J3473">
        <v>-219.0283</v>
      </c>
      <c r="K3473">
        <v>1.1111500000000001</v>
      </c>
      <c r="L3473">
        <v>140.96039999999999</v>
      </c>
      <c r="M3473">
        <v>-0.99887009999999998</v>
      </c>
      <c r="N3473">
        <v>0</v>
      </c>
      <c r="O3473">
        <v>-4.5658999999999998E-2</v>
      </c>
      <c r="P3473">
        <v>-0.99994280000000002</v>
      </c>
      <c r="Q3473">
        <v>9.5393990000000005E-3</v>
      </c>
      <c r="R3473">
        <v>4.8632340000000001E-3</v>
      </c>
      <c r="S3473">
        <v>-3.0019990000000001</v>
      </c>
      <c r="T3473">
        <v>-0.143640299999999</v>
      </c>
      <c r="U3473">
        <v>-4.5669559999999998E-2</v>
      </c>
      <c r="V3473">
        <v>5.0449330000000001E-2</v>
      </c>
      <c r="W3473">
        <v>2.28679E-2</v>
      </c>
      <c r="X3473">
        <v>0.99846480000000004</v>
      </c>
      <c r="Y3473">
        <v>3.0375329999999999E-2</v>
      </c>
      <c r="Z3473">
        <v>2.9090019999999999E-3</v>
      </c>
      <c r="AA3473">
        <v>0.99953429999999999</v>
      </c>
      <c r="AB3473">
        <v>22</v>
      </c>
      <c r="AC3473">
        <v>-22.889399999999899</v>
      </c>
      <c r="AD3473">
        <v>-1.1111537179619999</v>
      </c>
      <c r="AE3473">
        <v>-0.33549999999999602</v>
      </c>
      <c r="AF3473">
        <v>0.708378911886963</v>
      </c>
      <c r="AG3473">
        <v>-1.1111537179619999</v>
      </c>
      <c r="AH3473">
        <v>22.8270621464365</v>
      </c>
      <c r="AI3473">
        <v>92.785450261727902</v>
      </c>
      <c r="AJ3473">
        <v>88.222543900040307</v>
      </c>
      <c r="AK3473">
        <v>22.8650657008683</v>
      </c>
      <c r="AL3473">
        <v>88.689651642317898</v>
      </c>
      <c r="AM3473">
        <v>87.107481769579906</v>
      </c>
      <c r="AN3473">
        <v>1.0000000162934399</v>
      </c>
    </row>
    <row r="3474" spans="1:40" x14ac:dyDescent="0.25">
      <c r="A3474" t="str">
        <f>"20190312154625056"</f>
        <v>20190312154625056</v>
      </c>
      <c r="B3474" t="str">
        <f>"1552376785051037"</f>
        <v>1552376785051037</v>
      </c>
      <c r="C3474" t="s">
        <v>40</v>
      </c>
      <c r="D3474">
        <v>4.4157359999999999</v>
      </c>
      <c r="E3474">
        <v>0.49128080000000002</v>
      </c>
      <c r="F3474" t="s">
        <v>42</v>
      </c>
      <c r="G3474">
        <v>-241.7363</v>
      </c>
      <c r="H3474" s="1">
        <v>-3.774086E-6</v>
      </c>
      <c r="I3474">
        <v>140.54339999999999</v>
      </c>
      <c r="J3474">
        <v>-219.339</v>
      </c>
      <c r="K3474">
        <v>1.111097</v>
      </c>
      <c r="L3474">
        <v>140.94290000000001</v>
      </c>
      <c r="M3474">
        <v>-0.99874229999999997</v>
      </c>
      <c r="N3474">
        <v>0</v>
      </c>
      <c r="O3474">
        <v>-4.8373319999999997E-2</v>
      </c>
      <c r="P3474">
        <v>-0.99995699999999998</v>
      </c>
      <c r="Q3474">
        <v>9.0097200000000006E-3</v>
      </c>
      <c r="R3474">
        <v>2.2462290000000002E-3</v>
      </c>
      <c r="S3474">
        <v>-3.0018310000000001</v>
      </c>
      <c r="T3474">
        <v>-0.1468865</v>
      </c>
      <c r="U3474">
        <v>-5.5114749999999997E-2</v>
      </c>
      <c r="V3474">
        <v>5.0554679999999998E-2</v>
      </c>
      <c r="W3474">
        <v>2.2328730000000001E-2</v>
      </c>
      <c r="X3474">
        <v>0.99847169999999996</v>
      </c>
      <c r="Y3474">
        <v>2.993997E-2</v>
      </c>
      <c r="Z3474">
        <v>3.0966689999999998E-3</v>
      </c>
      <c r="AA3474">
        <v>0.99954690000000002</v>
      </c>
      <c r="AB3474">
        <v>22</v>
      </c>
      <c r="AC3474">
        <v>-22.397299999999898</v>
      </c>
      <c r="AD3474">
        <v>-1.1111007740859999</v>
      </c>
      <c r="AE3474">
        <v>-0.39950000000001701</v>
      </c>
      <c r="AF3474">
        <v>0.68281382435454796</v>
      </c>
      <c r="AG3474">
        <v>-1.1111007740859999</v>
      </c>
      <c r="AH3474">
        <v>22.335451752584401</v>
      </c>
      <c r="AI3474">
        <v>92.846564099181506</v>
      </c>
      <c r="AJ3474">
        <v>88.248964472528002</v>
      </c>
      <c r="AK3474">
        <v>22.3734929021136</v>
      </c>
      <c r="AL3474">
        <v>88.720551731327106</v>
      </c>
      <c r="AM3474">
        <v>87.101471801234396</v>
      </c>
      <c r="AN3474">
        <v>1.0000000417771</v>
      </c>
    </row>
    <row r="3475" spans="1:40" x14ac:dyDescent="0.25">
      <c r="A3475" t="str">
        <f>"20190312154625079"</f>
        <v>20190312154625079</v>
      </c>
      <c r="B3475" t="str">
        <f>"1552376785070557"</f>
        <v>1552376785070557</v>
      </c>
      <c r="C3475" t="s">
        <v>40</v>
      </c>
      <c r="D3475">
        <v>4.4437170000000004</v>
      </c>
      <c r="E3475">
        <v>0.4911219</v>
      </c>
      <c r="F3475" t="s">
        <v>42</v>
      </c>
      <c r="G3475">
        <v>-237.661</v>
      </c>
      <c r="H3475" s="1">
        <v>-1.2263320000000001E-6</v>
      </c>
      <c r="I3475">
        <v>140.5205</v>
      </c>
      <c r="J3475">
        <v>-219.5592</v>
      </c>
      <c r="K3475">
        <v>1.1110530000000001</v>
      </c>
      <c r="L3475">
        <v>140.93</v>
      </c>
      <c r="M3475">
        <v>-0.99865040000000005</v>
      </c>
      <c r="N3475">
        <v>0</v>
      </c>
      <c r="O3475">
        <v>-5.0233760000000002E-2</v>
      </c>
      <c r="P3475">
        <v>-0.99995529999999999</v>
      </c>
      <c r="Q3475">
        <v>9.4685389999999998E-3</v>
      </c>
      <c r="R3475">
        <v>2.274748E-4</v>
      </c>
      <c r="S3475">
        <v>-3.001938</v>
      </c>
      <c r="T3475">
        <v>-0.18204580000000001</v>
      </c>
      <c r="U3475">
        <v>-6.9183350000000005E-2</v>
      </c>
      <c r="V3475">
        <v>5.0399939999999997E-2</v>
      </c>
      <c r="W3475">
        <v>2.277875E-2</v>
      </c>
      <c r="X3475">
        <v>0.9984693</v>
      </c>
      <c r="Y3475">
        <v>2.7071930000000001E-2</v>
      </c>
      <c r="Z3475">
        <v>3.861976E-3</v>
      </c>
      <c r="AA3475">
        <v>0.99962600000000001</v>
      </c>
      <c r="AB3475">
        <v>22</v>
      </c>
      <c r="AC3475">
        <v>-18.101799999999901</v>
      </c>
      <c r="AD3475">
        <v>-1.111054226332</v>
      </c>
      <c r="AE3475">
        <v>-0.40950000000000802</v>
      </c>
      <c r="AF3475">
        <v>0.49854048617584301</v>
      </c>
      <c r="AG3475">
        <v>-1.111054226332</v>
      </c>
      <c r="AH3475">
        <v>18.031619519666201</v>
      </c>
      <c r="AI3475">
        <v>93.524592589919806</v>
      </c>
      <c r="AJ3475">
        <v>88.416282534965802</v>
      </c>
      <c r="AK3475">
        <v>18.072694503371999</v>
      </c>
      <c r="AL3475">
        <v>88.694760850001103</v>
      </c>
      <c r="AM3475">
        <v>87.110321750526793</v>
      </c>
      <c r="AN3475">
        <v>0.99999998422302705</v>
      </c>
    </row>
    <row r="3476" spans="1:40" x14ac:dyDescent="0.25">
      <c r="A3476" t="str">
        <f>"20190312154625101"</f>
        <v>20190312154625101</v>
      </c>
      <c r="B3476" t="str">
        <f>"1552376785090758"</f>
        <v>1552376785090758</v>
      </c>
      <c r="C3476" t="s">
        <v>40</v>
      </c>
      <c r="D3476">
        <v>4.4143309999999998</v>
      </c>
      <c r="E3476">
        <v>0.49081720000000001</v>
      </c>
      <c r="F3476" t="s">
        <v>42</v>
      </c>
      <c r="G3476">
        <v>-238.58330000000001</v>
      </c>
      <c r="H3476" s="1">
        <v>-8.1020699999999997E-7</v>
      </c>
      <c r="I3476">
        <v>140.4435</v>
      </c>
      <c r="J3476">
        <v>-219.77680000000001</v>
      </c>
      <c r="K3476">
        <v>1.110997</v>
      </c>
      <c r="L3476">
        <v>140.9169</v>
      </c>
      <c r="M3476">
        <v>-0.99856069999999997</v>
      </c>
      <c r="N3476">
        <v>0</v>
      </c>
      <c r="O3476">
        <v>-5.1988859999999998E-2</v>
      </c>
      <c r="P3476">
        <v>-0.99993710000000002</v>
      </c>
      <c r="Q3476">
        <v>1.107402E-2</v>
      </c>
      <c r="R3476">
        <v>-1.821973E-3</v>
      </c>
      <c r="S3476">
        <v>-3.0018159999999998</v>
      </c>
      <c r="T3476">
        <v>-0.17531440000000001</v>
      </c>
      <c r="U3476">
        <v>-7.6751710000000001E-2</v>
      </c>
      <c r="V3476">
        <v>5.0106400000000002E-2</v>
      </c>
      <c r="W3476">
        <v>2.4373329999999999E-2</v>
      </c>
      <c r="X3476">
        <v>0.99844650000000001</v>
      </c>
      <c r="Y3476">
        <v>2.631764E-2</v>
      </c>
      <c r="Z3476">
        <v>3.7996810000000001E-3</v>
      </c>
      <c r="AA3476">
        <v>0.99964640000000005</v>
      </c>
      <c r="AB3476">
        <v>22</v>
      </c>
      <c r="AC3476">
        <v>-18.8065</v>
      </c>
      <c r="AD3476">
        <v>-1.1109978102069999</v>
      </c>
      <c r="AE3476">
        <v>-0.47339999999999799</v>
      </c>
      <c r="AF3476">
        <v>0.50329838417342698</v>
      </c>
      <c r="AG3476">
        <v>-1.1109978102069999</v>
      </c>
      <c r="AH3476">
        <v>18.740316516632902</v>
      </c>
      <c r="AI3476">
        <v>93.391522486111597</v>
      </c>
      <c r="AJ3476">
        <v>88.461608523253005</v>
      </c>
      <c r="AK3476">
        <v>18.779965083603901</v>
      </c>
      <c r="AL3476">
        <v>88.603372841694707</v>
      </c>
      <c r="AM3476">
        <v>87.127058082426899</v>
      </c>
      <c r="AN3476">
        <v>1.00000006194924</v>
      </c>
    </row>
    <row r="3477" spans="1:40" x14ac:dyDescent="0.25">
      <c r="A3477" t="str">
        <f>"20190312154625124"</f>
        <v>20190312154625124</v>
      </c>
      <c r="B3477" t="str">
        <f>"1552376785111253"</f>
        <v>1552376785111253</v>
      </c>
      <c r="C3477" t="s">
        <v>40</v>
      </c>
      <c r="D3477">
        <v>4.4484680000000001</v>
      </c>
      <c r="E3477">
        <v>0.49075740000000001</v>
      </c>
      <c r="F3477" t="s">
        <v>42</v>
      </c>
      <c r="G3477">
        <v>-240.32550000000001</v>
      </c>
      <c r="H3477" s="1">
        <v>-4.292387E-6</v>
      </c>
      <c r="I3477">
        <v>140.333</v>
      </c>
      <c r="J3477">
        <v>-220.00280000000001</v>
      </c>
      <c r="K3477">
        <v>1.1109249999999999</v>
      </c>
      <c r="L3477">
        <v>140.90299999999999</v>
      </c>
      <c r="M3477">
        <v>-0.99846990000000002</v>
      </c>
      <c r="N3477">
        <v>0</v>
      </c>
      <c r="O3477">
        <v>-5.3705019999999999E-2</v>
      </c>
      <c r="P3477">
        <v>-0.99991870000000005</v>
      </c>
      <c r="Q3477">
        <v>1.2260210000000001E-2</v>
      </c>
      <c r="R3477">
        <v>-3.5374289999999999E-3</v>
      </c>
      <c r="S3477">
        <v>-3.001846</v>
      </c>
      <c r="T3477">
        <v>-0.16230049999999999</v>
      </c>
      <c r="U3477">
        <v>-8.5296629999999998E-2</v>
      </c>
      <c r="V3477">
        <v>5.0110219999999997E-2</v>
      </c>
      <c r="W3477">
        <v>2.554741E-2</v>
      </c>
      <c r="X3477">
        <v>0.99841690000000005</v>
      </c>
      <c r="Y3477">
        <v>2.5210679999999999E-2</v>
      </c>
      <c r="Z3477">
        <v>3.5805070000000001E-3</v>
      </c>
      <c r="AA3477">
        <v>0.9996758</v>
      </c>
      <c r="AB3477">
        <v>22</v>
      </c>
      <c r="AC3477">
        <v>-20.322700000000001</v>
      </c>
      <c r="AD3477">
        <v>-1.110929292387</v>
      </c>
      <c r="AE3477">
        <v>-0.56999999999999296</v>
      </c>
      <c r="AF3477">
        <v>0.52079350333075203</v>
      </c>
      <c r="AG3477">
        <v>-1.110929292387</v>
      </c>
      <c r="AH3477">
        <v>20.2634768211576</v>
      </c>
      <c r="AI3477">
        <v>93.137021039365194</v>
      </c>
      <c r="AJ3477">
        <v>88.527759943037495</v>
      </c>
      <c r="AK3477">
        <v>20.300588234023799</v>
      </c>
      <c r="AL3477">
        <v>88.536081965144703</v>
      </c>
      <c r="AM3477">
        <v>87.126754385066306</v>
      </c>
      <c r="AN3477">
        <v>1.00000000525588</v>
      </c>
    </row>
    <row r="3478" spans="1:40" x14ac:dyDescent="0.25">
      <c r="A3478" t="str">
        <f>"20190312154625145"</f>
        <v>20190312154625145</v>
      </c>
      <c r="B3478" t="str">
        <f>"1552376785140534"</f>
        <v>1552376785140534</v>
      </c>
      <c r="C3478" t="s">
        <v>40</v>
      </c>
      <c r="D3478">
        <v>4.4806410000000003</v>
      </c>
      <c r="E3478">
        <v>0.49074040000000002</v>
      </c>
      <c r="F3478" t="s">
        <v>42</v>
      </c>
      <c r="G3478">
        <v>-241.51060000000001</v>
      </c>
      <c r="H3478" s="1">
        <v>-3.7937959999999999E-6</v>
      </c>
      <c r="I3478">
        <v>140.25360000000001</v>
      </c>
      <c r="J3478">
        <v>-220.20429999999999</v>
      </c>
      <c r="K3478">
        <v>1.1108549999999999</v>
      </c>
      <c r="L3478">
        <v>140.8904</v>
      </c>
      <c r="M3478">
        <v>-0.9983919</v>
      </c>
      <c r="N3478">
        <v>0</v>
      </c>
      <c r="O3478">
        <v>-5.5135530000000002E-2</v>
      </c>
      <c r="P3478">
        <v>-0.99989779999999995</v>
      </c>
      <c r="Q3478">
        <v>1.3257349999999999E-2</v>
      </c>
      <c r="R3478">
        <v>-5.374958E-3</v>
      </c>
      <c r="S3478">
        <v>-3.0018159999999998</v>
      </c>
      <c r="T3478">
        <v>-0.15505060000000001</v>
      </c>
      <c r="U3478">
        <v>-9.0637209999999996E-2</v>
      </c>
      <c r="V3478">
        <v>4.9707679999999997E-2</v>
      </c>
      <c r="W3478">
        <v>2.6531269999999999E-2</v>
      </c>
      <c r="X3478">
        <v>0.99841139999999995</v>
      </c>
      <c r="Y3478">
        <v>2.487427E-2</v>
      </c>
      <c r="Z3478">
        <v>3.4857360000000001E-3</v>
      </c>
      <c r="AA3478">
        <v>0.99968449999999998</v>
      </c>
      <c r="AB3478">
        <v>22</v>
      </c>
      <c r="AC3478">
        <v>-21.3063</v>
      </c>
      <c r="AD3478">
        <v>-1.1108587937959999</v>
      </c>
      <c r="AE3478">
        <v>-0.63679999999999304</v>
      </c>
      <c r="AF3478">
        <v>0.53754507316315003</v>
      </c>
      <c r="AG3478">
        <v>-1.1108587937959999</v>
      </c>
      <c r="AH3478">
        <v>21.251281908211801</v>
      </c>
      <c r="AI3478">
        <v>92.991318298444995</v>
      </c>
      <c r="AJ3478">
        <v>88.551028686216299</v>
      </c>
      <c r="AK3478">
        <v>21.287083987895699</v>
      </c>
      <c r="AL3478">
        <v>88.479691873627402</v>
      </c>
      <c r="AM3478">
        <v>87.149781543304996</v>
      </c>
      <c r="AN3478">
        <v>1.00000004269437</v>
      </c>
    </row>
    <row r="3479" spans="1:40" x14ac:dyDescent="0.25">
      <c r="A3479" t="str">
        <f>"20190312154625168"</f>
        <v>20190312154625168</v>
      </c>
      <c r="B3479" t="str">
        <f>"1552376785161030"</f>
        <v>1552376785161030</v>
      </c>
      <c r="C3479" t="s">
        <v>40</v>
      </c>
      <c r="D3479">
        <v>4.4693969999999998</v>
      </c>
      <c r="E3479">
        <v>0.49086419999999997</v>
      </c>
      <c r="F3479" t="s">
        <v>42</v>
      </c>
      <c r="G3479">
        <v>-242.5256</v>
      </c>
      <c r="H3479" s="1">
        <v>-3.3378879999999999E-6</v>
      </c>
      <c r="I3479">
        <v>140.17660000000001</v>
      </c>
      <c r="J3479">
        <v>-220.43450000000001</v>
      </c>
      <c r="K3479">
        <v>1.1107750000000001</v>
      </c>
      <c r="L3479">
        <v>140.8758</v>
      </c>
      <c r="M3479">
        <v>-0.99830620000000003</v>
      </c>
      <c r="N3479">
        <v>0</v>
      </c>
      <c r="O3479">
        <v>-5.666769E-2</v>
      </c>
      <c r="P3479">
        <v>-0.99987890000000001</v>
      </c>
      <c r="Q3479">
        <v>1.404978E-2</v>
      </c>
      <c r="R3479">
        <v>-6.7149050000000002E-3</v>
      </c>
      <c r="S3479">
        <v>-3.0017849999999999</v>
      </c>
      <c r="T3479">
        <v>-0.14938950000000001</v>
      </c>
      <c r="U3479">
        <v>-9.5993040000000002E-2</v>
      </c>
      <c r="V3479">
        <v>4.9905390000000001E-2</v>
      </c>
      <c r="W3479">
        <v>2.731014E-2</v>
      </c>
      <c r="X3479">
        <v>0.9983805</v>
      </c>
      <c r="Y3479">
        <v>2.4632299999999999E-2</v>
      </c>
      <c r="Z3479">
        <v>3.428586E-3</v>
      </c>
      <c r="AA3479">
        <v>0.99969070000000004</v>
      </c>
      <c r="AB3479">
        <v>22</v>
      </c>
      <c r="AC3479">
        <v>-22.091099999999901</v>
      </c>
      <c r="AD3479">
        <v>-1.1107783378880001</v>
      </c>
      <c r="AE3479">
        <v>-0.69919999999999005</v>
      </c>
      <c r="AF3479">
        <v>0.55248853256587305</v>
      </c>
      <c r="AG3479">
        <v>-1.1107783378880001</v>
      </c>
      <c r="AH3479">
        <v>22.039555276197898</v>
      </c>
      <c r="AI3479">
        <v>92.8843217975827</v>
      </c>
      <c r="AJ3479">
        <v>88.564007646530399</v>
      </c>
      <c r="AK3479">
        <v>22.0744437951926</v>
      </c>
      <c r="AL3479">
        <v>88.435049675557806</v>
      </c>
      <c r="AM3479">
        <v>87.138375318264906</v>
      </c>
      <c r="AN3479">
        <v>1.00000000723906</v>
      </c>
    </row>
    <row r="3480" spans="1:40" x14ac:dyDescent="0.25">
      <c r="A3480" t="str">
        <f>"20190312154625191"</f>
        <v>20190312154625191</v>
      </c>
      <c r="B3480" t="str">
        <f>"1552376785180549"</f>
        <v>1552376785180549</v>
      </c>
      <c r="C3480" t="s">
        <v>40</v>
      </c>
      <c r="D3480">
        <v>4.4475249999999997</v>
      </c>
      <c r="E3480">
        <v>0.49096380000000001</v>
      </c>
      <c r="F3480" t="s">
        <v>42</v>
      </c>
      <c r="G3480">
        <v>-243.14</v>
      </c>
      <c r="H3480" s="1">
        <v>-3.0613330000000001E-6</v>
      </c>
      <c r="I3480">
        <v>140.12780000000001</v>
      </c>
      <c r="J3480">
        <v>-220.65350000000001</v>
      </c>
      <c r="K3480">
        <v>1.1107049999999901</v>
      </c>
      <c r="L3480">
        <v>140.86160000000001</v>
      </c>
      <c r="M3480">
        <v>-0.99822840000000002</v>
      </c>
      <c r="N3480">
        <v>0</v>
      </c>
      <c r="O3480">
        <v>-5.8022549999999999E-2</v>
      </c>
      <c r="P3480">
        <v>-0.99985329999999994</v>
      </c>
      <c r="Q3480">
        <v>1.499559E-2</v>
      </c>
      <c r="R3480">
        <v>-8.2930299999999998E-3</v>
      </c>
      <c r="S3480">
        <v>-3.00177</v>
      </c>
      <c r="T3480">
        <v>-0.1468496</v>
      </c>
      <c r="U3480">
        <v>-9.8876950000000005E-2</v>
      </c>
      <c r="V3480">
        <v>4.9686899999999999E-2</v>
      </c>
      <c r="W3480">
        <v>2.8242949999999999E-2</v>
      </c>
      <c r="X3480">
        <v>0.99836550000000002</v>
      </c>
      <c r="Y3480">
        <v>2.5030799999999999E-2</v>
      </c>
      <c r="Z3480">
        <v>3.446167E-3</v>
      </c>
      <c r="AA3480">
        <v>0.99968080000000004</v>
      </c>
      <c r="AB3480">
        <v>22</v>
      </c>
      <c r="AC3480">
        <v>-22.4864999999999</v>
      </c>
      <c r="AD3480">
        <v>-1.11070806133299</v>
      </c>
      <c r="AE3480">
        <v>-0.73380000000000201</v>
      </c>
      <c r="AF3480">
        <v>0.57088233871570704</v>
      </c>
      <c r="AG3480">
        <v>-1.11070806133299</v>
      </c>
      <c r="AH3480">
        <v>22.4365078433053</v>
      </c>
      <c r="AI3480">
        <v>92.833169687978</v>
      </c>
      <c r="AJ3480">
        <v>88.542460672609096</v>
      </c>
      <c r="AK3480">
        <v>22.4712363532777</v>
      </c>
      <c r="AL3480">
        <v>88.381583056702297</v>
      </c>
      <c r="AM3480">
        <v>87.150840327968993</v>
      </c>
      <c r="AN3480">
        <v>1.0000000619232701</v>
      </c>
    </row>
    <row r="3481" spans="1:40" x14ac:dyDescent="0.25">
      <c r="A3481" t="str">
        <f>"20190312154625216"</f>
        <v>20190312154625216</v>
      </c>
      <c r="B3481" t="str">
        <f>"1552376785210807"</f>
        <v>1552376785210807</v>
      </c>
      <c r="C3481" t="s">
        <v>40</v>
      </c>
      <c r="D3481">
        <v>4.4339829999999996</v>
      </c>
      <c r="E3481">
        <v>0.49109530000000001</v>
      </c>
      <c r="F3481" t="s">
        <v>42</v>
      </c>
      <c r="G3481">
        <v>-243.76689999999999</v>
      </c>
      <c r="H3481" s="1">
        <v>-2.7770639999999999E-6</v>
      </c>
      <c r="I3481">
        <v>140.0702</v>
      </c>
      <c r="J3481">
        <v>-220.90020000000001</v>
      </c>
      <c r="K3481">
        <v>1.1106259999999999</v>
      </c>
      <c r="L3481">
        <v>140.84549999999999</v>
      </c>
      <c r="M3481">
        <v>-0.9981468</v>
      </c>
      <c r="N3481">
        <v>0</v>
      </c>
      <c r="O3481">
        <v>-5.9411020000000002E-2</v>
      </c>
      <c r="P3481">
        <v>-0.99982249999999995</v>
      </c>
      <c r="Q3481">
        <v>1.6174480000000001E-2</v>
      </c>
      <c r="R3481">
        <v>-9.6824830000000004E-3</v>
      </c>
      <c r="S3481">
        <v>-3.0017399999999999</v>
      </c>
      <c r="T3481">
        <v>-0.14424770000000001</v>
      </c>
      <c r="U3481">
        <v>-0.10278320000000001</v>
      </c>
      <c r="V3481">
        <v>4.9691319999999997E-2</v>
      </c>
      <c r="W3481">
        <v>2.940738E-2</v>
      </c>
      <c r="X3481">
        <v>0.99833159999999999</v>
      </c>
      <c r="Y3481">
        <v>2.5123340000000001E-2</v>
      </c>
      <c r="Z3481">
        <v>3.4538809999999998E-3</v>
      </c>
      <c r="AA3481">
        <v>0.99967839999999997</v>
      </c>
      <c r="AB3481">
        <v>22</v>
      </c>
      <c r="AC3481">
        <v>-22.866699999999899</v>
      </c>
      <c r="AD3481">
        <v>-1.110628777064</v>
      </c>
      <c r="AE3481">
        <v>-0.775299999999987</v>
      </c>
      <c r="AF3481">
        <v>0.58334687983211297</v>
      </c>
      <c r="AG3481">
        <v>-1.110628777064</v>
      </c>
      <c r="AH3481">
        <v>22.818599102730801</v>
      </c>
      <c r="AI3481">
        <v>92.785597334507898</v>
      </c>
      <c r="AJ3481">
        <v>88.535578994508796</v>
      </c>
      <c r="AK3481">
        <v>22.853057888908499</v>
      </c>
      <c r="AL3481">
        <v>88.314838297714104</v>
      </c>
      <c r="AM3481">
        <v>87.150490695750406</v>
      </c>
      <c r="AN3481">
        <v>1.0000000024201801</v>
      </c>
    </row>
    <row r="3482" spans="1:40" x14ac:dyDescent="0.25">
      <c r="A3482" t="str">
        <f>"20190312154625238"</f>
        <v>20190312154625238</v>
      </c>
      <c r="B3482" t="str">
        <f>"1552376785231302"</f>
        <v>1552376785231302</v>
      </c>
      <c r="C3482" t="s">
        <v>40</v>
      </c>
      <c r="D3482">
        <v>4.4511139999999996</v>
      </c>
      <c r="E3482">
        <v>0.49117139999999998</v>
      </c>
      <c r="F3482" t="s">
        <v>42</v>
      </c>
      <c r="G3482">
        <v>-244.53380000000001</v>
      </c>
      <c r="H3482" s="1">
        <v>-2.4328930000000001E-6</v>
      </c>
      <c r="I3482">
        <v>140.01310000000001</v>
      </c>
      <c r="J3482">
        <v>-221.10380000000001</v>
      </c>
      <c r="K3482">
        <v>1.110562</v>
      </c>
      <c r="L3482">
        <v>140.83199999999999</v>
      </c>
      <c r="M3482">
        <v>-0.99808529999999995</v>
      </c>
      <c r="N3482">
        <v>0</v>
      </c>
      <c r="O3482">
        <v>-6.0436360000000001E-2</v>
      </c>
      <c r="P3482">
        <v>-0.99979620000000002</v>
      </c>
      <c r="Q3482">
        <v>1.716579E-2</v>
      </c>
      <c r="R3482">
        <v>-1.0638709999999999E-2</v>
      </c>
      <c r="S3482">
        <v>-3.00177</v>
      </c>
      <c r="T3482">
        <v>-0.1410642</v>
      </c>
      <c r="U3482">
        <v>-0.105712899999999</v>
      </c>
      <c r="V3482">
        <v>4.9764740000000002E-2</v>
      </c>
      <c r="W3482">
        <v>3.0386360000000001E-2</v>
      </c>
      <c r="X3482">
        <v>0.99829860000000004</v>
      </c>
      <c r="Y3482">
        <v>2.5179190000000001E-2</v>
      </c>
      <c r="Z3482">
        <v>3.4269959999999999E-3</v>
      </c>
      <c r="AA3482">
        <v>0.99967709999999999</v>
      </c>
      <c r="AB3482">
        <v>22</v>
      </c>
      <c r="AC3482">
        <v>-23.43</v>
      </c>
      <c r="AD3482">
        <v>-1.110564432893</v>
      </c>
      <c r="AE3482">
        <v>-0.81889999999998497</v>
      </c>
      <c r="AF3482">
        <v>0.59740316866624799</v>
      </c>
      <c r="AG3482">
        <v>-1.110564432893</v>
      </c>
      <c r="AH3482">
        <v>23.384186492472999</v>
      </c>
      <c r="AI3482">
        <v>92.718169048375501</v>
      </c>
      <c r="AJ3482">
        <v>88.536565018658393</v>
      </c>
      <c r="AK3482">
        <v>23.418164356334501</v>
      </c>
      <c r="AL3482">
        <v>88.258721745238205</v>
      </c>
      <c r="AM3482">
        <v>87.146193261340599</v>
      </c>
      <c r="AN3482">
        <v>0.99999997749163805</v>
      </c>
    </row>
    <row r="3483" spans="1:40" x14ac:dyDescent="0.25">
      <c r="A3483" t="str">
        <f>"20190312154625279"</f>
        <v>20190312154625279</v>
      </c>
      <c r="B3483" t="str">
        <f>"1552376785271318"</f>
        <v>1552376785271318</v>
      </c>
      <c r="C3483" t="s">
        <v>40</v>
      </c>
      <c r="D3483">
        <v>4.4325640000000002</v>
      </c>
      <c r="E3483">
        <v>0.49159999999999998</v>
      </c>
      <c r="F3483" t="s">
        <v>42</v>
      </c>
      <c r="G3483">
        <v>-245.20089999999999</v>
      </c>
      <c r="H3483" s="1">
        <v>-2.1338560000000001E-6</v>
      </c>
      <c r="I3483">
        <v>139.9648</v>
      </c>
      <c r="J3483">
        <v>-221.50579999999999</v>
      </c>
      <c r="K3483">
        <v>1.110401</v>
      </c>
      <c r="L3483">
        <v>140.80529999999999</v>
      </c>
      <c r="M3483">
        <v>-0.99798209999999998</v>
      </c>
      <c r="N3483">
        <v>0</v>
      </c>
      <c r="O3483">
        <v>-6.2120630000000003E-2</v>
      </c>
      <c r="P3483">
        <v>-0.99974859999999999</v>
      </c>
      <c r="Q3483">
        <v>1.9098649999999998E-2</v>
      </c>
      <c r="R3483">
        <v>-1.175617E-2</v>
      </c>
      <c r="S3483">
        <v>-3.001846</v>
      </c>
      <c r="T3483">
        <v>-0.13834659999999999</v>
      </c>
      <c r="U3483">
        <v>-0.10803219999999999</v>
      </c>
      <c r="V3483">
        <v>5.0342280000000003E-2</v>
      </c>
      <c r="W3483">
        <v>3.2291340000000002E-2</v>
      </c>
      <c r="X3483">
        <v>0.99820980000000004</v>
      </c>
      <c r="Y3483">
        <v>2.6096560000000001E-2</v>
      </c>
      <c r="Z3483">
        <v>3.4594309999999998E-3</v>
      </c>
      <c r="AA3483">
        <v>0.99965349999999997</v>
      </c>
      <c r="AB3483">
        <v>22</v>
      </c>
      <c r="AC3483">
        <v>-23.6951</v>
      </c>
      <c r="AD3483">
        <v>-1.1104031338560001</v>
      </c>
      <c r="AE3483">
        <v>-0.84049999999999103</v>
      </c>
      <c r="AF3483">
        <v>0.63181951189203001</v>
      </c>
      <c r="AG3483">
        <v>-1.1104031338560001</v>
      </c>
      <c r="AH3483">
        <v>23.6496745738987</v>
      </c>
      <c r="AI3483">
        <v>92.687228576092494</v>
      </c>
      <c r="AJ3483">
        <v>88.4696625528303</v>
      </c>
      <c r="AK3483">
        <v>23.684157119614699</v>
      </c>
      <c r="AL3483">
        <v>88.149520705723305</v>
      </c>
      <c r="AM3483">
        <v>87.112873001390099</v>
      </c>
      <c r="AN3483">
        <v>0.99999994030531503</v>
      </c>
    </row>
    <row r="3484" spans="1:40" x14ac:dyDescent="0.25">
      <c r="A3484" t="str">
        <f>"20190312154625302"</f>
        <v>20190312154625302</v>
      </c>
      <c r="B3484" t="str">
        <f>"1552376785290839"</f>
        <v>1552376785290839</v>
      </c>
      <c r="C3484" t="s">
        <v>40</v>
      </c>
      <c r="D3484">
        <v>4.419168</v>
      </c>
      <c r="E3484">
        <v>0.4917009</v>
      </c>
      <c r="F3484" t="s">
        <v>42</v>
      </c>
      <c r="G3484">
        <v>-246.36670000000001</v>
      </c>
      <c r="H3484" s="1">
        <v>-1.618323E-6</v>
      </c>
      <c r="I3484">
        <v>139.90690000000001</v>
      </c>
      <c r="J3484">
        <v>-221.73519999999999</v>
      </c>
      <c r="K3484">
        <v>1.1103160000000001</v>
      </c>
      <c r="L3484">
        <v>140.79</v>
      </c>
      <c r="M3484">
        <v>-0.99793339999999997</v>
      </c>
      <c r="N3484">
        <v>0</v>
      </c>
      <c r="O3484">
        <v>-6.2897120000000001E-2</v>
      </c>
      <c r="P3484">
        <v>-0.99972079999999997</v>
      </c>
      <c r="Q3484">
        <v>2.0479600000000001E-2</v>
      </c>
      <c r="R3484">
        <v>-1.179886E-2</v>
      </c>
      <c r="S3484">
        <v>-3.0020449999999999</v>
      </c>
      <c r="T3484">
        <v>-0.13408519999999999</v>
      </c>
      <c r="U3484">
        <v>-0.10847469999999999</v>
      </c>
      <c r="V3484">
        <v>5.1080920000000002E-2</v>
      </c>
      <c r="W3484">
        <v>3.3656739999999997E-2</v>
      </c>
      <c r="X3484">
        <v>0.99812719999999999</v>
      </c>
      <c r="Y3484">
        <v>2.6733860000000002E-2</v>
      </c>
      <c r="Z3484">
        <v>3.4015529999999999E-3</v>
      </c>
      <c r="AA3484">
        <v>0.99963679999999999</v>
      </c>
      <c r="AB3484">
        <v>22</v>
      </c>
      <c r="AC3484">
        <v>-24.631499999999999</v>
      </c>
      <c r="AD3484">
        <v>-1.1103176183229999</v>
      </c>
      <c r="AE3484">
        <v>-0.88309999999998401</v>
      </c>
      <c r="AF3484">
        <v>0.66668025247386198</v>
      </c>
      <c r="AG3484">
        <v>-1.1103176183229999</v>
      </c>
      <c r="AH3484">
        <v>24.588372657842001</v>
      </c>
      <c r="AI3484">
        <v>92.584555065142396</v>
      </c>
      <c r="AJ3484">
        <v>88.446883451547507</v>
      </c>
      <c r="AK3484">
        <v>24.6224559646983</v>
      </c>
      <c r="AL3484">
        <v>88.071246533806701</v>
      </c>
      <c r="AM3484">
        <v>87.070343288814001</v>
      </c>
      <c r="AN3484">
        <v>0.999999971957656</v>
      </c>
    </row>
    <row r="3485" spans="1:40" x14ac:dyDescent="0.25">
      <c r="A3485" t="str">
        <f>"20190312154625324"</f>
        <v>20190312154625324</v>
      </c>
      <c r="B3485" t="str">
        <f>"1552376785310358"</f>
        <v>1552376785310358</v>
      </c>
      <c r="C3485" t="s">
        <v>40</v>
      </c>
      <c r="D3485">
        <v>4.4166429999999997</v>
      </c>
      <c r="E3485">
        <v>0.49592580000000003</v>
      </c>
      <c r="F3485" t="s">
        <v>42</v>
      </c>
      <c r="G3485">
        <v>-247.26050000000001</v>
      </c>
      <c r="H3485" s="1">
        <v>-1.2258580000000001E-6</v>
      </c>
      <c r="I3485">
        <v>139.87299999999999</v>
      </c>
      <c r="J3485">
        <v>-221.95060000000001</v>
      </c>
      <c r="K3485">
        <v>1.110233</v>
      </c>
      <c r="L3485">
        <v>140.7756</v>
      </c>
      <c r="M3485">
        <v>-0.99789689999999998</v>
      </c>
      <c r="N3485">
        <v>0</v>
      </c>
      <c r="O3485">
        <v>-6.3474089999999997E-2</v>
      </c>
      <c r="P3485">
        <v>-0.99968840000000003</v>
      </c>
      <c r="Q3485">
        <v>2.2182790000000001E-2</v>
      </c>
      <c r="R3485">
        <v>-1.145007E-2</v>
      </c>
      <c r="S3485">
        <v>-3.002243</v>
      </c>
      <c r="T3485">
        <v>-0.13059380000000001</v>
      </c>
      <c r="U3485">
        <v>-0.1078491</v>
      </c>
      <c r="V3485">
        <v>5.2010540000000001E-2</v>
      </c>
      <c r="W3485">
        <v>3.5345170000000002E-2</v>
      </c>
      <c r="X3485">
        <v>0.99802080000000004</v>
      </c>
      <c r="Y3485">
        <v>2.7525529999999999E-2</v>
      </c>
      <c r="Z3485">
        <v>3.355097E-3</v>
      </c>
      <c r="AA3485">
        <v>0.99961549999999999</v>
      </c>
      <c r="AB3485">
        <v>22</v>
      </c>
      <c r="AC3485">
        <v>-25.309899999999999</v>
      </c>
      <c r="AD3485">
        <v>-1.110234225858</v>
      </c>
      <c r="AE3485">
        <v>-0.90260000000000595</v>
      </c>
      <c r="AF3485">
        <v>0.70452819984238801</v>
      </c>
      <c r="AG3485">
        <v>-1.110234225858</v>
      </c>
      <c r="AH3485">
        <v>25.267592146906399</v>
      </c>
      <c r="AI3485">
        <v>92.514928212868497</v>
      </c>
      <c r="AJ3485">
        <v>88.402853894935603</v>
      </c>
      <c r="AK3485">
        <v>25.3017824060489</v>
      </c>
      <c r="AL3485">
        <v>87.974448929533196</v>
      </c>
      <c r="AM3485">
        <v>87.016804556289202</v>
      </c>
      <c r="AN3485">
        <v>0.99999994727302799</v>
      </c>
    </row>
    <row r="3486" spans="1:40" x14ac:dyDescent="0.25">
      <c r="A3486" t="str">
        <f>"20190312154625347"</f>
        <v>20190312154625347</v>
      </c>
      <c r="B3486" t="str">
        <f>"1552376785340614"</f>
        <v>1552376785340614</v>
      </c>
      <c r="C3486" t="s">
        <v>40</v>
      </c>
      <c r="D3486">
        <v>4.4369969999999999</v>
      </c>
      <c r="E3486">
        <v>0.49568640000000003</v>
      </c>
      <c r="F3486" t="s">
        <v>42</v>
      </c>
      <c r="G3486">
        <v>-243.3861</v>
      </c>
      <c r="H3486" s="1">
        <v>-2.9865870000000002E-6</v>
      </c>
      <c r="I3486">
        <v>140.24359999999999</v>
      </c>
      <c r="J3486">
        <v>-222.17330000000001</v>
      </c>
      <c r="K3486">
        <v>1.1101399999999999</v>
      </c>
      <c r="L3486">
        <v>140.76079999999999</v>
      </c>
      <c r="M3486">
        <v>-0.9978707</v>
      </c>
      <c r="N3486">
        <v>0</v>
      </c>
      <c r="O3486">
        <v>-6.388365E-2</v>
      </c>
      <c r="P3486">
        <v>-0.99966010000000005</v>
      </c>
      <c r="Q3486">
        <v>2.382225E-2</v>
      </c>
      <c r="R3486">
        <v>-1.059352E-2</v>
      </c>
      <c r="S3486">
        <v>-3.0035249999999998</v>
      </c>
      <c r="T3486">
        <v>-0.15556610000000001</v>
      </c>
      <c r="U3486">
        <v>-7.4539179999999997E-2</v>
      </c>
      <c r="V3486">
        <v>5.3281490000000001E-2</v>
      </c>
      <c r="W3486">
        <v>3.6968220000000003E-2</v>
      </c>
      <c r="X3486">
        <v>0.99789499999999998</v>
      </c>
      <c r="Y3486">
        <v>3.8972949999999999E-2</v>
      </c>
      <c r="Z3486">
        <v>4.3125000000000004E-3</v>
      </c>
      <c r="AA3486">
        <v>0.99923099999999998</v>
      </c>
      <c r="AB3486">
        <v>22</v>
      </c>
      <c r="AC3486">
        <v>-21.212799999999898</v>
      </c>
      <c r="AD3486">
        <v>-1.1101429865869901</v>
      </c>
      <c r="AE3486">
        <v>-0.51720000000000199</v>
      </c>
      <c r="AF3486">
        <v>0.83683436084162699</v>
      </c>
      <c r="AG3486">
        <v>-1.1101429865869901</v>
      </c>
      <c r="AH3486">
        <v>21.144629017260499</v>
      </c>
      <c r="AI3486">
        <v>93.003057735791501</v>
      </c>
      <c r="AJ3486">
        <v>87.733605678608797</v>
      </c>
      <c r="AK3486">
        <v>21.1902818639991</v>
      </c>
      <c r="AL3486">
        <v>87.881394263071101</v>
      </c>
      <c r="AM3486">
        <v>86.943658031736007</v>
      </c>
      <c r="AN3486">
        <v>0.99999999874579404</v>
      </c>
    </row>
    <row r="3487" spans="1:40" x14ac:dyDescent="0.25">
      <c r="A3487" t="str">
        <f>"20190312154625369"</f>
        <v>20190312154625369</v>
      </c>
      <c r="B3487" t="str">
        <f>"1552376785361111"</f>
        <v>1552376785361111</v>
      </c>
      <c r="C3487" t="s">
        <v>40</v>
      </c>
      <c r="D3487">
        <v>4.4332690000000001</v>
      </c>
      <c r="E3487">
        <v>0.49574509999999999</v>
      </c>
      <c r="F3487" t="s">
        <v>42</v>
      </c>
      <c r="G3487">
        <v>-243.59889999999999</v>
      </c>
      <c r="H3487" s="1">
        <v>-2.892331E-6</v>
      </c>
      <c r="I3487">
        <v>140.23249999999999</v>
      </c>
      <c r="J3487">
        <v>-222.3877</v>
      </c>
      <c r="K3487">
        <v>1.1100570000000001</v>
      </c>
      <c r="L3487">
        <v>140.7467</v>
      </c>
      <c r="M3487">
        <v>-0.99785460000000004</v>
      </c>
      <c r="N3487">
        <v>0</v>
      </c>
      <c r="O3487">
        <v>-6.4136970000000001E-2</v>
      </c>
      <c r="P3487">
        <v>-0.99965159999999997</v>
      </c>
      <c r="Q3487">
        <v>2.4651909999999999E-2</v>
      </c>
      <c r="R3487">
        <v>-9.4418729999999999E-3</v>
      </c>
      <c r="S3487">
        <v>-3.003952</v>
      </c>
      <c r="T3487">
        <v>-0.1556469</v>
      </c>
      <c r="U3487">
        <v>-7.4066160000000006E-2</v>
      </c>
      <c r="V3487">
        <v>5.469185E-2</v>
      </c>
      <c r="W3487">
        <v>3.7781599999999999E-2</v>
      </c>
      <c r="X3487">
        <v>0.99778829999999996</v>
      </c>
      <c r="Y3487">
        <v>3.9386379999999999E-2</v>
      </c>
      <c r="Z3487">
        <v>4.3379289999999999E-3</v>
      </c>
      <c r="AA3487">
        <v>0.99921459999999995</v>
      </c>
      <c r="AB3487">
        <v>22</v>
      </c>
      <c r="AC3487">
        <v>-21.211199999999899</v>
      </c>
      <c r="AD3487">
        <v>-1.1100598923309899</v>
      </c>
      <c r="AE3487">
        <v>-0.51420000000001598</v>
      </c>
      <c r="AF3487">
        <v>0.84508524513448502</v>
      </c>
      <c r="AG3487">
        <v>-1.1100598923309899</v>
      </c>
      <c r="AH3487">
        <v>21.142631196141199</v>
      </c>
      <c r="AI3487">
        <v>93.003069694937196</v>
      </c>
      <c r="AJ3487">
        <v>87.711067460646902</v>
      </c>
      <c r="AK3487">
        <v>21.188611467770802</v>
      </c>
      <c r="AL3487">
        <v>87.834758590455706</v>
      </c>
      <c r="AM3487">
        <v>86.862581432543905</v>
      </c>
      <c r="AN3487">
        <v>1.0000000696859299</v>
      </c>
    </row>
    <row r="3488" spans="1:40" x14ac:dyDescent="0.25">
      <c r="A3488" t="str">
        <f>"20190312154625391"</f>
        <v>20190312154625391</v>
      </c>
      <c r="B3488" t="str">
        <f>"1552376785381606"</f>
        <v>1552376785381606</v>
      </c>
      <c r="C3488" t="s">
        <v>40</v>
      </c>
      <c r="D3488">
        <v>4.4122389999999996</v>
      </c>
      <c r="E3488">
        <v>0.4955292</v>
      </c>
      <c r="F3488" t="s">
        <v>42</v>
      </c>
      <c r="G3488">
        <v>-243.46190000000001</v>
      </c>
      <c r="H3488" s="1">
        <v>-2.957383E-6</v>
      </c>
      <c r="I3488">
        <v>140.2561</v>
      </c>
      <c r="J3488">
        <v>-222.59569999999999</v>
      </c>
      <c r="K3488">
        <v>1.109966</v>
      </c>
      <c r="L3488">
        <v>140.733</v>
      </c>
      <c r="M3488">
        <v>-0.99784680000000003</v>
      </c>
      <c r="N3488">
        <v>0</v>
      </c>
      <c r="O3488">
        <v>-6.4256919999999995E-2</v>
      </c>
      <c r="P3488">
        <v>-0.99966429999999995</v>
      </c>
      <c r="Q3488">
        <v>2.4509240000000002E-2</v>
      </c>
      <c r="R3488">
        <v>-8.3979239999999993E-3</v>
      </c>
      <c r="S3488">
        <v>-3.0042879999999998</v>
      </c>
      <c r="T3488">
        <v>-0.15824759999999999</v>
      </c>
      <c r="U3488">
        <v>-6.9931030000000005E-2</v>
      </c>
      <c r="V3488">
        <v>5.586232E-2</v>
      </c>
      <c r="W3488">
        <v>3.7624369999999997E-2</v>
      </c>
      <c r="X3488">
        <v>0.99772930000000004</v>
      </c>
      <c r="Y3488">
        <v>4.0876879999999997E-2</v>
      </c>
      <c r="Z3488">
        <v>4.4554540000000002E-3</v>
      </c>
      <c r="AA3488">
        <v>0.99915430000000005</v>
      </c>
      <c r="AB3488">
        <v>22</v>
      </c>
      <c r="AC3488">
        <v>-20.866199999999999</v>
      </c>
      <c r="AD3488">
        <v>-1.1099689573830001</v>
      </c>
      <c r="AE3488">
        <v>-0.47689999999999999</v>
      </c>
      <c r="AF3488">
        <v>0.86255986883812497</v>
      </c>
      <c r="AG3488">
        <v>-1.1099689573830001</v>
      </c>
      <c r="AH3488">
        <v>20.794905104707901</v>
      </c>
      <c r="AI3488">
        <v>93.052755333453703</v>
      </c>
      <c r="AJ3488">
        <v>87.624767921655007</v>
      </c>
      <c r="AK3488">
        <v>20.842363563845002</v>
      </c>
      <c r="AL3488">
        <v>87.843773408705999</v>
      </c>
      <c r="AM3488">
        <v>86.7953863499135</v>
      </c>
      <c r="AN3488">
        <v>0.99999997404608398</v>
      </c>
    </row>
    <row r="3489" spans="1:40" x14ac:dyDescent="0.25">
      <c r="A3489" t="str">
        <f>"20190312154625415"</f>
        <v>20190312154625415</v>
      </c>
      <c r="B3489" t="str">
        <f>"1552376785410886"</f>
        <v>1552376785410886</v>
      </c>
      <c r="C3489" t="s">
        <v>40</v>
      </c>
      <c r="D3489">
        <v>4.4248560000000001</v>
      </c>
      <c r="E3489">
        <v>0.4955889</v>
      </c>
      <c r="F3489" t="s">
        <v>42</v>
      </c>
      <c r="G3489">
        <v>-243.11709999999999</v>
      </c>
      <c r="H3489" s="1">
        <v>-3.1078600000000001E-6</v>
      </c>
      <c r="I3489">
        <v>140.26570000000001</v>
      </c>
      <c r="J3489">
        <v>-222.8349</v>
      </c>
      <c r="K3489">
        <v>1.109872</v>
      </c>
      <c r="L3489">
        <v>140.7175</v>
      </c>
      <c r="M3489">
        <v>-0.99784790000000001</v>
      </c>
      <c r="N3489">
        <v>0</v>
      </c>
      <c r="O3489">
        <v>-6.4241999999999994E-2</v>
      </c>
      <c r="P3489">
        <v>-0.99968360000000001</v>
      </c>
      <c r="Q3489">
        <v>2.394953E-2</v>
      </c>
      <c r="R3489">
        <v>-7.7046140000000003E-3</v>
      </c>
      <c r="S3489">
        <v>-3.00441</v>
      </c>
      <c r="T3489">
        <v>-0.1625037</v>
      </c>
      <c r="U3489">
        <v>-6.8405149999999998E-2</v>
      </c>
      <c r="V3489">
        <v>5.6548830000000001E-2</v>
      </c>
      <c r="W3489">
        <v>3.7048749999999998E-2</v>
      </c>
      <c r="X3489">
        <v>0.99771220000000005</v>
      </c>
      <c r="Y3489">
        <v>4.1361439999999999E-2</v>
      </c>
      <c r="Z3489">
        <v>4.5872550000000002E-3</v>
      </c>
      <c r="AA3489">
        <v>0.99913370000000001</v>
      </c>
      <c r="AB3489">
        <v>22</v>
      </c>
      <c r="AC3489">
        <v>-20.2821999999999</v>
      </c>
      <c r="AD3489">
        <v>-1.10987510786</v>
      </c>
      <c r="AE3489">
        <v>-0.45179999999999099</v>
      </c>
      <c r="AF3489">
        <v>0.84967188816219796</v>
      </c>
      <c r="AG3489">
        <v>-1.10987510786</v>
      </c>
      <c r="AH3489">
        <v>20.208839370727699</v>
      </c>
      <c r="AI3489">
        <v>93.140772955175805</v>
      </c>
      <c r="AJ3489">
        <v>87.592441777589798</v>
      </c>
      <c r="AK3489">
        <v>20.257121063578001</v>
      </c>
      <c r="AL3489">
        <v>87.876777088557006</v>
      </c>
      <c r="AM3489">
        <v>86.756031940887397</v>
      </c>
      <c r="AN3489">
        <v>1.00000000703988</v>
      </c>
    </row>
    <row r="3490" spans="1:40" x14ac:dyDescent="0.25">
      <c r="A3490" t="str">
        <f>"20190312154625438"</f>
        <v>20190312154625438</v>
      </c>
      <c r="B3490" t="str">
        <f>"1552376785430407"</f>
        <v>1552376785430407</v>
      </c>
      <c r="C3490" t="s">
        <v>40</v>
      </c>
      <c r="D3490">
        <v>4.451797</v>
      </c>
      <c r="E3490">
        <v>0.49555729999999998</v>
      </c>
      <c r="F3490" t="s">
        <v>42</v>
      </c>
      <c r="G3490">
        <v>-242.642</v>
      </c>
      <c r="H3490" s="1">
        <v>-3.3167010000000002E-6</v>
      </c>
      <c r="I3490">
        <v>140.28450000000001</v>
      </c>
      <c r="J3490">
        <v>-223.04560000000001</v>
      </c>
      <c r="K3490">
        <v>1.109783</v>
      </c>
      <c r="L3490">
        <v>140.70400000000001</v>
      </c>
      <c r="M3490">
        <v>-0.99785829999999998</v>
      </c>
      <c r="N3490">
        <v>0</v>
      </c>
      <c r="O3490">
        <v>-6.4079460000000005E-2</v>
      </c>
      <c r="P3490">
        <v>-0.99970079999999995</v>
      </c>
      <c r="Q3490">
        <v>2.3511509999999999E-2</v>
      </c>
      <c r="R3490">
        <v>-6.759836E-3</v>
      </c>
      <c r="S3490">
        <v>-3.0044710000000001</v>
      </c>
      <c r="T3490">
        <v>-0.1683537</v>
      </c>
      <c r="U3490">
        <v>-6.5673830000000002E-2</v>
      </c>
      <c r="V3490">
        <v>5.7337340000000001E-2</v>
      </c>
      <c r="W3490">
        <v>3.6597009999999999E-2</v>
      </c>
      <c r="X3490">
        <v>0.99768389999999996</v>
      </c>
      <c r="Y3490">
        <v>4.2094810000000003E-2</v>
      </c>
      <c r="Z3490">
        <v>4.76356E-3</v>
      </c>
      <c r="AA3490">
        <v>0.9991023</v>
      </c>
      <c r="AB3490">
        <v>22</v>
      </c>
      <c r="AC3490">
        <v>-19.5963999999999</v>
      </c>
      <c r="AD3490">
        <v>-1.109786316701</v>
      </c>
      <c r="AE3490">
        <v>-0.41949999999999898</v>
      </c>
      <c r="AF3490">
        <v>0.83452218719480797</v>
      </c>
      <c r="AG3490">
        <v>-1.109786316701</v>
      </c>
      <c r="AH3490">
        <v>19.520424917240799</v>
      </c>
      <c r="AI3490">
        <v>93.250946441618694</v>
      </c>
      <c r="AJ3490">
        <v>87.552025552324906</v>
      </c>
      <c r="AK3490">
        <v>19.5697481307065</v>
      </c>
      <c r="AL3490">
        <v>87.902677514437997</v>
      </c>
      <c r="AM3490">
        <v>86.710803981759696</v>
      </c>
      <c r="AN3490">
        <v>1.00000003800921</v>
      </c>
    </row>
    <row r="3491" spans="1:40" x14ac:dyDescent="0.25">
      <c r="A3491" t="str">
        <f>"20190312154625460"</f>
        <v>20190312154625460</v>
      </c>
      <c r="B3491" t="str">
        <f>"1552376785450902"</f>
        <v>1552376785450902</v>
      </c>
      <c r="C3491" t="s">
        <v>40</v>
      </c>
      <c r="D3491">
        <v>4.514697</v>
      </c>
      <c r="E3491">
        <v>0.4996815</v>
      </c>
      <c r="F3491" t="s">
        <v>42</v>
      </c>
      <c r="G3491">
        <v>-242.25579999999999</v>
      </c>
      <c r="H3491" s="1">
        <v>-3.4869410000000001E-6</v>
      </c>
      <c r="I3491">
        <v>140.30179999999999</v>
      </c>
      <c r="J3491">
        <v>-223.2636</v>
      </c>
      <c r="K3491">
        <v>1.1096820000000001</v>
      </c>
      <c r="L3491">
        <v>140.69030000000001</v>
      </c>
      <c r="M3491">
        <v>-0.99787910000000002</v>
      </c>
      <c r="N3491">
        <v>0</v>
      </c>
      <c r="O3491">
        <v>-6.3755560000000003E-2</v>
      </c>
      <c r="P3491">
        <v>-0.99972050000000001</v>
      </c>
      <c r="Q3491">
        <v>2.2803049999999998E-2</v>
      </c>
      <c r="R3491">
        <v>-6.2552519999999898E-3</v>
      </c>
      <c r="S3491">
        <v>-3.0045470000000001</v>
      </c>
      <c r="T3491">
        <v>-0.1735746</v>
      </c>
      <c r="U3491">
        <v>-6.2896729999999998E-2</v>
      </c>
      <c r="V3491">
        <v>5.7526050000000002E-2</v>
      </c>
      <c r="W3491">
        <v>3.587365E-2</v>
      </c>
      <c r="X3491">
        <v>0.99769929999999996</v>
      </c>
      <c r="Y3491">
        <v>4.2683180000000001E-2</v>
      </c>
      <c r="Z3491">
        <v>4.9093119999999999E-3</v>
      </c>
      <c r="AA3491">
        <v>0.99907659999999998</v>
      </c>
      <c r="AB3491">
        <v>22</v>
      </c>
      <c r="AC3491">
        <v>-18.9922</v>
      </c>
      <c r="AD3491">
        <v>-1.109685486941</v>
      </c>
      <c r="AE3491">
        <v>-0.388500000000021</v>
      </c>
      <c r="AF3491">
        <v>0.82045357240735906</v>
      </c>
      <c r="AG3491">
        <v>-1.109685486941</v>
      </c>
      <c r="AH3491">
        <v>18.9137831879384</v>
      </c>
      <c r="AI3491">
        <v>93.354588601152301</v>
      </c>
      <c r="AJ3491">
        <v>87.516146061707502</v>
      </c>
      <c r="AK3491">
        <v>18.964064448971499</v>
      </c>
      <c r="AL3491">
        <v>87.944150206492594</v>
      </c>
      <c r="AM3491">
        <v>86.7000532129329</v>
      </c>
      <c r="AN3491">
        <v>1.0000000292066999</v>
      </c>
    </row>
    <row r="3492" spans="1:40" x14ac:dyDescent="0.25">
      <c r="A3492" t="str">
        <f>"20190312154625482"</f>
        <v>20190312154625482</v>
      </c>
      <c r="B3492" t="str">
        <f>"1552376785470423"</f>
        <v>1552376785470423</v>
      </c>
      <c r="C3492" t="s">
        <v>40</v>
      </c>
      <c r="D3492">
        <v>4.4384620000000004</v>
      </c>
      <c r="E3492">
        <v>0.50543930000000004</v>
      </c>
      <c r="F3492" t="s">
        <v>42</v>
      </c>
      <c r="G3492">
        <v>-257.38369999999998</v>
      </c>
      <c r="H3492" s="1">
        <v>-1.3112630000000001E-6</v>
      </c>
      <c r="I3492">
        <v>140.39250000000001</v>
      </c>
      <c r="J3492">
        <v>-223.47470000000001</v>
      </c>
      <c r="K3492">
        <v>1.1095740000000001</v>
      </c>
      <c r="L3492">
        <v>140.6772</v>
      </c>
      <c r="M3492">
        <v>-0.99790889999999999</v>
      </c>
      <c r="N3492">
        <v>0</v>
      </c>
      <c r="O3492">
        <v>-6.3288510000000006E-2</v>
      </c>
      <c r="P3492">
        <v>-0.99972749999999999</v>
      </c>
      <c r="Q3492">
        <v>2.2584839999999998E-2</v>
      </c>
      <c r="R3492">
        <v>-5.9339519999999897E-3</v>
      </c>
      <c r="S3492">
        <v>-3.0028990000000002</v>
      </c>
      <c r="T3492">
        <v>-9.7663040000000007E-2</v>
      </c>
      <c r="U3492">
        <v>-2.6199340000000002E-2</v>
      </c>
      <c r="V3492">
        <v>5.738878E-2</v>
      </c>
      <c r="W3492">
        <v>3.5640150000000002E-2</v>
      </c>
      <c r="X3492">
        <v>0.99771549999999998</v>
      </c>
      <c r="Y3492">
        <v>5.452245E-2</v>
      </c>
      <c r="Z3492">
        <v>2.9431100000000001E-3</v>
      </c>
      <c r="AA3492">
        <v>0.99850819999999996</v>
      </c>
      <c r="AB3492">
        <v>22</v>
      </c>
      <c r="AC3492">
        <v>-33.908999999999899</v>
      </c>
      <c r="AD3492">
        <v>-1.109575311263</v>
      </c>
      <c r="AE3492">
        <v>-0.28469999999998602</v>
      </c>
      <c r="AF3492">
        <v>1.86011437803424</v>
      </c>
      <c r="AG3492">
        <v>-1.109575311263</v>
      </c>
      <c r="AH3492">
        <v>33.822816909239897</v>
      </c>
      <c r="AI3492">
        <v>91.876111339244602</v>
      </c>
      <c r="AJ3492">
        <v>86.852141277170105</v>
      </c>
      <c r="AK3492">
        <v>33.892095340163003</v>
      </c>
      <c r="AL3492">
        <v>87.957537181180896</v>
      </c>
      <c r="AM3492">
        <v>86.707963618947602</v>
      </c>
      <c r="AN3492">
        <v>0.99999995565107902</v>
      </c>
    </row>
    <row r="3493" spans="1:40" x14ac:dyDescent="0.25">
      <c r="A3493" t="str">
        <f>"20190312154625506"</f>
        <v>20190312154625506</v>
      </c>
      <c r="B3493" t="str">
        <f>"1552376785500678"</f>
        <v>1552376785500678</v>
      </c>
      <c r="C3493" t="s">
        <v>40</v>
      </c>
      <c r="D3493">
        <v>4.4487319999999997</v>
      </c>
      <c r="E3493">
        <v>0.50393250000000001</v>
      </c>
      <c r="F3493" t="s">
        <v>42</v>
      </c>
      <c r="G3493">
        <v>-370.702</v>
      </c>
      <c r="H3493" s="1">
        <v>-4.4236780000000003E-6</v>
      </c>
      <c r="I3493">
        <v>141.7954</v>
      </c>
      <c r="J3493">
        <v>-223.702</v>
      </c>
      <c r="K3493">
        <v>1.1094619999999999</v>
      </c>
      <c r="L3493">
        <v>140.6635</v>
      </c>
      <c r="M3493">
        <v>-0.99795219999999996</v>
      </c>
      <c r="N3493">
        <v>0</v>
      </c>
      <c r="O3493">
        <v>-6.2606919999999996E-2</v>
      </c>
      <c r="P3493">
        <v>-0.99972209999999995</v>
      </c>
      <c r="Q3493">
        <v>2.3171150000000001E-2</v>
      </c>
      <c r="R3493">
        <v>-4.3793039999999997E-3</v>
      </c>
      <c r="S3493">
        <v>-3.001465</v>
      </c>
      <c r="T3493">
        <v>-2.2620560000000001E-2</v>
      </c>
      <c r="U3493">
        <v>2.2796629999999998E-2</v>
      </c>
      <c r="V3493">
        <v>5.8269139999999997E-2</v>
      </c>
      <c r="W3493">
        <v>3.6196730000000003E-2</v>
      </c>
      <c r="X3493">
        <v>0.99764450000000005</v>
      </c>
      <c r="Y3493">
        <v>7.0186780000000004E-2</v>
      </c>
      <c r="Z3493">
        <v>7.361348E-4</v>
      </c>
      <c r="AA3493">
        <v>0.99753360000000002</v>
      </c>
      <c r="AB3493">
        <v>22</v>
      </c>
      <c r="AC3493">
        <v>-147</v>
      </c>
      <c r="AD3493">
        <v>-1.1094664236780001</v>
      </c>
      <c r="AE3493">
        <v>1.1318999999999999</v>
      </c>
      <c r="AF3493">
        <v>10.3330983636254</v>
      </c>
      <c r="AG3493">
        <v>-1.1094664236780001</v>
      </c>
      <c r="AH3493">
        <v>146.632352005445</v>
      </c>
      <c r="AI3493">
        <v>90.432437230185798</v>
      </c>
      <c r="AJ3493">
        <v>85.9690626899732</v>
      </c>
      <c r="AK3493">
        <v>147.000171742031</v>
      </c>
      <c r="AL3493">
        <v>87.925627041497805</v>
      </c>
      <c r="AM3493">
        <v>86.6573391571945</v>
      </c>
      <c r="AN3493">
        <v>1.0000000221596399</v>
      </c>
    </row>
    <row r="3494" spans="1:40" x14ac:dyDescent="0.25">
      <c r="A3494" t="str">
        <f>"20190312154625528"</f>
        <v>20190312154625528</v>
      </c>
      <c r="B3494" t="str">
        <f>"1552376785521174"</f>
        <v>1552376785521174</v>
      </c>
      <c r="C3494" t="s">
        <v>40</v>
      </c>
      <c r="D3494">
        <v>4.4235949999999997</v>
      </c>
      <c r="E3494">
        <v>0.50469489999999995</v>
      </c>
      <c r="F3494" t="s">
        <v>42</v>
      </c>
      <c r="G3494">
        <v>-356.56950000000001</v>
      </c>
      <c r="H3494" s="1">
        <v>-1.9119669999999998E-6</v>
      </c>
      <c r="I3494">
        <v>141.33760000000001</v>
      </c>
      <c r="J3494">
        <v>-223.917</v>
      </c>
      <c r="K3494">
        <v>1.1093040000000001</v>
      </c>
      <c r="L3494">
        <v>140.65090000000001</v>
      </c>
      <c r="M3494">
        <v>-0.99800619999999995</v>
      </c>
      <c r="N3494">
        <v>0</v>
      </c>
      <c r="O3494">
        <v>-6.1783240000000003E-2</v>
      </c>
      <c r="P3494">
        <v>-0.99969859999999999</v>
      </c>
      <c r="Q3494">
        <v>2.4424990000000001E-2</v>
      </c>
      <c r="R3494">
        <v>-2.5362399999999999E-3</v>
      </c>
      <c r="S3494">
        <v>-3.0014500000000002</v>
      </c>
      <c r="T3494">
        <v>-2.5062560000000001E-2</v>
      </c>
      <c r="U3494">
        <v>1.522827E-2</v>
      </c>
      <c r="V3494">
        <v>5.9293789999999999E-2</v>
      </c>
      <c r="W3494">
        <v>3.7215520000000002E-2</v>
      </c>
      <c r="X3494">
        <v>0.99754659999999995</v>
      </c>
      <c r="Y3494">
        <v>6.6847000000000004E-2</v>
      </c>
      <c r="Z3494">
        <v>7.9478839999999997E-4</v>
      </c>
      <c r="AA3494">
        <v>0.99776290000000001</v>
      </c>
      <c r="AB3494">
        <v>22</v>
      </c>
      <c r="AC3494">
        <v>-132.6525</v>
      </c>
      <c r="AD3494">
        <v>-1.1093059119669999</v>
      </c>
      <c r="AE3494">
        <v>0.68670000000000098</v>
      </c>
      <c r="AF3494">
        <v>8.8811502905511404</v>
      </c>
      <c r="AG3494">
        <v>-1.1093059119669999</v>
      </c>
      <c r="AH3494">
        <v>132.34735215174101</v>
      </c>
      <c r="AI3494">
        <v>90.479151603830402</v>
      </c>
      <c r="AJ3494">
        <v>86.160930463336697</v>
      </c>
      <c r="AK3494">
        <v>132.649640073641</v>
      </c>
      <c r="AL3494">
        <v>87.867215227745703</v>
      </c>
      <c r="AM3494">
        <v>86.598362990805796</v>
      </c>
      <c r="AN3494">
        <v>0.99999998381649702</v>
      </c>
    </row>
    <row r="3495" spans="1:40" x14ac:dyDescent="0.25">
      <c r="A3495" t="str">
        <f>"20190312154625549"</f>
        <v>20190312154625549</v>
      </c>
      <c r="B3495" t="str">
        <f>"1552376785540695"</f>
        <v>1552376785540695</v>
      </c>
      <c r="C3495" t="s">
        <v>40</v>
      </c>
      <c r="D3495">
        <v>4.4180989999999998</v>
      </c>
      <c r="E3495">
        <v>0.50500489999999998</v>
      </c>
      <c r="F3495" t="s">
        <v>42</v>
      </c>
      <c r="G3495">
        <v>-456.05779999999999</v>
      </c>
      <c r="H3495" s="1">
        <v>-1.487854E-6</v>
      </c>
      <c r="I3495">
        <v>142.7268</v>
      </c>
      <c r="J3495">
        <v>-224.1266</v>
      </c>
      <c r="K3495">
        <v>1.109186</v>
      </c>
      <c r="L3495">
        <v>140.63890000000001</v>
      </c>
      <c r="M3495">
        <v>-0.9980658</v>
      </c>
      <c r="N3495">
        <v>0</v>
      </c>
      <c r="O3495">
        <v>-6.0854350000000001E-2</v>
      </c>
      <c r="P3495">
        <v>-0.99967799999999996</v>
      </c>
      <c r="Q3495">
        <v>2.5350790000000002E-2</v>
      </c>
      <c r="R3495">
        <v>-1.1104610000000001E-3</v>
      </c>
      <c r="S3495">
        <v>-3.0013429999999999</v>
      </c>
      <c r="T3495">
        <v>-1.4342189999999999E-2</v>
      </c>
      <c r="U3495">
        <v>2.684021E-2</v>
      </c>
      <c r="V3495">
        <v>5.9794840000000002E-2</v>
      </c>
      <c r="W3495">
        <v>3.7930749999999999E-2</v>
      </c>
      <c r="X3495">
        <v>0.99748979999999998</v>
      </c>
      <c r="Y3495">
        <v>6.978115E-2</v>
      </c>
      <c r="Z3495">
        <v>4.5742249999999998E-4</v>
      </c>
      <c r="AA3495">
        <v>0.99756219999999995</v>
      </c>
      <c r="AB3495">
        <v>22</v>
      </c>
      <c r="AC3495">
        <v>-231.93119999999999</v>
      </c>
      <c r="AD3495">
        <v>-1.109187487854</v>
      </c>
      <c r="AE3495">
        <v>2.0878999999999901</v>
      </c>
      <c r="AF3495">
        <v>16.198820929698599</v>
      </c>
      <c r="AG3495">
        <v>-1.109187487854</v>
      </c>
      <c r="AH3495">
        <v>231.36892304494401</v>
      </c>
      <c r="AI3495">
        <v>90.274004341102795</v>
      </c>
      <c r="AJ3495">
        <v>85.995088675655495</v>
      </c>
      <c r="AK3495">
        <v>231.93794568240199</v>
      </c>
      <c r="AL3495">
        <v>87.826206715572994</v>
      </c>
      <c r="AM3495">
        <v>86.569491643795502</v>
      </c>
      <c r="AN3495">
        <v>1.00000003289511</v>
      </c>
    </row>
    <row r="3496" spans="1:40" x14ac:dyDescent="0.25">
      <c r="A3496" t="str">
        <f>"20190312154625571"</f>
        <v>20190312154625571</v>
      </c>
      <c r="B3496" t="str">
        <f>"1552376785561190"</f>
        <v>1552376785561190</v>
      </c>
      <c r="C3496" t="s">
        <v>40</v>
      </c>
      <c r="D3496">
        <v>4.4306869999999998</v>
      </c>
      <c r="E3496">
        <v>0.50521079999999996</v>
      </c>
      <c r="F3496" t="s">
        <v>43</v>
      </c>
      <c r="G3496">
        <v>-540.69539999999995</v>
      </c>
      <c r="H3496">
        <v>-0.05</v>
      </c>
      <c r="I3496">
        <v>144.1653</v>
      </c>
      <c r="J3496">
        <v>-224.34</v>
      </c>
      <c r="K3496">
        <v>1.1091230000000001</v>
      </c>
      <c r="L3496">
        <v>140.62710000000001</v>
      </c>
      <c r="M3496">
        <v>-0.99813099999999999</v>
      </c>
      <c r="N3496">
        <v>0</v>
      </c>
      <c r="O3496">
        <v>-5.9788859999999999E-2</v>
      </c>
      <c r="P3496">
        <v>-0.99970519999999996</v>
      </c>
      <c r="Q3496">
        <v>2.427613E-2</v>
      </c>
      <c r="R3496">
        <v>-3.079755E-4</v>
      </c>
      <c r="S3496">
        <v>-3.0012970000000001</v>
      </c>
      <c r="T3496">
        <v>-1.09899E-2</v>
      </c>
      <c r="U3496">
        <v>3.3432009999999998E-2</v>
      </c>
      <c r="V3496">
        <v>5.953572E-2</v>
      </c>
      <c r="W3496">
        <v>3.6782860000000001E-2</v>
      </c>
      <c r="X3496">
        <v>0.99754830000000005</v>
      </c>
      <c r="Y3496">
        <v>7.0907620000000005E-2</v>
      </c>
      <c r="Z3496">
        <v>3.4867760000000002E-4</v>
      </c>
      <c r="AA3496">
        <v>0.9974828</v>
      </c>
      <c r="AB3496">
        <v>22</v>
      </c>
      <c r="AC3496">
        <v>-316.35539999999901</v>
      </c>
      <c r="AD3496">
        <v>-1.1591229999999999</v>
      </c>
      <c r="AE3496">
        <v>3.5381999999999798</v>
      </c>
      <c r="AF3496">
        <v>22.447608156649299</v>
      </c>
      <c r="AG3496">
        <v>-1.1591229999999999</v>
      </c>
      <c r="AH3496">
        <v>315.57356634910099</v>
      </c>
      <c r="AI3496">
        <v>90.209919909001002</v>
      </c>
      <c r="AJ3496">
        <v>85.931248201179798</v>
      </c>
      <c r="AK3496">
        <v>316.37306215348701</v>
      </c>
      <c r="AL3496">
        <v>87.892021936176207</v>
      </c>
      <c r="AM3496">
        <v>86.584522258714799</v>
      </c>
      <c r="AN3496">
        <v>1.0000000457892899</v>
      </c>
    </row>
    <row r="3497" spans="1:40" x14ac:dyDescent="0.25">
      <c r="A3497" t="str">
        <f>"20190312154625594"</f>
        <v>20190312154625594</v>
      </c>
      <c r="B3497" t="str">
        <f>"1552376785580710"</f>
        <v>1552376785580710</v>
      </c>
      <c r="C3497" t="s">
        <v>40</v>
      </c>
      <c r="D3497">
        <v>4.4824760000000001</v>
      </c>
      <c r="E3497">
        <v>0.50512049999999997</v>
      </c>
      <c r="F3497" t="s">
        <v>71</v>
      </c>
      <c r="G3497">
        <v>-471.56349999999998</v>
      </c>
      <c r="H3497" s="1">
        <v>-6.0844069999999997E-6</v>
      </c>
      <c r="I3497">
        <v>143.70650000000001</v>
      </c>
      <c r="J3497">
        <v>-224.55789999999999</v>
      </c>
      <c r="K3497">
        <v>1.1090850000000001</v>
      </c>
      <c r="L3497">
        <v>140.61539999999999</v>
      </c>
      <c r="M3497">
        <v>-0.99820240000000005</v>
      </c>
      <c r="N3497">
        <v>0</v>
      </c>
      <c r="O3497">
        <v>-5.8584730000000002E-2</v>
      </c>
      <c r="P3497">
        <v>-0.99975749999999997</v>
      </c>
      <c r="Q3497">
        <v>2.201614E-2</v>
      </c>
      <c r="R3497">
        <v>6.1339519999999896E-4</v>
      </c>
      <c r="S3497">
        <v>-3.001236</v>
      </c>
      <c r="T3497">
        <v>-1.346457E-2</v>
      </c>
      <c r="U3497">
        <v>3.7384029999999999E-2</v>
      </c>
      <c r="V3497">
        <v>5.9254500000000002E-2</v>
      </c>
      <c r="W3497">
        <v>3.4515980000000002E-2</v>
      </c>
      <c r="X3497">
        <v>0.99764600000000003</v>
      </c>
      <c r="Y3497">
        <v>7.1017410000000003E-2</v>
      </c>
      <c r="Z3497">
        <v>4.2204880000000001E-4</v>
      </c>
      <c r="AA3497">
        <v>0.997475</v>
      </c>
      <c r="AB3497">
        <v>22</v>
      </c>
      <c r="AC3497">
        <v>-247.00559999999999</v>
      </c>
      <c r="AD3497">
        <v>-1.1090910844069899</v>
      </c>
      <c r="AE3497">
        <v>3.0911000000000102</v>
      </c>
      <c r="AF3497">
        <v>17.557348797039399</v>
      </c>
      <c r="AG3497">
        <v>-1.1090910844069899</v>
      </c>
      <c r="AH3497">
        <v>246.395212498354</v>
      </c>
      <c r="AI3497">
        <v>90.257249701253798</v>
      </c>
      <c r="AJ3497">
        <v>85.924171823076307</v>
      </c>
      <c r="AK3497">
        <v>247.02245104832701</v>
      </c>
      <c r="AL3497">
        <v>88.021987125769797</v>
      </c>
      <c r="AM3497">
        <v>86.600949641153406</v>
      </c>
      <c r="AN3497">
        <v>0.99999999498080505</v>
      </c>
    </row>
    <row r="3498" spans="1:40" x14ac:dyDescent="0.25">
      <c r="A3498" t="str">
        <f>"20190312154625617"</f>
        <v>20190312154625617</v>
      </c>
      <c r="B3498" t="str">
        <f>"1552376785610967"</f>
        <v>1552376785610967</v>
      </c>
      <c r="C3498" t="s">
        <v>40</v>
      </c>
      <c r="D3498">
        <v>4.5193539999999999</v>
      </c>
      <c r="E3498">
        <v>0.50443229999999994</v>
      </c>
      <c r="F3498" t="s">
        <v>42</v>
      </c>
      <c r="G3498">
        <v>-394.4812</v>
      </c>
      <c r="H3498" s="1">
        <v>-3.208329E-6</v>
      </c>
      <c r="I3498">
        <v>142.8425</v>
      </c>
      <c r="J3498">
        <v>-224.7825</v>
      </c>
      <c r="K3498">
        <v>1.1090370000000001</v>
      </c>
      <c r="L3498">
        <v>140.6036</v>
      </c>
      <c r="M3498">
        <v>-0.99828039999999996</v>
      </c>
      <c r="N3498">
        <v>0</v>
      </c>
      <c r="O3498">
        <v>-5.7247119999999999E-2</v>
      </c>
      <c r="P3498">
        <v>-0.99979510000000005</v>
      </c>
      <c r="Q3498">
        <v>2.0219580000000001E-2</v>
      </c>
      <c r="R3498">
        <v>1.0546100000000001E-3</v>
      </c>
      <c r="S3498">
        <v>-3.0011290000000002</v>
      </c>
      <c r="T3498">
        <v>-1.9588350000000001E-2</v>
      </c>
      <c r="U3498">
        <v>3.9337160000000003E-2</v>
      </c>
      <c r="V3498">
        <v>5.8360130000000003E-2</v>
      </c>
      <c r="W3498">
        <v>3.268882E-2</v>
      </c>
      <c r="X3498">
        <v>0.99776019999999999</v>
      </c>
      <c r="Y3498">
        <v>7.0328860000000007E-2</v>
      </c>
      <c r="Z3498">
        <v>6.0304870000000004E-4</v>
      </c>
      <c r="AA3498">
        <v>0.99752370000000001</v>
      </c>
      <c r="AB3498">
        <v>22</v>
      </c>
      <c r="AC3498">
        <v>-169.6987</v>
      </c>
      <c r="AD3498">
        <v>-1.1090402083290001</v>
      </c>
      <c r="AE3498">
        <v>2.2389000000000001</v>
      </c>
      <c r="AF3498">
        <v>11.950251698969501</v>
      </c>
      <c r="AG3498">
        <v>-1.1090402083290001</v>
      </c>
      <c r="AH3498">
        <v>169.28494663267099</v>
      </c>
      <c r="AI3498">
        <v>90.374425981943702</v>
      </c>
      <c r="AJ3498">
        <v>85.962044858856103</v>
      </c>
      <c r="AK3498">
        <v>169.70984544886801</v>
      </c>
      <c r="AL3498">
        <v>88.126734747938102</v>
      </c>
      <c r="AM3498">
        <v>86.652518633804107</v>
      </c>
      <c r="AN3498">
        <v>0.99999994021532201</v>
      </c>
    </row>
    <row r="3499" spans="1:40" x14ac:dyDescent="0.25">
      <c r="A3499" t="str">
        <f>"20190312154625640"</f>
        <v>20190312154625640</v>
      </c>
      <c r="B3499" t="str">
        <f>"1552376785630486"</f>
        <v>1552376785630486</v>
      </c>
      <c r="C3499" t="s">
        <v>40</v>
      </c>
      <c r="D3499">
        <v>4.5015660000000004</v>
      </c>
      <c r="E3499">
        <v>0.50395000000000001</v>
      </c>
      <c r="F3499" t="s">
        <v>42</v>
      </c>
      <c r="G3499">
        <v>-342.20769999999999</v>
      </c>
      <c r="H3499" s="1">
        <v>-3.9424669999999997E-6</v>
      </c>
      <c r="I3499">
        <v>141.97139999999999</v>
      </c>
      <c r="J3499">
        <v>-225.00530000000001</v>
      </c>
      <c r="K3499">
        <v>1.108989</v>
      </c>
      <c r="L3499">
        <v>140.5924</v>
      </c>
      <c r="M3499">
        <v>-0.99835960000000001</v>
      </c>
      <c r="N3499">
        <v>0</v>
      </c>
      <c r="O3499">
        <v>-5.5861029999999999E-2</v>
      </c>
      <c r="P3499">
        <v>-0.99981339999999996</v>
      </c>
      <c r="Q3499">
        <v>1.925431E-2</v>
      </c>
      <c r="R3499">
        <v>1.684804E-3</v>
      </c>
      <c r="S3499">
        <v>-3.0011290000000002</v>
      </c>
      <c r="T3499">
        <v>-2.8344629999999999E-2</v>
      </c>
      <c r="U3499">
        <v>3.4957889999999998E-2</v>
      </c>
      <c r="V3499">
        <v>5.7605730000000001E-2</v>
      </c>
      <c r="W3499">
        <v>3.1669870000000003E-2</v>
      </c>
      <c r="X3499">
        <v>0.99783690000000003</v>
      </c>
      <c r="Y3499">
        <v>6.7485420000000004E-2</v>
      </c>
      <c r="Z3499">
        <v>8.4610740000000005E-4</v>
      </c>
      <c r="AA3499">
        <v>0.99771989999999999</v>
      </c>
      <c r="AB3499">
        <v>22</v>
      </c>
      <c r="AC3499">
        <v>-117.202399999999</v>
      </c>
      <c r="AD3499">
        <v>-1.108992942467</v>
      </c>
      <c r="AE3499">
        <v>1.37899999999999</v>
      </c>
      <c r="AF3499">
        <v>7.9237000178044097</v>
      </c>
      <c r="AG3499">
        <v>-1.108992942467</v>
      </c>
      <c r="AH3499">
        <v>116.931859577924</v>
      </c>
      <c r="AI3499">
        <v>90.542139144096197</v>
      </c>
      <c r="AJ3499">
        <v>86.123369771362405</v>
      </c>
      <c r="AK3499">
        <v>117.205267252244</v>
      </c>
      <c r="AL3499">
        <v>88.185146538764599</v>
      </c>
      <c r="AM3499">
        <v>86.695947216923102</v>
      </c>
      <c r="AN3499">
        <v>0.99999993989812797</v>
      </c>
    </row>
    <row r="3500" spans="1:40" x14ac:dyDescent="0.25">
      <c r="A3500" t="str">
        <f>"20190312154625682"</f>
        <v>20190312154625682</v>
      </c>
      <c r="B3500" t="str">
        <f>"1552376785671478"</f>
        <v>1552376785671478</v>
      </c>
      <c r="C3500" t="s">
        <v>40</v>
      </c>
      <c r="D3500">
        <v>4.5109719999999998</v>
      </c>
      <c r="E3500">
        <v>0.50318469999999904</v>
      </c>
      <c r="F3500" t="s">
        <v>42</v>
      </c>
      <c r="G3500">
        <v>-322.1395</v>
      </c>
      <c r="H3500" s="1">
        <v>-3.8978159999999998E-6</v>
      </c>
      <c r="I3500">
        <v>141.65860000000001</v>
      </c>
      <c r="J3500">
        <v>-225.4067</v>
      </c>
      <c r="K3500">
        <v>1.10893</v>
      </c>
      <c r="L3500">
        <v>140.57320000000001</v>
      </c>
      <c r="M3500">
        <v>-0.99850090000000002</v>
      </c>
      <c r="N3500">
        <v>0</v>
      </c>
      <c r="O3500">
        <v>-5.328397E-2</v>
      </c>
      <c r="P3500">
        <v>-0.99984410000000001</v>
      </c>
      <c r="Q3500">
        <v>1.6877670000000001E-2</v>
      </c>
      <c r="R3500">
        <v>5.208926E-3</v>
      </c>
      <c r="S3500">
        <v>-3.0011749999999999</v>
      </c>
      <c r="T3500">
        <v>-3.4264799999999998E-2</v>
      </c>
      <c r="U3500">
        <v>3.2943729999999997E-2</v>
      </c>
      <c r="V3500">
        <v>5.8547990000000001E-2</v>
      </c>
      <c r="W3500">
        <v>2.9238650000000001E-2</v>
      </c>
      <c r="X3500">
        <v>0.99785630000000003</v>
      </c>
      <c r="Y3500">
        <v>6.4237959999999997E-2</v>
      </c>
      <c r="Z3500">
        <v>9.7487120000000005E-4</v>
      </c>
      <c r="AA3500">
        <v>0.99793419999999999</v>
      </c>
      <c r="AB3500">
        <v>22</v>
      </c>
      <c r="AC3500">
        <v>-96.732799999999997</v>
      </c>
      <c r="AD3500">
        <v>-1.1089338978159999</v>
      </c>
      <c r="AE3500">
        <v>1.0853999999999899</v>
      </c>
      <c r="AF3500">
        <v>6.2377498570828598</v>
      </c>
      <c r="AG3500">
        <v>-1.1089338978159999</v>
      </c>
      <c r="AH3500">
        <v>96.524837123057296</v>
      </c>
      <c r="AI3500">
        <v>90.656848530837394</v>
      </c>
      <c r="AJ3500">
        <v>86.302501221600195</v>
      </c>
      <c r="AK3500">
        <v>96.732535577756806</v>
      </c>
      <c r="AL3500">
        <v>88.324509936977293</v>
      </c>
      <c r="AM3500">
        <v>86.642090465066303</v>
      </c>
      <c r="AN3500">
        <v>0.999999980618276</v>
      </c>
    </row>
    <row r="3501" spans="1:40" x14ac:dyDescent="0.25">
      <c r="A3501" t="str">
        <f>"20190312154625704"</f>
        <v>20190312154625704</v>
      </c>
      <c r="B3501" t="str">
        <f>"1552376785690998"</f>
        <v>1552376785690998</v>
      </c>
      <c r="C3501" t="s">
        <v>40</v>
      </c>
      <c r="D3501">
        <v>4.4821669999999996</v>
      </c>
      <c r="E3501">
        <v>0.50301779999999996</v>
      </c>
      <c r="F3501" t="s">
        <v>52</v>
      </c>
      <c r="G3501">
        <v>-299.87020000000001</v>
      </c>
      <c r="H3501" s="1">
        <v>-8.5535379999999993E-6</v>
      </c>
      <c r="I3501">
        <v>141.49510000000001</v>
      </c>
      <c r="J3501">
        <v>-225.6293</v>
      </c>
      <c r="K3501">
        <v>1.1089290000000001</v>
      </c>
      <c r="L3501">
        <v>140.56309999999999</v>
      </c>
      <c r="M3501">
        <v>-0.99857799999999997</v>
      </c>
      <c r="N3501">
        <v>0</v>
      </c>
      <c r="O3501">
        <v>-5.1822130000000001E-2</v>
      </c>
      <c r="P3501">
        <v>-0.99985029999999997</v>
      </c>
      <c r="Q3501">
        <v>1.49686E-2</v>
      </c>
      <c r="R3501">
        <v>8.6808059999999992E-3</v>
      </c>
      <c r="S3501">
        <v>-3.001007</v>
      </c>
      <c r="T3501">
        <v>-4.4692160000000002E-2</v>
      </c>
      <c r="U3501">
        <v>3.7155149999999998E-2</v>
      </c>
      <c r="V3501">
        <v>6.0549840000000001E-2</v>
      </c>
      <c r="W3501">
        <v>2.7315860000000001E-2</v>
      </c>
      <c r="X3501">
        <v>0.99779130000000005</v>
      </c>
      <c r="Y3501">
        <v>6.4172660000000006E-2</v>
      </c>
      <c r="Z3501">
        <v>1.249343E-3</v>
      </c>
      <c r="AA3501">
        <v>0.99793799999999999</v>
      </c>
      <c r="AB3501">
        <v>22</v>
      </c>
      <c r="AC3501">
        <v>-74.240899999999996</v>
      </c>
      <c r="AD3501">
        <v>-1.1089375535379999</v>
      </c>
      <c r="AE3501">
        <v>0.93200000000001604</v>
      </c>
      <c r="AF3501">
        <v>4.7773043394668804</v>
      </c>
      <c r="AG3501">
        <v>-1.1089375535379999</v>
      </c>
      <c r="AH3501">
        <v>74.076302268731098</v>
      </c>
      <c r="AI3501">
        <v>90.855887812683605</v>
      </c>
      <c r="AJ3501">
        <v>86.310009684155403</v>
      </c>
      <c r="AK3501">
        <v>74.238473428930007</v>
      </c>
      <c r="AL3501">
        <v>88.434721745617793</v>
      </c>
      <c r="AM3501">
        <v>86.527328786409598</v>
      </c>
      <c r="AN3501">
        <v>0.99999995884362602</v>
      </c>
    </row>
    <row r="3502" spans="1:40" x14ac:dyDescent="0.25">
      <c r="A3502" t="str">
        <f>"20190312154625726"</f>
        <v>20190312154625726</v>
      </c>
      <c r="B3502" t="str">
        <f>"1552376785721254"</f>
        <v>1552376785721254</v>
      </c>
      <c r="C3502" t="s">
        <v>40</v>
      </c>
      <c r="D3502">
        <v>4.4396680000000002</v>
      </c>
      <c r="E3502">
        <v>0.50293679999999996</v>
      </c>
      <c r="F3502" t="s">
        <v>52</v>
      </c>
      <c r="G3502">
        <v>-292.41289999999998</v>
      </c>
      <c r="H3502" s="1">
        <v>-9.2338120000000008E-6</v>
      </c>
      <c r="I3502">
        <v>141.5907</v>
      </c>
      <c r="J3502">
        <v>-225.8434</v>
      </c>
      <c r="K3502">
        <v>1.10894</v>
      </c>
      <c r="L3502">
        <v>140.55369999999999</v>
      </c>
      <c r="M3502">
        <v>-0.99865040000000005</v>
      </c>
      <c r="N3502">
        <v>0</v>
      </c>
      <c r="O3502">
        <v>-5.0409919999999997E-2</v>
      </c>
      <c r="P3502">
        <v>-0.99982459999999995</v>
      </c>
      <c r="Q3502">
        <v>1.375382E-2</v>
      </c>
      <c r="R3502">
        <v>1.2705849999999999E-2</v>
      </c>
      <c r="S3502">
        <v>-3.0007929999999998</v>
      </c>
      <c r="T3502">
        <v>-4.9828049999999999E-2</v>
      </c>
      <c r="U3502">
        <v>4.6173100000000002E-2</v>
      </c>
      <c r="V3502">
        <v>6.3153039999999994E-2</v>
      </c>
      <c r="W3502">
        <v>2.6085580000000001E-2</v>
      </c>
      <c r="X3502">
        <v>0.99766290000000002</v>
      </c>
      <c r="Y3502">
        <v>6.5757460000000004E-2</v>
      </c>
      <c r="Z3502">
        <v>1.3827080000000001E-3</v>
      </c>
      <c r="AA3502">
        <v>0.99783469999999996</v>
      </c>
      <c r="AB3502">
        <v>22</v>
      </c>
      <c r="AC3502">
        <v>-66.569499999999906</v>
      </c>
      <c r="AD3502">
        <v>-1.1089492338119999</v>
      </c>
      <c r="AE3502">
        <v>1.0369999999999999</v>
      </c>
      <c r="AF3502">
        <v>4.3904885882969102</v>
      </c>
      <c r="AG3502">
        <v>-1.1089492338119999</v>
      </c>
      <c r="AH3502">
        <v>66.414146050205204</v>
      </c>
      <c r="AI3502">
        <v>90.954523461725302</v>
      </c>
      <c r="AJ3502">
        <v>86.217809223549196</v>
      </c>
      <c r="AK3502">
        <v>66.568347989304399</v>
      </c>
      <c r="AL3502">
        <v>88.505236826110405</v>
      </c>
      <c r="AM3502">
        <v>86.377953670616805</v>
      </c>
      <c r="AN3502">
        <v>1.00000001299079</v>
      </c>
    </row>
    <row r="3503" spans="1:40" x14ac:dyDescent="0.25">
      <c r="A3503" t="str">
        <f>"20190312154625749"</f>
        <v>20190312154625749</v>
      </c>
      <c r="B3503" t="str">
        <f>"1552376785740775"</f>
        <v>1552376785740775</v>
      </c>
      <c r="C3503" t="s">
        <v>40</v>
      </c>
      <c r="D3503">
        <v>4.4507370000000002</v>
      </c>
      <c r="E3503">
        <v>0.48683559999999998</v>
      </c>
      <c r="F3503" t="s">
        <v>52</v>
      </c>
      <c r="G3503">
        <v>-292.26569999999998</v>
      </c>
      <c r="H3503" s="1">
        <v>-9.3102559999999992E-6</v>
      </c>
      <c r="I3503">
        <v>141.83150000000001</v>
      </c>
      <c r="J3503">
        <v>-226.05719999999999</v>
      </c>
      <c r="K3503">
        <v>1.108959</v>
      </c>
      <c r="L3503">
        <v>140.5446</v>
      </c>
      <c r="M3503">
        <v>-0.99872030000000001</v>
      </c>
      <c r="N3503">
        <v>0</v>
      </c>
      <c r="O3503">
        <v>-4.9008879999999998E-2</v>
      </c>
      <c r="P3503">
        <v>-0.9997857</v>
      </c>
      <c r="Q3503">
        <v>1.2752599999999999E-2</v>
      </c>
      <c r="R3503">
        <v>1.6311539999999999E-2</v>
      </c>
      <c r="S3503">
        <v>-3.0004729999999999</v>
      </c>
      <c r="T3503">
        <v>-5.009425E-2</v>
      </c>
      <c r="U3503">
        <v>5.7723999999999998E-2</v>
      </c>
      <c r="V3503">
        <v>6.5349080000000004E-2</v>
      </c>
      <c r="W3503">
        <v>2.5070729999999999E-2</v>
      </c>
      <c r="X3503">
        <v>0.99754739999999997</v>
      </c>
      <c r="Y3503">
        <v>6.8198930000000005E-2</v>
      </c>
      <c r="Z3503">
        <v>1.38722E-3</v>
      </c>
      <c r="AA3503">
        <v>0.99767079999999997</v>
      </c>
      <c r="AB3503">
        <v>22</v>
      </c>
      <c r="AC3503">
        <v>-66.208499999999901</v>
      </c>
      <c r="AD3503">
        <v>-1.108968310256</v>
      </c>
      <c r="AE3503">
        <v>1.2868999999999999</v>
      </c>
      <c r="AF3503">
        <v>4.5291405548405601</v>
      </c>
      <c r="AG3503">
        <v>-1.108968310256</v>
      </c>
      <c r="AH3503">
        <v>66.047330624045003</v>
      </c>
      <c r="AI3503">
        <v>90.959681579639593</v>
      </c>
      <c r="AJ3503">
        <v>86.077131051586903</v>
      </c>
      <c r="AK3503">
        <v>66.211727114164304</v>
      </c>
      <c r="AL3503">
        <v>88.563402360052294</v>
      </c>
      <c r="AM3503">
        <v>86.251923388716094</v>
      </c>
      <c r="AN3503">
        <v>0.99999992950316696</v>
      </c>
    </row>
    <row r="3504" spans="1:40" x14ac:dyDescent="0.25">
      <c r="A3504" t="str">
        <f>"20190312154625770"</f>
        <v>20190312154625770</v>
      </c>
      <c r="B3504" t="str">
        <f>"1552376785761270"</f>
        <v>1552376785761270</v>
      </c>
      <c r="C3504" t="s">
        <v>40</v>
      </c>
      <c r="D3504">
        <v>5.2309640000000002</v>
      </c>
      <c r="E3504">
        <v>0.49366549999999998</v>
      </c>
      <c r="F3504" t="s">
        <v>42</v>
      </c>
      <c r="G3504">
        <v>-334.37009999999998</v>
      </c>
      <c r="H3504" s="1">
        <v>-2.8553189999999999E-6</v>
      </c>
      <c r="I3504">
        <v>138.41239999999999</v>
      </c>
      <c r="J3504">
        <v>-226.2663</v>
      </c>
      <c r="K3504">
        <v>1.1089830000000001</v>
      </c>
      <c r="L3504">
        <v>140.536</v>
      </c>
      <c r="M3504">
        <v>-0.99878599999999995</v>
      </c>
      <c r="N3504">
        <v>0</v>
      </c>
      <c r="O3504">
        <v>-4.7654349999999998E-2</v>
      </c>
      <c r="P3504">
        <v>-0.99974010000000002</v>
      </c>
      <c r="Q3504">
        <v>1.1735600000000001E-2</v>
      </c>
      <c r="R3504">
        <v>1.9553959999999999E-2</v>
      </c>
      <c r="S3504">
        <v>-3.0019990000000001</v>
      </c>
      <c r="T3504">
        <v>-3.0735970000000001E-2</v>
      </c>
      <c r="U3504">
        <v>-5.9097289999999997E-2</v>
      </c>
      <c r="V3504">
        <v>6.7228889999999999E-2</v>
      </c>
      <c r="W3504">
        <v>2.4043459999999999E-2</v>
      </c>
      <c r="X3504">
        <v>0.9974478</v>
      </c>
      <c r="Y3504">
        <v>2.7985070000000001E-2</v>
      </c>
      <c r="Z3504">
        <v>6.3093619999999998E-4</v>
      </c>
      <c r="AA3504">
        <v>0.99960819999999995</v>
      </c>
      <c r="AB3504">
        <v>22</v>
      </c>
      <c r="AC3504">
        <v>-108.103799999999</v>
      </c>
      <c r="AD3504">
        <v>-1.108985855319</v>
      </c>
      <c r="AE3504">
        <v>-2.1236000000000099</v>
      </c>
      <c r="AF3504">
        <v>3.03051136311363</v>
      </c>
      <c r="AG3504">
        <v>-1.108985855319</v>
      </c>
      <c r="AH3504">
        <v>108.07080059432199</v>
      </c>
      <c r="AI3504">
        <v>90.587698189706799</v>
      </c>
      <c r="AJ3504">
        <v>88.393738005997406</v>
      </c>
      <c r="AK3504">
        <v>108.118970536381</v>
      </c>
      <c r="AL3504">
        <v>88.622278403214494</v>
      </c>
      <c r="AM3504">
        <v>86.144044281771698</v>
      </c>
      <c r="AN3504">
        <v>0.99999996267212099</v>
      </c>
    </row>
    <row r="3505" spans="1:40" x14ac:dyDescent="0.25">
      <c r="A3505" t="str">
        <f>"20190312154625904"</f>
        <v>20190312154625904</v>
      </c>
      <c r="B3505" t="str">
        <f>"1552376785900839"</f>
        <v>1552376785900839</v>
      </c>
      <c r="C3505" t="s">
        <v>40</v>
      </c>
      <c r="D3505">
        <v>3.1786720000000002</v>
      </c>
      <c r="E3505">
        <v>0.49366549999999998</v>
      </c>
      <c r="F3505" t="s">
        <v>45</v>
      </c>
      <c r="G3505">
        <v>-894.02239999999995</v>
      </c>
      <c r="H3505">
        <v>-0.1</v>
      </c>
      <c r="I3505">
        <v>141.95529999999999</v>
      </c>
      <c r="J3505">
        <v>-227.52809999999999</v>
      </c>
      <c r="K3505">
        <v>1.1106049999999901</v>
      </c>
      <c r="L3505">
        <v>140.48869999999999</v>
      </c>
      <c r="M3505">
        <v>-0.99900940000000005</v>
      </c>
      <c r="N3505">
        <v>0</v>
      </c>
      <c r="O3505">
        <v>-4.0648070000000001E-2</v>
      </c>
      <c r="P3505">
        <v>-0.99970429999999999</v>
      </c>
      <c r="Q3505">
        <v>8.7273419999999904E-3</v>
      </c>
      <c r="R3505">
        <v>2.269995E-2</v>
      </c>
      <c r="S3505">
        <v>-3.0007169999999999</v>
      </c>
      <c r="T3505">
        <v>-5.432844E-3</v>
      </c>
      <c r="U3505">
        <v>6.3781740000000003E-3</v>
      </c>
      <c r="V3505">
        <v>6.3357720000000006E-2</v>
      </c>
      <c r="W3505">
        <v>2.6720029999999999E-2</v>
      </c>
      <c r="X3505">
        <v>0.99763310000000005</v>
      </c>
      <c r="Y3505">
        <v>4.2778289999999997E-2</v>
      </c>
      <c r="Z3505">
        <v>1.1231669999999999E-4</v>
      </c>
      <c r="AA3505">
        <v>0.99908459999999999</v>
      </c>
      <c r="AB3505">
        <v>21</v>
      </c>
      <c r="AC3505">
        <v>-666.49429999999995</v>
      </c>
      <c r="AD3505">
        <v>-1.2106049999999999</v>
      </c>
      <c r="AE3505">
        <v>1.4665999999999899</v>
      </c>
      <c r="AF3505">
        <v>28.561443723590202</v>
      </c>
      <c r="AG3505">
        <v>-1.2106049999999999</v>
      </c>
      <c r="AH3505">
        <v>665.88145766799005</v>
      </c>
      <c r="AI3505">
        <v>90.104070720168494</v>
      </c>
      <c r="AJ3505">
        <v>87.543935637618006</v>
      </c>
      <c r="AK3505">
        <v>666.49481415693594</v>
      </c>
      <c r="AL3505">
        <v>88.468872793332906</v>
      </c>
      <c r="AM3505">
        <v>86.366137711599094</v>
      </c>
      <c r="AN3505">
        <v>0.99999998145120395</v>
      </c>
    </row>
    <row r="3506" spans="1:40" x14ac:dyDescent="0.25">
      <c r="A3506" t="str">
        <f>"20190312154625927"</f>
        <v>20190312154625927</v>
      </c>
      <c r="B3506" t="str">
        <f>"1552376785921334"</f>
        <v>1552376785921334</v>
      </c>
      <c r="C3506" t="s">
        <v>40</v>
      </c>
      <c r="D3506">
        <v>4.1964629999999996</v>
      </c>
      <c r="E3506">
        <v>0.5381939</v>
      </c>
      <c r="F3506" t="s">
        <v>42</v>
      </c>
      <c r="G3506">
        <v>-459.0179</v>
      </c>
      <c r="H3506" s="1">
        <v>5.3686219999999999E-8</v>
      </c>
      <c r="I3506">
        <v>141.70570000000001</v>
      </c>
      <c r="J3506">
        <v>-227.7296</v>
      </c>
      <c r="K3506">
        <v>1.110797</v>
      </c>
      <c r="L3506">
        <v>140.48179999999999</v>
      </c>
      <c r="M3506">
        <v>-0.99902120000000005</v>
      </c>
      <c r="N3506">
        <v>0</v>
      </c>
      <c r="O3506">
        <v>-3.9670410000000003E-2</v>
      </c>
      <c r="P3506">
        <v>-0.99969459999999999</v>
      </c>
      <c r="Q3506">
        <v>6.9458410000000003E-3</v>
      </c>
      <c r="R3506">
        <v>2.3727080000000001E-2</v>
      </c>
      <c r="S3506">
        <v>-3.0006560000000002</v>
      </c>
      <c r="T3506">
        <v>-1.439607E-2</v>
      </c>
      <c r="U3506">
        <v>1.5777590000000001E-2</v>
      </c>
      <c r="V3506">
        <v>6.3406920000000005E-2</v>
      </c>
      <c r="W3506">
        <v>2.6397799999999999E-2</v>
      </c>
      <c r="X3506">
        <v>0.99763860000000004</v>
      </c>
      <c r="Y3506">
        <v>4.4930320000000003E-2</v>
      </c>
      <c r="Z3506">
        <v>2.9810440000000002E-4</v>
      </c>
      <c r="AA3506">
        <v>0.99899009999999999</v>
      </c>
      <c r="AB3506">
        <v>20</v>
      </c>
      <c r="AC3506">
        <v>-231.28829999999999</v>
      </c>
      <c r="AD3506">
        <v>-1.1107969463137799</v>
      </c>
      <c r="AE3506">
        <v>1.22390000000001</v>
      </c>
      <c r="AF3506">
        <v>10.399755139901901</v>
      </c>
      <c r="AG3506">
        <v>-1.1107969463137799</v>
      </c>
      <c r="AH3506">
        <v>231.05227349410001</v>
      </c>
      <c r="AI3506">
        <v>90.275172001574504</v>
      </c>
      <c r="AJ3506">
        <v>87.422833525576706</v>
      </c>
      <c r="AK3506">
        <v>231.28887103278001</v>
      </c>
      <c r="AL3506">
        <v>88.487341799316397</v>
      </c>
      <c r="AM3506">
        <v>86.3633434260732</v>
      </c>
      <c r="AN3506">
        <v>1.00000002877934</v>
      </c>
    </row>
    <row r="3507" spans="1:40" x14ac:dyDescent="0.25">
      <c r="A3507" t="str">
        <f>"20190312154625949"</f>
        <v>20190312154625949</v>
      </c>
      <c r="B3507" t="str">
        <f>"1552376785940855"</f>
        <v>1552376785940855</v>
      </c>
      <c r="C3507" t="s">
        <v>40</v>
      </c>
      <c r="D3507">
        <v>4.4359719999999996</v>
      </c>
      <c r="E3507">
        <v>0.53721359999999996</v>
      </c>
      <c r="F3507" t="s">
        <v>41</v>
      </c>
      <c r="G3507">
        <v>-228.5412</v>
      </c>
      <c r="H3507">
        <v>0.89467540000000001</v>
      </c>
      <c r="I3507">
        <v>140.57380000000001</v>
      </c>
      <c r="J3507">
        <v>-227.92789999999999</v>
      </c>
      <c r="K3507">
        <v>1.1104810000000001</v>
      </c>
      <c r="L3507">
        <v>140.4751</v>
      </c>
      <c r="M3507">
        <v>-0.99906969999999995</v>
      </c>
      <c r="N3507">
        <v>0</v>
      </c>
      <c r="O3507">
        <v>-3.848915E-2</v>
      </c>
      <c r="P3507">
        <v>-0.99964549999999996</v>
      </c>
      <c r="Q3507">
        <v>6.6679399999999998E-3</v>
      </c>
      <c r="R3507">
        <v>2.5783170000000001E-2</v>
      </c>
      <c r="S3507">
        <v>-2.9983979999999999</v>
      </c>
      <c r="T3507">
        <v>-0.79846219999999901</v>
      </c>
      <c r="U3507">
        <v>0.3399353</v>
      </c>
      <c r="V3507">
        <v>6.4283480000000004E-2</v>
      </c>
      <c r="W3507">
        <v>2.5991199999999999E-2</v>
      </c>
      <c r="X3507">
        <v>0.99759319999999896</v>
      </c>
      <c r="Y3507">
        <v>0.1445138</v>
      </c>
      <c r="Z3507">
        <v>2.8903640000000001E-2</v>
      </c>
      <c r="AA3507">
        <v>0.98908050000000003</v>
      </c>
      <c r="AB3507">
        <v>20</v>
      </c>
      <c r="AC3507">
        <v>-0.61330000000000895</v>
      </c>
      <c r="AD3507">
        <v>-0.21580559999999999</v>
      </c>
      <c r="AE3507">
        <v>9.8700000000008004E-2</v>
      </c>
      <c r="AF3507">
        <v>0.10907262012091901</v>
      </c>
      <c r="AG3507">
        <v>-0.21580559999999999</v>
      </c>
      <c r="AH3507">
        <v>0.54345560603165699</v>
      </c>
      <c r="AI3507">
        <v>111.27269558474801</v>
      </c>
      <c r="AJ3507">
        <v>78.651398802454906</v>
      </c>
      <c r="AK3507">
        <v>0.59482172890592799</v>
      </c>
      <c r="AL3507">
        <v>88.510646291658006</v>
      </c>
      <c r="AM3507">
        <v>86.313039377972402</v>
      </c>
      <c r="AN3507">
        <v>1.0000000504822899</v>
      </c>
    </row>
    <row r="3508" spans="1:40" x14ac:dyDescent="0.25">
      <c r="A3508" t="str">
        <f>"20190312154625972"</f>
        <v>20190312154625972</v>
      </c>
      <c r="B3508" t="str">
        <f>"1552376785961351"</f>
        <v>1552376785961351</v>
      </c>
      <c r="C3508" t="s">
        <v>40</v>
      </c>
      <c r="D3508">
        <v>4.4283149999999996</v>
      </c>
      <c r="E3508">
        <v>0.53630789999999995</v>
      </c>
      <c r="F3508" t="s">
        <v>41</v>
      </c>
      <c r="G3508">
        <v>-228.74199999999999</v>
      </c>
      <c r="H3508">
        <v>0.93758399999999997</v>
      </c>
      <c r="I3508">
        <v>140.5693</v>
      </c>
      <c r="J3508">
        <v>-228.13380000000001</v>
      </c>
      <c r="K3508">
        <v>1.109958</v>
      </c>
      <c r="L3508">
        <v>140.46870000000001</v>
      </c>
      <c r="M3508">
        <v>-0.99913289999999999</v>
      </c>
      <c r="N3508">
        <v>0</v>
      </c>
      <c r="O3508">
        <v>-3.7335319999999998E-2</v>
      </c>
      <c r="P3508">
        <v>-0.99956800000000001</v>
      </c>
      <c r="Q3508">
        <v>7.9775509999999994E-3</v>
      </c>
      <c r="R3508">
        <v>2.8292379999999999E-2</v>
      </c>
      <c r="S3508">
        <v>-2.9964140000000001</v>
      </c>
      <c r="T3508">
        <v>-0.63629590000000003</v>
      </c>
      <c r="U3508">
        <v>0.345672599999999</v>
      </c>
      <c r="V3508">
        <v>6.5641240000000003E-2</v>
      </c>
      <c r="W3508">
        <v>2.6260990000000001E-2</v>
      </c>
      <c r="X3508">
        <v>0.99749770000000004</v>
      </c>
      <c r="Y3508">
        <v>0.1475445</v>
      </c>
      <c r="Z3508">
        <v>2.3263289999999999E-2</v>
      </c>
      <c r="AA3508">
        <v>0.98878180000000004</v>
      </c>
      <c r="AB3508">
        <v>20</v>
      </c>
      <c r="AC3508">
        <v>-0.60820000000000995</v>
      </c>
      <c r="AD3508">
        <v>-0.172374</v>
      </c>
      <c r="AE3508">
        <v>0.10059999999998499</v>
      </c>
      <c r="AF3508">
        <v>0.11430406934659899</v>
      </c>
      <c r="AG3508">
        <v>-0.172374</v>
      </c>
      <c r="AH3508">
        <v>0.56021809428862901</v>
      </c>
      <c r="AI3508">
        <v>106.77698408946399</v>
      </c>
      <c r="AJ3508">
        <v>78.467947291182497</v>
      </c>
      <c r="AK3508">
        <v>0.59717880849338201</v>
      </c>
      <c r="AL3508">
        <v>88.495183165111101</v>
      </c>
      <c r="AM3508">
        <v>86.235027684479206</v>
      </c>
      <c r="AN3508">
        <v>1.0000000367449</v>
      </c>
    </row>
    <row r="3509" spans="1:40" x14ac:dyDescent="0.25">
      <c r="A3509" t="str">
        <f>"20190312154625995"</f>
        <v>20190312154625995</v>
      </c>
      <c r="B3509" t="str">
        <f>"1552376785990631"</f>
        <v>1552376785990631</v>
      </c>
      <c r="C3509" t="s">
        <v>40</v>
      </c>
      <c r="D3509">
        <v>4.3347559999999996</v>
      </c>
      <c r="E3509">
        <v>0.53405509999999901</v>
      </c>
      <c r="F3509" t="s">
        <v>41</v>
      </c>
      <c r="G3509">
        <v>-228.9341</v>
      </c>
      <c r="H3509">
        <v>0.96095819999999998</v>
      </c>
      <c r="I3509">
        <v>140.56200000000001</v>
      </c>
      <c r="J3509">
        <v>-228.34610000000001</v>
      </c>
      <c r="K3509">
        <v>1.10971</v>
      </c>
      <c r="L3509">
        <v>140.4623</v>
      </c>
      <c r="M3509">
        <v>-0.99918419999999997</v>
      </c>
      <c r="N3509">
        <v>0</v>
      </c>
      <c r="O3509">
        <v>-3.6258949999999998E-2</v>
      </c>
      <c r="P3509">
        <v>-0.9994902</v>
      </c>
      <c r="Q3509">
        <v>9.3160399999999994E-3</v>
      </c>
      <c r="R3509">
        <v>3.053997E-2</v>
      </c>
      <c r="S3509">
        <v>-2.995911</v>
      </c>
      <c r="T3509">
        <v>-0.55770090000000005</v>
      </c>
      <c r="U3509">
        <v>0.34878540000000002</v>
      </c>
      <c r="V3509">
        <v>6.6811910000000002E-2</v>
      </c>
      <c r="W3509">
        <v>2.6945489999999999E-2</v>
      </c>
      <c r="X3509">
        <v>0.99740169999999995</v>
      </c>
      <c r="Y3509">
        <v>0.14845050000000001</v>
      </c>
      <c r="Z3509">
        <v>2.032844E-2</v>
      </c>
      <c r="AA3509">
        <v>0.98871089999999995</v>
      </c>
      <c r="AB3509">
        <v>20</v>
      </c>
      <c r="AC3509">
        <v>-0.58799999999999297</v>
      </c>
      <c r="AD3509">
        <v>-0.14875179999999999</v>
      </c>
      <c r="AE3509">
        <v>9.9700000000012695E-2</v>
      </c>
      <c r="AF3509">
        <v>0.11387395775718</v>
      </c>
      <c r="AG3509">
        <v>-0.14875179999999999</v>
      </c>
      <c r="AH3509">
        <v>0.54979490930094199</v>
      </c>
      <c r="AI3509">
        <v>104.83878141933501</v>
      </c>
      <c r="AJ3509">
        <v>78.298310679826102</v>
      </c>
      <c r="AK3509">
        <v>0.580834587943724</v>
      </c>
      <c r="AL3509">
        <v>88.455950294689003</v>
      </c>
      <c r="AM3509">
        <v>86.167712361214896</v>
      </c>
      <c r="AN3509">
        <v>1.00000002095603</v>
      </c>
    </row>
    <row r="3510" spans="1:40" x14ac:dyDescent="0.25">
      <c r="A3510" t="str">
        <f>"20190312154626019"</f>
        <v>20190312154626019</v>
      </c>
      <c r="B3510" t="str">
        <f>"1552376786011128"</f>
        <v>1552376786011128</v>
      </c>
      <c r="C3510" t="s">
        <v>40</v>
      </c>
      <c r="D3510">
        <v>4.3632220000000004</v>
      </c>
      <c r="E3510">
        <v>0.5321051</v>
      </c>
      <c r="F3510" t="s">
        <v>52</v>
      </c>
      <c r="G3510">
        <v>-284.71600000000001</v>
      </c>
      <c r="H3510" s="1">
        <v>-8.1741999999999903E-6</v>
      </c>
      <c r="I3510">
        <v>147.23500000000001</v>
      </c>
      <c r="J3510">
        <v>-228.54040000000001</v>
      </c>
      <c r="K3510">
        <v>1.1097239999999999</v>
      </c>
      <c r="L3510">
        <v>140.45660000000001</v>
      </c>
      <c r="M3510">
        <v>-0.99922160000000004</v>
      </c>
      <c r="N3510">
        <v>0</v>
      </c>
      <c r="O3510">
        <v>-3.5284740000000002E-2</v>
      </c>
      <c r="P3510">
        <v>-0.99943380000000004</v>
      </c>
      <c r="Q3510">
        <v>9.6717160000000003E-3</v>
      </c>
      <c r="R3510">
        <v>3.2230630000000003E-2</v>
      </c>
      <c r="S3510">
        <v>-2.991104</v>
      </c>
      <c r="T3510">
        <v>-5.8884020000000002E-2</v>
      </c>
      <c r="U3510">
        <v>0.359375</v>
      </c>
      <c r="V3510">
        <v>6.7523319999999998E-2</v>
      </c>
      <c r="W3510">
        <v>2.7167139999999999E-2</v>
      </c>
      <c r="X3510">
        <v>0.99734780000000001</v>
      </c>
      <c r="Y3510">
        <v>0.15421770000000001</v>
      </c>
      <c r="Z3510">
        <v>2.20485E-3</v>
      </c>
      <c r="AA3510">
        <v>0.98803439999999998</v>
      </c>
      <c r="AB3510">
        <v>20</v>
      </c>
      <c r="AC3510">
        <v>-56.175600000000003</v>
      </c>
      <c r="AD3510">
        <v>-1.1097321741999999</v>
      </c>
      <c r="AE3510">
        <v>6.7784000000000004</v>
      </c>
      <c r="AF3510">
        <v>8.7532607666195794</v>
      </c>
      <c r="AG3510">
        <v>-1.1097321741999999</v>
      </c>
      <c r="AH3510">
        <v>55.879903160561099</v>
      </c>
      <c r="AI3510">
        <v>91.123998006709499</v>
      </c>
      <c r="AJ3510">
        <v>81.097296415875604</v>
      </c>
      <c r="AK3510">
        <v>56.572207458968599</v>
      </c>
      <c r="AL3510">
        <v>88.443246069149396</v>
      </c>
      <c r="AM3510">
        <v>86.126821212616804</v>
      </c>
      <c r="AN3510">
        <v>1.00000004320222</v>
      </c>
    </row>
    <row r="3511" spans="1:40" x14ac:dyDescent="0.25">
      <c r="A3511" t="str">
        <f>"20190312154626041"</f>
        <v>20190312154626041</v>
      </c>
      <c r="B3511" t="str">
        <f>"1552376786030647"</f>
        <v>1552376786030647</v>
      </c>
      <c r="C3511" t="s">
        <v>40</v>
      </c>
      <c r="D3511">
        <v>4.376938</v>
      </c>
      <c r="E3511">
        <v>0.53140959999999904</v>
      </c>
      <c r="F3511" t="s">
        <v>52</v>
      </c>
      <c r="G3511">
        <v>-282.428</v>
      </c>
      <c r="H3511" s="1">
        <v>-6.9995329999999999E-6</v>
      </c>
      <c r="I3511">
        <v>146.7405</v>
      </c>
      <c r="J3511">
        <v>-228.75569999999999</v>
      </c>
      <c r="K3511">
        <v>1.1097809999999999</v>
      </c>
      <c r="L3511">
        <v>140.4504</v>
      </c>
      <c r="M3511">
        <v>-0.99926599999999999</v>
      </c>
      <c r="N3511">
        <v>0</v>
      </c>
      <c r="O3511">
        <v>-3.4125330000000002E-2</v>
      </c>
      <c r="P3511">
        <v>-0.99940669999999998</v>
      </c>
      <c r="Q3511">
        <v>9.9129040000000002E-3</v>
      </c>
      <c r="R3511">
        <v>3.2992559999999997E-2</v>
      </c>
      <c r="S3511">
        <v>-2.9910429999999999</v>
      </c>
      <c r="T3511">
        <v>-6.1595919999999998E-2</v>
      </c>
      <c r="U3511">
        <v>0.34878540000000002</v>
      </c>
      <c r="V3511">
        <v>6.7119170000000006E-2</v>
      </c>
      <c r="W3511">
        <v>2.719717E-2</v>
      </c>
      <c r="X3511">
        <v>0.99737419999999999</v>
      </c>
      <c r="Y3511">
        <v>0.14962</v>
      </c>
      <c r="Z3511">
        <v>2.2358970000000001E-3</v>
      </c>
      <c r="AA3511">
        <v>0.98874099999999998</v>
      </c>
      <c r="AB3511">
        <v>20</v>
      </c>
      <c r="AC3511">
        <v>-53.6723</v>
      </c>
      <c r="AD3511">
        <v>-1.109787999533</v>
      </c>
      <c r="AE3511">
        <v>6.29009999999999</v>
      </c>
      <c r="AF3511">
        <v>8.1148752680804996</v>
      </c>
      <c r="AG3511">
        <v>-1.109787999533</v>
      </c>
      <c r="AH3511">
        <v>53.403822366193999</v>
      </c>
      <c r="AI3511">
        <v>91.176988866655194</v>
      </c>
      <c r="AJ3511">
        <v>81.359825073405901</v>
      </c>
      <c r="AK3511">
        <v>54.028243293118599</v>
      </c>
      <c r="AL3511">
        <v>88.441524745453506</v>
      </c>
      <c r="AM3511">
        <v>86.150035175827099</v>
      </c>
      <c r="AN3511">
        <v>0.99999998193156803</v>
      </c>
    </row>
    <row r="3512" spans="1:40" x14ac:dyDescent="0.25">
      <c r="A3512" t="str">
        <f>"20190312154626062"</f>
        <v>20190312154626062</v>
      </c>
      <c r="B3512" t="str">
        <f>"1552376786051144"</f>
        <v>1552376786051144</v>
      </c>
      <c r="C3512" t="s">
        <v>40</v>
      </c>
      <c r="D3512">
        <v>4.36991</v>
      </c>
      <c r="E3512">
        <v>0.53084949999999997</v>
      </c>
      <c r="F3512" t="s">
        <v>52</v>
      </c>
      <c r="G3512">
        <v>-280.452</v>
      </c>
      <c r="H3512" s="1">
        <v>-6.0193269999999998E-6</v>
      </c>
      <c r="I3512">
        <v>146.41919999999999</v>
      </c>
      <c r="J3512">
        <v>-228.9461</v>
      </c>
      <c r="K3512">
        <v>1.109756</v>
      </c>
      <c r="L3512">
        <v>140.44499999999999</v>
      </c>
      <c r="M3512">
        <v>-0.99930909999999995</v>
      </c>
      <c r="N3512">
        <v>0</v>
      </c>
      <c r="O3512">
        <v>-3.3083689999999999E-2</v>
      </c>
      <c r="P3512">
        <v>-0.99937609999999999</v>
      </c>
      <c r="Q3512">
        <v>1.0776020000000001E-2</v>
      </c>
      <c r="R3512">
        <v>3.364234E-2</v>
      </c>
      <c r="S3512">
        <v>-2.9910130000000001</v>
      </c>
      <c r="T3512">
        <v>-6.4209340000000004E-2</v>
      </c>
      <c r="U3512">
        <v>0.3453369</v>
      </c>
      <c r="V3512">
        <v>6.6722459999999997E-2</v>
      </c>
      <c r="W3512">
        <v>2.7606140000000001E-2</v>
      </c>
      <c r="X3512">
        <v>0.99738959999999999</v>
      </c>
      <c r="Y3512">
        <v>0.1474625</v>
      </c>
      <c r="Z3512">
        <v>2.2855319999999998E-3</v>
      </c>
      <c r="AA3512">
        <v>0.98906499999999997</v>
      </c>
      <c r="AB3512">
        <v>20</v>
      </c>
      <c r="AC3512">
        <v>-51.505899999999997</v>
      </c>
      <c r="AD3512">
        <v>-1.1097620193269999</v>
      </c>
      <c r="AE3512">
        <v>5.97419999999999</v>
      </c>
      <c r="AF3512">
        <v>7.6716640836103398</v>
      </c>
      <c r="AG3512">
        <v>-1.1097620193269999</v>
      </c>
      <c r="AH3512">
        <v>51.2565402519812</v>
      </c>
      <c r="AI3512">
        <v>91.226665250579998</v>
      </c>
      <c r="AJ3512">
        <v>81.487620009086697</v>
      </c>
      <c r="AK3512">
        <v>51.839356864782403</v>
      </c>
      <c r="AL3512">
        <v>88.418083716348207</v>
      </c>
      <c r="AM3512">
        <v>86.172781604656194</v>
      </c>
      <c r="AN3512">
        <v>0.99999999991115496</v>
      </c>
    </row>
    <row r="3513" spans="1:40" x14ac:dyDescent="0.25">
      <c r="A3513" t="str">
        <f>"20190312154626085"</f>
        <v>20190312154626085</v>
      </c>
      <c r="B3513" t="str">
        <f>"1552376786081399"</f>
        <v>1552376786081399</v>
      </c>
      <c r="C3513" t="s">
        <v>40</v>
      </c>
      <c r="D3513">
        <v>4.3559080000000003</v>
      </c>
      <c r="E3513">
        <v>0.5299779</v>
      </c>
      <c r="F3513" t="s">
        <v>52</v>
      </c>
      <c r="G3513">
        <v>-283.01170000000002</v>
      </c>
      <c r="H3513" s="1">
        <v>-7.226485E-6</v>
      </c>
      <c r="I3513">
        <v>146.64179999999999</v>
      </c>
      <c r="J3513">
        <v>-229.14400000000001</v>
      </c>
      <c r="K3513">
        <v>1.1097030000000001</v>
      </c>
      <c r="L3513">
        <v>140.43950000000001</v>
      </c>
      <c r="M3513">
        <v>-0.9993495</v>
      </c>
      <c r="N3513">
        <v>0</v>
      </c>
      <c r="O3513">
        <v>-3.2108570000000003E-2</v>
      </c>
      <c r="P3513">
        <v>-0.99936899999999995</v>
      </c>
      <c r="Q3513">
        <v>1.1761519999999999E-2</v>
      </c>
      <c r="R3513">
        <v>3.3523289999999997E-2</v>
      </c>
      <c r="S3513">
        <v>-2.9909970000000001</v>
      </c>
      <c r="T3513">
        <v>-6.1393860000000001E-2</v>
      </c>
      <c r="U3513">
        <v>0.34281919999999999</v>
      </c>
      <c r="V3513">
        <v>6.5627329999999998E-2</v>
      </c>
      <c r="W3513">
        <v>2.8085180000000001E-2</v>
      </c>
      <c r="X3513">
        <v>0.99744889999999997</v>
      </c>
      <c r="Y3513">
        <v>0.145679799999999</v>
      </c>
      <c r="Z3513">
        <v>2.147248E-3</v>
      </c>
      <c r="AA3513">
        <v>0.98932949999999997</v>
      </c>
      <c r="AB3513">
        <v>20</v>
      </c>
      <c r="AC3513">
        <v>-53.867699999999999</v>
      </c>
      <c r="AD3513">
        <v>-1.1097102264850001</v>
      </c>
      <c r="AE3513">
        <v>6.2022999999999797</v>
      </c>
      <c r="AF3513">
        <v>7.9256296514817297</v>
      </c>
      <c r="AG3513">
        <v>-1.1097102264850001</v>
      </c>
      <c r="AH3513">
        <v>53.618286583038703</v>
      </c>
      <c r="AI3513">
        <v>91.172911235292801</v>
      </c>
      <c r="AJ3513">
        <v>81.5916653499837</v>
      </c>
      <c r="AK3513">
        <v>54.212246939783597</v>
      </c>
      <c r="AL3513">
        <v>88.390626124556803</v>
      </c>
      <c r="AM3513">
        <v>86.235639591632406</v>
      </c>
      <c r="AN3513">
        <v>1.0000000159448801</v>
      </c>
    </row>
    <row r="3514" spans="1:40" x14ac:dyDescent="0.25">
      <c r="A3514" t="str">
        <f>"20190312154626106"</f>
        <v>20190312154626106</v>
      </c>
      <c r="B3514" t="str">
        <f>"1552376786101034"</f>
        <v>1552376786101034</v>
      </c>
      <c r="C3514" t="s">
        <v>40</v>
      </c>
      <c r="D3514">
        <v>4.394717</v>
      </c>
      <c r="E3514">
        <v>0.52893519999999905</v>
      </c>
      <c r="F3514" t="s">
        <v>52</v>
      </c>
      <c r="G3514">
        <v>-286.40309999999999</v>
      </c>
      <c r="H3514" s="1">
        <v>-9.0541160000000007E-6</v>
      </c>
      <c r="I3514">
        <v>146.86340000000001</v>
      </c>
      <c r="J3514">
        <v>-229.339</v>
      </c>
      <c r="K3514">
        <v>1.1096729999999999</v>
      </c>
      <c r="L3514">
        <v>140.4341</v>
      </c>
      <c r="M3514">
        <v>-0.99938150000000003</v>
      </c>
      <c r="N3514">
        <v>0</v>
      </c>
      <c r="O3514">
        <v>-3.1287830000000003E-2</v>
      </c>
      <c r="P3514">
        <v>-0.99935929999999995</v>
      </c>
      <c r="Q3514">
        <v>1.307996E-2</v>
      </c>
      <c r="R3514">
        <v>3.3320330000000002E-2</v>
      </c>
      <c r="S3514">
        <v>-2.991333</v>
      </c>
      <c r="T3514">
        <v>-5.7973619999999997E-2</v>
      </c>
      <c r="U3514">
        <v>0.33560180000000001</v>
      </c>
      <c r="V3514">
        <v>6.4605090000000004E-2</v>
      </c>
      <c r="W3514">
        <v>2.9038939999999999E-2</v>
      </c>
      <c r="X3514">
        <v>0.99748829999999999</v>
      </c>
      <c r="Y3514">
        <v>0.14250179999999901</v>
      </c>
      <c r="Z3514">
        <v>1.9811249999999998E-3</v>
      </c>
      <c r="AA3514">
        <v>0.98979260000000002</v>
      </c>
      <c r="AB3514">
        <v>20</v>
      </c>
      <c r="AC3514">
        <v>-57.064099999999897</v>
      </c>
      <c r="AD3514">
        <v>-1.109682054116</v>
      </c>
      <c r="AE3514">
        <v>6.4293000000000102</v>
      </c>
      <c r="AF3514">
        <v>8.2087281807321499</v>
      </c>
      <c r="AG3514">
        <v>-1.109682054116</v>
      </c>
      <c r="AH3514">
        <v>56.813755193727502</v>
      </c>
      <c r="AI3514">
        <v>91.107457679881904</v>
      </c>
      <c r="AJ3514">
        <v>81.778521743061603</v>
      </c>
      <c r="AK3514">
        <v>57.414435395805903</v>
      </c>
      <c r="AL3514">
        <v>88.335957359077597</v>
      </c>
      <c r="AM3514">
        <v>86.294256203874099</v>
      </c>
      <c r="AN3514">
        <v>0.99999999316356003</v>
      </c>
    </row>
    <row r="3515" spans="1:40" x14ac:dyDescent="0.25">
      <c r="A3515" t="str">
        <f>"20190312154626129"</f>
        <v>20190312154626129</v>
      </c>
      <c r="B3515" t="str">
        <f>"1552376786120554"</f>
        <v>1552376786120554</v>
      </c>
      <c r="C3515" t="s">
        <v>40</v>
      </c>
      <c r="D3515">
        <v>4.5946669999999896</v>
      </c>
      <c r="E3515">
        <v>0.49664999999999998</v>
      </c>
      <c r="F3515" t="s">
        <v>52</v>
      </c>
      <c r="G3515">
        <v>-289.5147</v>
      </c>
      <c r="H3515" s="1">
        <v>-1.0719399999999999E-5</v>
      </c>
      <c r="I3515">
        <v>147.0027</v>
      </c>
      <c r="J3515">
        <v>-229.53720000000001</v>
      </c>
      <c r="K3515">
        <v>1.109666</v>
      </c>
      <c r="L3515">
        <v>140.4289</v>
      </c>
      <c r="M3515">
        <v>-0.9994094</v>
      </c>
      <c r="N3515">
        <v>0</v>
      </c>
      <c r="O3515">
        <v>-3.053121E-2</v>
      </c>
      <c r="P3515">
        <v>-0.99934020000000001</v>
      </c>
      <c r="Q3515">
        <v>1.4096879999999999E-2</v>
      </c>
      <c r="R3515">
        <v>3.3473070000000001E-2</v>
      </c>
      <c r="S3515">
        <v>-2.9917600000000002</v>
      </c>
      <c r="T3515">
        <v>-5.5170179999999999E-2</v>
      </c>
      <c r="U3515">
        <v>0.32656859999999999</v>
      </c>
      <c r="V3515">
        <v>6.4002829999999997E-2</v>
      </c>
      <c r="W3515">
        <v>2.9772E-2</v>
      </c>
      <c r="X3515">
        <v>0.99750550000000004</v>
      </c>
      <c r="Y3515">
        <v>0.1387871</v>
      </c>
      <c r="Z3515">
        <v>1.83731E-3</v>
      </c>
      <c r="AA3515">
        <v>0.9903206</v>
      </c>
      <c r="AB3515">
        <v>20</v>
      </c>
      <c r="AC3515">
        <v>-59.9774999999999</v>
      </c>
      <c r="AD3515">
        <v>-1.1096767193999999</v>
      </c>
      <c r="AE3515">
        <v>6.5738000000000003</v>
      </c>
      <c r="AF3515">
        <v>8.3993070034012298</v>
      </c>
      <c r="AG3515">
        <v>-1.1096767193999999</v>
      </c>
      <c r="AH3515">
        <v>59.728598499121503</v>
      </c>
      <c r="AI3515">
        <v>91.053987728972203</v>
      </c>
      <c r="AJ3515">
        <v>81.9952966917227</v>
      </c>
      <c r="AK3515">
        <v>60.326488537194201</v>
      </c>
      <c r="AL3515">
        <v>88.293937917851395</v>
      </c>
      <c r="AM3515">
        <v>86.328770007590194</v>
      </c>
      <c r="AN3515">
        <v>0.99999997838112897</v>
      </c>
    </row>
    <row r="3516" spans="1:40" x14ac:dyDescent="0.25">
      <c r="A3516" t="str">
        <f>"20190312154626149"</f>
        <v>20190312154626149</v>
      </c>
      <c r="B3516" t="str">
        <f>"1552376786141050"</f>
        <v>1552376786141050</v>
      </c>
      <c r="C3516" t="s">
        <v>40</v>
      </c>
      <c r="D3516">
        <v>4.3742989999999997</v>
      </c>
      <c r="E3516">
        <v>0.48445110000000002</v>
      </c>
      <c r="F3516" t="s">
        <v>42</v>
      </c>
      <c r="G3516">
        <v>-337.1508</v>
      </c>
      <c r="H3516" s="1">
        <v>-2.214892E-6</v>
      </c>
      <c r="I3516">
        <v>142.9521</v>
      </c>
      <c r="J3516">
        <v>-229.72</v>
      </c>
      <c r="K3516">
        <v>1.109659</v>
      </c>
      <c r="L3516">
        <v>140.42420000000001</v>
      </c>
      <c r="M3516">
        <v>-0.99943380000000004</v>
      </c>
      <c r="N3516">
        <v>0</v>
      </c>
      <c r="O3516">
        <v>-2.9848300000000001E-2</v>
      </c>
      <c r="P3516">
        <v>-0.99932489999999996</v>
      </c>
      <c r="Q3516">
        <v>1.4497980000000001E-2</v>
      </c>
      <c r="R3516">
        <v>3.3754560000000003E-2</v>
      </c>
      <c r="S3516">
        <v>-3.0000610000000001</v>
      </c>
      <c r="T3516">
        <v>-3.093541E-2</v>
      </c>
      <c r="U3516">
        <v>7.0343020000000006E-2</v>
      </c>
      <c r="V3516">
        <v>6.3602530000000004E-2</v>
      </c>
      <c r="W3516">
        <v>2.992119E-2</v>
      </c>
      <c r="X3516">
        <v>0.99752660000000004</v>
      </c>
      <c r="Y3516">
        <v>5.3269589999999999E-2</v>
      </c>
      <c r="Z3516">
        <v>5.8236500000000005E-4</v>
      </c>
      <c r="AA3516">
        <v>0.99858000000000002</v>
      </c>
      <c r="AB3516">
        <v>20</v>
      </c>
      <c r="AC3516">
        <v>-107.4308</v>
      </c>
      <c r="AD3516">
        <v>-1.109661214892</v>
      </c>
      <c r="AE3516">
        <v>2.5278999999999798</v>
      </c>
      <c r="AF3516">
        <v>5.7331755345165298</v>
      </c>
      <c r="AG3516">
        <v>-1.109661214892</v>
      </c>
      <c r="AH3516">
        <v>107.296017927785</v>
      </c>
      <c r="AI3516">
        <v>90.591690912742493</v>
      </c>
      <c r="AJ3516">
        <v>86.941408638681395</v>
      </c>
      <c r="AK3516">
        <v>107.454809631217</v>
      </c>
      <c r="AL3516">
        <v>88.285386082144498</v>
      </c>
      <c r="AM3516">
        <v>86.351746141398394</v>
      </c>
      <c r="AN3516">
        <v>0.99999993857048597</v>
      </c>
    </row>
    <row r="3517" spans="1:40" x14ac:dyDescent="0.25">
      <c r="A3517" t="str">
        <f>"20190312154626173"</f>
        <v>20190312154626173</v>
      </c>
      <c r="B3517" t="str">
        <f>"1552376786160570"</f>
        <v>1552376786160570</v>
      </c>
      <c r="C3517" t="s">
        <v>40</v>
      </c>
      <c r="D3517">
        <v>4.3771319999999996</v>
      </c>
      <c r="E3517">
        <v>0.42173699999999997</v>
      </c>
      <c r="F3517" t="s">
        <v>52</v>
      </c>
      <c r="G3517">
        <v>-305.35680000000002</v>
      </c>
      <c r="H3517" s="1">
        <v>-8.8662410000000004E-6</v>
      </c>
      <c r="I3517">
        <v>139.7525</v>
      </c>
      <c r="J3517">
        <v>-229.92570000000001</v>
      </c>
      <c r="K3517">
        <v>1.109661</v>
      </c>
      <c r="L3517">
        <v>140.41909999999999</v>
      </c>
      <c r="M3517">
        <v>-0.99946159999999995</v>
      </c>
      <c r="N3517">
        <v>0</v>
      </c>
      <c r="O3517">
        <v>-2.905545E-2</v>
      </c>
      <c r="P3517">
        <v>-0.99931199999999998</v>
      </c>
      <c r="Q3517">
        <v>1.487991E-2</v>
      </c>
      <c r="R3517">
        <v>3.3976260000000001E-2</v>
      </c>
      <c r="S3517">
        <v>-3.0035859999999999</v>
      </c>
      <c r="T3517">
        <v>-4.4065590000000002E-2</v>
      </c>
      <c r="U3517">
        <v>-2.6672359999999999E-2</v>
      </c>
      <c r="V3517">
        <v>6.3032199999999997E-2</v>
      </c>
      <c r="W3517">
        <v>3.0022699999999999E-2</v>
      </c>
      <c r="X3517">
        <v>0.9975598</v>
      </c>
      <c r="Y3517">
        <v>2.0176309999999999E-2</v>
      </c>
      <c r="Z3517">
        <v>5.7422430000000002E-4</v>
      </c>
      <c r="AA3517">
        <v>0.99979629999999997</v>
      </c>
      <c r="AB3517">
        <v>20</v>
      </c>
      <c r="AC3517">
        <v>-75.431100000000001</v>
      </c>
      <c r="AD3517">
        <v>-1.1096698662410001</v>
      </c>
      <c r="AE3517">
        <v>-0.66659999999998798</v>
      </c>
      <c r="AF3517">
        <v>1.5252905866758899</v>
      </c>
      <c r="AG3517">
        <v>-1.1096698662410001</v>
      </c>
      <c r="AH3517">
        <v>75.402299408817001</v>
      </c>
      <c r="AI3517">
        <v>90.842969107354804</v>
      </c>
      <c r="AJ3517">
        <v>88.8411388461342</v>
      </c>
      <c r="AK3517">
        <v>75.425888358856795</v>
      </c>
      <c r="AL3517">
        <v>88.279567457582402</v>
      </c>
      <c r="AM3517">
        <v>86.384493226352305</v>
      </c>
      <c r="AN3517">
        <v>0.99999998766408404</v>
      </c>
    </row>
    <row r="3518" spans="1:40" x14ac:dyDescent="0.25">
      <c r="A3518" t="str">
        <f>"20190312154626195"</f>
        <v>20190312154626195</v>
      </c>
      <c r="B3518" t="str">
        <f>"1552376786190828"</f>
        <v>1552376786190828</v>
      </c>
      <c r="C3518" t="s">
        <v>40</v>
      </c>
      <c r="D3518">
        <v>4.4186239999999897</v>
      </c>
      <c r="E3518">
        <v>0.41740430000000001</v>
      </c>
      <c r="F3518" t="s">
        <v>66</v>
      </c>
      <c r="G3518">
        <v>-353.14609999999999</v>
      </c>
      <c r="H3518">
        <v>0.55444119999999997</v>
      </c>
      <c r="I3518">
        <v>118.9999</v>
      </c>
      <c r="J3518">
        <v>-230.12389999999999</v>
      </c>
      <c r="K3518">
        <v>1.109669</v>
      </c>
      <c r="L3518">
        <v>140.4143</v>
      </c>
      <c r="M3518">
        <v>-0.99948789999999998</v>
      </c>
      <c r="N3518">
        <v>0</v>
      </c>
      <c r="O3518">
        <v>-2.8266820000000002E-2</v>
      </c>
      <c r="P3518">
        <v>-0.99930790000000003</v>
      </c>
      <c r="Q3518">
        <v>1.507242E-2</v>
      </c>
      <c r="R3518">
        <v>3.4014780000000001E-2</v>
      </c>
      <c r="S3518">
        <v>-3.020111</v>
      </c>
      <c r="T3518">
        <v>-1.36081E-2</v>
      </c>
      <c r="U3518">
        <v>-0.52497859999999996</v>
      </c>
      <c r="V3518">
        <v>6.2282589999999999E-2</v>
      </c>
      <c r="W3518">
        <v>2.997789E-2</v>
      </c>
      <c r="X3518">
        <v>0.99760819999999995</v>
      </c>
      <c r="Y3518">
        <v>-0.14333760000000001</v>
      </c>
      <c r="Z3518">
        <v>-1.9418079999999999E-4</v>
      </c>
      <c r="AA3518">
        <v>0.9896739</v>
      </c>
      <c r="AB3518">
        <v>20</v>
      </c>
      <c r="AC3518">
        <v>-123.0222</v>
      </c>
      <c r="AD3518">
        <v>-0.55522780000000005</v>
      </c>
      <c r="AE3518">
        <v>-21.414400000000001</v>
      </c>
      <c r="AF3518">
        <v>-17.927649206932099</v>
      </c>
      <c r="AG3518">
        <v>-0.55522780000000005</v>
      </c>
      <c r="AH3518">
        <v>123.57597289350799</v>
      </c>
      <c r="AI3518">
        <v>90.254761728916094</v>
      </c>
      <c r="AJ3518">
        <v>98.254534549889598</v>
      </c>
      <c r="AK3518">
        <v>124.870853126635</v>
      </c>
      <c r="AL3518">
        <v>88.282135986331795</v>
      </c>
      <c r="AM3518">
        <v>86.427551465470799</v>
      </c>
      <c r="AN3518">
        <v>0.999999957806599</v>
      </c>
    </row>
    <row r="3519" spans="1:40" x14ac:dyDescent="0.25">
      <c r="A3519" t="str">
        <f>"20190312154626218"</f>
        <v>20190312154626218</v>
      </c>
      <c r="B3519" t="str">
        <f>"1552376786211322"</f>
        <v>1552376786211322</v>
      </c>
      <c r="C3519" t="s">
        <v>40</v>
      </c>
      <c r="D3519">
        <v>4.3922800000000004</v>
      </c>
      <c r="E3519">
        <v>0.41663830000000002</v>
      </c>
      <c r="F3519" t="s">
        <v>43</v>
      </c>
      <c r="G3519">
        <v>-330.62380000000002</v>
      </c>
      <c r="H3519">
        <v>-0.05</v>
      </c>
      <c r="I3519">
        <v>121.78279999999999</v>
      </c>
      <c r="J3519">
        <v>-230.32040000000001</v>
      </c>
      <c r="K3519">
        <v>1.10968</v>
      </c>
      <c r="L3519">
        <v>140.40969999999999</v>
      </c>
      <c r="M3519">
        <v>-0.99951299999999998</v>
      </c>
      <c r="N3519">
        <v>0</v>
      </c>
      <c r="O3519">
        <v>-2.747368E-2</v>
      </c>
      <c r="P3519">
        <v>-0.99929650000000003</v>
      </c>
      <c r="Q3519">
        <v>1.503323E-2</v>
      </c>
      <c r="R3519">
        <v>3.4360139999999997E-2</v>
      </c>
      <c r="S3519">
        <v>-3.0216669999999999</v>
      </c>
      <c r="T3519">
        <v>-3.4867049999999997E-2</v>
      </c>
      <c r="U3519">
        <v>-0.56018069999999998</v>
      </c>
      <c r="V3519">
        <v>6.183491E-2</v>
      </c>
      <c r="W3519">
        <v>2.9741500000000001E-2</v>
      </c>
      <c r="X3519">
        <v>0.99764319999999895</v>
      </c>
      <c r="Y3519">
        <v>-0.15518860000000001</v>
      </c>
      <c r="Z3519">
        <v>-5.7363179999999996E-4</v>
      </c>
      <c r="AA3519">
        <v>0.98788469999999995</v>
      </c>
      <c r="AB3519">
        <v>20</v>
      </c>
      <c r="AC3519">
        <v>-100.3034</v>
      </c>
      <c r="AD3519">
        <v>-1.1596799999999901</v>
      </c>
      <c r="AE3519">
        <v>-18.6268999999999</v>
      </c>
      <c r="AF3519">
        <v>-15.8618124355418</v>
      </c>
      <c r="AG3519">
        <v>-1.1596799999999901</v>
      </c>
      <c r="AH3519">
        <v>100.764314949644</v>
      </c>
      <c r="AI3519">
        <v>90.651358558435405</v>
      </c>
      <c r="AJ3519">
        <v>98.945805116593405</v>
      </c>
      <c r="AK3519">
        <v>102.011710693987</v>
      </c>
      <c r="AL3519">
        <v>88.295686307690602</v>
      </c>
      <c r="AM3519">
        <v>86.453288136784707</v>
      </c>
      <c r="AN3519">
        <v>1.00000003371159</v>
      </c>
    </row>
    <row r="3520" spans="1:40" x14ac:dyDescent="0.25">
      <c r="A3520" t="str">
        <f>"20190312154626242"</f>
        <v>20190312154626242</v>
      </c>
      <c r="B3520" t="str">
        <f>"1552376786230843"</f>
        <v>1552376786230843</v>
      </c>
      <c r="C3520" t="s">
        <v>40</v>
      </c>
      <c r="D3520">
        <v>4.4086059999999998</v>
      </c>
      <c r="E3520">
        <v>0.41549259999999899</v>
      </c>
      <c r="F3520" t="s">
        <v>52</v>
      </c>
      <c r="G3520">
        <v>-313.25330000000002</v>
      </c>
      <c r="H3520">
        <v>7.9988199999999995E-2</v>
      </c>
      <c r="I3520">
        <v>124.892</v>
      </c>
      <c r="J3520">
        <v>-230.53559999999999</v>
      </c>
      <c r="K3520">
        <v>1.109686</v>
      </c>
      <c r="L3520">
        <v>140.40479999999999</v>
      </c>
      <c r="M3520">
        <v>-0.99953939999999997</v>
      </c>
      <c r="N3520">
        <v>0</v>
      </c>
      <c r="O3520">
        <v>-2.6599950000000001E-2</v>
      </c>
      <c r="P3520">
        <v>-0.99927670000000002</v>
      </c>
      <c r="Q3520">
        <v>1.483928E-2</v>
      </c>
      <c r="R3520">
        <v>3.5015299999999999E-2</v>
      </c>
      <c r="S3520">
        <v>-3.022141</v>
      </c>
      <c r="T3520">
        <v>-3.752279E-2</v>
      </c>
      <c r="U3520">
        <v>-0.56547550000000002</v>
      </c>
      <c r="V3520">
        <v>6.1616539999999997E-2</v>
      </c>
      <c r="W3520">
        <v>2.935923E-2</v>
      </c>
      <c r="X3520">
        <v>0.997668</v>
      </c>
      <c r="Y3520">
        <v>-0.15769520000000001</v>
      </c>
      <c r="Z3520">
        <v>-6.4329619999999998E-4</v>
      </c>
      <c r="AA3520">
        <v>0.98748760000000002</v>
      </c>
      <c r="AB3520">
        <v>20</v>
      </c>
      <c r="AC3520">
        <v>-82.717699999999994</v>
      </c>
      <c r="AD3520">
        <v>-1.0296978000000001</v>
      </c>
      <c r="AE3520">
        <v>-15.512799999999899</v>
      </c>
      <c r="AF3520">
        <v>-13.3047965565222</v>
      </c>
      <c r="AG3520">
        <v>-1.0296978000000001</v>
      </c>
      <c r="AH3520">
        <v>83.088670507261497</v>
      </c>
      <c r="AI3520">
        <v>90.701085961754202</v>
      </c>
      <c r="AJ3520">
        <v>99.097410046544894</v>
      </c>
      <c r="AK3520">
        <v>84.153461340779302</v>
      </c>
      <c r="AL3520">
        <v>88.3175982776457</v>
      </c>
      <c r="AM3520">
        <v>86.465869178241107</v>
      </c>
      <c r="AN3520">
        <v>1.00000000030588</v>
      </c>
    </row>
    <row r="3521" spans="1:40" x14ac:dyDescent="0.25">
      <c r="A3521" t="str">
        <f>"20190312154626284"</f>
        <v>20190312154626284</v>
      </c>
      <c r="B3521" t="str">
        <f>"1552376786280618"</f>
        <v>1552376786280618</v>
      </c>
      <c r="C3521" t="s">
        <v>40</v>
      </c>
      <c r="D3521">
        <v>4.7459339999999903</v>
      </c>
      <c r="E3521">
        <v>0.4154311</v>
      </c>
      <c r="F3521" t="s">
        <v>52</v>
      </c>
      <c r="G3521">
        <v>-302.76940000000002</v>
      </c>
      <c r="H3521" s="1">
        <v>-4.2476160000000002E-6</v>
      </c>
      <c r="I3521">
        <v>126.7086</v>
      </c>
      <c r="J3521">
        <v>-230.90700000000001</v>
      </c>
      <c r="K3521">
        <v>1.109675</v>
      </c>
      <c r="L3521">
        <v>140.39689999999999</v>
      </c>
      <c r="M3521">
        <v>-0.99958290000000005</v>
      </c>
      <c r="N3521">
        <v>0</v>
      </c>
      <c r="O3521">
        <v>-2.5075469999999999E-2</v>
      </c>
      <c r="P3521">
        <v>-0.99921349999999998</v>
      </c>
      <c r="Q3521">
        <v>1.351316E-2</v>
      </c>
      <c r="R3521">
        <v>3.7283049999999998E-2</v>
      </c>
      <c r="S3521">
        <v>-3.0229490000000001</v>
      </c>
      <c r="T3521">
        <v>-4.6440009999999997E-2</v>
      </c>
      <c r="U3521">
        <v>-0.57318119999999995</v>
      </c>
      <c r="V3521">
        <v>6.2358980000000001E-2</v>
      </c>
      <c r="W3521">
        <v>2.7752949999999998E-2</v>
      </c>
      <c r="X3521">
        <v>0.99766779999999999</v>
      </c>
      <c r="Y3521">
        <v>-0.16157759999999999</v>
      </c>
      <c r="Z3521">
        <v>-8.4850399999999895E-4</v>
      </c>
      <c r="AA3521">
        <v>0.98685970000000001</v>
      </c>
      <c r="AB3521">
        <v>20</v>
      </c>
      <c r="AC3521">
        <v>-71.862399999999994</v>
      </c>
      <c r="AD3521">
        <v>-1.109679247616</v>
      </c>
      <c r="AE3521">
        <v>-13.6882999999999</v>
      </c>
      <c r="AF3521">
        <v>-11.879093211942999</v>
      </c>
      <c r="AG3521">
        <v>-1.109679247616</v>
      </c>
      <c r="AH3521">
        <v>72.166469421795298</v>
      </c>
      <c r="AI3521">
        <v>90.869252447592203</v>
      </c>
      <c r="AJ3521">
        <v>99.347453346880798</v>
      </c>
      <c r="AK3521">
        <v>73.146042629642906</v>
      </c>
      <c r="AL3521">
        <v>88.409668825585399</v>
      </c>
      <c r="AM3521">
        <v>86.423394324417799</v>
      </c>
      <c r="AN3521">
        <v>0.99999995388858998</v>
      </c>
    </row>
    <row r="3522" spans="1:40" x14ac:dyDescent="0.25">
      <c r="A3522" t="str">
        <f>"20190312154626307"</f>
        <v>20190312154626307</v>
      </c>
      <c r="B3522" t="str">
        <f>"1552376786301114"</f>
        <v>1552376786301114</v>
      </c>
      <c r="C3522" t="s">
        <v>40</v>
      </c>
      <c r="D3522">
        <v>4.6337460000000004</v>
      </c>
      <c r="E3522">
        <v>0.45168560000000002</v>
      </c>
      <c r="F3522" t="s">
        <v>52</v>
      </c>
      <c r="G3522">
        <v>-297.27019999999999</v>
      </c>
      <c r="H3522" s="1">
        <v>-4.3083949999999998E-6</v>
      </c>
      <c r="I3522">
        <v>127.9599</v>
      </c>
      <c r="J3522">
        <v>-231.114</v>
      </c>
      <c r="K3522">
        <v>1.109666</v>
      </c>
      <c r="L3522">
        <v>140.39269999999999</v>
      </c>
      <c r="M3522">
        <v>-0.99960579999999999</v>
      </c>
      <c r="N3522">
        <v>0</v>
      </c>
      <c r="O3522">
        <v>-2.4214869999999999E-2</v>
      </c>
      <c r="P3522">
        <v>-0.99917719999999999</v>
      </c>
      <c r="Q3522">
        <v>1.1742239999999999E-2</v>
      </c>
      <c r="R3522">
        <v>3.882008E-2</v>
      </c>
      <c r="S3522">
        <v>-3.0242</v>
      </c>
      <c r="T3522">
        <v>-5.0568580000000002E-2</v>
      </c>
      <c r="U3522">
        <v>-0.56675719999999996</v>
      </c>
      <c r="V3522">
        <v>6.3033770000000003E-2</v>
      </c>
      <c r="W3522">
        <v>2.5856770000000001E-2</v>
      </c>
      <c r="X3522">
        <v>0.99767640000000002</v>
      </c>
      <c r="Y3522">
        <v>-0.1603252</v>
      </c>
      <c r="Z3522">
        <v>-9.2759750000000001E-4</v>
      </c>
      <c r="AA3522">
        <v>0.98706380000000005</v>
      </c>
      <c r="AB3522">
        <v>20</v>
      </c>
      <c r="AC3522">
        <v>-66.156199999999899</v>
      </c>
      <c r="AD3522">
        <v>-1.1096703083949999</v>
      </c>
      <c r="AE3522">
        <v>-12.432799999999901</v>
      </c>
      <c r="AF3522">
        <v>-10.824086699074201</v>
      </c>
      <c r="AG3522">
        <v>-1.1096703083949999</v>
      </c>
      <c r="AH3522">
        <v>66.419836860245397</v>
      </c>
      <c r="AI3522">
        <v>90.944686697812401</v>
      </c>
      <c r="AJ3522">
        <v>99.255822939381702</v>
      </c>
      <c r="AK3522">
        <v>67.305177732504504</v>
      </c>
      <c r="AL3522">
        <v>88.518351098196803</v>
      </c>
      <c r="AM3522">
        <v>86.384824850256095</v>
      </c>
      <c r="AN3522">
        <v>1.0000000139161001</v>
      </c>
    </row>
    <row r="3523" spans="1:40" x14ac:dyDescent="0.25">
      <c r="A3523" t="str">
        <f>"20190312154626352"</f>
        <v>20190312154626352</v>
      </c>
      <c r="B3523" t="str">
        <f>"1552376786341131"</f>
        <v>1552376786341131</v>
      </c>
      <c r="C3523" t="s">
        <v>40</v>
      </c>
      <c r="D3523">
        <v>4.6129889999999998</v>
      </c>
      <c r="E3523">
        <v>0.5128009</v>
      </c>
      <c r="F3523" t="s">
        <v>42</v>
      </c>
      <c r="G3523">
        <v>-247.2825</v>
      </c>
      <c r="H3523" s="1">
        <v>-1.2760660000000001E-6</v>
      </c>
      <c r="I3523">
        <v>138.89490000000001</v>
      </c>
      <c r="J3523">
        <v>-231.5059</v>
      </c>
      <c r="K3523">
        <v>1.109661</v>
      </c>
      <c r="L3523">
        <v>140.3853</v>
      </c>
      <c r="M3523">
        <v>-0.9996469</v>
      </c>
      <c r="N3523">
        <v>0</v>
      </c>
      <c r="O3523">
        <v>-2.2575350000000001E-2</v>
      </c>
      <c r="P3523">
        <v>-0.99909320000000001</v>
      </c>
      <c r="Q3523">
        <v>8.1153059999999992E-3</v>
      </c>
      <c r="R3523">
        <v>4.18001E-2</v>
      </c>
      <c r="S3523">
        <v>-3.0157780000000001</v>
      </c>
      <c r="T3523">
        <v>-0.20697689999999999</v>
      </c>
      <c r="U3523">
        <v>-0.27937319999999999</v>
      </c>
      <c r="V3523">
        <v>6.4370659999999996E-2</v>
      </c>
      <c r="W3523">
        <v>2.2039840000000002E-2</v>
      </c>
      <c r="X3523">
        <v>0.99768259999999998</v>
      </c>
      <c r="Y3523">
        <v>-6.9627750000000002E-2</v>
      </c>
      <c r="Z3523">
        <v>-8.3752259999999895E-4</v>
      </c>
      <c r="AA3523">
        <v>0.99757269999999998</v>
      </c>
      <c r="AB3523">
        <v>20</v>
      </c>
      <c r="AC3523">
        <v>-15.7766</v>
      </c>
      <c r="AD3523">
        <v>-1.109662276066</v>
      </c>
      <c r="AE3523">
        <v>-1.49039999999999</v>
      </c>
      <c r="AF3523">
        <v>-1.12829039150833</v>
      </c>
      <c r="AG3523">
        <v>-1.109662276066</v>
      </c>
      <c r="AH3523">
        <v>15.7291021816475</v>
      </c>
      <c r="AI3523">
        <v>94.025128553330305</v>
      </c>
      <c r="AJ3523">
        <v>94.102951145655098</v>
      </c>
      <c r="AK3523">
        <v>15.808511790020001</v>
      </c>
      <c r="AL3523">
        <v>88.737107871300594</v>
      </c>
      <c r="AM3523">
        <v>86.308382925806598</v>
      </c>
      <c r="AN3523">
        <v>0.99999995337940895</v>
      </c>
    </row>
    <row r="3524" spans="1:40" x14ac:dyDescent="0.25">
      <c r="A3524" t="str">
        <f>"20190312154626373"</f>
        <v>20190312154626373</v>
      </c>
      <c r="B3524" t="str">
        <f>"1552376786360651"</f>
        <v>1552376786360651</v>
      </c>
      <c r="C3524" t="s">
        <v>40</v>
      </c>
      <c r="D3524">
        <v>4.6683320000000004</v>
      </c>
      <c r="E3524">
        <v>0.51397660000000001</v>
      </c>
      <c r="F3524" t="s">
        <v>41</v>
      </c>
      <c r="G3524">
        <v>-232.2774</v>
      </c>
      <c r="H3524">
        <v>0.92637119999999995</v>
      </c>
      <c r="I3524">
        <v>140.4359</v>
      </c>
      <c r="J3524">
        <v>-231.69220000000001</v>
      </c>
      <c r="K3524">
        <v>1.1096509999999999</v>
      </c>
      <c r="L3524">
        <v>140.38210000000001</v>
      </c>
      <c r="M3524">
        <v>-0.99966529999999998</v>
      </c>
      <c r="N3524">
        <v>0</v>
      </c>
      <c r="O3524">
        <v>-2.1796360000000001E-2</v>
      </c>
      <c r="P3524">
        <v>-0.99905129999999998</v>
      </c>
      <c r="Q3524">
        <v>7.48081099999999E-3</v>
      </c>
      <c r="R3524">
        <v>4.2908460000000002E-2</v>
      </c>
      <c r="S3524">
        <v>-3.0003199999999999</v>
      </c>
      <c r="T3524">
        <v>-0.71278069999999905</v>
      </c>
      <c r="U3524">
        <v>0.19575500000000001</v>
      </c>
      <c r="V3524">
        <v>6.469946E-2</v>
      </c>
      <c r="W3524">
        <v>2.1330950000000001E-2</v>
      </c>
      <c r="X3524">
        <v>0.99767680000000003</v>
      </c>
      <c r="Y3524">
        <v>8.3912219999999996E-2</v>
      </c>
      <c r="Z3524">
        <v>1.4923540000000001E-2</v>
      </c>
      <c r="AA3524">
        <v>0.99636139999999995</v>
      </c>
      <c r="AB3524">
        <v>20</v>
      </c>
      <c r="AC3524">
        <v>-0.58519999999998595</v>
      </c>
      <c r="AD3524">
        <v>-0.18327979999999899</v>
      </c>
      <c r="AE3524">
        <v>5.37999999999954E-2</v>
      </c>
      <c r="AF3524">
        <v>6.0644936027834002E-2</v>
      </c>
      <c r="AG3524">
        <v>-0.18327979999999899</v>
      </c>
      <c r="AH3524">
        <v>0.53212956180676696</v>
      </c>
      <c r="AI3524">
        <v>108.89155207093999</v>
      </c>
      <c r="AJ3524">
        <v>83.498253540255305</v>
      </c>
      <c r="AK3524">
        <v>0.56606639531288405</v>
      </c>
      <c r="AL3524">
        <v>88.7777339059963</v>
      </c>
      <c r="AM3524">
        <v>86.289557483174306</v>
      </c>
      <c r="AN3524">
        <v>1.0000000134052101</v>
      </c>
    </row>
    <row r="3525" spans="1:40" x14ac:dyDescent="0.25">
      <c r="A3525" t="str">
        <f>"20190312154626396"</f>
        <v>20190312154626396</v>
      </c>
      <c r="B3525" t="str">
        <f>"1552376786390906"</f>
        <v>1552376786390906</v>
      </c>
      <c r="C3525" t="s">
        <v>40</v>
      </c>
      <c r="D3525">
        <v>4.6478270000000004</v>
      </c>
      <c r="E3525">
        <v>0.51346150000000002</v>
      </c>
      <c r="F3525" t="s">
        <v>41</v>
      </c>
      <c r="G3525">
        <v>-232.45160000000001</v>
      </c>
      <c r="H3525">
        <v>0.92499830000000005</v>
      </c>
      <c r="I3525">
        <v>140.43459999999999</v>
      </c>
      <c r="J3525">
        <v>-231.89089999999999</v>
      </c>
      <c r="K3525">
        <v>1.1096520000000001</v>
      </c>
      <c r="L3525">
        <v>140.37870000000001</v>
      </c>
      <c r="M3525">
        <v>-0.99968380000000001</v>
      </c>
      <c r="N3525">
        <v>0</v>
      </c>
      <c r="O3525">
        <v>-2.096783E-2</v>
      </c>
      <c r="P3525">
        <v>-0.99902049999999998</v>
      </c>
      <c r="Q3525">
        <v>7.4799100000000002E-3</v>
      </c>
      <c r="R3525">
        <v>4.3615540000000001E-2</v>
      </c>
      <c r="S3525">
        <v>-2.9994049999999999</v>
      </c>
      <c r="T3525">
        <v>-0.72927589999999998</v>
      </c>
      <c r="U3525">
        <v>0.20741270000000001</v>
      </c>
      <c r="V3525">
        <v>6.4578399999999994E-2</v>
      </c>
      <c r="W3525">
        <v>2.1261820000000001E-2</v>
      </c>
      <c r="X3525">
        <v>0.99768610000000002</v>
      </c>
      <c r="Y3525">
        <v>8.6766120000000002E-2</v>
      </c>
      <c r="Z3525">
        <v>1.540513E-2</v>
      </c>
      <c r="AA3525">
        <v>0.99610960000000004</v>
      </c>
      <c r="AB3525">
        <v>20</v>
      </c>
      <c r="AC3525">
        <v>-0.56070000000002496</v>
      </c>
      <c r="AD3525">
        <v>-0.1846537</v>
      </c>
      <c r="AE3525">
        <v>5.5899999999979799E-2</v>
      </c>
      <c r="AF3525">
        <v>6.1085586274788099E-2</v>
      </c>
      <c r="AG3525">
        <v>-0.1846537</v>
      </c>
      <c r="AH3525">
        <v>0.50515629082936298</v>
      </c>
      <c r="AI3525">
        <v>109.94553860674201</v>
      </c>
      <c r="AJ3525">
        <v>83.105035052654003</v>
      </c>
      <c r="AK3525">
        <v>0.54130519666700405</v>
      </c>
      <c r="AL3525">
        <v>88.781695638567697</v>
      </c>
      <c r="AM3525">
        <v>86.296515226713396</v>
      </c>
      <c r="AN3525">
        <v>0.99999999443474097</v>
      </c>
    </row>
    <row r="3526" spans="1:40" x14ac:dyDescent="0.25">
      <c r="A3526" t="str">
        <f>"20190312154626417"</f>
        <v>20190312154626417</v>
      </c>
      <c r="B3526" t="str">
        <f>"1552376786410427"</f>
        <v>1552376786410427</v>
      </c>
      <c r="C3526" t="s">
        <v>40</v>
      </c>
      <c r="D3526">
        <v>4.6974320000000001</v>
      </c>
      <c r="E3526">
        <v>0.5131348</v>
      </c>
      <c r="F3526" t="s">
        <v>41</v>
      </c>
      <c r="G3526">
        <v>-232.6285</v>
      </c>
      <c r="H3526">
        <v>0.92962800000000001</v>
      </c>
      <c r="I3526">
        <v>140.42930000000001</v>
      </c>
      <c r="J3526">
        <v>-232.07669999999999</v>
      </c>
      <c r="K3526">
        <v>1.1096520000000001</v>
      </c>
      <c r="L3526">
        <v>140.3758</v>
      </c>
      <c r="M3526">
        <v>-0.99970060000000005</v>
      </c>
      <c r="N3526">
        <v>0</v>
      </c>
      <c r="O3526">
        <v>-2.0195419999999999E-2</v>
      </c>
      <c r="P3526">
        <v>-0.99900999999999995</v>
      </c>
      <c r="Q3526">
        <v>7.8099429999999997E-3</v>
      </c>
      <c r="R3526">
        <v>4.3799570000000003E-2</v>
      </c>
      <c r="S3526">
        <v>-2.999466</v>
      </c>
      <c r="T3526">
        <v>-0.73203680000000004</v>
      </c>
      <c r="U3526">
        <v>0.20501710000000001</v>
      </c>
      <c r="V3526">
        <v>6.399138E-2</v>
      </c>
      <c r="W3526">
        <v>2.153737E-2</v>
      </c>
      <c r="X3526">
        <v>0.99771799999999999</v>
      </c>
      <c r="Y3526">
        <v>8.5246799999999998E-2</v>
      </c>
      <c r="Z3526">
        <v>1.509373E-2</v>
      </c>
      <c r="AA3526">
        <v>0.99624559999999995</v>
      </c>
      <c r="AB3526">
        <v>20</v>
      </c>
      <c r="AC3526">
        <v>-0.55180000000001395</v>
      </c>
      <c r="AD3526">
        <v>-0.18002399999999899</v>
      </c>
      <c r="AE3526">
        <v>5.35000000000138E-2</v>
      </c>
      <c r="AF3526">
        <v>5.84686436299892E-2</v>
      </c>
      <c r="AG3526">
        <v>-0.18002399999999899</v>
      </c>
      <c r="AH3526">
        <v>0.49808531123447303</v>
      </c>
      <c r="AI3526">
        <v>109.746478203092</v>
      </c>
      <c r="AJ3526">
        <v>83.304871475503504</v>
      </c>
      <c r="AK3526">
        <v>0.53283787415260997</v>
      </c>
      <c r="AL3526">
        <v>88.765904153931203</v>
      </c>
      <c r="AM3526">
        <v>86.330204633467403</v>
      </c>
      <c r="AN3526">
        <v>0.99999998127240997</v>
      </c>
    </row>
    <row r="3527" spans="1:40" x14ac:dyDescent="0.25">
      <c r="A3527" t="str">
        <f>"20190312154626441"</f>
        <v>20190312154626441</v>
      </c>
      <c r="B3527" t="str">
        <f>"1552376786430923"</f>
        <v>1552376786430923</v>
      </c>
      <c r="C3527" t="s">
        <v>40</v>
      </c>
      <c r="D3527">
        <v>4.6949519999999998</v>
      </c>
      <c r="E3527">
        <v>0.51306179999999901</v>
      </c>
      <c r="F3527" t="s">
        <v>41</v>
      </c>
      <c r="G3527">
        <v>-232.80420000000001</v>
      </c>
      <c r="H3527">
        <v>0.93232760000000003</v>
      </c>
      <c r="I3527">
        <v>140.42500000000001</v>
      </c>
      <c r="J3527">
        <v>-232.2852</v>
      </c>
      <c r="K3527">
        <v>1.1096549999999901</v>
      </c>
      <c r="L3527">
        <v>140.37260000000001</v>
      </c>
      <c r="M3527">
        <v>-0.99971849999999995</v>
      </c>
      <c r="N3527">
        <v>0</v>
      </c>
      <c r="O3527">
        <v>-1.933089E-2</v>
      </c>
      <c r="P3527">
        <v>-0.99900080000000002</v>
      </c>
      <c r="Q3527">
        <v>7.6034719999999896E-3</v>
      </c>
      <c r="R3527">
        <v>4.4045069999999999E-2</v>
      </c>
      <c r="S3527">
        <v>-2.9997859999999998</v>
      </c>
      <c r="T3527">
        <v>-0.73118879999999997</v>
      </c>
      <c r="U3527">
        <v>0.202652</v>
      </c>
      <c r="V3527">
        <v>6.3373219999999994E-2</v>
      </c>
      <c r="W3527">
        <v>2.127851E-2</v>
      </c>
      <c r="X3527">
        <v>0.99776299999999996</v>
      </c>
      <c r="Y3527">
        <v>8.3674739999999997E-2</v>
      </c>
      <c r="Z3527">
        <v>1.467941E-2</v>
      </c>
      <c r="AA3527">
        <v>0.99638499999999997</v>
      </c>
      <c r="AB3527">
        <v>20</v>
      </c>
      <c r="AC3527">
        <v>-0.51900000000000501</v>
      </c>
      <c r="AD3527">
        <v>-0.177327399999999</v>
      </c>
      <c r="AE3527">
        <v>5.2400000000005699E-2</v>
      </c>
      <c r="AF3527">
        <v>5.5957381192953903E-2</v>
      </c>
      <c r="AG3527">
        <v>-0.177327399999999</v>
      </c>
      <c r="AH3527">
        <v>0.46424161032042699</v>
      </c>
      <c r="AI3527">
        <v>110.768095827013</v>
      </c>
      <c r="AJ3527">
        <v>83.127008127120007</v>
      </c>
      <c r="AK3527">
        <v>0.50009649874162898</v>
      </c>
      <c r="AL3527">
        <v>88.780739128357595</v>
      </c>
      <c r="AM3527">
        <v>86.365723040977102</v>
      </c>
      <c r="AN3527">
        <v>0.99999997208499303</v>
      </c>
    </row>
    <row r="3528" spans="1:40" x14ac:dyDescent="0.25">
      <c r="A3528" t="str">
        <f>"20190312154626467"</f>
        <v>20190312154626467</v>
      </c>
      <c r="B3528" t="str">
        <f>"1552376786461178"</f>
        <v>1552376786461178</v>
      </c>
      <c r="C3528" t="s">
        <v>40</v>
      </c>
      <c r="D3528">
        <v>4.7031580000000002</v>
      </c>
      <c r="E3528">
        <v>0.51406419999999997</v>
      </c>
      <c r="F3528" t="s">
        <v>41</v>
      </c>
      <c r="G3528">
        <v>-232.98179999999999</v>
      </c>
      <c r="H3528">
        <v>0.93941859999999999</v>
      </c>
      <c r="I3528">
        <v>140.41980000000001</v>
      </c>
      <c r="J3528">
        <v>-232.4984</v>
      </c>
      <c r="K3528">
        <v>1.109661</v>
      </c>
      <c r="L3528">
        <v>140.36959999999999</v>
      </c>
      <c r="M3528">
        <v>-0.9997357</v>
      </c>
      <c r="N3528">
        <v>0</v>
      </c>
      <c r="O3528">
        <v>-1.8447450000000001E-2</v>
      </c>
      <c r="P3528">
        <v>-0.99898770000000003</v>
      </c>
      <c r="Q3528">
        <v>7.1780330000000003E-3</v>
      </c>
      <c r="R3528">
        <v>4.4408780000000002E-2</v>
      </c>
      <c r="S3528">
        <v>-2.9996489999999998</v>
      </c>
      <c r="T3528">
        <v>-0.73294519999999996</v>
      </c>
      <c r="U3528">
        <v>0.20237730000000001</v>
      </c>
      <c r="V3528">
        <v>6.2854300000000002E-2</v>
      </c>
      <c r="W3528">
        <v>2.08075E-2</v>
      </c>
      <c r="X3528">
        <v>0.99780579999999996</v>
      </c>
      <c r="Y3528">
        <v>8.2745230000000003E-2</v>
      </c>
      <c r="Z3528">
        <v>1.439002E-2</v>
      </c>
      <c r="AA3528">
        <v>0.99646679999999999</v>
      </c>
      <c r="AB3528">
        <v>19</v>
      </c>
      <c r="AC3528">
        <v>-0.48339999999998901</v>
      </c>
      <c r="AD3528">
        <v>-0.17024239999999999</v>
      </c>
      <c r="AE3528">
        <v>5.0200000000018001E-2</v>
      </c>
      <c r="AF3528">
        <v>5.2649424139297997E-2</v>
      </c>
      <c r="AG3528">
        <v>-0.17024239999999999</v>
      </c>
      <c r="AH3528">
        <v>0.42966888491386501</v>
      </c>
      <c r="AI3528">
        <v>111.468532324292</v>
      </c>
      <c r="AJ3528">
        <v>83.014093763946505</v>
      </c>
      <c r="AK3528">
        <v>0.46515565919709501</v>
      </c>
      <c r="AL3528">
        <v>88.807732042394093</v>
      </c>
      <c r="AM3528">
        <v>86.395557078283105</v>
      </c>
      <c r="AN3528">
        <v>1.0000000147991801</v>
      </c>
    </row>
    <row r="3529" spans="1:40" x14ac:dyDescent="0.25">
      <c r="A3529" t="str">
        <f>"20190312154626488"</f>
        <v>20190312154626488</v>
      </c>
      <c r="B3529" t="str">
        <f>"1552376786480698"</f>
        <v>1552376786480698</v>
      </c>
      <c r="C3529" t="s">
        <v>40</v>
      </c>
      <c r="D3529">
        <v>4.6925819999999998</v>
      </c>
      <c r="E3529">
        <v>0.53061099999999894</v>
      </c>
      <c r="F3529" t="s">
        <v>41</v>
      </c>
      <c r="G3529">
        <v>-233.31460000000001</v>
      </c>
      <c r="H3529">
        <v>0.90826229999999997</v>
      </c>
      <c r="I3529">
        <v>140.4271</v>
      </c>
      <c r="J3529">
        <v>-232.68700000000001</v>
      </c>
      <c r="K3529">
        <v>1.1096680000000001</v>
      </c>
      <c r="L3529">
        <v>140.36699999999999</v>
      </c>
      <c r="M3529">
        <v>-0.99975029999999998</v>
      </c>
      <c r="N3529">
        <v>0</v>
      </c>
      <c r="O3529">
        <v>-1.7667309999999999E-2</v>
      </c>
      <c r="P3529">
        <v>-0.99895429999999996</v>
      </c>
      <c r="Q3529">
        <v>6.8277850000000003E-3</v>
      </c>
      <c r="R3529">
        <v>4.521145E-2</v>
      </c>
      <c r="S3529">
        <v>-2.998993</v>
      </c>
      <c r="T3529">
        <v>-0.73996509999999904</v>
      </c>
      <c r="U3529">
        <v>0.21067810000000001</v>
      </c>
      <c r="V3529">
        <v>6.2876779999999993E-2</v>
      </c>
      <c r="W3529">
        <v>2.0421350000000001E-2</v>
      </c>
      <c r="X3529">
        <v>0.99781229999999999</v>
      </c>
      <c r="Y3529">
        <v>8.4637260000000006E-2</v>
      </c>
      <c r="Z3529">
        <v>1.456586E-2</v>
      </c>
      <c r="AA3529">
        <v>0.99630529999999995</v>
      </c>
      <c r="AB3529">
        <v>19</v>
      </c>
      <c r="AC3529">
        <v>-0.62760000000000005</v>
      </c>
      <c r="AD3529">
        <v>-0.20140569999999999</v>
      </c>
      <c r="AE3529">
        <v>6.0099999999977102E-2</v>
      </c>
      <c r="AF3529">
        <v>6.4588409714166906E-2</v>
      </c>
      <c r="AG3529">
        <v>-0.20140569999999999</v>
      </c>
      <c r="AH3529">
        <v>0.56843164802705803</v>
      </c>
      <c r="AI3529">
        <v>109.394764593061</v>
      </c>
      <c r="AJ3529">
        <v>83.517532902827895</v>
      </c>
      <c r="AK3529">
        <v>0.60650676594795905</v>
      </c>
      <c r="AL3529">
        <v>88.829861438250703</v>
      </c>
      <c r="AM3529">
        <v>86.394294767157007</v>
      </c>
      <c r="AN3529">
        <v>0.99999995351513904</v>
      </c>
    </row>
    <row r="3530" spans="1:40" x14ac:dyDescent="0.25">
      <c r="A3530" t="str">
        <f>"20190312154626509"</f>
        <v>20190312154626509</v>
      </c>
      <c r="B3530" t="str">
        <f>"1552376786501195"</f>
        <v>1552376786501195</v>
      </c>
      <c r="C3530" t="s">
        <v>40</v>
      </c>
      <c r="D3530">
        <v>4.7021110000000004</v>
      </c>
      <c r="E3530">
        <v>0.52681359999999999</v>
      </c>
      <c r="F3530" t="s">
        <v>41</v>
      </c>
      <c r="G3530">
        <v>-233.48560000000001</v>
      </c>
      <c r="H3530">
        <v>0.89884470000000005</v>
      </c>
      <c r="I3530">
        <v>140.45859999999999</v>
      </c>
      <c r="J3530">
        <v>-232.8793</v>
      </c>
      <c r="K3530">
        <v>1.109669</v>
      </c>
      <c r="L3530">
        <v>140.3646</v>
      </c>
      <c r="M3530">
        <v>-0.99976449999999994</v>
      </c>
      <c r="N3530">
        <v>0</v>
      </c>
      <c r="O3530">
        <v>-1.687193E-2</v>
      </c>
      <c r="P3530">
        <v>-0.99890699999999999</v>
      </c>
      <c r="Q3530">
        <v>6.8914179999999998E-3</v>
      </c>
      <c r="R3530">
        <v>4.623385E-2</v>
      </c>
      <c r="S3530">
        <v>-2.9930270000000001</v>
      </c>
      <c r="T3530">
        <v>-0.79004919999999901</v>
      </c>
      <c r="U3530">
        <v>0.34283449999999999</v>
      </c>
      <c r="V3530">
        <v>6.310412E-2</v>
      </c>
      <c r="W3530">
        <v>2.0452330000000001E-2</v>
      </c>
      <c r="X3530">
        <v>0.99779739999999995</v>
      </c>
      <c r="Y3530">
        <v>0.12572369999999999</v>
      </c>
      <c r="Z3530">
        <v>2.062957E-2</v>
      </c>
      <c r="AA3530">
        <v>0.99185080000000003</v>
      </c>
      <c r="AB3530">
        <v>19</v>
      </c>
      <c r="AC3530">
        <v>-0.60630000000000395</v>
      </c>
      <c r="AD3530">
        <v>-0.21082429999999999</v>
      </c>
      <c r="AE3530">
        <v>9.3999999999994005E-2</v>
      </c>
      <c r="AF3530">
        <v>9.3211286687608197E-2</v>
      </c>
      <c r="AG3530">
        <v>-0.21082429999999999</v>
      </c>
      <c r="AH3530">
        <v>0.54077648024194702</v>
      </c>
      <c r="AI3530">
        <v>111.016248176744</v>
      </c>
      <c r="AJ3530">
        <v>80.220272047638701</v>
      </c>
      <c r="AK3530">
        <v>0.58785579100602403</v>
      </c>
      <c r="AL3530">
        <v>88.828086145024599</v>
      </c>
      <c r="AM3530">
        <v>86.381238509102005</v>
      </c>
      <c r="AN3530">
        <v>1.0000000396050801</v>
      </c>
    </row>
    <row r="3531" spans="1:40" x14ac:dyDescent="0.25">
      <c r="A3531" t="str">
        <f>"20190312154626531"</f>
        <v>20190312154626531</v>
      </c>
      <c r="B3531" t="str">
        <f>"1552376786520715"</f>
        <v>1552376786520715</v>
      </c>
      <c r="C3531" t="s">
        <v>40</v>
      </c>
      <c r="D3531">
        <v>4.7191269999999896</v>
      </c>
      <c r="E3531">
        <v>0.52690539999999997</v>
      </c>
      <c r="F3531" t="s">
        <v>41</v>
      </c>
      <c r="G3531">
        <v>-233.66919999999999</v>
      </c>
      <c r="H3531">
        <v>0.92268859999999997</v>
      </c>
      <c r="I3531">
        <v>140.44909999999999</v>
      </c>
      <c r="J3531">
        <v>-233.06360000000001</v>
      </c>
      <c r="K3531">
        <v>1.1096600000000001</v>
      </c>
      <c r="L3531">
        <v>140.36240000000001</v>
      </c>
      <c r="M3531">
        <v>-0.99977740000000004</v>
      </c>
      <c r="N3531">
        <v>0</v>
      </c>
      <c r="O3531">
        <v>-1.6109479999999999E-2</v>
      </c>
      <c r="P3531">
        <v>-0.99885789999999997</v>
      </c>
      <c r="Q3531">
        <v>6.5440809999999898E-3</v>
      </c>
      <c r="R3531">
        <v>4.7331970000000001E-2</v>
      </c>
      <c r="S3531">
        <v>-2.9933930000000002</v>
      </c>
      <c r="T3531">
        <v>-0.70855400000000002</v>
      </c>
      <c r="U3531">
        <v>0.31932070000000001</v>
      </c>
      <c r="V3531">
        <v>6.3439770000000006E-2</v>
      </c>
      <c r="W3531">
        <v>2.007809E-2</v>
      </c>
      <c r="X3531">
        <v>0.99778370000000005</v>
      </c>
      <c r="Y3531">
        <v>0.1184023</v>
      </c>
      <c r="Z3531">
        <v>1.7536799999999901E-2</v>
      </c>
      <c r="AA3531">
        <v>0.99281079999999999</v>
      </c>
      <c r="AB3531">
        <v>19</v>
      </c>
      <c r="AC3531">
        <v>-0.60559999999998104</v>
      </c>
      <c r="AD3531">
        <v>-0.18697139999999901</v>
      </c>
      <c r="AE3531">
        <v>8.6699999999979099E-2</v>
      </c>
      <c r="AF3531">
        <v>8.8206662782730996E-2</v>
      </c>
      <c r="AG3531">
        <v>-0.18697139999999901</v>
      </c>
      <c r="AH3531">
        <v>0.55251704943982605</v>
      </c>
      <c r="AI3531">
        <v>108.47796466092601</v>
      </c>
      <c r="AJ3531">
        <v>80.929548541270407</v>
      </c>
      <c r="AK3531">
        <v>0.58992695285002605</v>
      </c>
      <c r="AL3531">
        <v>88.849532902097195</v>
      </c>
      <c r="AM3531">
        <v>86.361992101995298</v>
      </c>
      <c r="AN3531">
        <v>1.00000002305069</v>
      </c>
    </row>
    <row r="3532" spans="1:40" x14ac:dyDescent="0.25">
      <c r="A3532" t="str">
        <f>"20190312154626554"</f>
        <v>20190312154626554</v>
      </c>
      <c r="B3532" t="str">
        <f>"1552376786541211"</f>
        <v>1552376786541211</v>
      </c>
      <c r="C3532" t="s">
        <v>40</v>
      </c>
      <c r="D3532">
        <v>4.7273269999999998</v>
      </c>
      <c r="E3532">
        <v>0.52708730000000004</v>
      </c>
      <c r="F3532" t="s">
        <v>41</v>
      </c>
      <c r="G3532">
        <v>-233.8442</v>
      </c>
      <c r="H3532">
        <v>0.92692819999999998</v>
      </c>
      <c r="I3532">
        <v>140.44710000000001</v>
      </c>
      <c r="J3532">
        <v>-233.2636</v>
      </c>
      <c r="K3532">
        <v>1.109653</v>
      </c>
      <c r="L3532">
        <v>140.36019999999999</v>
      </c>
      <c r="M3532">
        <v>-0.99979070000000003</v>
      </c>
      <c r="N3532">
        <v>0</v>
      </c>
      <c r="O3532">
        <v>-1.528183E-2</v>
      </c>
      <c r="P3532">
        <v>-0.99882079999999995</v>
      </c>
      <c r="Q3532">
        <v>6.1170139999999996E-3</v>
      </c>
      <c r="R3532">
        <v>4.8164499999999999E-2</v>
      </c>
      <c r="S3532">
        <v>-2.992661</v>
      </c>
      <c r="T3532">
        <v>-0.70049689999999998</v>
      </c>
      <c r="U3532">
        <v>0.32402039999999999</v>
      </c>
      <c r="V3532">
        <v>6.3444970000000003E-2</v>
      </c>
      <c r="W3532">
        <v>1.9625190000000001E-2</v>
      </c>
      <c r="X3532">
        <v>0.99779240000000002</v>
      </c>
      <c r="Y3532">
        <v>0.1192288</v>
      </c>
      <c r="Z3532">
        <v>1.7249819999999999E-2</v>
      </c>
      <c r="AA3532">
        <v>0.99271699999999996</v>
      </c>
      <c r="AB3532">
        <v>19</v>
      </c>
      <c r="AC3532">
        <v>-0.580600000000004</v>
      </c>
      <c r="AD3532">
        <v>-0.18272479999999999</v>
      </c>
      <c r="AE3532">
        <v>8.6900000000014105E-2</v>
      </c>
      <c r="AF3532">
        <v>8.7305440322865205E-2</v>
      </c>
      <c r="AG3532">
        <v>-0.18272479999999999</v>
      </c>
      <c r="AH3532">
        <v>0.52804848799026605</v>
      </c>
      <c r="AI3532">
        <v>108.850062884236</v>
      </c>
      <c r="AJ3532">
        <v>80.611873123205797</v>
      </c>
      <c r="AK3532">
        <v>0.56554911202637004</v>
      </c>
      <c r="AL3532">
        <v>88.875487297237697</v>
      </c>
      <c r="AM3532">
        <v>86.361726342563699</v>
      </c>
      <c r="AN3532">
        <v>1.0000000428992899</v>
      </c>
    </row>
    <row r="3533" spans="1:40" x14ac:dyDescent="0.25">
      <c r="A3533" t="str">
        <f>"20190312154626597"</f>
        <v>20190312154626597</v>
      </c>
      <c r="B3533" t="str">
        <f>"1552376786591366"</f>
        <v>1552376786591366</v>
      </c>
      <c r="C3533" t="s">
        <v>40</v>
      </c>
      <c r="D3533">
        <v>4.7087810000000001</v>
      </c>
      <c r="E3533">
        <v>0.52697769999999899</v>
      </c>
      <c r="F3533" t="s">
        <v>41</v>
      </c>
      <c r="G3533">
        <v>-234.01929999999999</v>
      </c>
      <c r="H3533">
        <v>0.93217220000000001</v>
      </c>
      <c r="I3533">
        <v>140.44329999999999</v>
      </c>
      <c r="J3533">
        <v>-233.63390000000001</v>
      </c>
      <c r="K3533">
        <v>1.1096469999999901</v>
      </c>
      <c r="L3533">
        <v>140.35650000000001</v>
      </c>
      <c r="M3533">
        <v>-0.99981359999999997</v>
      </c>
      <c r="N3533">
        <v>0</v>
      </c>
      <c r="O3533">
        <v>-1.374818E-2</v>
      </c>
      <c r="P3533">
        <v>-0.99873909999999999</v>
      </c>
      <c r="Q3533">
        <v>6.3402210000000001E-3</v>
      </c>
      <c r="R3533">
        <v>4.9801770000000002E-2</v>
      </c>
      <c r="S3533">
        <v>-2.9920200000000001</v>
      </c>
      <c r="T3533">
        <v>-0.70260749999999905</v>
      </c>
      <c r="U3533">
        <v>0.32806400000000002</v>
      </c>
      <c r="V3533">
        <v>6.3549999999999995E-2</v>
      </c>
      <c r="W3533">
        <v>1.980968E-2</v>
      </c>
      <c r="X3533">
        <v>0.99778210000000001</v>
      </c>
      <c r="Y3533">
        <v>0.1190782</v>
      </c>
      <c r="Z3533">
        <v>1.6930980000000002E-2</v>
      </c>
      <c r="AA3533">
        <v>0.99274050000000003</v>
      </c>
      <c r="AB3533">
        <v>19</v>
      </c>
      <c r="AC3533">
        <v>-0.38539999999997498</v>
      </c>
      <c r="AD3533">
        <v>-0.17747479999999899</v>
      </c>
      <c r="AE3533">
        <v>8.6799999999982405E-2</v>
      </c>
      <c r="AF3533">
        <v>7.6626231436432796E-2</v>
      </c>
      <c r="AG3533">
        <v>-0.17747479999999899</v>
      </c>
      <c r="AH3533">
        <v>0.31965732287735099</v>
      </c>
      <c r="AI3533">
        <v>118.364951604293</v>
      </c>
      <c r="AJ3533">
        <v>76.519779493746299</v>
      </c>
      <c r="AK3533">
        <v>0.37356349935225902</v>
      </c>
      <c r="AL3533">
        <v>88.864914777535006</v>
      </c>
      <c r="AM3533">
        <v>86.355682060609894</v>
      </c>
      <c r="AN3533">
        <v>1.0000000725010501</v>
      </c>
    </row>
    <row r="3534" spans="1:40" x14ac:dyDescent="0.25">
      <c r="A3534" t="str">
        <f>"20190312154626620"</f>
        <v>20190312154626620</v>
      </c>
      <c r="B3534" t="str">
        <f>"1552376786610858"</f>
        <v>1552376786610858</v>
      </c>
      <c r="C3534" t="s">
        <v>40</v>
      </c>
      <c r="D3534">
        <v>4.690607</v>
      </c>
      <c r="E3534">
        <v>0.52697499999999997</v>
      </c>
      <c r="F3534" t="s">
        <v>41</v>
      </c>
      <c r="G3534">
        <v>-234.3665</v>
      </c>
      <c r="H3534">
        <v>0.93739600000000001</v>
      </c>
      <c r="I3534">
        <v>140.43790000000001</v>
      </c>
      <c r="J3534">
        <v>-233.82859999999999</v>
      </c>
      <c r="K3534">
        <v>1.109645</v>
      </c>
      <c r="L3534">
        <v>140.35480000000001</v>
      </c>
      <c r="M3534">
        <v>-0.99982459999999995</v>
      </c>
      <c r="N3534">
        <v>0</v>
      </c>
      <c r="O3534">
        <v>-1.294061E-2</v>
      </c>
      <c r="P3534">
        <v>-0.99872289999999997</v>
      </c>
      <c r="Q3534">
        <v>6.5265280000000002E-3</v>
      </c>
      <c r="R3534">
        <v>5.0103340000000003E-2</v>
      </c>
      <c r="S3534">
        <v>-2.991714</v>
      </c>
      <c r="T3534">
        <v>-0.70328970000000002</v>
      </c>
      <c r="U3534">
        <v>0.33175660000000001</v>
      </c>
      <c r="V3534">
        <v>6.3045459999999998E-2</v>
      </c>
      <c r="W3534">
        <v>1.9980359999999999E-2</v>
      </c>
      <c r="X3534">
        <v>0.99781059999999999</v>
      </c>
      <c r="Y3534">
        <v>0.1195016</v>
      </c>
      <c r="Z3534">
        <v>1.6809709999999999E-2</v>
      </c>
      <c r="AA3534">
        <v>0.99269169999999995</v>
      </c>
      <c r="AB3534">
        <v>19</v>
      </c>
      <c r="AC3534">
        <v>-0.53790000000000704</v>
      </c>
      <c r="AD3534">
        <v>-0.17224900000000001</v>
      </c>
      <c r="AE3534">
        <v>8.31000000000017E-2</v>
      </c>
      <c r="AF3534">
        <v>8.18562326521622E-2</v>
      </c>
      <c r="AG3534">
        <v>-0.17224900000000001</v>
      </c>
      <c r="AH3534">
        <v>0.48791320284953199</v>
      </c>
      <c r="AI3534">
        <v>109.196394725339</v>
      </c>
      <c r="AJ3534">
        <v>80.476291287454998</v>
      </c>
      <c r="AK3534">
        <v>0.52386014769200895</v>
      </c>
      <c r="AL3534">
        <v>88.855133480292693</v>
      </c>
      <c r="AM3534">
        <v>86.384641193412406</v>
      </c>
      <c r="AN3534">
        <v>0.99999996914235001</v>
      </c>
    </row>
    <row r="3535" spans="1:40" x14ac:dyDescent="0.25">
      <c r="A3535" t="str">
        <f>"20190312154626643"</f>
        <v>20190312154626643</v>
      </c>
      <c r="B3535" t="str">
        <f>"1552376786631354"</f>
        <v>1552376786631354</v>
      </c>
      <c r="C3535" t="s">
        <v>40</v>
      </c>
      <c r="D3535">
        <v>4.6726799999999997</v>
      </c>
      <c r="E3535">
        <v>0.52711169999999996</v>
      </c>
      <c r="F3535" t="s">
        <v>41</v>
      </c>
      <c r="G3535">
        <v>-234.54079999999999</v>
      </c>
      <c r="H3535">
        <v>0.94226030000000005</v>
      </c>
      <c r="I3535">
        <v>140.434</v>
      </c>
      <c r="J3535">
        <v>-234.02860000000001</v>
      </c>
      <c r="K3535">
        <v>1.1096429999999999</v>
      </c>
      <c r="L3535">
        <v>140.35319999999999</v>
      </c>
      <c r="M3535">
        <v>-0.99983520000000004</v>
      </c>
      <c r="N3535">
        <v>0</v>
      </c>
      <c r="O3535">
        <v>-1.211111E-2</v>
      </c>
      <c r="P3535">
        <v>-0.99868829999999997</v>
      </c>
      <c r="Q3535">
        <v>6.1862109999999996E-3</v>
      </c>
      <c r="R3535">
        <v>5.0829689999999997E-2</v>
      </c>
      <c r="S3535">
        <v>-2.9917600000000002</v>
      </c>
      <c r="T3535">
        <v>-0.70308879999999996</v>
      </c>
      <c r="U3535">
        <v>0.33244319999999999</v>
      </c>
      <c r="V3535">
        <v>6.2942799999999993E-2</v>
      </c>
      <c r="W3535">
        <v>1.9625190000000001E-2</v>
      </c>
      <c r="X3535">
        <v>0.99782409999999999</v>
      </c>
      <c r="Y3535">
        <v>0.1189413</v>
      </c>
      <c r="Z3535">
        <v>1.6548E-2</v>
      </c>
      <c r="AA3535">
        <v>0.99276339999999996</v>
      </c>
      <c r="AB3535">
        <v>19</v>
      </c>
      <c r="AC3535">
        <v>-0.51219999999997801</v>
      </c>
      <c r="AD3535">
        <v>-0.167382699999999</v>
      </c>
      <c r="AE3535">
        <v>8.0800000000010599E-2</v>
      </c>
      <c r="AF3535">
        <v>7.8788235694410999E-2</v>
      </c>
      <c r="AG3535">
        <v>-0.167382699999999</v>
      </c>
      <c r="AH3535">
        <v>0.46294500295125401</v>
      </c>
      <c r="AI3535">
        <v>109.617874192305</v>
      </c>
      <c r="AJ3535">
        <v>80.341419620005993</v>
      </c>
      <c r="AK3535">
        <v>0.49854049996029898</v>
      </c>
      <c r="AL3535">
        <v>88.875487180777498</v>
      </c>
      <c r="AM3535">
        <v>86.390561387686105</v>
      </c>
      <c r="AN3535">
        <v>0.99999993934759102</v>
      </c>
    </row>
    <row r="3536" spans="1:40" x14ac:dyDescent="0.25">
      <c r="A3536" t="str">
        <f>"20190312154626667"</f>
        <v>20190312154626667</v>
      </c>
      <c r="B3536" t="str">
        <f>"1552376786660634"</f>
        <v>1552376786660634</v>
      </c>
      <c r="C3536" t="s">
        <v>40</v>
      </c>
      <c r="D3536">
        <v>4.6442009999999998</v>
      </c>
      <c r="E3536">
        <v>0.52758939999999999</v>
      </c>
      <c r="F3536" t="s">
        <v>41</v>
      </c>
      <c r="G3536">
        <v>-234.71539999999999</v>
      </c>
      <c r="H3536">
        <v>0.94791009999999998</v>
      </c>
      <c r="I3536">
        <v>140.43049999999999</v>
      </c>
      <c r="J3536">
        <v>-234.22880000000001</v>
      </c>
      <c r="K3536">
        <v>1.109639</v>
      </c>
      <c r="L3536">
        <v>140.3518</v>
      </c>
      <c r="M3536">
        <v>-0.99984499999999998</v>
      </c>
      <c r="N3536">
        <v>0</v>
      </c>
      <c r="O3536">
        <v>-1.128054E-2</v>
      </c>
      <c r="P3536">
        <v>-0.99865320000000002</v>
      </c>
      <c r="Q3536">
        <v>5.7643520000000004E-3</v>
      </c>
      <c r="R3536">
        <v>5.1563270000000001E-2</v>
      </c>
      <c r="S3536">
        <v>-2.9912260000000002</v>
      </c>
      <c r="T3536">
        <v>-0.70437559999999999</v>
      </c>
      <c r="U3536">
        <v>0.33566279999999998</v>
      </c>
      <c r="V3536">
        <v>6.2846360000000004E-2</v>
      </c>
      <c r="W3536">
        <v>1.9189910000000001E-2</v>
      </c>
      <c r="X3536">
        <v>0.99783869999999997</v>
      </c>
      <c r="Y3536">
        <v>0.11919390000000001</v>
      </c>
      <c r="Z3536">
        <v>1.641623E-2</v>
      </c>
      <c r="AA3536">
        <v>0.99273529999999999</v>
      </c>
      <c r="AB3536">
        <v>19</v>
      </c>
      <c r="AC3536">
        <v>-0.48659999999998099</v>
      </c>
      <c r="AD3536">
        <v>-0.16172889999999901</v>
      </c>
      <c r="AE3536">
        <v>7.8699999999997702E-2</v>
      </c>
      <c r="AF3536">
        <v>7.6002845477561795E-2</v>
      </c>
      <c r="AG3536">
        <v>-0.16172889999999901</v>
      </c>
      <c r="AH3536">
        <v>0.43847864648452001</v>
      </c>
      <c r="AI3536">
        <v>109.972258395975</v>
      </c>
      <c r="AJ3536">
        <v>80.166451247740696</v>
      </c>
      <c r="AK3536">
        <v>0.473493604010438</v>
      </c>
      <c r="AL3536">
        <v>88.900431648086695</v>
      </c>
      <c r="AM3536">
        <v>86.396129720278296</v>
      </c>
      <c r="AN3536">
        <v>0.99999999441437304</v>
      </c>
    </row>
    <row r="3537" spans="1:40" x14ac:dyDescent="0.25">
      <c r="A3537" t="str">
        <f>"20190312154626688"</f>
        <v>20190312154626688</v>
      </c>
      <c r="B3537" t="str">
        <f>"1552376786681130"</f>
        <v>1552376786681130</v>
      </c>
      <c r="C3537" t="s">
        <v>40</v>
      </c>
      <c r="D3537">
        <v>4.6128339999999897</v>
      </c>
      <c r="E3537">
        <v>0.52787320000000004</v>
      </c>
      <c r="F3537" t="s">
        <v>41</v>
      </c>
      <c r="G3537">
        <v>-235.04419999999999</v>
      </c>
      <c r="H3537">
        <v>0.91690959999999999</v>
      </c>
      <c r="I3537">
        <v>140.4451</v>
      </c>
      <c r="J3537">
        <v>-234.4169</v>
      </c>
      <c r="K3537">
        <v>1.10964</v>
      </c>
      <c r="L3537">
        <v>140.35059999999999</v>
      </c>
      <c r="M3537">
        <v>-0.99985369999999996</v>
      </c>
      <c r="N3537">
        <v>0</v>
      </c>
      <c r="O3537">
        <v>-1.0499949999999999E-2</v>
      </c>
      <c r="P3537">
        <v>-0.99861449999999996</v>
      </c>
      <c r="Q3537">
        <v>5.420266E-3</v>
      </c>
      <c r="R3537">
        <v>5.2342909999999999E-2</v>
      </c>
      <c r="S3537">
        <v>-2.990494</v>
      </c>
      <c r="T3537">
        <v>-0.70682849999999997</v>
      </c>
      <c r="U3537">
        <v>0.34147640000000001</v>
      </c>
      <c r="V3537">
        <v>6.2846040000000006E-2</v>
      </c>
      <c r="W3537">
        <v>1.8835689999999999E-2</v>
      </c>
      <c r="X3537">
        <v>0.99784550000000005</v>
      </c>
      <c r="Y3537">
        <v>0.1203172</v>
      </c>
      <c r="Z3537">
        <v>1.6423110000000001E-2</v>
      </c>
      <c r="AA3537">
        <v>0.99259969999999997</v>
      </c>
      <c r="AB3537">
        <v>19</v>
      </c>
      <c r="AC3537">
        <v>-0.62729999999999098</v>
      </c>
      <c r="AD3537">
        <v>-0.1927304</v>
      </c>
      <c r="AE3537">
        <v>9.4500000000010603E-2</v>
      </c>
      <c r="AF3537">
        <v>9.2540475407834902E-2</v>
      </c>
      <c r="AG3537">
        <v>-0.1927304</v>
      </c>
      <c r="AH3537">
        <v>0.57335236003410095</v>
      </c>
      <c r="AI3537">
        <v>108.35851861563199</v>
      </c>
      <c r="AJ3537">
        <v>80.831391548882394</v>
      </c>
      <c r="AK3537">
        <v>0.61191639578421297</v>
      </c>
      <c r="AL3537">
        <v>88.920730661484697</v>
      </c>
      <c r="AM3537">
        <v>86.396172516423903</v>
      </c>
      <c r="AN3537">
        <v>1.00000002491585</v>
      </c>
    </row>
    <row r="3538" spans="1:40" x14ac:dyDescent="0.25">
      <c r="A3538" t="str">
        <f>"20190312154626732"</f>
        <v>20190312154626732</v>
      </c>
      <c r="B3538" t="str">
        <f>"1552376786721653"</f>
        <v>1552376786721653</v>
      </c>
      <c r="C3538" t="s">
        <v>40</v>
      </c>
      <c r="D3538">
        <v>4.6215929999999998</v>
      </c>
      <c r="E3538">
        <v>0.52821649999999998</v>
      </c>
      <c r="F3538" t="s">
        <v>41</v>
      </c>
      <c r="G3538">
        <v>-235.2167</v>
      </c>
      <c r="H3538">
        <v>0.91994200000000004</v>
      </c>
      <c r="I3538">
        <v>140.44329999999999</v>
      </c>
      <c r="J3538">
        <v>-234.7877</v>
      </c>
      <c r="K3538">
        <v>1.109648</v>
      </c>
      <c r="L3538">
        <v>140.34870000000001</v>
      </c>
      <c r="M3538">
        <v>-0.99986889999999995</v>
      </c>
      <c r="N3538">
        <v>0</v>
      </c>
      <c r="O3538">
        <v>-8.9607109999999997E-3</v>
      </c>
      <c r="P3538">
        <v>-0.99852680000000005</v>
      </c>
      <c r="Q3538">
        <v>6.9786919999999999E-3</v>
      </c>
      <c r="R3538">
        <v>5.3810150000000001E-2</v>
      </c>
      <c r="S3538">
        <v>-2.9898829999999998</v>
      </c>
      <c r="T3538">
        <v>-0.70909599999999995</v>
      </c>
      <c r="U3538">
        <v>0.34593200000000002</v>
      </c>
      <c r="V3538">
        <v>6.2777410000000006E-2</v>
      </c>
      <c r="W3538">
        <v>2.0375580000000001E-2</v>
      </c>
      <c r="X3538">
        <v>0.99781949999999997</v>
      </c>
      <c r="Y3538">
        <v>0.1202921</v>
      </c>
      <c r="Z3538">
        <v>1.6114340000000001E-2</v>
      </c>
      <c r="AA3538">
        <v>0.99260780000000004</v>
      </c>
      <c r="AB3538">
        <v>19</v>
      </c>
      <c r="AC3538">
        <v>-0.42900000000000199</v>
      </c>
      <c r="AD3538">
        <v>-0.18970599999999899</v>
      </c>
      <c r="AE3538">
        <v>9.4599999999985501E-2</v>
      </c>
      <c r="AF3538">
        <v>8.2968852858761002E-2</v>
      </c>
      <c r="AG3538">
        <v>-0.18970599999999899</v>
      </c>
      <c r="AH3538">
        <v>0.360845385594394</v>
      </c>
      <c r="AI3538">
        <v>117.128671713258</v>
      </c>
      <c r="AJ3538">
        <v>77.0510940048148</v>
      </c>
      <c r="AK3538">
        <v>0.41603075521584398</v>
      </c>
      <c r="AL3538">
        <v>88.832484420731504</v>
      </c>
      <c r="AM3538">
        <v>86.400004107813203</v>
      </c>
      <c r="AN3538">
        <v>0.99999996102344602</v>
      </c>
    </row>
    <row r="3539" spans="1:40" x14ac:dyDescent="0.25">
      <c r="A3539" t="str">
        <f>"20190312154626753"</f>
        <v>20190312154626753</v>
      </c>
      <c r="B3539" t="str">
        <f>"1552376786741178"</f>
        <v>1552376786741178</v>
      </c>
      <c r="C3539" t="s">
        <v>40</v>
      </c>
      <c r="D3539">
        <v>4.5632609999999998</v>
      </c>
      <c r="E3539">
        <v>0.52847390000000005</v>
      </c>
      <c r="F3539" t="s">
        <v>41</v>
      </c>
      <c r="G3539">
        <v>-235.5615</v>
      </c>
      <c r="H3539">
        <v>0.92703389999999997</v>
      </c>
      <c r="I3539">
        <v>140.44030000000001</v>
      </c>
      <c r="J3539">
        <v>-234.97559999999999</v>
      </c>
      <c r="K3539">
        <v>1.1096459999999999</v>
      </c>
      <c r="L3539">
        <v>140.34799999999899</v>
      </c>
      <c r="M3539">
        <v>-0.99987579999999998</v>
      </c>
      <c r="N3539">
        <v>0</v>
      </c>
      <c r="O3539">
        <v>-8.1807310000000001E-3</v>
      </c>
      <c r="P3539">
        <v>-0.99851699999999999</v>
      </c>
      <c r="Q3539">
        <v>7.4454400000000002E-3</v>
      </c>
      <c r="R3539">
        <v>5.3929789999999998E-2</v>
      </c>
      <c r="S3539">
        <v>-2.9902950000000001</v>
      </c>
      <c r="T3539">
        <v>-0.70564579999999999</v>
      </c>
      <c r="U3539">
        <v>0.35342410000000002</v>
      </c>
      <c r="V3539">
        <v>6.2118819999999998E-2</v>
      </c>
      <c r="W3539">
        <v>2.08361E-2</v>
      </c>
      <c r="X3539">
        <v>0.9978513</v>
      </c>
      <c r="Y3539">
        <v>0.12196750000000001</v>
      </c>
      <c r="Z3539">
        <v>1.6046990000000001E-2</v>
      </c>
      <c r="AA3539">
        <v>0.99240430000000002</v>
      </c>
      <c r="AB3539">
        <v>19</v>
      </c>
      <c r="AC3539">
        <v>-0.58590000000000897</v>
      </c>
      <c r="AD3539">
        <v>-0.182612099999999</v>
      </c>
      <c r="AE3539">
        <v>9.2300000000022905E-2</v>
      </c>
      <c r="AF3539">
        <v>8.8684018187277294E-2</v>
      </c>
      <c r="AG3539">
        <v>-0.182612099999999</v>
      </c>
      <c r="AH3539">
        <v>0.53446312107411498</v>
      </c>
      <c r="AI3539">
        <v>108.62717023835999</v>
      </c>
      <c r="AJ3539">
        <v>80.578692185390096</v>
      </c>
      <c r="AK3539">
        <v>0.57171921599377395</v>
      </c>
      <c r="AL3539">
        <v>88.806093074463902</v>
      </c>
      <c r="AM3539">
        <v>86.437786682812401</v>
      </c>
      <c r="AN3539">
        <v>1.0000000538865399</v>
      </c>
    </row>
    <row r="3540" spans="1:40" x14ac:dyDescent="0.25">
      <c r="A3540" t="str">
        <f>"20190312154626776"</f>
        <v>20190312154626776</v>
      </c>
      <c r="B3540" t="str">
        <f>"1552376786770453"</f>
        <v>1552376786770453</v>
      </c>
      <c r="C3540" t="s">
        <v>40</v>
      </c>
      <c r="D3540">
        <v>4.6200539999999997</v>
      </c>
      <c r="E3540">
        <v>0.52872069999999904</v>
      </c>
      <c r="F3540" t="s">
        <v>41</v>
      </c>
      <c r="G3540">
        <v>-235.7337</v>
      </c>
      <c r="H3540">
        <v>0.93092560000000002</v>
      </c>
      <c r="I3540">
        <v>140.4383</v>
      </c>
      <c r="J3540">
        <v>-235.16149999999999</v>
      </c>
      <c r="K3540">
        <v>1.109642</v>
      </c>
      <c r="L3540">
        <v>140.34739999999999</v>
      </c>
      <c r="M3540">
        <v>-0.99988169999999998</v>
      </c>
      <c r="N3540">
        <v>0</v>
      </c>
      <c r="O3540">
        <v>-7.4087419999999899E-3</v>
      </c>
      <c r="P3540">
        <v>-0.99847149999999996</v>
      </c>
      <c r="Q3540">
        <v>7.066559E-3</v>
      </c>
      <c r="R3540">
        <v>5.4814160000000001E-2</v>
      </c>
      <c r="S3540">
        <v>-2.9904790000000001</v>
      </c>
      <c r="T3540">
        <v>-0.70495390000000002</v>
      </c>
      <c r="U3540">
        <v>0.3558655</v>
      </c>
      <c r="V3540">
        <v>6.2231700000000001E-2</v>
      </c>
      <c r="W3540">
        <v>2.0449950000000001E-2</v>
      </c>
      <c r="X3540">
        <v>0.99785219999999997</v>
      </c>
      <c r="Y3540">
        <v>0.12202060000000001</v>
      </c>
      <c r="Z3540">
        <v>1.585717E-2</v>
      </c>
      <c r="AA3540">
        <v>0.99240090000000003</v>
      </c>
      <c r="AB3540">
        <v>19</v>
      </c>
      <c r="AC3540">
        <v>-0.57220000000000903</v>
      </c>
      <c r="AD3540">
        <v>-0.1787164</v>
      </c>
      <c r="AE3540">
        <v>9.0900000000004796E-2</v>
      </c>
      <c r="AF3540">
        <v>8.6871358846734595E-2</v>
      </c>
      <c r="AG3540">
        <v>-0.1787164</v>
      </c>
      <c r="AH3540">
        <v>0.52185614407313996</v>
      </c>
      <c r="AI3540">
        <v>108.665707085238</v>
      </c>
      <c r="AJ3540">
        <v>80.548859004234401</v>
      </c>
      <c r="AK3540">
        <v>0.55840847031874796</v>
      </c>
      <c r="AL3540">
        <v>88.828222489904803</v>
      </c>
      <c r="AM3540">
        <v>86.431333485428993</v>
      </c>
      <c r="AN3540">
        <v>0.99999999899236602</v>
      </c>
    </row>
    <row r="3541" spans="1:40" x14ac:dyDescent="0.25">
      <c r="A3541" t="str">
        <f>"20190312154626798"</f>
        <v>20190312154626798</v>
      </c>
      <c r="B3541" t="str">
        <f>"1552376786790950"</f>
        <v>1552376786790950</v>
      </c>
      <c r="C3541" t="s">
        <v>40</v>
      </c>
      <c r="D3541">
        <v>4.599742</v>
      </c>
      <c r="E3541">
        <v>0.52888219999999997</v>
      </c>
      <c r="F3541" t="s">
        <v>41</v>
      </c>
      <c r="G3541">
        <v>-235.90530000000001</v>
      </c>
      <c r="H3541">
        <v>0.93389860000000002</v>
      </c>
      <c r="I3541">
        <v>140.43709999999999</v>
      </c>
      <c r="J3541">
        <v>-235.358</v>
      </c>
      <c r="K3541">
        <v>1.1096349999999999</v>
      </c>
      <c r="L3541">
        <v>140.34690000000001</v>
      </c>
      <c r="M3541">
        <v>-0.99988770000000005</v>
      </c>
      <c r="N3541">
        <v>0</v>
      </c>
      <c r="O3541">
        <v>-6.5932480000000003E-3</v>
      </c>
      <c r="P3541">
        <v>-0.99845899999999999</v>
      </c>
      <c r="Q3541">
        <v>6.6758E-3</v>
      </c>
      <c r="R3541">
        <v>5.5095159999999997E-2</v>
      </c>
      <c r="S3541">
        <v>-2.989792</v>
      </c>
      <c r="T3541">
        <v>-0.70641309999999902</v>
      </c>
      <c r="U3541">
        <v>0.3606415</v>
      </c>
      <c r="V3541">
        <v>6.1698330000000003E-2</v>
      </c>
      <c r="W3541">
        <v>2.0054249999999999E-2</v>
      </c>
      <c r="X3541">
        <v>0.99789329999999998</v>
      </c>
      <c r="Y3541">
        <v>0.1227873</v>
      </c>
      <c r="Z3541">
        <v>1.5790789999999999E-2</v>
      </c>
      <c r="AA3541">
        <v>0.99230739999999995</v>
      </c>
      <c r="AB3541">
        <v>19</v>
      </c>
      <c r="AC3541">
        <v>-0.547300000000007</v>
      </c>
      <c r="AD3541">
        <v>-0.17573639999999999</v>
      </c>
      <c r="AE3541">
        <v>9.01999999999816E-2</v>
      </c>
      <c r="AF3541">
        <v>8.5249748593010502E-2</v>
      </c>
      <c r="AG3541">
        <v>-0.17573639999999999</v>
      </c>
      <c r="AH3541">
        <v>0.49682373169034899</v>
      </c>
      <c r="AI3541">
        <v>109.219820553845</v>
      </c>
      <c r="AJ3541">
        <v>80.263462952160197</v>
      </c>
      <c r="AK3541">
        <v>0.53383950986308104</v>
      </c>
      <c r="AL3541">
        <v>88.850899021732602</v>
      </c>
      <c r="AM3541">
        <v>86.461986822320995</v>
      </c>
      <c r="AN3541">
        <v>0.999999947526369</v>
      </c>
    </row>
    <row r="3542" spans="1:40" x14ac:dyDescent="0.25">
      <c r="A3542" t="str">
        <f>"20190312154626821"</f>
        <v>20190312154626821</v>
      </c>
      <c r="B3542" t="str">
        <f>"1552376786810470"</f>
        <v>1552376786810470</v>
      </c>
      <c r="C3542" t="s">
        <v>40</v>
      </c>
      <c r="D3542">
        <v>4.6111459999999997</v>
      </c>
      <c r="E3542">
        <v>0.52904810000000002</v>
      </c>
      <c r="F3542" t="s">
        <v>41</v>
      </c>
      <c r="G3542">
        <v>-236.07769999999999</v>
      </c>
      <c r="H3542">
        <v>0.93910850000000001</v>
      </c>
      <c r="I3542">
        <v>140.43440000000001</v>
      </c>
      <c r="J3542">
        <v>-235.54740000000001</v>
      </c>
      <c r="K3542">
        <v>1.1096330000000001</v>
      </c>
      <c r="L3542">
        <v>140.3466</v>
      </c>
      <c r="M3542">
        <v>-0.99989269999999997</v>
      </c>
      <c r="N3542">
        <v>0</v>
      </c>
      <c r="O3542">
        <v>-5.8071969999999896E-3</v>
      </c>
      <c r="P3542">
        <v>-0.99839509999999998</v>
      </c>
      <c r="Q3542">
        <v>6.7478460000000001E-3</v>
      </c>
      <c r="R3542">
        <v>5.6231080000000003E-2</v>
      </c>
      <c r="S3542">
        <v>-2.9893489999999998</v>
      </c>
      <c r="T3542">
        <v>-0.70820569999999905</v>
      </c>
      <c r="U3542">
        <v>0.36270140000000001</v>
      </c>
      <c r="V3542">
        <v>6.2049170000000001E-2</v>
      </c>
      <c r="W3542">
        <v>2.0120039999999999E-2</v>
      </c>
      <c r="X3542">
        <v>0.99787029999999999</v>
      </c>
      <c r="Y3542">
        <v>0.12270440000000001</v>
      </c>
      <c r="Z3542">
        <v>1.563869E-2</v>
      </c>
      <c r="AA3542">
        <v>0.99232010000000004</v>
      </c>
      <c r="AB3542">
        <v>19</v>
      </c>
      <c r="AC3542">
        <v>-0.53029999999998201</v>
      </c>
      <c r="AD3542">
        <v>-0.1705245</v>
      </c>
      <c r="AE3542">
        <v>8.7800000000015602E-2</v>
      </c>
      <c r="AF3542">
        <v>8.2568386487474693E-2</v>
      </c>
      <c r="AG3542">
        <v>-0.1705245</v>
      </c>
      <c r="AH3542">
        <v>0.481337653038859</v>
      </c>
      <c r="AI3542">
        <v>109.24777248222</v>
      </c>
      <c r="AJ3542">
        <v>80.266251185921803</v>
      </c>
      <c r="AK3542">
        <v>0.51728336507213502</v>
      </c>
      <c r="AL3542">
        <v>88.847128861467894</v>
      </c>
      <c r="AM3542">
        <v>86.441838082082697</v>
      </c>
      <c r="AN3542">
        <v>1.0000000255646899</v>
      </c>
    </row>
    <row r="3543" spans="1:40" x14ac:dyDescent="0.25">
      <c r="A3543" t="str">
        <f>"20190312154626845"</f>
        <v>20190312154626845</v>
      </c>
      <c r="B3543" t="str">
        <f>"1552376786830965"</f>
        <v>1552376786830965</v>
      </c>
      <c r="C3543" t="s">
        <v>40</v>
      </c>
      <c r="D3543">
        <v>4.5951559999999896</v>
      </c>
      <c r="E3543">
        <v>0.52915449999999997</v>
      </c>
      <c r="F3543" t="s">
        <v>41</v>
      </c>
      <c r="G3543">
        <v>-236.24940000000001</v>
      </c>
      <c r="H3543">
        <v>0.94314169999999997</v>
      </c>
      <c r="I3543">
        <v>140.4332</v>
      </c>
      <c r="J3543">
        <v>-235.7482</v>
      </c>
      <c r="K3543">
        <v>1.10964</v>
      </c>
      <c r="L3543">
        <v>140.34639999999999</v>
      </c>
      <c r="M3543">
        <v>-0.99989720000000004</v>
      </c>
      <c r="N3543">
        <v>0</v>
      </c>
      <c r="O3543">
        <v>-4.9739440000000001E-3</v>
      </c>
      <c r="P3543">
        <v>-0.99835169999999995</v>
      </c>
      <c r="Q3543">
        <v>6.8658440000000003E-3</v>
      </c>
      <c r="R3543">
        <v>5.6983190000000003E-2</v>
      </c>
      <c r="S3543">
        <v>-2.9888759999999999</v>
      </c>
      <c r="T3543">
        <v>-0.70887089999999997</v>
      </c>
      <c r="U3543">
        <v>0.36795040000000001</v>
      </c>
      <c r="V3543">
        <v>6.1969370000000003E-2</v>
      </c>
      <c r="W3543">
        <v>2.0233029999999999E-2</v>
      </c>
      <c r="X3543">
        <v>0.99787289999999995</v>
      </c>
      <c r="Y3543">
        <v>0.1236051</v>
      </c>
      <c r="Z3543">
        <v>1.55645E-2</v>
      </c>
      <c r="AA3543">
        <v>0.99220940000000002</v>
      </c>
      <c r="AB3543">
        <v>19</v>
      </c>
      <c r="AC3543">
        <v>-0.50120000000001097</v>
      </c>
      <c r="AD3543">
        <v>-0.16649829999999999</v>
      </c>
      <c r="AE3543">
        <v>8.6800000000010799E-2</v>
      </c>
      <c r="AF3543">
        <v>8.0650920946674504E-2</v>
      </c>
      <c r="AG3543">
        <v>-0.16649829999999999</v>
      </c>
      <c r="AH3543">
        <v>0.45230117462139102</v>
      </c>
      <c r="AI3543">
        <v>109.92039473522701</v>
      </c>
      <c r="AJ3543">
        <v>79.889710010429297</v>
      </c>
      <c r="AK3543">
        <v>0.48867433687101502</v>
      </c>
      <c r="AL3543">
        <v>88.8406536074218</v>
      </c>
      <c r="AM3543">
        <v>86.446411653262601</v>
      </c>
      <c r="AN3543">
        <v>0.99999995143779197</v>
      </c>
    </row>
    <row r="3544" spans="1:40" x14ac:dyDescent="0.25">
      <c r="A3544" t="str">
        <f>"20190312154626870"</f>
        <v>20190312154626870</v>
      </c>
      <c r="B3544" t="str">
        <f>"1552376786861221"</f>
        <v>1552376786861221</v>
      </c>
      <c r="C3544" t="s">
        <v>40</v>
      </c>
      <c r="D3544">
        <v>4.6569529999999997</v>
      </c>
      <c r="E3544">
        <v>0.52877039999999997</v>
      </c>
      <c r="F3544" t="s">
        <v>41</v>
      </c>
      <c r="G3544">
        <v>-236.57480000000001</v>
      </c>
      <c r="H3544">
        <v>0.9134641</v>
      </c>
      <c r="I3544">
        <v>140.44919999999999</v>
      </c>
      <c r="J3544">
        <v>-235.96809999999999</v>
      </c>
      <c r="K3544">
        <v>1.109648</v>
      </c>
      <c r="L3544">
        <v>140.34649999999999</v>
      </c>
      <c r="M3544">
        <v>-0.99990129999999999</v>
      </c>
      <c r="N3544">
        <v>0</v>
      </c>
      <c r="O3544">
        <v>-4.0609469999999996E-3</v>
      </c>
      <c r="P3544">
        <v>-0.99829760000000001</v>
      </c>
      <c r="Q3544">
        <v>7.6498310000000002E-3</v>
      </c>
      <c r="R3544">
        <v>5.7825359999999999E-2</v>
      </c>
      <c r="S3544">
        <v>-2.988693</v>
      </c>
      <c r="T3544">
        <v>-0.70925579999999999</v>
      </c>
      <c r="U3544">
        <v>0.3705444</v>
      </c>
      <c r="V3544">
        <v>6.1900789999999997E-2</v>
      </c>
      <c r="W3544">
        <v>2.1011539999999999E-2</v>
      </c>
      <c r="X3544">
        <v>0.99786109999999995</v>
      </c>
      <c r="Y3544">
        <v>0.1235771</v>
      </c>
      <c r="Z3544">
        <v>1.535662E-2</v>
      </c>
      <c r="AA3544">
        <v>0.99221619999999999</v>
      </c>
      <c r="AB3544">
        <v>19</v>
      </c>
      <c r="AC3544">
        <v>-0.606700000000017</v>
      </c>
      <c r="AD3544">
        <v>-0.19618389999999999</v>
      </c>
      <c r="AE3544">
        <v>0.102699999999998</v>
      </c>
      <c r="AF3544">
        <v>9.5459639373183705E-2</v>
      </c>
      <c r="AG3544">
        <v>-0.19618389999999999</v>
      </c>
      <c r="AH3544">
        <v>0.55033600933728899</v>
      </c>
      <c r="AI3544">
        <v>109.35308577024701</v>
      </c>
      <c r="AJ3544">
        <v>80.159556647003399</v>
      </c>
      <c r="AK3544">
        <v>0.59200539570324995</v>
      </c>
      <c r="AL3544">
        <v>88.796038817855901</v>
      </c>
      <c r="AM3544">
        <v>86.450292394068299</v>
      </c>
      <c r="AN3544">
        <v>0.99999998375450205</v>
      </c>
    </row>
    <row r="3545" spans="1:40" x14ac:dyDescent="0.25">
      <c r="A3545" t="str">
        <f>"20190312154626892"</f>
        <v>20190312154626892</v>
      </c>
      <c r="B3545" t="str">
        <f>"1552376786880741"</f>
        <v>1552376786880741</v>
      </c>
      <c r="C3545" t="s">
        <v>40</v>
      </c>
      <c r="D3545">
        <v>4.6676630000000001</v>
      </c>
      <c r="E3545">
        <v>0.49573339999999999</v>
      </c>
      <c r="F3545" t="s">
        <v>41</v>
      </c>
      <c r="G3545">
        <v>-236.74870000000001</v>
      </c>
      <c r="H3545">
        <v>0.92432049999999999</v>
      </c>
      <c r="I3545">
        <v>140.44319999999999</v>
      </c>
      <c r="J3545">
        <v>-236.14869999999999</v>
      </c>
      <c r="K3545">
        <v>1.1096539999999999</v>
      </c>
      <c r="L3545">
        <v>140.3466</v>
      </c>
      <c r="M3545">
        <v>-0.99990400000000002</v>
      </c>
      <c r="N3545">
        <v>0</v>
      </c>
      <c r="O3545">
        <v>-3.3113840000000001E-3</v>
      </c>
      <c r="P3545">
        <v>-0.99830410000000003</v>
      </c>
      <c r="Q3545">
        <v>8.3233769999999999E-3</v>
      </c>
      <c r="R3545">
        <v>5.7618830000000003E-2</v>
      </c>
      <c r="S3545">
        <v>-2.9891359999999998</v>
      </c>
      <c r="T3545">
        <v>-0.70968149999999997</v>
      </c>
      <c r="U3545">
        <v>0.3695679</v>
      </c>
      <c r="V3545">
        <v>6.0946790000000001E-2</v>
      </c>
      <c r="W3545">
        <v>2.1682300000000002E-2</v>
      </c>
      <c r="X3545">
        <v>0.9979055</v>
      </c>
      <c r="Y3545">
        <v>0.122541899999999</v>
      </c>
      <c r="Z3545">
        <v>1.506802E-2</v>
      </c>
      <c r="AA3545">
        <v>0.99234900000000004</v>
      </c>
      <c r="AB3545">
        <v>19</v>
      </c>
      <c r="AC3545">
        <v>-0.60000000000002196</v>
      </c>
      <c r="AD3545">
        <v>-0.18533350000000001</v>
      </c>
      <c r="AE3545">
        <v>9.6599999999995106E-2</v>
      </c>
      <c r="AF3545">
        <v>9.0197910917111795E-2</v>
      </c>
      <c r="AG3545">
        <v>-0.18533350000000001</v>
      </c>
      <c r="AH3545">
        <v>0.548651238944312</v>
      </c>
      <c r="AI3545">
        <v>108.43446818323</v>
      </c>
      <c r="AJ3545">
        <v>80.664120341703395</v>
      </c>
      <c r="AK3545">
        <v>0.58609073644887899</v>
      </c>
      <c r="AL3545">
        <v>88.757598372738798</v>
      </c>
      <c r="AM3545">
        <v>86.505018079331094</v>
      </c>
      <c r="AN3545">
        <v>1.00000001013742</v>
      </c>
    </row>
    <row r="3546" spans="1:40" x14ac:dyDescent="0.25">
      <c r="A3546" t="str">
        <f>"20190312154626910"</f>
        <v>20190312154626910</v>
      </c>
      <c r="B3546" t="str">
        <f>"1552376786901238"</f>
        <v>1552376786901238</v>
      </c>
      <c r="C3546" t="s">
        <v>40</v>
      </c>
      <c r="D3546">
        <v>4.6322830000000002</v>
      </c>
      <c r="E3546">
        <v>0.49470449999999999</v>
      </c>
      <c r="F3546" t="s">
        <v>41</v>
      </c>
      <c r="G3546">
        <v>-236.9237</v>
      </c>
      <c r="H3546">
        <v>0.93715879999999996</v>
      </c>
      <c r="I3546">
        <v>140.37450000000001</v>
      </c>
      <c r="J3546">
        <v>-236.31229999999999</v>
      </c>
      <c r="K3546">
        <v>1.109656</v>
      </c>
      <c r="L3546">
        <v>140.34690000000001</v>
      </c>
      <c r="M3546">
        <v>-0.99990619999999997</v>
      </c>
      <c r="N3546">
        <v>0</v>
      </c>
      <c r="O3546">
        <v>-2.6319E-3</v>
      </c>
      <c r="P3546">
        <v>-0.99834299999999998</v>
      </c>
      <c r="Q3546">
        <v>9.0829710000000004E-3</v>
      </c>
      <c r="R3546">
        <v>5.6820750000000003E-2</v>
      </c>
      <c r="S3546">
        <v>-3.0044400000000002</v>
      </c>
      <c r="T3546">
        <v>-0.66871429999999998</v>
      </c>
      <c r="U3546">
        <v>0.1080627</v>
      </c>
      <c r="V3546">
        <v>5.9470889999999998E-2</v>
      </c>
      <c r="W3546">
        <v>2.243885E-2</v>
      </c>
      <c r="X3546">
        <v>0.99797780000000003</v>
      </c>
      <c r="Y3546">
        <v>3.7591680000000002E-2</v>
      </c>
      <c r="Z3546">
        <v>4.7102289999999998E-3</v>
      </c>
      <c r="AA3546">
        <v>0.99928209999999995</v>
      </c>
      <c r="AB3546">
        <v>19</v>
      </c>
      <c r="AC3546">
        <v>-0.61140000000000305</v>
      </c>
      <c r="AD3546">
        <v>-0.17249719999999999</v>
      </c>
      <c r="AE3546">
        <v>2.7600000000006699E-2</v>
      </c>
      <c r="AF3546">
        <v>2.70596267720714E-2</v>
      </c>
      <c r="AG3546">
        <v>-0.17249719999999999</v>
      </c>
      <c r="AH3546">
        <v>0.56633651105530802</v>
      </c>
      <c r="AI3546">
        <v>106.921711977757</v>
      </c>
      <c r="AJ3546">
        <v>87.264481156937293</v>
      </c>
      <c r="AK3546">
        <v>0.59264200927978605</v>
      </c>
      <c r="AL3546">
        <v>88.714240671293993</v>
      </c>
      <c r="AM3546">
        <v>86.589697528471604</v>
      </c>
      <c r="AN3546">
        <v>0.99999998901977705</v>
      </c>
    </row>
    <row r="3547" spans="1:40" x14ac:dyDescent="0.25">
      <c r="A3547" t="str">
        <f>"20190312154626933"</f>
        <v>20190312154626933</v>
      </c>
      <c r="B3547" t="str">
        <f>"1552376786920758"</f>
        <v>1552376786920758</v>
      </c>
      <c r="C3547" t="s">
        <v>40</v>
      </c>
      <c r="D3547">
        <v>4.6284210000000003</v>
      </c>
      <c r="E3547">
        <v>0.49531439999999999</v>
      </c>
      <c r="F3547" t="s">
        <v>41</v>
      </c>
      <c r="G3547">
        <v>-237.0925</v>
      </c>
      <c r="H3547">
        <v>0.93720689999999995</v>
      </c>
      <c r="I3547">
        <v>140.3725</v>
      </c>
      <c r="J3547">
        <v>-236.49549999999999</v>
      </c>
      <c r="K3547">
        <v>1.1096379999999999</v>
      </c>
      <c r="L3547">
        <v>140.34729999999999</v>
      </c>
      <c r="M3547">
        <v>-0.99990829999999997</v>
      </c>
      <c r="N3547">
        <v>0</v>
      </c>
      <c r="O3547">
        <v>-1.871763E-3</v>
      </c>
      <c r="P3547">
        <v>-0.99834469999999997</v>
      </c>
      <c r="Q3547">
        <v>8.6304190000000003E-3</v>
      </c>
      <c r="R3547">
        <v>5.6865440000000003E-2</v>
      </c>
      <c r="S3547">
        <v>-3.0054470000000002</v>
      </c>
      <c r="T3547">
        <v>-0.66426359999999995</v>
      </c>
      <c r="U3547">
        <v>9.7915650000000007E-2</v>
      </c>
      <c r="V3547">
        <v>5.8756500000000003E-2</v>
      </c>
      <c r="W3547">
        <v>2.1969760000000001E-2</v>
      </c>
      <c r="X3547">
        <v>0.99803050000000004</v>
      </c>
      <c r="Y3547">
        <v>3.3578330000000003E-2</v>
      </c>
      <c r="Z3547">
        <v>4.0742579999999999E-3</v>
      </c>
      <c r="AA3547">
        <v>0.99942779999999998</v>
      </c>
      <c r="AB3547">
        <v>19</v>
      </c>
      <c r="AC3547">
        <v>-0.59700000000000797</v>
      </c>
      <c r="AD3547">
        <v>-0.172431099999999</v>
      </c>
      <c r="AE3547">
        <v>2.5200000000012299E-2</v>
      </c>
      <c r="AF3547">
        <v>2.4294406546625E-2</v>
      </c>
      <c r="AG3547">
        <v>-0.172431099999999</v>
      </c>
      <c r="AH3547">
        <v>0.55106259644887701</v>
      </c>
      <c r="AI3547">
        <v>107.359396452208</v>
      </c>
      <c r="AJ3547">
        <v>87.475665735389498</v>
      </c>
      <c r="AK3547">
        <v>0.57792100467247298</v>
      </c>
      <c r="AL3547">
        <v>88.741124112563796</v>
      </c>
      <c r="AM3547">
        <v>86.630746107270895</v>
      </c>
      <c r="AN3547">
        <v>0.99999993778847596</v>
      </c>
    </row>
    <row r="3548" spans="1:40" x14ac:dyDescent="0.25">
      <c r="A3548" t="str">
        <f>"20190312154626956"</f>
        <v>20190312154626956</v>
      </c>
      <c r="B3548" t="str">
        <f>"1552376786951014"</f>
        <v>1552376786951014</v>
      </c>
      <c r="C3548" t="s">
        <v>40</v>
      </c>
      <c r="D3548">
        <v>4.6844619999999999</v>
      </c>
      <c r="E3548">
        <v>0.49618109999999999</v>
      </c>
      <c r="F3548" t="s">
        <v>41</v>
      </c>
      <c r="G3548">
        <v>-237.26150000000001</v>
      </c>
      <c r="H3548">
        <v>0.93816520000000003</v>
      </c>
      <c r="I3548">
        <v>140.37350000000001</v>
      </c>
      <c r="J3548">
        <v>-236.68819999999999</v>
      </c>
      <c r="K3548">
        <v>1.1096250000000001</v>
      </c>
      <c r="L3548">
        <v>140.34790000000001</v>
      </c>
      <c r="M3548">
        <v>-0.99991010000000002</v>
      </c>
      <c r="N3548">
        <v>0</v>
      </c>
      <c r="O3548">
        <v>-1.0746009999999999E-3</v>
      </c>
      <c r="P3548">
        <v>-0.99829230000000002</v>
      </c>
      <c r="Q3548">
        <v>7.727111E-3</v>
      </c>
      <c r="R3548">
        <v>5.7906850000000003E-2</v>
      </c>
      <c r="S3548">
        <v>-3.0049899999999998</v>
      </c>
      <c r="T3548">
        <v>-0.67268779999999995</v>
      </c>
      <c r="U3548">
        <v>0.1021118</v>
      </c>
      <c r="V3548">
        <v>5.9000959999999998E-2</v>
      </c>
      <c r="W3548">
        <v>2.101869E-2</v>
      </c>
      <c r="X3548">
        <v>0.99803660000000005</v>
      </c>
      <c r="Y3548">
        <v>3.4164050000000001E-2</v>
      </c>
      <c r="Z3548">
        <v>4.0137100000000002E-3</v>
      </c>
      <c r="AA3548">
        <v>0.99940819999999997</v>
      </c>
      <c r="AB3548">
        <v>19</v>
      </c>
      <c r="AC3548">
        <v>-0.57330000000001702</v>
      </c>
      <c r="AD3548">
        <v>-0.1714598</v>
      </c>
      <c r="AE3548">
        <v>2.5599999999997101E-2</v>
      </c>
      <c r="AF3548">
        <v>2.4067639756476002E-2</v>
      </c>
      <c r="AG3548">
        <v>-0.1714598</v>
      </c>
      <c r="AH3548">
        <v>0.52629121078562302</v>
      </c>
      <c r="AI3548">
        <v>108.027411501118</v>
      </c>
      <c r="AJ3548">
        <v>87.3816509232812</v>
      </c>
      <c r="AK3548">
        <v>0.55403984770924597</v>
      </c>
      <c r="AL3548">
        <v>88.795629054127303</v>
      </c>
      <c r="AM3548">
        <v>86.616781246229493</v>
      </c>
      <c r="AN3548">
        <v>0.99999997677489805</v>
      </c>
    </row>
    <row r="3549" spans="1:40" x14ac:dyDescent="0.25">
      <c r="A3549" t="str">
        <f>"20190312154626978"</f>
        <v>20190312154626978</v>
      </c>
      <c r="B3549" t="str">
        <f>"1552376786970534"</f>
        <v>1552376786970534</v>
      </c>
      <c r="C3549" t="s">
        <v>40</v>
      </c>
      <c r="D3549">
        <v>4.6532530000000003</v>
      </c>
      <c r="E3549">
        <v>0.4957278</v>
      </c>
      <c r="F3549" t="s">
        <v>41</v>
      </c>
      <c r="G3549">
        <v>-237.4316</v>
      </c>
      <c r="H3549">
        <v>0.94173180000000001</v>
      </c>
      <c r="I3549">
        <v>140.3759</v>
      </c>
      <c r="J3549">
        <v>-236.87559999999999</v>
      </c>
      <c r="K3549">
        <v>1.1096029999999999</v>
      </c>
      <c r="L3549">
        <v>140.34870000000001</v>
      </c>
      <c r="M3549">
        <v>-0.99991169999999996</v>
      </c>
      <c r="N3549">
        <v>0</v>
      </c>
      <c r="O3549">
        <v>-3.0553500000000001E-4</v>
      </c>
      <c r="P3549">
        <v>-0.99819420000000003</v>
      </c>
      <c r="Q3549">
        <v>7.7759309999999998E-3</v>
      </c>
      <c r="R3549">
        <v>5.9565819999999998E-2</v>
      </c>
      <c r="S3549">
        <v>-3.0039060000000002</v>
      </c>
      <c r="T3549">
        <v>-0.67838240000000005</v>
      </c>
      <c r="U3549">
        <v>0.11183170000000001</v>
      </c>
      <c r="V3549">
        <v>5.9892180000000003E-2</v>
      </c>
      <c r="W3549">
        <v>2.0979600000000001E-2</v>
      </c>
      <c r="X3549">
        <v>0.99798430000000005</v>
      </c>
      <c r="Y3549">
        <v>3.6580670000000003E-2</v>
      </c>
      <c r="Z3549">
        <v>4.145971E-3</v>
      </c>
      <c r="AA3549">
        <v>0.99932209999999999</v>
      </c>
      <c r="AB3549">
        <v>19</v>
      </c>
      <c r="AC3549">
        <v>-0.55600000000001104</v>
      </c>
      <c r="AD3549">
        <v>-0.1678712</v>
      </c>
      <c r="AE3549">
        <v>2.71999999999934E-2</v>
      </c>
      <c r="AF3549">
        <v>2.5088309260416899E-2</v>
      </c>
      <c r="AG3549">
        <v>-0.1678712</v>
      </c>
      <c r="AH3549">
        <v>0.50964363313826799</v>
      </c>
      <c r="AI3549">
        <v>108.210740066997</v>
      </c>
      <c r="AJ3549">
        <v>87.181766446840896</v>
      </c>
      <c r="AK3549">
        <v>0.53716551997439299</v>
      </c>
      <c r="AL3549">
        <v>88.797869195893696</v>
      </c>
      <c r="AM3549">
        <v>86.565618986730698</v>
      </c>
      <c r="AN3549">
        <v>0.99999993994389902</v>
      </c>
    </row>
    <row r="3550" spans="1:40" x14ac:dyDescent="0.25">
      <c r="A3550" t="str">
        <f>"20190312154627001"</f>
        <v>20190312154627001</v>
      </c>
      <c r="B3550" t="str">
        <f>"1552376786991030"</f>
        <v>1552376786991030</v>
      </c>
      <c r="C3550" t="s">
        <v>40</v>
      </c>
      <c r="D3550">
        <v>4.7061820000000001</v>
      </c>
      <c r="E3550">
        <v>0.4819621</v>
      </c>
      <c r="F3550" t="s">
        <v>41</v>
      </c>
      <c r="G3550">
        <v>-237.60210000000001</v>
      </c>
      <c r="H3550">
        <v>0.9460423</v>
      </c>
      <c r="I3550">
        <v>140.37610000000001</v>
      </c>
      <c r="J3550">
        <v>-237.07169999999999</v>
      </c>
      <c r="K3550">
        <v>1.1095729999999999</v>
      </c>
      <c r="L3550">
        <v>140.34960000000001</v>
      </c>
      <c r="M3550">
        <v>-0.99991350000000001</v>
      </c>
      <c r="N3550">
        <v>0</v>
      </c>
      <c r="O3550">
        <v>4.8634060000000002E-4</v>
      </c>
      <c r="P3550">
        <v>-0.99808779999999997</v>
      </c>
      <c r="Q3550">
        <v>8.4314349999999993E-3</v>
      </c>
      <c r="R3550">
        <v>6.1235730000000002E-2</v>
      </c>
      <c r="S3550">
        <v>-3.003952</v>
      </c>
      <c r="T3550">
        <v>-0.67624969999999995</v>
      </c>
      <c r="U3550">
        <v>0.11294559999999999</v>
      </c>
      <c r="V3550">
        <v>6.0771840000000001E-2</v>
      </c>
      <c r="W3550">
        <v>2.149065E-2</v>
      </c>
      <c r="X3550">
        <v>0.99792029999999998</v>
      </c>
      <c r="Y3550">
        <v>3.619402E-2</v>
      </c>
      <c r="Z3550">
        <v>3.9141769999999996E-3</v>
      </c>
      <c r="AA3550">
        <v>0.99933709999999998</v>
      </c>
      <c r="AB3550">
        <v>19</v>
      </c>
      <c r="AC3550">
        <v>-0.53040000000001397</v>
      </c>
      <c r="AD3550">
        <v>-0.163530699999999</v>
      </c>
      <c r="AE3550">
        <v>2.6499999999998601E-2</v>
      </c>
      <c r="AF3550">
        <v>2.3969212430021699E-2</v>
      </c>
      <c r="AG3550">
        <v>-0.163530699999999</v>
      </c>
      <c r="AH3550">
        <v>0.484474058815756</v>
      </c>
      <c r="AI3550">
        <v>108.63052479301</v>
      </c>
      <c r="AJ3550">
        <v>87.1676175367067</v>
      </c>
      <c r="AK3550">
        <v>0.51189054167118397</v>
      </c>
      <c r="AL3550">
        <v>88.768581649249796</v>
      </c>
      <c r="AM3550">
        <v>86.5150773498858</v>
      </c>
      <c r="AN3550">
        <v>0.99999999486324898</v>
      </c>
    </row>
    <row r="3551" spans="1:40" x14ac:dyDescent="0.25">
      <c r="A3551" t="str">
        <f>"20190312154627022"</f>
        <v>20190312154627022</v>
      </c>
      <c r="B3551" t="str">
        <f>"1552376787010549"</f>
        <v>1552376787010549</v>
      </c>
      <c r="C3551" t="s">
        <v>40</v>
      </c>
      <c r="D3551">
        <v>4.7285599999999999</v>
      </c>
      <c r="E3551">
        <v>0.4794755</v>
      </c>
      <c r="F3551" t="s">
        <v>41</v>
      </c>
      <c r="G3551">
        <v>-237.80869999999999</v>
      </c>
      <c r="H3551">
        <v>1.0235559999999999</v>
      </c>
      <c r="I3551">
        <v>140.35550000000001</v>
      </c>
      <c r="J3551">
        <v>-237.24639999999999</v>
      </c>
      <c r="K3551">
        <v>1.1095549999999901</v>
      </c>
      <c r="L3551">
        <v>140.35050000000001</v>
      </c>
      <c r="M3551">
        <v>-0.99991529999999995</v>
      </c>
      <c r="N3551">
        <v>0</v>
      </c>
      <c r="O3551">
        <v>1.1775240000000001E-3</v>
      </c>
      <c r="P3551">
        <v>-0.99803359999999997</v>
      </c>
      <c r="Q3551">
        <v>9.6671789999999997E-3</v>
      </c>
      <c r="R3551">
        <v>6.1933429999999998E-2</v>
      </c>
      <c r="S3551">
        <v>-3.0073240000000001</v>
      </c>
      <c r="T3551">
        <v>-0.35103030000000002</v>
      </c>
      <c r="U3551">
        <v>2.2781369999999999E-2</v>
      </c>
      <c r="V3551">
        <v>6.0779680000000003E-2</v>
      </c>
      <c r="W3551">
        <v>2.2551359999999999E-2</v>
      </c>
      <c r="X3551">
        <v>0.99789640000000002</v>
      </c>
      <c r="Y3551">
        <v>6.3622870000000003E-3</v>
      </c>
      <c r="Z3551">
        <v>2.3306689999999999E-4</v>
      </c>
      <c r="AA3551">
        <v>0.99997970000000003</v>
      </c>
      <c r="AB3551">
        <v>19</v>
      </c>
      <c r="AC3551">
        <v>-0.56229999999999303</v>
      </c>
      <c r="AD3551">
        <v>-8.5998999999999895E-2</v>
      </c>
      <c r="AE3551">
        <v>4.9999999999954499E-3</v>
      </c>
      <c r="AF3551">
        <v>4.2386796226930703E-3</v>
      </c>
      <c r="AG3551">
        <v>-8.5998999999999895E-2</v>
      </c>
      <c r="AH3551">
        <v>0.54945417704963395</v>
      </c>
      <c r="AI3551">
        <v>98.895339682289105</v>
      </c>
      <c r="AJ3551">
        <v>89.558009301211399</v>
      </c>
      <c r="AK3551">
        <v>0.55615976758772701</v>
      </c>
      <c r="AL3551">
        <v>88.707792678780507</v>
      </c>
      <c r="AM3551">
        <v>86.514545608073504</v>
      </c>
      <c r="AN3551">
        <v>0.99999997923585504</v>
      </c>
    </row>
    <row r="3552" spans="1:40" x14ac:dyDescent="0.25">
      <c r="A3552" t="str">
        <f>"20190312154627046"</f>
        <v>20190312154627046</v>
      </c>
      <c r="B3552" t="str">
        <f>"1552376787040805"</f>
        <v>1552376787040805</v>
      </c>
      <c r="C3552" t="s">
        <v>40</v>
      </c>
      <c r="D3552">
        <v>4.7232469999999998</v>
      </c>
      <c r="E3552">
        <v>0.4781688</v>
      </c>
      <c r="F3552" t="s">
        <v>41</v>
      </c>
      <c r="G3552">
        <v>-237.9905</v>
      </c>
      <c r="H3552">
        <v>1.041954</v>
      </c>
      <c r="I3552">
        <v>140.3527</v>
      </c>
      <c r="J3552">
        <v>-237.44730000000001</v>
      </c>
      <c r="K3552">
        <v>1.1095410000000001</v>
      </c>
      <c r="L3552">
        <v>140.35169999999999</v>
      </c>
      <c r="M3552">
        <v>-0.99991730000000001</v>
      </c>
      <c r="N3552">
        <v>0</v>
      </c>
      <c r="O3552">
        <v>1.9476999999999999E-3</v>
      </c>
      <c r="P3552">
        <v>-0.99797460000000004</v>
      </c>
      <c r="Q3552">
        <v>1.063221E-2</v>
      </c>
      <c r="R3552">
        <v>6.2722429999999996E-2</v>
      </c>
      <c r="S3552">
        <v>-3.008041</v>
      </c>
      <c r="T3552">
        <v>-0.27329789999999998</v>
      </c>
      <c r="U3552">
        <v>8.3160400000000002E-3</v>
      </c>
      <c r="V3552">
        <v>6.079913E-2</v>
      </c>
      <c r="W3552">
        <v>2.327357E-2</v>
      </c>
      <c r="X3552">
        <v>0.99787870000000001</v>
      </c>
      <c r="Y3552">
        <v>8.2137679999999904E-4</v>
      </c>
      <c r="Z3552">
        <v>-1.393732E-4</v>
      </c>
      <c r="AA3552">
        <v>0.99999959999999999</v>
      </c>
      <c r="AB3552">
        <v>19</v>
      </c>
      <c r="AC3552">
        <v>-0.54319999999998403</v>
      </c>
      <c r="AD3552">
        <v>-6.75869999999998E-2</v>
      </c>
      <c r="AE3552">
        <v>1.0000000000047701E-3</v>
      </c>
      <c r="AF3552" s="1">
        <v>-5.7192620999120098E-5</v>
      </c>
      <c r="AG3552">
        <v>-6.75869999999998E-2</v>
      </c>
      <c r="AH3552">
        <v>0.53491970463271499</v>
      </c>
      <c r="AI3552">
        <v>97.201151888127697</v>
      </c>
      <c r="AJ3552">
        <v>90.006125958273103</v>
      </c>
      <c r="AK3552">
        <v>0.53917260338814199</v>
      </c>
      <c r="AL3552">
        <v>88.666402315911</v>
      </c>
      <c r="AM3552">
        <v>86.513371293985401</v>
      </c>
      <c r="AN3552">
        <v>1.00000004659149</v>
      </c>
    </row>
    <row r="3553" spans="1:40" x14ac:dyDescent="0.25">
      <c r="A3553" t="str">
        <f>"20190312154627090"</f>
        <v>20190312154627090</v>
      </c>
      <c r="B3553" t="str">
        <f>"1552376787080821"</f>
        <v>1552376787080821</v>
      </c>
      <c r="C3553" t="s">
        <v>40</v>
      </c>
      <c r="D3553">
        <v>4.7243110000000001</v>
      </c>
      <c r="E3553">
        <v>0.47738439999999999</v>
      </c>
      <c r="F3553" t="s">
        <v>41</v>
      </c>
      <c r="G3553">
        <v>-238.327</v>
      </c>
      <c r="H3553">
        <v>1.0399879999999999</v>
      </c>
      <c r="I3553">
        <v>140.35239999999999</v>
      </c>
      <c r="J3553">
        <v>-237.82230000000001</v>
      </c>
      <c r="K3553">
        <v>1.1095189999999999</v>
      </c>
      <c r="L3553">
        <v>140.35419999999999</v>
      </c>
      <c r="M3553">
        <v>-0.99992009999999998</v>
      </c>
      <c r="N3553">
        <v>0</v>
      </c>
      <c r="O3553">
        <v>3.2790940000000002E-3</v>
      </c>
      <c r="P3553">
        <v>-0.99788010000000005</v>
      </c>
      <c r="Q3553">
        <v>1.201297E-2</v>
      </c>
      <c r="R3553">
        <v>6.3962669999999999E-2</v>
      </c>
      <c r="S3553">
        <v>-3.0085299999999999</v>
      </c>
      <c r="T3553">
        <v>-0.23794170000000001</v>
      </c>
      <c r="U3553">
        <v>1.5411379999999901E-3</v>
      </c>
      <c r="V3553">
        <v>6.0708369999999998E-2</v>
      </c>
      <c r="W3553">
        <v>2.41631E-2</v>
      </c>
      <c r="X3553">
        <v>0.9978631</v>
      </c>
      <c r="Y3553">
        <v>-2.7482629999999999E-3</v>
      </c>
      <c r="Z3553">
        <v>-3.6746439999999999E-4</v>
      </c>
      <c r="AA3553">
        <v>0.9999962</v>
      </c>
      <c r="AB3553">
        <v>19</v>
      </c>
      <c r="AC3553">
        <v>-0.50469999999998505</v>
      </c>
      <c r="AD3553">
        <v>-6.9531000000000204E-2</v>
      </c>
      <c r="AE3553">
        <v>-1.8000000000029099E-3</v>
      </c>
      <c r="AF3553">
        <v>-3.3907182607072401E-3</v>
      </c>
      <c r="AG3553">
        <v>-6.9531000000000204E-2</v>
      </c>
      <c r="AH3553">
        <v>0.49529100664645198</v>
      </c>
      <c r="AI3553">
        <v>97.991010696852996</v>
      </c>
      <c r="AJ3553">
        <v>90.392235692464396</v>
      </c>
      <c r="AK3553">
        <v>0.50015921284744902</v>
      </c>
      <c r="AL3553">
        <v>88.615421684071805</v>
      </c>
      <c r="AM3553">
        <v>86.518508975408096</v>
      </c>
      <c r="AN3553">
        <v>1.0000000639656299</v>
      </c>
    </row>
    <row r="3554" spans="1:40" x14ac:dyDescent="0.25">
      <c r="A3554" t="str">
        <f>"20190312154627111"</f>
        <v>20190312154627111</v>
      </c>
      <c r="B3554" t="str">
        <f>"1552376787101317"</f>
        <v>1552376787101317</v>
      </c>
      <c r="C3554" t="s">
        <v>40</v>
      </c>
      <c r="D3554">
        <v>4.7060589999999998</v>
      </c>
      <c r="E3554">
        <v>0.47731810000000002</v>
      </c>
      <c r="F3554" t="s">
        <v>42</v>
      </c>
      <c r="G3554">
        <v>-253.01769999999999</v>
      </c>
      <c r="H3554" s="1">
        <v>-3.173262E-6</v>
      </c>
      <c r="I3554">
        <v>140.35130000000001</v>
      </c>
      <c r="J3554">
        <v>-238.0027</v>
      </c>
      <c r="K3554">
        <v>1.109505</v>
      </c>
      <c r="L3554">
        <v>140.3554</v>
      </c>
      <c r="M3554">
        <v>-0.99992080000000005</v>
      </c>
      <c r="N3554">
        <v>0</v>
      </c>
      <c r="O3554">
        <v>3.8634849999999998E-3</v>
      </c>
      <c r="P3554">
        <v>-0.99787119999999996</v>
      </c>
      <c r="Q3554">
        <v>1.1855600000000001E-2</v>
      </c>
      <c r="R3554">
        <v>6.413046E-2</v>
      </c>
      <c r="S3554">
        <v>-3.0090479999999999</v>
      </c>
      <c r="T3554">
        <v>-0.2197115</v>
      </c>
      <c r="U3554">
        <v>-5.4931640000000002E-4</v>
      </c>
      <c r="V3554">
        <v>6.0291600000000001E-2</v>
      </c>
      <c r="W3554">
        <v>2.3772209999999998E-2</v>
      </c>
      <c r="X3554">
        <v>0.9978977</v>
      </c>
      <c r="Y3554">
        <v>-4.0253140000000003E-3</v>
      </c>
      <c r="Z3554">
        <v>-4.2850739999999998E-4</v>
      </c>
      <c r="AA3554">
        <v>0.99999179999999999</v>
      </c>
      <c r="AB3554">
        <v>19</v>
      </c>
      <c r="AC3554">
        <v>-15.014999999999899</v>
      </c>
      <c r="AD3554">
        <v>-1.109508173262</v>
      </c>
      <c r="AE3554">
        <v>-4.0999999999939904E-3</v>
      </c>
      <c r="AF3554">
        <v>-6.1777042033227599E-2</v>
      </c>
      <c r="AG3554">
        <v>-1.109508173262</v>
      </c>
      <c r="AH3554">
        <v>14.933332768062799</v>
      </c>
      <c r="AI3554">
        <v>94.249085603074207</v>
      </c>
      <c r="AJ3554">
        <v>90.237023017095893</v>
      </c>
      <c r="AK3554">
        <v>14.9746202740222</v>
      </c>
      <c r="AL3554">
        <v>88.637824388422104</v>
      </c>
      <c r="AM3554">
        <v>86.542471225373802</v>
      </c>
      <c r="AN3554">
        <v>1.0000000073320601</v>
      </c>
    </row>
    <row r="3555" spans="1:40" x14ac:dyDescent="0.25">
      <c r="A3555" t="str">
        <f>"20190312154627133"</f>
        <v>20190312154627133</v>
      </c>
      <c r="B3555" t="str">
        <f>"1552376787120839"</f>
        <v>1552376787120839</v>
      </c>
      <c r="C3555" t="s">
        <v>40</v>
      </c>
      <c r="D3555">
        <v>4.7356879999999997</v>
      </c>
      <c r="E3555">
        <v>0.47710459999999899</v>
      </c>
      <c r="F3555" t="s">
        <v>42</v>
      </c>
      <c r="G3555">
        <v>-253.43010000000001</v>
      </c>
      <c r="H3555" s="1">
        <v>-2.9969879999999999E-6</v>
      </c>
      <c r="I3555">
        <v>140.3537</v>
      </c>
      <c r="J3555">
        <v>-238.1883</v>
      </c>
      <c r="K3555">
        <v>1.1094900000000001</v>
      </c>
      <c r="L3555">
        <v>140.35679999999999</v>
      </c>
      <c r="M3555">
        <v>-0.99992130000000001</v>
      </c>
      <c r="N3555">
        <v>0</v>
      </c>
      <c r="O3555">
        <v>4.4234809999999999E-3</v>
      </c>
      <c r="P3555">
        <v>-0.99783860000000002</v>
      </c>
      <c r="Q3555">
        <v>1.245447E-2</v>
      </c>
      <c r="R3555">
        <v>6.4524390000000001E-2</v>
      </c>
      <c r="S3555">
        <v>-3.0089869999999999</v>
      </c>
      <c r="T3555">
        <v>-0.21640010000000001</v>
      </c>
      <c r="U3555">
        <v>-3.2043460000000002E-4</v>
      </c>
      <c r="V3555">
        <v>6.0126270000000002E-2</v>
      </c>
      <c r="W3555">
        <v>2.413117E-2</v>
      </c>
      <c r="X3555">
        <v>0.99789910000000004</v>
      </c>
      <c r="Y3555">
        <v>-4.507212E-3</v>
      </c>
      <c r="Z3555">
        <v>-4.7960420000000003E-4</v>
      </c>
      <c r="AA3555">
        <v>0.99998969999999998</v>
      </c>
      <c r="AB3555">
        <v>19</v>
      </c>
      <c r="AC3555">
        <v>-15.2418</v>
      </c>
      <c r="AD3555">
        <v>-1.1094929969880001</v>
      </c>
      <c r="AE3555">
        <v>-3.0999999999892199E-3</v>
      </c>
      <c r="AF3555">
        <v>-7.0154694217130498E-2</v>
      </c>
      <c r="AG3555">
        <v>-1.1094929969880001</v>
      </c>
      <c r="AH3555">
        <v>15.161300618130999</v>
      </c>
      <c r="AI3555">
        <v>94.185358401840205</v>
      </c>
      <c r="AJ3555">
        <v>90.265118363218804</v>
      </c>
      <c r="AK3555">
        <v>15.202004237100599</v>
      </c>
      <c r="AL3555">
        <v>88.617251649357797</v>
      </c>
      <c r="AM3555">
        <v>86.551934286984604</v>
      </c>
      <c r="AN3555">
        <v>1.00000004774524</v>
      </c>
    </row>
    <row r="3556" spans="1:40" x14ac:dyDescent="0.25">
      <c r="A3556" t="str">
        <f>"20190312154627155"</f>
        <v>20190312154627155</v>
      </c>
      <c r="B3556" t="str">
        <f>"1552376787151094"</f>
        <v>1552376787151094</v>
      </c>
      <c r="C3556" t="s">
        <v>40</v>
      </c>
      <c r="D3556">
        <v>4.7301739999999999</v>
      </c>
      <c r="E3556">
        <v>0.4769138</v>
      </c>
      <c r="F3556" t="s">
        <v>42</v>
      </c>
      <c r="G3556">
        <v>-253.98750000000001</v>
      </c>
      <c r="H3556" s="1">
        <v>-2.7578149999999999E-6</v>
      </c>
      <c r="I3556">
        <v>140.3535</v>
      </c>
      <c r="J3556">
        <v>-238.37889999999999</v>
      </c>
      <c r="K3556">
        <v>1.1094759999999999</v>
      </c>
      <c r="L3556">
        <v>140.35830000000001</v>
      </c>
      <c r="M3556">
        <v>-0.99992170000000002</v>
      </c>
      <c r="N3556">
        <v>0</v>
      </c>
      <c r="O3556">
        <v>4.9460930000000004E-3</v>
      </c>
      <c r="P3556">
        <v>-0.99779949999999995</v>
      </c>
      <c r="Q3556">
        <v>1.2274709999999999E-2</v>
      </c>
      <c r="R3556">
        <v>6.5159709999999996E-2</v>
      </c>
      <c r="S3556">
        <v>-3.0091709999999998</v>
      </c>
      <c r="T3556">
        <v>-0.2113177</v>
      </c>
      <c r="U3556">
        <v>-6.256104E-4</v>
      </c>
      <c r="V3556">
        <v>6.0238470000000002E-2</v>
      </c>
      <c r="W3556">
        <v>2.3706419999999999E-2</v>
      </c>
      <c r="X3556">
        <v>0.99790250000000003</v>
      </c>
      <c r="Y3556">
        <v>-5.1295050000000003E-3</v>
      </c>
      <c r="Z3556">
        <v>-5.2681899999999999E-4</v>
      </c>
      <c r="AA3556">
        <v>0.99998670000000001</v>
      </c>
      <c r="AB3556">
        <v>19</v>
      </c>
      <c r="AC3556">
        <v>-15.608599999999999</v>
      </c>
      <c r="AD3556">
        <v>-1.109478757815</v>
      </c>
      <c r="AE3556">
        <v>-4.8000000000172297E-3</v>
      </c>
      <c r="AF3556">
        <v>-8.1594370223530999E-2</v>
      </c>
      <c r="AG3556">
        <v>-1.109478757815</v>
      </c>
      <c r="AH3556">
        <v>15.529919716620601</v>
      </c>
      <c r="AI3556">
        <v>94.086290215650905</v>
      </c>
      <c r="AJ3556">
        <v>90.301029890335201</v>
      </c>
      <c r="AK3556">
        <v>15.5697144212723</v>
      </c>
      <c r="AL3556">
        <v>88.641594975973007</v>
      </c>
      <c r="AM3556">
        <v>86.545527253976303</v>
      </c>
      <c r="AN3556">
        <v>1.0000000335617001</v>
      </c>
    </row>
    <row r="3557" spans="1:40" x14ac:dyDescent="0.25">
      <c r="A3557" t="str">
        <f>"20190312154627179"</f>
        <v>20190312154627179</v>
      </c>
      <c r="B3557" t="str">
        <f>"1552376787170614"</f>
        <v>1552376787170614</v>
      </c>
      <c r="C3557" t="s">
        <v>40</v>
      </c>
      <c r="D3557">
        <v>4.703436</v>
      </c>
      <c r="E3557">
        <v>0.4768715</v>
      </c>
      <c r="F3557" t="s">
        <v>42</v>
      </c>
      <c r="G3557">
        <v>-254.35919999999999</v>
      </c>
      <c r="H3557" s="1">
        <v>-2.5991140000000002E-6</v>
      </c>
      <c r="I3557">
        <v>140.3562</v>
      </c>
      <c r="J3557">
        <v>-238.57689999999999</v>
      </c>
      <c r="K3557">
        <v>1.1094809999999999</v>
      </c>
      <c r="L3557">
        <v>140.35990000000001</v>
      </c>
      <c r="M3557">
        <v>-0.99992210000000004</v>
      </c>
      <c r="N3557">
        <v>0</v>
      </c>
      <c r="O3557">
        <v>5.4288790000000002E-3</v>
      </c>
      <c r="P3557">
        <v>-0.99776390000000004</v>
      </c>
      <c r="Q3557">
        <v>1.1763559999999999E-2</v>
      </c>
      <c r="R3557">
        <v>6.5796770000000004E-2</v>
      </c>
      <c r="S3557">
        <v>-3.0091860000000001</v>
      </c>
      <c r="T3557">
        <v>-0.20892240000000001</v>
      </c>
      <c r="U3557">
        <v>-3.8146970000000002E-4</v>
      </c>
      <c r="V3557">
        <v>6.039154E-2</v>
      </c>
      <c r="W3557">
        <v>2.2957519999999999E-2</v>
      </c>
      <c r="X3557">
        <v>0.99791070000000004</v>
      </c>
      <c r="Y3557">
        <v>-5.5296080000000001E-3</v>
      </c>
      <c r="Z3557">
        <v>-5.6821129999999999E-4</v>
      </c>
      <c r="AA3557">
        <v>0.9999846</v>
      </c>
      <c r="AB3557">
        <v>19</v>
      </c>
      <c r="AC3557">
        <v>-15.7822999999999</v>
      </c>
      <c r="AD3557">
        <v>-1.109483599114</v>
      </c>
      <c r="AE3557">
        <v>-3.70000000000914E-3</v>
      </c>
      <c r="AF3557">
        <v>-8.8945985176446599E-2</v>
      </c>
      <c r="AG3557">
        <v>-1.109483599114</v>
      </c>
      <c r="AH3557">
        <v>15.704436265495399</v>
      </c>
      <c r="AI3557">
        <v>94.0410409011442</v>
      </c>
      <c r="AJ3557">
        <v>90.324505444051795</v>
      </c>
      <c r="AK3557">
        <v>15.743830018835601</v>
      </c>
      <c r="AL3557">
        <v>88.6845153925604</v>
      </c>
      <c r="AM3557">
        <v>86.536798933489706</v>
      </c>
      <c r="AN3557">
        <v>0.99999997550130504</v>
      </c>
    </row>
    <row r="3558" spans="1:40" x14ac:dyDescent="0.25">
      <c r="A3558" t="str">
        <f>"20190312154627200"</f>
        <v>20190312154627200</v>
      </c>
      <c r="B3558" t="str">
        <f>"1552376787191110"</f>
        <v>1552376787191110</v>
      </c>
      <c r="C3558" t="s">
        <v>40</v>
      </c>
      <c r="D3558">
        <v>4.7147110000000003</v>
      </c>
      <c r="E3558">
        <v>0.4766745</v>
      </c>
      <c r="F3558" t="s">
        <v>42</v>
      </c>
      <c r="G3558">
        <v>-254.47300000000001</v>
      </c>
      <c r="H3558" s="1">
        <v>-2.5532450000000001E-6</v>
      </c>
      <c r="I3558">
        <v>140.3673</v>
      </c>
      <c r="J3558">
        <v>-238.76179999999999</v>
      </c>
      <c r="K3558">
        <v>1.109497</v>
      </c>
      <c r="L3558">
        <v>140.3614</v>
      </c>
      <c r="M3558">
        <v>-0.99992210000000004</v>
      </c>
      <c r="N3558">
        <v>0</v>
      </c>
      <c r="O3558">
        <v>5.8201520000000003E-3</v>
      </c>
      <c r="P3558">
        <v>-0.99775729999999996</v>
      </c>
      <c r="Q3558">
        <v>1.1876930000000001E-2</v>
      </c>
      <c r="R3558">
        <v>6.5873730000000005E-2</v>
      </c>
      <c r="S3558">
        <v>-3.009109</v>
      </c>
      <c r="T3558">
        <v>-0.21002480000000001</v>
      </c>
      <c r="U3558">
        <v>1.419067E-3</v>
      </c>
      <c r="V3558">
        <v>6.007564E-2</v>
      </c>
      <c r="W3558">
        <v>2.2875530000000002E-2</v>
      </c>
      <c r="X3558">
        <v>0.99793169999999998</v>
      </c>
      <c r="Y3558">
        <v>-5.321816E-3</v>
      </c>
      <c r="Z3558">
        <v>-5.9125059999999997E-4</v>
      </c>
      <c r="AA3558">
        <v>0.99998560000000003</v>
      </c>
      <c r="AB3558">
        <v>19</v>
      </c>
      <c r="AC3558">
        <v>-15.7111999999999</v>
      </c>
      <c r="AD3558">
        <v>-1.109499553245</v>
      </c>
      <c r="AE3558">
        <v>5.8999999999968999E-3</v>
      </c>
      <c r="AF3558">
        <v>-8.5122743492429501E-2</v>
      </c>
      <c r="AG3558">
        <v>-1.109499553245</v>
      </c>
      <c r="AH3558">
        <v>15.6330070945532</v>
      </c>
      <c r="AI3558">
        <v>94.059506428074997</v>
      </c>
      <c r="AJ3558">
        <v>90.311976174089196</v>
      </c>
      <c r="AK3558">
        <v>15.672560287281099</v>
      </c>
      <c r="AL3558">
        <v>88.689214372722404</v>
      </c>
      <c r="AM3558">
        <v>86.554943047259599</v>
      </c>
      <c r="AN3558">
        <v>1.00000002512953</v>
      </c>
    </row>
    <row r="3559" spans="1:40" x14ac:dyDescent="0.25">
      <c r="A3559" t="str">
        <f>"20190312154627223"</f>
        <v>20190312154627223</v>
      </c>
      <c r="B3559" t="str">
        <f>"1552376787210630"</f>
        <v>1552376787210630</v>
      </c>
      <c r="C3559" t="s">
        <v>40</v>
      </c>
      <c r="D3559">
        <v>4.6831290000000001</v>
      </c>
      <c r="E3559">
        <v>0.47636060000000002</v>
      </c>
      <c r="F3559" t="s">
        <v>42</v>
      </c>
      <c r="G3559">
        <v>-254.73609999999999</v>
      </c>
      <c r="H3559" s="1">
        <v>-2.4388120000000002E-6</v>
      </c>
      <c r="I3559">
        <v>140.36150000000001</v>
      </c>
      <c r="J3559">
        <v>-238.95760000000001</v>
      </c>
      <c r="K3559">
        <v>1.1095299999999999</v>
      </c>
      <c r="L3559">
        <v>140.363</v>
      </c>
      <c r="M3559">
        <v>-0.99992219999999998</v>
      </c>
      <c r="N3559">
        <v>0</v>
      </c>
      <c r="O3559">
        <v>6.1679789999999996E-3</v>
      </c>
      <c r="P3559">
        <v>-0.99774280000000004</v>
      </c>
      <c r="Q3559">
        <v>1.230404E-2</v>
      </c>
      <c r="R3559">
        <v>6.6015030000000002E-2</v>
      </c>
      <c r="S3559">
        <v>-3.0092469999999998</v>
      </c>
      <c r="T3559">
        <v>-0.20900869999999999</v>
      </c>
      <c r="U3559" s="1">
        <v>3.0517579999999999E-5</v>
      </c>
      <c r="V3559">
        <v>5.9867280000000002E-2</v>
      </c>
      <c r="W3559">
        <v>2.3121030000000001E-2</v>
      </c>
      <c r="X3559">
        <v>0.99793849999999995</v>
      </c>
      <c r="Y3559">
        <v>-6.1285769999999996E-3</v>
      </c>
      <c r="Z3559">
        <v>-6.4048329999999995E-4</v>
      </c>
      <c r="AA3559">
        <v>0.99998100000000001</v>
      </c>
      <c r="AB3559">
        <v>19</v>
      </c>
      <c r="AC3559">
        <v>-15.7784999999999</v>
      </c>
      <c r="AD3559">
        <v>-1.10953243881199</v>
      </c>
      <c r="AE3559">
        <v>-1.4999999999929499E-3</v>
      </c>
      <c r="AF3559">
        <v>-9.8340872912004801E-2</v>
      </c>
      <c r="AG3559">
        <v>-1.10953243881199</v>
      </c>
      <c r="AH3559">
        <v>15.7005544968035</v>
      </c>
      <c r="AI3559">
        <v>94.0421996190003</v>
      </c>
      <c r="AJ3559">
        <v>90.358869063529397</v>
      </c>
      <c r="AK3559">
        <v>15.740017301996801</v>
      </c>
      <c r="AL3559">
        <v>88.675144453464895</v>
      </c>
      <c r="AM3559">
        <v>86.566886227778099</v>
      </c>
      <c r="AN3559">
        <v>0.99999996151255299</v>
      </c>
    </row>
    <row r="3560" spans="1:40" x14ac:dyDescent="0.25">
      <c r="A3560" t="str">
        <f>"20190312154627248"</f>
        <v>20190312154627248</v>
      </c>
      <c r="B3560" t="str">
        <f>"1552376787240886"</f>
        <v>1552376787240886</v>
      </c>
      <c r="C3560" t="s">
        <v>40</v>
      </c>
      <c r="D3560">
        <v>4.6313789999999999</v>
      </c>
      <c r="E3560">
        <v>0.47599419999999998</v>
      </c>
      <c r="F3560" t="s">
        <v>42</v>
      </c>
      <c r="G3560">
        <v>-254.87970000000001</v>
      </c>
      <c r="H3560" s="1">
        <v>-2.374559E-6</v>
      </c>
      <c r="I3560">
        <v>140.35149999999999</v>
      </c>
      <c r="J3560">
        <v>-239.15889999999999</v>
      </c>
      <c r="K3560">
        <v>1.1095630000000001</v>
      </c>
      <c r="L3560">
        <v>140.3646</v>
      </c>
      <c r="M3560">
        <v>-0.99992230000000004</v>
      </c>
      <c r="N3560">
        <v>0</v>
      </c>
      <c r="O3560">
        <v>6.4406810000000002E-3</v>
      </c>
      <c r="P3560">
        <v>-0.99776379999999998</v>
      </c>
      <c r="Q3560">
        <v>1.269061E-2</v>
      </c>
      <c r="R3560">
        <v>6.5625359999999994E-2</v>
      </c>
      <c r="S3560">
        <v>-3.0095209999999999</v>
      </c>
      <c r="T3560">
        <v>-0.20971860000000001</v>
      </c>
      <c r="U3560">
        <v>-2.1514889999999999E-3</v>
      </c>
      <c r="V3560">
        <v>5.920276E-2</v>
      </c>
      <c r="W3560">
        <v>2.333793E-2</v>
      </c>
      <c r="X3560">
        <v>0.99797309999999995</v>
      </c>
      <c r="Y3560">
        <v>-7.123033E-3</v>
      </c>
      <c r="Z3560">
        <v>-6.9618269999999996E-4</v>
      </c>
      <c r="AA3560">
        <v>0.99997440000000004</v>
      </c>
      <c r="AB3560">
        <v>19</v>
      </c>
      <c r="AC3560">
        <v>-15.720800000000001</v>
      </c>
      <c r="AD3560">
        <v>-1.109565374559</v>
      </c>
      <c r="AE3560">
        <v>-1.3100000000008501E-2</v>
      </c>
      <c r="AF3560">
        <v>-0.113791307272762</v>
      </c>
      <c r="AG3560">
        <v>-1.109565374559</v>
      </c>
      <c r="AH3560">
        <v>15.6424672682182</v>
      </c>
      <c r="AI3560">
        <v>94.057252376421104</v>
      </c>
      <c r="AJ3560">
        <v>90.416791452300501</v>
      </c>
      <c r="AK3560">
        <v>15.682183075685201</v>
      </c>
      <c r="AL3560">
        <v>88.662713651447405</v>
      </c>
      <c r="AM3560">
        <v>86.605021196113896</v>
      </c>
      <c r="AN3560">
        <v>0.99999996704595495</v>
      </c>
    </row>
    <row r="3561" spans="1:40" x14ac:dyDescent="0.25">
      <c r="A3561" t="str">
        <f>"20190312154627271"</f>
        <v>20190312154627271</v>
      </c>
      <c r="B3561" t="str">
        <f>"1552376787261382"</f>
        <v>1552376787261382</v>
      </c>
      <c r="C3561" t="s">
        <v>40</v>
      </c>
      <c r="D3561">
        <v>4.625712</v>
      </c>
      <c r="E3561">
        <v>0.47583209999999998</v>
      </c>
      <c r="F3561" t="s">
        <v>42</v>
      </c>
      <c r="G3561">
        <v>-255.02699999999999</v>
      </c>
      <c r="H3561" s="1">
        <v>-2.306037E-6</v>
      </c>
      <c r="I3561">
        <v>140.33150000000001</v>
      </c>
      <c r="J3561">
        <v>-239.36240000000001</v>
      </c>
      <c r="K3561">
        <v>1.1095980000000001</v>
      </c>
      <c r="L3561">
        <v>140.36619999999999</v>
      </c>
      <c r="M3561">
        <v>-0.99992270000000005</v>
      </c>
      <c r="N3561">
        <v>0</v>
      </c>
      <c r="O3561">
        <v>6.6369150000000002E-3</v>
      </c>
      <c r="P3561">
        <v>-0.99776399999999998</v>
      </c>
      <c r="Q3561">
        <v>1.3023389999999999E-2</v>
      </c>
      <c r="R3561">
        <v>6.5555719999999998E-2</v>
      </c>
      <c r="S3561">
        <v>-3.009811</v>
      </c>
      <c r="T3561">
        <v>-0.21046019999999999</v>
      </c>
      <c r="U3561">
        <v>-6.2713619999999999E-3</v>
      </c>
      <c r="V3561">
        <v>5.8934750000000001E-2</v>
      </c>
      <c r="W3561">
        <v>2.351193E-2</v>
      </c>
      <c r="X3561">
        <v>0.99798489999999995</v>
      </c>
      <c r="Y3561">
        <v>-8.6834479999999999E-3</v>
      </c>
      <c r="Z3561">
        <v>-7.6676509999999904E-4</v>
      </c>
      <c r="AA3561">
        <v>0.99996200000000002</v>
      </c>
      <c r="AB3561">
        <v>19</v>
      </c>
      <c r="AC3561">
        <v>-15.6646</v>
      </c>
      <c r="AD3561">
        <v>-1.1096003060370001</v>
      </c>
      <c r="AE3561">
        <v>-3.4699999999986603E-2</v>
      </c>
      <c r="AF3561">
        <v>-0.137977292211864</v>
      </c>
      <c r="AG3561">
        <v>-1.1096003060370001</v>
      </c>
      <c r="AH3561">
        <v>15.5858218797991</v>
      </c>
      <c r="AI3561">
        <v>94.072024732360205</v>
      </c>
      <c r="AJ3561">
        <v>90.507211622317897</v>
      </c>
      <c r="AK3561">
        <v>15.6258789909927</v>
      </c>
      <c r="AL3561">
        <v>88.6527414774813</v>
      </c>
      <c r="AM3561">
        <v>86.620394376305597</v>
      </c>
      <c r="AN3561">
        <v>0.99999998811894797</v>
      </c>
    </row>
    <row r="3562" spans="1:40" x14ac:dyDescent="0.25">
      <c r="A3562" t="str">
        <f>"20190312154627292"</f>
        <v>20190312154627292</v>
      </c>
      <c r="B3562" t="str">
        <f>"1552376787280902"</f>
        <v>1552376787280902</v>
      </c>
      <c r="C3562" t="s">
        <v>40</v>
      </c>
      <c r="D3562">
        <v>4.617572</v>
      </c>
      <c r="E3562">
        <v>0.47570319999999999</v>
      </c>
      <c r="F3562" t="s">
        <v>42</v>
      </c>
      <c r="G3562">
        <v>-255.41030000000001</v>
      </c>
      <c r="H3562" s="1">
        <v>-2.1396639999999999E-6</v>
      </c>
      <c r="I3562">
        <v>140.32429999999999</v>
      </c>
      <c r="J3562">
        <v>-239.5504</v>
      </c>
      <c r="K3562">
        <v>1.1096189999999999</v>
      </c>
      <c r="L3562">
        <v>140.36760000000001</v>
      </c>
      <c r="M3562">
        <v>-0.99992329999999996</v>
      </c>
      <c r="N3562">
        <v>0</v>
      </c>
      <c r="O3562">
        <v>6.7610969999999998E-3</v>
      </c>
      <c r="P3562">
        <v>-0.99780829999999998</v>
      </c>
      <c r="Q3562">
        <v>1.313607E-2</v>
      </c>
      <c r="R3562">
        <v>6.4857269999999995E-2</v>
      </c>
      <c r="S3562">
        <v>-3.0099490000000002</v>
      </c>
      <c r="T3562">
        <v>-0.20811650000000001</v>
      </c>
      <c r="U3562">
        <v>-7.8430180000000002E-3</v>
      </c>
      <c r="V3562">
        <v>5.8110490000000001E-2</v>
      </c>
      <c r="W3562">
        <v>2.3493819999999999E-2</v>
      </c>
      <c r="X3562">
        <v>0.99803370000000002</v>
      </c>
      <c r="Y3562">
        <v>-9.3286549999999999E-3</v>
      </c>
      <c r="Z3562">
        <v>-7.8906709999999999E-4</v>
      </c>
      <c r="AA3562">
        <v>0.99995619999999996</v>
      </c>
      <c r="AB3562">
        <v>19</v>
      </c>
      <c r="AC3562">
        <v>-15.8599</v>
      </c>
      <c r="AD3562">
        <v>-1.1096211396639999</v>
      </c>
      <c r="AE3562">
        <v>-4.3300000000016298E-2</v>
      </c>
      <c r="AF3562">
        <v>-0.14980183881266401</v>
      </c>
      <c r="AG3562">
        <v>-1.1096211396639999</v>
      </c>
      <c r="AH3562">
        <v>15.781993144312199</v>
      </c>
      <c r="AI3562">
        <v>94.021628062443895</v>
      </c>
      <c r="AJ3562">
        <v>90.543832156981196</v>
      </c>
      <c r="AK3562">
        <v>15.821662595050499</v>
      </c>
      <c r="AL3562">
        <v>88.653779443763895</v>
      </c>
      <c r="AM3562">
        <v>86.667716757556605</v>
      </c>
      <c r="AN3562">
        <v>1.00000002748096</v>
      </c>
    </row>
    <row r="3563" spans="1:40" x14ac:dyDescent="0.25">
      <c r="A3563" t="str">
        <f>"20190312154627314"</f>
        <v>20190312154627314</v>
      </c>
      <c r="B3563" t="str">
        <f>"1552376787300422"</f>
        <v>1552376787300422</v>
      </c>
      <c r="C3563" t="s">
        <v>40</v>
      </c>
      <c r="D3563">
        <v>4.5963770000000004</v>
      </c>
      <c r="E3563">
        <v>0.47557569999999999</v>
      </c>
      <c r="F3563" t="s">
        <v>42</v>
      </c>
      <c r="G3563">
        <v>-255.6977</v>
      </c>
      <c r="H3563" s="1">
        <v>-2.0124980000000002E-6</v>
      </c>
      <c r="I3563">
        <v>140.30969999999999</v>
      </c>
      <c r="J3563">
        <v>-239.7398</v>
      </c>
      <c r="K3563">
        <v>1.109634</v>
      </c>
      <c r="L3563">
        <v>140.369</v>
      </c>
      <c r="M3563">
        <v>-0.99992409999999998</v>
      </c>
      <c r="N3563">
        <v>0</v>
      </c>
      <c r="O3563">
        <v>6.8370159999999996E-3</v>
      </c>
      <c r="P3563">
        <v>-0.99784280000000003</v>
      </c>
      <c r="Q3563">
        <v>1.248379E-2</v>
      </c>
      <c r="R3563">
        <v>6.4453170000000004E-2</v>
      </c>
      <c r="S3563">
        <v>-3.0100250000000002</v>
      </c>
      <c r="T3563">
        <v>-0.2068448</v>
      </c>
      <c r="U3563">
        <v>-1.077271E-2</v>
      </c>
      <c r="V3563">
        <v>5.7628869999999999E-2</v>
      </c>
      <c r="W3563">
        <v>2.272679E-2</v>
      </c>
      <c r="X3563">
        <v>0.99807939999999995</v>
      </c>
      <c r="Y3563">
        <v>-1.0375570000000001E-2</v>
      </c>
      <c r="Z3563">
        <v>-8.2537559999999895E-4</v>
      </c>
      <c r="AA3563">
        <v>0.9999458</v>
      </c>
      <c r="AB3563">
        <v>19</v>
      </c>
      <c r="AC3563">
        <v>-15.957899999999899</v>
      </c>
      <c r="AD3563">
        <v>-1.109636012498</v>
      </c>
      <c r="AE3563">
        <v>-5.9300000000007402E-2</v>
      </c>
      <c r="AF3563">
        <v>-0.167598410987986</v>
      </c>
      <c r="AG3563">
        <v>-1.109636012498</v>
      </c>
      <c r="AH3563">
        <v>15.8803388266252</v>
      </c>
      <c r="AI3563">
        <v>93.996814405758201</v>
      </c>
      <c r="AJ3563">
        <v>90.604667520327894</v>
      </c>
      <c r="AK3563">
        <v>15.9199416630847</v>
      </c>
      <c r="AL3563">
        <v>88.697738783829905</v>
      </c>
      <c r="AM3563">
        <v>86.695424250191806</v>
      </c>
      <c r="AN3563">
        <v>1.0000000411727601</v>
      </c>
    </row>
    <row r="3564" spans="1:40" x14ac:dyDescent="0.25">
      <c r="A3564" t="str">
        <f>"20190312154627335"</f>
        <v>20190312154627335</v>
      </c>
      <c r="B3564" t="str">
        <f>"1552376787320918"</f>
        <v>1552376787320918</v>
      </c>
      <c r="C3564" t="s">
        <v>40</v>
      </c>
      <c r="D3564">
        <v>4.5597200000000004</v>
      </c>
      <c r="E3564">
        <v>0.47549249999999998</v>
      </c>
      <c r="F3564" t="s">
        <v>42</v>
      </c>
      <c r="G3564">
        <v>-255.78880000000001</v>
      </c>
      <c r="H3564" s="1">
        <v>-1.9708120000000002E-6</v>
      </c>
      <c r="I3564">
        <v>140.29990000000001</v>
      </c>
      <c r="J3564">
        <v>-239.9212</v>
      </c>
      <c r="K3564">
        <v>1.10964</v>
      </c>
      <c r="L3564">
        <v>140.37029999999999</v>
      </c>
      <c r="M3564">
        <v>-0.99992479999999995</v>
      </c>
      <c r="N3564">
        <v>0</v>
      </c>
      <c r="O3564">
        <v>6.8709599999999997E-3</v>
      </c>
      <c r="P3564">
        <v>-0.99783670000000002</v>
      </c>
      <c r="Q3564">
        <v>1.2371429999999999E-2</v>
      </c>
      <c r="R3564">
        <v>6.4567390000000002E-2</v>
      </c>
      <c r="S3564">
        <v>-3.0099330000000002</v>
      </c>
      <c r="T3564">
        <v>-0.20810909999999999</v>
      </c>
      <c r="U3564">
        <v>-1.2954709999999999E-2</v>
      </c>
      <c r="V3564">
        <v>5.7708570000000001E-2</v>
      </c>
      <c r="W3564">
        <v>2.2517510000000001E-2</v>
      </c>
      <c r="X3564">
        <v>0.99807950000000001</v>
      </c>
      <c r="Y3564">
        <v>-1.1132120000000001E-2</v>
      </c>
      <c r="Z3564">
        <v>-8.5889940000000002E-4</v>
      </c>
      <c r="AA3564">
        <v>0.99993770000000004</v>
      </c>
      <c r="AB3564">
        <v>19</v>
      </c>
      <c r="AC3564">
        <v>-15.867599999999999</v>
      </c>
      <c r="AD3564">
        <v>-1.109641970812</v>
      </c>
      <c r="AE3564">
        <v>-7.0399999999977994E-2</v>
      </c>
      <c r="AF3564">
        <v>-0.178556415357879</v>
      </c>
      <c r="AG3564">
        <v>-1.109641970812</v>
      </c>
      <c r="AH3564">
        <v>15.7895262808397</v>
      </c>
      <c r="AI3564">
        <v>94.019715174555301</v>
      </c>
      <c r="AJ3564">
        <v>90.647903727636404</v>
      </c>
      <c r="AK3564">
        <v>15.829476550732201</v>
      </c>
      <c r="AL3564">
        <v>88.709732664002601</v>
      </c>
      <c r="AM3564">
        <v>86.690864543785807</v>
      </c>
      <c r="AN3564">
        <v>1.00000000281414</v>
      </c>
    </row>
    <row r="3565" spans="1:40" x14ac:dyDescent="0.25">
      <c r="A3565" t="str">
        <f>"20190312154627358"</f>
        <v>20190312154627358</v>
      </c>
      <c r="B3565" t="str">
        <f>"1552376787351174"</f>
        <v>1552376787351174</v>
      </c>
      <c r="C3565" t="s">
        <v>40</v>
      </c>
      <c r="D3565">
        <v>4.5617939999999999</v>
      </c>
      <c r="E3565">
        <v>0.47534270000000001</v>
      </c>
      <c r="F3565" t="s">
        <v>42</v>
      </c>
      <c r="G3565">
        <v>-255.99260000000001</v>
      </c>
      <c r="H3565" s="1">
        <v>-1.88402E-6</v>
      </c>
      <c r="I3565">
        <v>140.3022</v>
      </c>
      <c r="J3565">
        <v>-240.1317</v>
      </c>
      <c r="K3565">
        <v>1.109648</v>
      </c>
      <c r="L3565">
        <v>140.37180000000001</v>
      </c>
      <c r="M3565">
        <v>-0.99992590000000003</v>
      </c>
      <c r="N3565">
        <v>0</v>
      </c>
      <c r="O3565">
        <v>6.8773749999999998E-3</v>
      </c>
      <c r="P3565">
        <v>-0.99784300000000004</v>
      </c>
      <c r="Q3565">
        <v>1.2879959999999999E-2</v>
      </c>
      <c r="R3565">
        <v>6.4370720000000006E-2</v>
      </c>
      <c r="S3565">
        <v>-3.009903</v>
      </c>
      <c r="T3565">
        <v>-0.20781839999999999</v>
      </c>
      <c r="U3565">
        <v>-1.274109E-2</v>
      </c>
      <c r="V3565">
        <v>5.7504720000000002E-2</v>
      </c>
      <c r="W3565">
        <v>2.2921770000000001E-2</v>
      </c>
      <c r="X3565">
        <v>0.99808200000000002</v>
      </c>
      <c r="Y3565">
        <v>-1.1067860000000001E-2</v>
      </c>
      <c r="Z3565">
        <v>-8.5593720000000004E-4</v>
      </c>
      <c r="AA3565">
        <v>0.99993840000000001</v>
      </c>
      <c r="AB3565">
        <v>19</v>
      </c>
      <c r="AC3565">
        <v>-15.860900000000001</v>
      </c>
      <c r="AD3565">
        <v>-1.10964988402</v>
      </c>
      <c r="AE3565">
        <v>-6.9600000000008294E-2</v>
      </c>
      <c r="AF3565">
        <v>-0.17781490011993201</v>
      </c>
      <c r="AG3565">
        <v>-1.10964988402</v>
      </c>
      <c r="AH3565">
        <v>15.7827973420577</v>
      </c>
      <c r="AI3565">
        <v>94.021453835229906</v>
      </c>
      <c r="AJ3565">
        <v>90.645488379740399</v>
      </c>
      <c r="AK3565">
        <v>15.822756806077599</v>
      </c>
      <c r="AL3565">
        <v>88.686564208646104</v>
      </c>
      <c r="AM3565">
        <v>86.702536149537806</v>
      </c>
      <c r="AN3565">
        <v>0.99999993954310296</v>
      </c>
    </row>
    <row r="3566" spans="1:40" x14ac:dyDescent="0.25">
      <c r="A3566" t="str">
        <f>"20190312154627379"</f>
        <v>20190312154627379</v>
      </c>
      <c r="B3566" t="str">
        <f>"1552376787370694"</f>
        <v>1552376787370694</v>
      </c>
      <c r="C3566" t="s">
        <v>40</v>
      </c>
      <c r="D3566">
        <v>4.5583039999999997</v>
      </c>
      <c r="E3566">
        <v>0.47526400000000002</v>
      </c>
      <c r="F3566" t="s">
        <v>42</v>
      </c>
      <c r="G3566">
        <v>-256.45010000000002</v>
      </c>
      <c r="H3566" s="1">
        <v>-1.6856630000000001E-6</v>
      </c>
      <c r="I3566">
        <v>140.2944</v>
      </c>
      <c r="J3566">
        <v>-240.30719999999999</v>
      </c>
      <c r="K3566">
        <v>1.109645</v>
      </c>
      <c r="L3566">
        <v>140.37299999999999</v>
      </c>
      <c r="M3566">
        <v>-0.99992669999999995</v>
      </c>
      <c r="N3566">
        <v>0</v>
      </c>
      <c r="O3566">
        <v>6.867873E-3</v>
      </c>
      <c r="P3566">
        <v>-0.99784079999999997</v>
      </c>
      <c r="Q3566">
        <v>1.3035400000000001E-2</v>
      </c>
      <c r="R3566">
        <v>6.4375299999999996E-2</v>
      </c>
      <c r="S3566">
        <v>-3.01004</v>
      </c>
      <c r="T3566">
        <v>-0.20468249999999999</v>
      </c>
      <c r="U3566">
        <v>-1.4251710000000001E-2</v>
      </c>
      <c r="V3566">
        <v>5.7518670000000001E-2</v>
      </c>
      <c r="W3566">
        <v>2.2988979999999999E-2</v>
      </c>
      <c r="X3566">
        <v>0.99807970000000001</v>
      </c>
      <c r="Y3566">
        <v>-1.156014E-2</v>
      </c>
      <c r="Z3566">
        <v>-8.5908449999999895E-4</v>
      </c>
      <c r="AA3566">
        <v>0.99993279999999995</v>
      </c>
      <c r="AB3566">
        <v>19</v>
      </c>
      <c r="AC3566">
        <v>-16.142900000000001</v>
      </c>
      <c r="AD3566">
        <v>-1.1096466856630001</v>
      </c>
      <c r="AE3566">
        <v>-7.8599999999994397E-2</v>
      </c>
      <c r="AF3566">
        <v>-0.188580016452601</v>
      </c>
      <c r="AG3566">
        <v>-1.1096466856630001</v>
      </c>
      <c r="AH3566">
        <v>16.066068242453301</v>
      </c>
      <c r="AI3566">
        <v>93.950742907487793</v>
      </c>
      <c r="AJ3566">
        <v>90.672494521187602</v>
      </c>
      <c r="AK3566">
        <v>16.105447120796601</v>
      </c>
      <c r="AL3566">
        <v>88.682712409329795</v>
      </c>
      <c r="AM3566">
        <v>86.701730403790805</v>
      </c>
      <c r="AN3566">
        <v>0.99999998907604903</v>
      </c>
    </row>
    <row r="3567" spans="1:40" x14ac:dyDescent="0.25">
      <c r="A3567" t="str">
        <f>"20190312154627401"</f>
        <v>20190312154627401</v>
      </c>
      <c r="B3567" t="str">
        <f>"1552376787391190"</f>
        <v>1552376787391190</v>
      </c>
      <c r="C3567" t="s">
        <v>40</v>
      </c>
      <c r="D3567">
        <v>4.5148479999999998</v>
      </c>
      <c r="E3567">
        <v>0.47529090000000002</v>
      </c>
      <c r="F3567" t="s">
        <v>42</v>
      </c>
      <c r="G3567">
        <v>-256.71640000000002</v>
      </c>
      <c r="H3567" s="1">
        <v>-1.571241E-6</v>
      </c>
      <c r="I3567">
        <v>140.2937</v>
      </c>
      <c r="J3567">
        <v>-240.50659999999999</v>
      </c>
      <c r="K3567">
        <v>1.1096189999999999</v>
      </c>
      <c r="L3567">
        <v>140.37440000000001</v>
      </c>
      <c r="M3567">
        <v>-0.99992809999999999</v>
      </c>
      <c r="N3567">
        <v>0</v>
      </c>
      <c r="O3567">
        <v>6.8531869999999898E-3</v>
      </c>
      <c r="P3567">
        <v>-0.99791470000000004</v>
      </c>
      <c r="Q3567">
        <v>1.3136449999999999E-2</v>
      </c>
      <c r="R3567">
        <v>6.3195009999999996E-2</v>
      </c>
      <c r="S3567">
        <v>-3.0100709999999999</v>
      </c>
      <c r="T3567">
        <v>-0.20355129999999999</v>
      </c>
      <c r="U3567">
        <v>-1.452637E-2</v>
      </c>
      <c r="V3567">
        <v>5.6352340000000001E-2</v>
      </c>
      <c r="W3567">
        <v>2.2974680000000001E-2</v>
      </c>
      <c r="X3567">
        <v>0.99814659999999999</v>
      </c>
      <c r="Y3567">
        <v>-1.163696E-2</v>
      </c>
      <c r="Z3567">
        <v>-8.5594070000000004E-4</v>
      </c>
      <c r="AA3567">
        <v>0.99993189999999998</v>
      </c>
      <c r="AB3567">
        <v>19</v>
      </c>
      <c r="AC3567">
        <v>-16.209800000000001</v>
      </c>
      <c r="AD3567">
        <v>-1.1096205712409899</v>
      </c>
      <c r="AE3567">
        <v>-8.0700000000007294E-2</v>
      </c>
      <c r="AF3567">
        <v>-0.190897766966213</v>
      </c>
      <c r="AG3567">
        <v>-1.1096205712409899</v>
      </c>
      <c r="AH3567">
        <v>16.133269095000301</v>
      </c>
      <c r="AI3567">
        <v>93.934241754814096</v>
      </c>
      <c r="AJ3567">
        <v>90.677923729351093</v>
      </c>
      <c r="AK3567">
        <v>16.172509745282198</v>
      </c>
      <c r="AL3567">
        <v>88.683532007506898</v>
      </c>
      <c r="AM3567">
        <v>86.7686837152674</v>
      </c>
      <c r="AN3567">
        <v>1.0000000286180599</v>
      </c>
    </row>
    <row r="3568" spans="1:40" x14ac:dyDescent="0.25">
      <c r="A3568" t="str">
        <f>"20190312154627425"</f>
        <v>20190312154627425</v>
      </c>
      <c r="B3568" t="str">
        <f>"1552376787410710"</f>
        <v>1552376787410710</v>
      </c>
      <c r="C3568" t="s">
        <v>40</v>
      </c>
      <c r="D3568">
        <v>4.5297799999999997</v>
      </c>
      <c r="E3568">
        <v>0.4815564</v>
      </c>
      <c r="F3568" t="s">
        <v>42</v>
      </c>
      <c r="G3568">
        <v>-257.00830000000002</v>
      </c>
      <c r="H3568" s="1">
        <v>-1.441803E-6</v>
      </c>
      <c r="I3568">
        <v>140.27780000000001</v>
      </c>
      <c r="J3568">
        <v>-240.7046</v>
      </c>
      <c r="K3568">
        <v>1.109594</v>
      </c>
      <c r="L3568">
        <v>140.37569999999999</v>
      </c>
      <c r="M3568">
        <v>-0.99992950000000003</v>
      </c>
      <c r="N3568">
        <v>0</v>
      </c>
      <c r="O3568">
        <v>6.8406229999999997E-3</v>
      </c>
      <c r="P3568">
        <v>-0.99799130000000003</v>
      </c>
      <c r="Q3568">
        <v>1.329909E-2</v>
      </c>
      <c r="R3568">
        <v>6.1942289999999997E-2</v>
      </c>
      <c r="S3568">
        <v>-3.0100560000000001</v>
      </c>
      <c r="T3568">
        <v>-0.2024058</v>
      </c>
      <c r="U3568">
        <v>-1.7593379999999999E-2</v>
      </c>
      <c r="V3568">
        <v>5.5112080000000001E-2</v>
      </c>
      <c r="W3568">
        <v>2.3003280000000001E-2</v>
      </c>
      <c r="X3568">
        <v>0.99821510000000002</v>
      </c>
      <c r="Y3568">
        <v>-1.264147E-2</v>
      </c>
      <c r="Z3568">
        <v>-8.840276E-4</v>
      </c>
      <c r="AA3568">
        <v>0.99991969999999997</v>
      </c>
      <c r="AB3568">
        <v>20</v>
      </c>
      <c r="AC3568">
        <v>-16.303699999999999</v>
      </c>
      <c r="AD3568">
        <v>-1.1095954418030001</v>
      </c>
      <c r="AE3568">
        <v>-9.7899999999981405E-2</v>
      </c>
      <c r="AF3568">
        <v>-0.208464878983323</v>
      </c>
      <c r="AG3568">
        <v>-1.1095954418030001</v>
      </c>
      <c r="AH3568">
        <v>16.227487762245101</v>
      </c>
      <c r="AI3568">
        <v>93.911333124488607</v>
      </c>
      <c r="AJ3568">
        <v>90.736004299241799</v>
      </c>
      <c r="AK3568">
        <v>16.2667150563368</v>
      </c>
      <c r="AL3568">
        <v>88.681892797010306</v>
      </c>
      <c r="AM3568">
        <v>86.839872485943104</v>
      </c>
      <c r="AN3568">
        <v>0.99999993906034501</v>
      </c>
    </row>
    <row r="3569" spans="1:40" x14ac:dyDescent="0.25">
      <c r="A3569" t="str">
        <f>"20190312154627471"</f>
        <v>20190312154627471</v>
      </c>
      <c r="B3569" t="str">
        <f>"1552376787460486"</f>
        <v>1552376787460486</v>
      </c>
      <c r="C3569" t="s">
        <v>40</v>
      </c>
      <c r="D3569">
        <v>4.5198349999999996</v>
      </c>
      <c r="E3569">
        <v>0.48194169999999997</v>
      </c>
      <c r="F3569" t="s">
        <v>42</v>
      </c>
      <c r="G3569">
        <v>-270.66640000000001</v>
      </c>
      <c r="H3569" s="1">
        <v>-4.2413450000000001E-6</v>
      </c>
      <c r="I3569">
        <v>140.69919999999999</v>
      </c>
      <c r="J3569">
        <v>-241.11179999999999</v>
      </c>
      <c r="K3569">
        <v>1.109518</v>
      </c>
      <c r="L3569">
        <v>140.3784</v>
      </c>
      <c r="M3569">
        <v>-0.9999325</v>
      </c>
      <c r="N3569">
        <v>0</v>
      </c>
      <c r="O3569">
        <v>6.8355319999999897E-3</v>
      </c>
      <c r="P3569">
        <v>-0.99812730000000005</v>
      </c>
      <c r="Q3569">
        <v>1.525164E-2</v>
      </c>
      <c r="R3569">
        <v>5.9238819999999998E-2</v>
      </c>
      <c r="S3569">
        <v>-3.0055079999999998</v>
      </c>
      <c r="T3569">
        <v>-0.1113055</v>
      </c>
      <c r="U3569">
        <v>3.2455440000000002E-2</v>
      </c>
      <c r="V3569">
        <v>5.2413910000000001E-2</v>
      </c>
      <c r="W3569">
        <v>2.4627409999999999E-2</v>
      </c>
      <c r="X3569">
        <v>0.99832169999999998</v>
      </c>
      <c r="Y3569">
        <v>3.9643040000000001E-3</v>
      </c>
      <c r="Z3569">
        <v>-1.796798E-4</v>
      </c>
      <c r="AA3569">
        <v>0.99999210000000005</v>
      </c>
      <c r="AB3569">
        <v>20</v>
      </c>
      <c r="AC3569">
        <v>-29.554600000000001</v>
      </c>
      <c r="AD3569">
        <v>-1.1095222413449899</v>
      </c>
      <c r="AE3569">
        <v>0.32079999999999098</v>
      </c>
      <c r="AF3569">
        <v>0.11859505029746401</v>
      </c>
      <c r="AG3569">
        <v>-1.1095222413449899</v>
      </c>
      <c r="AH3569">
        <v>29.514510742418501</v>
      </c>
      <c r="AI3569">
        <v>92.152856579307695</v>
      </c>
      <c r="AJ3569">
        <v>89.769775642143301</v>
      </c>
      <c r="AK3569">
        <v>29.535596299284901</v>
      </c>
      <c r="AL3569">
        <v>88.588810632687995</v>
      </c>
      <c r="AM3569">
        <v>86.9946149840125</v>
      </c>
      <c r="AN3569">
        <v>0.99999997198784196</v>
      </c>
    </row>
    <row r="3570" spans="1:40" x14ac:dyDescent="0.25">
      <c r="A3570" t="str">
        <f>"20190312154627492"</f>
        <v>20190312154627492</v>
      </c>
      <c r="B3570" t="str">
        <f>"1552376787480982"</f>
        <v>1552376787480982</v>
      </c>
      <c r="C3570" t="s">
        <v>40</v>
      </c>
      <c r="D3570">
        <v>4.5185389999999996</v>
      </c>
      <c r="E3570">
        <v>0.48213230000000001</v>
      </c>
      <c r="F3570" t="s">
        <v>42</v>
      </c>
      <c r="G3570">
        <v>-276.08170000000001</v>
      </c>
      <c r="H3570" s="1">
        <v>-1.9510340000000001E-6</v>
      </c>
      <c r="I3570">
        <v>140.6978</v>
      </c>
      <c r="J3570">
        <v>-241.30719999999999</v>
      </c>
      <c r="K3570">
        <v>1.109483</v>
      </c>
      <c r="L3570">
        <v>140.37979999999999</v>
      </c>
      <c r="M3570">
        <v>-0.9999342</v>
      </c>
      <c r="N3570">
        <v>0</v>
      </c>
      <c r="O3570">
        <v>6.8443699999999998E-3</v>
      </c>
      <c r="P3570">
        <v>-0.99809020000000004</v>
      </c>
      <c r="Q3570">
        <v>1.6080710000000002E-2</v>
      </c>
      <c r="R3570">
        <v>5.9647699999999998E-2</v>
      </c>
      <c r="S3570">
        <v>-3.0054630000000002</v>
      </c>
      <c r="T3570">
        <v>-9.5356819999999995E-2</v>
      </c>
      <c r="U3570">
        <v>2.7450559999999999E-2</v>
      </c>
      <c r="V3570">
        <v>5.2814939999999998E-2</v>
      </c>
      <c r="W3570">
        <v>2.5285709999999999E-2</v>
      </c>
      <c r="X3570">
        <v>0.99828419999999896</v>
      </c>
      <c r="Y3570">
        <v>2.2908780000000001E-3</v>
      </c>
      <c r="Z3570">
        <v>-1.8077180000000001E-4</v>
      </c>
      <c r="AA3570">
        <v>0.99999740000000004</v>
      </c>
      <c r="AB3570">
        <v>20</v>
      </c>
      <c r="AC3570">
        <v>-34.774500000000003</v>
      </c>
      <c r="AD3570">
        <v>-1.1094849510339999</v>
      </c>
      <c r="AE3570">
        <v>0.318000000000012</v>
      </c>
      <c r="AF3570">
        <v>7.9891602125696098E-2</v>
      </c>
      <c r="AG3570">
        <v>-1.1094849510339999</v>
      </c>
      <c r="AH3570">
        <v>34.740501314324</v>
      </c>
      <c r="AI3570">
        <v>91.8291917529925</v>
      </c>
      <c r="AJ3570">
        <v>89.868238989710804</v>
      </c>
      <c r="AK3570">
        <v>34.758305066490401</v>
      </c>
      <c r="AL3570">
        <v>88.551081201976004</v>
      </c>
      <c r="AM3570">
        <v>86.971549235987297</v>
      </c>
      <c r="AN3570">
        <v>1.0000000644935201</v>
      </c>
    </row>
    <row r="3571" spans="1:40" x14ac:dyDescent="0.25">
      <c r="A3571" t="str">
        <f>"20190312154627515"</f>
        <v>20190312154627515</v>
      </c>
      <c r="B3571" t="str">
        <f>"1552376787500502"</f>
        <v>1552376787500502</v>
      </c>
      <c r="C3571" t="s">
        <v>40</v>
      </c>
      <c r="D3571">
        <v>4.504213</v>
      </c>
      <c r="E3571">
        <v>0.48210199999999997</v>
      </c>
      <c r="F3571" t="s">
        <v>42</v>
      </c>
      <c r="G3571">
        <v>-277.55509999999998</v>
      </c>
      <c r="H3571" s="1">
        <v>-1.331468E-6</v>
      </c>
      <c r="I3571">
        <v>140.7448</v>
      </c>
      <c r="J3571">
        <v>-241.50069999999999</v>
      </c>
      <c r="K3571">
        <v>1.1094440000000001</v>
      </c>
      <c r="L3571">
        <v>140.3811</v>
      </c>
      <c r="M3571">
        <v>-0.99993560000000004</v>
      </c>
      <c r="N3571">
        <v>0</v>
      </c>
      <c r="O3571">
        <v>6.8610839999999999E-3</v>
      </c>
      <c r="P3571">
        <v>-0.99804689999999996</v>
      </c>
      <c r="Q3571">
        <v>1.6613369999999999E-2</v>
      </c>
      <c r="R3571">
        <v>6.0221240000000002E-2</v>
      </c>
      <c r="S3571">
        <v>-3.0054319999999999</v>
      </c>
      <c r="T3571">
        <v>-9.1990950000000002E-2</v>
      </c>
      <c r="U3571">
        <v>3.0273439999999999E-2</v>
      </c>
      <c r="V3571">
        <v>5.3372589999999998E-2</v>
      </c>
      <c r="W3571">
        <v>2.5636550000000001E-2</v>
      </c>
      <c r="X3571">
        <v>0.99824550000000001</v>
      </c>
      <c r="Y3571">
        <v>3.2128510000000001E-3</v>
      </c>
      <c r="Z3571">
        <v>-1.607996E-4</v>
      </c>
      <c r="AA3571">
        <v>0.99999479999999996</v>
      </c>
      <c r="AB3571">
        <v>20</v>
      </c>
      <c r="AC3571">
        <v>-36.054400000000001</v>
      </c>
      <c r="AD3571">
        <v>-1.109445331468</v>
      </c>
      <c r="AE3571">
        <v>0.36369999999999397</v>
      </c>
      <c r="AF3571">
        <v>0.116199047874156</v>
      </c>
      <c r="AG3571">
        <v>-1.109445331468</v>
      </c>
      <c r="AH3571">
        <v>36.021941766629702</v>
      </c>
      <c r="AI3571">
        <v>91.764094702186298</v>
      </c>
      <c r="AJ3571">
        <v>89.815176761508397</v>
      </c>
      <c r="AK3571">
        <v>36.039210032972498</v>
      </c>
      <c r="AL3571">
        <v>88.530972897412994</v>
      </c>
      <c r="AM3571">
        <v>86.939515188857001</v>
      </c>
      <c r="AN3571">
        <v>0.99999997216472902</v>
      </c>
    </row>
    <row r="3572" spans="1:40" x14ac:dyDescent="0.25">
      <c r="A3572" t="str">
        <f>"20190312154627537"</f>
        <v>20190312154627537</v>
      </c>
      <c r="B3572" t="str">
        <f>"1552376787530759"</f>
        <v>1552376787530759</v>
      </c>
      <c r="C3572" t="s">
        <v>40</v>
      </c>
      <c r="D3572">
        <v>4.5745849999999999</v>
      </c>
      <c r="E3572">
        <v>0.48228680000000002</v>
      </c>
      <c r="F3572" t="s">
        <v>42</v>
      </c>
      <c r="G3572">
        <v>-278.5505</v>
      </c>
      <c r="H3572" s="1">
        <v>-9.1262959999999997E-7</v>
      </c>
      <c r="I3572">
        <v>140.77549999999999</v>
      </c>
      <c r="J3572">
        <v>-241.7064</v>
      </c>
      <c r="K3572">
        <v>1.1094010000000001</v>
      </c>
      <c r="L3572">
        <v>140.3826</v>
      </c>
      <c r="M3572">
        <v>-0.99993750000000003</v>
      </c>
      <c r="N3572">
        <v>0</v>
      </c>
      <c r="O3572">
        <v>6.8847869999999999E-3</v>
      </c>
      <c r="P3572">
        <v>-0.99797930000000001</v>
      </c>
      <c r="Q3572">
        <v>1.665343E-2</v>
      </c>
      <c r="R3572">
        <v>6.1320449999999999E-2</v>
      </c>
      <c r="S3572">
        <v>-3.0054470000000002</v>
      </c>
      <c r="T3572">
        <v>-8.9997289999999994E-2</v>
      </c>
      <c r="U3572">
        <v>3.1997680000000001E-2</v>
      </c>
      <c r="V3572">
        <v>5.4448879999999998E-2</v>
      </c>
      <c r="W3572">
        <v>2.5455889999999998E-2</v>
      </c>
      <c r="X3572">
        <v>0.99819199999999997</v>
      </c>
      <c r="Y3572">
        <v>3.762442E-3</v>
      </c>
      <c r="Z3572">
        <v>-1.497975E-4</v>
      </c>
      <c r="AA3572">
        <v>0.99999289999999996</v>
      </c>
      <c r="AB3572">
        <v>20</v>
      </c>
      <c r="AC3572">
        <v>-36.844099999999997</v>
      </c>
      <c r="AD3572">
        <v>-1.1094019126296</v>
      </c>
      <c r="AE3572">
        <v>0.39289999999999697</v>
      </c>
      <c r="AF3572">
        <v>0.13909097133449499</v>
      </c>
      <c r="AG3572">
        <v>-1.1094019126296</v>
      </c>
      <c r="AH3572">
        <v>36.812559364290998</v>
      </c>
      <c r="AI3572">
        <v>91.7261598352503</v>
      </c>
      <c r="AJ3572">
        <v>89.783517151741606</v>
      </c>
      <c r="AK3572">
        <v>36.829534966538702</v>
      </c>
      <c r="AL3572">
        <v>88.541327337894998</v>
      </c>
      <c r="AM3572">
        <v>86.877752582041296</v>
      </c>
      <c r="AN3572">
        <v>0.99999997586647205</v>
      </c>
    </row>
    <row r="3573" spans="1:40" x14ac:dyDescent="0.25">
      <c r="A3573" t="str">
        <f>"20190312154627560"</f>
        <v>20190312154627560</v>
      </c>
      <c r="B3573" t="str">
        <f>"1552376787551254"</f>
        <v>1552376787551254</v>
      </c>
      <c r="C3573" t="s">
        <v>40</v>
      </c>
      <c r="D3573">
        <v>4.5669190000000004</v>
      </c>
      <c r="E3573">
        <v>0.482269</v>
      </c>
      <c r="F3573" t="s">
        <v>52</v>
      </c>
      <c r="G3573">
        <v>-280.72609999999997</v>
      </c>
      <c r="H3573" s="1">
        <v>-4.3432750000000004E-6</v>
      </c>
      <c r="I3573">
        <v>140.864</v>
      </c>
      <c r="J3573">
        <v>-241.90309999999999</v>
      </c>
      <c r="K3573">
        <v>1.109362</v>
      </c>
      <c r="L3573">
        <v>140.38390000000001</v>
      </c>
      <c r="M3573">
        <v>-0.99993929999999998</v>
      </c>
      <c r="N3573">
        <v>0</v>
      </c>
      <c r="O3573">
        <v>6.9110539999999998E-3</v>
      </c>
      <c r="P3573">
        <v>-0.99792400000000003</v>
      </c>
      <c r="Q3573">
        <v>1.7416069999999999E-2</v>
      </c>
      <c r="R3573">
        <v>6.200555E-2</v>
      </c>
      <c r="S3573">
        <v>-3.005188</v>
      </c>
      <c r="T3573">
        <v>-8.5443379999999999E-2</v>
      </c>
      <c r="U3573">
        <v>3.7078859999999998E-2</v>
      </c>
      <c r="V3573">
        <v>5.5108629999999999E-2</v>
      </c>
      <c r="W3573">
        <v>2.5986909999999998E-2</v>
      </c>
      <c r="X3573">
        <v>0.99814210000000003</v>
      </c>
      <c r="Y3573">
        <v>5.4268659999999998E-3</v>
      </c>
      <c r="Z3573">
        <v>-1.193219E-4</v>
      </c>
      <c r="AA3573">
        <v>0.99998529999999997</v>
      </c>
      <c r="AB3573">
        <v>20</v>
      </c>
      <c r="AC3573">
        <v>-38.822999999999901</v>
      </c>
      <c r="AD3573">
        <v>-1.1093663432750001</v>
      </c>
      <c r="AE3573">
        <v>0.48009999999999298</v>
      </c>
      <c r="AF3573">
        <v>0.21159805576007401</v>
      </c>
      <c r="AG3573">
        <v>-1.1093663432750001</v>
      </c>
      <c r="AH3573">
        <v>38.793719528544102</v>
      </c>
      <c r="AI3573">
        <v>91.637990575396998</v>
      </c>
      <c r="AJ3573">
        <v>89.6874866481607</v>
      </c>
      <c r="AK3573">
        <v>38.810155143726703</v>
      </c>
      <c r="AL3573">
        <v>88.510892048046401</v>
      </c>
      <c r="AM3573">
        <v>86.839839272215102</v>
      </c>
      <c r="AN3573">
        <v>0.99999996619211695</v>
      </c>
    </row>
    <row r="3574" spans="1:40" x14ac:dyDescent="0.25">
      <c r="A3574" t="str">
        <f>"20190312154627602"</f>
        <v>20190312154627602</v>
      </c>
      <c r="B3574" t="str">
        <f>"1552376787591270"</f>
        <v>1552376787591270</v>
      </c>
      <c r="C3574" t="s">
        <v>40</v>
      </c>
      <c r="D3574">
        <v>4.6210100000000001</v>
      </c>
      <c r="E3574">
        <v>0.46475880000000003</v>
      </c>
      <c r="F3574" t="s">
        <v>52</v>
      </c>
      <c r="G3574">
        <v>-281.3886</v>
      </c>
      <c r="H3574" s="1">
        <v>-4.647461E-6</v>
      </c>
      <c r="I3574">
        <v>140.89609999999999</v>
      </c>
      <c r="J3574">
        <v>-242.29599999999999</v>
      </c>
      <c r="K3574">
        <v>1.1092799999999901</v>
      </c>
      <c r="L3574">
        <v>140.38669999999999</v>
      </c>
      <c r="M3574">
        <v>-0.99994300000000003</v>
      </c>
      <c r="N3574">
        <v>0</v>
      </c>
      <c r="O3574">
        <v>6.9640250000000004E-3</v>
      </c>
      <c r="P3574">
        <v>-0.99789919999999999</v>
      </c>
      <c r="Q3574">
        <v>1.9264799999999999E-2</v>
      </c>
      <c r="R3574">
        <v>6.1856649999999999E-2</v>
      </c>
      <c r="S3574">
        <v>-3.0052949999999998</v>
      </c>
      <c r="T3574">
        <v>-8.4435460000000004E-2</v>
      </c>
      <c r="U3574">
        <v>3.898621E-2</v>
      </c>
      <c r="V3574">
        <v>5.4907310000000001E-2</v>
      </c>
      <c r="W3574">
        <v>2.7351609999999998E-2</v>
      </c>
      <c r="X3574">
        <v>0.99811680000000003</v>
      </c>
      <c r="Y3574">
        <v>6.0078110000000001E-3</v>
      </c>
      <c r="Z3574">
        <v>-1.1123819999999999E-4</v>
      </c>
      <c r="AA3574">
        <v>0.99998189999999998</v>
      </c>
      <c r="AB3574">
        <v>20</v>
      </c>
      <c r="AC3574">
        <v>-39.092599999999997</v>
      </c>
      <c r="AD3574">
        <v>-1.1092846474610001</v>
      </c>
      <c r="AE3574">
        <v>0.50939999999999896</v>
      </c>
      <c r="AF3574">
        <v>0.23694613312156099</v>
      </c>
      <c r="AG3574">
        <v>-1.1092846474610001</v>
      </c>
      <c r="AH3574">
        <v>39.063751272492702</v>
      </c>
      <c r="AI3574">
        <v>91.626548470806</v>
      </c>
      <c r="AJ3574">
        <v>89.652469451452802</v>
      </c>
      <c r="AK3574">
        <v>39.080216470463299</v>
      </c>
      <c r="AL3574">
        <v>88.432672774960494</v>
      </c>
      <c r="AM3574">
        <v>86.851280886762396</v>
      </c>
      <c r="AN3574">
        <v>1.00000003485163</v>
      </c>
    </row>
    <row r="3575" spans="1:40" x14ac:dyDescent="0.25">
      <c r="A3575" t="str">
        <f>"20190312154627625"</f>
        <v>20190312154627625</v>
      </c>
      <c r="B3575" t="str">
        <f>"1552376787620549"</f>
        <v>1552376787620549</v>
      </c>
      <c r="C3575" t="s">
        <v>40</v>
      </c>
      <c r="D3575">
        <v>4.5388260000000002</v>
      </c>
      <c r="E3575">
        <v>0.40163179999999998</v>
      </c>
      <c r="F3575" t="s">
        <v>42</v>
      </c>
      <c r="G3575">
        <v>-335.71809999999999</v>
      </c>
      <c r="H3575" s="1">
        <v>-2.4131240000000001E-6</v>
      </c>
      <c r="I3575">
        <v>137.31290000000001</v>
      </c>
      <c r="J3575">
        <v>-242.49510000000001</v>
      </c>
      <c r="K3575">
        <v>1.109243</v>
      </c>
      <c r="L3575">
        <v>140.38810000000001</v>
      </c>
      <c r="M3575">
        <v>-0.99994470000000002</v>
      </c>
      <c r="N3575">
        <v>0</v>
      </c>
      <c r="O3575">
        <v>6.9885390000000002E-3</v>
      </c>
      <c r="P3575">
        <v>-0.99791439999999998</v>
      </c>
      <c r="Q3575">
        <v>2.0082099999999999E-2</v>
      </c>
      <c r="R3575">
        <v>6.1350080000000001E-2</v>
      </c>
      <c r="S3575">
        <v>-3.013153</v>
      </c>
      <c r="T3575">
        <v>-3.577781E-2</v>
      </c>
      <c r="U3575">
        <v>-9.9136349999999998E-2</v>
      </c>
      <c r="V3575">
        <v>5.437649E-2</v>
      </c>
      <c r="W3575">
        <v>2.792884E-2</v>
      </c>
      <c r="X3575">
        <v>0.99812979999999996</v>
      </c>
      <c r="Y3575">
        <v>-3.9864280000000002E-2</v>
      </c>
      <c r="Z3575">
        <v>-3.1955949999999998E-4</v>
      </c>
      <c r="AA3575">
        <v>0.99920509999999996</v>
      </c>
      <c r="AB3575">
        <v>20</v>
      </c>
      <c r="AC3575">
        <v>-93.2229999999999</v>
      </c>
      <c r="AD3575">
        <v>-1.1092454131239999</v>
      </c>
      <c r="AE3575">
        <v>-3.0751999999999899</v>
      </c>
      <c r="AF3575">
        <v>-3.7261106098151502</v>
      </c>
      <c r="AG3575">
        <v>-1.1092454131239999</v>
      </c>
      <c r="AH3575">
        <v>93.186052362697495</v>
      </c>
      <c r="AI3575">
        <v>90.681446823189205</v>
      </c>
      <c r="AJ3575">
        <v>92.289792681795703</v>
      </c>
      <c r="AK3575">
        <v>93.2671146793259</v>
      </c>
      <c r="AL3575">
        <v>88.399587172581704</v>
      </c>
      <c r="AM3575">
        <v>86.881701499638496</v>
      </c>
      <c r="AN3575">
        <v>0.99999996020825199</v>
      </c>
    </row>
    <row r="3576" spans="1:40" x14ac:dyDescent="0.25">
      <c r="A3576" t="str">
        <f>"20190312154627647"</f>
        <v>20190312154627647</v>
      </c>
      <c r="B3576" t="str">
        <f>"1552376787641046"</f>
        <v>1552376787641046</v>
      </c>
      <c r="C3576" t="s">
        <v>40</v>
      </c>
      <c r="D3576">
        <v>4.5230009999999998</v>
      </c>
      <c r="E3576">
        <v>0.39279439999999999</v>
      </c>
      <c r="F3576" t="s">
        <v>42</v>
      </c>
      <c r="G3576">
        <v>-277.71510000000001</v>
      </c>
      <c r="H3576" s="1">
        <v>-2.423034E-6</v>
      </c>
      <c r="I3576">
        <v>133.3794</v>
      </c>
      <c r="J3576">
        <v>-242.7097</v>
      </c>
      <c r="K3576">
        <v>1.109202</v>
      </c>
      <c r="L3576">
        <v>140.3896</v>
      </c>
      <c r="M3576">
        <v>-0.99994649999999996</v>
      </c>
      <c r="N3576">
        <v>0</v>
      </c>
      <c r="O3576">
        <v>7.012753E-3</v>
      </c>
      <c r="P3576">
        <v>-0.99792570000000003</v>
      </c>
      <c r="Q3576">
        <v>2.1039260000000001E-2</v>
      </c>
      <c r="R3576">
        <v>6.0840320000000003E-2</v>
      </c>
      <c r="S3576">
        <v>-3.045471</v>
      </c>
      <c r="T3576">
        <v>-9.5916390000000004E-2</v>
      </c>
      <c r="U3576">
        <v>-0.6060333</v>
      </c>
      <c r="V3576">
        <v>5.3842420000000002E-2</v>
      </c>
      <c r="W3576">
        <v>2.8622359999999999E-2</v>
      </c>
      <c r="X3576">
        <v>0.99813909999999995</v>
      </c>
      <c r="Y3576">
        <v>-0.2019418</v>
      </c>
      <c r="Z3576">
        <v>-3.3671339999999999E-3</v>
      </c>
      <c r="AA3576">
        <v>0.97939180000000003</v>
      </c>
      <c r="AB3576">
        <v>20</v>
      </c>
      <c r="AC3576">
        <v>-35.005400000000002</v>
      </c>
      <c r="AD3576">
        <v>-1.1092044230339999</v>
      </c>
      <c r="AE3576">
        <v>-7.0101999999999904</v>
      </c>
      <c r="AF3576">
        <v>-7.2485217105082702</v>
      </c>
      <c r="AG3576">
        <v>-1.1092044230339999</v>
      </c>
      <c r="AH3576">
        <v>34.921665993581499</v>
      </c>
      <c r="AI3576">
        <v>91.781311276046495</v>
      </c>
      <c r="AJ3576">
        <v>101.726101025839</v>
      </c>
      <c r="AK3576">
        <v>35.683247570912897</v>
      </c>
      <c r="AL3576">
        <v>88.359835497429998</v>
      </c>
      <c r="AM3576">
        <v>86.912297672802794</v>
      </c>
      <c r="AN3576">
        <v>0.99999995431611599</v>
      </c>
    </row>
    <row r="3577" spans="1:40" x14ac:dyDescent="0.25">
      <c r="A3577" t="str">
        <f>"20190312154627671"</f>
        <v>20190312154627671</v>
      </c>
      <c r="B3577" t="str">
        <f>"1552376787660566"</f>
        <v>1552376787660566</v>
      </c>
      <c r="C3577" t="s">
        <v>40</v>
      </c>
      <c r="D3577">
        <v>4.4821269999999904</v>
      </c>
      <c r="E3577">
        <v>0.38987139999999998</v>
      </c>
      <c r="F3577" t="s">
        <v>52</v>
      </c>
      <c r="G3577">
        <v>-289.28309999999999</v>
      </c>
      <c r="H3577" s="1">
        <v>-5.1340679999999996E-6</v>
      </c>
      <c r="I3577">
        <v>130.04399999999899</v>
      </c>
      <c r="J3577">
        <v>-242.9229</v>
      </c>
      <c r="K3577">
        <v>1.10917</v>
      </c>
      <c r="L3577">
        <v>140.39109999999999</v>
      </c>
      <c r="M3577">
        <v>-0.99994839999999996</v>
      </c>
      <c r="N3577">
        <v>0</v>
      </c>
      <c r="O3577">
        <v>7.0351930000000003E-3</v>
      </c>
      <c r="P3577">
        <v>-0.99795820000000002</v>
      </c>
      <c r="Q3577">
        <v>2.1452229999999999E-2</v>
      </c>
      <c r="R3577">
        <v>6.016138E-2</v>
      </c>
      <c r="S3577">
        <v>-3.0490719999999998</v>
      </c>
      <c r="T3577">
        <v>-7.2617769999999998E-2</v>
      </c>
      <c r="U3577">
        <v>-0.67730709999999905</v>
      </c>
      <c r="V3577">
        <v>5.3140739999999999E-2</v>
      </c>
      <c r="W3577">
        <v>2.877298E-2</v>
      </c>
      <c r="X3577">
        <v>0.99817239999999996</v>
      </c>
      <c r="Y3577">
        <v>-0.22364999999999999</v>
      </c>
      <c r="Z3577">
        <v>-2.7963829999999999E-3</v>
      </c>
      <c r="AA3577">
        <v>0.97466549999999996</v>
      </c>
      <c r="AB3577">
        <v>21</v>
      </c>
      <c r="AC3577">
        <v>-46.360199999999899</v>
      </c>
      <c r="AD3577">
        <v>-1.1091751340680001</v>
      </c>
      <c r="AE3577">
        <v>-10.347099999999999</v>
      </c>
      <c r="AF3577">
        <v>-10.6671893267419</v>
      </c>
      <c r="AG3577">
        <v>-1.1091751340680001</v>
      </c>
      <c r="AH3577">
        <v>46.261032914550697</v>
      </c>
      <c r="AI3577">
        <v>91.338379029416402</v>
      </c>
      <c r="AJ3577">
        <v>102.984699180037</v>
      </c>
      <c r="AK3577">
        <v>47.487918083779299</v>
      </c>
      <c r="AL3577">
        <v>88.351202095545304</v>
      </c>
      <c r="AM3577">
        <v>86.952562055776099</v>
      </c>
      <c r="AN3577">
        <v>0.99999998137379298</v>
      </c>
    </row>
    <row r="3578" spans="1:40" x14ac:dyDescent="0.25">
      <c r="A3578" t="str">
        <f>"20190312154627693"</f>
        <v>20190312154627693</v>
      </c>
      <c r="B3578" t="str">
        <f>"1552376787681063"</f>
        <v>1552376787681063</v>
      </c>
      <c r="C3578" t="s">
        <v>40</v>
      </c>
      <c r="D3578">
        <v>4.4527010000000002</v>
      </c>
      <c r="E3578">
        <v>0.38804319999999998</v>
      </c>
      <c r="F3578" t="s">
        <v>52</v>
      </c>
      <c r="G3578">
        <v>-289.21600000000001</v>
      </c>
      <c r="H3578" s="1">
        <v>-4.9671159999999999E-6</v>
      </c>
      <c r="I3578">
        <v>129.72460000000001</v>
      </c>
      <c r="J3578">
        <v>-243.131</v>
      </c>
      <c r="K3578">
        <v>1.109143</v>
      </c>
      <c r="L3578">
        <v>140.39259999999999</v>
      </c>
      <c r="M3578">
        <v>-0.99995020000000001</v>
      </c>
      <c r="N3578">
        <v>0</v>
      </c>
      <c r="O3578">
        <v>7.0561240000000004E-3</v>
      </c>
      <c r="P3578">
        <v>-0.99795290000000003</v>
      </c>
      <c r="Q3578">
        <v>2.2319519999999999E-2</v>
      </c>
      <c r="R3578">
        <v>5.9934040000000001E-2</v>
      </c>
      <c r="S3578">
        <v>-3.0500790000000002</v>
      </c>
      <c r="T3578">
        <v>-7.3079350000000001E-2</v>
      </c>
      <c r="U3578">
        <v>-0.70277400000000001</v>
      </c>
      <c r="V3578">
        <v>5.2892620000000001E-2</v>
      </c>
      <c r="W3578">
        <v>2.9389740000000001E-2</v>
      </c>
      <c r="X3578">
        <v>0.99816760000000004</v>
      </c>
      <c r="Y3578">
        <v>-0.23133429999999999</v>
      </c>
      <c r="Z3578">
        <v>-2.9020399999999998E-3</v>
      </c>
      <c r="AA3578">
        <v>0.97287000000000001</v>
      </c>
      <c r="AB3578">
        <v>21</v>
      </c>
      <c r="AC3578">
        <v>-46.085000000000001</v>
      </c>
      <c r="AD3578">
        <v>-1.1091479671160001</v>
      </c>
      <c r="AE3578">
        <v>-10.6679999999999</v>
      </c>
      <c r="AF3578">
        <v>-10.986883598749699</v>
      </c>
      <c r="AG3578">
        <v>-1.1091479671160001</v>
      </c>
      <c r="AH3578">
        <v>45.983295302899201</v>
      </c>
      <c r="AI3578">
        <v>91.343930131495</v>
      </c>
      <c r="AJ3578">
        <v>103.437863472987</v>
      </c>
      <c r="AK3578">
        <v>47.2906467215142</v>
      </c>
      <c r="AL3578">
        <v>88.3158493808549</v>
      </c>
      <c r="AM3578">
        <v>86.966749689259601</v>
      </c>
      <c r="AN3578">
        <v>0.99999997187874501</v>
      </c>
    </row>
    <row r="3579" spans="1:40" x14ac:dyDescent="0.25">
      <c r="A3579" t="str">
        <f>"20190312154627736"</f>
        <v>20190312154627736</v>
      </c>
      <c r="B3579" t="str">
        <f>"1552376787730839"</f>
        <v>1552376787730839</v>
      </c>
      <c r="C3579" t="s">
        <v>40</v>
      </c>
      <c r="D3579">
        <v>4.4367660000000004</v>
      </c>
      <c r="E3579">
        <v>0.38659100000000002</v>
      </c>
      <c r="F3579" t="s">
        <v>52</v>
      </c>
      <c r="G3579">
        <v>-291.40789999999998</v>
      </c>
      <c r="H3579" s="1">
        <v>-5.1005620000000001E-6</v>
      </c>
      <c r="I3579">
        <v>129.03049999999999</v>
      </c>
      <c r="J3579">
        <v>-243.54140000000001</v>
      </c>
      <c r="K3579">
        <v>1.1090819999999999</v>
      </c>
      <c r="L3579">
        <v>140.3956</v>
      </c>
      <c r="M3579">
        <v>-0.99995299999999998</v>
      </c>
      <c r="N3579">
        <v>0</v>
      </c>
      <c r="O3579">
        <v>7.0962069999999898E-3</v>
      </c>
      <c r="P3579">
        <v>-0.99790449999999997</v>
      </c>
      <c r="Q3579">
        <v>2.295782E-2</v>
      </c>
      <c r="R3579">
        <v>6.0495409999999999E-2</v>
      </c>
      <c r="S3579">
        <v>-3.050827</v>
      </c>
      <c r="T3579">
        <v>-7.0091959999999995E-2</v>
      </c>
      <c r="U3579">
        <v>-0.71801759999999903</v>
      </c>
      <c r="V3579">
        <v>5.3414509999999998E-2</v>
      </c>
      <c r="W3579">
        <v>2.9546559999999999E-2</v>
      </c>
      <c r="X3579">
        <v>0.9981352</v>
      </c>
      <c r="Y3579">
        <v>-0.23593359999999999</v>
      </c>
      <c r="Z3579">
        <v>-2.8342440000000001E-3</v>
      </c>
      <c r="AA3579">
        <v>0.97176499999999999</v>
      </c>
      <c r="AB3579">
        <v>21</v>
      </c>
      <c r="AC3579">
        <v>-47.866499999999903</v>
      </c>
      <c r="AD3579">
        <v>-1.109087100562</v>
      </c>
      <c r="AE3579">
        <v>-11.3651</v>
      </c>
      <c r="AF3579">
        <v>-11.698546425381799</v>
      </c>
      <c r="AG3579">
        <v>-1.109087100562</v>
      </c>
      <c r="AH3579">
        <v>47.760371204245899</v>
      </c>
      <c r="AI3579">
        <v>91.292095684271303</v>
      </c>
      <c r="AJ3579">
        <v>103.763194617572</v>
      </c>
      <c r="AK3579">
        <v>49.184744791762498</v>
      </c>
      <c r="AL3579">
        <v>88.306860388942695</v>
      </c>
      <c r="AM3579">
        <v>86.936778169494104</v>
      </c>
      <c r="AN3579">
        <v>0.99999999328270595</v>
      </c>
    </row>
    <row r="3580" spans="1:40" x14ac:dyDescent="0.25">
      <c r="A3580" t="str">
        <f>"20190312154627758"</f>
        <v>20190312154627758</v>
      </c>
      <c r="B3580" t="str">
        <f>"1552376787751335"</f>
        <v>1552376787751335</v>
      </c>
      <c r="C3580" t="s">
        <v>40</v>
      </c>
      <c r="D3580">
        <v>4.4382549999999998</v>
      </c>
      <c r="E3580">
        <v>0.38635809999999998</v>
      </c>
      <c r="F3580" t="s">
        <v>52</v>
      </c>
      <c r="G3580">
        <v>-285.81790000000001</v>
      </c>
      <c r="H3580" s="1">
        <v>-2.8704219999999998E-6</v>
      </c>
      <c r="I3580">
        <v>130.30779999999999</v>
      </c>
      <c r="J3580">
        <v>-243.7465</v>
      </c>
      <c r="K3580">
        <v>1.109057</v>
      </c>
      <c r="L3580">
        <v>140.39699999999999</v>
      </c>
      <c r="M3580">
        <v>-0.99995429999999996</v>
      </c>
      <c r="N3580">
        <v>0</v>
      </c>
      <c r="O3580">
        <v>7.1161319999999998E-3</v>
      </c>
      <c r="P3580">
        <v>-0.99789620000000001</v>
      </c>
      <c r="Q3580">
        <v>2.2764969999999999E-2</v>
      </c>
      <c r="R3580">
        <v>6.0705589999999997E-2</v>
      </c>
      <c r="S3580">
        <v>-3.0522770000000001</v>
      </c>
      <c r="T3580">
        <v>-8.0073599999999995E-2</v>
      </c>
      <c r="U3580">
        <v>-0.72831729999999995</v>
      </c>
      <c r="V3580">
        <v>5.3604819999999997E-2</v>
      </c>
      <c r="W3580">
        <v>2.9127119999999999E-2</v>
      </c>
      <c r="X3580">
        <v>0.99813739999999995</v>
      </c>
      <c r="Y3580">
        <v>-0.23893439999999999</v>
      </c>
      <c r="Z3580">
        <v>-3.2743260000000001E-3</v>
      </c>
      <c r="AA3580">
        <v>0.97103019999999995</v>
      </c>
      <c r="AB3580">
        <v>21</v>
      </c>
      <c r="AC3580">
        <v>-42.071399999999997</v>
      </c>
      <c r="AD3580">
        <v>-1.109059870422</v>
      </c>
      <c r="AE3580">
        <v>-10.0892</v>
      </c>
      <c r="AF3580">
        <v>-10.381514256354899</v>
      </c>
      <c r="AG3580">
        <v>-1.109059870422</v>
      </c>
      <c r="AH3580">
        <v>41.970956761426201</v>
      </c>
      <c r="AI3580">
        <v>91.469395107782802</v>
      </c>
      <c r="AJ3580">
        <v>103.893249748174</v>
      </c>
      <c r="AK3580">
        <v>43.250052757431298</v>
      </c>
      <c r="AL3580">
        <v>88.330903003369599</v>
      </c>
      <c r="AM3580">
        <v>86.925891907190106</v>
      </c>
      <c r="AN3580">
        <v>1.0000000675627401</v>
      </c>
    </row>
    <row r="3581" spans="1:40" x14ac:dyDescent="0.25">
      <c r="A3581" t="str">
        <f>"20190312154627782"</f>
        <v>20190312154627782</v>
      </c>
      <c r="B3581" t="str">
        <f>"1552376787771830"</f>
        <v>1552376787771830</v>
      </c>
      <c r="C3581" t="s">
        <v>40</v>
      </c>
      <c r="D3581">
        <v>4.3295669999999999</v>
      </c>
      <c r="E3581">
        <v>0.38622780000000001</v>
      </c>
      <c r="F3581" t="s">
        <v>52</v>
      </c>
      <c r="G3581">
        <v>-283.33109999999999</v>
      </c>
      <c r="H3581" s="1">
        <v>-1.677306E-6</v>
      </c>
      <c r="I3581">
        <v>130.93379999999999</v>
      </c>
      <c r="J3581">
        <v>-243.97450000000001</v>
      </c>
      <c r="K3581">
        <v>1.1090260000000001</v>
      </c>
      <c r="L3581">
        <v>140.39869999999999</v>
      </c>
      <c r="M3581">
        <v>-0.9999557</v>
      </c>
      <c r="N3581">
        <v>0</v>
      </c>
      <c r="O3581">
        <v>7.1383389999999996E-3</v>
      </c>
      <c r="P3581">
        <v>-0.99786050000000004</v>
      </c>
      <c r="Q3581">
        <v>2.257468E-2</v>
      </c>
      <c r="R3581">
        <v>6.1358709999999997E-2</v>
      </c>
      <c r="S3581">
        <v>-3.0526580000000001</v>
      </c>
      <c r="T3581">
        <v>-8.5527539999999999E-2</v>
      </c>
      <c r="U3581">
        <v>-0.72978209999999999</v>
      </c>
      <c r="V3581">
        <v>5.423588E-2</v>
      </c>
      <c r="W3581">
        <v>2.8695760000000001E-2</v>
      </c>
      <c r="X3581">
        <v>0.99811570000000005</v>
      </c>
      <c r="Y3581">
        <v>-0.23935790000000001</v>
      </c>
      <c r="Z3581">
        <v>-3.5031099999999998E-3</v>
      </c>
      <c r="AA3581">
        <v>0.97092509999999999</v>
      </c>
      <c r="AB3581">
        <v>21</v>
      </c>
      <c r="AC3581">
        <v>-39.356599999999901</v>
      </c>
      <c r="AD3581">
        <v>-1.1090276773059999</v>
      </c>
      <c r="AE3581">
        <v>-9.4649000000000001</v>
      </c>
      <c r="AF3581">
        <v>-9.7382949342939096</v>
      </c>
      <c r="AG3581">
        <v>-1.1090276773059999</v>
      </c>
      <c r="AH3581">
        <v>39.2585632636344</v>
      </c>
      <c r="AI3581">
        <v>91.570563107567807</v>
      </c>
      <c r="AJ3581">
        <v>103.93132711416401</v>
      </c>
      <c r="AK3581">
        <v>40.463552984644203</v>
      </c>
      <c r="AL3581">
        <v>88.355628274727806</v>
      </c>
      <c r="AM3581">
        <v>86.889705280563604</v>
      </c>
      <c r="AN3581">
        <v>0.99999996395391999</v>
      </c>
    </row>
    <row r="3582" spans="1:40" x14ac:dyDescent="0.25">
      <c r="A3582" t="str">
        <f>"20190312154627805"</f>
        <v>20190312154627805</v>
      </c>
      <c r="B3582" t="str">
        <f>"1552376787801111"</f>
        <v>1552376787801111</v>
      </c>
      <c r="C3582" t="s">
        <v>40</v>
      </c>
      <c r="D3582">
        <v>4.3684789999999998</v>
      </c>
      <c r="E3582">
        <v>0.38595669999999999</v>
      </c>
      <c r="F3582" t="s">
        <v>52</v>
      </c>
      <c r="G3582">
        <v>-281.7518</v>
      </c>
      <c r="H3582" s="1">
        <v>-9.7500820000000008E-7</v>
      </c>
      <c r="I3582">
        <v>131.381</v>
      </c>
      <c r="J3582">
        <v>-244.1885</v>
      </c>
      <c r="K3582">
        <v>1.108997</v>
      </c>
      <c r="L3582">
        <v>140.40020000000001</v>
      </c>
      <c r="M3582">
        <v>-0.99995699999999998</v>
      </c>
      <c r="N3582">
        <v>0</v>
      </c>
      <c r="O3582">
        <v>7.1590269999999897E-3</v>
      </c>
      <c r="P3582">
        <v>-0.99786129999999995</v>
      </c>
      <c r="Q3582">
        <v>2.2536580000000001E-2</v>
      </c>
      <c r="R3582">
        <v>6.13603E-2</v>
      </c>
      <c r="S3582">
        <v>-3.0532680000000001</v>
      </c>
      <c r="T3582">
        <v>-8.9634539999999999E-2</v>
      </c>
      <c r="U3582">
        <v>-0.72883609999999999</v>
      </c>
      <c r="V3582">
        <v>5.4216819999999999E-2</v>
      </c>
      <c r="W3582">
        <v>2.8438370000000001E-2</v>
      </c>
      <c r="X3582">
        <v>0.99812409999999996</v>
      </c>
      <c r="Y3582">
        <v>-0.23904069999999999</v>
      </c>
      <c r="Z3582">
        <v>-3.6666839999999999E-3</v>
      </c>
      <c r="AA3582">
        <v>0.97100260000000005</v>
      </c>
      <c r="AB3582">
        <v>21</v>
      </c>
      <c r="AC3582">
        <v>-37.563299999999998</v>
      </c>
      <c r="AD3582">
        <v>-1.1089979750082</v>
      </c>
      <c r="AE3582">
        <v>-9.0192000000000103</v>
      </c>
      <c r="AF3582">
        <v>-9.28024216297983</v>
      </c>
      <c r="AG3582">
        <v>-1.1089979750082</v>
      </c>
      <c r="AH3582">
        <v>37.466890253618502</v>
      </c>
      <c r="AI3582">
        <v>91.645722907487098</v>
      </c>
      <c r="AJ3582">
        <v>103.911706300517</v>
      </c>
      <c r="AK3582">
        <v>38.615031223460299</v>
      </c>
      <c r="AL3582">
        <v>88.370381653542694</v>
      </c>
      <c r="AM3582">
        <v>86.890822294919602</v>
      </c>
      <c r="AN3582">
        <v>0.99999996172998795</v>
      </c>
    </row>
    <row r="3583" spans="1:40" x14ac:dyDescent="0.25">
      <c r="A3583" t="str">
        <f>"20190312154627825"</f>
        <v>20190312154627825</v>
      </c>
      <c r="B3583" t="str">
        <f>"1552376787820630"</f>
        <v>1552376787820630</v>
      </c>
      <c r="C3583" t="s">
        <v>40</v>
      </c>
      <c r="D3583">
        <v>4.397335</v>
      </c>
      <c r="E3583">
        <v>0.38585760000000002</v>
      </c>
      <c r="F3583" t="s">
        <v>52</v>
      </c>
      <c r="G3583">
        <v>-280.52690000000001</v>
      </c>
      <c r="H3583" s="1">
        <v>-4.1779739999999999E-7</v>
      </c>
      <c r="I3583">
        <v>131.6996</v>
      </c>
      <c r="J3583">
        <v>-244.393</v>
      </c>
      <c r="K3583">
        <v>1.1089610000000001</v>
      </c>
      <c r="L3583">
        <v>140.40170000000001</v>
      </c>
      <c r="M3583">
        <v>-0.99995800000000001</v>
      </c>
      <c r="N3583">
        <v>0</v>
      </c>
      <c r="O3583">
        <v>7.1795919999999899E-3</v>
      </c>
      <c r="P3583">
        <v>-0.99788900000000003</v>
      </c>
      <c r="Q3583">
        <v>2.1886369999999999E-2</v>
      </c>
      <c r="R3583">
        <v>6.1144049999999998E-2</v>
      </c>
      <c r="S3583">
        <v>-3.0534970000000001</v>
      </c>
      <c r="T3583">
        <v>-9.3188409999999999E-2</v>
      </c>
      <c r="U3583">
        <v>-0.73110959999999903</v>
      </c>
      <c r="V3583">
        <v>5.3979800000000001E-2</v>
      </c>
      <c r="W3583">
        <v>2.7581359999999999E-2</v>
      </c>
      <c r="X3583">
        <v>0.99816099999999996</v>
      </c>
      <c r="Y3583">
        <v>-0.23971970000000001</v>
      </c>
      <c r="Z3583">
        <v>-3.8222289999999999E-3</v>
      </c>
      <c r="AA3583">
        <v>0.97083459999999999</v>
      </c>
      <c r="AB3583">
        <v>22</v>
      </c>
      <c r="AC3583">
        <v>-36.133899999999997</v>
      </c>
      <c r="AD3583">
        <v>-1.1089614177973901</v>
      </c>
      <c r="AE3583">
        <v>-8.7020999999999997</v>
      </c>
      <c r="AF3583">
        <v>-8.9533357585902795</v>
      </c>
      <c r="AG3583">
        <v>-1.1089614177973901</v>
      </c>
      <c r="AH3583">
        <v>36.038406487929002</v>
      </c>
      <c r="AI3583">
        <v>91.7105629607004</v>
      </c>
      <c r="AJ3583">
        <v>103.952020147314</v>
      </c>
      <c r="AK3583">
        <v>37.150488002466702</v>
      </c>
      <c r="AL3583">
        <v>88.419503993105394</v>
      </c>
      <c r="AM3583">
        <v>86.904502427787506</v>
      </c>
      <c r="AN3583">
        <v>0.99999996607424402</v>
      </c>
    </row>
    <row r="3584" spans="1:40" x14ac:dyDescent="0.25">
      <c r="A3584" t="str">
        <f>"20190312154627847"</f>
        <v>20190312154627847</v>
      </c>
      <c r="B3584" t="str">
        <f>"1552376787841126"</f>
        <v>1552376787841126</v>
      </c>
      <c r="C3584" t="s">
        <v>40</v>
      </c>
      <c r="D3584">
        <v>4.4490499999999997</v>
      </c>
      <c r="E3584">
        <v>0.38605509999999998</v>
      </c>
      <c r="F3584" t="s">
        <v>42</v>
      </c>
      <c r="G3584">
        <v>-278.9271</v>
      </c>
      <c r="H3584" s="1">
        <v>-2.3470539999999999E-6</v>
      </c>
      <c r="I3584">
        <v>132.11500000000001</v>
      </c>
      <c r="J3584">
        <v>-244.61580000000001</v>
      </c>
      <c r="K3584">
        <v>1.1089290000000001</v>
      </c>
      <c r="L3584">
        <v>140.4034</v>
      </c>
      <c r="M3584">
        <v>-0.99995909999999999</v>
      </c>
      <c r="N3584">
        <v>0</v>
      </c>
      <c r="O3584">
        <v>7.2017089999999997E-3</v>
      </c>
      <c r="P3584">
        <v>-0.99791839999999998</v>
      </c>
      <c r="Q3584">
        <v>2.168782E-2</v>
      </c>
      <c r="R3584">
        <v>6.0737100000000002E-2</v>
      </c>
      <c r="S3584">
        <v>-3.053375</v>
      </c>
      <c r="T3584">
        <v>-9.8050590000000007E-2</v>
      </c>
      <c r="U3584">
        <v>-0.73268129999999998</v>
      </c>
      <c r="V3584">
        <v>5.3550760000000003E-2</v>
      </c>
      <c r="W3584">
        <v>2.716905E-2</v>
      </c>
      <c r="X3584">
        <v>0.99819550000000001</v>
      </c>
      <c r="Y3584">
        <v>-0.24021049999999999</v>
      </c>
      <c r="Z3584">
        <v>-4.0299489999999997E-3</v>
      </c>
      <c r="AA3584">
        <v>0.97071249999999998</v>
      </c>
      <c r="AB3584">
        <v>22</v>
      </c>
      <c r="AC3584">
        <v>-34.311299999999903</v>
      </c>
      <c r="AD3584">
        <v>-1.1089313470540001</v>
      </c>
      <c r="AE3584">
        <v>-8.2883999999999904</v>
      </c>
      <c r="AF3584">
        <v>-8.5268729769253504</v>
      </c>
      <c r="AG3584">
        <v>-1.1089313470540001</v>
      </c>
      <c r="AH3584">
        <v>34.2169475312025</v>
      </c>
      <c r="AI3584">
        <v>91.801192231800698</v>
      </c>
      <c r="AJ3584">
        <v>103.99311021975799</v>
      </c>
      <c r="AK3584">
        <v>35.280827510847402</v>
      </c>
      <c r="AL3584">
        <v>88.443136602362898</v>
      </c>
      <c r="AM3584">
        <v>86.929164587821006</v>
      </c>
      <c r="AN3584">
        <v>1.0000000486973599</v>
      </c>
    </row>
    <row r="3585" spans="1:40" x14ac:dyDescent="0.25">
      <c r="A3585" t="str">
        <f>"20190312154627871"</f>
        <v>20190312154627871</v>
      </c>
      <c r="B3585" t="str">
        <f>"1552376787860647"</f>
        <v>1552376787860647</v>
      </c>
      <c r="C3585" t="s">
        <v>40</v>
      </c>
      <c r="D3585">
        <v>4.438339</v>
      </c>
      <c r="E3585">
        <v>0.38602769999999997</v>
      </c>
      <c r="F3585" t="s">
        <v>42</v>
      </c>
      <c r="G3585">
        <v>-278.37970000000001</v>
      </c>
      <c r="H3585" s="1">
        <v>-2.4828370000000001E-6</v>
      </c>
      <c r="I3585">
        <v>132.3047</v>
      </c>
      <c r="J3585">
        <v>-244.84309999999999</v>
      </c>
      <c r="K3585">
        <v>1.1088910000000001</v>
      </c>
      <c r="L3585">
        <v>140.405</v>
      </c>
      <c r="M3585">
        <v>-0.99996010000000002</v>
      </c>
      <c r="N3585">
        <v>0</v>
      </c>
      <c r="O3585">
        <v>7.2244509999999998E-3</v>
      </c>
      <c r="P3585">
        <v>-0.99796719999999906</v>
      </c>
      <c r="Q3585">
        <v>2.171476E-2</v>
      </c>
      <c r="R3585">
        <v>5.9919340000000001E-2</v>
      </c>
      <c r="S3585">
        <v>-3.052994</v>
      </c>
      <c r="T3585">
        <v>-0.10027170000000001</v>
      </c>
      <c r="U3585">
        <v>-0.7322845</v>
      </c>
      <c r="V3585">
        <v>5.270996E-2</v>
      </c>
      <c r="W3585">
        <v>2.6984580000000001E-2</v>
      </c>
      <c r="X3585">
        <v>0.99824520000000005</v>
      </c>
      <c r="Y3585">
        <v>-0.2401353</v>
      </c>
      <c r="Z3585">
        <v>-4.1212710000000001E-3</v>
      </c>
      <c r="AA3585">
        <v>0.97073069999999895</v>
      </c>
      <c r="AB3585">
        <v>22</v>
      </c>
      <c r="AC3585">
        <v>-33.5366</v>
      </c>
      <c r="AD3585">
        <v>-1.1088934828370001</v>
      </c>
      <c r="AE3585">
        <v>-8.1003000000000007</v>
      </c>
      <c r="AF3585">
        <v>-8.3337663691895401</v>
      </c>
      <c r="AG3585">
        <v>-1.1088934828370001</v>
      </c>
      <c r="AH3585">
        <v>33.442656201477398</v>
      </c>
      <c r="AI3585">
        <v>91.842805550994598</v>
      </c>
      <c r="AJ3585">
        <v>103.99286343433</v>
      </c>
      <c r="AK3585">
        <v>34.4832214339486</v>
      </c>
      <c r="AL3585">
        <v>88.453709745367803</v>
      </c>
      <c r="AM3585">
        <v>86.977439837159295</v>
      </c>
      <c r="AN3585">
        <v>0.99999999338200896</v>
      </c>
    </row>
    <row r="3586" spans="1:40" x14ac:dyDescent="0.25">
      <c r="A3586" t="str">
        <f>"20190312154627895"</f>
        <v>20190312154627895</v>
      </c>
      <c r="B3586" t="str">
        <f>"1552376787890902"</f>
        <v>1552376787890902</v>
      </c>
      <c r="C3586" t="s">
        <v>40</v>
      </c>
      <c r="D3586">
        <v>4.4183870000000001</v>
      </c>
      <c r="E3586">
        <v>0.38591819999999999</v>
      </c>
      <c r="F3586" t="s">
        <v>42</v>
      </c>
      <c r="G3586">
        <v>-278.54320000000001</v>
      </c>
      <c r="H3586" s="1">
        <v>-2.4310889999999998E-6</v>
      </c>
      <c r="I3586">
        <v>132.29</v>
      </c>
      <c r="J3586">
        <v>-245.07749999999999</v>
      </c>
      <c r="K3586">
        <v>1.108862</v>
      </c>
      <c r="L3586">
        <v>140.4067</v>
      </c>
      <c r="M3586">
        <v>-0.99996099999999999</v>
      </c>
      <c r="N3586">
        <v>0</v>
      </c>
      <c r="O3586">
        <v>7.2480330000000001E-3</v>
      </c>
      <c r="P3586">
        <v>-0.99801689999999998</v>
      </c>
      <c r="Q3586">
        <v>2.1425389999999999E-2</v>
      </c>
      <c r="R3586">
        <v>5.9189659999999998E-2</v>
      </c>
      <c r="S3586">
        <v>-3.0524290000000001</v>
      </c>
      <c r="T3586">
        <v>-0.100439399999999</v>
      </c>
      <c r="U3586">
        <v>-0.73501590000000006</v>
      </c>
      <c r="V3586">
        <v>5.1956240000000001E-2</v>
      </c>
      <c r="W3586">
        <v>2.6473119999999999E-2</v>
      </c>
      <c r="X3586">
        <v>0.99829840000000003</v>
      </c>
      <c r="Y3586">
        <v>-0.24101909999999999</v>
      </c>
      <c r="Z3586">
        <v>-4.1435769999999999E-3</v>
      </c>
      <c r="AA3586">
        <v>0.97051160000000003</v>
      </c>
      <c r="AB3586">
        <v>22</v>
      </c>
      <c r="AC3586">
        <v>-33.465699999999998</v>
      </c>
      <c r="AD3586">
        <v>-1.1088644310889999</v>
      </c>
      <c r="AE3586">
        <v>-8.1166999999999998</v>
      </c>
      <c r="AF3586">
        <v>-8.3503919317867297</v>
      </c>
      <c r="AG3586">
        <v>-1.1088644310889999</v>
      </c>
      <c r="AH3586">
        <v>33.371387577582603</v>
      </c>
      <c r="AI3586">
        <v>91.846243115791495</v>
      </c>
      <c r="AJ3586">
        <v>104.04843498399499</v>
      </c>
      <c r="AK3586">
        <v>34.418136710086699</v>
      </c>
      <c r="AL3586">
        <v>88.483024708014696</v>
      </c>
      <c r="AM3586">
        <v>87.020740641492694</v>
      </c>
      <c r="AN3586">
        <v>0.99999998620001596</v>
      </c>
    </row>
    <row r="3587" spans="1:40" x14ac:dyDescent="0.25">
      <c r="A3587" t="str">
        <f>"20190312154628005"</f>
        <v>20190312154628005</v>
      </c>
      <c r="B3587" t="str">
        <f>"1552376788001191"</f>
        <v>1552376788001191</v>
      </c>
      <c r="C3587" t="s">
        <v>40</v>
      </c>
      <c r="D3587">
        <v>2.8516900000000001</v>
      </c>
      <c r="E3587">
        <v>0.3855577</v>
      </c>
      <c r="F3587" t="s">
        <v>42</v>
      </c>
      <c r="G3587">
        <v>-277.9547</v>
      </c>
      <c r="H3587" s="1">
        <v>-2.5867289999999999E-6</v>
      </c>
      <c r="I3587">
        <v>132.45779999999999</v>
      </c>
      <c r="J3587">
        <v>-246.18190000000001</v>
      </c>
      <c r="K3587">
        <v>1.1086990000000001</v>
      </c>
      <c r="L3587">
        <v>140.41480000000001</v>
      </c>
      <c r="M3587">
        <v>-0.99996549999999995</v>
      </c>
      <c r="N3587">
        <v>0</v>
      </c>
      <c r="O3587">
        <v>7.3282569999999899E-3</v>
      </c>
      <c r="P3587">
        <v>-0.99802579999999996</v>
      </c>
      <c r="Q3587">
        <v>2.1198689999999999E-2</v>
      </c>
      <c r="R3587">
        <v>5.9124709999999997E-2</v>
      </c>
      <c r="S3587">
        <v>-3.0519560000000001</v>
      </c>
      <c r="T3587">
        <v>-0.102934999999999</v>
      </c>
      <c r="U3587">
        <v>-0.73788450000000005</v>
      </c>
      <c r="V3587">
        <v>5.1810719999999998E-2</v>
      </c>
      <c r="W3587">
        <v>2.5139370000000001E-2</v>
      </c>
      <c r="X3587">
        <v>0.99834040000000002</v>
      </c>
      <c r="Y3587">
        <v>-0.24198610000000001</v>
      </c>
      <c r="Z3587">
        <v>-4.2653880000000002E-3</v>
      </c>
      <c r="AA3587">
        <v>0.97027030000000003</v>
      </c>
      <c r="AB3587">
        <v>23</v>
      </c>
      <c r="AC3587">
        <v>-31.772799999999901</v>
      </c>
      <c r="AD3587">
        <v>-1.108701586729</v>
      </c>
      <c r="AE3587">
        <v>-7.9570000000000203</v>
      </c>
      <c r="AF3587">
        <v>-8.18025460172157</v>
      </c>
      <c r="AG3587">
        <v>-1.108701586729</v>
      </c>
      <c r="AH3587">
        <v>31.677340227148498</v>
      </c>
      <c r="AI3587">
        <v>91.940904112106196</v>
      </c>
      <c r="AJ3587">
        <v>104.47954787946701</v>
      </c>
      <c r="AK3587">
        <v>32.735296980842001</v>
      </c>
      <c r="AL3587">
        <v>88.559468361957201</v>
      </c>
      <c r="AM3587">
        <v>87.029194799120305</v>
      </c>
      <c r="AN3587">
        <v>0.999999946451536</v>
      </c>
    </row>
    <row r="3588" spans="1:40" x14ac:dyDescent="0.25">
      <c r="A3588" t="str">
        <f>"20190312154628026"</f>
        <v>20190312154628026</v>
      </c>
      <c r="B3588" t="str">
        <f>"1552376788020710"</f>
        <v>1552376788020710</v>
      </c>
      <c r="C3588" t="s">
        <v>40</v>
      </c>
      <c r="D3588">
        <v>4.3870820000000004</v>
      </c>
      <c r="E3588">
        <v>0.57366309999999998</v>
      </c>
      <c r="F3588" t="s">
        <v>42</v>
      </c>
      <c r="G3588">
        <v>-278.09870000000001</v>
      </c>
      <c r="H3588" s="1">
        <v>-2.4818979999999998E-6</v>
      </c>
      <c r="I3588">
        <v>132.66759999999999</v>
      </c>
      <c r="J3588">
        <v>-246.41679999999999</v>
      </c>
      <c r="K3588">
        <v>1.1086739999999999</v>
      </c>
      <c r="L3588">
        <v>140.41659999999999</v>
      </c>
      <c r="M3588">
        <v>-0.99996620000000003</v>
      </c>
      <c r="N3588">
        <v>0</v>
      </c>
      <c r="O3588">
        <v>7.3328589999999997E-3</v>
      </c>
      <c r="P3588">
        <v>-0.99800440000000001</v>
      </c>
      <c r="Q3588">
        <v>2.1560409999999999E-2</v>
      </c>
      <c r="R3588">
        <v>5.9348039999999998E-2</v>
      </c>
      <c r="S3588">
        <v>-3.0520779999999998</v>
      </c>
      <c r="T3588">
        <v>-0.1060209</v>
      </c>
      <c r="U3588">
        <v>-0.74082950000000003</v>
      </c>
      <c r="V3588">
        <v>5.2029279999999997E-2</v>
      </c>
      <c r="W3588">
        <v>2.5268550000000001E-2</v>
      </c>
      <c r="X3588">
        <v>0.99832580000000004</v>
      </c>
      <c r="Y3588">
        <v>-0.2428573</v>
      </c>
      <c r="Z3588">
        <v>-4.4075980000000004E-3</v>
      </c>
      <c r="AA3588">
        <v>0.97005200000000003</v>
      </c>
      <c r="AB3588">
        <v>23</v>
      </c>
      <c r="AC3588">
        <v>-31.681899999999999</v>
      </c>
      <c r="AD3588">
        <v>-1.1086764818979999</v>
      </c>
      <c r="AE3588">
        <v>-7.7489999999999899</v>
      </c>
      <c r="AF3588">
        <v>-7.9719009809292301</v>
      </c>
      <c r="AG3588">
        <v>-1.1086764818979999</v>
      </c>
      <c r="AH3588">
        <v>31.587727212638399</v>
      </c>
      <c r="AI3588">
        <v>91.949097235906507</v>
      </c>
      <c r="AJ3588">
        <v>104.16415652599601</v>
      </c>
      <c r="AK3588">
        <v>32.597007213106401</v>
      </c>
      <c r="AL3588">
        <v>88.552064581073594</v>
      </c>
      <c r="AM3588">
        <v>87.016641700006502</v>
      </c>
      <c r="AN3588">
        <v>0.99999997427103005</v>
      </c>
    </row>
    <row r="3589" spans="1:40" x14ac:dyDescent="0.25">
      <c r="A3589" t="str">
        <f>"20190312154628049"</f>
        <v>20190312154628049</v>
      </c>
      <c r="B3589" t="str">
        <f>"1552376788041207"</f>
        <v>1552376788041207</v>
      </c>
      <c r="C3589" t="s">
        <v>40</v>
      </c>
      <c r="D3589">
        <v>4.3880330000000001</v>
      </c>
      <c r="E3589">
        <v>0.5694728</v>
      </c>
      <c r="F3589" t="s">
        <v>41</v>
      </c>
      <c r="G3589">
        <v>-247.2475</v>
      </c>
      <c r="H3589">
        <v>0.87772039999999996</v>
      </c>
      <c r="I3589">
        <v>140.6207</v>
      </c>
      <c r="J3589">
        <v>-246.65020000000001</v>
      </c>
      <c r="K3589">
        <v>1.108644</v>
      </c>
      <c r="L3589">
        <v>140.41829999999999</v>
      </c>
      <c r="M3589">
        <v>-0.9999671</v>
      </c>
      <c r="N3589">
        <v>0</v>
      </c>
      <c r="O3589">
        <v>7.3340829999999999E-3</v>
      </c>
      <c r="P3589">
        <v>-0.99799570000000004</v>
      </c>
      <c r="Q3589">
        <v>2.1984879999999998E-2</v>
      </c>
      <c r="R3589">
        <v>5.9342779999999998E-2</v>
      </c>
      <c r="S3589">
        <v>-2.9803920000000002</v>
      </c>
      <c r="T3589">
        <v>-0.82864550000000003</v>
      </c>
      <c r="U3589">
        <v>0.73110959999999903</v>
      </c>
      <c r="V3589">
        <v>5.2022760000000001E-2</v>
      </c>
      <c r="W3589">
        <v>2.5470670000000001E-2</v>
      </c>
      <c r="X3589">
        <v>0.99832109999999996</v>
      </c>
      <c r="Y3589">
        <v>0.22337940000000001</v>
      </c>
      <c r="Z3589">
        <v>2.808064E-2</v>
      </c>
      <c r="AA3589">
        <v>0.97432700000000005</v>
      </c>
      <c r="AB3589">
        <v>23</v>
      </c>
      <c r="AC3589">
        <v>-0.59729999999998995</v>
      </c>
      <c r="AD3589">
        <v>-0.23092359999999901</v>
      </c>
      <c r="AE3589">
        <v>0.20240000000001099</v>
      </c>
      <c r="AF3589">
        <v>0.17460400400974699</v>
      </c>
      <c r="AG3589">
        <v>-0.23092359999999901</v>
      </c>
      <c r="AH3589">
        <v>0.52797991934151001</v>
      </c>
      <c r="AI3589">
        <v>112.55086830758</v>
      </c>
      <c r="AJ3589">
        <v>71.700847087538605</v>
      </c>
      <c r="AK3589">
        <v>0.60214206171057605</v>
      </c>
      <c r="AL3589">
        <v>88.540480369949606</v>
      </c>
      <c r="AM3589">
        <v>87.017000863238394</v>
      </c>
      <c r="AN3589">
        <v>1.00000007064673</v>
      </c>
    </row>
    <row r="3590" spans="1:40" x14ac:dyDescent="0.25">
      <c r="A3590" t="str">
        <f>"20190312154628073"</f>
        <v>20190312154628073</v>
      </c>
      <c r="B3590" t="str">
        <f>"1552376788060726"</f>
        <v>1552376788060726</v>
      </c>
      <c r="C3590" t="s">
        <v>40</v>
      </c>
      <c r="D3590">
        <v>4.3748870000000002</v>
      </c>
      <c r="E3590">
        <v>0.55443390000000004</v>
      </c>
      <c r="F3590" t="s">
        <v>41</v>
      </c>
      <c r="G3590">
        <v>-247.47319999999999</v>
      </c>
      <c r="H3590">
        <v>0.91505099999999995</v>
      </c>
      <c r="I3590">
        <v>140.6121</v>
      </c>
      <c r="J3590">
        <v>-246.89949999999999</v>
      </c>
      <c r="K3590">
        <v>1.1086199999999999</v>
      </c>
      <c r="L3590">
        <v>140.42009999999999</v>
      </c>
      <c r="M3590">
        <v>-0.99996790000000002</v>
      </c>
      <c r="N3590">
        <v>0</v>
      </c>
      <c r="O3590">
        <v>7.332613E-3</v>
      </c>
      <c r="P3590">
        <v>-0.99792309999999995</v>
      </c>
      <c r="Q3590">
        <v>2.2815789999999999E-2</v>
      </c>
      <c r="R3590">
        <v>6.0244109999999997E-2</v>
      </c>
      <c r="S3590">
        <v>-2.979752</v>
      </c>
      <c r="T3590">
        <v>-0.70098649999999996</v>
      </c>
      <c r="U3590">
        <v>0.70181269999999996</v>
      </c>
      <c r="V3590">
        <v>5.292587E-2</v>
      </c>
      <c r="W3590">
        <v>2.607319E-2</v>
      </c>
      <c r="X3590">
        <v>0.99825799999999998</v>
      </c>
      <c r="Y3590">
        <v>0.21669450000000001</v>
      </c>
      <c r="Z3590">
        <v>2.313983E-2</v>
      </c>
      <c r="AA3590">
        <v>0.97596519999999998</v>
      </c>
      <c r="AB3590">
        <v>23</v>
      </c>
      <c r="AC3590">
        <v>-0.57370000000000199</v>
      </c>
      <c r="AD3590">
        <v>-0.19356899999999999</v>
      </c>
      <c r="AE3590">
        <v>0.192000000000007</v>
      </c>
      <c r="AF3590">
        <v>0.17034858995820701</v>
      </c>
      <c r="AG3590">
        <v>-0.19356899999999999</v>
      </c>
      <c r="AH3590">
        <v>0.52168475624671395</v>
      </c>
      <c r="AI3590">
        <v>109.428651523708</v>
      </c>
      <c r="AJ3590">
        <v>71.916301826406396</v>
      </c>
      <c r="AK3590">
        <v>0.58193005143397003</v>
      </c>
      <c r="AL3590">
        <v>88.505946938086296</v>
      </c>
      <c r="AM3590">
        <v>86.965120797617104</v>
      </c>
      <c r="AN3590">
        <v>0.99999999675801599</v>
      </c>
    </row>
    <row r="3591" spans="1:40" x14ac:dyDescent="0.25">
      <c r="A3591" t="str">
        <f>"20190312154628116"</f>
        <v>20190312154628116</v>
      </c>
      <c r="B3591" t="str">
        <f>"1552376788111481"</f>
        <v>1552376788111481</v>
      </c>
      <c r="C3591" t="s">
        <v>40</v>
      </c>
      <c r="D3591">
        <v>4.4231319999999998</v>
      </c>
      <c r="E3591">
        <v>0.55180989999999996</v>
      </c>
      <c r="F3591" t="s">
        <v>73</v>
      </c>
      <c r="G3591">
        <v>-345.03089999999997</v>
      </c>
      <c r="H3591">
        <v>0.32235570000000002</v>
      </c>
      <c r="I3591">
        <v>160.6053</v>
      </c>
      <c r="J3591">
        <v>-247.36199999999999</v>
      </c>
      <c r="K3591">
        <v>1.1085659999999999</v>
      </c>
      <c r="L3591">
        <v>140.42349999999999</v>
      </c>
      <c r="M3591">
        <v>-0.9999692</v>
      </c>
      <c r="N3591">
        <v>0</v>
      </c>
      <c r="O3591">
        <v>7.3040099999999997E-3</v>
      </c>
      <c r="P3591">
        <v>-0.99784050000000002</v>
      </c>
      <c r="Q3591">
        <v>2.3308490000000001E-2</v>
      </c>
      <c r="R3591">
        <v>6.1409400000000003E-2</v>
      </c>
      <c r="S3591">
        <v>-2.9699249999999999</v>
      </c>
      <c r="T3591">
        <v>-2.3795719999999999E-2</v>
      </c>
      <c r="U3591">
        <v>0.61090089999999997</v>
      </c>
      <c r="V3591">
        <v>5.4119769999999998E-2</v>
      </c>
      <c r="W3591">
        <v>2.614994E-2</v>
      </c>
      <c r="X3591">
        <v>0.99819199999999997</v>
      </c>
      <c r="Y3591">
        <v>0.19431219999999999</v>
      </c>
      <c r="Z3591">
        <v>7.1245740000000003E-4</v>
      </c>
      <c r="AA3591">
        <v>0.98093949999999996</v>
      </c>
      <c r="AB3591">
        <v>24</v>
      </c>
      <c r="AC3591">
        <v>-97.668899999999894</v>
      </c>
      <c r="AD3591">
        <v>-0.78621029999999903</v>
      </c>
      <c r="AE3591">
        <v>20.181799999999999</v>
      </c>
      <c r="AF3591">
        <v>19.4666743313383</v>
      </c>
      <c r="AG3591">
        <v>-0.78621029999999903</v>
      </c>
      <c r="AH3591">
        <v>97.807625116280605</v>
      </c>
      <c r="AI3591">
        <v>90.451693449742294</v>
      </c>
      <c r="AJ3591">
        <v>78.743504020148706</v>
      </c>
      <c r="AK3591">
        <v>99.729138505479398</v>
      </c>
      <c r="AL3591">
        <v>88.501548020239298</v>
      </c>
      <c r="AM3591">
        <v>86.896587646193595</v>
      </c>
      <c r="AN3591">
        <v>1.0000000188654199</v>
      </c>
    </row>
    <row r="3592" spans="1:40" x14ac:dyDescent="0.25">
      <c r="A3592" t="str">
        <f>"20190312154628138"</f>
        <v>20190312154628138</v>
      </c>
      <c r="B3592" t="str">
        <f>"1552376788130999"</f>
        <v>1552376788130999</v>
      </c>
      <c r="C3592" t="s">
        <v>40</v>
      </c>
      <c r="D3592">
        <v>4.6322029999999996</v>
      </c>
      <c r="E3592">
        <v>0.5491182</v>
      </c>
      <c r="F3592" t="s">
        <v>74</v>
      </c>
      <c r="G3592">
        <v>-441.35169999999999</v>
      </c>
      <c r="H3592">
        <v>1.651659</v>
      </c>
      <c r="I3592">
        <v>179.26669999999999</v>
      </c>
      <c r="J3592">
        <v>-247.6079</v>
      </c>
      <c r="K3592">
        <v>1.1085480000000001</v>
      </c>
      <c r="L3592">
        <v>140.42519999999999</v>
      </c>
      <c r="M3592">
        <v>-0.99997029999999998</v>
      </c>
      <c r="N3592">
        <v>0</v>
      </c>
      <c r="O3592">
        <v>7.2617749999999998E-3</v>
      </c>
      <c r="P3592">
        <v>-0.99779850000000003</v>
      </c>
      <c r="Q3592">
        <v>2.3298610000000001E-2</v>
      </c>
      <c r="R3592">
        <v>6.2094829999999997E-2</v>
      </c>
      <c r="S3592">
        <v>-2.9697110000000002</v>
      </c>
      <c r="T3592">
        <v>8.3142519999999994E-3</v>
      </c>
      <c r="U3592">
        <v>0.59463500000000002</v>
      </c>
      <c r="V3592">
        <v>5.4846930000000002E-2</v>
      </c>
      <c r="W3592">
        <v>2.592208E-2</v>
      </c>
      <c r="X3592">
        <v>0.9981582</v>
      </c>
      <c r="Y3592">
        <v>0.18920970000000001</v>
      </c>
      <c r="Z3592">
        <v>-2.4213319999999999E-4</v>
      </c>
      <c r="AA3592">
        <v>0.9819367</v>
      </c>
      <c r="AB3592">
        <v>24</v>
      </c>
      <c r="AC3592">
        <v>-193.74379999999999</v>
      </c>
      <c r="AD3592">
        <v>0.54311100000000001</v>
      </c>
      <c r="AE3592">
        <v>38.841500000000003</v>
      </c>
      <c r="AF3592">
        <v>37.433264494392901</v>
      </c>
      <c r="AG3592">
        <v>0.54311100000000001</v>
      </c>
      <c r="AH3592">
        <v>194.019284962993</v>
      </c>
      <c r="AI3592">
        <v>89.842518728239099</v>
      </c>
      <c r="AJ3592">
        <v>79.079772938276605</v>
      </c>
      <c r="AK3592">
        <v>197.59814573476299</v>
      </c>
      <c r="AL3592">
        <v>88.514607785151298</v>
      </c>
      <c r="AM3592">
        <v>86.854866679618596</v>
      </c>
      <c r="AN3592">
        <v>0.99999996609459496</v>
      </c>
    </row>
    <row r="3593" spans="1:40" x14ac:dyDescent="0.25">
      <c r="A3593" t="str">
        <f>"20190312154628161"</f>
        <v>20190312154628161</v>
      </c>
      <c r="B3593" t="str">
        <f>"1552376788151495"</f>
        <v>1552376788151495</v>
      </c>
      <c r="C3593" t="s">
        <v>40</v>
      </c>
      <c r="D3593">
        <v>4.431292</v>
      </c>
      <c r="E3593">
        <v>0.54700919999999997</v>
      </c>
      <c r="F3593" t="s">
        <v>74</v>
      </c>
      <c r="G3593">
        <v>-442.01949999999999</v>
      </c>
      <c r="H3593">
        <v>1.1405940000000001</v>
      </c>
      <c r="I3593">
        <v>178.05719999999999</v>
      </c>
      <c r="J3593">
        <v>-247.85310000000001</v>
      </c>
      <c r="K3593">
        <v>1.1085320000000001</v>
      </c>
      <c r="L3593">
        <v>140.42699999999999</v>
      </c>
      <c r="M3593">
        <v>-0.99997130000000001</v>
      </c>
      <c r="N3593">
        <v>0</v>
      </c>
      <c r="O3593">
        <v>7.1924340000000002E-3</v>
      </c>
      <c r="P3593">
        <v>-0.99775130000000001</v>
      </c>
      <c r="Q3593">
        <v>2.403245E-2</v>
      </c>
      <c r="R3593">
        <v>6.2570490000000006E-2</v>
      </c>
      <c r="S3593">
        <v>-2.970825</v>
      </c>
      <c r="T3593">
        <v>4.8995019999999905E-4</v>
      </c>
      <c r="U3593">
        <v>0.57505799999999996</v>
      </c>
      <c r="V3593">
        <v>5.539082E-2</v>
      </c>
      <c r="W3593">
        <v>2.6445469999999999E-2</v>
      </c>
      <c r="X3593">
        <v>0.99811450000000002</v>
      </c>
      <c r="Y3593">
        <v>0.18297459999999999</v>
      </c>
      <c r="Z3593" s="1">
        <v>-1.377433E-5</v>
      </c>
      <c r="AA3593">
        <v>0.98311760000000004</v>
      </c>
      <c r="AB3593">
        <v>24</v>
      </c>
      <c r="AC3593">
        <v>-194.16640000000001</v>
      </c>
      <c r="AD3593">
        <v>3.2062E-2</v>
      </c>
      <c r="AE3593">
        <v>37.630199999999903</v>
      </c>
      <c r="AF3593">
        <v>36.232692728917101</v>
      </c>
      <c r="AG3593">
        <v>3.2062E-2</v>
      </c>
      <c r="AH3593">
        <v>194.432026072528</v>
      </c>
      <c r="AI3593">
        <v>89.990711778289807</v>
      </c>
      <c r="AJ3593">
        <v>79.443929255102404</v>
      </c>
      <c r="AK3593">
        <v>197.77922492776599</v>
      </c>
      <c r="AL3593">
        <v>88.484609558283594</v>
      </c>
      <c r="AM3593">
        <v>86.823602708162895</v>
      </c>
      <c r="AN3593">
        <v>1.00000003046702</v>
      </c>
    </row>
    <row r="3594" spans="1:40" x14ac:dyDescent="0.25">
      <c r="A3594" t="str">
        <f>"20190312154628183"</f>
        <v>20190312154628183</v>
      </c>
      <c r="B3594" t="str">
        <f>"1552376788171014"</f>
        <v>1552376788171014</v>
      </c>
      <c r="C3594" t="s">
        <v>40</v>
      </c>
      <c r="D3594">
        <v>4.4693149999999999</v>
      </c>
      <c r="E3594">
        <v>0.54553739999999995</v>
      </c>
      <c r="F3594" t="s">
        <v>74</v>
      </c>
      <c r="G3594">
        <v>-442.55500000000001</v>
      </c>
      <c r="H3594">
        <v>1.2102090000000001</v>
      </c>
      <c r="I3594">
        <v>177.08709999999999</v>
      </c>
      <c r="J3594">
        <v>-248.09540000000001</v>
      </c>
      <c r="K3594">
        <v>1.1085199999999999</v>
      </c>
      <c r="L3594">
        <v>140.42859999999999</v>
      </c>
      <c r="M3594">
        <v>-0.99997250000000004</v>
      </c>
      <c r="N3594">
        <v>0</v>
      </c>
      <c r="O3594">
        <v>7.0881260000000001E-3</v>
      </c>
      <c r="P3594">
        <v>-0.9977857</v>
      </c>
      <c r="Q3594">
        <v>2.392702E-2</v>
      </c>
      <c r="R3594">
        <v>6.2058820000000001E-2</v>
      </c>
      <c r="S3594">
        <v>-2.9716339999999999</v>
      </c>
      <c r="T3594">
        <v>1.552105E-3</v>
      </c>
      <c r="U3594">
        <v>0.55952449999999998</v>
      </c>
      <c r="V3594">
        <v>5.4981479999999999E-2</v>
      </c>
      <c r="W3594">
        <v>2.613801E-2</v>
      </c>
      <c r="X3594">
        <v>0.99814519999999995</v>
      </c>
      <c r="Y3594">
        <v>0.17806669999999999</v>
      </c>
      <c r="Z3594" s="1">
        <v>-4.2428400000000002E-5</v>
      </c>
      <c r="AA3594">
        <v>0.98401839999999996</v>
      </c>
      <c r="AB3594">
        <v>24</v>
      </c>
      <c r="AC3594">
        <v>-194.45959999999999</v>
      </c>
      <c r="AD3594">
        <v>0.101688999999999</v>
      </c>
      <c r="AE3594">
        <v>36.658499999999997</v>
      </c>
      <c r="AF3594">
        <v>35.279212352585098</v>
      </c>
      <c r="AG3594">
        <v>0.101688999999999</v>
      </c>
      <c r="AH3594">
        <v>194.71450420781099</v>
      </c>
      <c r="AI3594">
        <v>89.970556846850499</v>
      </c>
      <c r="AJ3594">
        <v>79.730313658116401</v>
      </c>
      <c r="AK3594">
        <v>197.88474249867099</v>
      </c>
      <c r="AL3594">
        <v>88.502231763580696</v>
      </c>
      <c r="AM3594">
        <v>86.847125633294695</v>
      </c>
      <c r="AN3594">
        <v>0.99999999949639495</v>
      </c>
    </row>
    <row r="3595" spans="1:40" x14ac:dyDescent="0.25">
      <c r="A3595" t="str">
        <f>"20190312154628205"</f>
        <v>20190312154628205</v>
      </c>
      <c r="B3595" t="str">
        <f>"1552376788201271"</f>
        <v>1552376788201271</v>
      </c>
      <c r="C3595" t="s">
        <v>40</v>
      </c>
      <c r="D3595">
        <v>4.4655420000000001</v>
      </c>
      <c r="E3595">
        <v>0.5439505</v>
      </c>
      <c r="F3595" t="s">
        <v>74</v>
      </c>
      <c r="G3595">
        <v>-443.0181</v>
      </c>
      <c r="H3595">
        <v>1.12896</v>
      </c>
      <c r="I3595">
        <v>176.2482</v>
      </c>
      <c r="J3595">
        <v>-248.34010000000001</v>
      </c>
      <c r="K3595">
        <v>1.1085130000000001</v>
      </c>
      <c r="L3595">
        <v>140.43020000000001</v>
      </c>
      <c r="M3595">
        <v>-0.99997400000000003</v>
      </c>
      <c r="N3595">
        <v>0</v>
      </c>
      <c r="O3595">
        <v>6.9414709999999899E-3</v>
      </c>
      <c r="P3595">
        <v>-0.99782519999999997</v>
      </c>
      <c r="Q3595">
        <v>2.3485570000000001E-2</v>
      </c>
      <c r="R3595">
        <v>6.1592059999999997E-2</v>
      </c>
      <c r="S3595">
        <v>-2.9726560000000002</v>
      </c>
      <c r="T3595">
        <v>3.1197069999999998E-4</v>
      </c>
      <c r="U3595">
        <v>0.54626459999999999</v>
      </c>
      <c r="V3595">
        <v>5.465925E-2</v>
      </c>
      <c r="W3595">
        <v>2.550117E-2</v>
      </c>
      <c r="X3595">
        <v>0.99817940000000005</v>
      </c>
      <c r="Y3595">
        <v>0.17390529999999901</v>
      </c>
      <c r="Z3595" s="1">
        <v>-8.3273159999999995E-6</v>
      </c>
      <c r="AA3595">
        <v>0.98476240000000004</v>
      </c>
      <c r="AB3595">
        <v>24</v>
      </c>
      <c r="AC3595">
        <v>-194.678</v>
      </c>
      <c r="AD3595">
        <v>2.0447000000000101E-2</v>
      </c>
      <c r="AE3595">
        <v>35.817999999999898</v>
      </c>
      <c r="AF3595">
        <v>34.465782421697703</v>
      </c>
      <c r="AG3595">
        <v>2.0447000000000101E-2</v>
      </c>
      <c r="AH3595">
        <v>194.921937744063</v>
      </c>
      <c r="AI3595">
        <v>89.994081571260395</v>
      </c>
      <c r="AJ3595">
        <v>79.972695839788102</v>
      </c>
      <c r="AK3595">
        <v>197.94557936442999</v>
      </c>
      <c r="AL3595">
        <v>88.538732220017806</v>
      </c>
      <c r="AM3595">
        <v>86.865673912215897</v>
      </c>
      <c r="AN3595">
        <v>1.0000000289331401</v>
      </c>
    </row>
    <row r="3596" spans="1:40" x14ac:dyDescent="0.25">
      <c r="A3596" t="str">
        <f>"20190312154628227"</f>
        <v>20190312154628227</v>
      </c>
      <c r="B3596" t="str">
        <f>"1552376788220791"</f>
        <v>1552376788220791</v>
      </c>
      <c r="C3596" t="s">
        <v>40</v>
      </c>
      <c r="D3596">
        <v>4.4979440000000004</v>
      </c>
      <c r="E3596">
        <v>0.54286719999999999</v>
      </c>
      <c r="F3596" t="s">
        <v>74</v>
      </c>
      <c r="G3596">
        <v>-443.50450000000001</v>
      </c>
      <c r="H3596">
        <v>1.0445139999999999</v>
      </c>
      <c r="I3596">
        <v>175.36699999999999</v>
      </c>
      <c r="J3596">
        <v>-248.58709999999999</v>
      </c>
      <c r="K3596">
        <v>1.1085069999999999</v>
      </c>
      <c r="L3596">
        <v>140.43180000000001</v>
      </c>
      <c r="M3596">
        <v>-0.99997559999999996</v>
      </c>
      <c r="N3596">
        <v>0</v>
      </c>
      <c r="O3596">
        <v>6.7576049999999999E-3</v>
      </c>
      <c r="P3596">
        <v>-0.99792829999999999</v>
      </c>
      <c r="Q3596">
        <v>2.2825350000000001E-2</v>
      </c>
      <c r="R3596">
        <v>6.0154390000000002E-2</v>
      </c>
      <c r="S3596">
        <v>-2.9737239999999998</v>
      </c>
      <c r="T3596">
        <v>-9.7489359999999999E-4</v>
      </c>
      <c r="U3596">
        <v>0.53233339999999996</v>
      </c>
      <c r="V3596">
        <v>5.3403150000000003E-2</v>
      </c>
      <c r="W3596">
        <v>2.4654100000000002E-2</v>
      </c>
      <c r="X3596">
        <v>0.99826870000000001</v>
      </c>
      <c r="Y3596">
        <v>0.16955529999999999</v>
      </c>
      <c r="Z3596" s="1">
        <v>2.5376420000000001E-5</v>
      </c>
      <c r="AA3596">
        <v>0.98552070000000003</v>
      </c>
      <c r="AB3596">
        <v>25</v>
      </c>
      <c r="AC3596">
        <v>-194.91739999999999</v>
      </c>
      <c r="AD3596">
        <v>-6.3992999999999897E-2</v>
      </c>
      <c r="AE3596">
        <v>34.935200000000002</v>
      </c>
      <c r="AF3596">
        <v>33.6172219548397</v>
      </c>
      <c r="AG3596">
        <v>-6.3992999999999897E-2</v>
      </c>
      <c r="AH3596">
        <v>195.14900773417199</v>
      </c>
      <c r="AI3596">
        <v>90.018515636791804</v>
      </c>
      <c r="AJ3596">
        <v>80.225907029920904</v>
      </c>
      <c r="AK3596">
        <v>198.02337469777899</v>
      </c>
      <c r="AL3596">
        <v>88.587281067116393</v>
      </c>
      <c r="AM3596">
        <v>86.937837186720401</v>
      </c>
      <c r="AN3596">
        <v>1.0000000592381999</v>
      </c>
    </row>
    <row r="3597" spans="1:40" x14ac:dyDescent="0.25">
      <c r="A3597" t="str">
        <f>"20190312154628251"</f>
        <v>20190312154628251</v>
      </c>
      <c r="B3597" t="str">
        <f>"1552376788241287"</f>
        <v>1552376788241287</v>
      </c>
      <c r="C3597" t="s">
        <v>40</v>
      </c>
      <c r="D3597">
        <v>4.9142390000000002</v>
      </c>
      <c r="E3597">
        <v>0.54217609999999905</v>
      </c>
      <c r="F3597" t="s">
        <v>73</v>
      </c>
      <c r="G3597">
        <v>-367.34359999999998</v>
      </c>
      <c r="H3597">
        <v>0.8484775</v>
      </c>
      <c r="I3597">
        <v>161.15899999999999</v>
      </c>
      <c r="J3597">
        <v>-248.84729999999999</v>
      </c>
      <c r="K3597">
        <v>1.1084989999999999</v>
      </c>
      <c r="L3597">
        <v>140.4333</v>
      </c>
      <c r="M3597">
        <v>-0.99997740000000002</v>
      </c>
      <c r="N3597">
        <v>0</v>
      </c>
      <c r="O3597">
        <v>6.532248E-3</v>
      </c>
      <c r="P3597">
        <v>-0.99796960000000001</v>
      </c>
      <c r="Q3597">
        <v>2.2814770000000002E-2</v>
      </c>
      <c r="R3597">
        <v>5.946481E-2</v>
      </c>
      <c r="S3597">
        <v>-2.975082</v>
      </c>
      <c r="T3597">
        <v>-6.5139530000000003E-3</v>
      </c>
      <c r="U3597">
        <v>0.51925659999999996</v>
      </c>
      <c r="V3597">
        <v>5.2936619999999997E-2</v>
      </c>
      <c r="W3597">
        <v>2.446104E-2</v>
      </c>
      <c r="X3597">
        <v>0.99829820000000002</v>
      </c>
      <c r="Y3597">
        <v>0.16549700000000001</v>
      </c>
      <c r="Z3597">
        <v>1.656258E-4</v>
      </c>
      <c r="AA3597">
        <v>0.98621029999999998</v>
      </c>
      <c r="AB3597">
        <v>25</v>
      </c>
      <c r="AC3597">
        <v>-118.49630000000001</v>
      </c>
      <c r="AD3597">
        <v>-0.26002149999999902</v>
      </c>
      <c r="AE3597">
        <v>20.7256999999999</v>
      </c>
      <c r="AF3597">
        <v>19.951116395305402</v>
      </c>
      <c r="AG3597">
        <v>-0.26002149999999902</v>
      </c>
      <c r="AH3597">
        <v>118.628603158545</v>
      </c>
      <c r="AI3597">
        <v>90.123846876190299</v>
      </c>
      <c r="AJ3597">
        <v>80.453260214176495</v>
      </c>
      <c r="AK3597">
        <v>120.29488827023</v>
      </c>
      <c r="AL3597">
        <v>88.598345790555399</v>
      </c>
      <c r="AM3597">
        <v>86.964627529324702</v>
      </c>
      <c r="AN3597">
        <v>0.99999996216907205</v>
      </c>
    </row>
    <row r="3598" spans="1:40" x14ac:dyDescent="0.25">
      <c r="A3598" t="str">
        <f>"20190312154628275"</f>
        <v>20190312154628275</v>
      </c>
      <c r="B3598" t="str">
        <f>"1552376788260806"</f>
        <v>1552376788260806</v>
      </c>
      <c r="C3598" t="s">
        <v>40</v>
      </c>
      <c r="D3598">
        <v>4.5241259999999999</v>
      </c>
      <c r="E3598">
        <v>0.54162369999999904</v>
      </c>
      <c r="F3598" t="s">
        <v>74</v>
      </c>
      <c r="G3598">
        <v>-444.18770000000001</v>
      </c>
      <c r="H3598">
        <v>0.73412129999999998</v>
      </c>
      <c r="I3598">
        <v>174.02260000000001</v>
      </c>
      <c r="J3598">
        <v>-249.12559999999999</v>
      </c>
      <c r="K3598">
        <v>1.1084989999999999</v>
      </c>
      <c r="L3598">
        <v>140.4349</v>
      </c>
      <c r="M3598">
        <v>-0.99997950000000002</v>
      </c>
      <c r="N3598">
        <v>0</v>
      </c>
      <c r="O3598">
        <v>6.260631E-3</v>
      </c>
      <c r="P3598">
        <v>-0.99802829999999998</v>
      </c>
      <c r="Q3598">
        <v>2.2989860000000001E-2</v>
      </c>
      <c r="R3598">
        <v>5.8405329999999998E-2</v>
      </c>
      <c r="S3598">
        <v>-2.9757539999999998</v>
      </c>
      <c r="T3598">
        <v>-5.7029719999999997E-3</v>
      </c>
      <c r="U3598">
        <v>0.51168820000000004</v>
      </c>
      <c r="V3598">
        <v>5.2146690000000002E-2</v>
      </c>
      <c r="W3598">
        <v>2.445866E-2</v>
      </c>
      <c r="X3598">
        <v>0.99833989999999995</v>
      </c>
      <c r="Y3598">
        <v>0.16329170000000001</v>
      </c>
      <c r="Z3598">
        <v>1.4342329999999999E-4</v>
      </c>
      <c r="AA3598">
        <v>0.98657779999999995</v>
      </c>
      <c r="AB3598">
        <v>25</v>
      </c>
      <c r="AC3598">
        <v>-195.06209999999999</v>
      </c>
      <c r="AD3598">
        <v>-0.37437769999999898</v>
      </c>
      <c r="AE3598">
        <v>33.587699999999998</v>
      </c>
      <c r="AF3598">
        <v>32.365713027520201</v>
      </c>
      <c r="AG3598">
        <v>-0.37437769999999898</v>
      </c>
      <c r="AH3598">
        <v>195.26785898375499</v>
      </c>
      <c r="AI3598">
        <v>90.108371747411496</v>
      </c>
      <c r="AJ3598">
        <v>80.588768339992797</v>
      </c>
      <c r="AK3598">
        <v>197.93235281414201</v>
      </c>
      <c r="AL3598">
        <v>88.598482289892104</v>
      </c>
      <c r="AM3598">
        <v>87.009963768585393</v>
      </c>
      <c r="AN3598">
        <v>1.00000002962948</v>
      </c>
    </row>
    <row r="3599" spans="1:40" x14ac:dyDescent="0.25">
      <c r="A3599" t="str">
        <f>"20190312154628297"</f>
        <v>20190312154628297</v>
      </c>
      <c r="B3599" t="str">
        <f>"1552376788291064"</f>
        <v>1552376788291064</v>
      </c>
      <c r="C3599" t="s">
        <v>40</v>
      </c>
      <c r="D3599">
        <v>4.5362559999999998</v>
      </c>
      <c r="E3599">
        <v>0.54092249999999997</v>
      </c>
      <c r="F3599" t="s">
        <v>74</v>
      </c>
      <c r="G3599">
        <v>-446.92610000000002</v>
      </c>
      <c r="H3599">
        <v>0.89829539999999997</v>
      </c>
      <c r="I3599">
        <v>173.94290000000001</v>
      </c>
      <c r="J3599">
        <v>-249.3836</v>
      </c>
      <c r="K3599">
        <v>1.1085020000000001</v>
      </c>
      <c r="L3599">
        <v>140.43629999999999</v>
      </c>
      <c r="M3599">
        <v>-0.99998149999999997</v>
      </c>
      <c r="N3599">
        <v>0</v>
      </c>
      <c r="O3599">
        <v>5.9851160000000004E-3</v>
      </c>
      <c r="P3599">
        <v>-0.9980251</v>
      </c>
      <c r="Q3599">
        <v>2.3844750000000001E-2</v>
      </c>
      <c r="R3599">
        <v>5.8118139999999999E-2</v>
      </c>
      <c r="S3599">
        <v>-2.976486</v>
      </c>
      <c r="T3599">
        <v>-3.1628609999999999E-3</v>
      </c>
      <c r="U3599">
        <v>0.50422670000000003</v>
      </c>
      <c r="V3599">
        <v>5.2133289999999999E-2</v>
      </c>
      <c r="W3599">
        <v>2.5166060000000001E-2</v>
      </c>
      <c r="X3599">
        <v>0.99832299999999996</v>
      </c>
      <c r="Y3599">
        <v>0.1611196</v>
      </c>
      <c r="Z3599" s="1">
        <v>7.8684530000000004E-5</v>
      </c>
      <c r="AA3599">
        <v>0.98693489999999995</v>
      </c>
      <c r="AB3599">
        <v>25</v>
      </c>
      <c r="AC3599">
        <v>-197.54249999999999</v>
      </c>
      <c r="AD3599">
        <v>-0.21020659999999999</v>
      </c>
      <c r="AE3599">
        <v>33.506599999999999</v>
      </c>
      <c r="AF3599">
        <v>32.323648812481899</v>
      </c>
      <c r="AG3599">
        <v>-0.21020659999999999</v>
      </c>
      <c r="AH3599">
        <v>197.739285180699</v>
      </c>
      <c r="AI3599">
        <v>90.060110398999996</v>
      </c>
      <c r="AJ3599">
        <v>80.716198552808507</v>
      </c>
      <c r="AK3599">
        <v>200.363887372802</v>
      </c>
      <c r="AL3599">
        <v>88.557938747253402</v>
      </c>
      <c r="AM3599">
        <v>87.010680205032699</v>
      </c>
      <c r="AN3599">
        <v>1.00000001141557</v>
      </c>
    </row>
    <row r="3600" spans="1:40" x14ac:dyDescent="0.25">
      <c r="A3600" t="str">
        <f>"20190312154628319"</f>
        <v>20190312154628319</v>
      </c>
      <c r="B3600" t="str">
        <f>"1552376788311089"</f>
        <v>1552376788311089</v>
      </c>
      <c r="C3600" t="s">
        <v>40</v>
      </c>
      <c r="D3600">
        <v>4.5223409999999999</v>
      </c>
      <c r="E3600">
        <v>0.54054080000000004</v>
      </c>
      <c r="F3600" t="s">
        <v>74</v>
      </c>
      <c r="G3600">
        <v>-449.37639999999999</v>
      </c>
      <c r="H3600">
        <v>1.1885829999999999</v>
      </c>
      <c r="I3600">
        <v>173.88329999999999</v>
      </c>
      <c r="J3600">
        <v>-249.64109999999999</v>
      </c>
      <c r="K3600">
        <v>1.1085039999999999</v>
      </c>
      <c r="L3600">
        <v>140.4375</v>
      </c>
      <c r="M3600">
        <v>-0.99998310000000001</v>
      </c>
      <c r="N3600">
        <v>0</v>
      </c>
      <c r="O3600">
        <v>5.6921840000000003E-3</v>
      </c>
      <c r="P3600">
        <v>-0.99805270000000001</v>
      </c>
      <c r="Q3600">
        <v>2.4339240000000002E-2</v>
      </c>
      <c r="R3600">
        <v>5.7432770000000001E-2</v>
      </c>
      <c r="S3600">
        <v>-2.9769130000000001</v>
      </c>
      <c r="T3600">
        <v>1.192331E-3</v>
      </c>
      <c r="U3600">
        <v>0.49786380000000002</v>
      </c>
      <c r="V3600">
        <v>5.1739210000000001E-2</v>
      </c>
      <c r="W3600">
        <v>2.552596E-2</v>
      </c>
      <c r="X3600">
        <v>0.99833430000000001</v>
      </c>
      <c r="Y3600">
        <v>0.1593338</v>
      </c>
      <c r="Z3600" s="1">
        <v>-2.9424739999999999E-5</v>
      </c>
      <c r="AA3600">
        <v>0.98722480000000001</v>
      </c>
      <c r="AB3600">
        <v>26</v>
      </c>
      <c r="AC3600">
        <v>-199.7353</v>
      </c>
      <c r="AD3600">
        <v>8.0078999999999706E-2</v>
      </c>
      <c r="AE3600">
        <v>33.445799999999899</v>
      </c>
      <c r="AF3600">
        <v>32.308322231184</v>
      </c>
      <c r="AG3600">
        <v>8.0078999999999706E-2</v>
      </c>
      <c r="AH3600">
        <v>199.922412683136</v>
      </c>
      <c r="AI3600">
        <v>89.977344088093602</v>
      </c>
      <c r="AJ3600">
        <v>80.820120175892896</v>
      </c>
      <c r="AK3600">
        <v>202.51618501020201</v>
      </c>
      <c r="AL3600">
        <v>88.537311276065594</v>
      </c>
      <c r="AM3600">
        <v>87.033269728146706</v>
      </c>
      <c r="AN3600">
        <v>0.99999994752091603</v>
      </c>
    </row>
    <row r="3601" spans="1:40" x14ac:dyDescent="0.25">
      <c r="A3601" t="str">
        <f>"20190312154628340"</f>
        <v>20190312154628340</v>
      </c>
      <c r="B3601" t="str">
        <f>"1552376788330610"</f>
        <v>1552376788330610</v>
      </c>
      <c r="C3601" t="s">
        <v>40</v>
      </c>
      <c r="D3601">
        <v>4.5727200000000003</v>
      </c>
      <c r="E3601">
        <v>0.54021160000000001</v>
      </c>
      <c r="F3601" t="s">
        <v>74</v>
      </c>
      <c r="G3601">
        <v>-452.04419999999999</v>
      </c>
      <c r="H3601">
        <v>1.3302799999999999</v>
      </c>
      <c r="I3601">
        <v>173.94280000000001</v>
      </c>
      <c r="J3601">
        <v>-249.8783</v>
      </c>
      <c r="K3601">
        <v>1.1084969999999901</v>
      </c>
      <c r="L3601">
        <v>140.43860000000001</v>
      </c>
      <c r="M3601">
        <v>-0.99998489999999995</v>
      </c>
      <c r="N3601">
        <v>0</v>
      </c>
      <c r="O3601">
        <v>5.4103220000000004E-3</v>
      </c>
      <c r="P3601">
        <v>-0.99806899999999998</v>
      </c>
      <c r="Q3601">
        <v>2.4984780000000002E-2</v>
      </c>
      <c r="R3601">
        <v>5.6868189999999999E-2</v>
      </c>
      <c r="S3601">
        <v>-2.977417</v>
      </c>
      <c r="T3601">
        <v>3.2626389999999999E-3</v>
      </c>
      <c r="U3601">
        <v>0.49287409999999998</v>
      </c>
      <c r="V3601">
        <v>5.1454819999999998E-2</v>
      </c>
      <c r="W3601">
        <v>2.605936E-2</v>
      </c>
      <c r="X3601">
        <v>0.99833519999999998</v>
      </c>
      <c r="Y3601">
        <v>0.157974799999999</v>
      </c>
      <c r="Z3601" s="1">
        <v>-8.0081149999999896E-5</v>
      </c>
      <c r="AA3601">
        <v>0.98744310000000002</v>
      </c>
      <c r="AB3601">
        <v>26</v>
      </c>
      <c r="AC3601">
        <v>-202.16589999999999</v>
      </c>
      <c r="AD3601">
        <v>0.22178300000000001</v>
      </c>
      <c r="AE3601">
        <v>33.504199999999997</v>
      </c>
      <c r="AF3601">
        <v>32.409888549235802</v>
      </c>
      <c r="AG3601">
        <v>0.22178300000000001</v>
      </c>
      <c r="AH3601">
        <v>202.34397270353901</v>
      </c>
      <c r="AI3601">
        <v>89.937990281187496</v>
      </c>
      <c r="AJ3601">
        <v>80.900100714732503</v>
      </c>
      <c r="AK3601">
        <v>204.92323770847401</v>
      </c>
      <c r="AL3601">
        <v>88.506739508572593</v>
      </c>
      <c r="AM3601">
        <v>87.049550435678498</v>
      </c>
      <c r="AN3601">
        <v>0.999999930151938</v>
      </c>
    </row>
    <row r="3602" spans="1:40" x14ac:dyDescent="0.25">
      <c r="A3602" t="str">
        <f>"20190312154628362"</f>
        <v>20190312154628362</v>
      </c>
      <c r="B3602" t="str">
        <f>"1552376788351106"</f>
        <v>1552376788351106</v>
      </c>
      <c r="C3602" t="s">
        <v>40</v>
      </c>
      <c r="D3602">
        <v>4.5388849999999996</v>
      </c>
      <c r="E3602">
        <v>0.5399159</v>
      </c>
      <c r="F3602" t="s">
        <v>74</v>
      </c>
      <c r="G3602">
        <v>-454.12369999999999</v>
      </c>
      <c r="H3602">
        <v>1.4516199999999999</v>
      </c>
      <c r="I3602">
        <v>173.94280000000001</v>
      </c>
      <c r="J3602">
        <v>-250.15649999999999</v>
      </c>
      <c r="K3602">
        <v>1.1084909999999999</v>
      </c>
      <c r="L3602">
        <v>140.43979999999999</v>
      </c>
      <c r="M3602">
        <v>-0.99998679999999995</v>
      </c>
      <c r="N3602">
        <v>0</v>
      </c>
      <c r="O3602">
        <v>5.0715990000000004E-3</v>
      </c>
      <c r="P3602">
        <v>-0.99809579999999998</v>
      </c>
      <c r="Q3602">
        <v>2.5005159999999998E-2</v>
      </c>
      <c r="R3602">
        <v>5.6391759999999999E-2</v>
      </c>
      <c r="S3602">
        <v>-2.9778289999999998</v>
      </c>
      <c r="T3602">
        <v>5.002856E-3</v>
      </c>
      <c r="U3602">
        <v>0.48847960000000001</v>
      </c>
      <c r="V3602">
        <v>5.131604E-2</v>
      </c>
      <c r="W3602">
        <v>2.5961169999999999E-2</v>
      </c>
      <c r="X3602">
        <v>0.99834500000000004</v>
      </c>
      <c r="Y3602">
        <v>0.15686839999999999</v>
      </c>
      <c r="Z3602">
        <v>-1.2243439999999999E-4</v>
      </c>
      <c r="AA3602">
        <v>0.98761949999999998</v>
      </c>
      <c r="AB3602">
        <v>26</v>
      </c>
      <c r="AC3602">
        <v>-203.96719999999999</v>
      </c>
      <c r="AD3602">
        <v>0.34312900000000002</v>
      </c>
      <c r="AE3602">
        <v>33.503</v>
      </c>
      <c r="AF3602">
        <v>32.468039458856502</v>
      </c>
      <c r="AG3602">
        <v>0.34312900000000002</v>
      </c>
      <c r="AH3602">
        <v>204.13392815622299</v>
      </c>
      <c r="AI3602">
        <v>89.904887090927502</v>
      </c>
      <c r="AJ3602">
        <v>80.962655939966695</v>
      </c>
      <c r="AK3602">
        <v>206.70014985070199</v>
      </c>
      <c r="AL3602">
        <v>88.512367432158698</v>
      </c>
      <c r="AM3602">
        <v>87.057522992177695</v>
      </c>
      <c r="AN3602">
        <v>1.0000000286670201</v>
      </c>
    </row>
    <row r="3603" spans="1:40" x14ac:dyDescent="0.25">
      <c r="A3603" t="str">
        <f>"20190312154628384"</f>
        <v>20190312154628384</v>
      </c>
      <c r="B3603" t="str">
        <f>"1552376788370625"</f>
        <v>1552376788370625</v>
      </c>
      <c r="C3603" t="s">
        <v>40</v>
      </c>
      <c r="D3603">
        <v>4.5913680000000001</v>
      </c>
      <c r="E3603">
        <v>0.53984339999999997</v>
      </c>
      <c r="F3603" t="s">
        <v>74</v>
      </c>
      <c r="G3603">
        <v>-455.97039999999998</v>
      </c>
      <c r="H3603">
        <v>1.4236420000000001</v>
      </c>
      <c r="I3603">
        <v>173.94280000000001</v>
      </c>
      <c r="J3603">
        <v>-250.398</v>
      </c>
      <c r="K3603">
        <v>1.1084799999999999</v>
      </c>
      <c r="L3603">
        <v>140.44069999999999</v>
      </c>
      <c r="M3603">
        <v>-0.99998830000000005</v>
      </c>
      <c r="N3603">
        <v>0</v>
      </c>
      <c r="O3603">
        <v>4.7729729999999998E-3</v>
      </c>
      <c r="P3603">
        <v>-0.99809840000000005</v>
      </c>
      <c r="Q3603">
        <v>2.5132620000000001E-2</v>
      </c>
      <c r="R3603">
        <v>5.6286160000000002E-2</v>
      </c>
      <c r="S3603">
        <v>-2.9782099999999998</v>
      </c>
      <c r="T3603">
        <v>4.5605899999999998E-3</v>
      </c>
      <c r="U3603">
        <v>0.48480220000000002</v>
      </c>
      <c r="V3603">
        <v>5.1508100000000001E-2</v>
      </c>
      <c r="W3603">
        <v>2.59974E-2</v>
      </c>
      <c r="X3603">
        <v>0.9983341</v>
      </c>
      <c r="Y3603">
        <v>0.15595529999999999</v>
      </c>
      <c r="Z3603">
        <v>-1.1136739999999999E-4</v>
      </c>
      <c r="AA3603">
        <v>0.98776410000000003</v>
      </c>
      <c r="AB3603">
        <v>26</v>
      </c>
      <c r="AC3603">
        <v>-205.57239999999999</v>
      </c>
      <c r="AD3603">
        <v>0.315162</v>
      </c>
      <c r="AE3603">
        <v>33.502099999999999</v>
      </c>
      <c r="AF3603">
        <v>32.520452111271702</v>
      </c>
      <c r="AG3603">
        <v>0.315162</v>
      </c>
      <c r="AH3603">
        <v>205.729492020853</v>
      </c>
      <c r="AI3603">
        <v>89.913303743713001</v>
      </c>
      <c r="AJ3603">
        <v>81.017361064164206</v>
      </c>
      <c r="AK3603">
        <v>208.28418811749901</v>
      </c>
      <c r="AL3603">
        <v>88.510290806217498</v>
      </c>
      <c r="AM3603">
        <v>87.046497487120305</v>
      </c>
      <c r="AN3603">
        <v>0.99999996219758902</v>
      </c>
    </row>
    <row r="3604" spans="1:40" x14ac:dyDescent="0.25">
      <c r="A3604" t="str">
        <f>"20190312154628406"</f>
        <v>20190312154628406</v>
      </c>
      <c r="B3604" t="str">
        <f>"1552376788400882"</f>
        <v>1552376788400882</v>
      </c>
      <c r="C3604" t="s">
        <v>40</v>
      </c>
      <c r="D3604">
        <v>4.539371</v>
      </c>
      <c r="E3604">
        <v>0.53956930000000003</v>
      </c>
      <c r="F3604" t="s">
        <v>74</v>
      </c>
      <c r="G3604">
        <v>-456.08100000000002</v>
      </c>
      <c r="H3604">
        <v>1.3549800000000001</v>
      </c>
      <c r="I3604">
        <v>173.85570000000001</v>
      </c>
      <c r="J3604">
        <v>-250.6755</v>
      </c>
      <c r="K3604">
        <v>1.1084689999999999</v>
      </c>
      <c r="L3604">
        <v>140.4417</v>
      </c>
      <c r="M3604">
        <v>-0.99999009999999999</v>
      </c>
      <c r="N3604">
        <v>0</v>
      </c>
      <c r="O3604">
        <v>4.4277379999999996E-3</v>
      </c>
      <c r="P3604">
        <v>-0.99811490000000003</v>
      </c>
      <c r="Q3604">
        <v>2.5672790000000001E-2</v>
      </c>
      <c r="R3604">
        <v>5.5749380000000001E-2</v>
      </c>
      <c r="S3604">
        <v>-2.9783330000000001</v>
      </c>
      <c r="T3604">
        <v>3.569245E-3</v>
      </c>
      <c r="U3604">
        <v>0.48385620000000001</v>
      </c>
      <c r="V3604">
        <v>5.1315350000000003E-2</v>
      </c>
      <c r="W3604">
        <v>2.6444519999999999E-2</v>
      </c>
      <c r="X3604">
        <v>0.99833229999999995</v>
      </c>
      <c r="Y3604">
        <v>0.15598429999999999</v>
      </c>
      <c r="Z3604" s="1">
        <v>-8.7586199999999998E-5</v>
      </c>
      <c r="AA3604">
        <v>0.98775950000000001</v>
      </c>
      <c r="AB3604">
        <v>27</v>
      </c>
      <c r="AC3604">
        <v>-205.40549999999999</v>
      </c>
      <c r="AD3604">
        <v>0.24651099999999901</v>
      </c>
      <c r="AE3604">
        <v>33.414000000000001</v>
      </c>
      <c r="AF3604">
        <v>32.504145025099902</v>
      </c>
      <c r="AG3604">
        <v>0.24651099999999901</v>
      </c>
      <c r="AH3604">
        <v>205.55114654836299</v>
      </c>
      <c r="AI3604">
        <v>89.932130335064699</v>
      </c>
      <c r="AJ3604">
        <v>81.014129093338198</v>
      </c>
      <c r="AK3604">
        <v>208.105391710144</v>
      </c>
      <c r="AL3604">
        <v>88.484663931070301</v>
      </c>
      <c r="AM3604">
        <v>87.057525121853999</v>
      </c>
      <c r="AN3604">
        <v>0.99999997950347097</v>
      </c>
    </row>
    <row r="3605" spans="1:40" x14ac:dyDescent="0.25">
      <c r="A3605" t="str">
        <f>"20190312154628428"</f>
        <v>20190312154628428</v>
      </c>
      <c r="B3605" t="str">
        <f>"1552376788421378"</f>
        <v>1552376788421378</v>
      </c>
      <c r="C3605" t="s">
        <v>40</v>
      </c>
      <c r="D3605">
        <v>4.5146059999999997</v>
      </c>
      <c r="E3605">
        <v>0.53938560000000002</v>
      </c>
      <c r="F3605" t="s">
        <v>75</v>
      </c>
      <c r="G3605">
        <v>-459.875</v>
      </c>
      <c r="H3605">
        <v>1.3912869999999999</v>
      </c>
      <c r="I3605">
        <v>174.14769999999999</v>
      </c>
      <c r="J3605">
        <v>-250.93610000000001</v>
      </c>
      <c r="K3605">
        <v>1.1084609999999999</v>
      </c>
      <c r="L3605">
        <v>140.4425</v>
      </c>
      <c r="M3605">
        <v>-0.99999150000000003</v>
      </c>
      <c r="N3605">
        <v>0</v>
      </c>
      <c r="O3605">
        <v>4.1037699999999996E-3</v>
      </c>
      <c r="P3605">
        <v>-0.99810189999999999</v>
      </c>
      <c r="Q3605">
        <v>2.582427E-2</v>
      </c>
      <c r="R3605">
        <v>5.5911269999999999E-2</v>
      </c>
      <c r="S3605">
        <v>-2.9787599999999999</v>
      </c>
      <c r="T3605">
        <v>4.0270089999999998E-3</v>
      </c>
      <c r="U3605">
        <v>0.47993469999999999</v>
      </c>
      <c r="V3605">
        <v>5.1800520000000003E-2</v>
      </c>
      <c r="W3605">
        <v>2.6518400000000001E-2</v>
      </c>
      <c r="X3605">
        <v>0.99830529999999995</v>
      </c>
      <c r="Y3605">
        <v>0.1550145</v>
      </c>
      <c r="Z3605" s="1">
        <v>-9.8599399999999997E-5</v>
      </c>
      <c r="AA3605">
        <v>0.98791220000000002</v>
      </c>
      <c r="AB3605">
        <v>27</v>
      </c>
      <c r="AC3605">
        <v>-208.93889999999999</v>
      </c>
      <c r="AD3605">
        <v>0.28282600000000002</v>
      </c>
      <c r="AE3605">
        <v>33.705199999999898</v>
      </c>
      <c r="AF3605">
        <v>32.847420267213998</v>
      </c>
      <c r="AG3605">
        <v>0.28282600000000002</v>
      </c>
      <c r="AH3605">
        <v>209.07508565435199</v>
      </c>
      <c r="AI3605">
        <v>89.923432466713294</v>
      </c>
      <c r="AJ3605">
        <v>81.071345118341796</v>
      </c>
      <c r="AK3605">
        <v>211.63984608322701</v>
      </c>
      <c r="AL3605">
        <v>88.480429458405496</v>
      </c>
      <c r="AM3605">
        <v>87.029674370767097</v>
      </c>
      <c r="AN3605">
        <v>0.99999999570945997</v>
      </c>
    </row>
    <row r="3606" spans="1:40" x14ac:dyDescent="0.25">
      <c r="A3606" t="str">
        <f>"20190312154628451"</f>
        <v>20190312154628451</v>
      </c>
      <c r="B3606" t="str">
        <f>"1552376788440899"</f>
        <v>1552376788440899</v>
      </c>
      <c r="C3606" t="s">
        <v>40</v>
      </c>
      <c r="D3606">
        <v>4.5635180000000002</v>
      </c>
      <c r="E3606">
        <v>0.53920259999999998</v>
      </c>
      <c r="F3606" t="s">
        <v>75</v>
      </c>
      <c r="G3606">
        <v>-459.875</v>
      </c>
      <c r="H3606">
        <v>1.376058</v>
      </c>
      <c r="I3606">
        <v>174.03450000000001</v>
      </c>
      <c r="J3606">
        <v>-251.21729999999999</v>
      </c>
      <c r="K3606">
        <v>1.108457</v>
      </c>
      <c r="L3606">
        <v>140.44329999999999</v>
      </c>
      <c r="M3606">
        <v>-0.99999289999999996</v>
      </c>
      <c r="N3606">
        <v>0</v>
      </c>
      <c r="O3606">
        <v>3.7548239999999999E-3</v>
      </c>
      <c r="P3606">
        <v>-0.99806760000000005</v>
      </c>
      <c r="Q3606">
        <v>2.6357459999999999E-2</v>
      </c>
      <c r="R3606">
        <v>5.6272750000000003E-2</v>
      </c>
      <c r="S3606">
        <v>-2.97879</v>
      </c>
      <c r="T3606">
        <v>3.8150549999999999E-3</v>
      </c>
      <c r="U3606">
        <v>0.47891240000000002</v>
      </c>
      <c r="V3606">
        <v>5.2509920000000002E-2</v>
      </c>
      <c r="W3606">
        <v>2.6979340000000001E-2</v>
      </c>
      <c r="X3606">
        <v>0.99825589999999997</v>
      </c>
      <c r="Y3606">
        <v>0.1550272</v>
      </c>
      <c r="Z3606" s="1">
        <v>-9.3863479999999999E-5</v>
      </c>
      <c r="AA3606">
        <v>0.98791019999999896</v>
      </c>
      <c r="AB3606">
        <v>27</v>
      </c>
      <c r="AC3606">
        <v>-208.65770000000001</v>
      </c>
      <c r="AD3606">
        <v>0.26760099999999998</v>
      </c>
      <c r="AE3606">
        <v>33.591200000000001</v>
      </c>
      <c r="AF3606">
        <v>32.807437625850703</v>
      </c>
      <c r="AG3606">
        <v>0.26760099999999998</v>
      </c>
      <c r="AH3606">
        <v>208.78202341894701</v>
      </c>
      <c r="AI3606">
        <v>89.927452854102995</v>
      </c>
      <c r="AJ3606">
        <v>81.069722187025803</v>
      </c>
      <c r="AK3606">
        <v>211.34411010666699</v>
      </c>
      <c r="AL3606">
        <v>88.454010109039004</v>
      </c>
      <c r="AM3606">
        <v>86.988921846218304</v>
      </c>
      <c r="AN3606">
        <v>1.0000000091850201</v>
      </c>
    </row>
    <row r="3607" spans="1:40" x14ac:dyDescent="0.25">
      <c r="A3607" t="str">
        <f>"20190312154628475"</f>
        <v>20190312154628475</v>
      </c>
      <c r="B3607" t="str">
        <f>"1552376788471154"</f>
        <v>1552376788471154</v>
      </c>
      <c r="C3607" t="s">
        <v>40</v>
      </c>
      <c r="D3607">
        <v>4.5110590000000004</v>
      </c>
      <c r="E3607">
        <v>0.53890700000000002</v>
      </c>
      <c r="F3607" t="s">
        <v>75</v>
      </c>
      <c r="G3607">
        <v>-459.875</v>
      </c>
      <c r="H3607">
        <v>1.3067789999999999</v>
      </c>
      <c r="I3607">
        <v>173.95609999999999</v>
      </c>
      <c r="J3607">
        <v>-251.49889999999999</v>
      </c>
      <c r="K3607">
        <v>1.1084459999999901</v>
      </c>
      <c r="L3607">
        <v>140.44399999999999</v>
      </c>
      <c r="M3607">
        <v>-0.9999941</v>
      </c>
      <c r="N3607">
        <v>0</v>
      </c>
      <c r="O3607">
        <v>3.4068240000000001E-3</v>
      </c>
      <c r="P3607">
        <v>-0.99807020000000002</v>
      </c>
      <c r="Q3607">
        <v>2.6568359999999999E-2</v>
      </c>
      <c r="R3607">
        <v>5.6127240000000002E-2</v>
      </c>
      <c r="S3607">
        <v>-2.9787750000000002</v>
      </c>
      <c r="T3607">
        <v>2.8312210000000001E-3</v>
      </c>
      <c r="U3607">
        <v>0.47842410000000002</v>
      </c>
      <c r="V3607">
        <v>5.2711670000000002E-2</v>
      </c>
      <c r="W3607">
        <v>2.7129480000000001E-2</v>
      </c>
      <c r="X3607">
        <v>0.99824120000000005</v>
      </c>
      <c r="Y3607">
        <v>0.15521399999999999</v>
      </c>
      <c r="Z3607" s="1">
        <v>-7.0075809999999998E-5</v>
      </c>
      <c r="AA3607">
        <v>0.98788089999999995</v>
      </c>
      <c r="AB3607">
        <v>27</v>
      </c>
      <c r="AC3607">
        <v>-208.37610000000001</v>
      </c>
      <c r="AD3607">
        <v>0.19833300000000001</v>
      </c>
      <c r="AE3607">
        <v>33.512099999999997</v>
      </c>
      <c r="AF3607">
        <v>32.801975786913999</v>
      </c>
      <c r="AG3607">
        <v>0.19833300000000001</v>
      </c>
      <c r="AH3607">
        <v>208.48887646644599</v>
      </c>
      <c r="AI3607">
        <v>89.946157536742007</v>
      </c>
      <c r="AJ3607">
        <v>81.058833240559906</v>
      </c>
      <c r="AK3607">
        <v>211.05359641983199</v>
      </c>
      <c r="AL3607">
        <v>88.445404573814599</v>
      </c>
      <c r="AM3607">
        <v>86.977329872568006</v>
      </c>
      <c r="AN3607">
        <v>1.00000001110834</v>
      </c>
    </row>
    <row r="3608" spans="1:40" x14ac:dyDescent="0.25">
      <c r="A3608" t="str">
        <f>"20190312154628497"</f>
        <v>20190312154628497</v>
      </c>
      <c r="B3608" t="str">
        <f>"1552376788490673"</f>
        <v>1552376788490673</v>
      </c>
      <c r="C3608" t="s">
        <v>40</v>
      </c>
      <c r="D3608">
        <v>4.4966799999999996</v>
      </c>
      <c r="E3608">
        <v>0.53868629999999995</v>
      </c>
      <c r="F3608" t="s">
        <v>75</v>
      </c>
      <c r="G3608">
        <v>-459.875</v>
      </c>
      <c r="H3608">
        <v>1.2118599999999999</v>
      </c>
      <c r="I3608">
        <v>173.70599999999999</v>
      </c>
      <c r="J3608">
        <v>-251.7784</v>
      </c>
      <c r="K3608">
        <v>1.1084400000000001</v>
      </c>
      <c r="L3608">
        <v>140.44470000000001</v>
      </c>
      <c r="M3608">
        <v>-0.99999519999999997</v>
      </c>
      <c r="N3608">
        <v>0</v>
      </c>
      <c r="O3608">
        <v>3.0629889999999999E-3</v>
      </c>
      <c r="P3608">
        <v>-0.99809190000000003</v>
      </c>
      <c r="Q3608">
        <v>2.6420140000000002E-2</v>
      </c>
      <c r="R3608">
        <v>5.5805540000000001E-2</v>
      </c>
      <c r="S3608">
        <v>-2.9790190000000001</v>
      </c>
      <c r="T3608">
        <v>1.478434E-3</v>
      </c>
      <c r="U3608">
        <v>0.47552489999999997</v>
      </c>
      <c r="V3608">
        <v>5.2732960000000002E-2</v>
      </c>
      <c r="W3608">
        <v>2.6930719999999998E-2</v>
      </c>
      <c r="X3608">
        <v>0.99824539999999995</v>
      </c>
      <c r="Y3608">
        <v>0.15460370000000001</v>
      </c>
      <c r="Z3608" s="1">
        <v>-3.6611749999999997E-5</v>
      </c>
      <c r="AA3608">
        <v>0.98797659999999998</v>
      </c>
      <c r="AB3608">
        <v>27</v>
      </c>
      <c r="AC3608">
        <v>-208.0966</v>
      </c>
      <c r="AD3608">
        <v>0.10342</v>
      </c>
      <c r="AE3608">
        <v>33.261299999999899</v>
      </c>
      <c r="AF3608">
        <v>32.623738449234899</v>
      </c>
      <c r="AG3608">
        <v>0.10342</v>
      </c>
      <c r="AH3608">
        <v>208.19745269205501</v>
      </c>
      <c r="AI3608">
        <v>89.971882004301904</v>
      </c>
      <c r="AJ3608">
        <v>81.094389470661</v>
      </c>
      <c r="AK3608">
        <v>210.73798498030999</v>
      </c>
      <c r="AL3608">
        <v>88.456796756713501</v>
      </c>
      <c r="AM3608">
        <v>86.976123994409505</v>
      </c>
      <c r="AN3608">
        <v>0.999999953685618</v>
      </c>
    </row>
    <row r="3609" spans="1:40" x14ac:dyDescent="0.25">
      <c r="A3609" t="str">
        <f>"20190312154628520"</f>
        <v>20190312154628520</v>
      </c>
      <c r="B3609" t="str">
        <f>"1552376788510702"</f>
        <v>1552376788510702</v>
      </c>
      <c r="C3609" t="s">
        <v>40</v>
      </c>
      <c r="D3609">
        <v>4.6354850000000001</v>
      </c>
      <c r="E3609">
        <v>0.53857860000000002</v>
      </c>
      <c r="F3609" t="s">
        <v>75</v>
      </c>
      <c r="G3609">
        <v>-459.875</v>
      </c>
      <c r="H3609">
        <v>1.1154679999999999</v>
      </c>
      <c r="I3609">
        <v>173.47370000000001</v>
      </c>
      <c r="J3609">
        <v>-252.06809999999999</v>
      </c>
      <c r="K3609">
        <v>1.1084369999999999</v>
      </c>
      <c r="L3609">
        <v>140.4452</v>
      </c>
      <c r="M3609">
        <v>-0.9999962</v>
      </c>
      <c r="N3609">
        <v>0</v>
      </c>
      <c r="O3609">
        <v>2.7076449999999998E-3</v>
      </c>
      <c r="P3609">
        <v>-0.99809340000000002</v>
      </c>
      <c r="Q3609">
        <v>2.6435710000000001E-2</v>
      </c>
      <c r="R3609">
        <v>5.5774860000000002E-2</v>
      </c>
      <c r="S3609">
        <v>-2.979279</v>
      </c>
      <c r="T3609">
        <v>1.0061260000000001E-4</v>
      </c>
      <c r="U3609">
        <v>0.47286990000000001</v>
      </c>
      <c r="V3609">
        <v>5.3057029999999998E-2</v>
      </c>
      <c r="W3609">
        <v>2.6904979999999998E-2</v>
      </c>
      <c r="X3609">
        <v>0.99822900000000003</v>
      </c>
      <c r="Y3609">
        <v>0.15408259999999999</v>
      </c>
      <c r="Z3609" s="1">
        <v>-2.4946990000000002E-6</v>
      </c>
      <c r="AA3609">
        <v>0.98805799999999999</v>
      </c>
      <c r="AB3609">
        <v>28</v>
      </c>
      <c r="AC3609">
        <v>-207.80690000000001</v>
      </c>
      <c r="AD3609">
        <v>7.0310000000000103E-3</v>
      </c>
      <c r="AE3609">
        <v>33.028500000000001</v>
      </c>
      <c r="AF3609">
        <v>32.465711502561199</v>
      </c>
      <c r="AG3609">
        <v>7.0310000000000103E-3</v>
      </c>
      <c r="AH3609">
        <v>207.895567479498</v>
      </c>
      <c r="AI3609">
        <v>89.998085468752095</v>
      </c>
      <c r="AJ3609">
        <v>81.124175641680793</v>
      </c>
      <c r="AK3609">
        <v>210.415278557487</v>
      </c>
      <c r="AL3609">
        <v>88.458272204593598</v>
      </c>
      <c r="AM3609">
        <v>86.957525703330802</v>
      </c>
      <c r="AN3609">
        <v>1.0000000314111099</v>
      </c>
    </row>
    <row r="3610" spans="1:40" x14ac:dyDescent="0.25">
      <c r="A3610" t="str">
        <f>"20190312154628541"</f>
        <v>20190312154628541</v>
      </c>
      <c r="B3610" t="str">
        <f>"1552376788531198"</f>
        <v>1552376788531198</v>
      </c>
      <c r="C3610" t="s">
        <v>40</v>
      </c>
      <c r="D3610">
        <v>4.4143970000000001</v>
      </c>
      <c r="E3610">
        <v>0.53844789999999998</v>
      </c>
      <c r="F3610" t="s">
        <v>75</v>
      </c>
      <c r="G3610">
        <v>-459.875</v>
      </c>
      <c r="H3610">
        <v>1.096098</v>
      </c>
      <c r="I3610">
        <v>173.35380000000001</v>
      </c>
      <c r="J3610">
        <v>-252.33680000000001</v>
      </c>
      <c r="K3610">
        <v>1.108428</v>
      </c>
      <c r="L3610">
        <v>140.44560000000001</v>
      </c>
      <c r="M3610">
        <v>-0.99999729999999998</v>
      </c>
      <c r="N3610">
        <v>0</v>
      </c>
      <c r="O3610">
        <v>2.3789969999999999E-3</v>
      </c>
      <c r="P3610">
        <v>-0.99809619999999999</v>
      </c>
      <c r="Q3610">
        <v>2.7273950000000002E-2</v>
      </c>
      <c r="R3610">
        <v>5.5321700000000001E-2</v>
      </c>
      <c r="S3610">
        <v>-2.9793699999999999</v>
      </c>
      <c r="T3610">
        <v>-1.7690659999999999E-4</v>
      </c>
      <c r="U3610">
        <v>0.47181699999999999</v>
      </c>
      <c r="V3610">
        <v>5.293117E-2</v>
      </c>
      <c r="W3610">
        <v>2.7712440000000001E-2</v>
      </c>
      <c r="X3610">
        <v>0.99821360000000003</v>
      </c>
      <c r="Y3610">
        <v>0.15406199999999901</v>
      </c>
      <c r="Z3610" s="1">
        <v>4.4051850000000004E-6</v>
      </c>
      <c r="AA3610">
        <v>0.98806119999999997</v>
      </c>
      <c r="AB3610">
        <v>28</v>
      </c>
      <c r="AC3610">
        <v>-207.53819999999999</v>
      </c>
      <c r="AD3610">
        <v>-1.23299999999999E-2</v>
      </c>
      <c r="AE3610">
        <v>32.908199999999901</v>
      </c>
      <c r="AF3610">
        <v>32.414374073132798</v>
      </c>
      <c r="AG3610">
        <v>-1.23299999999999E-2</v>
      </c>
      <c r="AH3610">
        <v>207.61590048902599</v>
      </c>
      <c r="AI3610">
        <v>90.003361982894504</v>
      </c>
      <c r="AJ3610">
        <v>81.126240238796598</v>
      </c>
      <c r="AK3610">
        <v>210.131039911887</v>
      </c>
      <c r="AL3610">
        <v>88.411990907034607</v>
      </c>
      <c r="AM3610">
        <v>86.964682702008304</v>
      </c>
      <c r="AN3610">
        <v>1.00000003965664</v>
      </c>
    </row>
    <row r="3611" spans="1:40" x14ac:dyDescent="0.25">
      <c r="A3611" t="str">
        <f>"20190312154628564"</f>
        <v>20190312154628564</v>
      </c>
      <c r="B3611" t="str">
        <f>"1552376788561453"</f>
        <v>1552376788561453</v>
      </c>
      <c r="C3611" t="s">
        <v>40</v>
      </c>
      <c r="D3611">
        <v>4.3633160000000002</v>
      </c>
      <c r="E3611">
        <v>0.53827579999999997</v>
      </c>
      <c r="F3611" t="s">
        <v>75</v>
      </c>
      <c r="G3611">
        <v>-459.875</v>
      </c>
      <c r="H3611">
        <v>1.3210150000000001</v>
      </c>
      <c r="I3611">
        <v>173.14619999999999</v>
      </c>
      <c r="J3611">
        <v>-252.61879999999999</v>
      </c>
      <c r="K3611">
        <v>1.108422</v>
      </c>
      <c r="L3611">
        <v>140.446</v>
      </c>
      <c r="M3611">
        <v>-0.99999800000000005</v>
      </c>
      <c r="N3611">
        <v>0</v>
      </c>
      <c r="O3611">
        <v>2.034789E-3</v>
      </c>
      <c r="P3611">
        <v>-0.99811609999999995</v>
      </c>
      <c r="Q3611">
        <v>2.759441E-2</v>
      </c>
      <c r="R3611">
        <v>5.4800090000000003E-2</v>
      </c>
      <c r="S3611">
        <v>-2.9796299999999998</v>
      </c>
      <c r="T3611">
        <v>3.0521150000000002E-3</v>
      </c>
      <c r="U3611">
        <v>0.46948240000000002</v>
      </c>
      <c r="V3611">
        <v>5.2752809999999997E-2</v>
      </c>
      <c r="W3611">
        <v>2.8007959999999998E-2</v>
      </c>
      <c r="X3611">
        <v>0.99821479999999996</v>
      </c>
      <c r="Y3611">
        <v>0.15363350000000001</v>
      </c>
      <c r="Z3611" s="1">
        <v>-7.6131619999999996E-5</v>
      </c>
      <c r="AA3611">
        <v>0.98812789999999995</v>
      </c>
      <c r="AB3611">
        <v>28</v>
      </c>
      <c r="AC3611">
        <v>-207.25620000000001</v>
      </c>
      <c r="AD3611">
        <v>0.212593</v>
      </c>
      <c r="AE3611">
        <v>32.700199999999903</v>
      </c>
      <c r="AF3611">
        <v>32.2783765609936</v>
      </c>
      <c r="AG3611">
        <v>0.212593</v>
      </c>
      <c r="AH3611">
        <v>207.32209610564499</v>
      </c>
      <c r="AI3611">
        <v>89.9419469566337</v>
      </c>
      <c r="AJ3611">
        <v>81.150556715027307</v>
      </c>
      <c r="AK3611">
        <v>209.819899730305</v>
      </c>
      <c r="AL3611">
        <v>88.3950522937686</v>
      </c>
      <c r="AM3611">
        <v>86.974895287126103</v>
      </c>
      <c r="AN3611">
        <v>1.0000000458626399</v>
      </c>
    </row>
    <row r="3612" spans="1:40" x14ac:dyDescent="0.25">
      <c r="A3612" t="str">
        <f>"20190312154628607"</f>
        <v>20190312154628607</v>
      </c>
      <c r="B3612" t="str">
        <f>"1552376788601470"</f>
        <v>1552376788601470</v>
      </c>
      <c r="C3612" t="s">
        <v>40</v>
      </c>
      <c r="D3612">
        <v>4.3546769999999997</v>
      </c>
      <c r="E3612">
        <v>0.53995170000000003</v>
      </c>
      <c r="F3612" t="s">
        <v>75</v>
      </c>
      <c r="G3612">
        <v>-459.875</v>
      </c>
      <c r="H3612">
        <v>1.414588</v>
      </c>
      <c r="I3612">
        <v>172.8973</v>
      </c>
      <c r="J3612">
        <v>-253.1772</v>
      </c>
      <c r="K3612">
        <v>1.1084039999999999</v>
      </c>
      <c r="L3612">
        <v>140.44630000000001</v>
      </c>
      <c r="M3612">
        <v>-0.99999919999999998</v>
      </c>
      <c r="N3612">
        <v>0</v>
      </c>
      <c r="O3612">
        <v>1.355303E-3</v>
      </c>
      <c r="P3612">
        <v>-0.99812650000000003</v>
      </c>
      <c r="Q3612">
        <v>2.9047570000000002E-2</v>
      </c>
      <c r="R3612">
        <v>5.385115E-2</v>
      </c>
      <c r="S3612">
        <v>-2.9799190000000002</v>
      </c>
      <c r="T3612">
        <v>4.4020409999999998E-3</v>
      </c>
      <c r="U3612">
        <v>0.46658329999999998</v>
      </c>
      <c r="V3612">
        <v>5.2480760000000001E-2</v>
      </c>
      <c r="W3612">
        <v>2.943169E-2</v>
      </c>
      <c r="X3612">
        <v>0.99818810000000002</v>
      </c>
      <c r="Y3612">
        <v>0.15335179999999901</v>
      </c>
      <c r="Z3612">
        <v>-1.105925E-4</v>
      </c>
      <c r="AA3612">
        <v>0.98817160000000004</v>
      </c>
      <c r="AB3612">
        <v>28</v>
      </c>
      <c r="AC3612">
        <v>-206.6978</v>
      </c>
      <c r="AD3612">
        <v>0.30618399999999901</v>
      </c>
      <c r="AE3612">
        <v>32.450999999999901</v>
      </c>
      <c r="AF3612">
        <v>32.170763187228197</v>
      </c>
      <c r="AG3612">
        <v>0.30618399999999901</v>
      </c>
      <c r="AH3612">
        <v>206.74114835975399</v>
      </c>
      <c r="AI3612">
        <v>89.916153969085499</v>
      </c>
      <c r="AJ3612">
        <v>81.155201125784203</v>
      </c>
      <c r="AK3612">
        <v>209.22942952128</v>
      </c>
      <c r="AL3612">
        <v>88.3134447773799</v>
      </c>
      <c r="AM3612">
        <v>86.990386862073294</v>
      </c>
      <c r="AN3612">
        <v>0.99999996876402097</v>
      </c>
    </row>
    <row r="3613" spans="1:40" x14ac:dyDescent="0.25">
      <c r="A3613" t="str">
        <f>"20190312154628628"</f>
        <v>20190312154628628</v>
      </c>
      <c r="B3613" t="str">
        <f>"1552376788620990"</f>
        <v>1552376788620990</v>
      </c>
      <c r="C3613" t="s">
        <v>40</v>
      </c>
      <c r="D3613">
        <v>4.3226849999999999</v>
      </c>
      <c r="E3613">
        <v>0.53939649999999995</v>
      </c>
      <c r="F3613" t="s">
        <v>52</v>
      </c>
      <c r="G3613">
        <v>-301.90249999999997</v>
      </c>
      <c r="H3613" s="1">
        <v>-1.0658370000000001E-5</v>
      </c>
      <c r="I3613">
        <v>148.19759999999999</v>
      </c>
      <c r="J3613">
        <v>-253.45599999999999</v>
      </c>
      <c r="K3613">
        <v>1.108406</v>
      </c>
      <c r="L3613">
        <v>140.44640000000001</v>
      </c>
      <c r="M3613">
        <v>-0.99999939999999998</v>
      </c>
      <c r="N3613">
        <v>0</v>
      </c>
      <c r="O3613">
        <v>1.0168079999999999E-3</v>
      </c>
      <c r="P3613">
        <v>-0.99814840000000005</v>
      </c>
      <c r="Q3613">
        <v>2.9315600000000001E-2</v>
      </c>
      <c r="R3613">
        <v>5.3295849999999999E-2</v>
      </c>
      <c r="S3613">
        <v>-2.981995</v>
      </c>
      <c r="T3613">
        <v>-6.7835090000000001E-2</v>
      </c>
      <c r="U3613">
        <v>0.47438049999999998</v>
      </c>
      <c r="V3613">
        <v>5.2262889999999999E-2</v>
      </c>
      <c r="W3613">
        <v>2.9693359999999999E-2</v>
      </c>
      <c r="X3613">
        <v>0.99819179999999996</v>
      </c>
      <c r="Y3613">
        <v>0.1560627</v>
      </c>
      <c r="Z3613">
        <v>1.7407779999999999E-3</v>
      </c>
      <c r="AA3613">
        <v>0.9877456</v>
      </c>
      <c r="AB3613">
        <v>29</v>
      </c>
      <c r="AC3613">
        <v>-48.446499999999901</v>
      </c>
      <c r="AD3613">
        <v>-1.1084166583699999</v>
      </c>
      <c r="AE3613">
        <v>7.7511999999999803</v>
      </c>
      <c r="AF3613">
        <v>7.6980061987021298</v>
      </c>
      <c r="AG3613">
        <v>-1.1084166583699999</v>
      </c>
      <c r="AH3613">
        <v>48.429638334208697</v>
      </c>
      <c r="AI3613">
        <v>91.294858336158796</v>
      </c>
      <c r="AJ3613">
        <v>80.968258654956202</v>
      </c>
      <c r="AK3613">
        <v>49.050155515615501</v>
      </c>
      <c r="AL3613">
        <v>88.298445666406494</v>
      </c>
      <c r="AM3613">
        <v>87.002869310984195</v>
      </c>
      <c r="AN3613">
        <v>0.99999998744324003</v>
      </c>
    </row>
    <row r="3614" spans="1:40" x14ac:dyDescent="0.25">
      <c r="A3614" t="str">
        <f>"20190312154628652"</f>
        <v>20190312154628652</v>
      </c>
      <c r="B3614" t="str">
        <f>"1552376788641486"</f>
        <v>1552376788641486</v>
      </c>
      <c r="C3614" t="s">
        <v>40</v>
      </c>
      <c r="D3614">
        <v>4.2777050000000001</v>
      </c>
      <c r="E3614">
        <v>0.53907059999999996</v>
      </c>
      <c r="F3614" t="s">
        <v>52</v>
      </c>
      <c r="G3614">
        <v>-309.73610000000002</v>
      </c>
      <c r="H3614" s="1">
        <v>-1.2331799999999999E-5</v>
      </c>
      <c r="I3614">
        <v>149.2878</v>
      </c>
      <c r="J3614">
        <v>-253.75729999999999</v>
      </c>
      <c r="K3614">
        <v>1.1084080000000001</v>
      </c>
      <c r="L3614">
        <v>140.44630000000001</v>
      </c>
      <c r="M3614">
        <v>-0.99999979999999999</v>
      </c>
      <c r="N3614">
        <v>0</v>
      </c>
      <c r="O3614">
        <v>6.513097E-4</v>
      </c>
      <c r="P3614">
        <v>-0.99818450000000003</v>
      </c>
      <c r="Q3614">
        <v>2.928327E-2</v>
      </c>
      <c r="R3614">
        <v>5.2636259999999997E-2</v>
      </c>
      <c r="S3614">
        <v>-2.9822690000000001</v>
      </c>
      <c r="T3614">
        <v>-5.8734889999999998E-2</v>
      </c>
      <c r="U3614">
        <v>0.46850589999999998</v>
      </c>
      <c r="V3614">
        <v>5.1968029999999998E-2</v>
      </c>
      <c r="W3614">
        <v>2.965856E-2</v>
      </c>
      <c r="X3614">
        <v>0.99820819999999999</v>
      </c>
      <c r="Y3614">
        <v>0.1545212</v>
      </c>
      <c r="Z3614">
        <v>1.499458E-3</v>
      </c>
      <c r="AA3614">
        <v>0.98798839999999999</v>
      </c>
      <c r="AB3614">
        <v>29</v>
      </c>
      <c r="AC3614">
        <v>-55.9788</v>
      </c>
      <c r="AD3614">
        <v>-1.1084203318000001</v>
      </c>
      <c r="AE3614">
        <v>8.8414999999999893</v>
      </c>
      <c r="AF3614">
        <v>8.8016717232789201</v>
      </c>
      <c r="AG3614">
        <v>-1.1084203318000001</v>
      </c>
      <c r="AH3614">
        <v>55.9631393373488</v>
      </c>
      <c r="AI3614">
        <v>91.1208917694467</v>
      </c>
      <c r="AJ3614">
        <v>81.061952356865504</v>
      </c>
      <c r="AK3614">
        <v>56.661900649800302</v>
      </c>
      <c r="AL3614">
        <v>88.300440388797398</v>
      </c>
      <c r="AM3614">
        <v>87.019797014006201</v>
      </c>
      <c r="AN3614">
        <v>0.99999995843529599</v>
      </c>
    </row>
    <row r="3615" spans="1:40" x14ac:dyDescent="0.25">
      <c r="A3615" t="str">
        <f>"20190312154628675"</f>
        <v>20190312154628675</v>
      </c>
      <c r="B3615" t="str">
        <f>"1552376788661006"</f>
        <v>1552376788661006</v>
      </c>
      <c r="C3615" t="s">
        <v>40</v>
      </c>
      <c r="D3615">
        <v>4.3629579999999999</v>
      </c>
      <c r="E3615">
        <v>0.53909929999999995</v>
      </c>
      <c r="F3615" t="s">
        <v>52</v>
      </c>
      <c r="G3615">
        <v>-310.80279999999999</v>
      </c>
      <c r="H3615" s="1">
        <v>-1.1998700000000001E-5</v>
      </c>
      <c r="I3615">
        <v>149.32069999999999</v>
      </c>
      <c r="J3615">
        <v>-254.0608</v>
      </c>
      <c r="K3615">
        <v>1.1084050000000001</v>
      </c>
      <c r="L3615">
        <v>140.4462</v>
      </c>
      <c r="M3615">
        <v>-1</v>
      </c>
      <c r="N3615">
        <v>0</v>
      </c>
      <c r="O3615">
        <v>2.836631E-4</v>
      </c>
      <c r="P3615">
        <v>-0.99819409999999997</v>
      </c>
      <c r="Q3615">
        <v>2.9371540000000002E-2</v>
      </c>
      <c r="R3615">
        <v>5.2401929999999999E-2</v>
      </c>
      <c r="S3615">
        <v>-2.982666</v>
      </c>
      <c r="T3615">
        <v>-5.7954550000000001E-2</v>
      </c>
      <c r="U3615">
        <v>0.46400449999999999</v>
      </c>
      <c r="V3615">
        <v>5.2100199999999902E-2</v>
      </c>
      <c r="W3615">
        <v>2.974912E-2</v>
      </c>
      <c r="X3615">
        <v>0.99819860000000005</v>
      </c>
      <c r="Y3615">
        <v>0.15340960000000001</v>
      </c>
      <c r="Z3615">
        <v>1.4758830000000001E-3</v>
      </c>
      <c r="AA3615">
        <v>0.98816159999999997</v>
      </c>
      <c r="AB3615">
        <v>29</v>
      </c>
      <c r="AC3615">
        <v>-56.741999999999898</v>
      </c>
      <c r="AD3615">
        <v>-1.1084169987000001</v>
      </c>
      <c r="AE3615">
        <v>8.8744999999999798</v>
      </c>
      <c r="AF3615">
        <v>8.8551056929641803</v>
      </c>
      <c r="AG3615">
        <v>-1.1084169987000001</v>
      </c>
      <c r="AH3615">
        <v>56.723386826934799</v>
      </c>
      <c r="AI3615">
        <v>91.106066366047301</v>
      </c>
      <c r="AJ3615">
        <v>81.1271537301471</v>
      </c>
      <c r="AK3615">
        <v>57.421111955400697</v>
      </c>
      <c r="AL3615">
        <v>88.295249365924803</v>
      </c>
      <c r="AM3615">
        <v>87.012202513721107</v>
      </c>
      <c r="AN3615">
        <v>0.99999994301138495</v>
      </c>
    </row>
    <row r="3616" spans="1:40" x14ac:dyDescent="0.25">
      <c r="A3616" t="str">
        <f>"20190312154628698"</f>
        <v>20190312154628698</v>
      </c>
      <c r="B3616" t="str">
        <f>"1552376788691262"</f>
        <v>1552376788691262</v>
      </c>
      <c r="C3616" t="s">
        <v>40</v>
      </c>
      <c r="D3616">
        <v>4.3433390000000003</v>
      </c>
      <c r="E3616">
        <v>0.50515909999999997</v>
      </c>
      <c r="F3616" t="s">
        <v>52</v>
      </c>
      <c r="G3616">
        <v>-312.41410000000002</v>
      </c>
      <c r="H3616" s="1">
        <v>-1.1341879999999999E-5</v>
      </c>
      <c r="I3616">
        <v>149.51480000000001</v>
      </c>
      <c r="J3616">
        <v>-254.3586</v>
      </c>
      <c r="K3616">
        <v>1.1084020000000001</v>
      </c>
      <c r="L3616">
        <v>140.44589999999999</v>
      </c>
      <c r="M3616">
        <v>-0.99999990000000005</v>
      </c>
      <c r="N3616">
        <v>0</v>
      </c>
      <c r="O3616" s="1">
        <v>-7.6298009999999994E-5</v>
      </c>
      <c r="P3616">
        <v>-0.99820790000000004</v>
      </c>
      <c r="Q3616">
        <v>2.957276E-2</v>
      </c>
      <c r="R3616">
        <v>5.2024529999999999E-2</v>
      </c>
      <c r="S3616">
        <v>-2.982758</v>
      </c>
      <c r="T3616">
        <v>-5.6657199999999998E-2</v>
      </c>
      <c r="U3616">
        <v>0.46354679999999998</v>
      </c>
      <c r="V3616">
        <v>5.2081740000000001E-2</v>
      </c>
      <c r="W3616">
        <v>2.9959309999999999E-2</v>
      </c>
      <c r="X3616">
        <v>0.99819329999999995</v>
      </c>
      <c r="Y3616">
        <v>0.15361369999999999</v>
      </c>
      <c r="Z3616">
        <v>1.4515470000000001E-3</v>
      </c>
      <c r="AA3616">
        <v>0.98812990000000001</v>
      </c>
      <c r="AB3616">
        <v>29</v>
      </c>
      <c r="AC3616">
        <v>-58.055500000000002</v>
      </c>
      <c r="AD3616">
        <v>-1.10841334188</v>
      </c>
      <c r="AE3616">
        <v>9.06890000000001</v>
      </c>
      <c r="AF3616">
        <v>9.0701020501922294</v>
      </c>
      <c r="AG3616">
        <v>-1.10841334188</v>
      </c>
      <c r="AH3616">
        <v>58.034157415033</v>
      </c>
      <c r="AI3616">
        <v>91.081057518486205</v>
      </c>
      <c r="AJ3616">
        <v>81.117158017860802</v>
      </c>
      <c r="AK3616">
        <v>58.7491170845162</v>
      </c>
      <c r="AL3616">
        <v>88.283201034453995</v>
      </c>
      <c r="AM3616">
        <v>87.013243395178606</v>
      </c>
      <c r="AN3616">
        <v>0.99999996603099595</v>
      </c>
    </row>
    <row r="3617" spans="1:40" x14ac:dyDescent="0.25">
      <c r="A3617" t="str">
        <f>"20190312154628720"</f>
        <v>20190312154628720</v>
      </c>
      <c r="B3617" t="str">
        <f>"1552376788710782"</f>
        <v>1552376788710782</v>
      </c>
      <c r="C3617" t="s">
        <v>40</v>
      </c>
      <c r="D3617">
        <v>4.3460900000000002</v>
      </c>
      <c r="E3617">
        <v>0.49597360000000001</v>
      </c>
      <c r="F3617" t="s">
        <v>76</v>
      </c>
      <c r="G3617">
        <v>-511.92669999999998</v>
      </c>
      <c r="H3617">
        <v>4.5254820000000002</v>
      </c>
      <c r="I3617">
        <v>157.24950000000001</v>
      </c>
      <c r="J3617">
        <v>-254.66589999999999</v>
      </c>
      <c r="K3617">
        <v>1.1084130000000001</v>
      </c>
      <c r="L3617">
        <v>140.44560000000001</v>
      </c>
      <c r="M3617">
        <v>-1</v>
      </c>
      <c r="N3617">
        <v>0</v>
      </c>
      <c r="O3617">
        <v>-4.4741170000000001E-4</v>
      </c>
      <c r="P3617">
        <v>-0.99820549999999997</v>
      </c>
      <c r="Q3617">
        <v>3.0069809999999999E-2</v>
      </c>
      <c r="R3617">
        <v>5.1789300000000003E-2</v>
      </c>
      <c r="S3617">
        <v>-2.9940190000000002</v>
      </c>
      <c r="T3617">
        <v>3.972125E-2</v>
      </c>
      <c r="U3617">
        <v>0.1953278</v>
      </c>
      <c r="V3617">
        <v>5.2216449999999998E-2</v>
      </c>
      <c r="W3617">
        <v>3.0477879999999999E-2</v>
      </c>
      <c r="X3617">
        <v>0.99817060000000002</v>
      </c>
      <c r="Y3617">
        <v>6.5541630000000003E-2</v>
      </c>
      <c r="Z3617">
        <v>-4.4021460000000001E-4</v>
      </c>
      <c r="AA3617">
        <v>0.99784980000000001</v>
      </c>
      <c r="AB3617">
        <v>30</v>
      </c>
      <c r="AC3617">
        <v>-257.26080000000002</v>
      </c>
      <c r="AD3617">
        <v>3.4170690000000001</v>
      </c>
      <c r="AE3617">
        <v>16.803899999999999</v>
      </c>
      <c r="AF3617">
        <v>16.9160280661945</v>
      </c>
      <c r="AG3617">
        <v>3.4170690000000001</v>
      </c>
      <c r="AH3617">
        <v>257.20807082501</v>
      </c>
      <c r="AI3617">
        <v>89.240497646143595</v>
      </c>
      <c r="AJ3617">
        <v>86.237197358087897</v>
      </c>
      <c r="AK3617">
        <v>257.78638455824301</v>
      </c>
      <c r="AL3617">
        <v>88.253475649702196</v>
      </c>
      <c r="AM3617">
        <v>87.005464182665406</v>
      </c>
      <c r="AN3617">
        <v>1.0000000027621201</v>
      </c>
    </row>
    <row r="3618" spans="1:40" x14ac:dyDescent="0.25">
      <c r="A3618" t="str">
        <f>"20190312154628742"</f>
        <v>20190312154628742</v>
      </c>
      <c r="B3618" t="str">
        <f>"1552376788731279"</f>
        <v>1552376788731279</v>
      </c>
      <c r="C3618" t="s">
        <v>40</v>
      </c>
      <c r="D3618">
        <v>4.3432870000000001</v>
      </c>
      <c r="E3618">
        <v>0.49151650000000002</v>
      </c>
      <c r="F3618" t="s">
        <v>76</v>
      </c>
      <c r="G3618">
        <v>-511.05950000000001</v>
      </c>
      <c r="H3618">
        <v>2.4906679999999999</v>
      </c>
      <c r="I3618">
        <v>150.74719999999999</v>
      </c>
      <c r="J3618">
        <v>-254.95519999999999</v>
      </c>
      <c r="K3618">
        <v>1.10842</v>
      </c>
      <c r="L3618">
        <v>140.4451</v>
      </c>
      <c r="M3618">
        <v>-0.99999970000000005</v>
      </c>
      <c r="N3618">
        <v>0</v>
      </c>
      <c r="O3618">
        <v>-7.9611919999999896E-4</v>
      </c>
      <c r="P3618">
        <v>-0.99823649999999997</v>
      </c>
      <c r="Q3618">
        <v>3.0528739999999999E-2</v>
      </c>
      <c r="R3618">
        <v>5.0912789999999999E-2</v>
      </c>
      <c r="S3618">
        <v>-2.9986570000000001</v>
      </c>
      <c r="T3618">
        <v>1.6166690000000001E-2</v>
      </c>
      <c r="U3618">
        <v>0.12048339999999901</v>
      </c>
      <c r="V3618">
        <v>5.1687410000000003E-2</v>
      </c>
      <c r="W3618">
        <v>3.0966400000000002E-2</v>
      </c>
      <c r="X3618">
        <v>0.99818309999999999</v>
      </c>
      <c r="Y3618">
        <v>4.0941579999999998E-2</v>
      </c>
      <c r="Z3618">
        <v>-1.146094E-4</v>
      </c>
      <c r="AA3618">
        <v>0.99916150000000004</v>
      </c>
      <c r="AB3618">
        <v>30</v>
      </c>
      <c r="AC3618">
        <v>-256.10430000000002</v>
      </c>
      <c r="AD3618">
        <v>1.3822479999999899</v>
      </c>
      <c r="AE3618">
        <v>10.3020999999999</v>
      </c>
      <c r="AF3618">
        <v>10.505680747749899</v>
      </c>
      <c r="AG3618">
        <v>1.3822479999999899</v>
      </c>
      <c r="AH3618">
        <v>256.08856937112603</v>
      </c>
      <c r="AI3618">
        <v>89.691006701682397</v>
      </c>
      <c r="AJ3618">
        <v>87.650836822077295</v>
      </c>
      <c r="AK3618">
        <v>256.307696529108</v>
      </c>
      <c r="AL3618">
        <v>88.225472298362902</v>
      </c>
      <c r="AM3618">
        <v>87.035786509559699</v>
      </c>
      <c r="AN3618">
        <v>1.0000000037035299</v>
      </c>
    </row>
    <row r="3619" spans="1:40" x14ac:dyDescent="0.25">
      <c r="A3619" t="str">
        <f>"20190312154628763"</f>
        <v>20190312154628763</v>
      </c>
      <c r="B3619" t="str">
        <f>"1552376788750800"</f>
        <v>1552376788750800</v>
      </c>
      <c r="C3619" t="s">
        <v>40</v>
      </c>
      <c r="D3619">
        <v>4.3449530000000003</v>
      </c>
      <c r="E3619">
        <v>0.48913780000000001</v>
      </c>
      <c r="F3619" t="s">
        <v>44</v>
      </c>
      <c r="G3619">
        <v>0</v>
      </c>
      <c r="H3619">
        <v>0</v>
      </c>
      <c r="I3619">
        <v>0</v>
      </c>
      <c r="J3619">
        <v>-255.24440000000001</v>
      </c>
      <c r="K3619">
        <v>1.1084210000000001</v>
      </c>
      <c r="L3619">
        <v>140.44450000000001</v>
      </c>
      <c r="M3619">
        <v>-0.99999930000000004</v>
      </c>
      <c r="N3619">
        <v>0</v>
      </c>
      <c r="O3619">
        <v>-1.144473E-3</v>
      </c>
      <c r="P3619">
        <v>-0.99825750000000002</v>
      </c>
      <c r="Q3619">
        <v>3.1096189999999999E-2</v>
      </c>
      <c r="R3619">
        <v>5.015236E-2</v>
      </c>
      <c r="S3619">
        <v>-3.001007</v>
      </c>
      <c r="T3619">
        <v>4.0948390000000003E-3</v>
      </c>
      <c r="U3619">
        <v>8.1970210000000002E-2</v>
      </c>
      <c r="V3619">
        <v>5.1274019999999997E-2</v>
      </c>
      <c r="W3619">
        <v>3.1570260000000003E-2</v>
      </c>
      <c r="X3619">
        <v>0.99818549999999995</v>
      </c>
      <c r="Y3619">
        <v>2.8448049999999999E-2</v>
      </c>
      <c r="Z3619" s="1">
        <v>-2.0966230000000001E-5</v>
      </c>
      <c r="AA3619">
        <v>0.99959529999999996</v>
      </c>
      <c r="AB3619">
        <v>30</v>
      </c>
      <c r="AC3619">
        <v>-3.001007</v>
      </c>
      <c r="AD3619">
        <v>4.0948390000000003E-3</v>
      </c>
      <c r="AE3619">
        <v>8.1970210000000002E-2</v>
      </c>
      <c r="AF3619">
        <v>8.5404569066001204E-2</v>
      </c>
      <c r="AG3619">
        <v>4.0948390000000003E-3</v>
      </c>
      <c r="AH3619">
        <v>3.0009056389096598</v>
      </c>
      <c r="AI3619">
        <v>89.921849628386695</v>
      </c>
      <c r="AJ3619">
        <v>88.369825154218503</v>
      </c>
      <c r="AK3619">
        <v>3.00212347543594</v>
      </c>
      <c r="AL3619">
        <v>88.190856734707793</v>
      </c>
      <c r="AM3619">
        <v>87.059459232975598</v>
      </c>
      <c r="AN3619">
        <v>0.99999999942683804</v>
      </c>
    </row>
    <row r="3620" spans="1:40" x14ac:dyDescent="0.25">
      <c r="A3620" t="str">
        <f>"20190312154628785"</f>
        <v>20190312154628785</v>
      </c>
      <c r="B3620" t="str">
        <f>"1552376788781054"</f>
        <v>1552376788781054</v>
      </c>
      <c r="C3620" t="s">
        <v>40</v>
      </c>
      <c r="D3620">
        <v>4.3596959999999996</v>
      </c>
      <c r="E3620">
        <v>0.48725020000000002</v>
      </c>
      <c r="F3620" t="s">
        <v>45</v>
      </c>
      <c r="G3620">
        <v>-946.35299999999995</v>
      </c>
      <c r="H3620">
        <v>-0.1</v>
      </c>
      <c r="I3620">
        <v>154.357</v>
      </c>
      <c r="J3620">
        <v>-255.55529999999999</v>
      </c>
      <c r="K3620">
        <v>1.10843</v>
      </c>
      <c r="L3620">
        <v>140.44380000000001</v>
      </c>
      <c r="M3620">
        <v>-0.99999890000000002</v>
      </c>
      <c r="N3620">
        <v>0</v>
      </c>
      <c r="O3620">
        <v>-1.5187E-3</v>
      </c>
      <c r="P3620">
        <v>-0.9983554</v>
      </c>
      <c r="Q3620">
        <v>3.0200649999999999E-2</v>
      </c>
      <c r="R3620">
        <v>4.8730750000000003E-2</v>
      </c>
      <c r="S3620">
        <v>-3.00238</v>
      </c>
      <c r="T3620">
        <v>-5.2497389999999998E-3</v>
      </c>
      <c r="U3620">
        <v>6.0440059999999997E-2</v>
      </c>
      <c r="V3620">
        <v>5.0226380000000001E-2</v>
      </c>
      <c r="W3620">
        <v>3.0717129999999999E-2</v>
      </c>
      <c r="X3620">
        <v>0.99826539999999997</v>
      </c>
      <c r="Y3620">
        <v>2.1644980000000001E-2</v>
      </c>
      <c r="Z3620" s="1">
        <v>2.1576689999999999E-5</v>
      </c>
      <c r="AA3620">
        <v>0.99976569999999998</v>
      </c>
      <c r="AB3620">
        <v>30</v>
      </c>
      <c r="AC3620">
        <v>-690.79769999999996</v>
      </c>
      <c r="AD3620">
        <v>-1.2084299999999999</v>
      </c>
      <c r="AE3620">
        <v>13.9131999999999</v>
      </c>
      <c r="AF3620">
        <v>14.9622525980799</v>
      </c>
      <c r="AG3620">
        <v>-1.2084299999999999</v>
      </c>
      <c r="AH3620">
        <v>690.77366037218906</v>
      </c>
      <c r="AI3620">
        <v>90.100208847050695</v>
      </c>
      <c r="AJ3620">
        <v>88.759159553818705</v>
      </c>
      <c r="AK3620">
        <v>690.93674035317099</v>
      </c>
      <c r="AL3620">
        <v>88.239761243671197</v>
      </c>
      <c r="AM3620">
        <v>87.119668816382003</v>
      </c>
      <c r="AN3620">
        <v>1.0000000200802499</v>
      </c>
    </row>
    <row r="3621" spans="1:40" x14ac:dyDescent="0.25">
      <c r="A3621" t="str">
        <f>"20190312154628808"</f>
        <v>20190312154628808</v>
      </c>
      <c r="B3621" t="str">
        <f>"1552376788800575"</f>
        <v>1552376788800575</v>
      </c>
      <c r="C3621" t="s">
        <v>40</v>
      </c>
      <c r="D3621">
        <v>4.3641220000000001</v>
      </c>
      <c r="E3621">
        <v>0.4864137</v>
      </c>
      <c r="F3621" t="s">
        <v>52</v>
      </c>
      <c r="G3621">
        <v>-427.79160000000002</v>
      </c>
      <c r="H3621" s="1">
        <v>-1.214025E-5</v>
      </c>
      <c r="I3621">
        <v>142.7766</v>
      </c>
      <c r="J3621">
        <v>-255.8561</v>
      </c>
      <c r="K3621">
        <v>1.10843</v>
      </c>
      <c r="L3621">
        <v>140.44299999999899</v>
      </c>
      <c r="M3621">
        <v>-0.99999819999999995</v>
      </c>
      <c r="N3621">
        <v>0</v>
      </c>
      <c r="O3621">
        <v>-1.880413E-3</v>
      </c>
      <c r="P3621">
        <v>-0.99841709999999995</v>
      </c>
      <c r="Q3621">
        <v>2.972439E-2</v>
      </c>
      <c r="R3621">
        <v>4.7747009999999999E-2</v>
      </c>
      <c r="S3621">
        <v>-3.0035400000000001</v>
      </c>
      <c r="T3621">
        <v>-1.9329550000000001E-2</v>
      </c>
      <c r="U3621">
        <v>4.0679930000000003E-2</v>
      </c>
      <c r="V3621">
        <v>4.9603809999999998E-2</v>
      </c>
      <c r="W3621">
        <v>3.0286270000000001E-2</v>
      </c>
      <c r="X3621">
        <v>0.99830969999999997</v>
      </c>
      <c r="Y3621">
        <v>1.542261E-2</v>
      </c>
      <c r="Z3621" s="1">
        <v>6.1724940000000005E-5</v>
      </c>
      <c r="AA3621">
        <v>0.99988109999999997</v>
      </c>
      <c r="AB3621">
        <v>30</v>
      </c>
      <c r="AC3621">
        <v>-171.93549999999999</v>
      </c>
      <c r="AD3621">
        <v>-1.10844214025</v>
      </c>
      <c r="AE3621">
        <v>2.3336000000000099</v>
      </c>
      <c r="AF3621">
        <v>2.65679523295417</v>
      </c>
      <c r="AG3621">
        <v>-1.10844214025</v>
      </c>
      <c r="AH3621">
        <v>171.923663739175</v>
      </c>
      <c r="AI3621">
        <v>90.369353430742805</v>
      </c>
      <c r="AJ3621">
        <v>89.114659174616193</v>
      </c>
      <c r="AK3621">
        <v>171.947763458526</v>
      </c>
      <c r="AL3621">
        <v>88.264459205861897</v>
      </c>
      <c r="AM3621">
        <v>87.155438340926494</v>
      </c>
      <c r="AN3621">
        <v>1.00000002661555</v>
      </c>
    </row>
    <row r="3622" spans="1:40" x14ac:dyDescent="0.25">
      <c r="A3622" t="str">
        <f>"20190312154628829"</f>
        <v>20190312154628829</v>
      </c>
      <c r="B3622" t="str">
        <f>"1552376788821070"</f>
        <v>1552376788821070</v>
      </c>
      <c r="C3622" t="s">
        <v>40</v>
      </c>
      <c r="D3622">
        <v>4.3865249999999998</v>
      </c>
      <c r="E3622">
        <v>0.48577720000000002</v>
      </c>
      <c r="F3622" t="s">
        <v>42</v>
      </c>
      <c r="G3622">
        <v>-378.4796</v>
      </c>
      <c r="H3622" s="1">
        <v>-1.189101E-6</v>
      </c>
      <c r="I3622">
        <v>141.7004</v>
      </c>
      <c r="J3622">
        <v>-256.1617</v>
      </c>
      <c r="K3622">
        <v>1.108433</v>
      </c>
      <c r="L3622">
        <v>140.44210000000001</v>
      </c>
      <c r="M3622">
        <v>-0.99999740000000004</v>
      </c>
      <c r="N3622">
        <v>0</v>
      </c>
      <c r="O3622">
        <v>-2.2480909999999998E-3</v>
      </c>
      <c r="P3622">
        <v>-0.99846080000000004</v>
      </c>
      <c r="Q3622">
        <v>3.0001440000000001E-2</v>
      </c>
      <c r="R3622">
        <v>4.6651560000000002E-2</v>
      </c>
      <c r="S3622">
        <v>-3.0041199999999999</v>
      </c>
      <c r="T3622">
        <v>-2.7155160000000001E-2</v>
      </c>
      <c r="U3622">
        <v>3.0807500000000002E-2</v>
      </c>
      <c r="V3622">
        <v>4.8875179999999997E-2</v>
      </c>
      <c r="W3622">
        <v>3.0613230000000002E-2</v>
      </c>
      <c r="X3622">
        <v>0.99833570000000005</v>
      </c>
      <c r="Y3622">
        <v>1.250189E-2</v>
      </c>
      <c r="Z3622" s="1">
        <v>7.6821849999999994E-5</v>
      </c>
      <c r="AA3622">
        <v>0.99992190000000003</v>
      </c>
      <c r="AB3622">
        <v>31</v>
      </c>
      <c r="AC3622">
        <v>-122.31789999999999</v>
      </c>
      <c r="AD3622">
        <v>-1.1084341891009999</v>
      </c>
      <c r="AE3622">
        <v>1.25829999999999</v>
      </c>
      <c r="AF3622">
        <v>1.53315272401174</v>
      </c>
      <c r="AG3622">
        <v>-1.1084341891009999</v>
      </c>
      <c r="AH3622">
        <v>122.30471974512901</v>
      </c>
      <c r="AI3622">
        <v>90.519210325613003</v>
      </c>
      <c r="AJ3622">
        <v>89.281805478556194</v>
      </c>
      <c r="AK3622">
        <v>122.319351108323</v>
      </c>
      <c r="AL3622">
        <v>88.245717148651906</v>
      </c>
      <c r="AM3622">
        <v>87.197227841227601</v>
      </c>
      <c r="AN3622">
        <v>1.00000006148277</v>
      </c>
    </row>
    <row r="3623" spans="1:40" x14ac:dyDescent="0.25">
      <c r="A3623" t="str">
        <f>"20190312154628853"</f>
        <v>20190312154628853</v>
      </c>
      <c r="B3623" t="str">
        <f>"1552376788840591"</f>
        <v>1552376788840591</v>
      </c>
      <c r="C3623" t="s">
        <v>40</v>
      </c>
      <c r="D3623">
        <v>4.410615</v>
      </c>
      <c r="E3623">
        <v>0.48527870000000001</v>
      </c>
      <c r="F3623" t="s">
        <v>42</v>
      </c>
      <c r="G3623">
        <v>-363.31639999999999</v>
      </c>
      <c r="H3623" s="1">
        <v>-3.2803900000000001E-6</v>
      </c>
      <c r="I3623">
        <v>141.2355</v>
      </c>
      <c r="J3623">
        <v>-256.48219999999998</v>
      </c>
      <c r="K3623">
        <v>1.1084419999999999</v>
      </c>
      <c r="L3623">
        <v>140.441</v>
      </c>
      <c r="M3623">
        <v>-0.99999649999999995</v>
      </c>
      <c r="N3623">
        <v>0</v>
      </c>
      <c r="O3623">
        <v>-2.6332970000000002E-3</v>
      </c>
      <c r="P3623">
        <v>-0.99848419999999904</v>
      </c>
      <c r="Q3623">
        <v>3.0702710000000001E-2</v>
      </c>
      <c r="R3623">
        <v>4.5688319999999998E-2</v>
      </c>
      <c r="S3623">
        <v>-3.0045169999999999</v>
      </c>
      <c r="T3623">
        <v>-3.1079530000000001E-2</v>
      </c>
      <c r="U3623">
        <v>2.2247309999999999E-2</v>
      </c>
      <c r="V3623">
        <v>4.82958E-2</v>
      </c>
      <c r="W3623">
        <v>3.1368649999999998E-2</v>
      </c>
      <c r="X3623">
        <v>0.99834040000000002</v>
      </c>
      <c r="Y3623">
        <v>1.0036939999999999E-2</v>
      </c>
      <c r="Z3623" s="1">
        <v>7.9148819999999998E-5</v>
      </c>
      <c r="AA3623">
        <v>0.99994959999999999</v>
      </c>
      <c r="AB3623">
        <v>31</v>
      </c>
      <c r="AC3623">
        <v>-106.8342</v>
      </c>
      <c r="AD3623">
        <v>-1.10844528038999</v>
      </c>
      <c r="AE3623">
        <v>0.79449999999999898</v>
      </c>
      <c r="AF3623">
        <v>1.07570764107543</v>
      </c>
      <c r="AG3623">
        <v>-1.10844528038999</v>
      </c>
      <c r="AH3623">
        <v>106.820239036383</v>
      </c>
      <c r="AI3623">
        <v>90.594491624171596</v>
      </c>
      <c r="AJ3623">
        <v>89.4230360736384</v>
      </c>
      <c r="AK3623">
        <v>106.83140580212699</v>
      </c>
      <c r="AL3623">
        <v>88.202413889621894</v>
      </c>
      <c r="AM3623">
        <v>87.230413660396593</v>
      </c>
      <c r="AN3623">
        <v>1.00000001538631</v>
      </c>
    </row>
    <row r="3624" spans="1:40" x14ac:dyDescent="0.25">
      <c r="A3624" t="str">
        <f>"20190312154628874"</f>
        <v>20190312154628874</v>
      </c>
      <c r="B3624" t="str">
        <f>"1552376788870847"</f>
        <v>1552376788870847</v>
      </c>
      <c r="C3624" t="s">
        <v>40</v>
      </c>
      <c r="D3624">
        <v>4.4243899999999998</v>
      </c>
      <c r="E3624">
        <v>0.48472490000000001</v>
      </c>
      <c r="F3624" t="s">
        <v>42</v>
      </c>
      <c r="G3624">
        <v>-358.79790000000003</v>
      </c>
      <c r="H3624" s="1">
        <v>-8.5637010000000003E-7</v>
      </c>
      <c r="I3624">
        <v>140.9631</v>
      </c>
      <c r="J3624">
        <v>-256.77999999999997</v>
      </c>
      <c r="K3624">
        <v>1.1084529999999999</v>
      </c>
      <c r="L3624">
        <v>140.43989999999999</v>
      </c>
      <c r="M3624">
        <v>-0.99999530000000003</v>
      </c>
      <c r="N3624">
        <v>0</v>
      </c>
      <c r="O3624">
        <v>-2.9903709999999999E-3</v>
      </c>
      <c r="P3624">
        <v>-0.99850950000000005</v>
      </c>
      <c r="Q3624">
        <v>3.1412950000000002E-2</v>
      </c>
      <c r="R3624">
        <v>4.4635800000000003E-2</v>
      </c>
      <c r="S3624">
        <v>-3.0049130000000002</v>
      </c>
      <c r="T3624">
        <v>-3.2553909999999998E-2</v>
      </c>
      <c r="U3624">
        <v>1.5335079999999999E-2</v>
      </c>
      <c r="V3624">
        <v>4.7599080000000002E-2</v>
      </c>
      <c r="W3624">
        <v>3.2132170000000002E-2</v>
      </c>
      <c r="X3624">
        <v>0.9983495</v>
      </c>
      <c r="Y3624">
        <v>8.0929309999999994E-3</v>
      </c>
      <c r="Z3624" s="1">
        <v>7.6231309999999895E-5</v>
      </c>
      <c r="AA3624">
        <v>0.9999673</v>
      </c>
      <c r="AB3624">
        <v>31</v>
      </c>
      <c r="AC3624">
        <v>-102.0179</v>
      </c>
      <c r="AD3624">
        <v>-1.1084538563701001</v>
      </c>
      <c r="AE3624">
        <v>0.523200000000002</v>
      </c>
      <c r="AF3624">
        <v>0.82817133336743098</v>
      </c>
      <c r="AG3624">
        <v>-1.1084538563701001</v>
      </c>
      <c r="AH3624">
        <v>102.00383760456801</v>
      </c>
      <c r="AI3624">
        <v>90.622575940759106</v>
      </c>
      <c r="AJ3624">
        <v>89.534824564993997</v>
      </c>
      <c r="AK3624">
        <v>102.013221808588</v>
      </c>
      <c r="AL3624">
        <v>88.158645203424996</v>
      </c>
      <c r="AM3624">
        <v>87.270331959316493</v>
      </c>
      <c r="AN3624">
        <v>0.999999936458</v>
      </c>
    </row>
    <row r="3625" spans="1:40" x14ac:dyDescent="0.25">
      <c r="A3625" t="str">
        <f>"20190312154628900"</f>
        <v>20190312154628900</v>
      </c>
      <c r="B3625" t="str">
        <f>"1552376788891342"</f>
        <v>1552376788891342</v>
      </c>
      <c r="C3625" t="s">
        <v>40</v>
      </c>
      <c r="D3625">
        <v>4.4749919999999896</v>
      </c>
      <c r="E3625">
        <v>0.48452109999999898</v>
      </c>
      <c r="F3625" t="s">
        <v>42</v>
      </c>
      <c r="G3625">
        <v>-349.09899999999999</v>
      </c>
      <c r="H3625" s="1">
        <v>-6.5043420000000002E-7</v>
      </c>
      <c r="I3625">
        <v>140.6747</v>
      </c>
      <c r="J3625">
        <v>-257.12759999999997</v>
      </c>
      <c r="K3625">
        <v>1.1084609999999999</v>
      </c>
      <c r="L3625">
        <v>140.4385</v>
      </c>
      <c r="M3625">
        <v>-0.99999400000000005</v>
      </c>
      <c r="N3625">
        <v>0</v>
      </c>
      <c r="O3625">
        <v>-3.4068229999999998E-3</v>
      </c>
      <c r="P3625">
        <v>-0.99854779999999999</v>
      </c>
      <c r="Q3625">
        <v>3.1616779999999997E-2</v>
      </c>
      <c r="R3625">
        <v>4.3621510000000002E-2</v>
      </c>
      <c r="S3625">
        <v>-3.0052490000000001</v>
      </c>
      <c r="T3625">
        <v>-3.6083339999999998E-2</v>
      </c>
      <c r="U3625">
        <v>7.6446530000000004E-3</v>
      </c>
      <c r="V3625">
        <v>4.7000050000000002E-2</v>
      </c>
      <c r="W3625">
        <v>3.2401909999999999E-2</v>
      </c>
      <c r="X3625">
        <v>0.99836919999999996</v>
      </c>
      <c r="Y3625">
        <v>5.9498819999999897E-3</v>
      </c>
      <c r="Z3625" s="1">
        <v>7.6621490000000004E-5</v>
      </c>
      <c r="AA3625">
        <v>0.99998229999999999</v>
      </c>
      <c r="AB3625">
        <v>31</v>
      </c>
      <c r="AC3625">
        <v>-91.971400000000003</v>
      </c>
      <c r="AD3625">
        <v>-1.1084616504342</v>
      </c>
      <c r="AE3625">
        <v>0.236199999999996</v>
      </c>
      <c r="AF3625">
        <v>0.54944916122007204</v>
      </c>
      <c r="AG3625">
        <v>-1.1084616504342</v>
      </c>
      <c r="AH3625">
        <v>91.956704349795501</v>
      </c>
      <c r="AI3625">
        <v>90.690607231442598</v>
      </c>
      <c r="AJ3625">
        <v>89.657656898613695</v>
      </c>
      <c r="AK3625">
        <v>91.965026268070702</v>
      </c>
      <c r="AL3625">
        <v>88.143182256695894</v>
      </c>
      <c r="AM3625">
        <v>87.304686702805498</v>
      </c>
      <c r="AN3625">
        <v>0.99999997399014395</v>
      </c>
    </row>
    <row r="3626" spans="1:40" x14ac:dyDescent="0.25">
      <c r="A3626" t="str">
        <f>"20190312154628922"</f>
        <v>20190312154628922</v>
      </c>
      <c r="B3626" t="str">
        <f>"1552376788910862"</f>
        <v>1552376788910862</v>
      </c>
      <c r="C3626" t="s">
        <v>40</v>
      </c>
      <c r="D3626">
        <v>4.4588839999999896</v>
      </c>
      <c r="E3626">
        <v>0.48440290000000003</v>
      </c>
      <c r="F3626" t="s">
        <v>42</v>
      </c>
      <c r="G3626">
        <v>-342.83530000000002</v>
      </c>
      <c r="H3626" s="1">
        <v>-3.296809E-6</v>
      </c>
      <c r="I3626">
        <v>140.5215</v>
      </c>
      <c r="J3626">
        <v>-257.44349999999997</v>
      </c>
      <c r="K3626">
        <v>1.108466</v>
      </c>
      <c r="L3626">
        <v>140.43709999999999</v>
      </c>
      <c r="M3626">
        <v>-0.99999249999999995</v>
      </c>
      <c r="N3626">
        <v>0</v>
      </c>
      <c r="O3626">
        <v>-3.7833379999999998E-3</v>
      </c>
      <c r="P3626">
        <v>-0.99856369999999905</v>
      </c>
      <c r="Q3626">
        <v>3.169247E-2</v>
      </c>
      <c r="R3626">
        <v>4.3200460000000003E-2</v>
      </c>
      <c r="S3626">
        <v>-3.005493</v>
      </c>
      <c r="T3626">
        <v>-3.8870330000000002E-2</v>
      </c>
      <c r="U3626">
        <v>2.9144290000000001E-3</v>
      </c>
      <c r="V3626">
        <v>4.6954709999999997E-2</v>
      </c>
      <c r="W3626">
        <v>3.2540119999999999E-2</v>
      </c>
      <c r="X3626">
        <v>0.99836689999999995</v>
      </c>
      <c r="Y3626">
        <v>4.7523169999999998E-3</v>
      </c>
      <c r="Z3626" s="1">
        <v>7.965797E-5</v>
      </c>
      <c r="AA3626">
        <v>0.99998869999999895</v>
      </c>
      <c r="AB3626">
        <v>31</v>
      </c>
      <c r="AC3626">
        <v>-85.391800000000003</v>
      </c>
      <c r="AD3626">
        <v>-1.108469296809</v>
      </c>
      <c r="AE3626">
        <v>8.4400000000016406E-2</v>
      </c>
      <c r="AF3626">
        <v>0.40739689995315498</v>
      </c>
      <c r="AG3626">
        <v>-1.108469296809</v>
      </c>
      <c r="AH3626">
        <v>85.376483126171195</v>
      </c>
      <c r="AI3626">
        <v>90.743838571838097</v>
      </c>
      <c r="AJ3626">
        <v>89.7265998207384</v>
      </c>
      <c r="AK3626">
        <v>85.384650537490998</v>
      </c>
      <c r="AL3626">
        <v>88.1352593437488</v>
      </c>
      <c r="AM3626">
        <v>87.307276794186095</v>
      </c>
      <c r="AN3626">
        <v>1.0000000356081999</v>
      </c>
    </row>
    <row r="3627" spans="1:40" x14ac:dyDescent="0.25">
      <c r="A3627" t="str">
        <f>"20190312154628945"</f>
        <v>20190312154628945</v>
      </c>
      <c r="B3627" t="str">
        <f>"1552376788941118"</f>
        <v>1552376788941118</v>
      </c>
      <c r="C3627" t="s">
        <v>40</v>
      </c>
      <c r="D3627">
        <v>4.5078750000000003</v>
      </c>
      <c r="E3627">
        <v>0.48425469999999998</v>
      </c>
      <c r="F3627" t="s">
        <v>42</v>
      </c>
      <c r="G3627">
        <v>-338.46969999999999</v>
      </c>
      <c r="H3627" s="1">
        <v>-9.2628900000000004E-7</v>
      </c>
      <c r="I3627">
        <v>140.45230000000001</v>
      </c>
      <c r="J3627">
        <v>-257.77330000000001</v>
      </c>
      <c r="K3627">
        <v>1.1084689999999999</v>
      </c>
      <c r="L3627">
        <v>140.43549999999999</v>
      </c>
      <c r="M3627">
        <v>-0.99999099999999996</v>
      </c>
      <c r="N3627">
        <v>0</v>
      </c>
      <c r="O3627">
        <v>-4.1730889999999996E-3</v>
      </c>
      <c r="P3627">
        <v>-0.99860260000000001</v>
      </c>
      <c r="Q3627">
        <v>3.114509E-2</v>
      </c>
      <c r="R3627">
        <v>4.2698260000000002E-2</v>
      </c>
      <c r="S3627">
        <v>-3.0056150000000001</v>
      </c>
      <c r="T3627">
        <v>-4.1117910000000001E-2</v>
      </c>
      <c r="U3627">
        <v>5.6457519999999995E-4</v>
      </c>
      <c r="V3627">
        <v>4.6842059999999998E-2</v>
      </c>
      <c r="W3627">
        <v>3.205972E-2</v>
      </c>
      <c r="X3627">
        <v>0.99838769999999999</v>
      </c>
      <c r="Y3627">
        <v>4.3601309999999997E-3</v>
      </c>
      <c r="Z3627" s="1">
        <v>8.6909309999999999E-5</v>
      </c>
      <c r="AA3627">
        <v>0.9999905</v>
      </c>
      <c r="AB3627">
        <v>32</v>
      </c>
      <c r="AC3627">
        <v>-80.696399999999898</v>
      </c>
      <c r="AD3627">
        <v>-1.1084699262890001</v>
      </c>
      <c r="AE3627">
        <v>1.6800000000017599E-2</v>
      </c>
      <c r="AF3627">
        <v>0.35348651351024901</v>
      </c>
      <c r="AG3627">
        <v>-1.1084699262890001</v>
      </c>
      <c r="AH3627">
        <v>80.680403981841593</v>
      </c>
      <c r="AI3627">
        <v>90.787130954434204</v>
      </c>
      <c r="AJ3627">
        <v>89.7489705709541</v>
      </c>
      <c r="AK3627">
        <v>80.688792561085506</v>
      </c>
      <c r="AL3627">
        <v>88.162798542904497</v>
      </c>
      <c r="AM3627">
        <v>87.313783369854903</v>
      </c>
      <c r="AN3627">
        <v>1.0000000018713999</v>
      </c>
    </row>
    <row r="3628" spans="1:40" x14ac:dyDescent="0.25">
      <c r="A3628" t="str">
        <f>"20190312154628975"</f>
        <v>20190312154628975</v>
      </c>
      <c r="B3628" t="str">
        <f>"1552376788971374"</f>
        <v>1552376788971374</v>
      </c>
      <c r="C3628" t="s">
        <v>40</v>
      </c>
      <c r="D3628">
        <v>4.5005280000000001</v>
      </c>
      <c r="E3628">
        <v>0.48417729999999998</v>
      </c>
      <c r="F3628" t="s">
        <v>42</v>
      </c>
      <c r="G3628">
        <v>-328.5899</v>
      </c>
      <c r="H3628" s="1">
        <v>-7.9042059999999996E-7</v>
      </c>
      <c r="I3628">
        <v>140.38</v>
      </c>
      <c r="J3628">
        <v>-258.21350000000001</v>
      </c>
      <c r="K3628">
        <v>1.108468</v>
      </c>
      <c r="L3628">
        <v>140.4331</v>
      </c>
      <c r="M3628">
        <v>-0.99998860000000001</v>
      </c>
      <c r="N3628">
        <v>0</v>
      </c>
      <c r="O3628">
        <v>-4.6855279999999996E-3</v>
      </c>
      <c r="P3628">
        <v>-0.99861469999999997</v>
      </c>
      <c r="Q3628">
        <v>3.0916889999999999E-2</v>
      </c>
      <c r="R3628">
        <v>4.2579659999999998E-2</v>
      </c>
      <c r="S3628">
        <v>-3.005798</v>
      </c>
      <c r="T3628">
        <v>-4.7048810000000003E-2</v>
      </c>
      <c r="U3628">
        <v>-2.3498540000000002E-3</v>
      </c>
      <c r="V3628">
        <v>4.7234930000000001E-2</v>
      </c>
      <c r="W3628">
        <v>3.1922939999999997E-2</v>
      </c>
      <c r="X3628">
        <v>0.99837359999999997</v>
      </c>
      <c r="Y3628">
        <v>3.902712E-3</v>
      </c>
      <c r="Z3628">
        <v>1.0387850000000001E-4</v>
      </c>
      <c r="AA3628">
        <v>0.9999924</v>
      </c>
      <c r="AB3628">
        <v>32</v>
      </c>
      <c r="AC3628">
        <v>-70.376399999999904</v>
      </c>
      <c r="AD3628">
        <v>-1.1084687904206001</v>
      </c>
      <c r="AE3628">
        <v>-5.3100000000000501E-2</v>
      </c>
      <c r="AF3628">
        <v>0.27658270029117799</v>
      </c>
      <c r="AG3628">
        <v>-1.1084687904206001</v>
      </c>
      <c r="AH3628">
        <v>70.358421717734601</v>
      </c>
      <c r="AI3628">
        <v>90.902590442663694</v>
      </c>
      <c r="AJ3628">
        <v>89.774768401593803</v>
      </c>
      <c r="AK3628">
        <v>70.367696478284799</v>
      </c>
      <c r="AL3628">
        <v>88.170639522567797</v>
      </c>
      <c r="AM3628">
        <v>87.291248964458205</v>
      </c>
      <c r="AN3628">
        <v>1.0000000289436499</v>
      </c>
    </row>
    <row r="3629" spans="1:40" x14ac:dyDescent="0.25">
      <c r="A3629" t="str">
        <f>"20190312154628999"</f>
        <v>20190312154628999</v>
      </c>
      <c r="B3629" t="str">
        <f>"1552376788990895"</f>
        <v>1552376788990895</v>
      </c>
      <c r="C3629" t="s">
        <v>40</v>
      </c>
      <c r="D3629">
        <v>4.5573430000000004</v>
      </c>
      <c r="E3629">
        <v>0.48411749999999998</v>
      </c>
      <c r="F3629" t="s">
        <v>42</v>
      </c>
      <c r="G3629">
        <v>-322.76760000000002</v>
      </c>
      <c r="H3629" s="1">
        <v>-3.2839879999999999E-6</v>
      </c>
      <c r="I3629">
        <v>140.36420000000001</v>
      </c>
      <c r="J3629">
        <v>-258.56380000000001</v>
      </c>
      <c r="K3629">
        <v>1.1084689999999999</v>
      </c>
      <c r="L3629">
        <v>140.43109999999999</v>
      </c>
      <c r="M3629">
        <v>-0.99998670000000001</v>
      </c>
      <c r="N3629">
        <v>0</v>
      </c>
      <c r="O3629">
        <v>-5.0880420000000001E-3</v>
      </c>
      <c r="P3629">
        <v>-0.99860329999999997</v>
      </c>
      <c r="Q3629">
        <v>3.1099600000000002E-2</v>
      </c>
      <c r="R3629">
        <v>4.2716940000000002E-2</v>
      </c>
      <c r="S3629">
        <v>-3.00589</v>
      </c>
      <c r="T3629">
        <v>-5.1614760000000003E-2</v>
      </c>
      <c r="U3629">
        <v>-3.2043459999999998E-3</v>
      </c>
      <c r="V3629">
        <v>4.7774009999999999E-2</v>
      </c>
      <c r="W3629">
        <v>3.2178869999999998E-2</v>
      </c>
      <c r="X3629">
        <v>0.99833970000000005</v>
      </c>
      <c r="Y3629">
        <v>4.0206909999999998E-3</v>
      </c>
      <c r="Z3629">
        <v>1.218786E-4</v>
      </c>
      <c r="AA3629">
        <v>0.99999190000000004</v>
      </c>
      <c r="AB3629">
        <v>32</v>
      </c>
      <c r="AC3629">
        <v>-64.203800000000001</v>
      </c>
      <c r="AD3629">
        <v>-1.1084722839879999</v>
      </c>
      <c r="AE3629">
        <v>-6.6899999999975507E-2</v>
      </c>
      <c r="AF3629">
        <v>0.25969520412574898</v>
      </c>
      <c r="AG3629">
        <v>-1.1084722839879999</v>
      </c>
      <c r="AH3629">
        <v>64.184177529630603</v>
      </c>
      <c r="AI3629">
        <v>90.989401955875095</v>
      </c>
      <c r="AJ3629">
        <v>89.768177165569398</v>
      </c>
      <c r="AK3629">
        <v>64.194273868925094</v>
      </c>
      <c r="AL3629">
        <v>88.155968216077994</v>
      </c>
      <c r="AM3629">
        <v>87.2602886390371</v>
      </c>
      <c r="AN3629">
        <v>0.99999999615102297</v>
      </c>
    </row>
    <row r="3630" spans="1:40" x14ac:dyDescent="0.25">
      <c r="A3630" t="str">
        <f>"20190312154629020"</f>
        <v>20190312154629020</v>
      </c>
      <c r="B3630" t="str">
        <f>"1552376789011390"</f>
        <v>1552376789011390</v>
      </c>
      <c r="C3630" t="s">
        <v>40</v>
      </c>
      <c r="D3630">
        <v>4.5616940000000001</v>
      </c>
      <c r="E3630">
        <v>0.48404150000000001</v>
      </c>
      <c r="F3630" t="s">
        <v>42</v>
      </c>
      <c r="G3630">
        <v>-322.1671</v>
      </c>
      <c r="H3630" s="1">
        <v>-3.5409569999999999E-6</v>
      </c>
      <c r="I3630">
        <v>140.36199999999999</v>
      </c>
      <c r="J3630">
        <v>-258.85879999999997</v>
      </c>
      <c r="K3630">
        <v>1.1084670000000001</v>
      </c>
      <c r="L3630">
        <v>140.42930000000001</v>
      </c>
      <c r="M3630">
        <v>-0.99998489999999995</v>
      </c>
      <c r="N3630">
        <v>0</v>
      </c>
      <c r="O3630">
        <v>-5.4211659999999998E-3</v>
      </c>
      <c r="P3630">
        <v>-0.99861169999999999</v>
      </c>
      <c r="Q3630">
        <v>3.1121260000000001E-2</v>
      </c>
      <c r="R3630">
        <v>4.250495E-2</v>
      </c>
      <c r="S3630">
        <v>-3.0059809999999998</v>
      </c>
      <c r="T3630">
        <v>-5.2387950000000003E-2</v>
      </c>
      <c r="U3630">
        <v>-3.2653809999999999E-3</v>
      </c>
      <c r="V3630">
        <v>4.7894609999999997E-2</v>
      </c>
      <c r="W3630">
        <v>3.2260369999999997E-2</v>
      </c>
      <c r="X3630">
        <v>0.99833130000000003</v>
      </c>
      <c r="Y3630">
        <v>4.3334070000000001E-3</v>
      </c>
      <c r="Z3630">
        <v>1.3223020000000001E-4</v>
      </c>
      <c r="AA3630">
        <v>0.99999059999999995</v>
      </c>
      <c r="AB3630">
        <v>32</v>
      </c>
      <c r="AC3630">
        <v>-63.308300000000003</v>
      </c>
      <c r="AD3630">
        <v>-1.1084705409569999</v>
      </c>
      <c r="AE3630">
        <v>-6.7300000000017193E-2</v>
      </c>
      <c r="AF3630">
        <v>0.27582137360279702</v>
      </c>
      <c r="AG3630">
        <v>-1.1084705409569999</v>
      </c>
      <c r="AH3630">
        <v>63.288332387997698</v>
      </c>
      <c r="AI3630">
        <v>91.003401185348693</v>
      </c>
      <c r="AJ3630">
        <v>89.750296777351906</v>
      </c>
      <c r="AK3630">
        <v>63.298639802321098</v>
      </c>
      <c r="AL3630">
        <v>88.151296200458304</v>
      </c>
      <c r="AM3630">
        <v>87.253360054982195</v>
      </c>
      <c r="AN3630">
        <v>1.00000000484963</v>
      </c>
    </row>
    <row r="3631" spans="1:40" x14ac:dyDescent="0.25">
      <c r="A3631" t="str">
        <f>"20190312154629043"</f>
        <v>20190312154629043</v>
      </c>
      <c r="B3631" t="str">
        <f>"1552376789030913"</f>
        <v>1552376789030913</v>
      </c>
      <c r="C3631" t="s">
        <v>40</v>
      </c>
      <c r="D3631">
        <v>4.5776059999999896</v>
      </c>
      <c r="E3631">
        <v>0.48401889999999997</v>
      </c>
      <c r="F3631" t="s">
        <v>42</v>
      </c>
      <c r="G3631">
        <v>-322.0351</v>
      </c>
      <c r="H3631" s="1">
        <v>-3.5898290000000001E-6</v>
      </c>
      <c r="I3631">
        <v>140.33269999999999</v>
      </c>
      <c r="J3631">
        <v>-259.20269999999999</v>
      </c>
      <c r="K3631">
        <v>1.1084639999999999</v>
      </c>
      <c r="L3631">
        <v>140.4271</v>
      </c>
      <c r="M3631">
        <v>-0.9999825</v>
      </c>
      <c r="N3631">
        <v>0</v>
      </c>
      <c r="O3631">
        <v>-5.799355E-3</v>
      </c>
      <c r="P3631">
        <v>-0.99865859999999995</v>
      </c>
      <c r="Q3631">
        <v>3.0566860000000001E-2</v>
      </c>
      <c r="R3631">
        <v>4.1793169999999998E-2</v>
      </c>
      <c r="S3631">
        <v>-3.0060419999999999</v>
      </c>
      <c r="T3631">
        <v>-5.2743079999999998E-2</v>
      </c>
      <c r="U3631">
        <v>-4.592896E-3</v>
      </c>
      <c r="V3631">
        <v>4.7561159999999998E-2</v>
      </c>
      <c r="W3631">
        <v>3.1773290000000003E-2</v>
      </c>
      <c r="X3631">
        <v>0.99836279999999999</v>
      </c>
      <c r="Y3631">
        <v>4.269943E-3</v>
      </c>
      <c r="Z3631">
        <v>1.39202E-4</v>
      </c>
      <c r="AA3631">
        <v>0.99999090000000002</v>
      </c>
      <c r="AB3631">
        <v>32</v>
      </c>
      <c r="AC3631">
        <v>-62.8324</v>
      </c>
      <c r="AD3631">
        <v>-1.108467589829</v>
      </c>
      <c r="AE3631">
        <v>-9.4400000000007298E-2</v>
      </c>
      <c r="AF3631">
        <v>0.26990522778109999</v>
      </c>
      <c r="AG3631">
        <v>-1.108467589829</v>
      </c>
      <c r="AH3631">
        <v>62.812341926027202</v>
      </c>
      <c r="AI3631">
        <v>91.011000940286806</v>
      </c>
      <c r="AJ3631">
        <v>89.753801008411202</v>
      </c>
      <c r="AK3631">
        <v>62.822701688655798</v>
      </c>
      <c r="AL3631">
        <v>88.179218031271304</v>
      </c>
      <c r="AM3631">
        <v>87.272539555660501</v>
      </c>
      <c r="AN3631">
        <v>0.99999994316090302</v>
      </c>
    </row>
    <row r="3632" spans="1:40" x14ac:dyDescent="0.25">
      <c r="A3632" t="str">
        <f>"20190312154629075"</f>
        <v>20190312154629075</v>
      </c>
      <c r="B3632" t="str">
        <f>"1552376789070927"</f>
        <v>1552376789070927</v>
      </c>
      <c r="C3632" t="s">
        <v>40</v>
      </c>
      <c r="D3632">
        <v>4.5814079999999997</v>
      </c>
      <c r="E3632">
        <v>0.483989</v>
      </c>
      <c r="F3632" t="s">
        <v>42</v>
      </c>
      <c r="G3632">
        <v>-320.34350000000001</v>
      </c>
      <c r="H3632" s="1">
        <v>-4.2777590000000003E-6</v>
      </c>
      <c r="I3632">
        <v>140.2852</v>
      </c>
      <c r="J3632">
        <v>-259.68220000000002</v>
      </c>
      <c r="K3632">
        <v>1.1084590000000001</v>
      </c>
      <c r="L3632">
        <v>140.4238</v>
      </c>
      <c r="M3632">
        <v>-0.99997939999999996</v>
      </c>
      <c r="N3632">
        <v>0</v>
      </c>
      <c r="O3632">
        <v>-6.3012930000000003E-3</v>
      </c>
      <c r="P3632">
        <v>-0.99873250000000002</v>
      </c>
      <c r="Q3632">
        <v>2.97182E-2</v>
      </c>
      <c r="R3632">
        <v>4.0624E-2</v>
      </c>
      <c r="S3632">
        <v>-3.0060120000000001</v>
      </c>
      <c r="T3632">
        <v>-5.4498310000000001E-2</v>
      </c>
      <c r="U3632">
        <v>-6.9732669999999896E-3</v>
      </c>
      <c r="V3632">
        <v>4.6894819999999997E-2</v>
      </c>
      <c r="W3632">
        <v>3.101311E-2</v>
      </c>
      <c r="X3632">
        <v>0.99841829999999998</v>
      </c>
      <c r="Y3632">
        <v>3.9798709999999899E-3</v>
      </c>
      <c r="Z3632">
        <v>1.5030489999999901E-4</v>
      </c>
      <c r="AA3632">
        <v>0.99999210000000005</v>
      </c>
      <c r="AB3632">
        <v>33</v>
      </c>
      <c r="AC3632">
        <v>-60.661299999999898</v>
      </c>
      <c r="AD3632">
        <v>-1.108463277759</v>
      </c>
      <c r="AE3632">
        <v>-0.138599999999996</v>
      </c>
      <c r="AF3632">
        <v>0.24356633524399399</v>
      </c>
      <c r="AG3632">
        <v>-1.108463277759</v>
      </c>
      <c r="AH3632">
        <v>60.640721068003302</v>
      </c>
      <c r="AI3632">
        <v>91.047195386309298</v>
      </c>
      <c r="AJ3632">
        <v>89.769870018851506</v>
      </c>
      <c r="AK3632">
        <v>60.651340191665902</v>
      </c>
      <c r="AL3632">
        <v>88.222794754481896</v>
      </c>
      <c r="AM3632">
        <v>87.310844520707803</v>
      </c>
      <c r="AN3632">
        <v>1.00000001945479</v>
      </c>
    </row>
    <row r="3633" spans="1:40" x14ac:dyDescent="0.25">
      <c r="A3633" t="str">
        <f>"20190312154629099"</f>
        <v>20190312154629099</v>
      </c>
      <c r="B3633" t="str">
        <f>"1552376789091422"</f>
        <v>1552376789091422</v>
      </c>
      <c r="C3633" t="s">
        <v>40</v>
      </c>
      <c r="D3633">
        <v>4.60473</v>
      </c>
      <c r="E3633">
        <v>0.48398770000000002</v>
      </c>
      <c r="F3633" t="s">
        <v>52</v>
      </c>
      <c r="G3633">
        <v>-317.53989999999999</v>
      </c>
      <c r="H3633" s="1">
        <v>-6.6181500000000003E-6</v>
      </c>
      <c r="I3633">
        <v>140.21860000000001</v>
      </c>
      <c r="J3633">
        <v>-260.02769999999998</v>
      </c>
      <c r="K3633">
        <v>1.1084510000000001</v>
      </c>
      <c r="L3633">
        <v>140.42140000000001</v>
      </c>
      <c r="M3633">
        <v>-0.999977</v>
      </c>
      <c r="N3633">
        <v>0</v>
      </c>
      <c r="O3633">
        <v>-6.6465700000000001E-3</v>
      </c>
      <c r="P3633">
        <v>-0.99874870000000004</v>
      </c>
      <c r="Q3633">
        <v>2.9857410000000001E-2</v>
      </c>
      <c r="R3633">
        <v>4.0123949999999999E-2</v>
      </c>
      <c r="S3633">
        <v>-3.005951</v>
      </c>
      <c r="T3633">
        <v>-5.7589410000000001E-2</v>
      </c>
      <c r="U3633">
        <v>-1.0665890000000001E-2</v>
      </c>
      <c r="V3633">
        <v>4.6740110000000001E-2</v>
      </c>
      <c r="W3633">
        <v>3.121662E-2</v>
      </c>
      <c r="X3633">
        <v>0.99841919999999995</v>
      </c>
      <c r="Y3633">
        <v>3.0965889999999999E-3</v>
      </c>
      <c r="Z3633">
        <v>1.5698519999999999E-4</v>
      </c>
      <c r="AA3633">
        <v>0.99999519999999997</v>
      </c>
      <c r="AB3633">
        <v>33</v>
      </c>
      <c r="AC3633">
        <v>-57.5122</v>
      </c>
      <c r="AD3633">
        <v>-1.1084576181499901</v>
      </c>
      <c r="AE3633">
        <v>-0.20279999999999601</v>
      </c>
      <c r="AF3633">
        <v>0.17939705215041901</v>
      </c>
      <c r="AG3633">
        <v>-1.1084576181499901</v>
      </c>
      <c r="AH3633">
        <v>57.490921938461803</v>
      </c>
      <c r="AI3633">
        <v>91.104552929086907</v>
      </c>
      <c r="AJ3633">
        <v>89.821212458642407</v>
      </c>
      <c r="AK3633">
        <v>57.501886637986601</v>
      </c>
      <c r="AL3633">
        <v>88.211128820014494</v>
      </c>
      <c r="AM3633">
        <v>87.319705727125907</v>
      </c>
      <c r="AN3633">
        <v>1.0000000070878301</v>
      </c>
    </row>
    <row r="3634" spans="1:40" x14ac:dyDescent="0.25">
      <c r="A3634" t="str">
        <f>"20190312154629143"</f>
        <v>20190312154629143</v>
      </c>
      <c r="B3634" t="str">
        <f>"1552376789131442"</f>
        <v>1552376789131442</v>
      </c>
      <c r="C3634" t="s">
        <v>40</v>
      </c>
      <c r="D3634">
        <v>4.5877339999999904</v>
      </c>
      <c r="E3634">
        <v>0.4839985</v>
      </c>
      <c r="F3634" t="s">
        <v>52</v>
      </c>
      <c r="G3634">
        <v>-318.42899999999997</v>
      </c>
      <c r="H3634" s="1">
        <v>-6.2153090000000001E-6</v>
      </c>
      <c r="I3634">
        <v>140.18600000000001</v>
      </c>
      <c r="J3634">
        <v>-260.6857</v>
      </c>
      <c r="K3634">
        <v>1.1084369999999999</v>
      </c>
      <c r="L3634">
        <v>140.41640000000001</v>
      </c>
      <c r="M3634">
        <v>-0.99997270000000005</v>
      </c>
      <c r="N3634">
        <v>0</v>
      </c>
      <c r="O3634">
        <v>-7.2589119999999898E-3</v>
      </c>
      <c r="P3634">
        <v>-0.99876089999999995</v>
      </c>
      <c r="Q3634">
        <v>2.989238E-2</v>
      </c>
      <c r="R3634">
        <v>3.979282E-2</v>
      </c>
      <c r="S3634">
        <v>-3.0059809999999998</v>
      </c>
      <c r="T3634">
        <v>-5.7053569999999998E-2</v>
      </c>
      <c r="U3634">
        <v>-1.211548E-2</v>
      </c>
      <c r="V3634">
        <v>4.7021500000000001E-2</v>
      </c>
      <c r="W3634">
        <v>3.1371040000000003E-2</v>
      </c>
      <c r="X3634">
        <v>0.99840119999999999</v>
      </c>
      <c r="Y3634">
        <v>3.2266539999999998E-3</v>
      </c>
      <c r="Z3634">
        <v>1.6837810000000001E-4</v>
      </c>
      <c r="AA3634">
        <v>0.99999479999999996</v>
      </c>
      <c r="AB3634">
        <v>33</v>
      </c>
      <c r="AC3634">
        <v>-57.743299999999998</v>
      </c>
      <c r="AD3634">
        <v>-1.108443215309</v>
      </c>
      <c r="AE3634">
        <v>-0.23040000000000299</v>
      </c>
      <c r="AF3634">
        <v>0.188690474110499</v>
      </c>
      <c r="AG3634">
        <v>-1.108443215309</v>
      </c>
      <c r="AH3634">
        <v>57.722181522952198</v>
      </c>
      <c r="AI3634">
        <v>91.100113897631303</v>
      </c>
      <c r="AJ3634">
        <v>89.812704076551796</v>
      </c>
      <c r="AK3634">
        <v>57.733131650944003</v>
      </c>
      <c r="AL3634">
        <v>88.202276965310105</v>
      </c>
      <c r="AM3634">
        <v>87.303544724154094</v>
      </c>
      <c r="AN3634">
        <v>1.0000000598871801</v>
      </c>
    </row>
    <row r="3635" spans="1:40" x14ac:dyDescent="0.25">
      <c r="A3635" t="str">
        <f>"20190312154629165"</f>
        <v>20190312154629165</v>
      </c>
      <c r="B3635" t="str">
        <f>"1552376789150959"</f>
        <v>1552376789150959</v>
      </c>
      <c r="C3635" t="s">
        <v>40</v>
      </c>
      <c r="D3635">
        <v>4.5597770000000004</v>
      </c>
      <c r="E3635">
        <v>0.48398229999999998</v>
      </c>
      <c r="F3635" t="s">
        <v>52</v>
      </c>
      <c r="G3635">
        <v>-319.02120000000002</v>
      </c>
      <c r="H3635" s="1">
        <v>-5.94625E-6</v>
      </c>
      <c r="I3635">
        <v>140.1617</v>
      </c>
      <c r="J3635">
        <v>-261.01749999999998</v>
      </c>
      <c r="K3635">
        <v>1.1084339999999999</v>
      </c>
      <c r="L3635">
        <v>140.41370000000001</v>
      </c>
      <c r="M3635">
        <v>-0.99997040000000004</v>
      </c>
      <c r="N3635">
        <v>0</v>
      </c>
      <c r="O3635">
        <v>-7.5440979999999999E-3</v>
      </c>
      <c r="P3635">
        <v>-0.99872819999999995</v>
      </c>
      <c r="Q3635">
        <v>3.0552220000000001E-2</v>
      </c>
      <c r="R3635">
        <v>4.0105920000000003E-2</v>
      </c>
      <c r="S3635">
        <v>-3.0059200000000001</v>
      </c>
      <c r="T3635">
        <v>-5.7116029999999998E-2</v>
      </c>
      <c r="U3635">
        <v>-1.312256E-2</v>
      </c>
      <c r="V3635">
        <v>4.7619340000000003E-2</v>
      </c>
      <c r="W3635">
        <v>3.2088319999999997E-2</v>
      </c>
      <c r="X3635">
        <v>0.99834999999999996</v>
      </c>
      <c r="Y3635">
        <v>3.1766950000000002E-3</v>
      </c>
      <c r="Z3635">
        <v>1.7350929999999999E-4</v>
      </c>
      <c r="AA3635">
        <v>0.99999490000000002</v>
      </c>
      <c r="AB3635">
        <v>33</v>
      </c>
      <c r="AC3635">
        <v>-58.003700000000002</v>
      </c>
      <c r="AD3635">
        <v>-1.1084399462500001</v>
      </c>
      <c r="AE3635">
        <v>-0.25200000000000899</v>
      </c>
      <c r="AF3635">
        <v>0.185525518609339</v>
      </c>
      <c r="AG3635">
        <v>-1.1084399462500001</v>
      </c>
      <c r="AH3635">
        <v>57.982776452187302</v>
      </c>
      <c r="AI3635">
        <v>91.095167823130097</v>
      </c>
      <c r="AJ3635">
        <v>89.816673267764202</v>
      </c>
      <c r="AK3635">
        <v>57.993667101993402</v>
      </c>
      <c r="AL3635">
        <v>88.161159022221497</v>
      </c>
      <c r="AM3635">
        <v>87.269173231547498</v>
      </c>
      <c r="AN3635">
        <v>0.99999999216122903</v>
      </c>
    </row>
    <row r="3636" spans="1:40" x14ac:dyDescent="0.25">
      <c r="A3636" t="str">
        <f>"20190312154629187"</f>
        <v>20190312154629187</v>
      </c>
      <c r="B3636" t="str">
        <f>"1552376789181215"</f>
        <v>1552376789181215</v>
      </c>
      <c r="C3636" t="s">
        <v>40</v>
      </c>
      <c r="D3636">
        <v>4.5529449999999896</v>
      </c>
      <c r="E3636">
        <v>0.48401</v>
      </c>
      <c r="F3636" t="s">
        <v>42</v>
      </c>
      <c r="G3636">
        <v>-321.322</v>
      </c>
      <c r="H3636" s="1">
        <v>-3.8512929999999999E-6</v>
      </c>
      <c r="I3636">
        <v>140.16569999999999</v>
      </c>
      <c r="J3636">
        <v>-261.35309999999998</v>
      </c>
      <c r="K3636">
        <v>1.1084240000000001</v>
      </c>
      <c r="L3636">
        <v>140.4109</v>
      </c>
      <c r="M3636">
        <v>-0.99996830000000003</v>
      </c>
      <c r="N3636">
        <v>0</v>
      </c>
      <c r="O3636">
        <v>-7.8135419999999997E-3</v>
      </c>
      <c r="P3636">
        <v>-0.99872300000000003</v>
      </c>
      <c r="Q3636">
        <v>3.0769959999999999E-2</v>
      </c>
      <c r="R3636">
        <v>4.0072129999999997E-2</v>
      </c>
      <c r="S3636">
        <v>-3.0060120000000001</v>
      </c>
      <c r="T3636">
        <v>-5.5252549999999997E-2</v>
      </c>
      <c r="U3636">
        <v>-1.235962E-2</v>
      </c>
      <c r="V3636">
        <v>4.7855330000000001E-2</v>
      </c>
      <c r="W3636">
        <v>3.2360930000000003E-2</v>
      </c>
      <c r="X3636">
        <v>0.99832989999999999</v>
      </c>
      <c r="Y3636">
        <v>3.7000679999999999E-3</v>
      </c>
      <c r="Z3636">
        <v>1.7760590000000001E-4</v>
      </c>
      <c r="AA3636">
        <v>0.99999309999999997</v>
      </c>
      <c r="AB3636">
        <v>34</v>
      </c>
      <c r="AC3636">
        <v>-59.968899999999998</v>
      </c>
      <c r="AD3636">
        <v>-1.1084278512929999</v>
      </c>
      <c r="AE3636">
        <v>-0.24520000000001099</v>
      </c>
      <c r="AF3636">
        <v>0.223301267567313</v>
      </c>
      <c r="AG3636">
        <v>-1.1084278512929999</v>
      </c>
      <c r="AH3636">
        <v>59.948505075676003</v>
      </c>
      <c r="AI3636">
        <v>91.059251796393696</v>
      </c>
      <c r="AJ3636">
        <v>89.786580816258805</v>
      </c>
      <c r="AK3636">
        <v>59.959167243766501</v>
      </c>
      <c r="AL3636">
        <v>88.145531473154705</v>
      </c>
      <c r="AM3636">
        <v>87.255605379958695</v>
      </c>
      <c r="AN3636">
        <v>0.999999975816941</v>
      </c>
    </row>
    <row r="3637" spans="1:40" x14ac:dyDescent="0.25">
      <c r="A3637" t="str">
        <f>"20190312154629209"</f>
        <v>20190312154629209</v>
      </c>
      <c r="B3637" t="str">
        <f>"1552376789200735"</f>
        <v>1552376789200735</v>
      </c>
      <c r="C3637" t="s">
        <v>40</v>
      </c>
      <c r="D3637">
        <v>4.5150649999999999</v>
      </c>
      <c r="E3637">
        <v>0.4840004</v>
      </c>
      <c r="F3637" t="s">
        <v>42</v>
      </c>
      <c r="G3637">
        <v>-322.20139999999998</v>
      </c>
      <c r="H3637" s="1">
        <v>-3.4725210000000002E-6</v>
      </c>
      <c r="I3637">
        <v>140.16</v>
      </c>
      <c r="J3637">
        <v>-261.70650000000001</v>
      </c>
      <c r="K3637">
        <v>1.108417</v>
      </c>
      <c r="L3637">
        <v>140.40790000000001</v>
      </c>
      <c r="M3637">
        <v>-0.99996609999999997</v>
      </c>
      <c r="N3637">
        <v>0</v>
      </c>
      <c r="O3637">
        <v>-8.0784540000000005E-3</v>
      </c>
      <c r="P3637">
        <v>-0.99870179999999997</v>
      </c>
      <c r="Q3637">
        <v>3.1485579999999999E-2</v>
      </c>
      <c r="R3637">
        <v>4.0044379999999997E-2</v>
      </c>
      <c r="S3637">
        <v>-3.0060120000000001</v>
      </c>
      <c r="T3637">
        <v>-5.4758309999999998E-2</v>
      </c>
      <c r="U3637">
        <v>-1.2390139999999999E-2</v>
      </c>
      <c r="V3637">
        <v>4.8092360000000001E-2</v>
      </c>
      <c r="W3637">
        <v>3.3131559999999997E-2</v>
      </c>
      <c r="X3637">
        <v>0.99829330000000005</v>
      </c>
      <c r="Y3637">
        <v>3.9547840000000003E-3</v>
      </c>
      <c r="Z3637">
        <v>1.8316240000000001E-4</v>
      </c>
      <c r="AA3637">
        <v>0.9999922</v>
      </c>
      <c r="AB3637">
        <v>34</v>
      </c>
      <c r="AC3637">
        <v>-60.494899999999902</v>
      </c>
      <c r="AD3637">
        <v>-1.1084204725210001</v>
      </c>
      <c r="AE3637">
        <v>-0.247900000000015</v>
      </c>
      <c r="AF3637">
        <v>0.24073315969397199</v>
      </c>
      <c r="AG3637">
        <v>-1.1084204725210001</v>
      </c>
      <c r="AH3637">
        <v>60.474626686571298</v>
      </c>
      <c r="AI3637">
        <v>91.050030488628494</v>
      </c>
      <c r="AJ3637">
        <v>89.771922177280601</v>
      </c>
      <c r="AK3637">
        <v>60.485262843755898</v>
      </c>
      <c r="AL3637">
        <v>88.101354061591607</v>
      </c>
      <c r="AM3637">
        <v>87.241932224974803</v>
      </c>
      <c r="AN3637">
        <v>1.0000000440916399</v>
      </c>
    </row>
    <row r="3638" spans="1:40" x14ac:dyDescent="0.25">
      <c r="A3638" t="str">
        <f>"20190312154629231"</f>
        <v>20190312154629231</v>
      </c>
      <c r="B3638" t="str">
        <f>"1552376789221234"</f>
        <v>1552376789221234</v>
      </c>
      <c r="C3638" t="s">
        <v>40</v>
      </c>
      <c r="D3638">
        <v>4.4605759999999997</v>
      </c>
      <c r="E3638">
        <v>0.48401499999999997</v>
      </c>
      <c r="F3638" t="s">
        <v>42</v>
      </c>
      <c r="G3638">
        <v>-325.4314</v>
      </c>
      <c r="H3638" s="1">
        <v>-2.081297E-6</v>
      </c>
      <c r="I3638">
        <v>140.13900000000001</v>
      </c>
      <c r="J3638">
        <v>-262.05279999999999</v>
      </c>
      <c r="K3638">
        <v>1.1084149999999999</v>
      </c>
      <c r="L3638">
        <v>140.4049</v>
      </c>
      <c r="M3638">
        <v>-0.99996399999999996</v>
      </c>
      <c r="N3638">
        <v>0</v>
      </c>
      <c r="O3638">
        <v>-8.3191629999999992E-3</v>
      </c>
      <c r="P3638">
        <v>-0.99870829999999999</v>
      </c>
      <c r="Q3638">
        <v>3.1782570000000003E-2</v>
      </c>
      <c r="R3638">
        <v>3.9645310000000003E-2</v>
      </c>
      <c r="S3638">
        <v>-3.0060120000000001</v>
      </c>
      <c r="T3638">
        <v>-5.2286029999999997E-2</v>
      </c>
      <c r="U3638">
        <v>-1.268005E-2</v>
      </c>
      <c r="V3638">
        <v>4.7934610000000002E-2</v>
      </c>
      <c r="W3638">
        <v>3.3481370000000003E-2</v>
      </c>
      <c r="X3638">
        <v>0.99828919999999999</v>
      </c>
      <c r="Y3638">
        <v>4.099175E-3</v>
      </c>
      <c r="Z3638">
        <v>1.803361E-4</v>
      </c>
      <c r="AA3638">
        <v>0.99999159999999998</v>
      </c>
      <c r="AB3638">
        <v>34</v>
      </c>
      <c r="AC3638">
        <v>-63.378599999999999</v>
      </c>
      <c r="AD3638">
        <v>-1.108417081297</v>
      </c>
      <c r="AE3638">
        <v>-0.26589999999998698</v>
      </c>
      <c r="AF3638">
        <v>0.26128692562136402</v>
      </c>
      <c r="AG3638">
        <v>-1.108417081297</v>
      </c>
      <c r="AH3638">
        <v>63.3592402093415</v>
      </c>
      <c r="AI3638">
        <v>91.002231135987003</v>
      </c>
      <c r="AJ3638">
        <v>89.763719495920299</v>
      </c>
      <c r="AK3638">
        <v>63.369473559345998</v>
      </c>
      <c r="AL3638">
        <v>88.081300268560696</v>
      </c>
      <c r="AM3638">
        <v>87.2509539184489</v>
      </c>
      <c r="AN3638">
        <v>1.00000002790478</v>
      </c>
    </row>
    <row r="3639" spans="1:40" x14ac:dyDescent="0.25">
      <c r="A3639" t="str">
        <f>"20190312154629254"</f>
        <v>20190312154629254</v>
      </c>
      <c r="B3639" t="str">
        <f>"1552376789240750"</f>
        <v>1552376789240750</v>
      </c>
      <c r="C3639" t="s">
        <v>40</v>
      </c>
      <c r="D3639">
        <v>4.437621</v>
      </c>
      <c r="E3639">
        <v>0.4840469</v>
      </c>
      <c r="F3639" t="s">
        <v>42</v>
      </c>
      <c r="G3639">
        <v>-327.26499999999999</v>
      </c>
      <c r="H3639" s="1">
        <v>-1.2856940000000001E-6</v>
      </c>
      <c r="I3639">
        <v>140.1053</v>
      </c>
      <c r="J3639">
        <v>-262.39510000000001</v>
      </c>
      <c r="K3639">
        <v>1.108409</v>
      </c>
      <c r="L3639">
        <v>140.40190000000001</v>
      </c>
      <c r="M3639">
        <v>-0.99996209999999996</v>
      </c>
      <c r="N3639">
        <v>0</v>
      </c>
      <c r="O3639">
        <v>-8.5348330000000003E-3</v>
      </c>
      <c r="P3639">
        <v>-0.99869220000000003</v>
      </c>
      <c r="Q3639">
        <v>3.2336860000000002E-2</v>
      </c>
      <c r="R3639">
        <v>3.9602079999999998E-2</v>
      </c>
      <c r="S3639">
        <v>-3.0060419999999999</v>
      </c>
      <c r="T3639">
        <v>-5.1093939999999997E-2</v>
      </c>
      <c r="U3639">
        <v>-1.3809200000000001E-2</v>
      </c>
      <c r="V3639">
        <v>4.8107280000000002E-2</v>
      </c>
      <c r="W3639">
        <v>3.4088979999999998E-2</v>
      </c>
      <c r="X3639">
        <v>0.99826029999999999</v>
      </c>
      <c r="Y3639">
        <v>3.9393539999999999E-3</v>
      </c>
      <c r="Z3639">
        <v>1.78530299999999E-4</v>
      </c>
      <c r="AA3639">
        <v>0.99999229999999995</v>
      </c>
      <c r="AB3639">
        <v>34</v>
      </c>
      <c r="AC3639">
        <v>-64.869899999999902</v>
      </c>
      <c r="AD3639">
        <v>-1.1084102856939999</v>
      </c>
      <c r="AE3639">
        <v>-0.29660000000001202</v>
      </c>
      <c r="AF3639">
        <v>0.25699035637547202</v>
      </c>
      <c r="AG3639">
        <v>-1.1084102856939999</v>
      </c>
      <c r="AH3639">
        <v>64.851135552308506</v>
      </c>
      <c r="AI3639">
        <v>90.979174063977595</v>
      </c>
      <c r="AJ3639">
        <v>89.772950996221695</v>
      </c>
      <c r="AK3639">
        <v>64.861116239458795</v>
      </c>
      <c r="AL3639">
        <v>88.046466835731195</v>
      </c>
      <c r="AM3639">
        <v>87.240986831635297</v>
      </c>
      <c r="AN3639">
        <v>0.99999999775126402</v>
      </c>
    </row>
    <row r="3640" spans="1:40" x14ac:dyDescent="0.25">
      <c r="A3640" t="str">
        <f>"20190312154629276"</f>
        <v>20190312154629276</v>
      </c>
      <c r="B3640" t="str">
        <f>"1552376789271007"</f>
        <v>1552376789271007</v>
      </c>
      <c r="C3640" t="s">
        <v>40</v>
      </c>
      <c r="D3640">
        <v>4.3652340000000001</v>
      </c>
      <c r="E3640">
        <v>0.48405900000000002</v>
      </c>
      <c r="F3640" t="s">
        <v>42</v>
      </c>
      <c r="G3640">
        <v>-330.20179999999999</v>
      </c>
      <c r="H3640" s="1">
        <v>-4.7184340000000001E-6</v>
      </c>
      <c r="I3640">
        <v>140.09350000000001</v>
      </c>
      <c r="J3640">
        <v>-262.7346</v>
      </c>
      <c r="K3640">
        <v>1.1083959999999999</v>
      </c>
      <c r="L3640">
        <v>140.39879999999999</v>
      </c>
      <c r="M3640">
        <v>-0.99996039999999997</v>
      </c>
      <c r="N3640">
        <v>0</v>
      </c>
      <c r="O3640">
        <v>-8.7228389999999996E-3</v>
      </c>
      <c r="P3640">
        <v>-0.99868049999999997</v>
      </c>
      <c r="Q3640">
        <v>3.3042679999999998E-2</v>
      </c>
      <c r="R3640">
        <v>3.9312590000000001E-2</v>
      </c>
      <c r="S3640">
        <v>-3.0060730000000002</v>
      </c>
      <c r="T3640">
        <v>-4.9139259999999997E-2</v>
      </c>
      <c r="U3640">
        <v>-1.3671880000000001E-2</v>
      </c>
      <c r="V3640">
        <v>4.8006649999999998E-2</v>
      </c>
      <c r="W3640">
        <v>3.4846710000000003E-2</v>
      </c>
      <c r="X3640">
        <v>0.99823899999999999</v>
      </c>
      <c r="Y3640">
        <v>4.1731750000000003E-3</v>
      </c>
      <c r="Z3640">
        <v>1.766835E-4</v>
      </c>
      <c r="AA3640">
        <v>0.99999130000000003</v>
      </c>
      <c r="AB3640">
        <v>35</v>
      </c>
      <c r="AC3640">
        <v>-67.467199999999906</v>
      </c>
      <c r="AD3640">
        <v>-1.1084007184339999</v>
      </c>
      <c r="AE3640">
        <v>-0.30529999999998803</v>
      </c>
      <c r="AF3640">
        <v>0.28314163443583001</v>
      </c>
      <c r="AG3640">
        <v>-1.1084007184339999</v>
      </c>
      <c r="AH3640">
        <v>67.4490919496495</v>
      </c>
      <c r="AI3640">
        <v>90.941456826830603</v>
      </c>
      <c r="AJ3640">
        <v>89.759481930789093</v>
      </c>
      <c r="AK3640">
        <v>67.458792801013402</v>
      </c>
      <c r="AL3640">
        <v>88.003026328744298</v>
      </c>
      <c r="AM3640">
        <v>87.246690542196703</v>
      </c>
      <c r="AN3640">
        <v>1.0000000163815199</v>
      </c>
    </row>
    <row r="3641" spans="1:40" x14ac:dyDescent="0.25">
      <c r="A3641" t="str">
        <f>"20190312154629300"</f>
        <v>20190312154629300</v>
      </c>
      <c r="B3641" t="str">
        <f>"1552376789291502"</f>
        <v>1552376789291502</v>
      </c>
      <c r="C3641" t="s">
        <v>40</v>
      </c>
      <c r="D3641">
        <v>4.3003619999999998</v>
      </c>
      <c r="E3641">
        <v>0.4840798</v>
      </c>
      <c r="F3641" t="s">
        <v>42</v>
      </c>
      <c r="G3641">
        <v>-335.1909</v>
      </c>
      <c r="H3641" s="1">
        <v>-2.3697229999999999E-6</v>
      </c>
      <c r="I3641">
        <v>140.05199999999999</v>
      </c>
      <c r="J3641">
        <v>-263.09800000000001</v>
      </c>
      <c r="K3641">
        <v>1.108376</v>
      </c>
      <c r="L3641">
        <v>140.3955</v>
      </c>
      <c r="M3641">
        <v>-0.99995889999999998</v>
      </c>
      <c r="N3641">
        <v>0</v>
      </c>
      <c r="O3641">
        <v>-8.8917590000000008E-3</v>
      </c>
      <c r="P3641">
        <v>-0.99868089999999998</v>
      </c>
      <c r="Q3641">
        <v>3.3417410000000002E-2</v>
      </c>
      <c r="R3641">
        <v>3.8987870000000001E-2</v>
      </c>
      <c r="S3641">
        <v>-3.0060419999999999</v>
      </c>
      <c r="T3641">
        <v>-4.5984860000000002E-2</v>
      </c>
      <c r="U3641">
        <v>-1.4389040000000001E-2</v>
      </c>
      <c r="V3641">
        <v>4.7852430000000001E-2</v>
      </c>
      <c r="W3641">
        <v>3.5276549999999997E-2</v>
      </c>
      <c r="X3641">
        <v>0.99823130000000004</v>
      </c>
      <c r="Y3641">
        <v>4.1036889999999998E-3</v>
      </c>
      <c r="Z3641">
        <v>1.67396899999999E-4</v>
      </c>
      <c r="AA3641">
        <v>0.99999150000000003</v>
      </c>
      <c r="AB3641">
        <v>35</v>
      </c>
      <c r="AC3641">
        <v>-72.092899999999901</v>
      </c>
      <c r="AD3641">
        <v>-1.1083783697229901</v>
      </c>
      <c r="AE3641">
        <v>-0.34349999999997699</v>
      </c>
      <c r="AF3641">
        <v>0.297476963827639</v>
      </c>
      <c r="AG3641">
        <v>-1.1083783697229901</v>
      </c>
      <c r="AH3641">
        <v>72.0760681207137</v>
      </c>
      <c r="AI3641">
        <v>90.881011664352201</v>
      </c>
      <c r="AJ3641">
        <v>89.763526532502297</v>
      </c>
      <c r="AK3641">
        <v>72.0852036890806</v>
      </c>
      <c r="AL3641">
        <v>87.978383144700601</v>
      </c>
      <c r="AM3641">
        <v>87.255500788200706</v>
      </c>
      <c r="AN3641">
        <v>1.0000000091682399</v>
      </c>
    </row>
    <row r="3642" spans="1:40" x14ac:dyDescent="0.25">
      <c r="A3642" t="str">
        <f>"20190312154629325"</f>
        <v>20190312154629325</v>
      </c>
      <c r="B3642" t="str">
        <f>"1552376789311022"</f>
        <v>1552376789311022</v>
      </c>
      <c r="C3642" t="s">
        <v>40</v>
      </c>
      <c r="D3642">
        <v>4.2805720000000003</v>
      </c>
      <c r="E3642">
        <v>0.4841068</v>
      </c>
      <c r="F3642" t="s">
        <v>42</v>
      </c>
      <c r="G3642">
        <v>-339.6388</v>
      </c>
      <c r="H3642" s="1">
        <v>-2.5548530000000002E-7</v>
      </c>
      <c r="I3642">
        <v>140.00810000000001</v>
      </c>
      <c r="J3642">
        <v>-263.48860000000002</v>
      </c>
      <c r="K3642">
        <v>1.1083510000000001</v>
      </c>
      <c r="L3642">
        <v>140.39189999999999</v>
      </c>
      <c r="M3642">
        <v>-0.9999576</v>
      </c>
      <c r="N3642">
        <v>0</v>
      </c>
      <c r="O3642">
        <v>-9.0293100000000005E-3</v>
      </c>
      <c r="P3642">
        <v>-0.99867680000000003</v>
      </c>
      <c r="Q3642">
        <v>3.3876330000000003E-2</v>
      </c>
      <c r="R3642">
        <v>3.869446E-2</v>
      </c>
      <c r="S3642">
        <v>-3.0060120000000001</v>
      </c>
      <c r="T3642">
        <v>-4.352963E-2</v>
      </c>
      <c r="U3642">
        <v>-1.5213010000000001E-2</v>
      </c>
      <c r="V3642">
        <v>4.7698690000000002E-2</v>
      </c>
      <c r="W3642">
        <v>3.5791690000000001E-2</v>
      </c>
      <c r="X3642">
        <v>0.99822029999999995</v>
      </c>
      <c r="Y3642">
        <v>3.9672559999999997E-3</v>
      </c>
      <c r="Z3642">
        <v>1.5946560000000001E-4</v>
      </c>
      <c r="AA3642">
        <v>0.99999210000000005</v>
      </c>
      <c r="AB3642">
        <v>35</v>
      </c>
      <c r="AC3642">
        <v>-76.150199999999899</v>
      </c>
      <c r="AD3642">
        <v>-1.1083512554852999</v>
      </c>
      <c r="AE3642">
        <v>-0.38379999999997899</v>
      </c>
      <c r="AF3642">
        <v>0.303736189613519</v>
      </c>
      <c r="AG3642">
        <v>-1.1083512554852999</v>
      </c>
      <c r="AH3642">
        <v>76.134433092156897</v>
      </c>
      <c r="AI3642">
        <v>90.834036004164602</v>
      </c>
      <c r="AJ3642">
        <v>89.771421304168001</v>
      </c>
      <c r="AK3642">
        <v>76.143106059856294</v>
      </c>
      <c r="AL3642">
        <v>87.948849103025793</v>
      </c>
      <c r="AM3642">
        <v>87.264274781640196</v>
      </c>
      <c r="AN3642">
        <v>0.99999998871643103</v>
      </c>
    </row>
    <row r="3643" spans="1:40" x14ac:dyDescent="0.25">
      <c r="A3643" t="str">
        <f>"20190312154629346"</f>
        <v>20190312154629346</v>
      </c>
      <c r="B3643" t="str">
        <f>"1552376789331519"</f>
        <v>1552376789331519</v>
      </c>
      <c r="C3643" t="s">
        <v>40</v>
      </c>
      <c r="D3643">
        <v>4.2455480000000003</v>
      </c>
      <c r="E3643">
        <v>0.48412470000000002</v>
      </c>
      <c r="F3643" t="s">
        <v>42</v>
      </c>
      <c r="G3643">
        <v>-345.29579999999999</v>
      </c>
      <c r="H3643" s="1">
        <v>-2.091823E-6</v>
      </c>
      <c r="I3643">
        <v>139.96</v>
      </c>
      <c r="J3643">
        <v>-263.82240000000002</v>
      </c>
      <c r="K3643">
        <v>1.1083259999999999</v>
      </c>
      <c r="L3643">
        <v>140.3888</v>
      </c>
      <c r="M3643">
        <v>-0.99995659999999997</v>
      </c>
      <c r="N3643">
        <v>0</v>
      </c>
      <c r="O3643">
        <v>-9.1088060000000005E-3</v>
      </c>
      <c r="P3643">
        <v>-0.9986796</v>
      </c>
      <c r="Q3643">
        <v>3.4009699999999997E-2</v>
      </c>
      <c r="R3643">
        <v>3.8503629999999997E-2</v>
      </c>
      <c r="S3643">
        <v>-3.0060120000000001</v>
      </c>
      <c r="T3643">
        <v>-4.0726539999999999E-2</v>
      </c>
      <c r="U3643">
        <v>-1.586914E-2</v>
      </c>
      <c r="V3643">
        <v>4.7589619999999999E-2</v>
      </c>
      <c r="W3643">
        <v>3.5974190000000003E-2</v>
      </c>
      <c r="X3643">
        <v>0.99821899999999997</v>
      </c>
      <c r="Y3643">
        <v>3.8286679999999999E-3</v>
      </c>
      <c r="Z3643">
        <v>1.4933589999999999E-4</v>
      </c>
      <c r="AA3643">
        <v>0.99999269999999996</v>
      </c>
      <c r="AB3643">
        <v>35</v>
      </c>
      <c r="AC3643">
        <v>-81.473399999999899</v>
      </c>
      <c r="AD3643">
        <v>-1.1083280918230001</v>
      </c>
      <c r="AE3643">
        <v>-0.42879999999999502</v>
      </c>
      <c r="AF3643">
        <v>0.313286630177329</v>
      </c>
      <c r="AG3643">
        <v>-1.1083280918230001</v>
      </c>
      <c r="AH3643">
        <v>81.458851747052705</v>
      </c>
      <c r="AI3643">
        <v>90.779511776919904</v>
      </c>
      <c r="AJ3643">
        <v>89.779644411854505</v>
      </c>
      <c r="AK3643">
        <v>81.466993731327094</v>
      </c>
      <c r="AL3643">
        <v>87.938385997025193</v>
      </c>
      <c r="AM3643">
        <v>87.270517395470605</v>
      </c>
      <c r="AN3643">
        <v>1.00000004311944</v>
      </c>
    </row>
    <row r="3644" spans="1:40" x14ac:dyDescent="0.25">
      <c r="A3644" t="str">
        <f>"20190312154629366"</f>
        <v>20190312154629366</v>
      </c>
      <c r="B3644" t="str">
        <f>"1552376789360799"</f>
        <v>1552376789360799</v>
      </c>
      <c r="C3644" t="s">
        <v>40</v>
      </c>
      <c r="D3644">
        <v>4.1993220000000004</v>
      </c>
      <c r="E3644">
        <v>0.48521940000000002</v>
      </c>
      <c r="F3644" t="s">
        <v>42</v>
      </c>
      <c r="G3644">
        <v>-350.87200000000001</v>
      </c>
      <c r="H3644" s="1">
        <v>-3.9798000000000004E-6</v>
      </c>
      <c r="I3644">
        <v>139.923</v>
      </c>
      <c r="J3644">
        <v>-264.16210000000001</v>
      </c>
      <c r="K3644">
        <v>1.108306</v>
      </c>
      <c r="L3644">
        <v>140.38570000000001</v>
      </c>
      <c r="M3644">
        <v>-0.99995610000000001</v>
      </c>
      <c r="N3644">
        <v>0</v>
      </c>
      <c r="O3644">
        <v>-9.1633949999999995E-3</v>
      </c>
      <c r="P3644">
        <v>-0.99868190000000001</v>
      </c>
      <c r="Q3644">
        <v>3.4232440000000003E-2</v>
      </c>
      <c r="R3644">
        <v>3.824756E-2</v>
      </c>
      <c r="S3644">
        <v>-3.0059200000000001</v>
      </c>
      <c r="T3644">
        <v>-3.8271899999999998E-2</v>
      </c>
      <c r="U3644">
        <v>-1.6082760000000001E-2</v>
      </c>
      <c r="V3644">
        <v>4.7390290000000002E-2</v>
      </c>
      <c r="W3644">
        <v>3.6248200000000001E-2</v>
      </c>
      <c r="X3644">
        <v>0.99821850000000001</v>
      </c>
      <c r="Y3644">
        <v>3.8121679999999999E-3</v>
      </c>
      <c r="Z3644">
        <v>1.409301E-4</v>
      </c>
      <c r="AA3644">
        <v>0.99999269999999996</v>
      </c>
      <c r="AB3644">
        <v>35</v>
      </c>
      <c r="AC3644">
        <v>-86.709899999999905</v>
      </c>
      <c r="AD3644">
        <v>-1.1083099798</v>
      </c>
      <c r="AE3644">
        <v>-0.46270000000001199</v>
      </c>
      <c r="AF3644">
        <v>0.33182380212175899</v>
      </c>
      <c r="AG3644">
        <v>-1.1083099798</v>
      </c>
      <c r="AH3644">
        <v>86.696335805720807</v>
      </c>
      <c r="AI3644">
        <v>90.732413425307399</v>
      </c>
      <c r="AJ3644">
        <v>89.780705719677897</v>
      </c>
      <c r="AK3644">
        <v>86.704054692876298</v>
      </c>
      <c r="AL3644">
        <v>87.922675988374095</v>
      </c>
      <c r="AM3644">
        <v>87.281931343579799</v>
      </c>
      <c r="AN3644">
        <v>0.99999997266588603</v>
      </c>
    </row>
    <row r="3645" spans="1:40" x14ac:dyDescent="0.25">
      <c r="A3645" t="str">
        <f>"20190312154629389"</f>
        <v>20190312154629389</v>
      </c>
      <c r="B3645" t="str">
        <f>"1552376789381294"</f>
        <v>1552376789381294</v>
      </c>
      <c r="C3645" t="s">
        <v>40</v>
      </c>
      <c r="D3645">
        <v>4.1746379999999998</v>
      </c>
      <c r="E3645">
        <v>0.48565789999999998</v>
      </c>
      <c r="F3645" t="s">
        <v>44</v>
      </c>
      <c r="G3645">
        <v>0</v>
      </c>
      <c r="H3645">
        <v>0</v>
      </c>
      <c r="I3645">
        <v>0</v>
      </c>
      <c r="J3645">
        <v>-264.50850000000003</v>
      </c>
      <c r="K3645">
        <v>1.1082860000000001</v>
      </c>
      <c r="L3645">
        <v>140.38249999999999</v>
      </c>
      <c r="M3645">
        <v>-0.99995560000000006</v>
      </c>
      <c r="N3645">
        <v>0</v>
      </c>
      <c r="O3645">
        <v>-9.1977299999999994E-3</v>
      </c>
      <c r="P3645">
        <v>-0.99866120000000003</v>
      </c>
      <c r="Q3645">
        <v>3.5032239999999999E-2</v>
      </c>
      <c r="R3645">
        <v>3.8062569999999997E-2</v>
      </c>
      <c r="S3645">
        <v>-3.0030519999999998</v>
      </c>
      <c r="T3645">
        <v>3.2737259999999997E-2</v>
      </c>
      <c r="U3645">
        <v>-5.6457520000000004E-3</v>
      </c>
      <c r="V3645">
        <v>4.7241129999999999E-2</v>
      </c>
      <c r="W3645">
        <v>3.7101160000000001E-2</v>
      </c>
      <c r="X3645">
        <v>0.99819429999999998</v>
      </c>
      <c r="Y3645">
        <v>7.3168299999999999E-3</v>
      </c>
      <c r="Z3645">
        <v>-1.4014370000000001E-4</v>
      </c>
      <c r="AA3645">
        <v>0.99997320000000001</v>
      </c>
      <c r="AB3645">
        <v>35</v>
      </c>
      <c r="AC3645">
        <v>-3.0030519999999998</v>
      </c>
      <c r="AD3645">
        <v>3.2737259999999997E-2</v>
      </c>
      <c r="AE3645">
        <v>-5.6457520000000004E-3</v>
      </c>
      <c r="AF3645">
        <v>2.1973195027234799E-2</v>
      </c>
      <c r="AG3645">
        <v>3.2737259999999997E-2</v>
      </c>
      <c r="AH3645">
        <v>3.0026200714646998</v>
      </c>
      <c r="AI3645">
        <v>89.375351442858204</v>
      </c>
      <c r="AJ3645">
        <v>89.580716562787302</v>
      </c>
      <c r="AK3645">
        <v>3.00287892580682</v>
      </c>
      <c r="AL3645">
        <v>87.873772222006707</v>
      </c>
      <c r="AM3645">
        <v>87.290408050457401</v>
      </c>
      <c r="AN3645">
        <v>1.00000004049475</v>
      </c>
    </row>
    <row r="3646" spans="1:40" x14ac:dyDescent="0.25">
      <c r="A3646" t="str">
        <f>"20190312154629411"</f>
        <v>20190312154629411</v>
      </c>
      <c r="B3646" t="str">
        <f>"1552376789400815"</f>
        <v>1552376789400815</v>
      </c>
      <c r="C3646" t="s">
        <v>40</v>
      </c>
      <c r="D3646">
        <v>4.1012190000000004</v>
      </c>
      <c r="E3646">
        <v>0.48556149999999998</v>
      </c>
      <c r="F3646" t="s">
        <v>44</v>
      </c>
      <c r="G3646">
        <v>0</v>
      </c>
      <c r="H3646">
        <v>0</v>
      </c>
      <c r="I3646">
        <v>0</v>
      </c>
      <c r="J3646">
        <v>-264.86489999999998</v>
      </c>
      <c r="K3646">
        <v>1.1082719999999999</v>
      </c>
      <c r="L3646">
        <v>140.3792</v>
      </c>
      <c r="M3646">
        <v>-0.9999555</v>
      </c>
      <c r="N3646">
        <v>0</v>
      </c>
      <c r="O3646">
        <v>-9.2122829999999999E-3</v>
      </c>
      <c r="P3646">
        <v>-0.99864600000000003</v>
      </c>
      <c r="Q3646">
        <v>3.5588330000000001E-2</v>
      </c>
      <c r="R3646">
        <v>3.7951150000000003E-2</v>
      </c>
      <c r="S3646">
        <v>-3.0031430000000001</v>
      </c>
      <c r="T3646">
        <v>2.844381E-2</v>
      </c>
      <c r="U3646">
        <v>-2.9144290000000001E-3</v>
      </c>
      <c r="V3646">
        <v>4.7145989999999999E-2</v>
      </c>
      <c r="W3646">
        <v>3.7711090000000003E-2</v>
      </c>
      <c r="X3646">
        <v>0.9981759</v>
      </c>
      <c r="Y3646">
        <v>8.241099E-3</v>
      </c>
      <c r="Z3646">
        <v>-1.262762E-4</v>
      </c>
      <c r="AA3646">
        <v>0.99996600000000002</v>
      </c>
      <c r="AB3646">
        <v>36</v>
      </c>
      <c r="AC3646">
        <v>-3.0031430000000001</v>
      </c>
      <c r="AD3646">
        <v>2.844381E-2</v>
      </c>
      <c r="AE3646">
        <v>-2.9144290000000001E-3</v>
      </c>
      <c r="AF3646">
        <v>2.47493348605381E-2</v>
      </c>
      <c r="AG3646">
        <v>2.844381E-2</v>
      </c>
      <c r="AH3646">
        <v>3.0027730450068102</v>
      </c>
      <c r="AI3646">
        <v>89.457299585179399</v>
      </c>
      <c r="AJ3646">
        <v>89.527769730569602</v>
      </c>
      <c r="AK3646">
        <v>3.0030097468577801</v>
      </c>
      <c r="AL3646">
        <v>87.838801243868602</v>
      </c>
      <c r="AM3646">
        <v>87.295807078949593</v>
      </c>
      <c r="AN3646">
        <v>0.99999999901143899</v>
      </c>
    </row>
    <row r="3647" spans="1:40" x14ac:dyDescent="0.25">
      <c r="A3647" t="str">
        <f>"20190312154629433"</f>
        <v>20190312154629433</v>
      </c>
      <c r="B3647" t="str">
        <f>"1552376789421314"</f>
        <v>1552376789421314</v>
      </c>
      <c r="C3647" t="s">
        <v>40</v>
      </c>
      <c r="D3647">
        <v>4.1315330000000001</v>
      </c>
      <c r="E3647">
        <v>0.48627480000000001</v>
      </c>
      <c r="F3647" t="s">
        <v>44</v>
      </c>
      <c r="G3647">
        <v>0</v>
      </c>
      <c r="H3647">
        <v>0</v>
      </c>
      <c r="I3647">
        <v>0</v>
      </c>
      <c r="J3647">
        <v>-265.21480000000003</v>
      </c>
      <c r="K3647">
        <v>1.1082529999999999</v>
      </c>
      <c r="L3647">
        <v>140.376</v>
      </c>
      <c r="M3647">
        <v>-0.99995540000000005</v>
      </c>
      <c r="N3647">
        <v>0</v>
      </c>
      <c r="O3647">
        <v>-9.2000099999999998E-3</v>
      </c>
      <c r="P3647">
        <v>-0.9986273</v>
      </c>
      <c r="Q3647">
        <v>3.5626360000000003E-2</v>
      </c>
      <c r="R3647">
        <v>3.8396939999999997E-2</v>
      </c>
      <c r="S3647">
        <v>-3.0032960000000002</v>
      </c>
      <c r="T3647">
        <v>2.7007340000000001E-2</v>
      </c>
      <c r="U3647">
        <v>-4.1656489999999996E-3</v>
      </c>
      <c r="V3647">
        <v>4.7580829999999998E-2</v>
      </c>
      <c r="W3647">
        <v>3.7801149999999999E-2</v>
      </c>
      <c r="X3647">
        <v>0.99815180000000003</v>
      </c>
      <c r="Y3647">
        <v>7.8123690000000004E-3</v>
      </c>
      <c r="Z3647">
        <v>-1.178551E-4</v>
      </c>
      <c r="AA3647">
        <v>0.99996949999999996</v>
      </c>
      <c r="AB3647">
        <v>36</v>
      </c>
      <c r="AC3647">
        <v>-3.0032960000000002</v>
      </c>
      <c r="AD3647">
        <v>2.7007340000000001E-2</v>
      </c>
      <c r="AE3647">
        <v>-4.1656489999999996E-3</v>
      </c>
      <c r="AF3647">
        <v>2.34630461304434E-2</v>
      </c>
      <c r="AG3647">
        <v>2.7007340000000001E-2</v>
      </c>
      <c r="AH3647">
        <v>3.0029643830417601</v>
      </c>
      <c r="AI3647">
        <v>89.484736595045206</v>
      </c>
      <c r="AJ3647">
        <v>89.552340290718107</v>
      </c>
      <c r="AK3647">
        <v>3.0031774833940399</v>
      </c>
      <c r="AL3647">
        <v>87.833637374240794</v>
      </c>
      <c r="AM3647">
        <v>87.270837330827106</v>
      </c>
      <c r="AN3647">
        <v>0.99999993908402296</v>
      </c>
    </row>
    <row r="3648" spans="1:40" x14ac:dyDescent="0.25">
      <c r="A3648" t="str">
        <f>"20190312154629455"</f>
        <v>20190312154629455</v>
      </c>
      <c r="B3648" t="str">
        <f>"1552376789450591"</f>
        <v>1552376789450591</v>
      </c>
      <c r="C3648" t="s">
        <v>40</v>
      </c>
      <c r="D3648">
        <v>4.096895</v>
      </c>
      <c r="E3648">
        <v>0.48711460000000001</v>
      </c>
      <c r="F3648" t="s">
        <v>44</v>
      </c>
      <c r="G3648">
        <v>0</v>
      </c>
      <c r="H3648">
        <v>0</v>
      </c>
      <c r="I3648">
        <v>0</v>
      </c>
      <c r="J3648">
        <v>-265.58640000000003</v>
      </c>
      <c r="K3648">
        <v>1.108231</v>
      </c>
      <c r="L3648">
        <v>140.37260000000001</v>
      </c>
      <c r="M3648">
        <v>-0.99995579999999995</v>
      </c>
      <c r="N3648">
        <v>0</v>
      </c>
      <c r="O3648">
        <v>-9.1510050000000003E-3</v>
      </c>
      <c r="P3648">
        <v>-0.99860329999999997</v>
      </c>
      <c r="Q3648">
        <v>3.569862E-2</v>
      </c>
      <c r="R3648">
        <v>3.8952769999999998E-2</v>
      </c>
      <c r="S3648">
        <v>-3.0028990000000002</v>
      </c>
      <c r="T3648">
        <v>3.2231210000000003E-2</v>
      </c>
      <c r="U3648">
        <v>2.9907229999999998E-3</v>
      </c>
      <c r="V3648">
        <v>4.8090210000000001E-2</v>
      </c>
      <c r="W3648">
        <v>3.79298E-2</v>
      </c>
      <c r="X3648">
        <v>0.99812259999999997</v>
      </c>
      <c r="Y3648">
        <v>1.014582E-2</v>
      </c>
      <c r="Z3648">
        <v>-1.5266539999999999E-4</v>
      </c>
      <c r="AA3648">
        <v>0.99994850000000002</v>
      </c>
      <c r="AB3648">
        <v>36</v>
      </c>
      <c r="AC3648">
        <v>-3.0028990000000002</v>
      </c>
      <c r="AD3648">
        <v>3.2231210000000003E-2</v>
      </c>
      <c r="AE3648">
        <v>2.9907229999999998E-3</v>
      </c>
      <c r="AF3648">
        <v>3.0466695610090799E-2</v>
      </c>
      <c r="AG3648">
        <v>3.2231210000000003E-2</v>
      </c>
      <c r="AH3648">
        <v>3.00240000437564</v>
      </c>
      <c r="AI3648">
        <v>89.3849765843932</v>
      </c>
      <c r="AJ3648">
        <v>89.418614055533098</v>
      </c>
      <c r="AK3648">
        <v>3.0027275695131399</v>
      </c>
      <c r="AL3648">
        <v>87.826261182351601</v>
      </c>
      <c r="AM3648">
        <v>87.241584397555201</v>
      </c>
      <c r="AN3648">
        <v>1.0000000313283199</v>
      </c>
    </row>
    <row r="3649" spans="1:40" x14ac:dyDescent="0.25">
      <c r="A3649" t="str">
        <f>"20190312154629489"</f>
        <v>20190312154629489</v>
      </c>
      <c r="B3649" t="str">
        <f>"1552376789480847"</f>
        <v>1552376789480847</v>
      </c>
      <c r="C3649" t="s">
        <v>40</v>
      </c>
      <c r="D3649">
        <v>4.1118410000000001</v>
      </c>
      <c r="E3649">
        <v>0.48766369999999998</v>
      </c>
      <c r="F3649" t="s">
        <v>44</v>
      </c>
      <c r="G3649">
        <v>0</v>
      </c>
      <c r="H3649">
        <v>0</v>
      </c>
      <c r="I3649">
        <v>0</v>
      </c>
      <c r="J3649">
        <v>-266.13850000000002</v>
      </c>
      <c r="K3649">
        <v>1.108174</v>
      </c>
      <c r="L3649">
        <v>140.36760000000001</v>
      </c>
      <c r="M3649">
        <v>-0.99995679999999998</v>
      </c>
      <c r="N3649">
        <v>0</v>
      </c>
      <c r="O3649">
        <v>-8.9971819999999994E-3</v>
      </c>
      <c r="P3649">
        <v>-0.9985965</v>
      </c>
      <c r="Q3649">
        <v>3.5444139999999999E-2</v>
      </c>
      <c r="R3649">
        <v>3.9351690000000002E-2</v>
      </c>
      <c r="S3649">
        <v>-3.0024410000000001</v>
      </c>
      <c r="T3649">
        <v>3.6389110000000002E-2</v>
      </c>
      <c r="U3649">
        <v>1.152039E-2</v>
      </c>
      <c r="V3649">
        <v>4.8340380000000002E-2</v>
      </c>
      <c r="W3649">
        <v>3.7761589999999998E-2</v>
      </c>
      <c r="X3649">
        <v>0.99811689999999997</v>
      </c>
      <c r="Y3649">
        <v>1.2832359999999999E-2</v>
      </c>
      <c r="Z3649">
        <v>-1.8679960000000001E-4</v>
      </c>
      <c r="AA3649">
        <v>0.99991759999999996</v>
      </c>
      <c r="AB3649">
        <v>36</v>
      </c>
      <c r="AC3649">
        <v>-3.0024410000000001</v>
      </c>
      <c r="AD3649">
        <v>3.6389110000000002E-2</v>
      </c>
      <c r="AE3649">
        <v>1.152039E-2</v>
      </c>
      <c r="AF3649">
        <v>3.8527846128402203E-2</v>
      </c>
      <c r="AG3649">
        <v>3.6389110000000002E-2</v>
      </c>
      <c r="AH3649">
        <v>3.0017748969045699</v>
      </c>
      <c r="AI3649">
        <v>89.305521338391202</v>
      </c>
      <c r="AJ3649">
        <v>89.264647801363907</v>
      </c>
      <c r="AK3649">
        <v>3.0022426773897499</v>
      </c>
      <c r="AL3649">
        <v>87.835905829130098</v>
      </c>
      <c r="AM3649">
        <v>87.227241374147894</v>
      </c>
      <c r="AN3649">
        <v>1.00000003804174</v>
      </c>
    </row>
    <row r="3650" spans="1:40" x14ac:dyDescent="0.25">
      <c r="A3650" t="str">
        <f>"20190312154629513"</f>
        <v>20190312154629513</v>
      </c>
      <c r="B3650" t="str">
        <f>"1552376789501343"</f>
        <v>1552376789501343</v>
      </c>
      <c r="C3650" t="s">
        <v>40</v>
      </c>
      <c r="D3650">
        <v>4.125623</v>
      </c>
      <c r="E3650">
        <v>0.4878555</v>
      </c>
      <c r="F3650" t="s">
        <v>44</v>
      </c>
      <c r="G3650">
        <v>0</v>
      </c>
      <c r="H3650">
        <v>0</v>
      </c>
      <c r="I3650">
        <v>0</v>
      </c>
      <c r="J3650">
        <v>-266.51580000000001</v>
      </c>
      <c r="K3650">
        <v>1.108133</v>
      </c>
      <c r="L3650">
        <v>140.36439999999999</v>
      </c>
      <c r="M3650">
        <v>-0.99995800000000001</v>
      </c>
      <c r="N3650">
        <v>0</v>
      </c>
      <c r="O3650">
        <v>-8.8326329999999995E-3</v>
      </c>
      <c r="P3650">
        <v>-0.99857739999999995</v>
      </c>
      <c r="Q3650">
        <v>3.5578440000000003E-2</v>
      </c>
      <c r="R3650">
        <v>3.9712579999999997E-2</v>
      </c>
      <c r="S3650">
        <v>-3.0022579999999999</v>
      </c>
      <c r="T3650">
        <v>3.7389520000000002E-2</v>
      </c>
      <c r="U3650">
        <v>1.715088E-2</v>
      </c>
      <c r="V3650">
        <v>4.8540819999999998E-2</v>
      </c>
      <c r="W3650">
        <v>3.7956959999999998E-2</v>
      </c>
      <c r="X3650">
        <v>0.99809970000000003</v>
      </c>
      <c r="Y3650">
        <v>1.454305E-2</v>
      </c>
      <c r="Z3650">
        <v>-2.0054839999999999E-4</v>
      </c>
      <c r="AA3650">
        <v>0.99989419999999996</v>
      </c>
      <c r="AB3650">
        <v>36</v>
      </c>
      <c r="AC3650">
        <v>-3.0022579999999999</v>
      </c>
      <c r="AD3650">
        <v>3.7389520000000002E-2</v>
      </c>
      <c r="AE3650">
        <v>1.715088E-2</v>
      </c>
      <c r="AF3650">
        <v>4.3661361847188503E-2</v>
      </c>
      <c r="AG3650">
        <v>3.7389520000000002E-2</v>
      </c>
      <c r="AH3650">
        <v>3.00152388540043</v>
      </c>
      <c r="AI3650">
        <v>89.286387714592905</v>
      </c>
      <c r="AJ3650">
        <v>89.166611549852405</v>
      </c>
      <c r="AK3650">
        <v>3.0020742704592598</v>
      </c>
      <c r="AL3650">
        <v>87.824703788468398</v>
      </c>
      <c r="AM3650">
        <v>87.215714473665599</v>
      </c>
      <c r="AN3650">
        <v>0.99999997657940098</v>
      </c>
    </row>
    <row r="3651" spans="1:40" x14ac:dyDescent="0.25">
      <c r="A3651" t="str">
        <f>"20190312154629557"</f>
        <v>20190312154629557</v>
      </c>
      <c r="B3651" t="str">
        <f>"1552376789551119"</f>
        <v>1552376789551119</v>
      </c>
      <c r="C3651" t="s">
        <v>40</v>
      </c>
      <c r="D3651">
        <v>4.1587249999999996</v>
      </c>
      <c r="E3651">
        <v>0.48822749999999998</v>
      </c>
      <c r="F3651" t="s">
        <v>44</v>
      </c>
      <c r="G3651">
        <v>0</v>
      </c>
      <c r="H3651">
        <v>0</v>
      </c>
      <c r="I3651">
        <v>0</v>
      </c>
      <c r="J3651">
        <v>-267.26049999999998</v>
      </c>
      <c r="K3651">
        <v>1.108069</v>
      </c>
      <c r="L3651">
        <v>140.35820000000001</v>
      </c>
      <c r="M3651">
        <v>-0.99996180000000001</v>
      </c>
      <c r="N3651">
        <v>0</v>
      </c>
      <c r="O3651">
        <v>-8.3771809999999992E-3</v>
      </c>
      <c r="P3651">
        <v>-0.9985771</v>
      </c>
      <c r="Q3651">
        <v>3.505697E-2</v>
      </c>
      <c r="R3651">
        <v>4.0190389999999999E-2</v>
      </c>
      <c r="S3651">
        <v>-3.002075</v>
      </c>
      <c r="T3651">
        <v>3.8645150000000003E-2</v>
      </c>
      <c r="U3651">
        <v>1.9805909999999999E-2</v>
      </c>
      <c r="V3651">
        <v>4.8571570000000001E-2</v>
      </c>
      <c r="W3651">
        <v>3.7559559999999999E-2</v>
      </c>
      <c r="X3651">
        <v>0.99811329999999998</v>
      </c>
      <c r="Y3651">
        <v>1.497212E-2</v>
      </c>
      <c r="Z3651">
        <v>-2.0419399999999999E-4</v>
      </c>
      <c r="AA3651">
        <v>0.99988790000000005</v>
      </c>
      <c r="AB3651">
        <v>37</v>
      </c>
      <c r="AC3651">
        <v>-3.002075</v>
      </c>
      <c r="AD3651">
        <v>3.8645150000000003E-2</v>
      </c>
      <c r="AE3651">
        <v>1.9805909999999999E-2</v>
      </c>
      <c r="AF3651">
        <v>4.4946771129222303E-2</v>
      </c>
      <c r="AG3651">
        <v>3.8645150000000003E-2</v>
      </c>
      <c r="AH3651">
        <v>3.0013064179557101</v>
      </c>
      <c r="AI3651">
        <v>89.262376738547303</v>
      </c>
      <c r="AJ3651">
        <v>89.142017696431196</v>
      </c>
      <c r="AK3651">
        <v>3.0018917159543901</v>
      </c>
      <c r="AL3651">
        <v>87.847489514266698</v>
      </c>
      <c r="AM3651">
        <v>87.213991343899707</v>
      </c>
      <c r="AN3651">
        <v>1.0000000387982699</v>
      </c>
    </row>
    <row r="3652" spans="1:40" x14ac:dyDescent="0.25">
      <c r="A3652" t="str">
        <f>"20190312154629578"</f>
        <v>20190312154629578</v>
      </c>
      <c r="B3652" t="str">
        <f>"1552376789570639"</f>
        <v>1552376789570639</v>
      </c>
      <c r="C3652" t="s">
        <v>40</v>
      </c>
      <c r="D3652">
        <v>4.1503030000000001</v>
      </c>
      <c r="E3652">
        <v>0.48835020000000001</v>
      </c>
      <c r="F3652" t="s">
        <v>44</v>
      </c>
      <c r="G3652">
        <v>0</v>
      </c>
      <c r="H3652">
        <v>0</v>
      </c>
      <c r="I3652">
        <v>0</v>
      </c>
      <c r="J3652">
        <v>-267.60899999999998</v>
      </c>
      <c r="K3652">
        <v>1.1080410000000001</v>
      </c>
      <c r="L3652">
        <v>140.35550000000001</v>
      </c>
      <c r="M3652">
        <v>-0.99996379999999996</v>
      </c>
      <c r="N3652">
        <v>0</v>
      </c>
      <c r="O3652">
        <v>-8.1091759999999992E-3</v>
      </c>
      <c r="P3652">
        <v>-0.99853460000000005</v>
      </c>
      <c r="Q3652">
        <v>3.5197079999999999E-2</v>
      </c>
      <c r="R3652">
        <v>4.1111170000000002E-2</v>
      </c>
      <c r="S3652">
        <v>-3.0019230000000001</v>
      </c>
      <c r="T3652">
        <v>3.9256449999999998E-2</v>
      </c>
      <c r="U3652">
        <v>2.4307249999999999E-2</v>
      </c>
      <c r="V3652">
        <v>4.9227880000000002E-2</v>
      </c>
      <c r="W3652">
        <v>3.7757789999999999E-2</v>
      </c>
      <c r="X3652">
        <v>0.99807360000000001</v>
      </c>
      <c r="Y3652">
        <v>1.6203559999999999E-2</v>
      </c>
      <c r="Z3652">
        <v>-2.1198009999999999E-4</v>
      </c>
      <c r="AA3652">
        <v>0.99986870000000005</v>
      </c>
      <c r="AB3652">
        <v>37</v>
      </c>
      <c r="AC3652">
        <v>-3.0019230000000001</v>
      </c>
      <c r="AD3652">
        <v>3.9256449999999998E-2</v>
      </c>
      <c r="AE3652">
        <v>2.4307249999999999E-2</v>
      </c>
      <c r="AF3652">
        <v>4.8641335901854099E-2</v>
      </c>
      <c r="AG3652">
        <v>3.9256449999999998E-2</v>
      </c>
      <c r="AH3652">
        <v>3.00111399540656</v>
      </c>
      <c r="AI3652">
        <v>89.250676475721903</v>
      </c>
      <c r="AJ3652">
        <v>89.071445048621698</v>
      </c>
      <c r="AK3652">
        <v>3.0017648578544698</v>
      </c>
      <c r="AL3652">
        <v>87.836123567538706</v>
      </c>
      <c r="AM3652">
        <v>87.176294551645896</v>
      </c>
      <c r="AN3652">
        <v>0.99999997294596799</v>
      </c>
    </row>
    <row r="3653" spans="1:40" x14ac:dyDescent="0.25">
      <c r="A3653" t="str">
        <f>"20190312154629600"</f>
        <v>20190312154629600</v>
      </c>
      <c r="B3653" t="str">
        <f>"1552376789591136"</f>
        <v>1552376789591136</v>
      </c>
      <c r="C3653" t="s">
        <v>40</v>
      </c>
      <c r="D3653">
        <v>4.156282</v>
      </c>
      <c r="E3653">
        <v>0.48845899999999998</v>
      </c>
      <c r="F3653" t="s">
        <v>44</v>
      </c>
      <c r="G3653">
        <v>0</v>
      </c>
      <c r="H3653">
        <v>0</v>
      </c>
      <c r="I3653">
        <v>0</v>
      </c>
      <c r="J3653">
        <v>-267.97989999999999</v>
      </c>
      <c r="K3653">
        <v>1.1080159999999999</v>
      </c>
      <c r="L3653">
        <v>140.3528</v>
      </c>
      <c r="M3653">
        <v>-0.99996609999999997</v>
      </c>
      <c r="N3653">
        <v>0</v>
      </c>
      <c r="O3653">
        <v>-7.7958869999999996E-3</v>
      </c>
      <c r="P3653">
        <v>-0.99848099999999995</v>
      </c>
      <c r="Q3653">
        <v>3.5544779999999998E-2</v>
      </c>
      <c r="R3653">
        <v>4.2102500000000001E-2</v>
      </c>
      <c r="S3653">
        <v>-3.0018310000000001</v>
      </c>
      <c r="T3653">
        <v>4.0013310000000003E-2</v>
      </c>
      <c r="U3653">
        <v>2.810669E-2</v>
      </c>
      <c r="V3653">
        <v>4.9909160000000001E-2</v>
      </c>
      <c r="W3653">
        <v>3.8174230000000003E-2</v>
      </c>
      <c r="X3653">
        <v>0.99802389999999996</v>
      </c>
      <c r="Y3653">
        <v>1.7155839999999999E-2</v>
      </c>
      <c r="Z3653">
        <v>-2.1824290000000001E-4</v>
      </c>
      <c r="AA3653">
        <v>0.99985279999999999</v>
      </c>
      <c r="AB3653">
        <v>37</v>
      </c>
      <c r="AC3653">
        <v>-3.0018310000000001</v>
      </c>
      <c r="AD3653">
        <v>4.0013310000000003E-2</v>
      </c>
      <c r="AE3653">
        <v>2.810669E-2</v>
      </c>
      <c r="AF3653">
        <v>5.14987038782816E-2</v>
      </c>
      <c r="AG3653">
        <v>4.0013310000000003E-2</v>
      </c>
      <c r="AH3653">
        <v>3.0009874950220898</v>
      </c>
      <c r="AI3653">
        <v>89.236211242559193</v>
      </c>
      <c r="AJ3653">
        <v>89.016867349018696</v>
      </c>
      <c r="AK3653">
        <v>3.0016960416999701</v>
      </c>
      <c r="AL3653">
        <v>87.812246048320702</v>
      </c>
      <c r="AM3653">
        <v>87.137138649896002</v>
      </c>
      <c r="AN3653">
        <v>0.999999950529603</v>
      </c>
    </row>
    <row r="3654" spans="1:40" x14ac:dyDescent="0.25">
      <c r="A3654" t="str">
        <f>"20190312154629623"</f>
        <v>20190312154629623</v>
      </c>
      <c r="B3654" t="str">
        <f>"1552376789610655"</f>
        <v>1552376789610655</v>
      </c>
      <c r="C3654" t="s">
        <v>40</v>
      </c>
      <c r="D3654">
        <v>4.1825580000000002</v>
      </c>
      <c r="E3654">
        <v>0.48852279999999998</v>
      </c>
      <c r="F3654" t="s">
        <v>44</v>
      </c>
      <c r="G3654">
        <v>0</v>
      </c>
      <c r="H3654">
        <v>0</v>
      </c>
      <c r="I3654">
        <v>0</v>
      </c>
      <c r="J3654">
        <v>-268.3501</v>
      </c>
      <c r="K3654">
        <v>1.1079920000000001</v>
      </c>
      <c r="L3654">
        <v>140.3501</v>
      </c>
      <c r="M3654">
        <v>-0.99996850000000004</v>
      </c>
      <c r="N3654">
        <v>0</v>
      </c>
      <c r="O3654">
        <v>-7.461166E-3</v>
      </c>
      <c r="P3654">
        <v>-0.99846049999999997</v>
      </c>
      <c r="Q3654">
        <v>3.5235059999999999E-2</v>
      </c>
      <c r="R3654">
        <v>4.2842570000000003E-2</v>
      </c>
      <c r="S3654">
        <v>-3.0017399999999999</v>
      </c>
      <c r="T3654">
        <v>4.0920730000000002E-2</v>
      </c>
      <c r="U3654">
        <v>3.1784060000000003E-2</v>
      </c>
      <c r="V3654">
        <v>5.031733E-2</v>
      </c>
      <c r="W3654">
        <v>3.7946479999999998E-2</v>
      </c>
      <c r="X3654">
        <v>0.99801209999999996</v>
      </c>
      <c r="Y3654">
        <v>1.8046070000000001E-2</v>
      </c>
      <c r="Z3654">
        <v>-2.247022E-4</v>
      </c>
      <c r="AA3654">
        <v>0.99983719999999998</v>
      </c>
      <c r="AB3654">
        <v>37</v>
      </c>
      <c r="AC3654">
        <v>-3.0017399999999999</v>
      </c>
      <c r="AD3654">
        <v>4.0920730000000002E-2</v>
      </c>
      <c r="AE3654">
        <v>3.1784060000000003E-2</v>
      </c>
      <c r="AF3654">
        <v>5.4169672004486101E-2</v>
      </c>
      <c r="AG3654">
        <v>4.0920730000000002E-2</v>
      </c>
      <c r="AH3654">
        <v>3.0008616798605199</v>
      </c>
      <c r="AI3654">
        <v>89.218871699022898</v>
      </c>
      <c r="AJ3654">
        <v>88.965844858756597</v>
      </c>
      <c r="AK3654">
        <v>3.0016295043132999</v>
      </c>
      <c r="AL3654">
        <v>87.825304645936498</v>
      </c>
      <c r="AM3654">
        <v>87.113730790934895</v>
      </c>
      <c r="AN3654">
        <v>0.99999996039456296</v>
      </c>
    </row>
    <row r="3655" spans="1:40" x14ac:dyDescent="0.25">
      <c r="A3655" t="str">
        <f>"20190312154629645"</f>
        <v>20190312154629645</v>
      </c>
      <c r="B3655" t="str">
        <f>"1552376789640911"</f>
        <v>1552376789640911</v>
      </c>
      <c r="C3655" t="s">
        <v>40</v>
      </c>
      <c r="D3655">
        <v>4.1559679999999997</v>
      </c>
      <c r="E3655">
        <v>0.48866540000000003</v>
      </c>
      <c r="F3655" t="s">
        <v>44</v>
      </c>
      <c r="G3655">
        <v>0</v>
      </c>
      <c r="H3655">
        <v>0</v>
      </c>
      <c r="I3655">
        <v>0</v>
      </c>
      <c r="J3655">
        <v>-268.72680000000003</v>
      </c>
      <c r="K3655">
        <v>1.107977</v>
      </c>
      <c r="L3655">
        <v>140.3476</v>
      </c>
      <c r="M3655">
        <v>-0.9999709</v>
      </c>
      <c r="N3655">
        <v>0</v>
      </c>
      <c r="O3655">
        <v>-7.1053770000000004E-3</v>
      </c>
      <c r="P3655">
        <v>-0.99842799999999998</v>
      </c>
      <c r="Q3655">
        <v>3.4606820000000003E-2</v>
      </c>
      <c r="R3655">
        <v>4.409743E-2</v>
      </c>
      <c r="S3655">
        <v>-3.0017399999999999</v>
      </c>
      <c r="T3655">
        <v>3.9050700000000001E-2</v>
      </c>
      <c r="U3655">
        <v>3.4439089999999999E-2</v>
      </c>
      <c r="V3655">
        <v>5.1218630000000001E-2</v>
      </c>
      <c r="W3655">
        <v>3.7418510000000002E-2</v>
      </c>
      <c r="X3655">
        <v>0.99798620000000005</v>
      </c>
      <c r="Y3655">
        <v>1.8574759999999999E-2</v>
      </c>
      <c r="Z3655">
        <v>-2.1324390000000001E-4</v>
      </c>
      <c r="AA3655">
        <v>0.99982740000000003</v>
      </c>
      <c r="AB3655">
        <v>37</v>
      </c>
      <c r="AC3655">
        <v>-3.0017399999999999</v>
      </c>
      <c r="AD3655">
        <v>3.9050700000000001E-2</v>
      </c>
      <c r="AE3655">
        <v>3.4439089999999999E-2</v>
      </c>
      <c r="AF3655">
        <v>5.5757361918828498E-2</v>
      </c>
      <c r="AG3655">
        <v>3.9050700000000001E-2</v>
      </c>
      <c r="AH3655">
        <v>3.0009117039261102</v>
      </c>
      <c r="AI3655">
        <v>89.254583874545105</v>
      </c>
      <c r="AJ3655">
        <v>88.935558828807004</v>
      </c>
      <c r="AK3655">
        <v>3.0016836767619899</v>
      </c>
      <c r="AL3655">
        <v>87.855576630028807</v>
      </c>
      <c r="AM3655">
        <v>87.062044685704393</v>
      </c>
      <c r="AN3655">
        <v>0.99999997417006803</v>
      </c>
    </row>
    <row r="3656" spans="1:40" x14ac:dyDescent="0.25">
      <c r="A3656" t="str">
        <f>"20190312154629666"</f>
        <v>20190312154629666</v>
      </c>
      <c r="B3656" t="str">
        <f>"1552376789661407"</f>
        <v>1552376789661407</v>
      </c>
      <c r="C3656" t="s">
        <v>40</v>
      </c>
      <c r="D3656">
        <v>4.1876139999999999</v>
      </c>
      <c r="E3656">
        <v>0.48876239999999999</v>
      </c>
      <c r="F3656" t="s">
        <v>44</v>
      </c>
      <c r="G3656">
        <v>0</v>
      </c>
      <c r="H3656">
        <v>0</v>
      </c>
      <c r="I3656">
        <v>0</v>
      </c>
      <c r="J3656">
        <v>-269.07859999999999</v>
      </c>
      <c r="K3656">
        <v>1.107977</v>
      </c>
      <c r="L3656">
        <v>140.34540000000001</v>
      </c>
      <c r="M3656">
        <v>-0.9999728</v>
      </c>
      <c r="N3656">
        <v>0</v>
      </c>
      <c r="O3656">
        <v>-6.7653510000000002E-3</v>
      </c>
      <c r="P3656">
        <v>-0.99842419999999998</v>
      </c>
      <c r="Q3656">
        <v>3.382313E-2</v>
      </c>
      <c r="R3656">
        <v>4.4779109999999997E-2</v>
      </c>
      <c r="S3656">
        <v>-3.0018009999999999</v>
      </c>
      <c r="T3656">
        <v>3.4949180000000003E-2</v>
      </c>
      <c r="U3656">
        <v>3.9276119999999998E-2</v>
      </c>
      <c r="V3656">
        <v>5.1561870000000003E-2</v>
      </c>
      <c r="W3656">
        <v>3.6748070000000001E-2</v>
      </c>
      <c r="X3656">
        <v>0.99799349999999998</v>
      </c>
      <c r="Y3656">
        <v>1.9845769999999999E-2</v>
      </c>
      <c r="Z3656">
        <v>-1.9428269999999999E-4</v>
      </c>
      <c r="AA3656">
        <v>0.999803</v>
      </c>
      <c r="AB3656">
        <v>38</v>
      </c>
      <c r="AC3656">
        <v>-3.0018009999999999</v>
      </c>
      <c r="AD3656">
        <v>3.4949180000000003E-2</v>
      </c>
      <c r="AE3656">
        <v>3.9276119999999998E-2</v>
      </c>
      <c r="AF3656">
        <v>5.9575471897760003E-2</v>
      </c>
      <c r="AG3656">
        <v>3.4949180000000003E-2</v>
      </c>
      <c r="AH3656">
        <v>3.00105985054017</v>
      </c>
      <c r="AI3656">
        <v>89.332917135053506</v>
      </c>
      <c r="AJ3656">
        <v>88.862743500752103</v>
      </c>
      <c r="AK3656">
        <v>3.0018545781830701</v>
      </c>
      <c r="AL3656">
        <v>87.894016585370096</v>
      </c>
      <c r="AM3656">
        <v>87.042412508833806</v>
      </c>
      <c r="AN3656">
        <v>1.0000000365644299</v>
      </c>
    </row>
    <row r="3657" spans="1:40" x14ac:dyDescent="0.25">
      <c r="A3657" t="str">
        <f>"20190312154629689"</f>
        <v>20190312154629689</v>
      </c>
      <c r="B3657" t="str">
        <f>"1552376789680927"</f>
        <v>1552376789680927</v>
      </c>
      <c r="C3657" t="s">
        <v>40</v>
      </c>
      <c r="D3657">
        <v>4.2839679999999998</v>
      </c>
      <c r="E3657">
        <v>0.50598759999999998</v>
      </c>
      <c r="F3657" t="s">
        <v>44</v>
      </c>
      <c r="G3657">
        <v>0</v>
      </c>
      <c r="H3657">
        <v>0</v>
      </c>
      <c r="I3657">
        <v>0</v>
      </c>
      <c r="J3657">
        <v>-269.47289999999998</v>
      </c>
      <c r="K3657">
        <v>1.1079829999999999</v>
      </c>
      <c r="L3657">
        <v>140.34299999999999</v>
      </c>
      <c r="M3657">
        <v>-0.9999749</v>
      </c>
      <c r="N3657">
        <v>0</v>
      </c>
      <c r="O3657">
        <v>-6.3782780000000002E-3</v>
      </c>
      <c r="P3657">
        <v>-0.99842909999999996</v>
      </c>
      <c r="Q3657">
        <v>3.299788E-2</v>
      </c>
      <c r="R3657">
        <v>4.5287500000000001E-2</v>
      </c>
      <c r="S3657">
        <v>-3.0017399999999999</v>
      </c>
      <c r="T3657">
        <v>3.1490919999999999E-2</v>
      </c>
      <c r="U3657">
        <v>4.1992189999999999E-2</v>
      </c>
      <c r="V3657">
        <v>5.1684889999999997E-2</v>
      </c>
      <c r="W3657">
        <v>3.6068070000000001E-2</v>
      </c>
      <c r="X3657">
        <v>0.99801189999999995</v>
      </c>
      <c r="Y3657">
        <v>2.0363849999999999E-2</v>
      </c>
      <c r="Z3657">
        <v>-1.737187E-4</v>
      </c>
      <c r="AA3657">
        <v>0.99979260000000003</v>
      </c>
      <c r="AB3657">
        <v>38</v>
      </c>
      <c r="AC3657">
        <v>-3.0017399999999999</v>
      </c>
      <c r="AD3657">
        <v>3.1490919999999999E-2</v>
      </c>
      <c r="AE3657">
        <v>4.1992189999999999E-2</v>
      </c>
      <c r="AF3657">
        <v>6.1130632476499198E-2</v>
      </c>
      <c r="AG3657">
        <v>3.1490919999999999E-2</v>
      </c>
      <c r="AH3657">
        <v>3.00108087005757</v>
      </c>
      <c r="AI3657">
        <v>89.398931082022301</v>
      </c>
      <c r="AJ3657">
        <v>88.833072785635096</v>
      </c>
      <c r="AK3657">
        <v>3.0018685882121798</v>
      </c>
      <c r="AL3657">
        <v>87.933003472867398</v>
      </c>
      <c r="AM3657">
        <v>87.0354232183563</v>
      </c>
      <c r="AN3657">
        <v>0.99999999303472298</v>
      </c>
    </row>
    <row r="3658" spans="1:40" x14ac:dyDescent="0.25">
      <c r="A3658" t="str">
        <f>"20190312154629713"</f>
        <v>20190312154629713</v>
      </c>
      <c r="B3658" t="str">
        <f>"1552376789701423"</f>
        <v>1552376789701423</v>
      </c>
      <c r="C3658" t="s">
        <v>40</v>
      </c>
      <c r="D3658">
        <v>4.1691190000000002</v>
      </c>
      <c r="E3658">
        <v>0.52401569999999997</v>
      </c>
      <c r="F3658" t="s">
        <v>76</v>
      </c>
      <c r="G3658">
        <v>-511.92610000000002</v>
      </c>
      <c r="H3658">
        <v>2.7709769999999998</v>
      </c>
      <c r="I3658">
        <v>154.95169999999999</v>
      </c>
      <c r="J3658">
        <v>-269.87610000000001</v>
      </c>
      <c r="K3658">
        <v>1.1079920000000001</v>
      </c>
      <c r="L3658">
        <v>140.3408</v>
      </c>
      <c r="M3658">
        <v>-0.99997689999999995</v>
      </c>
      <c r="N3658">
        <v>0</v>
      </c>
      <c r="O3658">
        <v>-5.9796859999999997E-3</v>
      </c>
      <c r="P3658">
        <v>-0.9984345</v>
      </c>
      <c r="Q3658">
        <v>3.2363120000000002E-2</v>
      </c>
      <c r="R3658">
        <v>4.5624940000000003E-2</v>
      </c>
      <c r="S3658">
        <v>-2.9958499999999999</v>
      </c>
      <c r="T3658">
        <v>2.054918E-2</v>
      </c>
      <c r="U3658">
        <v>0.18051149999999999</v>
      </c>
      <c r="V3658">
        <v>5.1625299999999999E-2</v>
      </c>
      <c r="W3658">
        <v>3.5604879999999998E-2</v>
      </c>
      <c r="X3658">
        <v>0.99803160000000002</v>
      </c>
      <c r="Y3658">
        <v>6.6110890000000005E-2</v>
      </c>
      <c r="Z3658">
        <v>-2.6750649999999999E-4</v>
      </c>
      <c r="AA3658">
        <v>0.99781229999999999</v>
      </c>
      <c r="AB3658">
        <v>38</v>
      </c>
      <c r="AC3658">
        <v>-242.05</v>
      </c>
      <c r="AD3658">
        <v>1.6629849999999999</v>
      </c>
      <c r="AE3658">
        <v>14.6108999999999</v>
      </c>
      <c r="AF3658">
        <v>16.057274135925599</v>
      </c>
      <c r="AG3658">
        <v>1.6629849999999999</v>
      </c>
      <c r="AH3658">
        <v>241.94692434103499</v>
      </c>
      <c r="AI3658">
        <v>89.607056861288896</v>
      </c>
      <c r="AJ3658">
        <v>86.203023269133297</v>
      </c>
      <c r="AK3658">
        <v>242.48487740449499</v>
      </c>
      <c r="AL3658">
        <v>87.959559330062106</v>
      </c>
      <c r="AM3658">
        <v>87.038893481087896</v>
      </c>
      <c r="AN3658">
        <v>0.99999997683923103</v>
      </c>
    </row>
    <row r="3659" spans="1:40" x14ac:dyDescent="0.25">
      <c r="A3659" t="str">
        <f>"20190312154629735"</f>
        <v>20190312154629735</v>
      </c>
      <c r="B3659" t="str">
        <f>"1552376789720943"</f>
        <v>1552376789720943</v>
      </c>
      <c r="C3659" t="s">
        <v>40</v>
      </c>
      <c r="D3659">
        <v>4.2332979999999996</v>
      </c>
      <c r="E3659">
        <v>0.53257509999999997</v>
      </c>
      <c r="F3659" t="s">
        <v>75</v>
      </c>
      <c r="G3659">
        <v>-459.58620000000002</v>
      </c>
      <c r="H3659">
        <v>2.022176</v>
      </c>
      <c r="I3659">
        <v>160.97909999999999</v>
      </c>
      <c r="J3659">
        <v>-270.26139999999998</v>
      </c>
      <c r="K3659">
        <v>1.108007</v>
      </c>
      <c r="L3659">
        <v>140.33869999999999</v>
      </c>
      <c r="M3659">
        <v>-0.99997829999999999</v>
      </c>
      <c r="N3659">
        <v>0</v>
      </c>
      <c r="O3659">
        <v>-5.597589E-3</v>
      </c>
      <c r="P3659">
        <v>-0.99845220000000001</v>
      </c>
      <c r="Q3659">
        <v>3.100611E-2</v>
      </c>
      <c r="R3659">
        <v>4.6172230000000002E-2</v>
      </c>
      <c r="S3659">
        <v>-2.9893800000000001</v>
      </c>
      <c r="T3659">
        <v>1.4405370000000001E-2</v>
      </c>
      <c r="U3659">
        <v>0.32521060000000002</v>
      </c>
      <c r="V3659">
        <v>5.1791280000000002E-2</v>
      </c>
      <c r="W3659">
        <v>3.4441640000000003E-2</v>
      </c>
      <c r="X3659">
        <v>0.9980639</v>
      </c>
      <c r="Y3659">
        <v>0.1137123</v>
      </c>
      <c r="Z3659">
        <v>-3.0007020000000001E-4</v>
      </c>
      <c r="AA3659">
        <v>0.99351369999999894</v>
      </c>
      <c r="AB3659">
        <v>38</v>
      </c>
      <c r="AC3659">
        <v>-189.32480000000001</v>
      </c>
      <c r="AD3659">
        <v>0.91416900000000001</v>
      </c>
      <c r="AE3659">
        <v>20.6404</v>
      </c>
      <c r="AF3659">
        <v>21.699345461866901</v>
      </c>
      <c r="AG3659">
        <v>0.91416900000000001</v>
      </c>
      <c r="AH3659">
        <v>189.20193725638899</v>
      </c>
      <c r="AI3659">
        <v>89.724968410811996</v>
      </c>
      <c r="AJ3659">
        <v>83.457401243726096</v>
      </c>
      <c r="AK3659">
        <v>190.444402280573</v>
      </c>
      <c r="AL3659">
        <v>88.026249148265293</v>
      </c>
      <c r="AM3659">
        <v>87.029486245437795</v>
      </c>
      <c r="AN3659">
        <v>1.00000005586656</v>
      </c>
    </row>
    <row r="3660" spans="1:40" x14ac:dyDescent="0.25">
      <c r="A3660" t="str">
        <f>"20190312154629759"</f>
        <v>20190312154629759</v>
      </c>
      <c r="B3660" t="str">
        <f>"1552376789751199"</f>
        <v>1552376789751199</v>
      </c>
      <c r="C3660" t="s">
        <v>40</v>
      </c>
      <c r="D3660">
        <v>4.2051179999999997</v>
      </c>
      <c r="E3660">
        <v>0.53781389999999996</v>
      </c>
      <c r="F3660" t="s">
        <v>77</v>
      </c>
      <c r="G3660">
        <v>-445.42680000000001</v>
      </c>
      <c r="H3660">
        <v>1.4214290000000001</v>
      </c>
      <c r="I3660">
        <v>163.49799999999999</v>
      </c>
      <c r="J3660">
        <v>-270.66120000000001</v>
      </c>
      <c r="K3660">
        <v>1.108031</v>
      </c>
      <c r="L3660">
        <v>140.33680000000001</v>
      </c>
      <c r="M3660">
        <v>-0.99997950000000002</v>
      </c>
      <c r="N3660">
        <v>0</v>
      </c>
      <c r="O3660">
        <v>-5.2010340000000002E-3</v>
      </c>
      <c r="P3660">
        <v>-0.99846630000000003</v>
      </c>
      <c r="Q3660">
        <v>2.940156E-2</v>
      </c>
      <c r="R3660">
        <v>4.691012E-2</v>
      </c>
      <c r="S3660">
        <v>-2.986237</v>
      </c>
      <c r="T3660">
        <v>5.343914E-3</v>
      </c>
      <c r="U3660">
        <v>0.39482119999999998</v>
      </c>
      <c r="V3660">
        <v>5.2133060000000002E-2</v>
      </c>
      <c r="W3660">
        <v>3.3080089999999999E-2</v>
      </c>
      <c r="X3660">
        <v>0.99809210000000004</v>
      </c>
      <c r="Y3660">
        <v>0.13622719999999999</v>
      </c>
      <c r="Z3660">
        <v>-1.3062999999999999E-4</v>
      </c>
      <c r="AA3660">
        <v>0.99067760000000005</v>
      </c>
      <c r="AB3660">
        <v>38</v>
      </c>
      <c r="AC3660">
        <v>-174.76560000000001</v>
      </c>
      <c r="AD3660">
        <v>0.31339800000000001</v>
      </c>
      <c r="AE3660">
        <v>23.161199999999901</v>
      </c>
      <c r="AF3660">
        <v>24.069778830617</v>
      </c>
      <c r="AG3660">
        <v>0.31339800000000001</v>
      </c>
      <c r="AH3660">
        <v>174.64222124149501</v>
      </c>
      <c r="AI3660">
        <v>89.898144833544706</v>
      </c>
      <c r="AJ3660">
        <v>82.152740545760196</v>
      </c>
      <c r="AK3660">
        <v>176.29338589812301</v>
      </c>
      <c r="AL3660">
        <v>88.104304597984793</v>
      </c>
      <c r="AM3660">
        <v>87.010003073696197</v>
      </c>
      <c r="AN3660">
        <v>0.99999999419089003</v>
      </c>
    </row>
    <row r="3661" spans="1:40" x14ac:dyDescent="0.25">
      <c r="A3661" t="str">
        <f>"20190312154629779"</f>
        <v>20190312154629779</v>
      </c>
      <c r="B3661" t="str">
        <f>"1552376789770719"</f>
        <v>1552376789770719</v>
      </c>
      <c r="C3661" t="s">
        <v>40</v>
      </c>
      <c r="D3661">
        <v>4.1842579999999998</v>
      </c>
      <c r="E3661">
        <v>0.53931859999999998</v>
      </c>
      <c r="F3661" t="s">
        <v>73</v>
      </c>
      <c r="G3661">
        <v>-441.13339999999999</v>
      </c>
      <c r="H3661">
        <v>0.62784759999999995</v>
      </c>
      <c r="I3661">
        <v>165.3802</v>
      </c>
      <c r="J3661">
        <v>-271.01510000000002</v>
      </c>
      <c r="K3661">
        <v>1.108063</v>
      </c>
      <c r="L3661">
        <v>140.33529999999999</v>
      </c>
      <c r="M3661">
        <v>-0.99998030000000004</v>
      </c>
      <c r="N3661">
        <v>0</v>
      </c>
      <c r="O3661">
        <v>-4.8498439999999999E-3</v>
      </c>
      <c r="P3661">
        <v>-0.99848419999999904</v>
      </c>
      <c r="Q3661">
        <v>2.8178370000000001E-2</v>
      </c>
      <c r="R3661">
        <v>4.7281080000000003E-2</v>
      </c>
      <c r="S3661">
        <v>-2.9842219999999999</v>
      </c>
      <c r="T3661">
        <v>-8.4052090000000003E-3</v>
      </c>
      <c r="U3661">
        <v>0.43840030000000002</v>
      </c>
      <c r="V3661">
        <v>5.2153459999999999E-2</v>
      </c>
      <c r="W3661">
        <v>3.212168E-2</v>
      </c>
      <c r="X3661">
        <v>0.99812230000000002</v>
      </c>
      <c r="Y3661">
        <v>0.1501421</v>
      </c>
      <c r="Z3661">
        <v>2.239004E-4</v>
      </c>
      <c r="AA3661">
        <v>0.9886644</v>
      </c>
      <c r="AB3661">
        <v>38</v>
      </c>
      <c r="AC3661">
        <v>-170.11829999999901</v>
      </c>
      <c r="AD3661">
        <v>-0.48021540000000001</v>
      </c>
      <c r="AE3661">
        <v>25.044899999999998</v>
      </c>
      <c r="AF3661">
        <v>25.869457455465799</v>
      </c>
      <c r="AG3661">
        <v>-0.48021540000000001</v>
      </c>
      <c r="AH3661">
        <v>169.993508621931</v>
      </c>
      <c r="AI3661">
        <v>90.160012457729593</v>
      </c>
      <c r="AJ3661">
        <v>81.347168302176001</v>
      </c>
      <c r="AK3661">
        <v>171.95130825168201</v>
      </c>
      <c r="AL3661">
        <v>88.159246582104899</v>
      </c>
      <c r="AM3661">
        <v>87.008925531809993</v>
      </c>
      <c r="AN3661">
        <v>0.99999995573664102</v>
      </c>
    </row>
    <row r="3662" spans="1:40" x14ac:dyDescent="0.25">
      <c r="A3662" t="str">
        <f>"20190312154629802"</f>
        <v>20190312154629802</v>
      </c>
      <c r="B3662" t="str">
        <f>"1552376789791215"</f>
        <v>1552376789791215</v>
      </c>
      <c r="C3662" t="s">
        <v>40</v>
      </c>
      <c r="D3662">
        <v>4.5850900000000001</v>
      </c>
      <c r="E3662">
        <v>0.54064069999999997</v>
      </c>
      <c r="F3662" t="s">
        <v>73</v>
      </c>
      <c r="G3662">
        <v>-440.2808</v>
      </c>
      <c r="H3662">
        <v>0.30085689999999998</v>
      </c>
      <c r="I3662">
        <v>165.94149999999999</v>
      </c>
      <c r="J3662">
        <v>-271.4151</v>
      </c>
      <c r="K3662">
        <v>1.1081129999999999</v>
      </c>
      <c r="L3662">
        <v>140.33359999999999</v>
      </c>
      <c r="M3662">
        <v>-0.9999806</v>
      </c>
      <c r="N3662">
        <v>0</v>
      </c>
      <c r="O3662">
        <v>-4.4523509999999898E-3</v>
      </c>
      <c r="P3662">
        <v>-0.99847209999999997</v>
      </c>
      <c r="Q3662">
        <v>2.770512E-2</v>
      </c>
      <c r="R3662">
        <v>4.7813139999999997E-2</v>
      </c>
      <c r="S3662">
        <v>-2.9836119999999999</v>
      </c>
      <c r="T3662">
        <v>-1.4227750000000001E-2</v>
      </c>
      <c r="U3662">
        <v>0.45135500000000001</v>
      </c>
      <c r="V3662">
        <v>5.228928E-2</v>
      </c>
      <c r="W3662">
        <v>3.2009679999999999E-2</v>
      </c>
      <c r="X3662">
        <v>0.99811879999999997</v>
      </c>
      <c r="Y3662">
        <v>0.15397529999999901</v>
      </c>
      <c r="Z3662">
        <v>3.8616019999999999E-4</v>
      </c>
      <c r="AA3662">
        <v>0.98807460000000003</v>
      </c>
      <c r="AB3662">
        <v>38</v>
      </c>
      <c r="AC3662">
        <v>-168.8657</v>
      </c>
      <c r="AD3662">
        <v>-0.80725609999999903</v>
      </c>
      <c r="AE3662">
        <v>25.607900000000001</v>
      </c>
      <c r="AF3662">
        <v>26.3589138434487</v>
      </c>
      <c r="AG3662">
        <v>-0.80725609999999903</v>
      </c>
      <c r="AH3662">
        <v>168.746240132167</v>
      </c>
      <c r="AI3662">
        <v>90.270808243199696</v>
      </c>
      <c r="AJ3662">
        <v>81.121888421119394</v>
      </c>
      <c r="AK3662">
        <v>170.79443070592299</v>
      </c>
      <c r="AL3662">
        <v>88.165667025863101</v>
      </c>
      <c r="AM3662">
        <v>87.001139766467304</v>
      </c>
      <c r="AN3662">
        <v>0.99999996366502897</v>
      </c>
    </row>
    <row r="3663" spans="1:40" x14ac:dyDescent="0.25">
      <c r="A3663" t="str">
        <f>"20190312154629822"</f>
        <v>20190312154629822</v>
      </c>
      <c r="B3663" t="str">
        <f>"1552376789811226"</f>
        <v>1552376789811226</v>
      </c>
      <c r="C3663" t="s">
        <v>40</v>
      </c>
      <c r="D3663">
        <v>4.2516059999999998</v>
      </c>
      <c r="E3663">
        <v>0.54174270000000002</v>
      </c>
      <c r="F3663" t="s">
        <v>73</v>
      </c>
      <c r="G3663">
        <v>-440.28019999999998</v>
      </c>
      <c r="H3663">
        <v>0.29439510000000002</v>
      </c>
      <c r="I3663">
        <v>166.57480000000001</v>
      </c>
      <c r="J3663">
        <v>-271.7706</v>
      </c>
      <c r="K3663">
        <v>1.1081639999999999</v>
      </c>
      <c r="L3663">
        <v>140.3323</v>
      </c>
      <c r="M3663">
        <v>-0.99998039999999999</v>
      </c>
      <c r="N3663">
        <v>0</v>
      </c>
      <c r="O3663">
        <v>-4.0986019999999998E-3</v>
      </c>
      <c r="P3663">
        <v>-0.9984402</v>
      </c>
      <c r="Q3663">
        <v>2.788353E-2</v>
      </c>
      <c r="R3663">
        <v>4.8367640000000003E-2</v>
      </c>
      <c r="S3663">
        <v>-2.9827880000000002</v>
      </c>
      <c r="T3663">
        <v>-1.4372589999999999E-2</v>
      </c>
      <c r="U3663">
        <v>0.46351619999999999</v>
      </c>
      <c r="V3663">
        <v>5.2491419999999997E-2</v>
      </c>
      <c r="W3663">
        <v>3.2573489999999997E-2</v>
      </c>
      <c r="X3663">
        <v>0.99809000000000003</v>
      </c>
      <c r="Y3663">
        <v>0.15760089999999999</v>
      </c>
      <c r="Z3663">
        <v>3.970663E-4</v>
      </c>
      <c r="AA3663">
        <v>0.98750280000000001</v>
      </c>
      <c r="AB3663">
        <v>38</v>
      </c>
      <c r="AC3663">
        <v>-168.50959999999901</v>
      </c>
      <c r="AD3663">
        <v>-0.81376889999999902</v>
      </c>
      <c r="AE3663">
        <v>26.2425</v>
      </c>
      <c r="AF3663">
        <v>26.932327871028601</v>
      </c>
      <c r="AG3663">
        <v>-0.81376889999999902</v>
      </c>
      <c r="AH3663">
        <v>168.39679159486701</v>
      </c>
      <c r="AI3663">
        <v>90.273402256270799</v>
      </c>
      <c r="AJ3663">
        <v>80.913425043026507</v>
      </c>
      <c r="AK3663">
        <v>170.53882819997401</v>
      </c>
      <c r="AL3663">
        <v>88.133346330635405</v>
      </c>
      <c r="AM3663">
        <v>86.989481343674996</v>
      </c>
      <c r="AN3663">
        <v>1.0000000147621899</v>
      </c>
    </row>
    <row r="3664" spans="1:40" x14ac:dyDescent="0.25">
      <c r="A3664" t="str">
        <f>"20190312154629846"</f>
        <v>20190312154629846</v>
      </c>
      <c r="B3664" t="str">
        <f>"1552376789841466"</f>
        <v>1552376789841466</v>
      </c>
      <c r="C3664" t="s">
        <v>40</v>
      </c>
      <c r="D3664">
        <v>4.2071560000000003</v>
      </c>
      <c r="E3664">
        <v>0.54296630000000001</v>
      </c>
      <c r="F3664" t="s">
        <v>73</v>
      </c>
      <c r="G3664">
        <v>-441.00819999999999</v>
      </c>
      <c r="H3664">
        <v>0.45031389999999999</v>
      </c>
      <c r="I3664">
        <v>167.23269999999999</v>
      </c>
      <c r="J3664">
        <v>-272.16140000000001</v>
      </c>
      <c r="K3664">
        <v>1.1082449999999999</v>
      </c>
      <c r="L3664">
        <v>140.33109999999999</v>
      </c>
      <c r="M3664">
        <v>-0.99997939999999996</v>
      </c>
      <c r="N3664">
        <v>0</v>
      </c>
      <c r="O3664">
        <v>-3.7092840000000002E-3</v>
      </c>
      <c r="P3664">
        <v>-0.99840079999999998</v>
      </c>
      <c r="Q3664">
        <v>2.813117E-2</v>
      </c>
      <c r="R3664">
        <v>4.9036440000000001E-2</v>
      </c>
      <c r="S3664">
        <v>-2.982056</v>
      </c>
      <c r="T3664">
        <v>-1.1590960000000001E-2</v>
      </c>
      <c r="U3664">
        <v>0.473999</v>
      </c>
      <c r="V3664">
        <v>5.277287E-2</v>
      </c>
      <c r="W3664">
        <v>3.3322190000000002E-2</v>
      </c>
      <c r="X3664">
        <v>0.99805049999999995</v>
      </c>
      <c r="Y3664">
        <v>0.1606408</v>
      </c>
      <c r="Z3664">
        <v>3.2457779999999999E-4</v>
      </c>
      <c r="AA3664">
        <v>0.98701289999999997</v>
      </c>
      <c r="AB3664">
        <v>38</v>
      </c>
      <c r="AC3664">
        <v>-168.84679999999901</v>
      </c>
      <c r="AD3664">
        <v>-0.65793109999999999</v>
      </c>
      <c r="AE3664">
        <v>26.901599999999998</v>
      </c>
      <c r="AF3664">
        <v>27.5273166375834</v>
      </c>
      <c r="AG3664">
        <v>-0.65793109999999999</v>
      </c>
      <c r="AH3664">
        <v>168.74335265158899</v>
      </c>
      <c r="AI3664">
        <v>90.220480965946905</v>
      </c>
      <c r="AJ3664">
        <v>80.734878953888597</v>
      </c>
      <c r="AK3664">
        <v>170.97515930303101</v>
      </c>
      <c r="AL3664">
        <v>88.090425787353496</v>
      </c>
      <c r="AM3664">
        <v>86.973249827920696</v>
      </c>
      <c r="AN3664">
        <v>1.0000000723523299</v>
      </c>
    </row>
    <row r="3665" spans="1:40" x14ac:dyDescent="0.25">
      <c r="A3665" t="str">
        <f>"20190312154629868"</f>
        <v>20190312154629868</v>
      </c>
      <c r="B3665" t="str">
        <f>"1552376789860987"</f>
        <v>1552376789860987</v>
      </c>
      <c r="C3665" t="s">
        <v>40</v>
      </c>
      <c r="D3665">
        <v>4.2119260000000001</v>
      </c>
      <c r="E3665">
        <v>0.54360159999999902</v>
      </c>
      <c r="F3665" t="s">
        <v>73</v>
      </c>
      <c r="G3665">
        <v>-440.2774</v>
      </c>
      <c r="H3665">
        <v>0.23469090000000001</v>
      </c>
      <c r="I3665">
        <v>167.70939999999999</v>
      </c>
      <c r="J3665">
        <v>-272.54660000000001</v>
      </c>
      <c r="K3665">
        <v>1.1083369999999999</v>
      </c>
      <c r="L3665">
        <v>140.33000000000001</v>
      </c>
      <c r="M3665">
        <v>-0.99997760000000002</v>
      </c>
      <c r="N3665">
        <v>0</v>
      </c>
      <c r="O3665">
        <v>-3.325125E-3</v>
      </c>
      <c r="P3665">
        <v>-0.99836720000000001</v>
      </c>
      <c r="Q3665">
        <v>2.842679E-2</v>
      </c>
      <c r="R3665">
        <v>4.954832E-2</v>
      </c>
      <c r="S3665">
        <v>-2.9813230000000002</v>
      </c>
      <c r="T3665">
        <v>-1.549065E-2</v>
      </c>
      <c r="U3665">
        <v>0.48551939999999999</v>
      </c>
      <c r="V3665">
        <v>5.2902650000000002E-2</v>
      </c>
      <c r="W3665">
        <v>3.418239E-2</v>
      </c>
      <c r="X3665">
        <v>0.99801450000000003</v>
      </c>
      <c r="Y3665">
        <v>0.16401499999999999</v>
      </c>
      <c r="Z3665">
        <v>4.4047679999999998E-4</v>
      </c>
      <c r="AA3665">
        <v>0.98645780000000005</v>
      </c>
      <c r="AB3665">
        <v>39</v>
      </c>
      <c r="AC3665">
        <v>-167.73079999999999</v>
      </c>
      <c r="AD3665">
        <v>-0.87364609999999998</v>
      </c>
      <c r="AE3665">
        <v>27.379399999999901</v>
      </c>
      <c r="AF3665">
        <v>27.936245688907398</v>
      </c>
      <c r="AG3665">
        <v>-0.87364609999999998</v>
      </c>
      <c r="AH3665">
        <v>167.63440140764399</v>
      </c>
      <c r="AI3665">
        <v>90.294538977505795</v>
      </c>
      <c r="AJ3665">
        <v>80.538615995855494</v>
      </c>
      <c r="AK3665">
        <v>169.94849106714199</v>
      </c>
      <c r="AL3665">
        <v>88.041111787431007</v>
      </c>
      <c r="AM3665">
        <v>86.965711037044002</v>
      </c>
      <c r="AN3665">
        <v>1.0000000341866899</v>
      </c>
    </row>
    <row r="3666" spans="1:40" x14ac:dyDescent="0.25">
      <c r="A3666" t="str">
        <f>"20190312154629891"</f>
        <v>20190312154629891</v>
      </c>
      <c r="B3666" t="str">
        <f>"1552376789881482"</f>
        <v>1552376789881482</v>
      </c>
      <c r="C3666" t="s">
        <v>40</v>
      </c>
      <c r="D3666">
        <v>4.2287410000000003</v>
      </c>
      <c r="E3666">
        <v>0.54413829999999996</v>
      </c>
      <c r="F3666" t="s">
        <v>43</v>
      </c>
      <c r="G3666">
        <v>-470.17349999999999</v>
      </c>
      <c r="H3666">
        <v>-0.05</v>
      </c>
      <c r="I3666">
        <v>172.95089999999999</v>
      </c>
      <c r="J3666">
        <v>-272.92860000000002</v>
      </c>
      <c r="K3666">
        <v>1.1084240000000001</v>
      </c>
      <c r="L3666">
        <v>140.32900000000001</v>
      </c>
      <c r="M3666">
        <v>-0.99997510000000001</v>
      </c>
      <c r="N3666">
        <v>0</v>
      </c>
      <c r="O3666">
        <v>-2.9435619999999998E-3</v>
      </c>
      <c r="P3666">
        <v>-0.99835450000000003</v>
      </c>
      <c r="Q3666">
        <v>2.793965E-2</v>
      </c>
      <c r="R3666">
        <v>5.0081479999999998E-2</v>
      </c>
      <c r="S3666">
        <v>-2.980988</v>
      </c>
      <c r="T3666">
        <v>-1.7472270000000002E-2</v>
      </c>
      <c r="U3666">
        <v>0.49205019999999999</v>
      </c>
      <c r="V3666">
        <v>5.3055749999999999E-2</v>
      </c>
      <c r="W3666">
        <v>3.4284849999999999E-2</v>
      </c>
      <c r="X3666">
        <v>0.99800279999999997</v>
      </c>
      <c r="Y3666">
        <v>0.16575989999999999</v>
      </c>
      <c r="Z3666">
        <v>4.9964849999999995E-4</v>
      </c>
      <c r="AA3666">
        <v>0.98616599999999999</v>
      </c>
      <c r="AB3666">
        <v>39</v>
      </c>
      <c r="AC3666">
        <v>-197.2449</v>
      </c>
      <c r="AD3666">
        <v>-1.1584239999999999</v>
      </c>
      <c r="AE3666">
        <v>32.621899999999897</v>
      </c>
      <c r="AF3666">
        <v>33.201258500076797</v>
      </c>
      <c r="AG3666">
        <v>-1.1584239999999999</v>
      </c>
      <c r="AH3666">
        <v>197.141400046923</v>
      </c>
      <c r="AI3666">
        <v>90.331997064215102</v>
      </c>
      <c r="AJ3666">
        <v>80.440328465239304</v>
      </c>
      <c r="AK3666">
        <v>199.92097720002701</v>
      </c>
      <c r="AL3666">
        <v>88.035237705061405</v>
      </c>
      <c r="AM3666">
        <v>86.956910692672693</v>
      </c>
      <c r="AN3666">
        <v>0.99999997617771197</v>
      </c>
    </row>
    <row r="3667" spans="1:40" x14ac:dyDescent="0.25">
      <c r="A3667" t="str">
        <f>"20190312154629914"</f>
        <v>20190312154629914</v>
      </c>
      <c r="B3667" t="str">
        <f>"1552376789901003"</f>
        <v>1552376789901003</v>
      </c>
      <c r="C3667" t="s">
        <v>40</v>
      </c>
      <c r="D3667">
        <v>4.2186830000000004</v>
      </c>
      <c r="E3667">
        <v>0.54456629999999995</v>
      </c>
      <c r="F3667" t="s">
        <v>42</v>
      </c>
      <c r="G3667">
        <v>-429.96499999999997</v>
      </c>
      <c r="H3667">
        <v>5.7220569999999998E-2</v>
      </c>
      <c r="I3667">
        <v>166.56180000000001</v>
      </c>
      <c r="J3667">
        <v>-273.3295</v>
      </c>
      <c r="K3667">
        <v>1.1085</v>
      </c>
      <c r="L3667">
        <v>140.32820000000001</v>
      </c>
      <c r="M3667">
        <v>-0.99997199999999997</v>
      </c>
      <c r="N3667">
        <v>0</v>
      </c>
      <c r="O3667">
        <v>-2.5440409999999999E-3</v>
      </c>
      <c r="P3667">
        <v>-0.99835980000000002</v>
      </c>
      <c r="Q3667">
        <v>2.6997690000000001E-2</v>
      </c>
      <c r="R3667">
        <v>5.0488400000000003E-2</v>
      </c>
      <c r="S3667">
        <v>-2.9805299999999999</v>
      </c>
      <c r="T3667">
        <v>-1.9951699999999999E-2</v>
      </c>
      <c r="U3667">
        <v>0.49789430000000001</v>
      </c>
      <c r="V3667">
        <v>5.3064149999999997E-2</v>
      </c>
      <c r="W3667">
        <v>3.3976520000000003E-2</v>
      </c>
      <c r="X3667">
        <v>0.99801289999999998</v>
      </c>
      <c r="Y3667">
        <v>0.167270899999999</v>
      </c>
      <c r="Z3667">
        <v>5.7291229999999996E-4</v>
      </c>
      <c r="AA3667">
        <v>0.98591079999999998</v>
      </c>
      <c r="AB3667">
        <v>39</v>
      </c>
      <c r="AC3667">
        <v>-156.63549999999901</v>
      </c>
      <c r="AD3667">
        <v>-1.0512794299999999</v>
      </c>
      <c r="AE3667">
        <v>26.233599999999999</v>
      </c>
      <c r="AF3667">
        <v>26.6308452231663</v>
      </c>
      <c r="AG3667">
        <v>-1.0512794299999999</v>
      </c>
      <c r="AH3667">
        <v>156.561392048931</v>
      </c>
      <c r="AI3667">
        <v>90.379276673938094</v>
      </c>
      <c r="AJ3667">
        <v>80.346474183676705</v>
      </c>
      <c r="AK3667">
        <v>158.813653651187</v>
      </c>
      <c r="AL3667">
        <v>88.052914015877306</v>
      </c>
      <c r="AM3667">
        <v>86.956460547632005</v>
      </c>
      <c r="AN3667">
        <v>0.99999997824647102</v>
      </c>
    </row>
    <row r="3668" spans="1:40" x14ac:dyDescent="0.25">
      <c r="A3668" t="str">
        <f>"20190312154629936"</f>
        <v>20190312154629936</v>
      </c>
      <c r="B3668" t="str">
        <f>"1552376789930789"</f>
        <v>1552376789930789</v>
      </c>
      <c r="C3668" t="s">
        <v>40</v>
      </c>
      <c r="D3668">
        <v>4.2545849999999996</v>
      </c>
      <c r="E3668">
        <v>0.54522869999999901</v>
      </c>
      <c r="F3668" t="s">
        <v>43</v>
      </c>
      <c r="G3668">
        <v>-413.1472</v>
      </c>
      <c r="H3668">
        <v>-0.05</v>
      </c>
      <c r="I3668">
        <v>163.89699999999999</v>
      </c>
      <c r="J3668">
        <v>-273.72129999999999</v>
      </c>
      <c r="K3668">
        <v>1.1085689999999999</v>
      </c>
      <c r="L3668">
        <v>140.32759999999999</v>
      </c>
      <c r="M3668">
        <v>-0.99996830000000003</v>
      </c>
      <c r="N3668">
        <v>0</v>
      </c>
      <c r="O3668">
        <v>-2.1576680000000002E-3</v>
      </c>
      <c r="P3668">
        <v>-0.99837869999999995</v>
      </c>
      <c r="Q3668">
        <v>2.5907469999999998E-2</v>
      </c>
      <c r="R3668">
        <v>5.0686559999999999E-2</v>
      </c>
      <c r="S3668">
        <v>-2.980194</v>
      </c>
      <c r="T3668">
        <v>-2.469325E-2</v>
      </c>
      <c r="U3668">
        <v>0.50236510000000001</v>
      </c>
      <c r="V3668">
        <v>5.2876989999999999E-2</v>
      </c>
      <c r="W3668">
        <v>3.3508049999999998E-2</v>
      </c>
      <c r="X3668">
        <v>0.99803869999999895</v>
      </c>
      <c r="Y3668">
        <v>0.16834449999999901</v>
      </c>
      <c r="Z3668">
        <v>7.1029019999999999E-4</v>
      </c>
      <c r="AA3668">
        <v>0.98572800000000005</v>
      </c>
      <c r="AB3668">
        <v>39</v>
      </c>
      <c r="AC3668">
        <v>-139.42590000000001</v>
      </c>
      <c r="AD3668">
        <v>-1.158569</v>
      </c>
      <c r="AE3668">
        <v>23.569400000000002</v>
      </c>
      <c r="AF3668">
        <v>23.868586460343199</v>
      </c>
      <c r="AG3668">
        <v>-1.158569</v>
      </c>
      <c r="AH3668">
        <v>139.365363321019</v>
      </c>
      <c r="AI3668">
        <v>90.469463897278999</v>
      </c>
      <c r="AJ3668">
        <v>80.281455192657006</v>
      </c>
      <c r="AK3668">
        <v>141.39927933105699</v>
      </c>
      <c r="AL3668">
        <v>88.079770717088806</v>
      </c>
      <c r="AM3668">
        <v>86.967253447173306</v>
      </c>
      <c r="AN3668">
        <v>1.00000000609197</v>
      </c>
    </row>
    <row r="3669" spans="1:40" x14ac:dyDescent="0.25">
      <c r="A3669" t="str">
        <f>"20190312154629960"</f>
        <v>20190312154629960</v>
      </c>
      <c r="B3669" t="str">
        <f>"1552376789951286"</f>
        <v>1552376789951286</v>
      </c>
      <c r="C3669" t="s">
        <v>40</v>
      </c>
      <c r="D3669">
        <v>4.243773</v>
      </c>
      <c r="E3669">
        <v>0.54559449999999998</v>
      </c>
      <c r="F3669" t="s">
        <v>43</v>
      </c>
      <c r="G3669">
        <v>-389.04840000000002</v>
      </c>
      <c r="H3669">
        <v>-0.05</v>
      </c>
      <c r="I3669">
        <v>159.9982</v>
      </c>
      <c r="J3669">
        <v>-274.1164</v>
      </c>
      <c r="K3669">
        <v>1.1086469999999999</v>
      </c>
      <c r="L3669">
        <v>140.3272</v>
      </c>
      <c r="M3669">
        <v>-0.99996410000000002</v>
      </c>
      <c r="N3669">
        <v>0</v>
      </c>
      <c r="O3669">
        <v>-1.7740950000000001E-3</v>
      </c>
      <c r="P3669">
        <v>-0.99837849999999995</v>
      </c>
      <c r="Q3669">
        <v>2.4952519999999999E-2</v>
      </c>
      <c r="R3669">
        <v>5.1168369999999998E-2</v>
      </c>
      <c r="S3669">
        <v>-2.9798580000000001</v>
      </c>
      <c r="T3669">
        <v>-2.993548E-2</v>
      </c>
      <c r="U3669">
        <v>0.50825500000000001</v>
      </c>
      <c r="V3669">
        <v>5.297578E-2</v>
      </c>
      <c r="W3669">
        <v>3.3188750000000003E-2</v>
      </c>
      <c r="X3669">
        <v>0.99804409999999999</v>
      </c>
      <c r="Y3669">
        <v>0.16987550000000001</v>
      </c>
      <c r="Z3669">
        <v>8.6483739999999995E-4</v>
      </c>
      <c r="AA3669">
        <v>0.98546520000000004</v>
      </c>
      <c r="AB3669">
        <v>39</v>
      </c>
      <c r="AC3669">
        <v>-114.932</v>
      </c>
      <c r="AD3669">
        <v>-1.158647</v>
      </c>
      <c r="AE3669">
        <v>19.6709999999999</v>
      </c>
      <c r="AF3669">
        <v>19.872914130008699</v>
      </c>
      <c r="AG3669">
        <v>-1.158647</v>
      </c>
      <c r="AH3669">
        <v>114.885576208857</v>
      </c>
      <c r="AI3669">
        <v>90.569366331275603</v>
      </c>
      <c r="AJ3669">
        <v>80.186087752649698</v>
      </c>
      <c r="AK3669">
        <v>116.597473384848</v>
      </c>
      <c r="AL3669">
        <v>88.098075383458706</v>
      </c>
      <c r="AM3669">
        <v>86.961614387014706</v>
      </c>
      <c r="AN3669">
        <v>0.99999997596899004</v>
      </c>
    </row>
    <row r="3670" spans="1:40" x14ac:dyDescent="0.25">
      <c r="A3670" t="str">
        <f>"20190312154629979"</f>
        <v>20190312154629979</v>
      </c>
      <c r="B3670" t="str">
        <f>"1552376789970805"</f>
        <v>1552376789970805</v>
      </c>
      <c r="C3670" t="s">
        <v>40</v>
      </c>
      <c r="D3670">
        <v>4.24092</v>
      </c>
      <c r="E3670">
        <v>0.54591880000000004</v>
      </c>
      <c r="F3670" t="s">
        <v>43</v>
      </c>
      <c r="G3670">
        <v>-375.54149999999998</v>
      </c>
      <c r="H3670">
        <v>-0.05</v>
      </c>
      <c r="I3670">
        <v>157.7809</v>
      </c>
      <c r="J3670">
        <v>-274.46190000000001</v>
      </c>
      <c r="K3670">
        <v>1.1087290000000001</v>
      </c>
      <c r="L3670">
        <v>140.32689999999999</v>
      </c>
      <c r="M3670">
        <v>-0.9999595</v>
      </c>
      <c r="N3670">
        <v>0</v>
      </c>
      <c r="O3670">
        <v>-1.4349320000000001E-3</v>
      </c>
      <c r="P3670">
        <v>-0.99840930000000006</v>
      </c>
      <c r="Q3670">
        <v>2.453806E-2</v>
      </c>
      <c r="R3670">
        <v>5.0762460000000002E-2</v>
      </c>
      <c r="S3670">
        <v>-2.979492</v>
      </c>
      <c r="T3670">
        <v>-3.4036759999999999E-2</v>
      </c>
      <c r="U3670">
        <v>0.51272580000000001</v>
      </c>
      <c r="V3670">
        <v>5.2230770000000003E-2</v>
      </c>
      <c r="W3670">
        <v>3.3354599999999998E-2</v>
      </c>
      <c r="X3670">
        <v>0.99807789999999996</v>
      </c>
      <c r="Y3670">
        <v>0.17099529999999999</v>
      </c>
      <c r="Z3670">
        <v>9.8581430000000011E-4</v>
      </c>
      <c r="AA3670">
        <v>0.98527129999999996</v>
      </c>
      <c r="AB3670">
        <v>39</v>
      </c>
      <c r="AC3670">
        <v>-101.079599999999</v>
      </c>
      <c r="AD3670">
        <v>-1.1587289999999999</v>
      </c>
      <c r="AE3670">
        <v>17.454000000000001</v>
      </c>
      <c r="AF3670">
        <v>17.5967846228585</v>
      </c>
      <c r="AG3670">
        <v>-1.1587289999999999</v>
      </c>
      <c r="AH3670">
        <v>101.041555961974</v>
      </c>
      <c r="AI3670">
        <v>90.647288542372095</v>
      </c>
      <c r="AJ3670">
        <v>80.120796703231306</v>
      </c>
      <c r="AK3670">
        <v>102.56893054514801</v>
      </c>
      <c r="AL3670">
        <v>88.088567733864807</v>
      </c>
      <c r="AM3670">
        <v>87.004366749744406</v>
      </c>
      <c r="AN3670">
        <v>1.0000000385721799</v>
      </c>
    </row>
    <row r="3671" spans="1:40" x14ac:dyDescent="0.25">
      <c r="A3671" t="str">
        <f>"20190312154630003"</f>
        <v>20190312154630003</v>
      </c>
      <c r="B3671" t="str">
        <f>"1552376789991301"</f>
        <v>1552376789991301</v>
      </c>
      <c r="C3671" t="s">
        <v>40</v>
      </c>
      <c r="D3671">
        <v>4.2140649999999997</v>
      </c>
      <c r="E3671">
        <v>0.54609890000000005</v>
      </c>
      <c r="F3671" t="s">
        <v>43</v>
      </c>
      <c r="G3671">
        <v>-368.81790000000001</v>
      </c>
      <c r="H3671">
        <v>-0.05</v>
      </c>
      <c r="I3671">
        <v>156.60390000000001</v>
      </c>
      <c r="J3671">
        <v>-274.87200000000001</v>
      </c>
      <c r="K3671">
        <v>1.10883</v>
      </c>
      <c r="L3671">
        <v>140.32679999999999</v>
      </c>
      <c r="M3671">
        <v>-0.99995339999999999</v>
      </c>
      <c r="N3671">
        <v>0</v>
      </c>
      <c r="O3671">
        <v>-1.0219039999999999E-3</v>
      </c>
      <c r="P3671">
        <v>-0.99840439999999997</v>
      </c>
      <c r="Q3671">
        <v>2.4251539999999999E-2</v>
      </c>
      <c r="R3671">
        <v>5.0993469999999999E-2</v>
      </c>
      <c r="S3671">
        <v>-2.9795530000000001</v>
      </c>
      <c r="T3671">
        <v>-3.65901E-2</v>
      </c>
      <c r="U3671">
        <v>0.51399229999999996</v>
      </c>
      <c r="V3671">
        <v>5.2048589999999999E-2</v>
      </c>
      <c r="W3671">
        <v>3.3769210000000001E-2</v>
      </c>
      <c r="X3671">
        <v>0.99807349999999995</v>
      </c>
      <c r="Y3671">
        <v>0.17099</v>
      </c>
      <c r="Z3671">
        <v>1.0546349999999999E-3</v>
      </c>
      <c r="AA3671">
        <v>0.98527220000000004</v>
      </c>
      <c r="AB3671">
        <v>39</v>
      </c>
      <c r="AC3671">
        <v>-93.945899999999995</v>
      </c>
      <c r="AD3671">
        <v>-1.15883</v>
      </c>
      <c r="AE3671">
        <v>16.277100000000001</v>
      </c>
      <c r="AF3671">
        <v>16.370681342480399</v>
      </c>
      <c r="AG3671">
        <v>-1.15883</v>
      </c>
      <c r="AH3671">
        <v>93.915343393189303</v>
      </c>
      <c r="AI3671">
        <v>90.6964414975685</v>
      </c>
      <c r="AJ3671">
        <v>80.1119419705838</v>
      </c>
      <c r="AK3671">
        <v>95.338522220803299</v>
      </c>
      <c r="AL3671">
        <v>88.064798989030606</v>
      </c>
      <c r="AM3671">
        <v>87.014783397016799</v>
      </c>
      <c r="AN3671">
        <v>1.0000000633336199</v>
      </c>
    </row>
    <row r="3672" spans="1:40" x14ac:dyDescent="0.25">
      <c r="A3672" t="str">
        <f>"20190312154630024"</f>
        <v>20190312154630024</v>
      </c>
      <c r="B3672" t="str">
        <f>"1552376790021088"</f>
        <v>1552376790021088</v>
      </c>
      <c r="C3672" t="s">
        <v>40</v>
      </c>
      <c r="D3672">
        <v>4.1897449999999896</v>
      </c>
      <c r="E3672">
        <v>0.54637000000000002</v>
      </c>
      <c r="F3672" t="s">
        <v>42</v>
      </c>
      <c r="G3672">
        <v>-354.82839999999999</v>
      </c>
      <c r="H3672">
        <v>7.9987000000000003E-2</v>
      </c>
      <c r="I3672">
        <v>154.17689999999999</v>
      </c>
      <c r="J3672">
        <v>-275.24340000000001</v>
      </c>
      <c r="K3672">
        <v>1.108905</v>
      </c>
      <c r="L3672">
        <v>140.32669999999999</v>
      </c>
      <c r="M3672">
        <v>-0.9999479</v>
      </c>
      <c r="N3672">
        <v>0</v>
      </c>
      <c r="O3672">
        <v>-6.4159099999999995E-4</v>
      </c>
      <c r="P3672">
        <v>-0.99841729999999995</v>
      </c>
      <c r="Q3672">
        <v>2.3363640000000001E-2</v>
      </c>
      <c r="R3672">
        <v>5.1159389999999999E-2</v>
      </c>
      <c r="S3672">
        <v>-2.9794010000000002</v>
      </c>
      <c r="T3672">
        <v>-3.8337589999999998E-2</v>
      </c>
      <c r="U3672">
        <v>0.51609799999999995</v>
      </c>
      <c r="V3672">
        <v>5.1833650000000002E-2</v>
      </c>
      <c r="W3672">
        <v>3.349042E-2</v>
      </c>
      <c r="X3672">
        <v>0.99809400000000004</v>
      </c>
      <c r="Y3672">
        <v>0.1712987</v>
      </c>
      <c r="Z3672">
        <v>1.102102E-3</v>
      </c>
      <c r="AA3672">
        <v>0.9852185</v>
      </c>
      <c r="AB3672">
        <v>38</v>
      </c>
      <c r="AC3672">
        <v>-79.584999999999894</v>
      </c>
      <c r="AD3672">
        <v>-1.028918</v>
      </c>
      <c r="AE3672">
        <v>13.850199999999999</v>
      </c>
      <c r="AF3672">
        <v>13.899005931598801</v>
      </c>
      <c r="AG3672">
        <v>-1.028918</v>
      </c>
      <c r="AH3672">
        <v>79.563189163063498</v>
      </c>
      <c r="AI3672">
        <v>90.729860942502995</v>
      </c>
      <c r="AJ3672">
        <v>80.090910746155402</v>
      </c>
      <c r="AK3672">
        <v>80.774637776561804</v>
      </c>
      <c r="AL3672">
        <v>88.080781366844505</v>
      </c>
      <c r="AM3672">
        <v>87.027149946970297</v>
      </c>
      <c r="AN3672">
        <v>0.99999998417004898</v>
      </c>
    </row>
    <row r="3673" spans="1:40" x14ac:dyDescent="0.25">
      <c r="A3673" t="str">
        <f>"20190312154630047"</f>
        <v>20190312154630047</v>
      </c>
      <c r="B3673" t="str">
        <f>"1552376790040608"</f>
        <v>1552376790040608</v>
      </c>
      <c r="C3673" t="s">
        <v>40</v>
      </c>
      <c r="D3673">
        <v>4.2283350000000004</v>
      </c>
      <c r="E3673">
        <v>0.54665629999999998</v>
      </c>
      <c r="F3673" t="s">
        <v>42</v>
      </c>
      <c r="G3673">
        <v>-348.22210000000001</v>
      </c>
      <c r="H3673">
        <v>7.9986479999999999E-2</v>
      </c>
      <c r="I3673">
        <v>153.03569999999999</v>
      </c>
      <c r="J3673">
        <v>-275.62290000000002</v>
      </c>
      <c r="K3673">
        <v>1.1089629999999999</v>
      </c>
      <c r="L3673">
        <v>140.32679999999999</v>
      </c>
      <c r="M3673">
        <v>-0.99994209999999994</v>
      </c>
      <c r="N3673">
        <v>0</v>
      </c>
      <c r="O3673">
        <v>-2.5645879999999999E-4</v>
      </c>
      <c r="P3673">
        <v>-0.99843689999999996</v>
      </c>
      <c r="Q3673">
        <v>2.2451769999999999E-2</v>
      </c>
      <c r="R3673">
        <v>5.1185399999999999E-2</v>
      </c>
      <c r="S3673">
        <v>-2.9791560000000001</v>
      </c>
      <c r="T3673">
        <v>-4.20028E-2</v>
      </c>
      <c r="U3673">
        <v>0.51881409999999994</v>
      </c>
      <c r="V3673">
        <v>5.1474659999999998E-2</v>
      </c>
      <c r="W3673">
        <v>3.3149190000000002E-2</v>
      </c>
      <c r="X3673">
        <v>0.99812400000000001</v>
      </c>
      <c r="Y3673">
        <v>0.17180190000000001</v>
      </c>
      <c r="Z3673">
        <v>1.205593E-3</v>
      </c>
      <c r="AA3673">
        <v>0.98513079999999997</v>
      </c>
      <c r="AB3673">
        <v>38</v>
      </c>
      <c r="AC3673">
        <v>-72.599199999999996</v>
      </c>
      <c r="AD3673">
        <v>-1.0289765199999901</v>
      </c>
      <c r="AE3673">
        <v>12.7089</v>
      </c>
      <c r="AF3673">
        <v>12.7250391015184</v>
      </c>
      <c r="AG3673">
        <v>-1.0289765199999901</v>
      </c>
      <c r="AH3673">
        <v>72.581791058849205</v>
      </c>
      <c r="AI3673">
        <v>90.800015197768701</v>
      </c>
      <c r="AJ3673">
        <v>80.055966012997004</v>
      </c>
      <c r="AK3673">
        <v>73.696009431476895</v>
      </c>
      <c r="AL3673">
        <v>88.100343325455398</v>
      </c>
      <c r="AM3673">
        <v>87.047791367942395</v>
      </c>
      <c r="AN3673">
        <v>1.00000001439788</v>
      </c>
    </row>
    <row r="3674" spans="1:40" x14ac:dyDescent="0.25">
      <c r="A3674" t="str">
        <f>"20190312154630069"</f>
        <v>20190312154630069</v>
      </c>
      <c r="B3674" t="str">
        <f>"1552376790061104"</f>
        <v>1552376790061104</v>
      </c>
      <c r="C3674" t="s">
        <v>40</v>
      </c>
      <c r="D3674">
        <v>4.2290299999999998</v>
      </c>
      <c r="E3674">
        <v>0.54693959999999997</v>
      </c>
      <c r="F3674" t="s">
        <v>42</v>
      </c>
      <c r="G3674">
        <v>-342.36790000000002</v>
      </c>
      <c r="H3674">
        <v>7.9986180000000004E-2</v>
      </c>
      <c r="I3674">
        <v>152.00200000000001</v>
      </c>
      <c r="J3674">
        <v>-276.0181</v>
      </c>
      <c r="K3674">
        <v>1.1090070000000001</v>
      </c>
      <c r="L3674">
        <v>140.3271</v>
      </c>
      <c r="M3674">
        <v>-0.99993620000000005</v>
      </c>
      <c r="N3674">
        <v>0</v>
      </c>
      <c r="O3674">
        <v>1.359651E-4</v>
      </c>
      <c r="P3674">
        <v>-0.99843470000000001</v>
      </c>
      <c r="Q3674">
        <v>2.1978399999999999E-2</v>
      </c>
      <c r="R3674">
        <v>5.1434500000000001E-2</v>
      </c>
      <c r="S3674">
        <v>-2.979034</v>
      </c>
      <c r="T3674">
        <v>-4.5926450000000001E-2</v>
      </c>
      <c r="U3674">
        <v>0.52110290000000004</v>
      </c>
      <c r="V3674">
        <v>5.1331759999999997E-2</v>
      </c>
      <c r="W3674">
        <v>3.3209719999999998E-2</v>
      </c>
      <c r="X3674">
        <v>0.9981293</v>
      </c>
      <c r="Y3674">
        <v>0.17215339999999901</v>
      </c>
      <c r="Z3674">
        <v>1.3148509999999999E-3</v>
      </c>
      <c r="AA3674">
        <v>0.98506930000000004</v>
      </c>
      <c r="AB3674">
        <v>38</v>
      </c>
      <c r="AC3674">
        <v>-66.349800000000002</v>
      </c>
      <c r="AD3674">
        <v>-1.0290208199999999</v>
      </c>
      <c r="AE3674">
        <v>11.674899999999999</v>
      </c>
      <c r="AF3674">
        <v>11.663156971243399</v>
      </c>
      <c r="AG3674">
        <v>-1.0290208199999999</v>
      </c>
      <c r="AH3674">
        <v>66.335910280334005</v>
      </c>
      <c r="AI3674">
        <v>90.875292889944802</v>
      </c>
      <c r="AJ3674">
        <v>80.028193476083004</v>
      </c>
      <c r="AK3674">
        <v>67.361273051393397</v>
      </c>
      <c r="AL3674">
        <v>88.096873211750605</v>
      </c>
      <c r="AM3674">
        <v>87.055988230063505</v>
      </c>
      <c r="AN3674">
        <v>0.99999996730283203</v>
      </c>
    </row>
    <row r="3675" spans="1:40" x14ac:dyDescent="0.25">
      <c r="A3675" t="str">
        <f>"20190312154630091"</f>
        <v>20190312154630091</v>
      </c>
      <c r="B3675" t="str">
        <f>"1552376790080624"</f>
        <v>1552376790080624</v>
      </c>
      <c r="C3675" t="s">
        <v>40</v>
      </c>
      <c r="D3675">
        <v>4.1805859999999999</v>
      </c>
      <c r="E3675">
        <v>0.54714289999999999</v>
      </c>
      <c r="F3675" t="s">
        <v>42</v>
      </c>
      <c r="G3675">
        <v>-339.80860000000001</v>
      </c>
      <c r="H3675">
        <v>7.9986860000000007E-2</v>
      </c>
      <c r="I3675">
        <v>151.55289999999999</v>
      </c>
      <c r="J3675">
        <v>-276.3888</v>
      </c>
      <c r="K3675">
        <v>1.109048</v>
      </c>
      <c r="L3675">
        <v>140.32749999999999</v>
      </c>
      <c r="M3675">
        <v>-0.99993080000000001</v>
      </c>
      <c r="N3675">
        <v>0</v>
      </c>
      <c r="O3675">
        <v>4.9821610000000004E-4</v>
      </c>
      <c r="P3675">
        <v>-0.99843040000000005</v>
      </c>
      <c r="Q3675">
        <v>2.2741270000000001E-2</v>
      </c>
      <c r="R3675">
        <v>5.118313E-2</v>
      </c>
      <c r="S3675">
        <v>-2.9787599999999999</v>
      </c>
      <c r="T3675">
        <v>-4.8051120000000003E-2</v>
      </c>
      <c r="U3675">
        <v>0.52420040000000001</v>
      </c>
      <c r="V3675">
        <v>5.0720149999999999E-2</v>
      </c>
      <c r="W3675">
        <v>3.4421630000000002E-2</v>
      </c>
      <c r="X3675">
        <v>0.99811950000000005</v>
      </c>
      <c r="Y3675">
        <v>0.1728037</v>
      </c>
      <c r="Z3675">
        <v>1.3750800000000001E-3</v>
      </c>
      <c r="AA3675">
        <v>0.98495529999999998</v>
      </c>
      <c r="AB3675">
        <v>38</v>
      </c>
      <c r="AC3675">
        <v>-63.419800000000002</v>
      </c>
      <c r="AD3675">
        <v>-1.02906114</v>
      </c>
      <c r="AE3675">
        <v>11.2254</v>
      </c>
      <c r="AF3675">
        <v>11.190942713749999</v>
      </c>
      <c r="AG3675">
        <v>-1.02906114</v>
      </c>
      <c r="AH3675">
        <v>63.409197404440697</v>
      </c>
      <c r="AI3675">
        <v>90.915617534461902</v>
      </c>
      <c r="AJ3675">
        <v>79.991069988833601</v>
      </c>
      <c r="AK3675">
        <v>64.397379458543398</v>
      </c>
      <c r="AL3675">
        <v>88.027396126303103</v>
      </c>
      <c r="AM3675">
        <v>87.090976551491593</v>
      </c>
      <c r="AN3675">
        <v>0.99999995925406304</v>
      </c>
    </row>
    <row r="3676" spans="1:40" x14ac:dyDescent="0.25">
      <c r="A3676" t="str">
        <f>"20190312154630115"</f>
        <v>20190312154630115</v>
      </c>
      <c r="B3676" t="str">
        <f>"1552376790101120"</f>
        <v>1552376790101120</v>
      </c>
      <c r="C3676" t="s">
        <v>40</v>
      </c>
      <c r="D3676">
        <v>4.2204110000000004</v>
      </c>
      <c r="E3676">
        <v>0.54736940000000001</v>
      </c>
      <c r="F3676" t="s">
        <v>42</v>
      </c>
      <c r="G3676">
        <v>-342.4332</v>
      </c>
      <c r="H3676">
        <v>7.9986189999999999E-2</v>
      </c>
      <c r="I3676">
        <v>151.96780000000001</v>
      </c>
      <c r="J3676">
        <v>-276.7824</v>
      </c>
      <c r="K3676">
        <v>1.1090799999999901</v>
      </c>
      <c r="L3676">
        <v>140.32810000000001</v>
      </c>
      <c r="M3676">
        <v>-0.99992550000000002</v>
      </c>
      <c r="N3676">
        <v>0</v>
      </c>
      <c r="O3676">
        <v>8.8064739999999995E-4</v>
      </c>
      <c r="P3676">
        <v>-0.99842439999999999</v>
      </c>
      <c r="Q3676">
        <v>2.32103E-2</v>
      </c>
      <c r="R3676">
        <v>5.1093069999999997E-2</v>
      </c>
      <c r="S3676">
        <v>-2.9788510000000001</v>
      </c>
      <c r="T3676">
        <v>-4.6414610000000002E-2</v>
      </c>
      <c r="U3676">
        <v>0.52502439999999995</v>
      </c>
      <c r="V3676">
        <v>5.024928E-2</v>
      </c>
      <c r="W3676">
        <v>3.531372E-2</v>
      </c>
      <c r="X3676">
        <v>0.9981122</v>
      </c>
      <c r="Y3676">
        <v>0.1726876</v>
      </c>
      <c r="Z3676">
        <v>1.321371E-3</v>
      </c>
      <c r="AA3676">
        <v>0.98497579999999996</v>
      </c>
      <c r="AB3676">
        <v>38</v>
      </c>
      <c r="AC3676">
        <v>-65.650800000000004</v>
      </c>
      <c r="AD3676">
        <v>-1.02909380999999</v>
      </c>
      <c r="AE3676">
        <v>11.639699999999999</v>
      </c>
      <c r="AF3676">
        <v>11.5791175527834</v>
      </c>
      <c r="AG3676">
        <v>-1.02909380999999</v>
      </c>
      <c r="AH3676">
        <v>65.645387362066998</v>
      </c>
      <c r="AI3676">
        <v>90.8844753689486</v>
      </c>
      <c r="AJ3676">
        <v>79.996559395600698</v>
      </c>
      <c r="AK3676">
        <v>66.666722427960806</v>
      </c>
      <c r="AL3676">
        <v>87.976252127175997</v>
      </c>
      <c r="AM3676">
        <v>87.117916226597302</v>
      </c>
      <c r="AN3676">
        <v>1.00000000637479</v>
      </c>
    </row>
    <row r="3677" spans="1:40" x14ac:dyDescent="0.25">
      <c r="A3677" t="str">
        <f>"20190312154630137"</f>
        <v>20190312154630137</v>
      </c>
      <c r="B3677" t="str">
        <f>"1552376790130909"</f>
        <v>1552376790130909</v>
      </c>
      <c r="C3677" t="s">
        <v>40</v>
      </c>
      <c r="D3677">
        <v>4.1835129999999996</v>
      </c>
      <c r="E3677">
        <v>0.54767239999999995</v>
      </c>
      <c r="F3677" t="s">
        <v>42</v>
      </c>
      <c r="G3677">
        <v>-343.94389999999999</v>
      </c>
      <c r="H3677">
        <v>7.9986650000000006E-2</v>
      </c>
      <c r="I3677">
        <v>152.2012</v>
      </c>
      <c r="J3677">
        <v>-277.16669999999999</v>
      </c>
      <c r="K3677">
        <v>1.1091040000000001</v>
      </c>
      <c r="L3677">
        <v>140.3288</v>
      </c>
      <c r="M3677">
        <v>-0.99992060000000005</v>
      </c>
      <c r="N3677">
        <v>0</v>
      </c>
      <c r="O3677">
        <v>1.2559719999999999E-3</v>
      </c>
      <c r="P3677">
        <v>-0.99840309999999999</v>
      </c>
      <c r="Q3677">
        <v>2.3341790000000001E-2</v>
      </c>
      <c r="R3677">
        <v>5.1443969999999999E-2</v>
      </c>
      <c r="S3677">
        <v>-2.9788209999999999</v>
      </c>
      <c r="T3677">
        <v>-4.5643570000000001E-2</v>
      </c>
      <c r="U3677">
        <v>0.5266113</v>
      </c>
      <c r="V3677">
        <v>5.0225649999999997E-2</v>
      </c>
      <c r="W3677">
        <v>3.5809300000000002E-2</v>
      </c>
      <c r="X3677">
        <v>0.99809579999999998</v>
      </c>
      <c r="Y3677">
        <v>0.17282919999999999</v>
      </c>
      <c r="Z3677">
        <v>1.2947449999999999E-3</v>
      </c>
      <c r="AA3677">
        <v>0.98495100000000002</v>
      </c>
      <c r="AB3677">
        <v>38</v>
      </c>
      <c r="AC3677">
        <v>-66.777199999999993</v>
      </c>
      <c r="AD3677">
        <v>-1.0291173499999999</v>
      </c>
      <c r="AE3677">
        <v>11.872400000000001</v>
      </c>
      <c r="AF3677">
        <v>11.785800327128699</v>
      </c>
      <c r="AG3677">
        <v>-1.0291173499999999</v>
      </c>
      <c r="AH3677">
        <v>66.776686039930695</v>
      </c>
      <c r="AI3677">
        <v>90.869497323283895</v>
      </c>
      <c r="AJ3677">
        <v>79.990622878966903</v>
      </c>
      <c r="AK3677">
        <v>67.816590671800199</v>
      </c>
      <c r="AL3677">
        <v>87.947839652072105</v>
      </c>
      <c r="AM3677">
        <v>87.119222004490496</v>
      </c>
      <c r="AN3677">
        <v>1.00000007393102</v>
      </c>
    </row>
    <row r="3678" spans="1:40" x14ac:dyDescent="0.25">
      <c r="A3678" t="str">
        <f>"20190312154630160"</f>
        <v>20190312154630160</v>
      </c>
      <c r="B3678" t="str">
        <f>"1552376790151405"</f>
        <v>1552376790151405</v>
      </c>
      <c r="C3678" t="s">
        <v>40</v>
      </c>
      <c r="D3678">
        <v>4.209511</v>
      </c>
      <c r="E3678">
        <v>0.54782719999999996</v>
      </c>
      <c r="F3678" t="s">
        <v>42</v>
      </c>
      <c r="G3678">
        <v>-343.02879999999999</v>
      </c>
      <c r="H3678">
        <v>7.9986379999999996E-2</v>
      </c>
      <c r="I3678">
        <v>152.04810000000001</v>
      </c>
      <c r="J3678">
        <v>-277.55799999999999</v>
      </c>
      <c r="K3678">
        <v>1.109118</v>
      </c>
      <c r="L3678">
        <v>140.3297</v>
      </c>
      <c r="M3678">
        <v>-0.99991600000000003</v>
      </c>
      <c r="N3678">
        <v>0</v>
      </c>
      <c r="O3678">
        <v>1.6413339999999999E-3</v>
      </c>
      <c r="P3678">
        <v>-0.99840700000000004</v>
      </c>
      <c r="Q3678">
        <v>2.2552010000000001E-2</v>
      </c>
      <c r="R3678">
        <v>5.1719840000000003E-2</v>
      </c>
      <c r="S3678">
        <v>-2.9785460000000001</v>
      </c>
      <c r="T3678">
        <v>-4.6540860000000003E-2</v>
      </c>
      <c r="U3678">
        <v>0.52999879999999999</v>
      </c>
      <c r="V3678">
        <v>5.0116210000000001E-2</v>
      </c>
      <c r="W3678">
        <v>3.5345649999999999E-2</v>
      </c>
      <c r="X3678">
        <v>0.9981177</v>
      </c>
      <c r="Y3678">
        <v>0.17355029999999999</v>
      </c>
      <c r="Z3678">
        <v>1.3198000000000001E-3</v>
      </c>
      <c r="AA3678">
        <v>0.98482409999999998</v>
      </c>
      <c r="AB3678">
        <v>38</v>
      </c>
      <c r="AC3678">
        <v>-65.470799999999997</v>
      </c>
      <c r="AD3678">
        <v>-1.02913162</v>
      </c>
      <c r="AE3678">
        <v>11.718400000000001</v>
      </c>
      <c r="AF3678">
        <v>11.608136716556899</v>
      </c>
      <c r="AG3678">
        <v>-1.02913162</v>
      </c>
      <c r="AH3678">
        <v>65.474271663353804</v>
      </c>
      <c r="AI3678">
        <v>90.886681665346103</v>
      </c>
      <c r="AJ3678">
        <v>79.946323365724197</v>
      </c>
      <c r="AK3678">
        <v>66.503294653484701</v>
      </c>
      <c r="AL3678">
        <v>87.974421408321703</v>
      </c>
      <c r="AM3678">
        <v>87.125551548317205</v>
      </c>
      <c r="AN3678">
        <v>0.99999994626598598</v>
      </c>
    </row>
    <row r="3679" spans="1:40" x14ac:dyDescent="0.25">
      <c r="A3679" t="str">
        <f>"20190312154630203"</f>
        <v>20190312154630203</v>
      </c>
      <c r="B3679" t="str">
        <f>"1552376790191424"</f>
        <v>1552376790191424</v>
      </c>
      <c r="C3679" t="s">
        <v>40</v>
      </c>
      <c r="D3679">
        <v>4.2275219999999996</v>
      </c>
      <c r="E3679">
        <v>0.54827769999999898</v>
      </c>
      <c r="F3679" t="s">
        <v>42</v>
      </c>
      <c r="G3679">
        <v>-340.1121</v>
      </c>
      <c r="H3679">
        <v>7.9985500000000001E-2</v>
      </c>
      <c r="I3679">
        <v>151.5033</v>
      </c>
      <c r="J3679">
        <v>-278.28800000000001</v>
      </c>
      <c r="K3679">
        <v>1.109148</v>
      </c>
      <c r="L3679">
        <v>140.33170000000001</v>
      </c>
      <c r="M3679">
        <v>-0.99990800000000002</v>
      </c>
      <c r="N3679">
        <v>0</v>
      </c>
      <c r="O3679">
        <v>2.3671199999999999E-3</v>
      </c>
      <c r="P3679">
        <v>-0.9983476</v>
      </c>
      <c r="Q3679">
        <v>2.1989649999999999E-2</v>
      </c>
      <c r="R3679">
        <v>5.3092359999999998E-2</v>
      </c>
      <c r="S3679">
        <v>-2.9783019999999998</v>
      </c>
      <c r="T3679">
        <v>-4.8998710000000001E-2</v>
      </c>
      <c r="U3679">
        <v>0.53199770000000002</v>
      </c>
      <c r="V3679">
        <v>5.0763610000000001E-2</v>
      </c>
      <c r="W3679">
        <v>3.5280829999999999E-2</v>
      </c>
      <c r="X3679">
        <v>0.99808730000000001</v>
      </c>
      <c r="Y3679">
        <v>0.1734879</v>
      </c>
      <c r="Z3679">
        <v>1.3771670000000001E-3</v>
      </c>
      <c r="AA3679">
        <v>0.98483500000000002</v>
      </c>
      <c r="AB3679">
        <v>38</v>
      </c>
      <c r="AC3679">
        <v>-61.824099999999902</v>
      </c>
      <c r="AD3679">
        <v>-1.0291625</v>
      </c>
      <c r="AE3679">
        <v>11.1715999999999</v>
      </c>
      <c r="AF3679">
        <v>11.0222527792611</v>
      </c>
      <c r="AG3679">
        <v>-1.0291625</v>
      </c>
      <c r="AH3679">
        <v>61.833780674601101</v>
      </c>
      <c r="AI3679">
        <v>90.938748736543999</v>
      </c>
      <c r="AJ3679">
        <v>79.892834222131995</v>
      </c>
      <c r="AK3679">
        <v>62.816921798954802</v>
      </c>
      <c r="AL3679">
        <v>87.978137686277094</v>
      </c>
      <c r="AM3679">
        <v>87.088394447765694</v>
      </c>
      <c r="AN3679">
        <v>0.99999996974350502</v>
      </c>
    </row>
    <row r="3680" spans="1:40" x14ac:dyDescent="0.25">
      <c r="A3680" t="str">
        <f>"20190312154630226"</f>
        <v>20190312154630226</v>
      </c>
      <c r="B3680" t="str">
        <f>"1552376790221208"</f>
        <v>1552376790221208</v>
      </c>
      <c r="C3680" t="s">
        <v>40</v>
      </c>
      <c r="D3680">
        <v>4.259029</v>
      </c>
      <c r="E3680">
        <v>0.54860069999999905</v>
      </c>
      <c r="F3680" t="s">
        <v>42</v>
      </c>
      <c r="G3680">
        <v>-337.68819999999999</v>
      </c>
      <c r="H3680">
        <v>7.9986139999999997E-2</v>
      </c>
      <c r="I3680">
        <v>151.09819999999999</v>
      </c>
      <c r="J3680">
        <v>-278.67529999999999</v>
      </c>
      <c r="K3680">
        <v>1.1091629999999999</v>
      </c>
      <c r="L3680">
        <v>140.333</v>
      </c>
      <c r="M3680">
        <v>-0.99990420000000002</v>
      </c>
      <c r="N3680">
        <v>0</v>
      </c>
      <c r="O3680">
        <v>2.7519860000000001E-3</v>
      </c>
      <c r="P3680">
        <v>-0.99832960000000004</v>
      </c>
      <c r="Q3680">
        <v>2.136016E-2</v>
      </c>
      <c r="R3680">
        <v>5.368626E-2</v>
      </c>
      <c r="S3680">
        <v>-2.9774479999999999</v>
      </c>
      <c r="T3680">
        <v>-5.1586989999999999E-2</v>
      </c>
      <c r="U3680">
        <v>0.53967290000000001</v>
      </c>
      <c r="V3680">
        <v>5.0972799999999999E-2</v>
      </c>
      <c r="W3680">
        <v>3.4863860000000003E-2</v>
      </c>
      <c r="X3680">
        <v>0.99809130000000001</v>
      </c>
      <c r="Y3680">
        <v>0.17561370000000001</v>
      </c>
      <c r="Z3680">
        <v>1.4616360000000001E-3</v>
      </c>
      <c r="AA3680">
        <v>0.9844581</v>
      </c>
      <c r="AB3680">
        <v>38</v>
      </c>
      <c r="AC3680">
        <v>-59.012900000000002</v>
      </c>
      <c r="AD3680">
        <v>-1.02917686</v>
      </c>
      <c r="AE3680">
        <v>10.765199999999901</v>
      </c>
      <c r="AF3680">
        <v>10.5996215732177</v>
      </c>
      <c r="AG3680">
        <v>-1.02917686</v>
      </c>
      <c r="AH3680">
        <v>59.024930706535201</v>
      </c>
      <c r="AI3680">
        <v>90.983201186516098</v>
      </c>
      <c r="AJ3680">
        <v>79.819407981929601</v>
      </c>
      <c r="AK3680">
        <v>59.977942840813299</v>
      </c>
      <c r="AL3680">
        <v>88.002043034200298</v>
      </c>
      <c r="AM3680">
        <v>87.076428582803601</v>
      </c>
      <c r="AN3680">
        <v>0.99999997910481397</v>
      </c>
    </row>
    <row r="3681" spans="1:40" x14ac:dyDescent="0.25">
      <c r="A3681" t="str">
        <f>"20190312154630247"</f>
        <v>20190312154630247</v>
      </c>
      <c r="B3681" t="str">
        <f>"1552376790240728"</f>
        <v>1552376790240728</v>
      </c>
      <c r="C3681" t="s">
        <v>40</v>
      </c>
      <c r="D3681">
        <v>4.2618780000000003</v>
      </c>
      <c r="E3681">
        <v>0.54877919999999902</v>
      </c>
      <c r="F3681" t="s">
        <v>42</v>
      </c>
      <c r="G3681">
        <v>-334.97309999999999</v>
      </c>
      <c r="H3681">
        <v>7.9985180000000003E-2</v>
      </c>
      <c r="I3681">
        <v>150.62119999999999</v>
      </c>
      <c r="J3681">
        <v>-279.03179999999998</v>
      </c>
      <c r="K3681">
        <v>1.1091740000000001</v>
      </c>
      <c r="L3681">
        <v>140.33439999999999</v>
      </c>
      <c r="M3681">
        <v>-0.99990069999999998</v>
      </c>
      <c r="N3681">
        <v>0</v>
      </c>
      <c r="O3681">
        <v>3.1055200000000001E-3</v>
      </c>
      <c r="P3681">
        <v>-0.99832430000000005</v>
      </c>
      <c r="Q3681">
        <v>2.1034959999999998E-2</v>
      </c>
      <c r="R3681">
        <v>5.3909970000000001E-2</v>
      </c>
      <c r="S3681">
        <v>-2.9769290000000002</v>
      </c>
      <c r="T3681">
        <v>-5.4421070000000002E-2</v>
      </c>
      <c r="U3681">
        <v>0.54402159999999999</v>
      </c>
      <c r="V3681">
        <v>5.0843199999999998E-2</v>
      </c>
      <c r="W3681">
        <v>3.470993E-2</v>
      </c>
      <c r="X3681">
        <v>0.99810330000000003</v>
      </c>
      <c r="Y3681">
        <v>0.1766847</v>
      </c>
      <c r="Z3681">
        <v>1.5452860000000001E-3</v>
      </c>
      <c r="AA3681">
        <v>0.98426630000000004</v>
      </c>
      <c r="AB3681">
        <v>38</v>
      </c>
      <c r="AC3681">
        <v>-55.941299999999998</v>
      </c>
      <c r="AD3681">
        <v>-1.0291888199999999</v>
      </c>
      <c r="AE3681">
        <v>10.286799999999999</v>
      </c>
      <c r="AF3681">
        <v>10.1096972004076</v>
      </c>
      <c r="AG3681">
        <v>-1.0291888199999999</v>
      </c>
      <c r="AH3681">
        <v>55.954659351322</v>
      </c>
      <c r="AI3681">
        <v>91.036952100927493</v>
      </c>
      <c r="AJ3681">
        <v>79.758481400952704</v>
      </c>
      <c r="AK3681">
        <v>56.869931512475297</v>
      </c>
      <c r="AL3681">
        <v>88.010867964207193</v>
      </c>
      <c r="AM3681">
        <v>87.083884011244905</v>
      </c>
      <c r="AN3681">
        <v>1.0000000038488599</v>
      </c>
    </row>
    <row r="3682" spans="1:40" x14ac:dyDescent="0.25">
      <c r="A3682" t="str">
        <f>"20190312154630270"</f>
        <v>20190312154630270</v>
      </c>
      <c r="B3682" t="str">
        <f>"1552376790261227"</f>
        <v>1552376790261227</v>
      </c>
      <c r="C3682" t="s">
        <v>40</v>
      </c>
      <c r="D3682">
        <v>4.2528309999999996</v>
      </c>
      <c r="E3682">
        <v>0.5489773</v>
      </c>
      <c r="F3682" t="s">
        <v>42</v>
      </c>
      <c r="G3682">
        <v>-333.92360000000002</v>
      </c>
      <c r="H3682">
        <v>7.9986310000000005E-2</v>
      </c>
      <c r="I3682">
        <v>150.40610000000001</v>
      </c>
      <c r="J3682">
        <v>-279.43790000000001</v>
      </c>
      <c r="K3682">
        <v>1.109189</v>
      </c>
      <c r="L3682">
        <v>140.33600000000001</v>
      </c>
      <c r="M3682">
        <v>-0.99989700000000004</v>
      </c>
      <c r="N3682">
        <v>0</v>
      </c>
      <c r="O3682">
        <v>3.5080490000000001E-3</v>
      </c>
      <c r="P3682">
        <v>-0.99833190000000005</v>
      </c>
      <c r="Q3682">
        <v>2.1160620000000002E-2</v>
      </c>
      <c r="R3682">
        <v>5.3722440000000003E-2</v>
      </c>
      <c r="S3682">
        <v>-2.9766849999999998</v>
      </c>
      <c r="T3682">
        <v>-5.5811050000000001E-2</v>
      </c>
      <c r="U3682">
        <v>0.54617309999999997</v>
      </c>
      <c r="V3682">
        <v>5.0254149999999997E-2</v>
      </c>
      <c r="W3682">
        <v>3.5003960000000001E-2</v>
      </c>
      <c r="X3682">
        <v>0.99812290000000004</v>
      </c>
      <c r="Y3682">
        <v>0.1769896</v>
      </c>
      <c r="Z3682">
        <v>1.580124E-3</v>
      </c>
      <c r="AA3682">
        <v>0.98421139999999996</v>
      </c>
      <c r="AB3682">
        <v>38</v>
      </c>
      <c r="AC3682">
        <v>-54.485700000000001</v>
      </c>
      <c r="AD3682">
        <v>-1.02920269</v>
      </c>
      <c r="AE3682">
        <v>10.070099999999901</v>
      </c>
      <c r="AF3682">
        <v>9.8754737290146295</v>
      </c>
      <c r="AG3682">
        <v>-1.02920269</v>
      </c>
      <c r="AH3682">
        <v>54.501890028495403</v>
      </c>
      <c r="AI3682">
        <v>91.064503853642805</v>
      </c>
      <c r="AJ3682">
        <v>79.729716591878599</v>
      </c>
      <c r="AK3682">
        <v>55.398919269492701</v>
      </c>
      <c r="AL3682">
        <v>87.994011115274503</v>
      </c>
      <c r="AM3682">
        <v>87.117668222408199</v>
      </c>
      <c r="AN3682">
        <v>1.00000004015615</v>
      </c>
    </row>
    <row r="3683" spans="1:40" x14ac:dyDescent="0.25">
      <c r="A3683" t="str">
        <f>"20190312154630292"</f>
        <v>20190312154630292</v>
      </c>
      <c r="B3683" t="str">
        <f>"1552376790280744"</f>
        <v>1552376790280744</v>
      </c>
      <c r="C3683" t="s">
        <v>40</v>
      </c>
      <c r="D3683">
        <v>4.2814100000000002</v>
      </c>
      <c r="E3683">
        <v>0.54918210000000001</v>
      </c>
      <c r="F3683" t="s">
        <v>42</v>
      </c>
      <c r="G3683">
        <v>-333.76499999999999</v>
      </c>
      <c r="H3683">
        <v>7.9986249999999995E-2</v>
      </c>
      <c r="I3683">
        <v>150.3211</v>
      </c>
      <c r="J3683">
        <v>-279.79820000000001</v>
      </c>
      <c r="K3683">
        <v>1.109205</v>
      </c>
      <c r="L3683">
        <v>140.33760000000001</v>
      </c>
      <c r="M3683">
        <v>-0.99989399999999995</v>
      </c>
      <c r="N3683">
        <v>0</v>
      </c>
      <c r="O3683">
        <v>3.8647460000000001E-3</v>
      </c>
      <c r="P3683">
        <v>-0.99835479999999999</v>
      </c>
      <c r="Q3683">
        <v>2.1394940000000001E-2</v>
      </c>
      <c r="R3683">
        <v>5.3200610000000002E-2</v>
      </c>
      <c r="S3683">
        <v>-2.9767760000000001</v>
      </c>
      <c r="T3683">
        <v>-5.6393739999999998E-2</v>
      </c>
      <c r="U3683">
        <v>0.54711909999999997</v>
      </c>
      <c r="V3683">
        <v>4.9376129999999997E-2</v>
      </c>
      <c r="W3683">
        <v>3.5368040000000003E-2</v>
      </c>
      <c r="X3683">
        <v>0.99815390000000004</v>
      </c>
      <c r="Y3683">
        <v>0.17693519999999999</v>
      </c>
      <c r="Z3683">
        <v>1.589313E-3</v>
      </c>
      <c r="AA3683">
        <v>0.98422120000000002</v>
      </c>
      <c r="AB3683">
        <v>38</v>
      </c>
      <c r="AC3683">
        <v>-53.9667999999999</v>
      </c>
      <c r="AD3683">
        <v>-1.0292187500000001</v>
      </c>
      <c r="AE3683">
        <v>9.9834999999999905</v>
      </c>
      <c r="AF3683">
        <v>9.7714004909743899</v>
      </c>
      <c r="AG3683">
        <v>-1.0292187500000001</v>
      </c>
      <c r="AH3683">
        <v>53.9859985694073</v>
      </c>
      <c r="AI3683">
        <v>91.074727647600994</v>
      </c>
      <c r="AJ3683">
        <v>79.740605368243806</v>
      </c>
      <c r="AK3683">
        <v>54.872831167403902</v>
      </c>
      <c r="AL3683">
        <v>87.973137972158796</v>
      </c>
      <c r="AM3683">
        <v>87.168032248446806</v>
      </c>
      <c r="AN3683">
        <v>1.00000005427621</v>
      </c>
    </row>
    <row r="3684" spans="1:40" x14ac:dyDescent="0.25">
      <c r="A3684" t="str">
        <f>"20190312154630327"</f>
        <v>20190312154630327</v>
      </c>
      <c r="B3684" t="str">
        <f>"1552376790320760"</f>
        <v>1552376790320760</v>
      </c>
      <c r="C3684" t="s">
        <v>40</v>
      </c>
      <c r="D3684">
        <v>4.3309179999999996</v>
      </c>
      <c r="E3684">
        <v>0.54957869999999998</v>
      </c>
      <c r="F3684" t="s">
        <v>42</v>
      </c>
      <c r="G3684">
        <v>-333.98919999999998</v>
      </c>
      <c r="H3684">
        <v>7.998632E-2</v>
      </c>
      <c r="I3684">
        <v>150.29669999999999</v>
      </c>
      <c r="J3684">
        <v>-280.38799999999998</v>
      </c>
      <c r="K3684">
        <v>1.109232</v>
      </c>
      <c r="L3684">
        <v>140.34049999999999</v>
      </c>
      <c r="M3684">
        <v>-0.99988909999999998</v>
      </c>
      <c r="N3684">
        <v>0</v>
      </c>
      <c r="O3684">
        <v>4.4498020000000001E-3</v>
      </c>
      <c r="P3684">
        <v>-0.99838439999999995</v>
      </c>
      <c r="Q3684">
        <v>2.152658E-2</v>
      </c>
      <c r="R3684">
        <v>5.2588889999999999E-2</v>
      </c>
      <c r="S3684">
        <v>-2.9769899999999998</v>
      </c>
      <c r="T3684">
        <v>-5.654025E-2</v>
      </c>
      <c r="U3684">
        <v>0.54710389999999998</v>
      </c>
      <c r="V3684">
        <v>4.8180029999999999E-2</v>
      </c>
      <c r="W3684">
        <v>3.5677309999999997E-2</v>
      </c>
      <c r="X3684">
        <v>0.99820129999999996</v>
      </c>
      <c r="Y3684">
        <v>0.1763419</v>
      </c>
      <c r="Z3684">
        <v>1.576725E-3</v>
      </c>
      <c r="AA3684">
        <v>0.98432770000000003</v>
      </c>
      <c r="AB3684">
        <v>38</v>
      </c>
      <c r="AC3684">
        <v>-53.601199999999999</v>
      </c>
      <c r="AD3684">
        <v>-1.0292456800000001</v>
      </c>
      <c r="AE3684">
        <v>9.9561999999999902</v>
      </c>
      <c r="AF3684">
        <v>9.7141003236883208</v>
      </c>
      <c r="AG3684">
        <v>-1.0292456800000001</v>
      </c>
      <c r="AH3684">
        <v>53.625863663067904</v>
      </c>
      <c r="AI3684">
        <v>91.081943901692597</v>
      </c>
      <c r="AJ3684">
        <v>79.732449429672798</v>
      </c>
      <c r="AK3684">
        <v>54.508314460992402</v>
      </c>
      <c r="AL3684">
        <v>87.955406827250897</v>
      </c>
      <c r="AM3684">
        <v>87.236657920638706</v>
      </c>
      <c r="AN3684">
        <v>1.0000000105306599</v>
      </c>
    </row>
    <row r="3685" spans="1:40" x14ac:dyDescent="0.25">
      <c r="A3685" t="str">
        <f>"20190312154630350"</f>
        <v>20190312154630350</v>
      </c>
      <c r="B3685" t="str">
        <f>"1552376790341256"</f>
        <v>1552376790341256</v>
      </c>
      <c r="C3685" t="s">
        <v>40</v>
      </c>
      <c r="D3685">
        <v>4.3393290000000002</v>
      </c>
      <c r="E3685">
        <v>0.54977940000000003</v>
      </c>
      <c r="F3685" t="s">
        <v>42</v>
      </c>
      <c r="G3685">
        <v>-333.39940000000001</v>
      </c>
      <c r="H3685">
        <v>7.9986109999999999E-2</v>
      </c>
      <c r="I3685">
        <v>150.1054</v>
      </c>
      <c r="J3685">
        <v>-280.76569999999998</v>
      </c>
      <c r="K3685">
        <v>1.1092489999999999</v>
      </c>
      <c r="L3685">
        <v>140.3426</v>
      </c>
      <c r="M3685">
        <v>-0.99988589999999999</v>
      </c>
      <c r="N3685">
        <v>0</v>
      </c>
      <c r="O3685">
        <v>4.8255540000000001E-3</v>
      </c>
      <c r="P3685">
        <v>-0.99837019999999999</v>
      </c>
      <c r="Q3685">
        <v>2.1759049999999999E-2</v>
      </c>
      <c r="R3685">
        <v>5.275941E-2</v>
      </c>
      <c r="S3685">
        <v>-2.9772340000000002</v>
      </c>
      <c r="T3685">
        <v>-5.7804580000000001E-2</v>
      </c>
      <c r="U3685">
        <v>0.54841609999999996</v>
      </c>
      <c r="V3685">
        <v>4.797564E-2</v>
      </c>
      <c r="W3685">
        <v>3.6001829999999999E-2</v>
      </c>
      <c r="X3685">
        <v>0.99819950000000002</v>
      </c>
      <c r="Y3685">
        <v>0.1763759</v>
      </c>
      <c r="Z3685">
        <v>1.6048779999999999E-3</v>
      </c>
      <c r="AA3685">
        <v>0.98432160000000002</v>
      </c>
      <c r="AB3685">
        <v>38</v>
      </c>
      <c r="AC3685">
        <v>-52.633699999999997</v>
      </c>
      <c r="AD3685">
        <v>-1.02926289</v>
      </c>
      <c r="AE3685">
        <v>9.7628000000000004</v>
      </c>
      <c r="AF3685">
        <v>9.5051595868680501</v>
      </c>
      <c r="AG3685">
        <v>-1.02926289</v>
      </c>
      <c r="AH3685">
        <v>52.660734811673102</v>
      </c>
      <c r="AI3685">
        <v>91.101911523971495</v>
      </c>
      <c r="AJ3685">
        <v>79.768388450518202</v>
      </c>
      <c r="AK3685">
        <v>53.521588464599198</v>
      </c>
      <c r="AL3685">
        <v>87.936801262960699</v>
      </c>
      <c r="AM3685">
        <v>87.248357600084901</v>
      </c>
      <c r="AN3685">
        <v>1.0000000177985</v>
      </c>
    </row>
    <row r="3686" spans="1:40" x14ac:dyDescent="0.25">
      <c r="A3686" t="str">
        <f>"20190312154630372"</f>
        <v>20190312154630372</v>
      </c>
      <c r="B3686" t="str">
        <f>"1552376790360776"</f>
        <v>1552376790360776</v>
      </c>
      <c r="C3686" t="s">
        <v>40</v>
      </c>
      <c r="D3686">
        <v>4.3529479999999996</v>
      </c>
      <c r="E3686">
        <v>0.5499714</v>
      </c>
      <c r="F3686" t="s">
        <v>42</v>
      </c>
      <c r="G3686">
        <v>-333.47370000000001</v>
      </c>
      <c r="H3686">
        <v>7.9986139999999997E-2</v>
      </c>
      <c r="I3686">
        <v>150.0865</v>
      </c>
      <c r="J3686">
        <v>-281.1404</v>
      </c>
      <c r="K3686">
        <v>1.1092690000000001</v>
      </c>
      <c r="L3686">
        <v>140.34479999999999</v>
      </c>
      <c r="M3686">
        <v>-0.99988310000000002</v>
      </c>
      <c r="N3686">
        <v>0</v>
      </c>
      <c r="O3686">
        <v>5.1979970000000002E-3</v>
      </c>
      <c r="P3686">
        <v>-0.99835689999999999</v>
      </c>
      <c r="Q3686">
        <v>2.1820099999999999E-2</v>
      </c>
      <c r="R3686">
        <v>5.2988880000000002E-2</v>
      </c>
      <c r="S3686">
        <v>-2.9770509999999999</v>
      </c>
      <c r="T3686">
        <v>-5.8134789999999999E-2</v>
      </c>
      <c r="U3686">
        <v>0.55035400000000001</v>
      </c>
      <c r="V3686">
        <v>4.7833210000000001E-2</v>
      </c>
      <c r="W3686">
        <v>3.6141939999999997E-2</v>
      </c>
      <c r="X3686">
        <v>0.99820129999999996</v>
      </c>
      <c r="Y3686">
        <v>0.1766394</v>
      </c>
      <c r="Z3686">
        <v>1.6093870000000001E-3</v>
      </c>
      <c r="AA3686">
        <v>0.98427430000000005</v>
      </c>
      <c r="AB3686">
        <v>38</v>
      </c>
      <c r="AC3686">
        <v>-52.333300000000001</v>
      </c>
      <c r="AD3686">
        <v>-1.0292828599999999</v>
      </c>
      <c r="AE3686">
        <v>9.7416999999999998</v>
      </c>
      <c r="AF3686">
        <v>9.4659728678384703</v>
      </c>
      <c r="AG3686">
        <v>-1.0292828599999999</v>
      </c>
      <c r="AH3686">
        <v>52.363658263130802</v>
      </c>
      <c r="AI3686">
        <v>91.108129553167501</v>
      </c>
      <c r="AJ3686">
        <v>79.753092886799394</v>
      </c>
      <c r="AK3686">
        <v>53.222333397160398</v>
      </c>
      <c r="AL3686">
        <v>87.928768381108199</v>
      </c>
      <c r="AM3686">
        <v>87.256519111729006</v>
      </c>
      <c r="AN3686">
        <v>1.0000000455637701</v>
      </c>
    </row>
    <row r="3687" spans="1:40" x14ac:dyDescent="0.25">
      <c r="A3687" t="str">
        <f>"20190312154630392"</f>
        <v>20190312154630392</v>
      </c>
      <c r="B3687" t="str">
        <f>"1552376790381273"</f>
        <v>1552376790381273</v>
      </c>
      <c r="C3687" t="s">
        <v>40</v>
      </c>
      <c r="D3687">
        <v>4.3867719999999997</v>
      </c>
      <c r="E3687">
        <v>0.55012899999999998</v>
      </c>
      <c r="F3687" t="s">
        <v>42</v>
      </c>
      <c r="G3687">
        <v>-333.13529999999997</v>
      </c>
      <c r="H3687">
        <v>7.9986009999999996E-2</v>
      </c>
      <c r="I3687">
        <v>149.9973</v>
      </c>
      <c r="J3687">
        <v>-281.49340000000001</v>
      </c>
      <c r="K3687">
        <v>1.109291</v>
      </c>
      <c r="L3687">
        <v>140.34690000000001</v>
      </c>
      <c r="M3687">
        <v>-0.99988030000000006</v>
      </c>
      <c r="N3687">
        <v>0</v>
      </c>
      <c r="O3687">
        <v>5.5492629999999996E-3</v>
      </c>
      <c r="P3687">
        <v>-0.9983206</v>
      </c>
      <c r="Q3687">
        <v>2.249868E-2</v>
      </c>
      <c r="R3687">
        <v>5.3385370000000001E-2</v>
      </c>
      <c r="S3687">
        <v>-2.9768979999999998</v>
      </c>
      <c r="T3687">
        <v>-5.8930280000000002E-2</v>
      </c>
      <c r="U3687">
        <v>0.55264279999999999</v>
      </c>
      <c r="V3687">
        <v>4.7879690000000003E-2</v>
      </c>
      <c r="W3687">
        <v>3.6883390000000002E-2</v>
      </c>
      <c r="X3687">
        <v>0.9981719</v>
      </c>
      <c r="Y3687">
        <v>0.17703329999999901</v>
      </c>
      <c r="Z3687">
        <v>1.628347E-3</v>
      </c>
      <c r="AA3687">
        <v>0.98420350000000001</v>
      </c>
      <c r="AB3687">
        <v>38</v>
      </c>
      <c r="AC3687">
        <v>-51.6418999999999</v>
      </c>
      <c r="AD3687">
        <v>-1.02930499</v>
      </c>
      <c r="AE3687">
        <v>9.6503999999999905</v>
      </c>
      <c r="AF3687">
        <v>9.3600540201712104</v>
      </c>
      <c r="AG3687">
        <v>-1.02930499</v>
      </c>
      <c r="AH3687">
        <v>51.674826815712102</v>
      </c>
      <c r="AI3687">
        <v>91.1228506138998</v>
      </c>
      <c r="AJ3687">
        <v>79.733119497236004</v>
      </c>
      <c r="AK3687">
        <v>52.525782302187601</v>
      </c>
      <c r="AL3687">
        <v>87.886257974327293</v>
      </c>
      <c r="AM3687">
        <v>87.253776562619095</v>
      </c>
      <c r="AN3687">
        <v>0.99999999556099906</v>
      </c>
    </row>
    <row r="3688" spans="1:40" x14ac:dyDescent="0.25">
      <c r="A3688" t="str">
        <f>"20190312154630415"</f>
        <v>20190312154630415</v>
      </c>
      <c r="B3688" t="str">
        <f>"1552376790411528"</f>
        <v>1552376790411528</v>
      </c>
      <c r="C3688" t="s">
        <v>40</v>
      </c>
      <c r="D3688">
        <v>4.3801259999999997</v>
      </c>
      <c r="E3688">
        <v>0.55033269999999901</v>
      </c>
      <c r="F3688" t="s">
        <v>42</v>
      </c>
      <c r="G3688">
        <v>-334.64299999999997</v>
      </c>
      <c r="H3688">
        <v>7.9986550000000003E-2</v>
      </c>
      <c r="I3688">
        <v>150.2569</v>
      </c>
      <c r="J3688">
        <v>-281.87529999999998</v>
      </c>
      <c r="K3688">
        <v>1.1092959999999901</v>
      </c>
      <c r="L3688">
        <v>140.3494</v>
      </c>
      <c r="M3688">
        <v>-0.99987720000000002</v>
      </c>
      <c r="N3688">
        <v>0</v>
      </c>
      <c r="O3688">
        <v>5.9294040000000001E-3</v>
      </c>
      <c r="P3688">
        <v>-0.99827549999999998</v>
      </c>
      <c r="Q3688">
        <v>2.2698340000000001E-2</v>
      </c>
      <c r="R3688">
        <v>5.4138949999999998E-2</v>
      </c>
      <c r="S3688">
        <v>-2.9766539999999999</v>
      </c>
      <c r="T3688">
        <v>-5.7646389999999999E-2</v>
      </c>
      <c r="U3688">
        <v>0.5550079</v>
      </c>
      <c r="V3688">
        <v>4.8254270000000002E-2</v>
      </c>
      <c r="W3688">
        <v>3.7141670000000002E-2</v>
      </c>
      <c r="X3688">
        <v>0.99814429999999998</v>
      </c>
      <c r="Y3688">
        <v>0.1774309</v>
      </c>
      <c r="Z3688">
        <v>1.589411E-3</v>
      </c>
      <c r="AA3688">
        <v>0.98413200000000001</v>
      </c>
      <c r="AB3688">
        <v>38</v>
      </c>
      <c r="AC3688">
        <v>-52.767699999999998</v>
      </c>
      <c r="AD3688">
        <v>-1.02930944999999</v>
      </c>
      <c r="AE3688">
        <v>9.9075000000000006</v>
      </c>
      <c r="AF3688">
        <v>9.5908867906545794</v>
      </c>
      <c r="AG3688">
        <v>-1.02930944999999</v>
      </c>
      <c r="AH3688">
        <v>52.806115383191297</v>
      </c>
      <c r="AI3688">
        <v>91.098711337387599</v>
      </c>
      <c r="AJ3688">
        <v>79.705893326692802</v>
      </c>
      <c r="AK3688">
        <v>53.679888312457599</v>
      </c>
      <c r="AL3688">
        <v>87.871449506239898</v>
      </c>
      <c r="AM3688">
        <v>87.232248736463205</v>
      </c>
      <c r="AN3688">
        <v>1.00000001092305</v>
      </c>
    </row>
    <row r="3689" spans="1:40" x14ac:dyDescent="0.25">
      <c r="A3689" t="str">
        <f>"20190312154630437"</f>
        <v>20190312154630437</v>
      </c>
      <c r="B3689" t="str">
        <f>"1552376790431049"</f>
        <v>1552376790431049</v>
      </c>
      <c r="C3689" t="s">
        <v>40</v>
      </c>
      <c r="D3689">
        <v>4.3660360000000003</v>
      </c>
      <c r="E3689">
        <v>0.55049059999999905</v>
      </c>
      <c r="F3689" t="s">
        <v>42</v>
      </c>
      <c r="G3689">
        <v>-334.79300000000001</v>
      </c>
      <c r="H3689">
        <v>7.9986600000000005E-2</v>
      </c>
      <c r="I3689">
        <v>150.28620000000001</v>
      </c>
      <c r="J3689">
        <v>-282.24720000000002</v>
      </c>
      <c r="K3689">
        <v>1.109305</v>
      </c>
      <c r="L3689">
        <v>140.352</v>
      </c>
      <c r="M3689">
        <v>-0.99987420000000005</v>
      </c>
      <c r="N3689">
        <v>0</v>
      </c>
      <c r="O3689">
        <v>6.2993019999999997E-3</v>
      </c>
      <c r="P3689">
        <v>-0.99824420000000003</v>
      </c>
      <c r="Q3689">
        <v>2.2739140000000001E-2</v>
      </c>
      <c r="R3689">
        <v>5.4695069999999998E-2</v>
      </c>
      <c r="S3689">
        <v>-2.9762270000000002</v>
      </c>
      <c r="T3689">
        <v>-5.789101E-2</v>
      </c>
      <c r="U3689">
        <v>0.55886840000000004</v>
      </c>
      <c r="V3689">
        <v>4.8441089999999999E-2</v>
      </c>
      <c r="W3689">
        <v>3.7230770000000003E-2</v>
      </c>
      <c r="X3689">
        <v>0.99813189999999996</v>
      </c>
      <c r="Y3689">
        <v>0.17832509999999999</v>
      </c>
      <c r="Z3689">
        <v>1.59768E-3</v>
      </c>
      <c r="AA3689">
        <v>0.98397029999999996</v>
      </c>
      <c r="AB3689">
        <v>38</v>
      </c>
      <c r="AC3689">
        <v>-52.5457999999999</v>
      </c>
      <c r="AD3689">
        <v>-1.0293184</v>
      </c>
      <c r="AE3689">
        <v>9.9342000000000006</v>
      </c>
      <c r="AF3689">
        <v>9.5994094727327397</v>
      </c>
      <c r="AG3689">
        <v>-1.0293184</v>
      </c>
      <c r="AH3689">
        <v>52.587859333890798</v>
      </c>
      <c r="AI3689">
        <v>91.103101775221901</v>
      </c>
      <c r="AJ3689">
        <v>79.655102109511802</v>
      </c>
      <c r="AK3689">
        <v>53.4667289808798</v>
      </c>
      <c r="AL3689">
        <v>87.866340852173494</v>
      </c>
      <c r="AM3689">
        <v>87.221515476946706</v>
      </c>
      <c r="AN3689">
        <v>0.99999997961639497</v>
      </c>
    </row>
    <row r="3690" spans="1:40" x14ac:dyDescent="0.25">
      <c r="A3690" t="str">
        <f>"20190312154630460"</f>
        <v>20190312154630460</v>
      </c>
      <c r="B3690" t="str">
        <f>"1552376790451545"</f>
        <v>1552376790451545</v>
      </c>
      <c r="C3690" t="s">
        <v>40</v>
      </c>
      <c r="D3690">
        <v>4.6070549999999999</v>
      </c>
      <c r="E3690">
        <v>0.55066780000000004</v>
      </c>
      <c r="F3690" t="s">
        <v>42</v>
      </c>
      <c r="G3690">
        <v>-335.0376</v>
      </c>
      <c r="H3690">
        <v>7.9985210000000001E-2</v>
      </c>
      <c r="I3690">
        <v>150.31809999999999</v>
      </c>
      <c r="J3690">
        <v>-282.61380000000003</v>
      </c>
      <c r="K3690">
        <v>1.109324</v>
      </c>
      <c r="L3690">
        <v>140.3546</v>
      </c>
      <c r="M3690">
        <v>-0.99987130000000002</v>
      </c>
      <c r="N3690">
        <v>0</v>
      </c>
      <c r="O3690">
        <v>6.6641269999999997E-3</v>
      </c>
      <c r="P3690">
        <v>-0.99821029999999999</v>
      </c>
      <c r="Q3690">
        <v>2.323675E-2</v>
      </c>
      <c r="R3690">
        <v>5.5107150000000001E-2</v>
      </c>
      <c r="S3690">
        <v>-2.9757690000000001</v>
      </c>
      <c r="T3690">
        <v>-5.8022259999999999E-2</v>
      </c>
      <c r="U3690">
        <v>0.56178280000000003</v>
      </c>
      <c r="V3690">
        <v>4.8489520000000001E-2</v>
      </c>
      <c r="W3690">
        <v>3.7769690000000002E-2</v>
      </c>
      <c r="X3690">
        <v>0.99810929999999998</v>
      </c>
      <c r="Y3690">
        <v>0.1789241</v>
      </c>
      <c r="Z3690">
        <v>1.6001380000000001E-3</v>
      </c>
      <c r="AA3690">
        <v>0.9838616</v>
      </c>
      <c r="AB3690">
        <v>38</v>
      </c>
      <c r="AC3690">
        <v>-52.4237999999999</v>
      </c>
      <c r="AD3690">
        <v>-1.0293387899999999</v>
      </c>
      <c r="AE3690">
        <v>9.9634999999999803</v>
      </c>
      <c r="AF3690">
        <v>9.6103067320803692</v>
      </c>
      <c r="AG3690">
        <v>-1.0293387899999999</v>
      </c>
      <c r="AH3690">
        <v>52.469517328284098</v>
      </c>
      <c r="AI3690">
        <v>91.105489906849201</v>
      </c>
      <c r="AJ3690">
        <v>79.620761432559902</v>
      </c>
      <c r="AK3690">
        <v>53.352298755464801</v>
      </c>
      <c r="AL3690">
        <v>87.835441273922996</v>
      </c>
      <c r="AM3690">
        <v>87.218679111377796</v>
      </c>
      <c r="AN3690">
        <v>0.99999997888950798</v>
      </c>
    </row>
    <row r="3691" spans="1:40" x14ac:dyDescent="0.25">
      <c r="A3691" t="str">
        <f>"20190312154630482"</f>
        <v>20190312154630482</v>
      </c>
      <c r="B3691" t="str">
        <f>"1552376790471064"</f>
        <v>1552376790471064</v>
      </c>
      <c r="C3691" t="s">
        <v>40</v>
      </c>
      <c r="D3691">
        <v>4.4166840000000001</v>
      </c>
      <c r="E3691">
        <v>0.55082900000000001</v>
      </c>
      <c r="F3691" t="s">
        <v>42</v>
      </c>
      <c r="G3691">
        <v>-336.4452</v>
      </c>
      <c r="H3691">
        <v>7.9985680000000003E-2</v>
      </c>
      <c r="I3691">
        <v>150.56489999999999</v>
      </c>
      <c r="J3691">
        <v>-283.00020000000001</v>
      </c>
      <c r="K3691">
        <v>1.10934</v>
      </c>
      <c r="L3691">
        <v>140.35759999999999</v>
      </c>
      <c r="M3691">
        <v>-0.99986799999999998</v>
      </c>
      <c r="N3691">
        <v>0</v>
      </c>
      <c r="O3691">
        <v>7.0488850000000004E-3</v>
      </c>
      <c r="P3691">
        <v>-0.99816039999999995</v>
      </c>
      <c r="Q3691">
        <v>2.4237390000000001E-2</v>
      </c>
      <c r="R3691">
        <v>5.5574409999999998E-2</v>
      </c>
      <c r="S3691">
        <v>-2.9755549999999999</v>
      </c>
      <c r="T3691">
        <v>-5.6897160000000002E-2</v>
      </c>
      <c r="U3691">
        <v>0.56437680000000001</v>
      </c>
      <c r="V3691">
        <v>4.8573680000000001E-2</v>
      </c>
      <c r="W3691">
        <v>3.8806529999999999E-2</v>
      </c>
      <c r="X3691">
        <v>0.99806550000000005</v>
      </c>
      <c r="Y3691">
        <v>0.17938760000000001</v>
      </c>
      <c r="Z3691">
        <v>1.566203E-3</v>
      </c>
      <c r="AA3691">
        <v>0.98377720000000002</v>
      </c>
      <c r="AB3691">
        <v>37</v>
      </c>
      <c r="AC3691">
        <v>-53.444999999999901</v>
      </c>
      <c r="AD3691">
        <v>-1.0293543199999999</v>
      </c>
      <c r="AE3691">
        <v>10.2073</v>
      </c>
      <c r="AF3691">
        <v>9.8267613730369892</v>
      </c>
      <c r="AG3691">
        <v>-1.0293543199999999</v>
      </c>
      <c r="AH3691">
        <v>53.496483582373898</v>
      </c>
      <c r="AI3691">
        <v>91.084187448158502</v>
      </c>
      <c r="AJ3691">
        <v>79.591380439329001</v>
      </c>
      <c r="AK3691">
        <v>54.401273561175998</v>
      </c>
      <c r="AL3691">
        <v>87.775991270346594</v>
      </c>
      <c r="AM3691">
        <v>87.213737282593698</v>
      </c>
      <c r="AN3691">
        <v>1.0000000457248099</v>
      </c>
    </row>
    <row r="3692" spans="1:40" x14ac:dyDescent="0.25">
      <c r="A3692" t="str">
        <f>"20190312154630506"</f>
        <v>20190312154630506</v>
      </c>
      <c r="B3692" t="str">
        <f>"1552376790491561"</f>
        <v>1552376790491561</v>
      </c>
      <c r="C3692" t="s">
        <v>40</v>
      </c>
      <c r="D3692">
        <v>4.4142429999999999</v>
      </c>
      <c r="E3692">
        <v>0.55096000000000001</v>
      </c>
      <c r="F3692" t="s">
        <v>42</v>
      </c>
      <c r="G3692">
        <v>-339.09679999999997</v>
      </c>
      <c r="H3692">
        <v>7.998661E-2</v>
      </c>
      <c r="I3692">
        <v>151.05009999999999</v>
      </c>
      <c r="J3692">
        <v>-283.38240000000002</v>
      </c>
      <c r="K3692">
        <v>1.1093550000000001</v>
      </c>
      <c r="L3692">
        <v>140.36070000000001</v>
      </c>
      <c r="M3692">
        <v>-0.9998648</v>
      </c>
      <c r="N3692">
        <v>0</v>
      </c>
      <c r="O3692">
        <v>7.42975199999999E-3</v>
      </c>
      <c r="P3692">
        <v>-0.99812639999999997</v>
      </c>
      <c r="Q3692">
        <v>2.407573E-2</v>
      </c>
      <c r="R3692">
        <v>5.6248640000000003E-2</v>
      </c>
      <c r="S3692">
        <v>-2.97525</v>
      </c>
      <c r="T3692">
        <v>-5.4594759999999999E-2</v>
      </c>
      <c r="U3692">
        <v>0.56710819999999995</v>
      </c>
      <c r="V3692">
        <v>4.886749E-2</v>
      </c>
      <c r="W3692">
        <v>3.8675029999999999E-2</v>
      </c>
      <c r="X3692">
        <v>0.99805619999999995</v>
      </c>
      <c r="Y3692">
        <v>0.17990529999999999</v>
      </c>
      <c r="Z3692">
        <v>1.5006419999999999E-3</v>
      </c>
      <c r="AA3692">
        <v>0.98368279999999997</v>
      </c>
      <c r="AB3692">
        <v>37</v>
      </c>
      <c r="AC3692">
        <v>-55.714399999999898</v>
      </c>
      <c r="AD3692">
        <v>-1.0293683899999999</v>
      </c>
      <c r="AE3692">
        <v>10.6893999999999</v>
      </c>
      <c r="AF3692">
        <v>10.2717343551104</v>
      </c>
      <c r="AG3692">
        <v>-1.0293683899999999</v>
      </c>
      <c r="AH3692">
        <v>55.773927247495301</v>
      </c>
      <c r="AI3692">
        <v>91.039852125654804</v>
      </c>
      <c r="AJ3692">
        <v>79.564919309756206</v>
      </c>
      <c r="AK3692">
        <v>56.721240171149198</v>
      </c>
      <c r="AL3692">
        <v>87.783531188366695</v>
      </c>
      <c r="AM3692">
        <v>87.196884599475297</v>
      </c>
      <c r="AN3692">
        <v>0.99999998394141998</v>
      </c>
    </row>
    <row r="3693" spans="1:40" x14ac:dyDescent="0.25">
      <c r="A3693" t="str">
        <f>"20190312154630529"</f>
        <v>20190312154630529</v>
      </c>
      <c r="B3693" t="str">
        <f>"1552376790520840"</f>
        <v>1552376790520840</v>
      </c>
      <c r="C3693" t="s">
        <v>40</v>
      </c>
      <c r="D3693">
        <v>4.4481780000000004</v>
      </c>
      <c r="E3693">
        <v>0.5578495</v>
      </c>
      <c r="F3693" t="s">
        <v>42</v>
      </c>
      <c r="G3693">
        <v>-338.20670000000001</v>
      </c>
      <c r="H3693">
        <v>7.9986299999999996E-2</v>
      </c>
      <c r="I3693">
        <v>150.86689999999999</v>
      </c>
      <c r="J3693">
        <v>-283.77300000000002</v>
      </c>
      <c r="K3693">
        <v>1.109362</v>
      </c>
      <c r="L3693">
        <v>140.3639</v>
      </c>
      <c r="M3693">
        <v>-0.99986149999999996</v>
      </c>
      <c r="N3693">
        <v>0</v>
      </c>
      <c r="O3693">
        <v>7.8189920000000003E-3</v>
      </c>
      <c r="P3693">
        <v>-0.99812069999999997</v>
      </c>
      <c r="Q3693">
        <v>2.4338129999999999E-2</v>
      </c>
      <c r="R3693">
        <v>5.6239299999999999E-2</v>
      </c>
      <c r="S3693">
        <v>-2.9748540000000001</v>
      </c>
      <c r="T3693">
        <v>-5.5855149999999999E-2</v>
      </c>
      <c r="U3693">
        <v>0.57008359999999902</v>
      </c>
      <c r="V3693">
        <v>4.8469650000000003E-2</v>
      </c>
      <c r="W3693">
        <v>3.8963770000000002E-2</v>
      </c>
      <c r="X3693">
        <v>0.99806439999999996</v>
      </c>
      <c r="Y3693">
        <v>0.1804943</v>
      </c>
      <c r="Z3693">
        <v>1.533579E-3</v>
      </c>
      <c r="AA3693">
        <v>0.98357479999999997</v>
      </c>
      <c r="AB3693">
        <v>37</v>
      </c>
      <c r="AC3693">
        <v>-54.433700000000002</v>
      </c>
      <c r="AD3693">
        <v>-1.0293756999999999</v>
      </c>
      <c r="AE3693">
        <v>10.502999999999901</v>
      </c>
      <c r="AF3693">
        <v>10.0735431444032</v>
      </c>
      <c r="AG3693">
        <v>-1.0293756999999999</v>
      </c>
      <c r="AH3693">
        <v>54.495378703425203</v>
      </c>
      <c r="AI3693">
        <v>91.064120868893596</v>
      </c>
      <c r="AJ3693">
        <v>79.527018441053102</v>
      </c>
      <c r="AK3693">
        <v>55.428171409885401</v>
      </c>
      <c r="AL3693">
        <v>87.766975193569095</v>
      </c>
      <c r="AM3693">
        <v>87.219692174427095</v>
      </c>
      <c r="AN3693">
        <v>1.0000000144455401</v>
      </c>
    </row>
    <row r="3694" spans="1:40" x14ac:dyDescent="0.25">
      <c r="A3694" t="str">
        <f>"20190312154630554"</f>
        <v>20190312154630554</v>
      </c>
      <c r="B3694" t="str">
        <f>"1552376790541337"</f>
        <v>1552376790541337</v>
      </c>
      <c r="C3694" t="s">
        <v>40</v>
      </c>
      <c r="D3694">
        <v>4.4451589999999896</v>
      </c>
      <c r="E3694">
        <v>0.55767999999999995</v>
      </c>
      <c r="F3694" t="s">
        <v>42</v>
      </c>
      <c r="G3694">
        <v>-324.53829999999999</v>
      </c>
      <c r="H3694" s="1">
        <v>-4.3823109999999996E-6</v>
      </c>
      <c r="I3694">
        <v>148.9222</v>
      </c>
      <c r="J3694">
        <v>-284.16930000000002</v>
      </c>
      <c r="K3694">
        <v>1.10937</v>
      </c>
      <c r="L3694">
        <v>140.3674</v>
      </c>
      <c r="M3694">
        <v>-0.99985809999999997</v>
      </c>
      <c r="N3694">
        <v>0</v>
      </c>
      <c r="O3694">
        <v>8.2142199999999995E-3</v>
      </c>
      <c r="P3694">
        <v>-0.998108</v>
      </c>
      <c r="Q3694">
        <v>2.4506819999999999E-2</v>
      </c>
      <c r="R3694">
        <v>5.6391599999999903E-2</v>
      </c>
      <c r="S3694">
        <v>-2.9724430000000002</v>
      </c>
      <c r="T3694">
        <v>-8.0890660000000003E-2</v>
      </c>
      <c r="U3694">
        <v>0.62403869999999995</v>
      </c>
      <c r="V3694">
        <v>4.822738E-2</v>
      </c>
      <c r="W3694">
        <v>3.9155780000000001E-2</v>
      </c>
      <c r="X3694">
        <v>0.99806859999999997</v>
      </c>
      <c r="Y3694">
        <v>0.19734850000000001</v>
      </c>
      <c r="Z3694">
        <v>2.4347819999999999E-3</v>
      </c>
      <c r="AA3694">
        <v>0.98033029999999999</v>
      </c>
      <c r="AB3694">
        <v>37</v>
      </c>
      <c r="AC3694">
        <v>-40.3689999999999</v>
      </c>
      <c r="AD3694">
        <v>-1.1093743823109901</v>
      </c>
      <c r="AE3694">
        <v>8.5548000000000002</v>
      </c>
      <c r="AF3694">
        <v>8.21693689449455</v>
      </c>
      <c r="AG3694">
        <v>-1.1093743823109901</v>
      </c>
      <c r="AH3694">
        <v>40.408711374611499</v>
      </c>
      <c r="AI3694">
        <v>91.541071430231</v>
      </c>
      <c r="AJ3694">
        <v>78.505866150617706</v>
      </c>
      <c r="AK3694">
        <v>41.2506087034469</v>
      </c>
      <c r="AL3694">
        <v>87.7559653806657</v>
      </c>
      <c r="AM3694">
        <v>87.233579205754495</v>
      </c>
      <c r="AN3694">
        <v>0.99999999279751595</v>
      </c>
    </row>
    <row r="3695" spans="1:40" x14ac:dyDescent="0.25">
      <c r="A3695" t="str">
        <f>"20190312154630579"</f>
        <v>20190312154630579</v>
      </c>
      <c r="B3695" t="str">
        <f>"1552376790571592"</f>
        <v>1552376790571592</v>
      </c>
      <c r="C3695" t="s">
        <v>40</v>
      </c>
      <c r="D3695">
        <v>4.4381209999999998</v>
      </c>
      <c r="E3695">
        <v>0.55755500000000002</v>
      </c>
      <c r="F3695" t="s">
        <v>42</v>
      </c>
      <c r="G3695">
        <v>-324.5693</v>
      </c>
      <c r="H3695" s="1">
        <v>-4.3566739999999999E-6</v>
      </c>
      <c r="I3695">
        <v>148.83709999999999</v>
      </c>
      <c r="J3695">
        <v>-284.596</v>
      </c>
      <c r="K3695">
        <v>1.109381</v>
      </c>
      <c r="L3695">
        <v>140.37139999999999</v>
      </c>
      <c r="M3695">
        <v>-0.99985409999999997</v>
      </c>
      <c r="N3695">
        <v>0</v>
      </c>
      <c r="O3695">
        <v>8.6399819999999992E-3</v>
      </c>
      <c r="P3695">
        <v>-0.99807270000000003</v>
      </c>
      <c r="Q3695">
        <v>2.560086E-2</v>
      </c>
      <c r="R3695">
        <v>5.652807E-2</v>
      </c>
      <c r="S3695">
        <v>-2.9724729999999999</v>
      </c>
      <c r="T3695">
        <v>-8.1623550000000003E-2</v>
      </c>
      <c r="U3695">
        <v>0.62316890000000003</v>
      </c>
      <c r="V3695">
        <v>4.7939959999999997E-2</v>
      </c>
      <c r="W3695">
        <v>4.02688E-2</v>
      </c>
      <c r="X3695">
        <v>0.99803819999999999</v>
      </c>
      <c r="Y3695">
        <v>0.19665340000000001</v>
      </c>
      <c r="Z3695">
        <v>2.4358840000000001E-3</v>
      </c>
      <c r="AA3695">
        <v>0.98047010000000001</v>
      </c>
      <c r="AB3695">
        <v>37</v>
      </c>
      <c r="AC3695">
        <v>-39.973300000000002</v>
      </c>
      <c r="AD3695">
        <v>-1.109385356674</v>
      </c>
      <c r="AE3695">
        <v>8.4656999999999893</v>
      </c>
      <c r="AF3695">
        <v>8.1139964270358007</v>
      </c>
      <c r="AG3695">
        <v>-1.109385356674</v>
      </c>
      <c r="AH3695">
        <v>40.015460746427202</v>
      </c>
      <c r="AI3695">
        <v>91.556398406775003</v>
      </c>
      <c r="AJ3695">
        <v>78.537459515615396</v>
      </c>
      <c r="AK3695">
        <v>40.844886737955399</v>
      </c>
      <c r="AL3695">
        <v>87.692143774312996</v>
      </c>
      <c r="AM3695">
        <v>87.249957184500104</v>
      </c>
      <c r="AN3695">
        <v>1.0000000323387399</v>
      </c>
    </row>
    <row r="3696" spans="1:40" x14ac:dyDescent="0.25">
      <c r="A3696" t="str">
        <f>"20190312154630617"</f>
        <v>20190312154630617</v>
      </c>
      <c r="B3696" t="str">
        <f>"1552376790611609"</f>
        <v>1552376790611609</v>
      </c>
      <c r="C3696" t="s">
        <v>40</v>
      </c>
      <c r="D3696">
        <v>4.4726229999999996</v>
      </c>
      <c r="E3696">
        <v>0.55713459999999904</v>
      </c>
      <c r="F3696" t="s">
        <v>42</v>
      </c>
      <c r="G3696">
        <v>-326.64449999999999</v>
      </c>
      <c r="H3696" s="1">
        <v>-3.7107619999999999E-6</v>
      </c>
      <c r="I3696">
        <v>149.17689999999999</v>
      </c>
      <c r="J3696">
        <v>-285.23169999999999</v>
      </c>
      <c r="K3696">
        <v>1.1094010000000001</v>
      </c>
      <c r="L3696">
        <v>140.3775</v>
      </c>
      <c r="M3696">
        <v>-0.99984819999999996</v>
      </c>
      <c r="N3696">
        <v>0</v>
      </c>
      <c r="O3696">
        <v>9.2743229999999992E-3</v>
      </c>
      <c r="P3696">
        <v>-0.99804809999999999</v>
      </c>
      <c r="Q3696">
        <v>2.5591869999999999E-2</v>
      </c>
      <c r="R3696">
        <v>5.6968129999999999E-2</v>
      </c>
      <c r="S3696">
        <v>-2.972534</v>
      </c>
      <c r="T3696">
        <v>-7.8425880000000003E-2</v>
      </c>
      <c r="U3696">
        <v>0.62249759999999998</v>
      </c>
      <c r="V3696">
        <v>4.7746669999999998E-2</v>
      </c>
      <c r="W3696">
        <v>4.0282619999999998E-2</v>
      </c>
      <c r="X3696">
        <v>0.99804689999999996</v>
      </c>
      <c r="Y3696">
        <v>0.19582079999999999</v>
      </c>
      <c r="Z3696">
        <v>2.3130830000000001E-3</v>
      </c>
      <c r="AA3696">
        <v>0.98063699999999998</v>
      </c>
      <c r="AB3696">
        <v>37</v>
      </c>
      <c r="AC3696">
        <v>-41.412799999999997</v>
      </c>
      <c r="AD3696">
        <v>-1.109404710762</v>
      </c>
      <c r="AE3696">
        <v>8.7993999999999897</v>
      </c>
      <c r="AF3696">
        <v>8.4091299088682003</v>
      </c>
      <c r="AG3696">
        <v>-1.109404710762</v>
      </c>
      <c r="AH3696">
        <v>41.464164693881102</v>
      </c>
      <c r="AI3696">
        <v>91.502061710881193</v>
      </c>
      <c r="AJ3696">
        <v>78.535631173608493</v>
      </c>
      <c r="AK3696">
        <v>42.322821248090001</v>
      </c>
      <c r="AL3696">
        <v>87.691351285055006</v>
      </c>
      <c r="AM3696">
        <v>87.261052052954298</v>
      </c>
      <c r="AN3696">
        <v>1.0000000242848801</v>
      </c>
    </row>
    <row r="3697" spans="1:40" x14ac:dyDescent="0.25">
      <c r="A3697" t="str">
        <f>"20190312154630637"</f>
        <v>20190312154630637</v>
      </c>
      <c r="B3697" t="str">
        <f>"1552376790631128"</f>
        <v>1552376790631128</v>
      </c>
      <c r="C3697" t="s">
        <v>40</v>
      </c>
      <c r="D3697">
        <v>4.4344710000000003</v>
      </c>
      <c r="E3697">
        <v>0.55709940000000002</v>
      </c>
      <c r="F3697" t="s">
        <v>42</v>
      </c>
      <c r="G3697">
        <v>-325.72680000000003</v>
      </c>
      <c r="H3697" s="1">
        <v>-3.9616299999999999E-6</v>
      </c>
      <c r="I3697">
        <v>148.83070000000001</v>
      </c>
      <c r="J3697">
        <v>-285.59589999999997</v>
      </c>
      <c r="K3697">
        <v>1.1094040000000001</v>
      </c>
      <c r="L3697">
        <v>140.38130000000001</v>
      </c>
      <c r="M3697">
        <v>-0.99984459999999997</v>
      </c>
      <c r="N3697">
        <v>0</v>
      </c>
      <c r="O3697">
        <v>9.6379289999999999E-3</v>
      </c>
      <c r="P3697">
        <v>-0.99805580000000005</v>
      </c>
      <c r="Q3697">
        <v>2.5157390000000002E-2</v>
      </c>
      <c r="R3697">
        <v>5.702658E-2</v>
      </c>
      <c r="S3697">
        <v>-2.9725649999999999</v>
      </c>
      <c r="T3697">
        <v>-8.1436510000000004E-2</v>
      </c>
      <c r="U3697">
        <v>0.62051389999999995</v>
      </c>
      <c r="V3697">
        <v>4.7441480000000001E-2</v>
      </c>
      <c r="W3697">
        <v>3.985905E-2</v>
      </c>
      <c r="X3697">
        <v>0.99807840000000003</v>
      </c>
      <c r="Y3697">
        <v>0.1948307</v>
      </c>
      <c r="Z3697">
        <v>2.37872E-3</v>
      </c>
      <c r="AA3697">
        <v>0.98083399999999998</v>
      </c>
      <c r="AB3697">
        <v>37</v>
      </c>
      <c r="AC3697">
        <v>-40.130899999999997</v>
      </c>
      <c r="AD3697">
        <v>-1.1094079616299899</v>
      </c>
      <c r="AE3697">
        <v>8.44939999999999</v>
      </c>
      <c r="AF3697">
        <v>8.0562910430412096</v>
      </c>
      <c r="AG3697">
        <v>-1.1094079616299899</v>
      </c>
      <c r="AH3697">
        <v>40.181075111925097</v>
      </c>
      <c r="AI3697">
        <v>91.5507002328673</v>
      </c>
      <c r="AJ3697">
        <v>78.662544028889599</v>
      </c>
      <c r="AK3697">
        <v>40.995773057056503</v>
      </c>
      <c r="AL3697">
        <v>87.715639430313701</v>
      </c>
      <c r="AM3697">
        <v>87.278618380815502</v>
      </c>
      <c r="AN3697">
        <v>0.99999996521902501</v>
      </c>
    </row>
    <row r="3698" spans="1:40" x14ac:dyDescent="0.25">
      <c r="A3698" t="str">
        <f>"20190312154630660"</f>
        <v>20190312154630660</v>
      </c>
      <c r="B3698" t="str">
        <f>"1552376790651625"</f>
        <v>1552376790651625</v>
      </c>
      <c r="C3698" t="s">
        <v>40</v>
      </c>
      <c r="D3698">
        <v>4.5794730000000001</v>
      </c>
      <c r="E3698">
        <v>0.53948989999999997</v>
      </c>
      <c r="F3698" t="s">
        <v>42</v>
      </c>
      <c r="G3698">
        <v>-325.36329999999998</v>
      </c>
      <c r="H3698" s="1">
        <v>-4.0586730000000001E-6</v>
      </c>
      <c r="I3698">
        <v>148.68039999999999</v>
      </c>
      <c r="J3698">
        <v>-285.96589999999998</v>
      </c>
      <c r="K3698">
        <v>1.109405</v>
      </c>
      <c r="L3698">
        <v>140.3852</v>
      </c>
      <c r="M3698">
        <v>-0.99984070000000003</v>
      </c>
      <c r="N3698">
        <v>0</v>
      </c>
      <c r="O3698">
        <v>1.0007449999999999E-2</v>
      </c>
      <c r="P3698">
        <v>-0.99803929999999996</v>
      </c>
      <c r="Q3698">
        <v>2.4483810000000002E-2</v>
      </c>
      <c r="R3698">
        <v>5.7602319999999999E-2</v>
      </c>
      <c r="S3698">
        <v>-2.972534</v>
      </c>
      <c r="T3698">
        <v>-8.2926269999999996E-2</v>
      </c>
      <c r="U3698">
        <v>0.62034609999999901</v>
      </c>
      <c r="V3698">
        <v>4.7647630000000003E-2</v>
      </c>
      <c r="W3698">
        <v>3.9193909999999998E-2</v>
      </c>
      <c r="X3698">
        <v>0.99809499999999995</v>
      </c>
      <c r="Y3698">
        <v>0.194415</v>
      </c>
      <c r="Z3698">
        <v>2.4063280000000001E-3</v>
      </c>
      <c r="AA3698">
        <v>0.98091640000000002</v>
      </c>
      <c r="AB3698">
        <v>37</v>
      </c>
      <c r="AC3698">
        <v>-39.397399999999998</v>
      </c>
      <c r="AD3698">
        <v>-1.1094090586730001</v>
      </c>
      <c r="AE3698">
        <v>8.2951999999999906</v>
      </c>
      <c r="AF3698">
        <v>7.8944797171668499</v>
      </c>
      <c r="AG3698">
        <v>-1.1094090586730001</v>
      </c>
      <c r="AH3698">
        <v>39.4484965953014</v>
      </c>
      <c r="AI3698">
        <v>91.579599692363601</v>
      </c>
      <c r="AJ3698">
        <v>78.683391580527001</v>
      </c>
      <c r="AK3698">
        <v>40.2459623079599</v>
      </c>
      <c r="AL3698">
        <v>87.7537791296118</v>
      </c>
      <c r="AM3698">
        <v>87.266856297276405</v>
      </c>
      <c r="AN3698">
        <v>1.00000004412535</v>
      </c>
    </row>
    <row r="3699" spans="1:40" x14ac:dyDescent="0.25">
      <c r="A3699" t="str">
        <f>"20190312154630682"</f>
        <v>20190312154630682</v>
      </c>
      <c r="B3699" t="str">
        <f>"1552376790671145"</f>
        <v>1552376790671145</v>
      </c>
      <c r="C3699" t="s">
        <v>40</v>
      </c>
      <c r="D3699">
        <v>4.459581</v>
      </c>
      <c r="E3699">
        <v>0.52023819999999998</v>
      </c>
      <c r="F3699" t="s">
        <v>42</v>
      </c>
      <c r="G3699">
        <v>-342.93400000000003</v>
      </c>
      <c r="H3699">
        <v>4.2486000000000003E-2</v>
      </c>
      <c r="I3699">
        <v>149.6163</v>
      </c>
      <c r="J3699">
        <v>-286.33300000000003</v>
      </c>
      <c r="K3699">
        <v>1.1094079999999999</v>
      </c>
      <c r="L3699">
        <v>140.38919999999999</v>
      </c>
      <c r="M3699">
        <v>-0.99983699999999998</v>
      </c>
      <c r="N3699">
        <v>0</v>
      </c>
      <c r="O3699">
        <v>1.037418E-2</v>
      </c>
      <c r="P3699">
        <v>-0.99801779999999995</v>
      </c>
      <c r="Q3699">
        <v>2.448465E-2</v>
      </c>
      <c r="R3699">
        <v>5.7975029999999997E-2</v>
      </c>
      <c r="S3699">
        <v>-2.9794010000000002</v>
      </c>
      <c r="T3699">
        <v>-5.5799370000000001E-2</v>
      </c>
      <c r="U3699">
        <v>0.4827881</v>
      </c>
      <c r="V3699">
        <v>4.765407E-2</v>
      </c>
      <c r="W3699">
        <v>3.920154E-2</v>
      </c>
      <c r="X3699">
        <v>0.99809429999999999</v>
      </c>
      <c r="Y3699">
        <v>0.1496815</v>
      </c>
      <c r="Z3699">
        <v>1.1994499999999999E-3</v>
      </c>
      <c r="AA3699">
        <v>0.98873350000000004</v>
      </c>
      <c r="AB3699">
        <v>37</v>
      </c>
      <c r="AC3699">
        <v>-56.600999999999999</v>
      </c>
      <c r="AD3699">
        <v>-1.0669219999999999</v>
      </c>
      <c r="AE3699">
        <v>9.2271000000000001</v>
      </c>
      <c r="AF3699">
        <v>8.6363610583072195</v>
      </c>
      <c r="AG3699">
        <v>-1.0669219999999999</v>
      </c>
      <c r="AH3699">
        <v>56.6740714914188</v>
      </c>
      <c r="AI3699">
        <v>91.066193177893993</v>
      </c>
      <c r="AJ3699">
        <v>81.335556234122507</v>
      </c>
      <c r="AK3699">
        <v>57.338254545268299</v>
      </c>
      <c r="AL3699">
        <v>87.753341418192605</v>
      </c>
      <c r="AM3699">
        <v>87.266485534702596</v>
      </c>
      <c r="AN3699">
        <v>0.99999995140921205</v>
      </c>
    </row>
    <row r="3700" spans="1:40" x14ac:dyDescent="0.25">
      <c r="A3700" t="str">
        <f>"20190312154630708"</f>
        <v>20190312154630708</v>
      </c>
      <c r="B3700" t="str">
        <f>"1552376790701401"</f>
        <v>1552376790701401</v>
      </c>
      <c r="C3700" t="s">
        <v>40</v>
      </c>
      <c r="D3700">
        <v>4.5085519999999999</v>
      </c>
      <c r="E3700">
        <v>0.5045077</v>
      </c>
      <c r="F3700" t="s">
        <v>42</v>
      </c>
      <c r="G3700">
        <v>-370.6447</v>
      </c>
      <c r="H3700">
        <v>7.9985570000000006E-2</v>
      </c>
      <c r="I3700">
        <v>149.73509999999999</v>
      </c>
      <c r="J3700">
        <v>-286.7321</v>
      </c>
      <c r="K3700">
        <v>1.1094170000000001</v>
      </c>
      <c r="L3700">
        <v>140.3938</v>
      </c>
      <c r="M3700">
        <v>-0.99983270000000002</v>
      </c>
      <c r="N3700">
        <v>0</v>
      </c>
      <c r="O3700">
        <v>1.077351E-2</v>
      </c>
      <c r="P3700">
        <v>-0.99798980000000004</v>
      </c>
      <c r="Q3700">
        <v>2.4400020000000001E-2</v>
      </c>
      <c r="R3700">
        <v>5.8494230000000001E-2</v>
      </c>
      <c r="S3700">
        <v>-2.9876100000000001</v>
      </c>
      <c r="T3700">
        <v>-3.6477919999999997E-2</v>
      </c>
      <c r="U3700">
        <v>0.33117679999999999</v>
      </c>
      <c r="V3700">
        <v>4.7774690000000002E-2</v>
      </c>
      <c r="W3700">
        <v>3.9121959999999997E-2</v>
      </c>
      <c r="X3700">
        <v>0.99809170000000003</v>
      </c>
      <c r="Y3700">
        <v>9.9453219999999995E-2</v>
      </c>
      <c r="Z3700">
        <v>4.7414439999999999E-4</v>
      </c>
      <c r="AA3700">
        <v>0.99504210000000004</v>
      </c>
      <c r="AB3700">
        <v>37</v>
      </c>
      <c r="AC3700">
        <v>-83.912599999999998</v>
      </c>
      <c r="AD3700">
        <v>-1.02943143</v>
      </c>
      <c r="AE3700">
        <v>9.3412999999999897</v>
      </c>
      <c r="AF3700">
        <v>8.43537173679956</v>
      </c>
      <c r="AG3700">
        <v>-1.02943143</v>
      </c>
      <c r="AH3700">
        <v>83.995891819156</v>
      </c>
      <c r="AI3700">
        <v>90.698652861148503</v>
      </c>
      <c r="AJ3700">
        <v>84.265241338547398</v>
      </c>
      <c r="AK3700">
        <v>84.424670967096006</v>
      </c>
      <c r="AL3700">
        <v>87.757904615170503</v>
      </c>
      <c r="AM3700">
        <v>87.259569982739606</v>
      </c>
      <c r="AN3700">
        <v>0.99999999518386296</v>
      </c>
    </row>
    <row r="3701" spans="1:40" x14ac:dyDescent="0.25">
      <c r="A3701" t="str">
        <f>"20190312154630728"</f>
        <v>20190312154630728</v>
      </c>
      <c r="B3701" t="str">
        <f>"1552376790720922"</f>
        <v>1552376790720922</v>
      </c>
      <c r="C3701" t="s">
        <v>40</v>
      </c>
      <c r="D3701">
        <v>4.4804919999999999</v>
      </c>
      <c r="E3701">
        <v>0.50014820000000004</v>
      </c>
      <c r="F3701" t="s">
        <v>42</v>
      </c>
      <c r="G3701">
        <v>-380.45319999999998</v>
      </c>
      <c r="H3701" s="1">
        <v>-5.4116029999999999E-6</v>
      </c>
      <c r="I3701">
        <v>146.88749999999999</v>
      </c>
      <c r="J3701">
        <v>-287.0772</v>
      </c>
      <c r="K3701">
        <v>1.109432</v>
      </c>
      <c r="L3701">
        <v>140.39779999999999</v>
      </c>
      <c r="M3701">
        <v>-0.99982890000000002</v>
      </c>
      <c r="N3701">
        <v>0</v>
      </c>
      <c r="O3701">
        <v>1.111851E-2</v>
      </c>
      <c r="P3701">
        <v>-0.99793909999999997</v>
      </c>
      <c r="Q3701">
        <v>2.489676E-2</v>
      </c>
      <c r="R3701">
        <v>5.9146700000000003E-2</v>
      </c>
      <c r="S3701">
        <v>-2.9947509999999999</v>
      </c>
      <c r="T3701">
        <v>-3.5450339999999997E-2</v>
      </c>
      <c r="U3701">
        <v>0.2075043</v>
      </c>
      <c r="V3701">
        <v>4.808366E-2</v>
      </c>
      <c r="W3701">
        <v>3.9621770000000001E-2</v>
      </c>
      <c r="X3701">
        <v>0.99805710000000003</v>
      </c>
      <c r="Y3701">
        <v>5.802293E-2</v>
      </c>
      <c r="Z3701">
        <v>2.11547E-4</v>
      </c>
      <c r="AA3701">
        <v>0.99831519999999996</v>
      </c>
      <c r="AB3701">
        <v>37</v>
      </c>
      <c r="AC3701">
        <v>-93.375999999999905</v>
      </c>
      <c r="AD3701">
        <v>-1.1094374116029999</v>
      </c>
      <c r="AE3701">
        <v>6.4896999999999903</v>
      </c>
      <c r="AF3701">
        <v>5.4502176141979799</v>
      </c>
      <c r="AG3701">
        <v>-1.1094374116029999</v>
      </c>
      <c r="AH3701">
        <v>93.429264826249394</v>
      </c>
      <c r="AI3701">
        <v>90.679179342091402</v>
      </c>
      <c r="AJ3701">
        <v>86.661421177111393</v>
      </c>
      <c r="AK3701">
        <v>93.594675326034505</v>
      </c>
      <c r="AL3701">
        <v>87.729245284532794</v>
      </c>
      <c r="AM3701">
        <v>87.241778796302896</v>
      </c>
      <c r="AN3701">
        <v>0.99999994893866795</v>
      </c>
    </row>
    <row r="3702" spans="1:40" x14ac:dyDescent="0.25">
      <c r="A3702" t="str">
        <f>"20190312154630751"</f>
        <v>20190312154630751</v>
      </c>
      <c r="B3702" t="str">
        <f>"1552376790741417"</f>
        <v>1552376790741417</v>
      </c>
      <c r="C3702" t="s">
        <v>40</v>
      </c>
      <c r="D3702">
        <v>4.5008339999999896</v>
      </c>
      <c r="E3702">
        <v>0.49753239999999999</v>
      </c>
      <c r="F3702" t="s">
        <v>42</v>
      </c>
      <c r="G3702">
        <v>-380.33850000000001</v>
      </c>
      <c r="H3702" s="1">
        <v>-5.263434E-6</v>
      </c>
      <c r="I3702">
        <v>145.8321</v>
      </c>
      <c r="J3702">
        <v>-287.4581</v>
      </c>
      <c r="K3702">
        <v>1.1094409999999999</v>
      </c>
      <c r="L3702">
        <v>140.4025</v>
      </c>
      <c r="M3702">
        <v>-0.9998245</v>
      </c>
      <c r="N3702">
        <v>0</v>
      </c>
      <c r="O3702">
        <v>1.149998E-2</v>
      </c>
      <c r="P3702">
        <v>-0.99788399999999999</v>
      </c>
      <c r="Q3702">
        <v>2.5150329999999999E-2</v>
      </c>
      <c r="R3702">
        <v>5.9962019999999998E-2</v>
      </c>
      <c r="S3702">
        <v>-2.9967350000000001</v>
      </c>
      <c r="T3702">
        <v>-3.5649180000000003E-2</v>
      </c>
      <c r="U3702">
        <v>0.17462159999999999</v>
      </c>
      <c r="V3702">
        <v>4.851871E-2</v>
      </c>
      <c r="W3702">
        <v>3.987715E-2</v>
      </c>
      <c r="X3702">
        <v>0.99802599999999997</v>
      </c>
      <c r="Y3702">
        <v>4.6683860000000001E-2</v>
      </c>
      <c r="Z3702">
        <v>1.4074629999999999E-4</v>
      </c>
      <c r="AA3702">
        <v>0.99890970000000001</v>
      </c>
      <c r="AB3702">
        <v>37</v>
      </c>
      <c r="AC3702">
        <v>-92.880399999999995</v>
      </c>
      <c r="AD3702">
        <v>-1.1094462634340001</v>
      </c>
      <c r="AE3702">
        <v>5.42959999999999</v>
      </c>
      <c r="AF3702">
        <v>4.3603812850252002</v>
      </c>
      <c r="AG3702">
        <v>-1.1094462634340001</v>
      </c>
      <c r="AH3702">
        <v>92.923490670099198</v>
      </c>
      <c r="AI3702">
        <v>90.683290193704707</v>
      </c>
      <c r="AJ3702">
        <v>87.313399263305996</v>
      </c>
      <c r="AK3702">
        <v>93.032354126283707</v>
      </c>
      <c r="AL3702">
        <v>87.714601801373703</v>
      </c>
      <c r="AM3702">
        <v>87.216775510669393</v>
      </c>
      <c r="AN3702">
        <v>1.00000007449409</v>
      </c>
    </row>
    <row r="3703" spans="1:40" x14ac:dyDescent="0.25">
      <c r="A3703" t="str">
        <f>"20190312154630774"</f>
        <v>20190312154630774</v>
      </c>
      <c r="B3703" t="str">
        <f>"1552376790760937"</f>
        <v>1552376790760937</v>
      </c>
      <c r="C3703" t="s">
        <v>40</v>
      </c>
      <c r="D3703">
        <v>4.4727329999999998</v>
      </c>
      <c r="E3703">
        <v>0.49566579999999899</v>
      </c>
      <c r="F3703" t="s">
        <v>42</v>
      </c>
      <c r="G3703">
        <v>-392.5342</v>
      </c>
      <c r="H3703" s="1">
        <v>-4.5251470000000003E-6</v>
      </c>
      <c r="I3703">
        <v>145.88239999999999</v>
      </c>
      <c r="J3703">
        <v>-287.83969999999999</v>
      </c>
      <c r="K3703">
        <v>1.109451</v>
      </c>
      <c r="L3703">
        <v>140.40719999999999</v>
      </c>
      <c r="M3703">
        <v>-0.99981989999999998</v>
      </c>
      <c r="N3703">
        <v>0</v>
      </c>
      <c r="O3703">
        <v>1.1882180000000001E-2</v>
      </c>
      <c r="P3703">
        <v>-0.99785999999999997</v>
      </c>
      <c r="Q3703">
        <v>2.5141650000000001E-2</v>
      </c>
      <c r="R3703">
        <v>6.0360759999999999E-2</v>
      </c>
      <c r="S3703">
        <v>-2.9977719999999999</v>
      </c>
      <c r="T3703">
        <v>-3.1651970000000001E-2</v>
      </c>
      <c r="U3703">
        <v>0.1563416</v>
      </c>
      <c r="V3703">
        <v>4.8535790000000002E-2</v>
      </c>
      <c r="W3703">
        <v>3.9870490000000001E-2</v>
      </c>
      <c r="X3703">
        <v>0.99802539999999995</v>
      </c>
      <c r="Y3703">
        <v>4.0209189999999999E-2</v>
      </c>
      <c r="Z3703" s="1">
        <v>8.675318E-5</v>
      </c>
      <c r="AA3703">
        <v>0.9991913</v>
      </c>
      <c r="AB3703">
        <v>37</v>
      </c>
      <c r="AC3703">
        <v>-104.69450000000001</v>
      </c>
      <c r="AD3703">
        <v>-1.109455525147</v>
      </c>
      <c r="AE3703">
        <v>5.4752000000000001</v>
      </c>
      <c r="AF3703">
        <v>4.2302045198131797</v>
      </c>
      <c r="AG3703">
        <v>-1.109455525147</v>
      </c>
      <c r="AH3703">
        <v>104.740441785268</v>
      </c>
      <c r="AI3703">
        <v>90.606384374663804</v>
      </c>
      <c r="AJ3703">
        <v>87.687223693324398</v>
      </c>
      <c r="AK3703">
        <v>104.831701632735</v>
      </c>
      <c r="AL3703">
        <v>87.714983613719099</v>
      </c>
      <c r="AM3703">
        <v>87.215795604722402</v>
      </c>
      <c r="AN3703">
        <v>1.0000000389644601</v>
      </c>
    </row>
    <row r="3704" spans="1:40" x14ac:dyDescent="0.25">
      <c r="A3704" t="str">
        <f>"20190312154630795"</f>
        <v>20190312154630795</v>
      </c>
      <c r="B3704" t="str">
        <f>"1552376790781433"</f>
        <v>1552376790781433</v>
      </c>
      <c r="C3704" t="s">
        <v>40</v>
      </c>
      <c r="D3704">
        <v>4.4719199999999999</v>
      </c>
      <c r="E3704">
        <v>0.4944057</v>
      </c>
      <c r="F3704" t="s">
        <v>42</v>
      </c>
      <c r="G3704">
        <v>-399.91329999999999</v>
      </c>
      <c r="H3704" s="1">
        <v>-1.6504830000000001E-6</v>
      </c>
      <c r="I3704">
        <v>145.7458</v>
      </c>
      <c r="J3704">
        <v>-288.17320000000001</v>
      </c>
      <c r="K3704">
        <v>1.109456</v>
      </c>
      <c r="L3704">
        <v>140.41149999999999</v>
      </c>
      <c r="M3704">
        <v>-0.99981589999999998</v>
      </c>
      <c r="N3704">
        <v>0</v>
      </c>
      <c r="O3704">
        <v>1.2216289999999999E-2</v>
      </c>
      <c r="P3704">
        <v>-0.99784059999999997</v>
      </c>
      <c r="Q3704">
        <v>2.567535E-2</v>
      </c>
      <c r="R3704">
        <v>6.0459110000000003E-2</v>
      </c>
      <c r="S3704">
        <v>-2.998535</v>
      </c>
      <c r="T3704">
        <v>-2.968347E-2</v>
      </c>
      <c r="U3704">
        <v>0.14283750000000001</v>
      </c>
      <c r="V3704">
        <v>4.8301190000000001E-2</v>
      </c>
      <c r="W3704">
        <v>4.0404589999999997E-2</v>
      </c>
      <c r="X3704">
        <v>0.99801530000000005</v>
      </c>
      <c r="Y3704">
        <v>3.5373340000000003E-2</v>
      </c>
      <c r="Z3704" s="1">
        <v>5.4118869999999999E-5</v>
      </c>
      <c r="AA3704">
        <v>0.99937419999999999</v>
      </c>
      <c r="AB3704">
        <v>37</v>
      </c>
      <c r="AC3704">
        <v>-111.740099999999</v>
      </c>
      <c r="AD3704">
        <v>-1.109457650483</v>
      </c>
      <c r="AE3704">
        <v>5.3343000000000096</v>
      </c>
      <c r="AF3704">
        <v>3.9683126239195001</v>
      </c>
      <c r="AG3704">
        <v>-1.109457650483</v>
      </c>
      <c r="AH3704">
        <v>111.78593726414999</v>
      </c>
      <c r="AI3704">
        <v>90.568274897986001</v>
      </c>
      <c r="AJ3704">
        <v>87.966898755148506</v>
      </c>
      <c r="AK3704">
        <v>111.86185306610901</v>
      </c>
      <c r="AL3704">
        <v>87.684357255368894</v>
      </c>
      <c r="AM3704">
        <v>87.229204167331901</v>
      </c>
      <c r="AN3704">
        <v>1.0000000374412801</v>
      </c>
    </row>
    <row r="3705" spans="1:40" x14ac:dyDescent="0.25">
      <c r="A3705" t="str">
        <f>"20190312154630817"</f>
        <v>20190312154630817</v>
      </c>
      <c r="B3705" t="str">
        <f>"1552376790810713"</f>
        <v>1552376790810713</v>
      </c>
      <c r="C3705" t="s">
        <v>40</v>
      </c>
      <c r="D3705">
        <v>4.5269069999999996</v>
      </c>
      <c r="E3705">
        <v>0.49300579999999999</v>
      </c>
      <c r="F3705" t="s">
        <v>52</v>
      </c>
      <c r="G3705">
        <v>-408.6336</v>
      </c>
      <c r="H3705" s="1">
        <v>-1.220331E-5</v>
      </c>
      <c r="I3705">
        <v>145.75819999999999</v>
      </c>
      <c r="J3705">
        <v>-288.53879999999998</v>
      </c>
      <c r="K3705">
        <v>1.109459</v>
      </c>
      <c r="L3705">
        <v>140.41630000000001</v>
      </c>
      <c r="M3705">
        <v>-0.99981140000000002</v>
      </c>
      <c r="N3705">
        <v>0</v>
      </c>
      <c r="O3705">
        <v>1.258217E-2</v>
      </c>
      <c r="P3705">
        <v>-0.9978458</v>
      </c>
      <c r="Q3705">
        <v>2.5993639999999998E-2</v>
      </c>
      <c r="R3705">
        <v>6.0235179999999999E-2</v>
      </c>
      <c r="S3705">
        <v>-2.9991460000000001</v>
      </c>
      <c r="T3705">
        <v>-2.7622819999999999E-2</v>
      </c>
      <c r="U3705">
        <v>0.13311770000000001</v>
      </c>
      <c r="V3705">
        <v>4.7712009999999999E-2</v>
      </c>
      <c r="W3705">
        <v>4.0723809999999999E-2</v>
      </c>
      <c r="X3705">
        <v>0.99803059999999999</v>
      </c>
      <c r="Y3705">
        <v>3.1766059999999999E-2</v>
      </c>
      <c r="Z3705" s="1">
        <v>3.0383780000000001E-5</v>
      </c>
      <c r="AA3705">
        <v>0.99949529999999998</v>
      </c>
      <c r="AB3705">
        <v>37</v>
      </c>
      <c r="AC3705">
        <v>-120.09480000000001</v>
      </c>
      <c r="AD3705">
        <v>-1.10947120331</v>
      </c>
      <c r="AE3705">
        <v>5.3418999999999803</v>
      </c>
      <c r="AF3705">
        <v>3.8299322591556302</v>
      </c>
      <c r="AG3705">
        <v>-1.10947120331</v>
      </c>
      <c r="AH3705">
        <v>120.14227800131199</v>
      </c>
      <c r="AI3705">
        <v>90.528822486072301</v>
      </c>
      <c r="AJ3705">
        <v>88.174125961373804</v>
      </c>
      <c r="AK3705">
        <v>120.20842845160701</v>
      </c>
      <c r="AL3705">
        <v>87.666052077168999</v>
      </c>
      <c r="AM3705">
        <v>87.262992638091802</v>
      </c>
      <c r="AN3705">
        <v>0.999999971567757</v>
      </c>
    </row>
    <row r="3706" spans="1:40" x14ac:dyDescent="0.25">
      <c r="A3706" t="str">
        <f>"20190312154630839"</f>
        <v>20190312154630839</v>
      </c>
      <c r="B3706" t="str">
        <f>"1552376790831210"</f>
        <v>1552376790831210</v>
      </c>
      <c r="C3706" t="s">
        <v>40</v>
      </c>
      <c r="D3706">
        <v>4.5264360000000003</v>
      </c>
      <c r="E3706">
        <v>0.49225659999999999</v>
      </c>
      <c r="F3706" t="s">
        <v>52</v>
      </c>
      <c r="G3706">
        <v>-412.73590000000002</v>
      </c>
      <c r="H3706" s="1">
        <v>-1.250874E-5</v>
      </c>
      <c r="I3706">
        <v>145.43979999999999</v>
      </c>
      <c r="J3706">
        <v>-288.91559999999998</v>
      </c>
      <c r="K3706">
        <v>1.109464</v>
      </c>
      <c r="L3706">
        <v>140.42140000000001</v>
      </c>
      <c r="M3706">
        <v>-0.99980659999999999</v>
      </c>
      <c r="N3706">
        <v>0</v>
      </c>
      <c r="O3706">
        <v>1.2959679999999999E-2</v>
      </c>
      <c r="P3706">
        <v>-0.99782219999999999</v>
      </c>
      <c r="Q3706">
        <v>2.6420099999999998E-2</v>
      </c>
      <c r="R3706">
        <v>6.0441179999999997E-2</v>
      </c>
      <c r="S3706">
        <v>-2.9998779999999998</v>
      </c>
      <c r="T3706">
        <v>-2.6798369999999998E-2</v>
      </c>
      <c r="U3706">
        <v>0.121337899999999</v>
      </c>
      <c r="V3706">
        <v>4.7541649999999998E-2</v>
      </c>
      <c r="W3706">
        <v>4.1150220000000001E-2</v>
      </c>
      <c r="X3706">
        <v>0.99802120000000005</v>
      </c>
      <c r="Y3706">
        <v>2.7460089999999999E-2</v>
      </c>
      <c r="Z3706" s="1">
        <v>6.8762600000000003E-6</v>
      </c>
      <c r="AA3706">
        <v>0.99962289999999998</v>
      </c>
      <c r="AB3706">
        <v>37</v>
      </c>
      <c r="AC3706">
        <v>-123.8203</v>
      </c>
      <c r="AD3706">
        <v>-1.10947650874</v>
      </c>
      <c r="AE3706">
        <v>5.0183999999999802</v>
      </c>
      <c r="AF3706">
        <v>3.4128578454506</v>
      </c>
      <c r="AG3706">
        <v>-1.10947650874</v>
      </c>
      <c r="AH3706">
        <v>123.86501463973499</v>
      </c>
      <c r="AI3706">
        <v>90.512998022320005</v>
      </c>
      <c r="AJ3706">
        <v>88.421726341226204</v>
      </c>
      <c r="AK3706">
        <v>123.91698991057901</v>
      </c>
      <c r="AL3706">
        <v>87.641599993054498</v>
      </c>
      <c r="AM3706">
        <v>87.272724938401396</v>
      </c>
      <c r="AN3706">
        <v>0.99999993237010298</v>
      </c>
    </row>
    <row r="3707" spans="1:40" x14ac:dyDescent="0.25">
      <c r="A3707" t="str">
        <f>"20190312154630862"</f>
        <v>20190312154630862</v>
      </c>
      <c r="B3707" t="str">
        <f>"1552376790850729"</f>
        <v>1552376790850729</v>
      </c>
      <c r="C3707" t="s">
        <v>40</v>
      </c>
      <c r="D3707">
        <v>4.4435969999999996</v>
      </c>
      <c r="E3707">
        <v>0.49164180000000002</v>
      </c>
      <c r="F3707" t="s">
        <v>52</v>
      </c>
      <c r="G3707">
        <v>-414.30669999999998</v>
      </c>
      <c r="H3707" s="1">
        <v>-1.229273E-5</v>
      </c>
      <c r="I3707">
        <v>145.26759999999999</v>
      </c>
      <c r="J3707">
        <v>-289.28100000000001</v>
      </c>
      <c r="K3707">
        <v>1.1094660000000001</v>
      </c>
      <c r="L3707">
        <v>140.4265</v>
      </c>
      <c r="M3707">
        <v>-0.99980170000000002</v>
      </c>
      <c r="N3707">
        <v>0</v>
      </c>
      <c r="O3707">
        <v>1.332622E-2</v>
      </c>
      <c r="P3707">
        <v>-0.99780709999999995</v>
      </c>
      <c r="Q3707">
        <v>2.647296E-2</v>
      </c>
      <c r="R3707">
        <v>6.0665539999999997E-2</v>
      </c>
      <c r="S3707">
        <v>-3.0001829999999998</v>
      </c>
      <c r="T3707">
        <v>-2.6546E-2</v>
      </c>
      <c r="U3707">
        <v>0.1159515</v>
      </c>
      <c r="V3707">
        <v>4.7400060000000001E-2</v>
      </c>
      <c r="W3707">
        <v>4.1202629999999997E-2</v>
      </c>
      <c r="X3707">
        <v>0.99802579999999996</v>
      </c>
      <c r="Y3707">
        <v>2.5297699999999999E-2</v>
      </c>
      <c r="Z3707" s="1">
        <v>-5.9937879999999998E-6</v>
      </c>
      <c r="AA3707">
        <v>0.99968000000000001</v>
      </c>
      <c r="AB3707">
        <v>37</v>
      </c>
      <c r="AC3707">
        <v>-125.02569999999901</v>
      </c>
      <c r="AD3707">
        <v>-1.10947829272999</v>
      </c>
      <c r="AE3707">
        <v>4.8410999999999804</v>
      </c>
      <c r="AF3707">
        <v>3.1741180137495602</v>
      </c>
      <c r="AG3707">
        <v>-1.10947829272999</v>
      </c>
      <c r="AH3707">
        <v>125.069281962867</v>
      </c>
      <c r="AI3707">
        <v>90.508088756361005</v>
      </c>
      <c r="AJ3707">
        <v>88.546209486877302</v>
      </c>
      <c r="AK3707">
        <v>125.11447261589799</v>
      </c>
      <c r="AL3707">
        <v>87.638594637254798</v>
      </c>
      <c r="AM3707">
        <v>87.280847697924003</v>
      </c>
      <c r="AN3707">
        <v>0.99999995993627899</v>
      </c>
    </row>
    <row r="3708" spans="1:40" x14ac:dyDescent="0.25">
      <c r="A3708" t="str">
        <f>"20190312154630884"</f>
        <v>20190312154630884</v>
      </c>
      <c r="B3708" t="str">
        <f>"1552376790880985"</f>
        <v>1552376790880985</v>
      </c>
      <c r="C3708" t="s">
        <v>40</v>
      </c>
      <c r="D3708">
        <v>4.4643940000000004</v>
      </c>
      <c r="E3708">
        <v>0.490873</v>
      </c>
      <c r="F3708" t="s">
        <v>52</v>
      </c>
      <c r="G3708">
        <v>-410.95409999999998</v>
      </c>
      <c r="H3708" s="1">
        <v>-1.25097E-5</v>
      </c>
      <c r="I3708">
        <v>144.95949999999999</v>
      </c>
      <c r="J3708">
        <v>-289.64440000000002</v>
      </c>
      <c r="K3708">
        <v>1.109469</v>
      </c>
      <c r="L3708">
        <v>140.43170000000001</v>
      </c>
      <c r="M3708">
        <v>-0.99979689999999999</v>
      </c>
      <c r="N3708">
        <v>0</v>
      </c>
      <c r="O3708">
        <v>1.369073E-2</v>
      </c>
      <c r="P3708">
        <v>-0.99780150000000001</v>
      </c>
      <c r="Q3708">
        <v>2.6320820000000002E-2</v>
      </c>
      <c r="R3708">
        <v>6.0824789999999997E-2</v>
      </c>
      <c r="S3708">
        <v>-3.0005489999999999</v>
      </c>
      <c r="T3708">
        <v>-2.7360559999999999E-2</v>
      </c>
      <c r="U3708">
        <v>0.11178589999999999</v>
      </c>
      <c r="V3708">
        <v>4.7194949999999999E-2</v>
      </c>
      <c r="W3708">
        <v>4.104969E-2</v>
      </c>
      <c r="X3708">
        <v>0.99804190000000004</v>
      </c>
      <c r="Y3708">
        <v>2.354268E-2</v>
      </c>
      <c r="Z3708" s="1">
        <v>-1.749837E-5</v>
      </c>
      <c r="AA3708">
        <v>0.99972280000000002</v>
      </c>
      <c r="AB3708">
        <v>37</v>
      </c>
      <c r="AC3708">
        <v>-121.309699999999</v>
      </c>
      <c r="AD3708">
        <v>-1.1094815096999999</v>
      </c>
      <c r="AE3708">
        <v>4.5277999999999796</v>
      </c>
      <c r="AF3708">
        <v>2.8661361330716302</v>
      </c>
      <c r="AG3708">
        <v>-1.1094815096999999</v>
      </c>
      <c r="AH3708">
        <v>121.350187311707</v>
      </c>
      <c r="AI3708">
        <v>90.523683699308705</v>
      </c>
      <c r="AJ3708">
        <v>88.646998559498797</v>
      </c>
      <c r="AK3708">
        <v>121.38910019495199</v>
      </c>
      <c r="AL3708">
        <v>87.647365056096305</v>
      </c>
      <c r="AM3708">
        <v>87.292640104744606</v>
      </c>
      <c r="AN3708">
        <v>1.0000000372550999</v>
      </c>
    </row>
    <row r="3709" spans="1:40" x14ac:dyDescent="0.25">
      <c r="A3709" t="str">
        <f>"20190312154630906"</f>
        <v>20190312154630906</v>
      </c>
      <c r="B3709" t="str">
        <f>"1552376790901480"</f>
        <v>1552376790901480</v>
      </c>
      <c r="C3709" t="s">
        <v>40</v>
      </c>
      <c r="D3709">
        <v>4.5212949999999896</v>
      </c>
      <c r="E3709">
        <v>0.4904792</v>
      </c>
      <c r="F3709" t="s">
        <v>42</v>
      </c>
      <c r="G3709">
        <v>-399.04140000000001</v>
      </c>
      <c r="H3709" s="1">
        <v>-1.6382879999999999E-6</v>
      </c>
      <c r="I3709">
        <v>144.29429999999999</v>
      </c>
      <c r="J3709">
        <v>-289.99880000000002</v>
      </c>
      <c r="K3709">
        <v>1.10947</v>
      </c>
      <c r="L3709">
        <v>140.43700000000001</v>
      </c>
      <c r="M3709">
        <v>-0.99979189999999996</v>
      </c>
      <c r="N3709">
        <v>0</v>
      </c>
      <c r="O3709">
        <v>1.404614E-2</v>
      </c>
      <c r="P3709">
        <v>-0.9977646</v>
      </c>
      <c r="Q3709">
        <v>2.590054E-2</v>
      </c>
      <c r="R3709">
        <v>6.1602990000000003E-2</v>
      </c>
      <c r="S3709">
        <v>-3.0009160000000001</v>
      </c>
      <c r="T3709">
        <v>-3.0434369999999999E-2</v>
      </c>
      <c r="U3709">
        <v>0.105957</v>
      </c>
      <c r="V3709">
        <v>4.7618229999999998E-2</v>
      </c>
      <c r="W3709">
        <v>4.0627089999999998E-2</v>
      </c>
      <c r="X3709">
        <v>0.99803909999999996</v>
      </c>
      <c r="Y3709">
        <v>2.124347E-2</v>
      </c>
      <c r="Z3709" s="1">
        <v>-3.4720759999999999E-5</v>
      </c>
      <c r="AA3709">
        <v>0.9997743</v>
      </c>
      <c r="AB3709">
        <v>37</v>
      </c>
      <c r="AC3709">
        <v>-109.04259999999999</v>
      </c>
      <c r="AD3709">
        <v>-1.1094716382879899</v>
      </c>
      <c r="AE3709">
        <v>3.85729999999998</v>
      </c>
      <c r="AF3709">
        <v>2.3248837457409199</v>
      </c>
      <c r="AG3709">
        <v>-1.1094716382879899</v>
      </c>
      <c r="AH3709">
        <v>109.074748776913</v>
      </c>
      <c r="AI3709">
        <v>90.582640963731905</v>
      </c>
      <c r="AJ3709">
        <v>88.778948738160594</v>
      </c>
      <c r="AK3709">
        <v>109.10516409636099</v>
      </c>
      <c r="AL3709">
        <v>87.671598499478606</v>
      </c>
      <c r="AM3709">
        <v>87.268387416259998</v>
      </c>
      <c r="AN3709">
        <v>1.0000000506994999</v>
      </c>
    </row>
    <row r="3710" spans="1:40" x14ac:dyDescent="0.25">
      <c r="A3710" t="str">
        <f>"20190312154630928"</f>
        <v>20190312154630928</v>
      </c>
      <c r="B3710" t="str">
        <f>"1552376790921001"</f>
        <v>1552376790921001</v>
      </c>
      <c r="C3710" t="s">
        <v>40</v>
      </c>
      <c r="D3710">
        <v>4.524076</v>
      </c>
      <c r="E3710">
        <v>0.4901451</v>
      </c>
      <c r="F3710" t="s">
        <v>42</v>
      </c>
      <c r="G3710">
        <v>-389.00389999999999</v>
      </c>
      <c r="H3710" s="1">
        <v>-1.551107E-6</v>
      </c>
      <c r="I3710">
        <v>143.90620000000001</v>
      </c>
      <c r="J3710">
        <v>-290.3605</v>
      </c>
      <c r="K3710">
        <v>1.109472</v>
      </c>
      <c r="L3710">
        <v>140.44239999999999</v>
      </c>
      <c r="M3710">
        <v>-0.99978679999999998</v>
      </c>
      <c r="N3710">
        <v>0</v>
      </c>
      <c r="O3710">
        <v>1.440899E-2</v>
      </c>
      <c r="P3710">
        <v>-0.99774450000000003</v>
      </c>
      <c r="Q3710">
        <v>2.5859190000000001E-2</v>
      </c>
      <c r="R3710">
        <v>6.1949990000000003E-2</v>
      </c>
      <c r="S3710">
        <v>-3.001099</v>
      </c>
      <c r="T3710">
        <v>-3.3630970000000003E-2</v>
      </c>
      <c r="U3710">
        <v>0.1051636</v>
      </c>
      <c r="V3710">
        <v>4.7603060000000003E-2</v>
      </c>
      <c r="W3710">
        <v>4.0584210000000003E-2</v>
      </c>
      <c r="X3710">
        <v>0.99804150000000003</v>
      </c>
      <c r="Y3710">
        <v>2.0614449999999999E-2</v>
      </c>
      <c r="Z3710" s="1">
        <v>-4.5953040000000001E-5</v>
      </c>
      <c r="AA3710">
        <v>0.99978750000000005</v>
      </c>
      <c r="AB3710">
        <v>37</v>
      </c>
      <c r="AC3710">
        <v>-98.6434</v>
      </c>
      <c r="AD3710">
        <v>-1.109473551107</v>
      </c>
      <c r="AE3710">
        <v>3.46380000000002</v>
      </c>
      <c r="AF3710">
        <v>2.0416751293816802</v>
      </c>
      <c r="AG3710">
        <v>-1.109473551107</v>
      </c>
      <c r="AH3710">
        <v>98.670605754892193</v>
      </c>
      <c r="AI3710">
        <v>90.644081085076905</v>
      </c>
      <c r="AJ3710">
        <v>88.814614783494207</v>
      </c>
      <c r="AK3710">
        <v>98.697962536882699</v>
      </c>
      <c r="AL3710">
        <v>87.674057211785396</v>
      </c>
      <c r="AM3710">
        <v>87.269262880295599</v>
      </c>
      <c r="AN3710">
        <v>0.99999998257246803</v>
      </c>
    </row>
    <row r="3711" spans="1:40" x14ac:dyDescent="0.25">
      <c r="A3711" t="str">
        <f>"20190312154630952"</f>
        <v>20190312154630952</v>
      </c>
      <c r="B3711" t="str">
        <f>"1552376790941496"</f>
        <v>1552376790941496</v>
      </c>
      <c r="C3711" t="s">
        <v>40</v>
      </c>
      <c r="D3711">
        <v>4.4913639999999999</v>
      </c>
      <c r="E3711">
        <v>0.48985859999999898</v>
      </c>
      <c r="F3711" t="s">
        <v>42</v>
      </c>
      <c r="G3711">
        <v>-384.75389999999999</v>
      </c>
      <c r="H3711" s="1">
        <v>-3.3181520000000002E-6</v>
      </c>
      <c r="I3711">
        <v>143.6951</v>
      </c>
      <c r="J3711">
        <v>-290.74689999999998</v>
      </c>
      <c r="K3711">
        <v>1.1094710000000001</v>
      </c>
      <c r="L3711">
        <v>140.44829999999999</v>
      </c>
      <c r="M3711">
        <v>-0.99978120000000004</v>
      </c>
      <c r="N3711">
        <v>0</v>
      </c>
      <c r="O3711">
        <v>1.4796699999999999E-2</v>
      </c>
      <c r="P3711">
        <v>-0.99771449999999995</v>
      </c>
      <c r="Q3711">
        <v>2.5478580000000001E-2</v>
      </c>
      <c r="R3711">
        <v>6.2583899999999998E-2</v>
      </c>
      <c r="S3711">
        <v>-3.0012819999999998</v>
      </c>
      <c r="T3711">
        <v>-3.5276290000000002E-2</v>
      </c>
      <c r="U3711">
        <v>0.1034241</v>
      </c>
      <c r="V3711">
        <v>4.7849450000000002E-2</v>
      </c>
      <c r="W3711">
        <v>4.0200189999999997E-2</v>
      </c>
      <c r="X3711">
        <v>0.99804530000000002</v>
      </c>
      <c r="Y3711">
        <v>1.9645880000000001E-2</v>
      </c>
      <c r="Z3711" s="1">
        <v>-5.8444089999999998E-5</v>
      </c>
      <c r="AA3711">
        <v>0.999807</v>
      </c>
      <c r="AB3711">
        <v>36</v>
      </c>
      <c r="AC3711">
        <v>-94.007000000000005</v>
      </c>
      <c r="AD3711">
        <v>-1.1094743181519999</v>
      </c>
      <c r="AE3711">
        <v>3.2467999999999999</v>
      </c>
      <c r="AF3711">
        <v>1.85504095027344</v>
      </c>
      <c r="AG3711">
        <v>-1.1094743181519999</v>
      </c>
      <c r="AH3711">
        <v>94.031671416829496</v>
      </c>
      <c r="AI3711">
        <v>90.675866765698999</v>
      </c>
      <c r="AJ3711">
        <v>88.8698251291095</v>
      </c>
      <c r="AK3711">
        <v>94.056511415384904</v>
      </c>
      <c r="AL3711">
        <v>87.696078001783604</v>
      </c>
      <c r="AM3711">
        <v>87.255160777275606</v>
      </c>
      <c r="AN3711">
        <v>1.0000000229967101</v>
      </c>
    </row>
    <row r="3712" spans="1:40" x14ac:dyDescent="0.25">
      <c r="A3712" t="str">
        <f>"20190312154631107"</f>
        <v>20190312154631107</v>
      </c>
      <c r="B3712" t="str">
        <f>"1552376791101561"</f>
        <v>1552376791101561</v>
      </c>
      <c r="C3712" t="s">
        <v>40</v>
      </c>
      <c r="D3712">
        <v>4.2292550000000002</v>
      </c>
      <c r="E3712">
        <v>0.49809249999999999</v>
      </c>
      <c r="F3712" t="s">
        <v>42</v>
      </c>
      <c r="G3712">
        <v>-383.00560000000002</v>
      </c>
      <c r="H3712" s="1">
        <v>-3.9635019999999999E-6</v>
      </c>
      <c r="I3712">
        <v>143.62039999999999</v>
      </c>
      <c r="J3712">
        <v>-293.2629</v>
      </c>
      <c r="K3712">
        <v>1.1094900000000001</v>
      </c>
      <c r="L3712">
        <v>140.49080000000001</v>
      </c>
      <c r="M3712">
        <v>-0.99974090000000004</v>
      </c>
      <c r="N3712">
        <v>0</v>
      </c>
      <c r="O3712">
        <v>1.7325879999999998E-2</v>
      </c>
      <c r="P3712">
        <v>-0.99759100000000001</v>
      </c>
      <c r="Q3712">
        <v>2.5683000000000001E-2</v>
      </c>
      <c r="R3712">
        <v>6.4441100000000001E-2</v>
      </c>
      <c r="S3712">
        <v>-3.001312</v>
      </c>
      <c r="T3712">
        <v>-3.6092880000000001E-2</v>
      </c>
      <c r="U3712">
        <v>0.1031952</v>
      </c>
      <c r="V3712">
        <v>4.718199E-2</v>
      </c>
      <c r="W3712">
        <v>4.0386480000000002E-2</v>
      </c>
      <c r="X3712">
        <v>0.99806950000000005</v>
      </c>
      <c r="Y3712">
        <v>1.7040380000000001E-2</v>
      </c>
      <c r="Z3712">
        <v>-1.058588E-4</v>
      </c>
      <c r="AA3712">
        <v>0.99985480000000004</v>
      </c>
      <c r="AB3712">
        <v>36</v>
      </c>
      <c r="AC3712">
        <v>-89.742699999999999</v>
      </c>
      <c r="AD3712">
        <v>-1.10949396350199</v>
      </c>
      <c r="AE3712">
        <v>3.12959999999998</v>
      </c>
      <c r="AF3712">
        <v>1.57384914974918</v>
      </c>
      <c r="AG3712">
        <v>-1.10949396350199</v>
      </c>
      <c r="AH3712">
        <v>89.769751075960301</v>
      </c>
      <c r="AI3712">
        <v>90.707992594644296</v>
      </c>
      <c r="AJ3712">
        <v>88.995589545778103</v>
      </c>
      <c r="AK3712">
        <v>89.790401414856603</v>
      </c>
      <c r="AL3712">
        <v>87.685395567301299</v>
      </c>
      <c r="AM3712">
        <v>87.293457191210507</v>
      </c>
      <c r="AN3712">
        <v>0.99999996738869901</v>
      </c>
    </row>
    <row r="3713" spans="1:40" x14ac:dyDescent="0.25">
      <c r="A3713" t="str">
        <f>"20190312154631129"</f>
        <v>20190312154631129</v>
      </c>
      <c r="B3713" t="str">
        <f>"1552376791121081"</f>
        <v>1552376791121081</v>
      </c>
      <c r="C3713" t="s">
        <v>40</v>
      </c>
      <c r="D3713">
        <v>4.4830759999999996</v>
      </c>
      <c r="E3713">
        <v>0.49743579999999998</v>
      </c>
      <c r="F3713" t="s">
        <v>41</v>
      </c>
      <c r="G3713">
        <v>-294.17790000000002</v>
      </c>
      <c r="H3713">
        <v>0.87938369999999999</v>
      </c>
      <c r="I3713">
        <v>140.5367</v>
      </c>
      <c r="J3713">
        <v>-293.62200000000001</v>
      </c>
      <c r="K3713">
        <v>1.1094900000000001</v>
      </c>
      <c r="L3713">
        <v>140.4974</v>
      </c>
      <c r="M3713">
        <v>-0.99973449999999997</v>
      </c>
      <c r="N3713">
        <v>0</v>
      </c>
      <c r="O3713">
        <v>1.768749E-2</v>
      </c>
      <c r="P3713">
        <v>-0.99759969999999998</v>
      </c>
      <c r="Q3713">
        <v>2.5686359999999998E-2</v>
      </c>
      <c r="R3713">
        <v>6.4305050000000002E-2</v>
      </c>
      <c r="S3713">
        <v>-3.01709</v>
      </c>
      <c r="T3713">
        <v>-0.75871469999999996</v>
      </c>
      <c r="U3713">
        <v>0.14981079999999999</v>
      </c>
      <c r="V3713">
        <v>4.6684629999999998E-2</v>
      </c>
      <c r="W3713">
        <v>4.0387439999999997E-2</v>
      </c>
      <c r="X3713">
        <v>0.99809289999999995</v>
      </c>
      <c r="Y3713">
        <v>3.1489009999999998E-2</v>
      </c>
      <c r="Z3713">
        <v>-4.8066439999999998E-4</v>
      </c>
      <c r="AA3713">
        <v>0.99950399999999995</v>
      </c>
      <c r="AB3713">
        <v>36</v>
      </c>
      <c r="AC3713">
        <v>-0.55590000000000805</v>
      </c>
      <c r="AD3713">
        <v>-0.23010629999999899</v>
      </c>
      <c r="AE3713">
        <v>3.9299999999997198E-2</v>
      </c>
      <c r="AF3713">
        <v>2.5169208471201601E-2</v>
      </c>
      <c r="AG3713">
        <v>-0.23010629999999899</v>
      </c>
      <c r="AH3713">
        <v>0.475448991479202</v>
      </c>
      <c r="AI3713">
        <v>115.794483439481</v>
      </c>
      <c r="AJ3713">
        <v>86.969717891584096</v>
      </c>
      <c r="AK3713">
        <v>0.52880444575792496</v>
      </c>
      <c r="AL3713">
        <v>87.685340636828499</v>
      </c>
      <c r="AM3713">
        <v>87.322008637295994</v>
      </c>
      <c r="AN3713">
        <v>1.0000000185092</v>
      </c>
    </row>
    <row r="3714" spans="1:40" x14ac:dyDescent="0.25">
      <c r="A3714" t="str">
        <f>"20190312154631153"</f>
        <v>20190312154631153</v>
      </c>
      <c r="B3714" t="str">
        <f>"1552376791141576"</f>
        <v>1552376791141576</v>
      </c>
      <c r="C3714" t="s">
        <v>40</v>
      </c>
      <c r="D3714">
        <v>4.6485539999999999</v>
      </c>
      <c r="E3714">
        <v>0.49713499999999999</v>
      </c>
      <c r="F3714" t="s">
        <v>41</v>
      </c>
      <c r="G3714">
        <v>-294.51600000000002</v>
      </c>
      <c r="H3714">
        <v>0.91515519999999995</v>
      </c>
      <c r="I3714">
        <v>140.54140000000001</v>
      </c>
      <c r="J3714">
        <v>-294.00069999999999</v>
      </c>
      <c r="K3714">
        <v>1.1094869999999999</v>
      </c>
      <c r="L3714">
        <v>140.50450000000001</v>
      </c>
      <c r="M3714">
        <v>-0.99972780000000006</v>
      </c>
      <c r="N3714">
        <v>0</v>
      </c>
      <c r="O3714">
        <v>1.8068589999999999E-2</v>
      </c>
      <c r="P3714">
        <v>-0.99761929999999999</v>
      </c>
      <c r="Q3714">
        <v>2.5496910000000001E-2</v>
      </c>
      <c r="R3714">
        <v>6.4077529999999994E-2</v>
      </c>
      <c r="S3714">
        <v>-3.0145870000000001</v>
      </c>
      <c r="T3714">
        <v>-0.65529019999999905</v>
      </c>
      <c r="U3714">
        <v>0.147644</v>
      </c>
      <c r="V3714">
        <v>4.6075940000000003E-2</v>
      </c>
      <c r="W3714">
        <v>4.0195429999999997E-2</v>
      </c>
      <c r="X3714">
        <v>0.99812889999999999</v>
      </c>
      <c r="Y3714">
        <v>3.0569820000000001E-2</v>
      </c>
      <c r="Z3714">
        <v>-5.9760620000000005E-4</v>
      </c>
      <c r="AA3714">
        <v>0.99953250000000005</v>
      </c>
      <c r="AB3714">
        <v>36</v>
      </c>
      <c r="AC3714">
        <v>-0.51529999999996701</v>
      </c>
      <c r="AD3714">
        <v>-0.1943318</v>
      </c>
      <c r="AE3714">
        <v>3.6900000000002799E-2</v>
      </c>
      <c r="AF3714">
        <v>2.4163203529567901E-2</v>
      </c>
      <c r="AG3714">
        <v>-0.1943318</v>
      </c>
      <c r="AH3714">
        <v>0.45193532598875402</v>
      </c>
      <c r="AI3714">
        <v>113.238000957835</v>
      </c>
      <c r="AJ3714">
        <v>86.939534143189107</v>
      </c>
      <c r="AK3714">
        <v>0.49253857490821201</v>
      </c>
      <c r="AL3714">
        <v>87.696350857945603</v>
      </c>
      <c r="AM3714">
        <v>87.356970548070905</v>
      </c>
      <c r="AN3714">
        <v>0.99999998292748904</v>
      </c>
    </row>
    <row r="3715" spans="1:40" x14ac:dyDescent="0.25">
      <c r="A3715" t="str">
        <f>"20190312154631174"</f>
        <v>20190312154631174</v>
      </c>
      <c r="B3715" t="str">
        <f>"1552376791170857"</f>
        <v>1552376791170857</v>
      </c>
      <c r="C3715" t="s">
        <v>40</v>
      </c>
      <c r="D3715">
        <v>4.4900159999999998</v>
      </c>
      <c r="E3715">
        <v>0.49826599999999999</v>
      </c>
      <c r="F3715" t="s">
        <v>41</v>
      </c>
      <c r="G3715">
        <v>-294.85829999999999</v>
      </c>
      <c r="H3715">
        <v>0.95859550000000004</v>
      </c>
      <c r="I3715">
        <v>140.5472</v>
      </c>
      <c r="J3715">
        <v>-294.34989999999999</v>
      </c>
      <c r="K3715">
        <v>1.1094869999999999</v>
      </c>
      <c r="L3715">
        <v>140.5112</v>
      </c>
      <c r="M3715">
        <v>-0.99972150000000004</v>
      </c>
      <c r="N3715">
        <v>0</v>
      </c>
      <c r="O3715">
        <v>1.8420309999999999E-2</v>
      </c>
      <c r="P3715">
        <v>-0.99764070000000005</v>
      </c>
      <c r="Q3715">
        <v>2.548214E-2</v>
      </c>
      <c r="R3715">
        <v>6.3746090000000005E-2</v>
      </c>
      <c r="S3715">
        <v>-3.0111690000000002</v>
      </c>
      <c r="T3715">
        <v>-0.52987479999999998</v>
      </c>
      <c r="U3715">
        <v>0.14854429999999999</v>
      </c>
      <c r="V3715">
        <v>4.5392410000000001E-2</v>
      </c>
      <c r="W3715">
        <v>4.0179230000000003E-2</v>
      </c>
      <c r="X3715">
        <v>0.99816090000000002</v>
      </c>
      <c r="Y3715">
        <v>3.06751E-2</v>
      </c>
      <c r="Z3715">
        <v>-5.3786719999999999E-4</v>
      </c>
      <c r="AA3715">
        <v>0.99952920000000001</v>
      </c>
      <c r="AB3715">
        <v>36</v>
      </c>
      <c r="AC3715">
        <v>-0.50839999999999397</v>
      </c>
      <c r="AD3715">
        <v>-0.15089150000000001</v>
      </c>
      <c r="AE3715">
        <v>3.6000000000001302E-2</v>
      </c>
      <c r="AF3715">
        <v>2.4482152899940501E-2</v>
      </c>
      <c r="AG3715">
        <v>-0.15089150000000001</v>
      </c>
      <c r="AH3715">
        <v>0.46796069985303002</v>
      </c>
      <c r="AI3715">
        <v>107.848789280026</v>
      </c>
      <c r="AJ3715">
        <v>87.005205001150699</v>
      </c>
      <c r="AK3715">
        <v>0.49229547752320901</v>
      </c>
      <c r="AL3715">
        <v>87.697279866657198</v>
      </c>
      <c r="AM3715">
        <v>87.396208505668596</v>
      </c>
      <c r="AN3715">
        <v>1.0000000118489001</v>
      </c>
    </row>
    <row r="3716" spans="1:40" x14ac:dyDescent="0.25">
      <c r="A3716" t="str">
        <f>"20190312154631196"</f>
        <v>20190312154631196</v>
      </c>
      <c r="B3716" t="str">
        <f>"1552376791191353"</f>
        <v>1552376791191353</v>
      </c>
      <c r="C3716" t="s">
        <v>40</v>
      </c>
      <c r="D3716">
        <v>4.473598</v>
      </c>
      <c r="E3716">
        <v>0.49810720000000003</v>
      </c>
      <c r="F3716" t="s">
        <v>41</v>
      </c>
      <c r="G3716">
        <v>-295.20069999999998</v>
      </c>
      <c r="H3716">
        <v>1.0013449999999999</v>
      </c>
      <c r="I3716">
        <v>140.55709999999999</v>
      </c>
      <c r="J3716">
        <v>-294.69060000000002</v>
      </c>
      <c r="K3716">
        <v>1.1094820000000001</v>
      </c>
      <c r="L3716">
        <v>140.51779999999999</v>
      </c>
      <c r="M3716">
        <v>-0.99971500000000002</v>
      </c>
      <c r="N3716">
        <v>0</v>
      </c>
      <c r="O3716">
        <v>1.8763499999999999E-2</v>
      </c>
      <c r="P3716">
        <v>-0.99772169999999905</v>
      </c>
      <c r="Q3716">
        <v>2.4915050000000001E-2</v>
      </c>
      <c r="R3716">
        <v>6.2695580000000001E-2</v>
      </c>
      <c r="S3716">
        <v>-3.0065309999999998</v>
      </c>
      <c r="T3716">
        <v>-0.38219520000000001</v>
      </c>
      <c r="U3716">
        <v>0.1618347</v>
      </c>
      <c r="V3716">
        <v>4.3997370000000001E-2</v>
      </c>
      <c r="W3716">
        <v>3.9610810000000003E-2</v>
      </c>
      <c r="X3716">
        <v>0.99824610000000003</v>
      </c>
      <c r="Y3716">
        <v>3.4872800000000002E-2</v>
      </c>
      <c r="Z3716">
        <v>-1.6776289999999999E-4</v>
      </c>
      <c r="AA3716">
        <v>0.99939169999999999</v>
      </c>
      <c r="AB3716">
        <v>36</v>
      </c>
      <c r="AC3716">
        <v>-0.51009999999996503</v>
      </c>
      <c r="AD3716">
        <v>-0.108136999999999</v>
      </c>
      <c r="AE3716">
        <v>3.9299999999997198E-2</v>
      </c>
      <c r="AF3716">
        <v>2.84497727282099E-2</v>
      </c>
      <c r="AG3716">
        <v>-0.108136999999999</v>
      </c>
      <c r="AH3716">
        <v>0.48890564320454599</v>
      </c>
      <c r="AI3716">
        <v>102.451580161633</v>
      </c>
      <c r="AJ3716">
        <v>86.669672799228906</v>
      </c>
      <c r="AK3716">
        <v>0.50152938926302004</v>
      </c>
      <c r="AL3716">
        <v>87.729873924919104</v>
      </c>
      <c r="AM3716">
        <v>87.476340566822202</v>
      </c>
      <c r="AN3716">
        <v>1.0000000305004899</v>
      </c>
    </row>
    <row r="3717" spans="1:40" x14ac:dyDescent="0.25">
      <c r="A3717" t="str">
        <f>"20190312154631218"</f>
        <v>20190312154631218</v>
      </c>
      <c r="B3717" t="str">
        <f>"1552376791210874"</f>
        <v>1552376791210874</v>
      </c>
      <c r="C3717" t="s">
        <v>40</v>
      </c>
      <c r="D3717">
        <v>4.4842430000000002</v>
      </c>
      <c r="E3717">
        <v>0.4978612</v>
      </c>
      <c r="F3717" t="s">
        <v>41</v>
      </c>
      <c r="G3717">
        <v>-295.53030000000001</v>
      </c>
      <c r="H3717">
        <v>1.0184850000000001</v>
      </c>
      <c r="I3717">
        <v>140.56280000000001</v>
      </c>
      <c r="J3717">
        <v>-295.05579999999998</v>
      </c>
      <c r="K3717">
        <v>1.10948</v>
      </c>
      <c r="L3717">
        <v>140.52500000000001</v>
      </c>
      <c r="M3717">
        <v>-0.99970820000000005</v>
      </c>
      <c r="N3717">
        <v>0</v>
      </c>
      <c r="O3717">
        <v>1.9131559999999999E-2</v>
      </c>
      <c r="P3717">
        <v>-0.99775970000000003</v>
      </c>
      <c r="Q3717">
        <v>2.356281E-2</v>
      </c>
      <c r="R3717">
        <v>6.2613849999999999E-2</v>
      </c>
      <c r="S3717">
        <v>-3.0049739999999998</v>
      </c>
      <c r="T3717">
        <v>-0.32570559999999998</v>
      </c>
      <c r="U3717">
        <v>0.15977479999999999</v>
      </c>
      <c r="V3717">
        <v>4.3546010000000003E-2</v>
      </c>
      <c r="W3717">
        <v>3.825667E-2</v>
      </c>
      <c r="X3717">
        <v>0.9983187</v>
      </c>
      <c r="Y3717">
        <v>3.389255E-2</v>
      </c>
      <c r="Z3717">
        <v>-2.3587209999999999E-4</v>
      </c>
      <c r="AA3717">
        <v>0.99942549999999997</v>
      </c>
      <c r="AB3717">
        <v>36</v>
      </c>
      <c r="AC3717">
        <v>-0.47450000000003401</v>
      </c>
      <c r="AD3717">
        <v>-9.0994999999999895E-2</v>
      </c>
      <c r="AE3717">
        <v>3.7800000000004198E-2</v>
      </c>
      <c r="AF3717">
        <v>2.77018337245107E-2</v>
      </c>
      <c r="AG3717">
        <v>-9.0994999999999895E-2</v>
      </c>
      <c r="AH3717">
        <v>0.45838519175486497</v>
      </c>
      <c r="AI3717">
        <v>101.208007389147</v>
      </c>
      <c r="AJ3717">
        <v>86.541620130912804</v>
      </c>
      <c r="AK3717">
        <v>0.46815004607160399</v>
      </c>
      <c r="AL3717">
        <v>87.807519299469206</v>
      </c>
      <c r="AM3717">
        <v>87.502378727861</v>
      </c>
      <c r="AN3717">
        <v>1.00000002727804</v>
      </c>
    </row>
    <row r="3718" spans="1:40" x14ac:dyDescent="0.25">
      <c r="A3718" t="str">
        <f>"20190312154631241"</f>
        <v>20190312154631241</v>
      </c>
      <c r="B3718" t="str">
        <f>"1552376791231369"</f>
        <v>1552376791231369</v>
      </c>
      <c r="C3718" t="s">
        <v>40</v>
      </c>
      <c r="D3718">
        <v>4.5089230000000002</v>
      </c>
      <c r="E3718">
        <v>0.49825619999999998</v>
      </c>
      <c r="F3718" t="s">
        <v>41</v>
      </c>
      <c r="G3718">
        <v>-295.8578</v>
      </c>
      <c r="H3718">
        <v>1.032033</v>
      </c>
      <c r="I3718">
        <v>140.5676</v>
      </c>
      <c r="J3718">
        <v>-295.41649999999998</v>
      </c>
      <c r="K3718">
        <v>1.109483</v>
      </c>
      <c r="L3718">
        <v>140.53229999999999</v>
      </c>
      <c r="M3718">
        <v>-0.99970130000000001</v>
      </c>
      <c r="N3718">
        <v>0</v>
      </c>
      <c r="O3718">
        <v>1.9491600000000001E-2</v>
      </c>
      <c r="P3718">
        <v>-0.99774260000000004</v>
      </c>
      <c r="Q3718">
        <v>2.2943990000000001E-2</v>
      </c>
      <c r="R3718">
        <v>6.3113779999999994E-2</v>
      </c>
      <c r="S3718">
        <v>-3.0036320000000001</v>
      </c>
      <c r="T3718">
        <v>-0.29009289999999999</v>
      </c>
      <c r="U3718">
        <v>0.15853879999999901</v>
      </c>
      <c r="V3718">
        <v>4.3685559999999998E-2</v>
      </c>
      <c r="W3718">
        <v>3.763437E-2</v>
      </c>
      <c r="X3718">
        <v>0.99833629999999995</v>
      </c>
      <c r="Y3718">
        <v>3.3168929999999999E-2</v>
      </c>
      <c r="Z3718">
        <v>-2.7980179999999999E-4</v>
      </c>
      <c r="AA3718">
        <v>0.9994497</v>
      </c>
      <c r="AB3718">
        <v>36</v>
      </c>
      <c r="AC3718">
        <v>-0.44130000000001202</v>
      </c>
      <c r="AD3718">
        <v>-7.7450000000000005E-2</v>
      </c>
      <c r="AE3718">
        <v>3.53000000000065E-2</v>
      </c>
      <c r="AF3718">
        <v>2.58980803416431E-2</v>
      </c>
      <c r="AG3718">
        <v>-7.7450000000000005E-2</v>
      </c>
      <c r="AH3718">
        <v>0.42878104740732398</v>
      </c>
      <c r="AI3718">
        <v>100.22060800569</v>
      </c>
      <c r="AJ3718">
        <v>86.543573348621294</v>
      </c>
      <c r="AK3718">
        <v>0.43648871655645899</v>
      </c>
      <c r="AL3718">
        <v>87.843200253872396</v>
      </c>
      <c r="AM3718">
        <v>87.4944290104049</v>
      </c>
      <c r="AN3718">
        <v>1.0000000709277399</v>
      </c>
    </row>
    <row r="3719" spans="1:40" x14ac:dyDescent="0.25">
      <c r="A3719" t="str">
        <f>"20190312154631263"</f>
        <v>20190312154631263</v>
      </c>
      <c r="B3719" t="str">
        <f>"1552376791250890"</f>
        <v>1552376791250890</v>
      </c>
      <c r="C3719" t="s">
        <v>40</v>
      </c>
      <c r="D3719">
        <v>4.4480180000000002</v>
      </c>
      <c r="E3719">
        <v>0.49835600000000002</v>
      </c>
      <c r="F3719" t="s">
        <v>41</v>
      </c>
      <c r="G3719">
        <v>-296.18540000000002</v>
      </c>
      <c r="H3719">
        <v>1.0429079999999999</v>
      </c>
      <c r="I3719">
        <v>140.5744</v>
      </c>
      <c r="J3719">
        <v>-295.76639999999998</v>
      </c>
      <c r="K3719">
        <v>1.1094900000000001</v>
      </c>
      <c r="L3719">
        <v>140.5395</v>
      </c>
      <c r="M3719">
        <v>-0.99969459999999999</v>
      </c>
      <c r="N3719">
        <v>0</v>
      </c>
      <c r="O3719">
        <v>1.9830529999999999E-2</v>
      </c>
      <c r="P3719">
        <v>-0.99769810000000003</v>
      </c>
      <c r="Q3719">
        <v>2.3272540000000001E-2</v>
      </c>
      <c r="R3719">
        <v>6.3694340000000002E-2</v>
      </c>
      <c r="S3719">
        <v>-3.0024109999999999</v>
      </c>
      <c r="T3719">
        <v>-0.26002399999999998</v>
      </c>
      <c r="U3719">
        <v>0.1638184</v>
      </c>
      <c r="V3719">
        <v>4.3928080000000001E-2</v>
      </c>
      <c r="W3719">
        <v>3.7958869999999999E-2</v>
      </c>
      <c r="X3719">
        <v>0.99831329999999996</v>
      </c>
      <c r="Y3719">
        <v>3.4612129999999998E-2</v>
      </c>
      <c r="Z3719">
        <v>-2.1793219999999999E-4</v>
      </c>
      <c r="AA3719">
        <v>0.99940079999999998</v>
      </c>
      <c r="AB3719">
        <v>36</v>
      </c>
      <c r="AC3719">
        <v>-0.41900000000003901</v>
      </c>
      <c r="AD3719">
        <v>-6.6581999999999905E-2</v>
      </c>
      <c r="AE3719">
        <v>3.48999999999932E-2</v>
      </c>
      <c r="AF3719">
        <v>2.5932909338773201E-2</v>
      </c>
      <c r="AG3719">
        <v>-6.6581999999999905E-2</v>
      </c>
      <c r="AH3719">
        <v>0.40934444346468102</v>
      </c>
      <c r="AI3719">
        <v>99.220383130571804</v>
      </c>
      <c r="AJ3719">
        <v>86.375025406183795</v>
      </c>
      <c r="AK3719">
        <v>0.415534056253134</v>
      </c>
      <c r="AL3719">
        <v>87.824594322293095</v>
      </c>
      <c r="AM3719">
        <v>87.480479258793395</v>
      </c>
      <c r="AN3719">
        <v>0.99999999849052601</v>
      </c>
    </row>
    <row r="3720" spans="1:40" x14ac:dyDescent="0.25">
      <c r="A3720" t="str">
        <f>"20190312154631286"</f>
        <v>20190312154631286</v>
      </c>
      <c r="B3720" t="str">
        <f>"1552376791281145"</f>
        <v>1552376791281145</v>
      </c>
      <c r="C3720" t="s">
        <v>40</v>
      </c>
      <c r="D3720">
        <v>4.4819559999999896</v>
      </c>
      <c r="E3720">
        <v>0.4978032</v>
      </c>
      <c r="F3720" t="s">
        <v>52</v>
      </c>
      <c r="G3720">
        <v>-309.9393</v>
      </c>
      <c r="H3720" s="1">
        <v>-9.9930030000000006E-6</v>
      </c>
      <c r="I3720">
        <v>141.328</v>
      </c>
      <c r="J3720">
        <v>-296.12079999999997</v>
      </c>
      <c r="K3720">
        <v>1.10951</v>
      </c>
      <c r="L3720">
        <v>140.54679999999999</v>
      </c>
      <c r="M3720">
        <v>-0.99968820000000003</v>
      </c>
      <c r="N3720">
        <v>0</v>
      </c>
      <c r="O3720">
        <v>2.0155099999999999E-2</v>
      </c>
      <c r="P3720">
        <v>-0.99763369999999996</v>
      </c>
      <c r="Q3720">
        <v>2.46339E-2</v>
      </c>
      <c r="R3720">
        <v>6.4190349999999993E-2</v>
      </c>
      <c r="S3720">
        <v>-3.0017399999999999</v>
      </c>
      <c r="T3720">
        <v>-0.23498669999999999</v>
      </c>
      <c r="U3720">
        <v>0.167007399999999</v>
      </c>
      <c r="V3720">
        <v>4.410091E-2</v>
      </c>
      <c r="W3720">
        <v>3.9317310000000001E-2</v>
      </c>
      <c r="X3720">
        <v>0.9982531</v>
      </c>
      <c r="Y3720">
        <v>3.536715E-2</v>
      </c>
      <c r="Z3720">
        <v>-1.929066E-4</v>
      </c>
      <c r="AA3720">
        <v>0.9993744</v>
      </c>
      <c r="AB3720">
        <v>36</v>
      </c>
      <c r="AC3720">
        <v>-13.8185</v>
      </c>
      <c r="AD3720">
        <v>-1.109519993003</v>
      </c>
      <c r="AE3720">
        <v>0.781200000000012</v>
      </c>
      <c r="AF3720">
        <v>0.499289171043242</v>
      </c>
      <c r="AG3720">
        <v>-1.109519993003</v>
      </c>
      <c r="AH3720">
        <v>13.7431214843968</v>
      </c>
      <c r="AI3720">
        <v>94.612605439293901</v>
      </c>
      <c r="AJ3720">
        <v>87.919352872830004</v>
      </c>
      <c r="AK3720">
        <v>13.796873284410699</v>
      </c>
      <c r="AL3720">
        <v>87.746703269139601</v>
      </c>
      <c r="AM3720">
        <v>87.470427002866998</v>
      </c>
      <c r="AN3720">
        <v>0.99999999639403703</v>
      </c>
    </row>
    <row r="3721" spans="1:40" x14ac:dyDescent="0.25">
      <c r="A3721" t="str">
        <f>"20190312154631308"</f>
        <v>20190312154631308</v>
      </c>
      <c r="B3721" t="str">
        <f>"1552376791301641"</f>
        <v>1552376791301641</v>
      </c>
      <c r="C3721" t="s">
        <v>40</v>
      </c>
      <c r="D3721">
        <v>4.5203949999999997</v>
      </c>
      <c r="E3721">
        <v>0.49749280000000001</v>
      </c>
      <c r="F3721" t="s">
        <v>41</v>
      </c>
      <c r="G3721">
        <v>-297.14080000000001</v>
      </c>
      <c r="H3721">
        <v>1.0400670000000001</v>
      </c>
      <c r="I3721">
        <v>140.60319999999999</v>
      </c>
      <c r="J3721">
        <v>-296.4948</v>
      </c>
      <c r="K3721">
        <v>1.1095349999999999</v>
      </c>
      <c r="L3721">
        <v>140.5547</v>
      </c>
      <c r="M3721">
        <v>-0.99968199999999996</v>
      </c>
      <c r="N3721">
        <v>0</v>
      </c>
      <c r="O3721">
        <v>2.046659E-2</v>
      </c>
      <c r="P3721">
        <v>-0.99754569999999998</v>
      </c>
      <c r="Q3721">
        <v>2.603252E-2</v>
      </c>
      <c r="R3721">
        <v>6.4999950000000001E-2</v>
      </c>
      <c r="S3721">
        <v>-3.0014949999999998</v>
      </c>
      <c r="T3721">
        <v>-0.20442869999999999</v>
      </c>
      <c r="U3721">
        <v>0.1651154</v>
      </c>
      <c r="V3721">
        <v>4.4599979999999997E-2</v>
      </c>
      <c r="W3721">
        <v>4.0713329999999999E-2</v>
      </c>
      <c r="X3721">
        <v>0.99817500000000003</v>
      </c>
      <c r="Y3721">
        <v>3.4446289999999997E-2</v>
      </c>
      <c r="Z3721">
        <v>-2.2036850000000001E-4</v>
      </c>
      <c r="AA3721">
        <v>0.99940649999999998</v>
      </c>
      <c r="AB3721">
        <v>36</v>
      </c>
      <c r="AC3721">
        <v>-0.64600000000001501</v>
      </c>
      <c r="AD3721">
        <v>-6.9467999999999794E-2</v>
      </c>
      <c r="AE3721">
        <v>4.8499999999990002E-2</v>
      </c>
      <c r="AF3721">
        <v>3.4866058892457502E-2</v>
      </c>
      <c r="AG3721">
        <v>-6.9467999999999794E-2</v>
      </c>
      <c r="AH3721">
        <v>0.63950368463671503</v>
      </c>
      <c r="AI3721">
        <v>96.190494190208497</v>
      </c>
      <c r="AJ3721">
        <v>86.879295244598495</v>
      </c>
      <c r="AK3721">
        <v>0.64420990969607705</v>
      </c>
      <c r="AL3721">
        <v>87.666653176538603</v>
      </c>
      <c r="AM3721">
        <v>87.441638896610201</v>
      </c>
      <c r="AN3721">
        <v>1.0000000320403399</v>
      </c>
    </row>
    <row r="3722" spans="1:40" x14ac:dyDescent="0.25">
      <c r="A3722" t="str">
        <f>"20190312154631330"</f>
        <v>20190312154631330</v>
      </c>
      <c r="B3722" t="str">
        <f>"1552376791321165"</f>
        <v>1552376791321165</v>
      </c>
      <c r="C3722" t="s">
        <v>40</v>
      </c>
      <c r="D3722">
        <v>4.5179720000000003</v>
      </c>
      <c r="E3722">
        <v>0.49706230000000001</v>
      </c>
      <c r="F3722" t="s">
        <v>41</v>
      </c>
      <c r="G3722">
        <v>-297.46800000000002</v>
      </c>
      <c r="H3722">
        <v>1.0493669999999999</v>
      </c>
      <c r="I3722">
        <v>140.60890000000001</v>
      </c>
      <c r="J3722">
        <v>-296.84780000000001</v>
      </c>
      <c r="K3722">
        <v>1.109564</v>
      </c>
      <c r="L3722">
        <v>140.56219999999999</v>
      </c>
      <c r="M3722">
        <v>-0.99967660000000003</v>
      </c>
      <c r="N3722">
        <v>0</v>
      </c>
      <c r="O3722">
        <v>2.0731960000000001E-2</v>
      </c>
      <c r="P3722">
        <v>-0.99744809999999995</v>
      </c>
      <c r="Q3722">
        <v>2.603898E-2</v>
      </c>
      <c r="R3722">
        <v>6.6479969999999999E-2</v>
      </c>
      <c r="S3722">
        <v>-3.001465</v>
      </c>
      <c r="T3722">
        <v>-0.18566659999999999</v>
      </c>
      <c r="U3722">
        <v>0.16583249999999999</v>
      </c>
      <c r="V3722">
        <v>4.5814140000000003E-2</v>
      </c>
      <c r="W3722">
        <v>4.0717139999999999E-2</v>
      </c>
      <c r="X3722">
        <v>0.9981198</v>
      </c>
      <c r="Y3722">
        <v>3.4425820000000003E-2</v>
      </c>
      <c r="Z3722">
        <v>-2.171977E-4</v>
      </c>
      <c r="AA3722">
        <v>0.99940720000000005</v>
      </c>
      <c r="AB3722">
        <v>36</v>
      </c>
      <c r="AC3722">
        <v>-0.62020000000001096</v>
      </c>
      <c r="AD3722">
        <v>-6.0197000000000001E-2</v>
      </c>
      <c r="AE3722">
        <v>4.67000000000155E-2</v>
      </c>
      <c r="AF3722">
        <v>3.3516632290480103E-2</v>
      </c>
      <c r="AG3722">
        <v>-6.0197000000000001E-2</v>
      </c>
      <c r="AH3722">
        <v>0.61527131137681901</v>
      </c>
      <c r="AI3722">
        <v>95.579707565737195</v>
      </c>
      <c r="AJ3722">
        <v>86.881919618162797</v>
      </c>
      <c r="AK3722">
        <v>0.61911697606546501</v>
      </c>
      <c r="AL3722">
        <v>87.666434572361993</v>
      </c>
      <c r="AM3722">
        <v>87.371943000328002</v>
      </c>
      <c r="AN3722">
        <v>0.99999997803287899</v>
      </c>
    </row>
    <row r="3723" spans="1:40" x14ac:dyDescent="0.25">
      <c r="A3723" t="str">
        <f>"20190312154631354"</f>
        <v>20190312154631354</v>
      </c>
      <c r="B3723" t="str">
        <f>"1552376791340681"</f>
        <v>1552376791340681</v>
      </c>
      <c r="C3723" t="s">
        <v>40</v>
      </c>
      <c r="D3723">
        <v>4.5868900000000004</v>
      </c>
      <c r="E3723">
        <v>0.49667909999999998</v>
      </c>
      <c r="F3723" t="s">
        <v>52</v>
      </c>
      <c r="G3723">
        <v>-316.03719999999998</v>
      </c>
      <c r="H3723" s="1">
        <v>-7.6575519999999997E-6</v>
      </c>
      <c r="I3723">
        <v>141.63159999999999</v>
      </c>
      <c r="J3723">
        <v>-297.2115</v>
      </c>
      <c r="K3723">
        <v>1.10959599999999</v>
      </c>
      <c r="L3723">
        <v>140.57</v>
      </c>
      <c r="M3723">
        <v>-0.99967169999999905</v>
      </c>
      <c r="N3723">
        <v>0</v>
      </c>
      <c r="O3723">
        <v>2.096431E-2</v>
      </c>
      <c r="P3723">
        <v>-0.99738199999999999</v>
      </c>
      <c r="Q3723">
        <v>2.6101429999999998E-2</v>
      </c>
      <c r="R3723">
        <v>6.7439440000000003E-2</v>
      </c>
      <c r="S3723">
        <v>-3.0010680000000001</v>
      </c>
      <c r="T3723">
        <v>-0.17352809999999999</v>
      </c>
      <c r="U3723">
        <v>0.16723629999999901</v>
      </c>
      <c r="V3723">
        <v>4.6539780000000003E-2</v>
      </c>
      <c r="W3723">
        <v>4.0777639999999997E-2</v>
      </c>
      <c r="X3723">
        <v>0.99808379999999997</v>
      </c>
      <c r="Y3723">
        <v>3.467013E-2</v>
      </c>
      <c r="Z3723">
        <v>-2.0940180000000001E-4</v>
      </c>
      <c r="AA3723">
        <v>0.99939880000000003</v>
      </c>
      <c r="AB3723">
        <v>36</v>
      </c>
      <c r="AC3723">
        <v>-18.825699999999902</v>
      </c>
      <c r="AD3723">
        <v>-1.1096036575520001</v>
      </c>
      <c r="AE3723">
        <v>1.0615999999999901</v>
      </c>
      <c r="AF3723">
        <v>0.664355324766848</v>
      </c>
      <c r="AG3723">
        <v>-1.1096036575520001</v>
      </c>
      <c r="AH3723">
        <v>18.7787885366129</v>
      </c>
      <c r="AI3723">
        <v>93.379459831679995</v>
      </c>
      <c r="AJ3723">
        <v>87.973836947705806</v>
      </c>
      <c r="AK3723">
        <v>18.8232698322375</v>
      </c>
      <c r="AL3723">
        <v>87.662965393132794</v>
      </c>
      <c r="AM3723">
        <v>87.330281387176399</v>
      </c>
      <c r="AN3723">
        <v>1.0000000194344201</v>
      </c>
    </row>
    <row r="3724" spans="1:40" x14ac:dyDescent="0.25">
      <c r="A3724" t="str">
        <f>"20190312154631378"</f>
        <v>20190312154631378</v>
      </c>
      <c r="B3724" t="str">
        <f>"1552376791370937"</f>
        <v>1552376791370937</v>
      </c>
      <c r="C3724" t="s">
        <v>40</v>
      </c>
      <c r="D3724">
        <v>4.5835540000000004</v>
      </c>
      <c r="E3724">
        <v>0.49620839999999999</v>
      </c>
      <c r="F3724" t="s">
        <v>52</v>
      </c>
      <c r="G3724">
        <v>-317.59899999999999</v>
      </c>
      <c r="H3724" s="1">
        <v>-6.9846769999999998E-6</v>
      </c>
      <c r="I3724">
        <v>141.7062</v>
      </c>
      <c r="J3724">
        <v>-297.5992</v>
      </c>
      <c r="K3724">
        <v>1.109637</v>
      </c>
      <c r="L3724">
        <v>140.57839999999999</v>
      </c>
      <c r="M3724">
        <v>-0.99966790000000005</v>
      </c>
      <c r="N3724">
        <v>0</v>
      </c>
      <c r="O3724">
        <v>2.1149919999999999E-2</v>
      </c>
      <c r="P3724">
        <v>-0.99731049999999999</v>
      </c>
      <c r="Q3724">
        <v>2.6099230000000001E-2</v>
      </c>
      <c r="R3724">
        <v>6.8492150000000002E-2</v>
      </c>
      <c r="S3724">
        <v>-3.0008539999999999</v>
      </c>
      <c r="T3724">
        <v>-0.16332349999999901</v>
      </c>
      <c r="U3724">
        <v>0.16723629999999901</v>
      </c>
      <c r="V3724">
        <v>4.740407E-2</v>
      </c>
      <c r="W3724">
        <v>4.0775260000000001E-2</v>
      </c>
      <c r="X3724">
        <v>0.99804320000000002</v>
      </c>
      <c r="Y3724">
        <v>3.4491670000000002E-2</v>
      </c>
      <c r="Z3724">
        <v>-2.1205209999999999E-4</v>
      </c>
      <c r="AA3724">
        <v>0.99940499999999999</v>
      </c>
      <c r="AB3724">
        <v>36</v>
      </c>
      <c r="AC3724">
        <v>-19.9998</v>
      </c>
      <c r="AD3724">
        <v>-1.1096439846770001</v>
      </c>
      <c r="AE3724">
        <v>1.1277999999999999</v>
      </c>
      <c r="AF3724">
        <v>0.70235242664040598</v>
      </c>
      <c r="AG3724">
        <v>-1.1096439846770001</v>
      </c>
      <c r="AH3724">
        <v>19.957938353316699</v>
      </c>
      <c r="AI3724">
        <v>93.180354292059803</v>
      </c>
      <c r="AJ3724">
        <v>87.984499757071404</v>
      </c>
      <c r="AK3724">
        <v>20.001097770340699</v>
      </c>
      <c r="AL3724">
        <v>87.663101821349699</v>
      </c>
      <c r="AM3724">
        <v>87.280665344372494</v>
      </c>
      <c r="AN3724">
        <v>0.99999999837343601</v>
      </c>
    </row>
    <row r="3725" spans="1:40" x14ac:dyDescent="0.25">
      <c r="A3725" t="str">
        <f>"20190312154631399"</f>
        <v>20190312154631399</v>
      </c>
      <c r="B3725" t="str">
        <f>"1552376791391433"</f>
        <v>1552376791391433</v>
      </c>
      <c r="C3725" t="s">
        <v>40</v>
      </c>
      <c r="D3725">
        <v>4.5715250000000003</v>
      </c>
      <c r="E3725">
        <v>0.49592910000000001</v>
      </c>
      <c r="F3725" t="s">
        <v>52</v>
      </c>
      <c r="G3725">
        <v>-319.5616</v>
      </c>
      <c r="H3725" s="1">
        <v>-6.13927299999999E-6</v>
      </c>
      <c r="I3725">
        <v>141.80070000000001</v>
      </c>
      <c r="J3725">
        <v>-297.93490000000003</v>
      </c>
      <c r="K3725">
        <v>1.1096889999999999</v>
      </c>
      <c r="L3725">
        <v>140.5856</v>
      </c>
      <c r="M3725">
        <v>-0.99966569999999999</v>
      </c>
      <c r="N3725">
        <v>0</v>
      </c>
      <c r="O3725">
        <v>2.125761E-2</v>
      </c>
      <c r="P3725">
        <v>-0.99724880000000005</v>
      </c>
      <c r="Q3725">
        <v>2.6535989999999999E-2</v>
      </c>
      <c r="R3725">
        <v>6.9219559999999999E-2</v>
      </c>
      <c r="S3725">
        <v>-3.0005489999999999</v>
      </c>
      <c r="T3725">
        <v>-0.15160190000000001</v>
      </c>
      <c r="U3725">
        <v>0.16699220000000001</v>
      </c>
      <c r="V3725">
        <v>4.8021040000000001E-2</v>
      </c>
      <c r="W3725">
        <v>4.121263E-2</v>
      </c>
      <c r="X3725">
        <v>0.99799570000000004</v>
      </c>
      <c r="Y3725">
        <v>3.4311660000000001E-2</v>
      </c>
      <c r="Z3725">
        <v>-2.0684690000000001E-4</v>
      </c>
      <c r="AA3725">
        <v>0.99941120000000006</v>
      </c>
      <c r="AB3725">
        <v>36</v>
      </c>
      <c r="AC3725">
        <v>-21.6266999999999</v>
      </c>
      <c r="AD3725">
        <v>-1.1096951392729999</v>
      </c>
      <c r="AE3725">
        <v>1.2151000000000001</v>
      </c>
      <c r="AF3725">
        <v>0.75306713749417198</v>
      </c>
      <c r="AG3725">
        <v>-1.1096951392729999</v>
      </c>
      <c r="AH3725">
        <v>21.590977889631802</v>
      </c>
      <c r="AI3725">
        <v>92.940414065710101</v>
      </c>
      <c r="AJ3725">
        <v>88.002402444173796</v>
      </c>
      <c r="AK3725">
        <v>21.632587909130802</v>
      </c>
      <c r="AL3725">
        <v>87.638021190583103</v>
      </c>
      <c r="AM3725">
        <v>87.245196115572796</v>
      </c>
      <c r="AN3725">
        <v>0.99999995918634299</v>
      </c>
    </row>
    <row r="3726" spans="1:40" x14ac:dyDescent="0.25">
      <c r="A3726" t="str">
        <f>"20190312154631421"</f>
        <v>20190312154631421</v>
      </c>
      <c r="B3726" t="str">
        <f>"1552376791410954"</f>
        <v>1552376791410954</v>
      </c>
      <c r="C3726" t="s">
        <v>40</v>
      </c>
      <c r="D3726">
        <v>4.6363120000000002</v>
      </c>
      <c r="E3726">
        <v>0.49558740000000001</v>
      </c>
      <c r="F3726" t="s">
        <v>42</v>
      </c>
      <c r="G3726">
        <v>-321.02600000000001</v>
      </c>
      <c r="H3726" s="1">
        <v>-4.3267999999999998E-6</v>
      </c>
      <c r="I3726">
        <v>141.87100000000001</v>
      </c>
      <c r="J3726">
        <v>-298.28480000000002</v>
      </c>
      <c r="K3726">
        <v>1.109739</v>
      </c>
      <c r="L3726">
        <v>140.5932</v>
      </c>
      <c r="M3726">
        <v>-0.99966440000000001</v>
      </c>
      <c r="N3726">
        <v>0</v>
      </c>
      <c r="O3726">
        <v>2.132187E-2</v>
      </c>
      <c r="P3726">
        <v>-0.99720339999999996</v>
      </c>
      <c r="Q3726">
        <v>2.708721E-2</v>
      </c>
      <c r="R3726">
        <v>6.9656770000000007E-2</v>
      </c>
      <c r="S3726">
        <v>-3.0005190000000002</v>
      </c>
      <c r="T3726">
        <v>-0.14419670000000001</v>
      </c>
      <c r="U3726">
        <v>0.16703799999999999</v>
      </c>
      <c r="V3726">
        <v>4.8390370000000002E-2</v>
      </c>
      <c r="W3726">
        <v>4.1764339999999997E-2</v>
      </c>
      <c r="X3726">
        <v>0.99795500000000004</v>
      </c>
      <c r="Y3726">
        <v>3.4264900000000001E-2</v>
      </c>
      <c r="Z3726">
        <v>-2.009615E-4</v>
      </c>
      <c r="AA3726">
        <v>0.99941279999999999</v>
      </c>
      <c r="AB3726">
        <v>36</v>
      </c>
      <c r="AC3726">
        <v>-22.7411999999999</v>
      </c>
      <c r="AD3726">
        <v>-1.1097433268000001</v>
      </c>
      <c r="AE3726">
        <v>1.27780000000001</v>
      </c>
      <c r="AF3726">
        <v>0.79069507254743798</v>
      </c>
      <c r="AG3726">
        <v>-1.1097433268000001</v>
      </c>
      <c r="AH3726">
        <v>22.709368853571199</v>
      </c>
      <c r="AI3726">
        <v>92.795967374459806</v>
      </c>
      <c r="AJ3726">
        <v>88.005880432597706</v>
      </c>
      <c r="AK3726">
        <v>22.750212365529201</v>
      </c>
      <c r="AL3726">
        <v>87.606383475186803</v>
      </c>
      <c r="AM3726">
        <v>87.223928886923304</v>
      </c>
      <c r="AN3726">
        <v>1.00000003501468</v>
      </c>
    </row>
    <row r="3727" spans="1:40" x14ac:dyDescent="0.25">
      <c r="A3727" t="str">
        <f>"20190312154631443"</f>
        <v>20190312154631443</v>
      </c>
      <c r="B3727" t="str">
        <f>"1552376791431450"</f>
        <v>1552376791431450</v>
      </c>
      <c r="C3727" t="s">
        <v>40</v>
      </c>
      <c r="D3727">
        <v>4.6617670000000002</v>
      </c>
      <c r="E3727">
        <v>0.49530629999999998</v>
      </c>
      <c r="F3727" t="s">
        <v>42</v>
      </c>
      <c r="G3727">
        <v>-322.57159999999999</v>
      </c>
      <c r="H3727" s="1">
        <v>-3.7857099999999999E-6</v>
      </c>
      <c r="I3727">
        <v>141.93389999999999</v>
      </c>
      <c r="J3727">
        <v>-298.62569999999999</v>
      </c>
      <c r="K3727">
        <v>1.1097840000000001</v>
      </c>
      <c r="L3727">
        <v>140.60050000000001</v>
      </c>
      <c r="M3727">
        <v>-0.99966440000000001</v>
      </c>
      <c r="N3727">
        <v>0</v>
      </c>
      <c r="O3727">
        <v>2.1329540000000001E-2</v>
      </c>
      <c r="P3727">
        <v>-0.99719170000000001</v>
      </c>
      <c r="Q3727">
        <v>2.7146880000000002E-2</v>
      </c>
      <c r="R3727">
        <v>6.9799390000000003E-2</v>
      </c>
      <c r="S3727">
        <v>-3.0005799999999998</v>
      </c>
      <c r="T3727">
        <v>-0.1371067</v>
      </c>
      <c r="U3727">
        <v>0.1656494</v>
      </c>
      <c r="V3727">
        <v>4.8520599999999997E-2</v>
      </c>
      <c r="W3727">
        <v>4.1825790000000002E-2</v>
      </c>
      <c r="X3727">
        <v>0.99794609999999995</v>
      </c>
      <c r="Y3727">
        <v>3.3796949999999999E-2</v>
      </c>
      <c r="Z3727">
        <v>-2.021181E-4</v>
      </c>
      <c r="AA3727">
        <v>0.99942869999999995</v>
      </c>
      <c r="AB3727">
        <v>36</v>
      </c>
      <c r="AC3727">
        <v>-23.945899999999899</v>
      </c>
      <c r="AD3727">
        <v>-1.10978778571</v>
      </c>
      <c r="AE3727">
        <v>1.3333999999999799</v>
      </c>
      <c r="AF3727">
        <v>0.82052936623027894</v>
      </c>
      <c r="AG3727">
        <v>-1.10978778571</v>
      </c>
      <c r="AH3727">
        <v>23.917680600794299</v>
      </c>
      <c r="AI3727">
        <v>92.655076712941195</v>
      </c>
      <c r="AJ3727">
        <v>88.035159016822007</v>
      </c>
      <c r="AK3727">
        <v>23.957469455094099</v>
      </c>
      <c r="AL3727">
        <v>87.602859563062395</v>
      </c>
      <c r="AM3727">
        <v>87.216444767777901</v>
      </c>
      <c r="AN3727">
        <v>1.0000000319193401</v>
      </c>
    </row>
    <row r="3728" spans="1:40" x14ac:dyDescent="0.25">
      <c r="A3728" t="str">
        <f>"20190312154631464"</f>
        <v>20190312154631464</v>
      </c>
      <c r="B3728" t="str">
        <f>"1552376791450969"</f>
        <v>1552376791450969</v>
      </c>
      <c r="C3728" t="s">
        <v>40</v>
      </c>
      <c r="D3728">
        <v>4.6763620000000001</v>
      </c>
      <c r="E3728">
        <v>0.49506060000000002</v>
      </c>
      <c r="F3728" t="s">
        <v>42</v>
      </c>
      <c r="G3728">
        <v>-323.75959999999998</v>
      </c>
      <c r="H3728" s="1">
        <v>-3.2862910000000002E-6</v>
      </c>
      <c r="I3728">
        <v>141.97239999999999</v>
      </c>
      <c r="J3728">
        <v>-298.95890000000003</v>
      </c>
      <c r="K3728">
        <v>1.1098330000000001</v>
      </c>
      <c r="L3728">
        <v>140.60749999999999</v>
      </c>
      <c r="M3728">
        <v>-0.99966540000000004</v>
      </c>
      <c r="N3728">
        <v>0</v>
      </c>
      <c r="O3728">
        <v>2.1274020000000001E-2</v>
      </c>
      <c r="P3728">
        <v>-0.99720169999999997</v>
      </c>
      <c r="Q3728">
        <v>2.6116520000000001E-2</v>
      </c>
      <c r="R3728">
        <v>7.0047769999999995E-2</v>
      </c>
      <c r="S3728">
        <v>-3.0005489999999999</v>
      </c>
      <c r="T3728">
        <v>-0.13248940000000001</v>
      </c>
      <c r="U3728">
        <v>0.16378779999999901</v>
      </c>
      <c r="V3728">
        <v>4.8819149999999999E-2</v>
      </c>
      <c r="W3728">
        <v>4.0798130000000002E-2</v>
      </c>
      <c r="X3728">
        <v>0.99797400000000003</v>
      </c>
      <c r="Y3728">
        <v>3.3236160000000001E-2</v>
      </c>
      <c r="Z3728">
        <v>-2.0524319999999999E-4</v>
      </c>
      <c r="AA3728">
        <v>0.99944750000000004</v>
      </c>
      <c r="AB3728">
        <v>35</v>
      </c>
      <c r="AC3728">
        <v>-24.8006999999999</v>
      </c>
      <c r="AD3728">
        <v>-1.1098362862909901</v>
      </c>
      <c r="AE3728">
        <v>1.3649</v>
      </c>
      <c r="AF3728">
        <v>0.83525570442771002</v>
      </c>
      <c r="AG3728">
        <v>-1.1098362862909901</v>
      </c>
      <c r="AH3728">
        <v>24.7746625660576</v>
      </c>
      <c r="AI3728">
        <v>92.563522861057606</v>
      </c>
      <c r="AJ3728">
        <v>88.069055149883397</v>
      </c>
      <c r="AK3728">
        <v>24.8135707615039</v>
      </c>
      <c r="AL3728">
        <v>87.661790264163102</v>
      </c>
      <c r="AM3728">
        <v>87.199422752669307</v>
      </c>
      <c r="AN3728">
        <v>0.99999995074710801</v>
      </c>
    </row>
    <row r="3729" spans="1:40" x14ac:dyDescent="0.25">
      <c r="A3729" t="str">
        <f>"20190312154631510"</f>
        <v>20190312154631510</v>
      </c>
      <c r="B3729" t="str">
        <f>"1552376791500746"</f>
        <v>1552376791500746</v>
      </c>
      <c r="C3729" t="s">
        <v>40</v>
      </c>
      <c r="D3729">
        <v>4.6829419999999997</v>
      </c>
      <c r="E3729">
        <v>0.49445410000000001</v>
      </c>
      <c r="F3729" t="s">
        <v>42</v>
      </c>
      <c r="G3729">
        <v>-324.26740000000001</v>
      </c>
      <c r="H3729" s="1">
        <v>-3.0703410000000001E-6</v>
      </c>
      <c r="I3729">
        <v>141.9794</v>
      </c>
      <c r="J3729">
        <v>-299.68389999999999</v>
      </c>
      <c r="K3729">
        <v>1.1099319999999999</v>
      </c>
      <c r="L3729">
        <v>140.62270000000001</v>
      </c>
      <c r="M3729">
        <v>-0.99967280000000003</v>
      </c>
      <c r="N3729">
        <v>0</v>
      </c>
      <c r="O3729">
        <v>2.093159E-2</v>
      </c>
      <c r="P3729">
        <v>-0.99722049999999995</v>
      </c>
      <c r="Q3729">
        <v>2.2805220000000001E-2</v>
      </c>
      <c r="R3729">
        <v>7.0930759999999995E-2</v>
      </c>
      <c r="S3729">
        <v>-3.000397</v>
      </c>
      <c r="T3729">
        <v>-0.13157460000000001</v>
      </c>
      <c r="U3729">
        <v>0.16264339999999999</v>
      </c>
      <c r="V3729">
        <v>5.0031810000000003E-2</v>
      </c>
      <c r="W3729">
        <v>3.7494270000000003E-2</v>
      </c>
      <c r="X3729">
        <v>0.99804360000000003</v>
      </c>
      <c r="Y3729">
        <v>3.3201059999999998E-2</v>
      </c>
      <c r="Z3729">
        <v>-1.896159E-4</v>
      </c>
      <c r="AA3729">
        <v>0.99944869999999997</v>
      </c>
      <c r="AB3729">
        <v>35</v>
      </c>
      <c r="AC3729">
        <v>-24.583500000000001</v>
      </c>
      <c r="AD3729">
        <v>-1.109935070341</v>
      </c>
      <c r="AE3729">
        <v>1.35669999999998</v>
      </c>
      <c r="AF3729">
        <v>0.840068062424283</v>
      </c>
      <c r="AG3729">
        <v>-1.109935070341</v>
      </c>
      <c r="AH3729">
        <v>24.5566074991271</v>
      </c>
      <c r="AI3729">
        <v>92.586441860254794</v>
      </c>
      <c r="AJ3729">
        <v>88.040706907909893</v>
      </c>
      <c r="AK3729">
        <v>24.596028989982599</v>
      </c>
      <c r="AL3729">
        <v>87.851232941027305</v>
      </c>
      <c r="AM3729">
        <v>87.130171569092198</v>
      </c>
      <c r="AN3729">
        <v>1.0000000148978301</v>
      </c>
    </row>
    <row r="3730" spans="1:40" x14ac:dyDescent="0.25">
      <c r="A3730" t="str">
        <f>"20190312154631531"</f>
        <v>20190312154631531</v>
      </c>
      <c r="B3730" t="str">
        <f>"1552376791521241"</f>
        <v>1552376791521241</v>
      </c>
      <c r="C3730" t="s">
        <v>40</v>
      </c>
      <c r="D3730">
        <v>4.7072580000000004</v>
      </c>
      <c r="E3730">
        <v>0.4942106</v>
      </c>
      <c r="F3730" t="s">
        <v>42</v>
      </c>
      <c r="G3730">
        <v>-324.40440000000001</v>
      </c>
      <c r="H3730" s="1">
        <v>-3.0030120000000002E-6</v>
      </c>
      <c r="I3730">
        <v>141.94730000000001</v>
      </c>
      <c r="J3730">
        <v>-300.0342</v>
      </c>
      <c r="K3730">
        <v>1.1099840000000001</v>
      </c>
      <c r="L3730">
        <v>140.62979999999999</v>
      </c>
      <c r="M3730">
        <v>-0.99967830000000002</v>
      </c>
      <c r="N3730">
        <v>0</v>
      </c>
      <c r="O3730">
        <v>2.067751E-2</v>
      </c>
      <c r="P3730">
        <v>-0.99723110000000004</v>
      </c>
      <c r="Q3730">
        <v>2.1693049999999998E-2</v>
      </c>
      <c r="R3730">
        <v>7.1132089999999995E-2</v>
      </c>
      <c r="S3730">
        <v>-3</v>
      </c>
      <c r="T3730">
        <v>-0.13469819999999999</v>
      </c>
      <c r="U3730">
        <v>0.16076660000000001</v>
      </c>
      <c r="V3730">
        <v>5.0481739999999997E-2</v>
      </c>
      <c r="W3730">
        <v>3.638591E-2</v>
      </c>
      <c r="X3730">
        <v>0.998062</v>
      </c>
      <c r="Y3730">
        <v>3.2838319999999997E-2</v>
      </c>
      <c r="Z3730">
        <v>-1.9088610000000001E-4</v>
      </c>
      <c r="AA3730">
        <v>0.99946060000000003</v>
      </c>
      <c r="AB3730">
        <v>35</v>
      </c>
      <c r="AC3730">
        <v>-24.370200000000001</v>
      </c>
      <c r="AD3730">
        <v>-1.109987003012</v>
      </c>
      <c r="AE3730">
        <v>1.3175000000000201</v>
      </c>
      <c r="AF3730">
        <v>0.81157012275453899</v>
      </c>
      <c r="AG3730">
        <v>-1.109987003012</v>
      </c>
      <c r="AH3730">
        <v>24.3418834608824</v>
      </c>
      <c r="AI3730">
        <v>92.609424230884898</v>
      </c>
      <c r="AJ3730">
        <v>88.090438444125297</v>
      </c>
      <c r="AK3730">
        <v>24.380689236241501</v>
      </c>
      <c r="AL3730">
        <v>87.914780735433396</v>
      </c>
      <c r="AM3730">
        <v>87.104460567254407</v>
      </c>
      <c r="AN3730">
        <v>1.00000004818197</v>
      </c>
    </row>
    <row r="3731" spans="1:40" x14ac:dyDescent="0.25">
      <c r="A3731" t="str">
        <f>"20190312154631556"</f>
        <v>20190312154631556</v>
      </c>
      <c r="B3731" t="str">
        <f>"1552376791551498"</f>
        <v>1552376791551498</v>
      </c>
      <c r="C3731" t="s">
        <v>40</v>
      </c>
      <c r="D3731">
        <v>4.6804709999999998</v>
      </c>
      <c r="E3731">
        <v>0.49391220000000002</v>
      </c>
      <c r="F3731" t="s">
        <v>42</v>
      </c>
      <c r="G3731">
        <v>-324.62369999999999</v>
      </c>
      <c r="H3731" s="1">
        <v>-2.9062600000000002E-6</v>
      </c>
      <c r="I3731">
        <v>141.93729999999999</v>
      </c>
      <c r="J3731">
        <v>-300.4008</v>
      </c>
      <c r="K3731">
        <v>1.1100429999999999</v>
      </c>
      <c r="L3731">
        <v>140.6371</v>
      </c>
      <c r="M3731">
        <v>-0.99968500000000005</v>
      </c>
      <c r="N3731">
        <v>0</v>
      </c>
      <c r="O3731">
        <v>2.034969E-2</v>
      </c>
      <c r="P3731">
        <v>-0.99722730000000004</v>
      </c>
      <c r="Q3731">
        <v>2.185453E-2</v>
      </c>
      <c r="R3731">
        <v>7.1135599999999993E-2</v>
      </c>
      <c r="S3731">
        <v>-2.999908</v>
      </c>
      <c r="T3731">
        <v>-0.13541819999999999</v>
      </c>
      <c r="U3731">
        <v>0.15953059999999999</v>
      </c>
      <c r="V3731">
        <v>5.0807770000000002E-2</v>
      </c>
      <c r="W3731">
        <v>3.6550319999999997E-2</v>
      </c>
      <c r="X3731">
        <v>0.99803940000000002</v>
      </c>
      <c r="Y3731">
        <v>3.27567E-2</v>
      </c>
      <c r="Z3731">
        <v>-1.7897949999999999E-4</v>
      </c>
      <c r="AA3731">
        <v>0.99946330000000005</v>
      </c>
      <c r="AB3731">
        <v>35</v>
      </c>
      <c r="AC3731">
        <v>-24.2228999999999</v>
      </c>
      <c r="AD3731">
        <v>-1.1100459062600001</v>
      </c>
      <c r="AE3731">
        <v>1.30019999999998</v>
      </c>
      <c r="AF3731">
        <v>0.80526276826967003</v>
      </c>
      <c r="AG3731">
        <v>-1.1100459062600001</v>
      </c>
      <c r="AH3731">
        <v>24.1936824748547</v>
      </c>
      <c r="AI3731">
        <v>92.625530293211497</v>
      </c>
      <c r="AJ3731">
        <v>88.093670456677501</v>
      </c>
      <c r="AK3731">
        <v>24.232517857912701</v>
      </c>
      <c r="AL3731">
        <v>87.905354364910295</v>
      </c>
      <c r="AM3731">
        <v>87.085726343701893</v>
      </c>
      <c r="AN3731">
        <v>0.99999999966841702</v>
      </c>
    </row>
    <row r="3732" spans="1:40" x14ac:dyDescent="0.25">
      <c r="A3732" t="str">
        <f>"20190312154631577"</f>
        <v>20190312154631577</v>
      </c>
      <c r="B3732" t="str">
        <f>"1552376791571017"</f>
        <v>1552376791571017</v>
      </c>
      <c r="C3732" t="s">
        <v>40</v>
      </c>
      <c r="D3732">
        <v>4.668863</v>
      </c>
      <c r="E3732">
        <v>0.49371169999999998</v>
      </c>
      <c r="F3732" t="s">
        <v>42</v>
      </c>
      <c r="G3732">
        <v>-325.67899999999997</v>
      </c>
      <c r="H3732" s="1">
        <v>-2.4602510000000001E-6</v>
      </c>
      <c r="I3732">
        <v>141.96260000000001</v>
      </c>
      <c r="J3732">
        <v>-300.74869999999999</v>
      </c>
      <c r="K3732">
        <v>1.1100989999999999</v>
      </c>
      <c r="L3732">
        <v>140.6438</v>
      </c>
      <c r="M3732">
        <v>-0.99969269999999999</v>
      </c>
      <c r="N3732">
        <v>0</v>
      </c>
      <c r="O3732">
        <v>1.9970559999999998E-2</v>
      </c>
      <c r="P3732">
        <v>-0.99726550000000003</v>
      </c>
      <c r="Q3732">
        <v>2.1505570000000002E-2</v>
      </c>
      <c r="R3732">
        <v>7.0703650000000007E-2</v>
      </c>
      <c r="S3732">
        <v>-3</v>
      </c>
      <c r="T3732">
        <v>-0.13173940000000001</v>
      </c>
      <c r="U3732">
        <v>0.15731809999999999</v>
      </c>
      <c r="V3732">
        <v>5.0748960000000003E-2</v>
      </c>
      <c r="W3732">
        <v>3.620483E-2</v>
      </c>
      <c r="X3732">
        <v>0.99805500000000003</v>
      </c>
      <c r="Y3732">
        <v>3.2399730000000002E-2</v>
      </c>
      <c r="Z3732">
        <v>-1.653263E-4</v>
      </c>
      <c r="AA3732">
        <v>0.999475</v>
      </c>
      <c r="AB3732">
        <v>35</v>
      </c>
      <c r="AC3732">
        <v>-24.930299999999999</v>
      </c>
      <c r="AD3732">
        <v>-1.110101460251</v>
      </c>
      <c r="AE3732">
        <v>1.31880000000001</v>
      </c>
      <c r="AF3732">
        <v>0.81899184770321598</v>
      </c>
      <c r="AG3732">
        <v>-1.110101460251</v>
      </c>
      <c r="AH3732">
        <v>24.9024292774738</v>
      </c>
      <c r="AI3732">
        <v>92.551066192324896</v>
      </c>
      <c r="AJ3732">
        <v>88.116333612319593</v>
      </c>
      <c r="AK3732">
        <v>24.9406105943347</v>
      </c>
      <c r="AL3732">
        <v>87.925162626104594</v>
      </c>
      <c r="AM3732">
        <v>87.089139231254805</v>
      </c>
      <c r="AN3732">
        <v>1.0000000148407</v>
      </c>
    </row>
    <row r="3733" spans="1:40" x14ac:dyDescent="0.25">
      <c r="A3733" t="str">
        <f>"20190312154631599"</f>
        <v>20190312154631599</v>
      </c>
      <c r="B3733" t="str">
        <f>"1552376791591513"</f>
        <v>1552376791591513</v>
      </c>
      <c r="C3733" t="s">
        <v>40</v>
      </c>
      <c r="D3733">
        <v>4.7201079999999997</v>
      </c>
      <c r="E3733">
        <v>0.49359730000000002</v>
      </c>
      <c r="F3733" t="s">
        <v>42</v>
      </c>
      <c r="G3733">
        <v>-326.16199999999998</v>
      </c>
      <c r="H3733" s="1">
        <v>-2.2505910000000001E-6</v>
      </c>
      <c r="I3733">
        <v>141.95320000000001</v>
      </c>
      <c r="J3733">
        <v>-301.08780000000002</v>
      </c>
      <c r="K3733">
        <v>1.1101540000000001</v>
      </c>
      <c r="L3733">
        <v>140.65020000000001</v>
      </c>
      <c r="M3733">
        <v>-0.99970130000000001</v>
      </c>
      <c r="N3733">
        <v>0</v>
      </c>
      <c r="O3733">
        <v>1.954208E-2</v>
      </c>
      <c r="P3733">
        <v>-0.99733150000000004</v>
      </c>
      <c r="Q3733">
        <v>2.1272099999999999E-2</v>
      </c>
      <c r="R3733">
        <v>6.9840379999999994E-2</v>
      </c>
      <c r="S3733">
        <v>-3.000092</v>
      </c>
      <c r="T3733">
        <v>-0.1310501</v>
      </c>
      <c r="U3733">
        <v>0.1545868</v>
      </c>
      <c r="V3733">
        <v>5.0307739999999997E-2</v>
      </c>
      <c r="W3733">
        <v>3.597467E-2</v>
      </c>
      <c r="X3733">
        <v>0.99808560000000002</v>
      </c>
      <c r="Y3733">
        <v>3.1919210000000003E-2</v>
      </c>
      <c r="Z3733">
        <v>-1.5625559999999999E-4</v>
      </c>
      <c r="AA3733">
        <v>0.9994904</v>
      </c>
      <c r="AB3733">
        <v>35</v>
      </c>
      <c r="AC3733">
        <v>-25.074200000000001</v>
      </c>
      <c r="AD3733">
        <v>-1.1101562505910001</v>
      </c>
      <c r="AE3733">
        <v>1.3029999999999899</v>
      </c>
      <c r="AF3733">
        <v>0.81111060402848301</v>
      </c>
      <c r="AG3733">
        <v>-1.1101562505910001</v>
      </c>
      <c r="AH3733">
        <v>25.045912438297801</v>
      </c>
      <c r="AI3733">
        <v>92.536637348688402</v>
      </c>
      <c r="AJ3733">
        <v>88.145127359318806</v>
      </c>
      <c r="AK3733">
        <v>25.083621691844598</v>
      </c>
      <c r="AL3733">
        <v>87.938358296018706</v>
      </c>
      <c r="AM3733">
        <v>87.114492104342702</v>
      </c>
      <c r="AN3733">
        <v>0.99999995525643703</v>
      </c>
    </row>
    <row r="3734" spans="1:40" x14ac:dyDescent="0.25">
      <c r="A3734" t="str">
        <f>"20190312154631621"</f>
        <v>20190312154631621</v>
      </c>
      <c r="B3734" t="str">
        <f>"1552376791611033"</f>
        <v>1552376791611033</v>
      </c>
      <c r="C3734" t="s">
        <v>40</v>
      </c>
      <c r="D3734">
        <v>4.6347509999999996</v>
      </c>
      <c r="E3734">
        <v>0.4751706</v>
      </c>
      <c r="F3734" t="s">
        <v>42</v>
      </c>
      <c r="G3734">
        <v>-326.57240000000002</v>
      </c>
      <c r="H3734" s="1">
        <v>-2.0690570000000001E-6</v>
      </c>
      <c r="I3734">
        <v>141.93260000000001</v>
      </c>
      <c r="J3734">
        <v>-301.43819999999999</v>
      </c>
      <c r="K3734">
        <v>1.110212</v>
      </c>
      <c r="L3734">
        <v>140.6566</v>
      </c>
      <c r="M3734">
        <v>-0.99971069999999995</v>
      </c>
      <c r="N3734">
        <v>0</v>
      </c>
      <c r="O3734">
        <v>1.9048570000000001E-2</v>
      </c>
      <c r="P3734">
        <v>-0.99743119999999996</v>
      </c>
      <c r="Q3734">
        <v>2.0842329999999999E-2</v>
      </c>
      <c r="R3734">
        <v>6.8533010000000005E-2</v>
      </c>
      <c r="S3734">
        <v>-3.0002439999999999</v>
      </c>
      <c r="T3734">
        <v>-0.13069649999999999</v>
      </c>
      <c r="U3734">
        <v>0.1509857</v>
      </c>
      <c r="V3734">
        <v>4.9487250000000003E-2</v>
      </c>
      <c r="W3734">
        <v>3.5548650000000001E-2</v>
      </c>
      <c r="X3734">
        <v>0.99814190000000003</v>
      </c>
      <c r="Y3734">
        <v>3.12137E-2</v>
      </c>
      <c r="Z3734">
        <v>-1.49715E-4</v>
      </c>
      <c r="AA3734">
        <v>0.99951270000000003</v>
      </c>
      <c r="AB3734">
        <v>35</v>
      </c>
      <c r="AC3734">
        <v>-25.1342</v>
      </c>
      <c r="AD3734">
        <v>-1.1102140690569999</v>
      </c>
      <c r="AE3734">
        <v>1.27600000000001</v>
      </c>
      <c r="AF3734">
        <v>0.79539830210544404</v>
      </c>
      <c r="AG3734">
        <v>-1.1102140690569999</v>
      </c>
      <c r="AH3734">
        <v>25.1050902038698</v>
      </c>
      <c r="AI3734">
        <v>92.530854190723403</v>
      </c>
      <c r="AJ3734">
        <v>88.185319156940295</v>
      </c>
      <c r="AK3734">
        <v>25.142211276706799</v>
      </c>
      <c r="AL3734">
        <v>87.962783105804803</v>
      </c>
      <c r="AM3734">
        <v>87.161635303749193</v>
      </c>
      <c r="AN3734">
        <v>0.99999997348249703</v>
      </c>
    </row>
    <row r="3735" spans="1:40" x14ac:dyDescent="0.25">
      <c r="A3735" t="str">
        <f>"20190312154631643"</f>
        <v>20190312154631643</v>
      </c>
      <c r="B3735" t="str">
        <f>"1552376791631529"</f>
        <v>1552376791631529</v>
      </c>
      <c r="C3735" t="s">
        <v>40</v>
      </c>
      <c r="D3735">
        <v>4.5876049999999999</v>
      </c>
      <c r="E3735">
        <v>0.47362189999999998</v>
      </c>
      <c r="F3735" t="s">
        <v>42</v>
      </c>
      <c r="G3735">
        <v>-336.67099999999999</v>
      </c>
      <c r="H3735" s="1">
        <v>-1.8365549999999999E-6</v>
      </c>
      <c r="I3735">
        <v>140.67779999999999</v>
      </c>
      <c r="J3735">
        <v>-301.7826</v>
      </c>
      <c r="K3735">
        <v>1.11026</v>
      </c>
      <c r="L3735">
        <v>140.6626</v>
      </c>
      <c r="M3735">
        <v>-0.99972070000000002</v>
      </c>
      <c r="N3735">
        <v>0</v>
      </c>
      <c r="O3735">
        <v>1.8523270000000001E-2</v>
      </c>
      <c r="P3735">
        <v>-0.99751559999999995</v>
      </c>
      <c r="Q3735">
        <v>2.0450599999999999E-2</v>
      </c>
      <c r="R3735">
        <v>6.74125E-2</v>
      </c>
      <c r="S3735">
        <v>-3.0095830000000001</v>
      </c>
      <c r="T3735">
        <v>-9.4834329999999994E-2</v>
      </c>
      <c r="U3735">
        <v>1.8157959999999999E-3</v>
      </c>
      <c r="V3735">
        <v>4.8886300000000001E-2</v>
      </c>
      <c r="W3735">
        <v>3.5159320000000001E-2</v>
      </c>
      <c r="X3735">
        <v>0.99818530000000005</v>
      </c>
      <c r="Y3735">
        <v>-1.7903949999999998E-2</v>
      </c>
      <c r="Z3735">
        <v>-8.6558879999999998E-4</v>
      </c>
      <c r="AA3735">
        <v>0.99983940000000004</v>
      </c>
      <c r="AB3735">
        <v>35</v>
      </c>
      <c r="AC3735">
        <v>-34.888399999999898</v>
      </c>
      <c r="AD3735">
        <v>-1.1102618365549899</v>
      </c>
      <c r="AE3735">
        <v>1.51999999999929E-2</v>
      </c>
      <c r="AF3735">
        <v>-0.63048097736669595</v>
      </c>
      <c r="AG3735">
        <v>-1.1102618365549899</v>
      </c>
      <c r="AH3735">
        <v>34.8474038727691</v>
      </c>
      <c r="AI3735">
        <v>91.824566543315399</v>
      </c>
      <c r="AJ3735">
        <v>91.036517909240601</v>
      </c>
      <c r="AK3735">
        <v>34.870786401806498</v>
      </c>
      <c r="AL3735">
        <v>87.985104020481501</v>
      </c>
      <c r="AM3735">
        <v>87.196169451063298</v>
      </c>
      <c r="AN3735">
        <v>0.99999997062332002</v>
      </c>
    </row>
    <row r="3736" spans="1:40" x14ac:dyDescent="0.25">
      <c r="A3736" t="str">
        <f>"20190312154631665"</f>
        <v>20190312154631665</v>
      </c>
      <c r="B3736" t="str">
        <f>"1552376791660810"</f>
        <v>1552376791660810</v>
      </c>
      <c r="C3736" t="s">
        <v>40</v>
      </c>
      <c r="D3736">
        <v>4.6164019999999999</v>
      </c>
      <c r="E3736">
        <v>0.47272310000000001</v>
      </c>
      <c r="F3736" t="s">
        <v>42</v>
      </c>
      <c r="G3736">
        <v>-332.14159999999998</v>
      </c>
      <c r="H3736" s="1">
        <v>-3.9348180000000001E-6</v>
      </c>
      <c r="I3736">
        <v>140.51689999999999</v>
      </c>
      <c r="J3736">
        <v>-302.11720000000003</v>
      </c>
      <c r="K3736">
        <v>1.110301</v>
      </c>
      <c r="L3736">
        <v>140.66829999999999</v>
      </c>
      <c r="M3736">
        <v>-0.99973060000000002</v>
      </c>
      <c r="N3736">
        <v>0</v>
      </c>
      <c r="O3736">
        <v>1.798108E-2</v>
      </c>
      <c r="P3736">
        <v>-0.99760879999999996</v>
      </c>
      <c r="Q3736">
        <v>2.0080959999999998E-2</v>
      </c>
      <c r="R3736">
        <v>6.61331E-2</v>
      </c>
      <c r="S3736">
        <v>-3.0106809999999999</v>
      </c>
      <c r="T3736">
        <v>-0.1101042</v>
      </c>
      <c r="U3736">
        <v>-1.4450070000000001E-2</v>
      </c>
      <c r="V3736">
        <v>4.8144470000000002E-2</v>
      </c>
      <c r="W3736">
        <v>3.478999E-2</v>
      </c>
      <c r="X3736">
        <v>0.99823430000000002</v>
      </c>
      <c r="Y3736">
        <v>-2.275435E-2</v>
      </c>
      <c r="Z3736">
        <v>-1.073353E-3</v>
      </c>
      <c r="AA3736">
        <v>0.99974050000000003</v>
      </c>
      <c r="AB3736">
        <v>35</v>
      </c>
      <c r="AC3736">
        <v>-30.024399999999901</v>
      </c>
      <c r="AD3736">
        <v>-1.1103049348180001</v>
      </c>
      <c r="AE3736">
        <v>-0.15139999999999501</v>
      </c>
      <c r="AF3736">
        <v>-0.69036074869724595</v>
      </c>
      <c r="AG3736">
        <v>-1.1103049348180001</v>
      </c>
      <c r="AH3736">
        <v>29.9758304887966</v>
      </c>
      <c r="AI3736">
        <v>92.120704429913403</v>
      </c>
      <c r="AJ3736">
        <v>91.319321781599101</v>
      </c>
      <c r="AK3736">
        <v>30.004329496002601</v>
      </c>
      <c r="AL3736">
        <v>88.006278035555795</v>
      </c>
      <c r="AM3736">
        <v>87.238785432291394</v>
      </c>
      <c r="AN3736">
        <v>0.99999997554613496</v>
      </c>
    </row>
    <row r="3737" spans="1:40" x14ac:dyDescent="0.25">
      <c r="A3737" t="str">
        <f>"20190312154631689"</f>
        <v>20190312154631689</v>
      </c>
      <c r="B3737" t="str">
        <f>"1552376791681305"</f>
        <v>1552376791681305</v>
      </c>
      <c r="C3737" t="s">
        <v>40</v>
      </c>
      <c r="D3737">
        <v>4.5895419999999998</v>
      </c>
      <c r="E3737">
        <v>0.4724216</v>
      </c>
      <c r="F3737" t="s">
        <v>42</v>
      </c>
      <c r="G3737">
        <v>-329.40359999999998</v>
      </c>
      <c r="H3737" s="1">
        <v>-4.562158E-7</v>
      </c>
      <c r="I3737">
        <v>140.4358</v>
      </c>
      <c r="J3737">
        <v>-302.47989999999999</v>
      </c>
      <c r="K3737">
        <v>1.1103350000000001</v>
      </c>
      <c r="L3737">
        <v>140.67420000000001</v>
      </c>
      <c r="M3737">
        <v>-0.9997414</v>
      </c>
      <c r="N3737">
        <v>0</v>
      </c>
      <c r="O3737">
        <v>1.73710999999999E-2</v>
      </c>
      <c r="P3737">
        <v>-0.99765720000000002</v>
      </c>
      <c r="Q3737">
        <v>2.0665940000000001E-2</v>
      </c>
      <c r="R3737">
        <v>6.5216419999999997E-2</v>
      </c>
      <c r="S3737">
        <v>-3.0113219999999998</v>
      </c>
      <c r="T3737">
        <v>-0.12253269999999999</v>
      </c>
      <c r="U3737">
        <v>-2.5650019999999999E-2</v>
      </c>
      <c r="V3737">
        <v>4.7833439999999998E-2</v>
      </c>
      <c r="W3737">
        <v>3.5373759999999997E-2</v>
      </c>
      <c r="X3737">
        <v>0.99822880000000003</v>
      </c>
      <c r="Y3737">
        <v>-2.5852839999999998E-2</v>
      </c>
      <c r="Z3737">
        <v>-1.2323569999999999E-3</v>
      </c>
      <c r="AA3737">
        <v>0.99966500000000003</v>
      </c>
      <c r="AB3737">
        <v>35</v>
      </c>
      <c r="AC3737">
        <v>-26.9237</v>
      </c>
      <c r="AD3737">
        <v>-1.1103354562158001</v>
      </c>
      <c r="AE3737">
        <v>-0.23840000000001199</v>
      </c>
      <c r="AF3737">
        <v>-0.70490990181524305</v>
      </c>
      <c r="AG3737">
        <v>-1.1103354562158001</v>
      </c>
      <c r="AH3737">
        <v>26.869799853458598</v>
      </c>
      <c r="AI3737">
        <v>92.365463044983301</v>
      </c>
      <c r="AJ3737">
        <v>91.502768936119693</v>
      </c>
      <c r="AK3737">
        <v>26.901968087110902</v>
      </c>
      <c r="AL3737">
        <v>87.972810004160394</v>
      </c>
      <c r="AM3737">
        <v>87.256581404685207</v>
      </c>
      <c r="AN3737">
        <v>1.0000000390141</v>
      </c>
    </row>
    <row r="3738" spans="1:40" x14ac:dyDescent="0.25">
      <c r="A3738" t="str">
        <f>"20190312154631711"</f>
        <v>20190312154631711</v>
      </c>
      <c r="B3738" t="str">
        <f>"1552376791700826"</f>
        <v>1552376791700826</v>
      </c>
      <c r="C3738" t="s">
        <v>40</v>
      </c>
      <c r="D3738">
        <v>4.5957129999999999</v>
      </c>
      <c r="E3738">
        <v>0.47240330000000003</v>
      </c>
      <c r="F3738" t="s">
        <v>42</v>
      </c>
      <c r="G3738">
        <v>-328.93490000000003</v>
      </c>
      <c r="H3738" s="1">
        <v>-6.4820769999999997E-7</v>
      </c>
      <c r="I3738">
        <v>140.40180000000001</v>
      </c>
      <c r="J3738">
        <v>-302.84190000000001</v>
      </c>
      <c r="K3738">
        <v>1.11036</v>
      </c>
      <c r="L3738">
        <v>140.6799</v>
      </c>
      <c r="M3738">
        <v>-0.99975210000000003</v>
      </c>
      <c r="N3738">
        <v>0</v>
      </c>
      <c r="O3738">
        <v>1.6748530000000001E-2</v>
      </c>
      <c r="P3738">
        <v>-0.9977222</v>
      </c>
      <c r="Q3738">
        <v>2.115525E-2</v>
      </c>
      <c r="R3738">
        <v>6.4053360000000004E-2</v>
      </c>
      <c r="S3738">
        <v>-3.0116879999999999</v>
      </c>
      <c r="T3738">
        <v>-0.12640290000000001</v>
      </c>
      <c r="U3738">
        <v>-3.100586E-2</v>
      </c>
      <c r="V3738">
        <v>4.7288860000000002E-2</v>
      </c>
      <c r="W3738">
        <v>3.5860780000000002E-2</v>
      </c>
      <c r="X3738">
        <v>0.99823729999999999</v>
      </c>
      <c r="Y3738">
        <v>-2.7004110000000001E-2</v>
      </c>
      <c r="Z3738">
        <v>-1.269114E-3</v>
      </c>
      <c r="AA3738">
        <v>0.99963449999999998</v>
      </c>
      <c r="AB3738">
        <v>35</v>
      </c>
      <c r="AC3738">
        <v>-26.093</v>
      </c>
      <c r="AD3738">
        <v>-1.1103606482077</v>
      </c>
      <c r="AE3738">
        <v>-0.27809999999999402</v>
      </c>
      <c r="AF3738">
        <v>-0.71383491914012198</v>
      </c>
      <c r="AG3738">
        <v>-1.1103606482077</v>
      </c>
      <c r="AH3738">
        <v>26.037536512627199</v>
      </c>
      <c r="AI3738">
        <v>92.440960731992803</v>
      </c>
      <c r="AJ3738">
        <v>91.570405317586406</v>
      </c>
      <c r="AK3738">
        <v>26.070975599452801</v>
      </c>
      <c r="AL3738">
        <v>87.944887955101194</v>
      </c>
      <c r="AM3738">
        <v>87.287791166151905</v>
      </c>
      <c r="AN3738">
        <v>0.99999996946679803</v>
      </c>
    </row>
    <row r="3739" spans="1:40" x14ac:dyDescent="0.25">
      <c r="A3739" t="str">
        <f>"20190312154631733"</f>
        <v>20190312154631733</v>
      </c>
      <c r="B3739" t="str">
        <f>"1552376791720988"</f>
        <v>1552376791720988</v>
      </c>
      <c r="C3739" t="s">
        <v>40</v>
      </c>
      <c r="D3739">
        <v>4.5919080000000001</v>
      </c>
      <c r="E3739">
        <v>0.47222579999999997</v>
      </c>
      <c r="F3739" t="s">
        <v>42</v>
      </c>
      <c r="G3739">
        <v>-328.9468</v>
      </c>
      <c r="H3739" s="1">
        <v>-6.3654809999999996E-7</v>
      </c>
      <c r="I3739">
        <v>140.37710000000001</v>
      </c>
      <c r="J3739">
        <v>-303.1814</v>
      </c>
      <c r="K3739">
        <v>1.110376</v>
      </c>
      <c r="L3739">
        <v>140.685</v>
      </c>
      <c r="M3739">
        <v>-0.99976180000000003</v>
      </c>
      <c r="N3739">
        <v>0</v>
      </c>
      <c r="O3739">
        <v>1.6159509999999998E-2</v>
      </c>
      <c r="P3739">
        <v>-0.99774940000000001</v>
      </c>
      <c r="Q3739">
        <v>2.154325E-2</v>
      </c>
      <c r="R3739">
        <v>6.349784E-2</v>
      </c>
      <c r="S3739">
        <v>-3.0118100000000001</v>
      </c>
      <c r="T3739">
        <v>-0.12810650000000001</v>
      </c>
      <c r="U3739">
        <v>-3.4927369999999999E-2</v>
      </c>
      <c r="V3739">
        <v>4.7319779999999999E-2</v>
      </c>
      <c r="W3739">
        <v>3.6246769999999998E-2</v>
      </c>
      <c r="X3739">
        <v>0.9982219</v>
      </c>
      <c r="Y3739">
        <v>-2.7715E-2</v>
      </c>
      <c r="Z3739">
        <v>-1.276213E-3</v>
      </c>
      <c r="AA3739">
        <v>0.99961509999999998</v>
      </c>
      <c r="AB3739">
        <v>35</v>
      </c>
      <c r="AC3739">
        <v>-25.7654</v>
      </c>
      <c r="AD3739">
        <v>-1.1103766365481</v>
      </c>
      <c r="AE3739">
        <v>-0.30789999999998902</v>
      </c>
      <c r="AF3739">
        <v>-0.72291839909884703</v>
      </c>
      <c r="AG3739">
        <v>-1.1103766365481</v>
      </c>
      <c r="AH3739">
        <v>25.7093175253165</v>
      </c>
      <c r="AI3739">
        <v>92.472072304800406</v>
      </c>
      <c r="AJ3739">
        <v>91.610671373047794</v>
      </c>
      <c r="AK3739">
        <v>25.743437122969699</v>
      </c>
      <c r="AL3739">
        <v>87.922757981684896</v>
      </c>
      <c r="AM3739">
        <v>87.285978621612799</v>
      </c>
      <c r="AN3739">
        <v>0.99999997577714494</v>
      </c>
    </row>
    <row r="3740" spans="1:40" x14ac:dyDescent="0.25">
      <c r="A3740" t="str">
        <f>"20190312154631756"</f>
        <v>20190312154631756</v>
      </c>
      <c r="B3740" t="str">
        <f>"1552376791741474"</f>
        <v>1552376791741474</v>
      </c>
      <c r="C3740" t="s">
        <v>40</v>
      </c>
      <c r="D3740">
        <v>4.6047019999999996</v>
      </c>
      <c r="E3740">
        <v>0.47211360000000002</v>
      </c>
      <c r="F3740" t="s">
        <v>42</v>
      </c>
      <c r="G3740">
        <v>-329.9239</v>
      </c>
      <c r="H3740" s="1">
        <v>-2.0931610000000001E-7</v>
      </c>
      <c r="I3740">
        <v>140.3468</v>
      </c>
      <c r="J3740">
        <v>-303.53070000000002</v>
      </c>
      <c r="K3740">
        <v>1.110387</v>
      </c>
      <c r="L3740">
        <v>140.69</v>
      </c>
      <c r="M3740">
        <v>-0.99977150000000004</v>
      </c>
      <c r="N3740">
        <v>0</v>
      </c>
      <c r="O3740">
        <v>1.5552969999999999E-2</v>
      </c>
      <c r="P3740">
        <v>-0.99778040000000001</v>
      </c>
      <c r="Q3740">
        <v>2.1711569999999999E-2</v>
      </c>
      <c r="R3740">
        <v>6.2952129999999995E-2</v>
      </c>
      <c r="S3740">
        <v>-3.0119020000000001</v>
      </c>
      <c r="T3740">
        <v>-0.1250578</v>
      </c>
      <c r="U3740">
        <v>-3.8085939999999999E-2</v>
      </c>
      <c r="V3740">
        <v>4.7378429999999999E-2</v>
      </c>
      <c r="W3740">
        <v>3.6412119999999999E-2</v>
      </c>
      <c r="X3740">
        <v>0.99821309999999996</v>
      </c>
      <c r="Y3740">
        <v>-2.815834E-2</v>
      </c>
      <c r="Z3740">
        <v>-1.2298490000000001E-3</v>
      </c>
      <c r="AA3740">
        <v>0.99960269999999996</v>
      </c>
      <c r="AB3740">
        <v>35</v>
      </c>
      <c r="AC3740">
        <v>-26.393199999999901</v>
      </c>
      <c r="AD3740">
        <v>-1.1103872093161</v>
      </c>
      <c r="AE3740">
        <v>-0.34319999999999501</v>
      </c>
      <c r="AF3740">
        <v>-0.75236384022382397</v>
      </c>
      <c r="AG3740">
        <v>-1.1103872093161</v>
      </c>
      <c r="AH3740">
        <v>26.3380590020139</v>
      </c>
      <c r="AI3740">
        <v>92.413122128444201</v>
      </c>
      <c r="AJ3740">
        <v>91.636246365350502</v>
      </c>
      <c r="AK3740">
        <v>26.3721891980218</v>
      </c>
      <c r="AL3740">
        <v>87.913277865723103</v>
      </c>
      <c r="AM3740">
        <v>87.2825958756642</v>
      </c>
      <c r="AN3740">
        <v>0.99999997556188402</v>
      </c>
    </row>
    <row r="3741" spans="1:40" x14ac:dyDescent="0.25">
      <c r="A3741" t="str">
        <f>"20190312154631801"</f>
        <v>20190312154631801</v>
      </c>
      <c r="B3741" t="str">
        <f>"1552376791791253"</f>
        <v>1552376791791253</v>
      </c>
      <c r="C3741" t="s">
        <v>40</v>
      </c>
      <c r="D3741">
        <v>4.6039789999999998</v>
      </c>
      <c r="E3741">
        <v>0.47191680000000003</v>
      </c>
      <c r="F3741" t="s">
        <v>42</v>
      </c>
      <c r="G3741">
        <v>-330.62279999999998</v>
      </c>
      <c r="H3741" s="1">
        <v>-4.5980709999999999E-6</v>
      </c>
      <c r="I3741">
        <v>140.32640000000001</v>
      </c>
      <c r="J3741">
        <v>-304.22160000000002</v>
      </c>
      <c r="K3741">
        <v>1.110403</v>
      </c>
      <c r="L3741">
        <v>140.6994</v>
      </c>
      <c r="M3741">
        <v>-0.9997895</v>
      </c>
      <c r="N3741">
        <v>0</v>
      </c>
      <c r="O3741">
        <v>1.4358559999999999E-2</v>
      </c>
      <c r="P3741">
        <v>-0.9978437</v>
      </c>
      <c r="Q3741">
        <v>2.1819789999999999E-2</v>
      </c>
      <c r="R3741">
        <v>6.1902289999999999E-2</v>
      </c>
      <c r="S3741">
        <v>-3.0119020000000001</v>
      </c>
      <c r="T3741">
        <v>-0.1234452</v>
      </c>
      <c r="U3741">
        <v>-4.0420530000000003E-2</v>
      </c>
      <c r="V3741">
        <v>4.751971E-2</v>
      </c>
      <c r="W3741">
        <v>3.6514570000000003E-2</v>
      </c>
      <c r="X3741">
        <v>0.9982027</v>
      </c>
      <c r="Y3741">
        <v>-2.7741140000000001E-2</v>
      </c>
      <c r="Z3741">
        <v>-1.156518E-3</v>
      </c>
      <c r="AA3741">
        <v>0.99961449999999996</v>
      </c>
      <c r="AB3741">
        <v>35</v>
      </c>
      <c r="AC3741">
        <v>-26.4011999999999</v>
      </c>
      <c r="AD3741">
        <v>-1.110407598071</v>
      </c>
      <c r="AE3741">
        <v>-0.37299999999999001</v>
      </c>
      <c r="AF3741">
        <v>-0.75075767762034795</v>
      </c>
      <c r="AG3741">
        <v>-1.110407598071</v>
      </c>
      <c r="AH3741">
        <v>26.346524817992002</v>
      </c>
      <c r="AI3741">
        <v>92.412396707277694</v>
      </c>
      <c r="AJ3741">
        <v>91.632230801657997</v>
      </c>
      <c r="AK3741">
        <v>26.380599161304598</v>
      </c>
      <c r="AL3741">
        <v>87.907404128037996</v>
      </c>
      <c r="AM3741">
        <v>87.274476565553698</v>
      </c>
      <c r="AN3741">
        <v>1.00000003347402</v>
      </c>
    </row>
    <row r="3742" spans="1:40" x14ac:dyDescent="0.25">
      <c r="A3742" t="str">
        <f>"20190312154631821"</f>
        <v>20190312154631821</v>
      </c>
      <c r="B3742" t="str">
        <f>"1552376791810770"</f>
        <v>1552376791810770</v>
      </c>
      <c r="C3742" t="s">
        <v>40</v>
      </c>
      <c r="D3742">
        <v>4.6245589999999996</v>
      </c>
      <c r="E3742">
        <v>0.47182770000000002</v>
      </c>
      <c r="F3742" t="s">
        <v>42</v>
      </c>
      <c r="G3742">
        <v>-331.84500000000003</v>
      </c>
      <c r="H3742" s="1">
        <v>-4.0139340000000003E-6</v>
      </c>
      <c r="I3742">
        <v>140.28739999999999</v>
      </c>
      <c r="J3742">
        <v>-304.55849999999998</v>
      </c>
      <c r="K3742">
        <v>1.110403</v>
      </c>
      <c r="L3742">
        <v>140.70359999999999</v>
      </c>
      <c r="M3742">
        <v>-0.99979779999999996</v>
      </c>
      <c r="N3742">
        <v>0</v>
      </c>
      <c r="O3742">
        <v>1.377836E-2</v>
      </c>
      <c r="P3742">
        <v>-0.99789939999999999</v>
      </c>
      <c r="Q3742">
        <v>2.160074E-2</v>
      </c>
      <c r="R3742">
        <v>6.1076119999999998E-2</v>
      </c>
      <c r="S3742">
        <v>-3.0119319999999998</v>
      </c>
      <c r="T3742">
        <v>-0.1210735</v>
      </c>
      <c r="U3742">
        <v>-4.4921879999999997E-2</v>
      </c>
      <c r="V3742">
        <v>4.727224E-2</v>
      </c>
      <c r="W3742">
        <v>3.6292039999999998E-2</v>
      </c>
      <c r="X3742">
        <v>0.99822250000000001</v>
      </c>
      <c r="Y3742">
        <v>-2.86556E-2</v>
      </c>
      <c r="Z3742">
        <v>-1.1293519999999999E-3</v>
      </c>
      <c r="AA3742">
        <v>0.9995887</v>
      </c>
      <c r="AB3742">
        <v>35</v>
      </c>
      <c r="AC3742">
        <v>-27.2865</v>
      </c>
      <c r="AD3742">
        <v>-1.1104070139339901</v>
      </c>
      <c r="AE3742">
        <v>-0.41620000000000301</v>
      </c>
      <c r="AF3742">
        <v>-0.79085465895233997</v>
      </c>
      <c r="AG3742">
        <v>-1.1104070139339901</v>
      </c>
      <c r="AH3742">
        <v>27.2330857026855</v>
      </c>
      <c r="AI3742">
        <v>92.333912793780101</v>
      </c>
      <c r="AJ3742">
        <v>91.663414245675995</v>
      </c>
      <c r="AK3742">
        <v>27.267185621512098</v>
      </c>
      <c r="AL3742">
        <v>87.920162478158602</v>
      </c>
      <c r="AM3742">
        <v>87.288702830211804</v>
      </c>
      <c r="AN3742">
        <v>0.99999996817411396</v>
      </c>
    </row>
    <row r="3743" spans="1:40" x14ac:dyDescent="0.25">
      <c r="A3743" t="str">
        <f>"20190312154631845"</f>
        <v>20190312154631845</v>
      </c>
      <c r="B3743" t="str">
        <f>"1552376791831590"</f>
        <v>1552376791831590</v>
      </c>
      <c r="C3743" t="s">
        <v>40</v>
      </c>
      <c r="D3743">
        <v>4.6034579999999998</v>
      </c>
      <c r="E3743">
        <v>0.47176760000000001</v>
      </c>
      <c r="F3743" t="s">
        <v>42</v>
      </c>
      <c r="G3743">
        <v>-332.245</v>
      </c>
      <c r="H3743" s="1">
        <v>-3.8181849999999999E-6</v>
      </c>
      <c r="I3743">
        <v>140.26220000000001</v>
      </c>
      <c r="J3743">
        <v>-304.90159999999997</v>
      </c>
      <c r="K3743">
        <v>1.110406</v>
      </c>
      <c r="L3743">
        <v>140.70769999999999</v>
      </c>
      <c r="M3743">
        <v>-0.99980590000000003</v>
      </c>
      <c r="N3743">
        <v>0</v>
      </c>
      <c r="O3743">
        <v>1.3187819999999999E-2</v>
      </c>
      <c r="P3743">
        <v>-0.99793739999999997</v>
      </c>
      <c r="Q3743">
        <v>2.2357990000000001E-2</v>
      </c>
      <c r="R3743">
        <v>6.0176479999999997E-2</v>
      </c>
      <c r="S3743">
        <v>-3.0118710000000002</v>
      </c>
      <c r="T3743">
        <v>-0.1207956</v>
      </c>
      <c r="U3743">
        <v>-4.8019409999999998E-2</v>
      </c>
      <c r="V3743">
        <v>4.6961030000000001E-2</v>
      </c>
      <c r="W3743">
        <v>3.7045410000000001E-2</v>
      </c>
      <c r="X3743">
        <v>0.99820949999999997</v>
      </c>
      <c r="Y3743">
        <v>-2.9093540000000001E-2</v>
      </c>
      <c r="Z3743">
        <v>-1.1118790000000001E-3</v>
      </c>
      <c r="AA3743">
        <v>0.99957609999999997</v>
      </c>
      <c r="AB3743">
        <v>35</v>
      </c>
      <c r="AC3743">
        <v>-27.343399999999999</v>
      </c>
      <c r="AD3743">
        <v>-1.110409818185</v>
      </c>
      <c r="AE3743">
        <v>-0.44549999999998102</v>
      </c>
      <c r="AF3743">
        <v>-0.80477287812791098</v>
      </c>
      <c r="AG3743">
        <v>-1.110409818185</v>
      </c>
      <c r="AH3743">
        <v>27.290152065768702</v>
      </c>
      <c r="AI3743">
        <v>92.329013047803798</v>
      </c>
      <c r="AJ3743">
        <v>91.689134234055004</v>
      </c>
      <c r="AK3743">
        <v>27.3245872635338</v>
      </c>
      <c r="AL3743">
        <v>87.876968473808603</v>
      </c>
      <c r="AM3743">
        <v>87.306490866543299</v>
      </c>
      <c r="AN3743">
        <v>0.99999995331548797</v>
      </c>
    </row>
    <row r="3744" spans="1:40" x14ac:dyDescent="0.25">
      <c r="A3744" t="str">
        <f>"20190312154631865"</f>
        <v>20190312154631865</v>
      </c>
      <c r="B3744" t="str">
        <f>"1552376791860870"</f>
        <v>1552376791860870</v>
      </c>
      <c r="C3744" t="s">
        <v>40</v>
      </c>
      <c r="D3744">
        <v>4.6113790000000003</v>
      </c>
      <c r="E3744">
        <v>0.47184779999999998</v>
      </c>
      <c r="F3744" t="s">
        <v>42</v>
      </c>
      <c r="G3744">
        <v>-333.1139</v>
      </c>
      <c r="H3744" s="1">
        <v>-3.3987079999999898E-6</v>
      </c>
      <c r="I3744">
        <v>140.2294</v>
      </c>
      <c r="J3744">
        <v>-305.23520000000002</v>
      </c>
      <c r="K3744">
        <v>1.1104099999999999</v>
      </c>
      <c r="L3744">
        <v>140.7115</v>
      </c>
      <c r="M3744">
        <v>-0.99981330000000002</v>
      </c>
      <c r="N3744">
        <v>0</v>
      </c>
      <c r="O3744">
        <v>1.2613569999999999E-2</v>
      </c>
      <c r="P3744">
        <v>-0.99797639999999999</v>
      </c>
      <c r="Q3744">
        <v>2.2694309999999999E-2</v>
      </c>
      <c r="R3744">
        <v>5.9397409999999998E-2</v>
      </c>
      <c r="S3744">
        <v>-3.0119319999999998</v>
      </c>
      <c r="T3744">
        <v>-0.1185467</v>
      </c>
      <c r="U3744">
        <v>-5.1071169999999999E-2</v>
      </c>
      <c r="V3744">
        <v>4.6754549999999999E-2</v>
      </c>
      <c r="W3744">
        <v>3.7378010000000003E-2</v>
      </c>
      <c r="X3744">
        <v>0.99820690000000001</v>
      </c>
      <c r="Y3744">
        <v>-2.953298E-2</v>
      </c>
      <c r="Z3744">
        <v>-1.0772150000000001E-3</v>
      </c>
      <c r="AA3744">
        <v>0.99956319999999999</v>
      </c>
      <c r="AB3744">
        <v>35</v>
      </c>
      <c r="AC3744">
        <v>-27.878699999999899</v>
      </c>
      <c r="AD3744">
        <v>-1.110413398708</v>
      </c>
      <c r="AE3744">
        <v>-0.48210000000000203</v>
      </c>
      <c r="AF3744">
        <v>-0.83242904541529505</v>
      </c>
      <c r="AG3744">
        <v>-1.110413398708</v>
      </c>
      <c r="AH3744">
        <v>27.826268423077099</v>
      </c>
      <c r="AI3744">
        <v>92.284167513399495</v>
      </c>
      <c r="AJ3744">
        <v>91.713505034455096</v>
      </c>
      <c r="AK3744">
        <v>27.860853726776199</v>
      </c>
      <c r="AL3744">
        <v>87.857898916249198</v>
      </c>
      <c r="AM3744">
        <v>87.318309486607504</v>
      </c>
      <c r="AN3744">
        <v>1.0000000593924301</v>
      </c>
    </row>
    <row r="3745" spans="1:40" x14ac:dyDescent="0.25">
      <c r="A3745" t="str">
        <f>"20190312154631889"</f>
        <v>20190312154631889</v>
      </c>
      <c r="B3745" t="str">
        <f>"1552376791881366"</f>
        <v>1552376791881366</v>
      </c>
      <c r="C3745" t="s">
        <v>40</v>
      </c>
      <c r="D3745">
        <v>4.5495400000000004</v>
      </c>
      <c r="E3745">
        <v>0.44970539999999998</v>
      </c>
      <c r="F3745" t="s">
        <v>42</v>
      </c>
      <c r="G3745">
        <v>-333.54730000000001</v>
      </c>
      <c r="H3745" s="1">
        <v>-3.1900080000000002E-6</v>
      </c>
      <c r="I3745">
        <v>140.21510000000001</v>
      </c>
      <c r="J3745">
        <v>-305.59629999999999</v>
      </c>
      <c r="K3745">
        <v>1.1104099999999999</v>
      </c>
      <c r="L3745">
        <v>140.71549999999999</v>
      </c>
      <c r="M3745">
        <v>-0.99982090000000001</v>
      </c>
      <c r="N3745">
        <v>0</v>
      </c>
      <c r="O3745">
        <v>1.199154E-2</v>
      </c>
      <c r="P3745">
        <v>-0.9980137</v>
      </c>
      <c r="Q3745">
        <v>2.3630470000000001E-2</v>
      </c>
      <c r="R3745">
        <v>5.8401389999999997E-2</v>
      </c>
      <c r="S3745">
        <v>-3.011841</v>
      </c>
      <c r="T3745">
        <v>-0.11812540000000001</v>
      </c>
      <c r="U3745">
        <v>-5.2810669999999997E-2</v>
      </c>
      <c r="V3745">
        <v>4.6378280000000001E-2</v>
      </c>
      <c r="W3745">
        <v>3.8309080000000002E-2</v>
      </c>
      <c r="X3745">
        <v>0.99818910000000005</v>
      </c>
      <c r="Y3745">
        <v>-2.948949E-2</v>
      </c>
      <c r="Z3745">
        <v>-1.048177E-3</v>
      </c>
      <c r="AA3745">
        <v>0.99956449999999997</v>
      </c>
      <c r="AB3745">
        <v>35</v>
      </c>
      <c r="AC3745">
        <v>-27.951000000000001</v>
      </c>
      <c r="AD3745">
        <v>-1.1104131900080001</v>
      </c>
      <c r="AE3745">
        <v>-0.50039999999998397</v>
      </c>
      <c r="AF3745">
        <v>-0.83425923532448099</v>
      </c>
      <c r="AG3745">
        <v>-1.1104131900080001</v>
      </c>
      <c r="AH3745">
        <v>27.8989713371632</v>
      </c>
      <c r="AI3745">
        <v>92.278221813479504</v>
      </c>
      <c r="AJ3745">
        <v>91.712797691104996</v>
      </c>
      <c r="AK3745">
        <v>27.933521217277999</v>
      </c>
      <c r="AL3745">
        <v>87.804514175725501</v>
      </c>
      <c r="AM3745">
        <v>87.339812628540599</v>
      </c>
      <c r="AN3745">
        <v>1.0000000049125</v>
      </c>
    </row>
    <row r="3746" spans="1:40" x14ac:dyDescent="0.25">
      <c r="A3746" t="str">
        <f>"20190312154631911"</f>
        <v>20190312154631911</v>
      </c>
      <c r="B3746" t="str">
        <f>"1552376791900886"</f>
        <v>1552376791900886</v>
      </c>
      <c r="C3746" t="s">
        <v>40</v>
      </c>
      <c r="D3746">
        <v>4.4718179999999998</v>
      </c>
      <c r="E3746">
        <v>0.43258819999999998</v>
      </c>
      <c r="F3746" t="s">
        <v>42</v>
      </c>
      <c r="G3746">
        <v>-339.35899999999998</v>
      </c>
      <c r="H3746" s="1">
        <v>-6.2686510000000001E-7</v>
      </c>
      <c r="I3746">
        <v>138.12620000000001</v>
      </c>
      <c r="J3746">
        <v>-305.94369999999998</v>
      </c>
      <c r="K3746">
        <v>1.110417</v>
      </c>
      <c r="L3746">
        <v>140.71899999999999</v>
      </c>
      <c r="M3746">
        <v>-0.99982800000000005</v>
      </c>
      <c r="N3746">
        <v>0</v>
      </c>
      <c r="O3746">
        <v>1.139311E-2</v>
      </c>
      <c r="P3746">
        <v>-0.99805869999999997</v>
      </c>
      <c r="Q3746">
        <v>2.4191819999999999E-2</v>
      </c>
      <c r="R3746">
        <v>5.7392560000000002E-2</v>
      </c>
      <c r="S3746">
        <v>-3.021881</v>
      </c>
      <c r="T3746">
        <v>-9.938574E-2</v>
      </c>
      <c r="U3746">
        <v>-0.2317505</v>
      </c>
      <c r="V3746">
        <v>4.5966E-2</v>
      </c>
      <c r="W3746">
        <v>3.8866560000000001E-2</v>
      </c>
      <c r="X3746">
        <v>0.99818660000000003</v>
      </c>
      <c r="Y3746">
        <v>-8.7768959999999993E-2</v>
      </c>
      <c r="Z3746">
        <v>-1.8149290000000001E-3</v>
      </c>
      <c r="AA3746">
        <v>0.9961392</v>
      </c>
      <c r="AB3746">
        <v>35</v>
      </c>
      <c r="AC3746">
        <v>-33.415300000000002</v>
      </c>
      <c r="AD3746">
        <v>-1.1104176268651</v>
      </c>
      <c r="AE3746">
        <v>-2.59279999999998</v>
      </c>
      <c r="AF3746">
        <v>-2.97011641220293</v>
      </c>
      <c r="AG3746">
        <v>-1.1104176268651</v>
      </c>
      <c r="AH3746">
        <v>33.346983286093</v>
      </c>
      <c r="AI3746">
        <v>91.899666794252198</v>
      </c>
      <c r="AJ3746">
        <v>95.089733826893905</v>
      </c>
      <c r="AK3746">
        <v>33.497401587153803</v>
      </c>
      <c r="AL3746">
        <v>87.772549073941207</v>
      </c>
      <c r="AM3746">
        <v>87.363420267388307</v>
      </c>
      <c r="AN3746">
        <v>0.99999998553089597</v>
      </c>
    </row>
    <row r="3747" spans="1:40" x14ac:dyDescent="0.25">
      <c r="A3747" t="str">
        <f>"20190312154631933"</f>
        <v>20190312154631933</v>
      </c>
      <c r="B3747" t="str">
        <f>"1552376791921234"</f>
        <v>1552376791921234</v>
      </c>
      <c r="C3747" t="s">
        <v>40</v>
      </c>
      <c r="D3747">
        <v>4.5775009999999998</v>
      </c>
      <c r="E3747">
        <v>0.42366379999999998</v>
      </c>
      <c r="F3747" t="s">
        <v>42</v>
      </c>
      <c r="G3747">
        <v>-372.11989999999997</v>
      </c>
      <c r="H3747" s="1">
        <v>-4.599593E-6</v>
      </c>
      <c r="I3747">
        <v>132.6439</v>
      </c>
      <c r="J3747">
        <v>-306.2799</v>
      </c>
      <c r="K3747">
        <v>1.110428</v>
      </c>
      <c r="L3747">
        <v>140.72219999999999</v>
      </c>
      <c r="M3747">
        <v>-0.99983449999999996</v>
      </c>
      <c r="N3747">
        <v>0</v>
      </c>
      <c r="O3747">
        <v>1.0813649999999999E-2</v>
      </c>
      <c r="P3747">
        <v>-0.9980542</v>
      </c>
      <c r="Q3747">
        <v>2.5474429999999999E-2</v>
      </c>
      <c r="R3747">
        <v>5.6910120000000002E-2</v>
      </c>
      <c r="S3747">
        <v>-3.0283199999999999</v>
      </c>
      <c r="T3747">
        <v>-5.081451E-2</v>
      </c>
      <c r="U3747">
        <v>-0.36952210000000002</v>
      </c>
      <c r="V3747">
        <v>4.6060539999999997E-2</v>
      </c>
      <c r="W3747">
        <v>4.0144920000000001E-2</v>
      </c>
      <c r="X3747">
        <v>0.99813160000000001</v>
      </c>
      <c r="Y3747">
        <v>-0.13183210000000001</v>
      </c>
      <c r="Z3747">
        <v>-1.282706E-3</v>
      </c>
      <c r="AA3747">
        <v>0.99127129999999997</v>
      </c>
      <c r="AB3747">
        <v>34</v>
      </c>
      <c r="AC3747">
        <v>-65.839999999999904</v>
      </c>
      <c r="AD3747">
        <v>-1.110432599593</v>
      </c>
      <c r="AE3747">
        <v>-8.0782999999999792</v>
      </c>
      <c r="AF3747">
        <v>-8.7874119880801391</v>
      </c>
      <c r="AG3747">
        <v>-1.110432599593</v>
      </c>
      <c r="AH3747">
        <v>65.730364646499694</v>
      </c>
      <c r="AI3747">
        <v>90.959315535772404</v>
      </c>
      <c r="AJ3747">
        <v>97.614652067386501</v>
      </c>
      <c r="AK3747">
        <v>66.324448784504099</v>
      </c>
      <c r="AL3747">
        <v>87.699247105473006</v>
      </c>
      <c r="AM3747">
        <v>87.357859815013597</v>
      </c>
      <c r="AN3747">
        <v>0.99999993943272703</v>
      </c>
    </row>
    <row r="3748" spans="1:40" x14ac:dyDescent="0.25">
      <c r="A3748" t="str">
        <f>"20190312154631957"</f>
        <v>20190312154631957</v>
      </c>
      <c r="B3748" t="str">
        <f>"1552376791951481"</f>
        <v>1552376791951481</v>
      </c>
      <c r="C3748" t="s">
        <v>40</v>
      </c>
      <c r="D3748">
        <v>4.4993699999999999</v>
      </c>
      <c r="E3748">
        <v>0.41717850000000001</v>
      </c>
      <c r="F3748" t="s">
        <v>52</v>
      </c>
      <c r="G3748">
        <v>-409.51049999999998</v>
      </c>
      <c r="H3748">
        <v>7.9987749999999996E-2</v>
      </c>
      <c r="I3748">
        <v>125.6904</v>
      </c>
      <c r="J3748">
        <v>-306.63319999999999</v>
      </c>
      <c r="K3748">
        <v>1.110439</v>
      </c>
      <c r="L3748">
        <v>140.72540000000001</v>
      </c>
      <c r="M3748">
        <v>-0.99984090000000003</v>
      </c>
      <c r="N3748">
        <v>0</v>
      </c>
      <c r="O3748">
        <v>1.02045E-2</v>
      </c>
      <c r="P3748">
        <v>-0.99806899999999998</v>
      </c>
      <c r="Q3748">
        <v>2.6612940000000002E-2</v>
      </c>
      <c r="R3748">
        <v>5.6124390000000003E-2</v>
      </c>
      <c r="S3748">
        <v>-3.0317989999999999</v>
      </c>
      <c r="T3748">
        <v>-3.0263189999999999E-2</v>
      </c>
      <c r="U3748">
        <v>-0.44146730000000001</v>
      </c>
      <c r="V3748">
        <v>4.5881730000000003E-2</v>
      </c>
      <c r="W3748">
        <v>4.1278380000000003E-2</v>
      </c>
      <c r="X3748">
        <v>0.99809369999999997</v>
      </c>
      <c r="Y3748">
        <v>-0.15417629999999999</v>
      </c>
      <c r="Z3748">
        <v>-8.6678530000000001E-4</v>
      </c>
      <c r="AA3748">
        <v>0.988043</v>
      </c>
      <c r="AB3748">
        <v>34</v>
      </c>
      <c r="AC3748">
        <v>-102.87730000000001</v>
      </c>
      <c r="AD3748">
        <v>-1.03045125</v>
      </c>
      <c r="AE3748">
        <v>-15.035</v>
      </c>
      <c r="AF3748">
        <v>-16.082561012961499</v>
      </c>
      <c r="AG3748">
        <v>-1.03045125</v>
      </c>
      <c r="AH3748">
        <v>102.708412337364</v>
      </c>
      <c r="AI3748">
        <v>90.567897410581807</v>
      </c>
      <c r="AJ3748">
        <v>98.8993753844575</v>
      </c>
      <c r="AK3748">
        <v>103.965035292526</v>
      </c>
      <c r="AL3748">
        <v>87.634250966036703</v>
      </c>
      <c r="AM3748">
        <v>87.368002525045199</v>
      </c>
      <c r="AN3748">
        <v>1.00000003589145</v>
      </c>
    </row>
    <row r="3749" spans="1:40" x14ac:dyDescent="0.25">
      <c r="A3749" t="str">
        <f>"20190312154631978"</f>
        <v>20190312154631978</v>
      </c>
      <c r="B3749" t="str">
        <f>"1552376791970999"</f>
        <v>1552376791970999</v>
      </c>
      <c r="C3749" t="s">
        <v>40</v>
      </c>
      <c r="D3749">
        <v>4.4858500000000001</v>
      </c>
      <c r="E3749">
        <v>0.41518369999999999</v>
      </c>
      <c r="F3749" t="s">
        <v>78</v>
      </c>
      <c r="G3749">
        <v>-440.20710000000003</v>
      </c>
      <c r="H3749">
        <v>0.76351230000000003</v>
      </c>
      <c r="I3749">
        <v>118.938</v>
      </c>
      <c r="J3749">
        <v>-306.96870000000001</v>
      </c>
      <c r="K3749">
        <v>1.110447</v>
      </c>
      <c r="L3749">
        <v>140.72819999999999</v>
      </c>
      <c r="M3749">
        <v>-0.99984669999999998</v>
      </c>
      <c r="N3749">
        <v>0</v>
      </c>
      <c r="O3749">
        <v>9.6258750000000008E-3</v>
      </c>
      <c r="P3749">
        <v>-0.99804250000000005</v>
      </c>
      <c r="Q3749">
        <v>2.8931180000000001E-2</v>
      </c>
      <c r="R3749">
        <v>5.5445880000000003E-2</v>
      </c>
      <c r="S3749">
        <v>-3.0338750000000001</v>
      </c>
      <c r="T3749">
        <v>-7.8791380000000008E-3</v>
      </c>
      <c r="U3749">
        <v>-0.49485780000000001</v>
      </c>
      <c r="V3749">
        <v>4.5778520000000003E-2</v>
      </c>
      <c r="W3749">
        <v>4.3591820000000003E-2</v>
      </c>
      <c r="X3749">
        <v>0.998</v>
      </c>
      <c r="Y3749">
        <v>-0.17047670000000001</v>
      </c>
      <c r="Z3749">
        <v>-2.4475719999999997E-4</v>
      </c>
      <c r="AA3749">
        <v>0.98536170000000001</v>
      </c>
      <c r="AB3749">
        <v>34</v>
      </c>
      <c r="AC3749">
        <v>-133.23840000000001</v>
      </c>
      <c r="AD3749">
        <v>-0.34693469999999899</v>
      </c>
      <c r="AE3749">
        <v>-21.790199999999999</v>
      </c>
      <c r="AF3749">
        <v>-23.071711279456402</v>
      </c>
      <c r="AG3749">
        <v>-0.34693469999999899</v>
      </c>
      <c r="AH3749">
        <v>133.021575183312</v>
      </c>
      <c r="AI3749">
        <v>90.147235082197199</v>
      </c>
      <c r="AJ3749">
        <v>99.8396850100129</v>
      </c>
      <c r="AK3749">
        <v>135.00801342623399</v>
      </c>
      <c r="AL3749">
        <v>87.501580897074206</v>
      </c>
      <c r="AM3749">
        <v>87.373668639053093</v>
      </c>
      <c r="AN3749">
        <v>0.99999995983214995</v>
      </c>
    </row>
    <row r="3750" spans="1:40" x14ac:dyDescent="0.25">
      <c r="A3750" t="str">
        <f>"20190312154632005"</f>
        <v>20190312154632005</v>
      </c>
      <c r="B3750" t="str">
        <f>"1552376792001256"</f>
        <v>1552376792001256</v>
      </c>
      <c r="C3750" t="s">
        <v>40</v>
      </c>
      <c r="D3750">
        <v>4.4943369999999998</v>
      </c>
      <c r="E3750">
        <v>0.41251470000000001</v>
      </c>
      <c r="F3750" t="s">
        <v>78</v>
      </c>
      <c r="G3750">
        <v>-440.20710000000003</v>
      </c>
      <c r="H3750">
        <v>0.72561600000000004</v>
      </c>
      <c r="I3750">
        <v>118.19840000000001</v>
      </c>
      <c r="J3750">
        <v>-307.37040000000002</v>
      </c>
      <c r="K3750">
        <v>1.1104560000000001</v>
      </c>
      <c r="L3750">
        <v>140.73140000000001</v>
      </c>
      <c r="M3750">
        <v>-0.9998532</v>
      </c>
      <c r="N3750">
        <v>0</v>
      </c>
      <c r="O3750">
        <v>8.9334169999999904E-3</v>
      </c>
      <c r="P3750">
        <v>-0.99798909999999996</v>
      </c>
      <c r="Q3750">
        <v>3.1487090000000002E-2</v>
      </c>
      <c r="R3750">
        <v>5.501499E-2</v>
      </c>
      <c r="S3750">
        <v>-3.034637</v>
      </c>
      <c r="T3750">
        <v>-8.7642669999999992E-3</v>
      </c>
      <c r="U3750">
        <v>-0.51313779999999998</v>
      </c>
      <c r="V3750">
        <v>4.6036569999999999E-2</v>
      </c>
      <c r="W3750">
        <v>4.6142229999999999E-2</v>
      </c>
      <c r="X3750">
        <v>0.99787349999999997</v>
      </c>
      <c r="Y3750">
        <v>-0.17552870000000001</v>
      </c>
      <c r="Z3750">
        <v>-2.7730909999999998E-4</v>
      </c>
      <c r="AA3750">
        <v>0.98447419999999997</v>
      </c>
      <c r="AB3750">
        <v>34</v>
      </c>
      <c r="AC3750">
        <v>-132.83670000000001</v>
      </c>
      <c r="AD3750">
        <v>-0.38483999999999902</v>
      </c>
      <c r="AE3750">
        <v>-22.533000000000001</v>
      </c>
      <c r="AF3750">
        <v>-23.718719644451902</v>
      </c>
      <c r="AG3750">
        <v>-0.38483999999999902</v>
      </c>
      <c r="AH3750">
        <v>132.628997938955</v>
      </c>
      <c r="AI3750">
        <v>90.163654182686201</v>
      </c>
      <c r="AJ3750">
        <v>100.139311202703</v>
      </c>
      <c r="AK3750">
        <v>134.73372576192301</v>
      </c>
      <c r="AL3750">
        <v>87.355305915820097</v>
      </c>
      <c r="AM3750">
        <v>87.358550776099094</v>
      </c>
      <c r="AN3750">
        <v>0.99999999658449301</v>
      </c>
    </row>
    <row r="3751" spans="1:40" x14ac:dyDescent="0.25">
      <c r="A3751" t="str">
        <f>"20190312154632024"</f>
        <v>20190312154632024</v>
      </c>
      <c r="B3751" t="str">
        <f>"1552376792011016"</f>
        <v>1552376792011016</v>
      </c>
      <c r="C3751" t="s">
        <v>40</v>
      </c>
      <c r="D3751">
        <v>4.5204649999999997</v>
      </c>
      <c r="E3751">
        <v>0.41188419999999998</v>
      </c>
      <c r="F3751" t="s">
        <v>78</v>
      </c>
      <c r="G3751">
        <v>-440.20710000000003</v>
      </c>
      <c r="H3751">
        <v>0.98669810000000002</v>
      </c>
      <c r="I3751">
        <v>117.2841</v>
      </c>
      <c r="J3751">
        <v>-307.66739999999999</v>
      </c>
      <c r="K3751">
        <v>1.1104670000000001</v>
      </c>
      <c r="L3751">
        <v>140.73349999999999</v>
      </c>
      <c r="M3751">
        <v>-0.99985769999999996</v>
      </c>
      <c r="N3751">
        <v>0</v>
      </c>
      <c r="O3751">
        <v>8.4207090000000002E-3</v>
      </c>
      <c r="P3751">
        <v>-0.99792429999999999</v>
      </c>
      <c r="Q3751">
        <v>3.3855759999999999E-2</v>
      </c>
      <c r="R3751">
        <v>5.4780589999999997E-2</v>
      </c>
      <c r="S3751">
        <v>-3.0356450000000001</v>
      </c>
      <c r="T3751">
        <v>-2.827525E-3</v>
      </c>
      <c r="U3751">
        <v>-0.53582759999999996</v>
      </c>
      <c r="V3751">
        <v>4.6311650000000003E-2</v>
      </c>
      <c r="W3751">
        <v>4.850612E-2</v>
      </c>
      <c r="X3751">
        <v>0.99774870000000004</v>
      </c>
      <c r="Y3751">
        <v>-0.182112</v>
      </c>
      <c r="Z3751" s="1">
        <v>-9.1948239999999998E-5</v>
      </c>
      <c r="AA3751">
        <v>0.98327779999999998</v>
      </c>
      <c r="AB3751">
        <v>34</v>
      </c>
      <c r="AC3751">
        <v>-132.53970000000001</v>
      </c>
      <c r="AD3751">
        <v>-0.1237689</v>
      </c>
      <c r="AE3751">
        <v>-23.449400000000001</v>
      </c>
      <c r="AF3751">
        <v>-24.564745158320601</v>
      </c>
      <c r="AG3751">
        <v>-0.1237689</v>
      </c>
      <c r="AH3751">
        <v>132.33740625505001</v>
      </c>
      <c r="AI3751">
        <v>90.052686033539501</v>
      </c>
      <c r="AJ3751">
        <v>100.515677594886</v>
      </c>
      <c r="AK3751">
        <v>134.598035341338</v>
      </c>
      <c r="AL3751">
        <v>87.219713164951997</v>
      </c>
      <c r="AM3751">
        <v>87.3424581206216</v>
      </c>
      <c r="AN3751">
        <v>1.0000000404774301</v>
      </c>
    </row>
    <row r="3752" spans="1:40" x14ac:dyDescent="0.25">
      <c r="A3752" t="str">
        <f>"20190312154632045"</f>
        <v>20190312154632045</v>
      </c>
      <c r="B3752" t="str">
        <f>"1552376792040803"</f>
        <v>1552376792040803</v>
      </c>
      <c r="C3752" t="s">
        <v>40</v>
      </c>
      <c r="D3752">
        <v>4.5379649999999998</v>
      </c>
      <c r="E3752">
        <v>0.41046490000000002</v>
      </c>
      <c r="F3752" t="s">
        <v>78</v>
      </c>
      <c r="G3752">
        <v>-440.75</v>
      </c>
      <c r="H3752">
        <v>1.274111</v>
      </c>
      <c r="I3752">
        <v>116.9941</v>
      </c>
      <c r="J3752">
        <v>-307.99250000000001</v>
      </c>
      <c r="K3752">
        <v>1.110484</v>
      </c>
      <c r="L3752">
        <v>140.73570000000001</v>
      </c>
      <c r="M3752">
        <v>-0.99986240000000004</v>
      </c>
      <c r="N3752">
        <v>0</v>
      </c>
      <c r="O3752">
        <v>7.8596640000000006E-3</v>
      </c>
      <c r="P3752">
        <v>-0.99782820000000005</v>
      </c>
      <c r="Q3752">
        <v>3.7472810000000002E-2</v>
      </c>
      <c r="R3752">
        <v>5.4175380000000002E-2</v>
      </c>
      <c r="S3752">
        <v>-3.035828</v>
      </c>
      <c r="T3752">
        <v>3.7336349999999999E-3</v>
      </c>
      <c r="U3752">
        <v>-0.54153439999999997</v>
      </c>
      <c r="V3752">
        <v>4.6262810000000001E-2</v>
      </c>
      <c r="W3752">
        <v>5.2117400000000001E-2</v>
      </c>
      <c r="X3752">
        <v>0.99756880000000003</v>
      </c>
      <c r="Y3752">
        <v>-0.1833419</v>
      </c>
      <c r="Z3752">
        <v>1.214524E-4</v>
      </c>
      <c r="AA3752">
        <v>0.98304919999999996</v>
      </c>
      <c r="AB3752">
        <v>34</v>
      </c>
      <c r="AC3752">
        <v>-132.75749999999999</v>
      </c>
      <c r="AD3752">
        <v>0.163626999999999</v>
      </c>
      <c r="AE3752">
        <v>-23.741599999999998</v>
      </c>
      <c r="AF3752">
        <v>-24.784370736700399</v>
      </c>
      <c r="AG3752">
        <v>0.163626999999999</v>
      </c>
      <c r="AH3752">
        <v>132.566582502996</v>
      </c>
      <c r="AI3752">
        <v>89.930484290683594</v>
      </c>
      <c r="AJ3752">
        <v>100.58964751950801</v>
      </c>
      <c r="AK3752">
        <v>134.86359999322599</v>
      </c>
      <c r="AL3752">
        <v>87.012539436140202</v>
      </c>
      <c r="AM3752">
        <v>87.344778670269704</v>
      </c>
      <c r="AN3752">
        <v>0.99999999085264801</v>
      </c>
    </row>
    <row r="3753" spans="1:40" x14ac:dyDescent="0.25">
      <c r="A3753" t="str">
        <f>"20190312154632068"</f>
        <v>20190312154632068</v>
      </c>
      <c r="B3753" t="str">
        <f>"1552376792061299"</f>
        <v>1552376792061299</v>
      </c>
      <c r="C3753" t="s">
        <v>40</v>
      </c>
      <c r="D3753">
        <v>4.5431030000000003</v>
      </c>
      <c r="E3753">
        <v>0.40968549999999998</v>
      </c>
      <c r="F3753" t="s">
        <v>78</v>
      </c>
      <c r="G3753">
        <v>-440.75</v>
      </c>
      <c r="H3753">
        <v>1.534859</v>
      </c>
      <c r="I3753">
        <v>116.47110000000001</v>
      </c>
      <c r="J3753">
        <v>-308.33460000000002</v>
      </c>
      <c r="K3753">
        <v>1.110514</v>
      </c>
      <c r="L3753">
        <v>140.73769999999999</v>
      </c>
      <c r="M3753">
        <v>-0.9998669</v>
      </c>
      <c r="N3753">
        <v>0</v>
      </c>
      <c r="O3753">
        <v>7.2691250000000004E-3</v>
      </c>
      <c r="P3753">
        <v>-0.99766940000000004</v>
      </c>
      <c r="Q3753">
        <v>4.3005330000000001E-2</v>
      </c>
      <c r="R3753">
        <v>5.2976189999999999E-2</v>
      </c>
      <c r="S3753">
        <v>-3.0362550000000001</v>
      </c>
      <c r="T3753">
        <v>9.7063779999999999E-3</v>
      </c>
      <c r="U3753">
        <v>-0.55494690000000002</v>
      </c>
      <c r="V3753">
        <v>4.5647399999999998E-2</v>
      </c>
      <c r="W3753">
        <v>5.7641310000000001E-2</v>
      </c>
      <c r="X3753">
        <v>0.99729319999999999</v>
      </c>
      <c r="Y3753">
        <v>-0.18694079999999999</v>
      </c>
      <c r="Z3753">
        <v>3.1940640000000003E-4</v>
      </c>
      <c r="AA3753">
        <v>0.9823712</v>
      </c>
      <c r="AB3753">
        <v>34</v>
      </c>
      <c r="AC3753">
        <v>-132.41539999999901</v>
      </c>
      <c r="AD3753">
        <v>0.42434500000000003</v>
      </c>
      <c r="AE3753">
        <v>-24.266599999999901</v>
      </c>
      <c r="AF3753">
        <v>-25.228354844549699</v>
      </c>
      <c r="AG3753">
        <v>0.42434500000000003</v>
      </c>
      <c r="AH3753">
        <v>132.23417112292401</v>
      </c>
      <c r="AI3753">
        <v>89.819393625135405</v>
      </c>
      <c r="AJ3753">
        <v>100.801395375016</v>
      </c>
      <c r="AK3753">
        <v>134.61993154584599</v>
      </c>
      <c r="AL3753">
        <v>86.695564531804493</v>
      </c>
      <c r="AM3753">
        <v>87.379327137770304</v>
      </c>
      <c r="AN3753">
        <v>0.99999996625575704</v>
      </c>
    </row>
    <row r="3754" spans="1:40" x14ac:dyDescent="0.25">
      <c r="A3754" t="str">
        <f>"20190312154632090"</f>
        <v>20190312154632090</v>
      </c>
      <c r="B3754" t="str">
        <f>"1552376792080818"</f>
        <v>1552376792080818</v>
      </c>
      <c r="C3754" t="s">
        <v>40</v>
      </c>
      <c r="D3754">
        <v>4.5424509999999998</v>
      </c>
      <c r="E3754">
        <v>0.40942060000000002</v>
      </c>
      <c r="F3754" t="s">
        <v>78</v>
      </c>
      <c r="G3754">
        <v>-440.75</v>
      </c>
      <c r="H3754">
        <v>2.1711360000000002</v>
      </c>
      <c r="I3754">
        <v>116.0993</v>
      </c>
      <c r="J3754">
        <v>-308.68110000000001</v>
      </c>
      <c r="K3754">
        <v>1.110544</v>
      </c>
      <c r="L3754">
        <v>140.7396</v>
      </c>
      <c r="M3754">
        <v>-0.99987110000000001</v>
      </c>
      <c r="N3754">
        <v>0</v>
      </c>
      <c r="O3754">
        <v>6.6714969999999898E-3</v>
      </c>
      <c r="P3754">
        <v>-0.99734069999999997</v>
      </c>
      <c r="Q3754">
        <v>5.1550070000000003E-2</v>
      </c>
      <c r="R3754">
        <v>5.1520990000000003E-2</v>
      </c>
      <c r="S3754">
        <v>-3.0359500000000001</v>
      </c>
      <c r="T3754">
        <v>2.4317979999999999E-2</v>
      </c>
      <c r="U3754">
        <v>-0.56489560000000005</v>
      </c>
      <c r="V3754">
        <v>4.4780130000000001E-2</v>
      </c>
      <c r="W3754">
        <v>6.6175059999999994E-2</v>
      </c>
      <c r="X3754">
        <v>0.99680270000000004</v>
      </c>
      <c r="Y3754">
        <v>-0.1894786</v>
      </c>
      <c r="Z3754">
        <v>8.0539049999999997E-4</v>
      </c>
      <c r="AA3754">
        <v>0.98188450000000005</v>
      </c>
      <c r="AB3754">
        <v>34</v>
      </c>
      <c r="AC3754">
        <v>-132.06890000000001</v>
      </c>
      <c r="AD3754">
        <v>1.060592</v>
      </c>
      <c r="AE3754">
        <v>-24.6403</v>
      </c>
      <c r="AF3754">
        <v>-25.5193523687423</v>
      </c>
      <c r="AG3754">
        <v>1.060592</v>
      </c>
      <c r="AH3754">
        <v>131.893335258034</v>
      </c>
      <c r="AI3754">
        <v>89.547666894980296</v>
      </c>
      <c r="AJ3754">
        <v>100.950549531512</v>
      </c>
      <c r="AK3754">
        <v>134.34364177808601</v>
      </c>
      <c r="AL3754">
        <v>86.205675637662196</v>
      </c>
      <c r="AM3754">
        <v>87.427787315307995</v>
      </c>
      <c r="AN3754">
        <v>1.00000001066805</v>
      </c>
    </row>
    <row r="3755" spans="1:40" x14ac:dyDescent="0.25">
      <c r="A3755" t="str">
        <f>"20190312154632112"</f>
        <v>20190312154632112</v>
      </c>
      <c r="B3755" t="str">
        <f>"1552376792101315"</f>
        <v>1552376792101315</v>
      </c>
      <c r="C3755" t="s">
        <v>40</v>
      </c>
      <c r="D3755">
        <v>4.5398329999999998</v>
      </c>
      <c r="E3755">
        <v>0.40921429999999998</v>
      </c>
      <c r="F3755" t="s">
        <v>78</v>
      </c>
      <c r="G3755">
        <v>-440.75</v>
      </c>
      <c r="H3755">
        <v>3.0742289999999999</v>
      </c>
      <c r="I3755">
        <v>115.86669999999999</v>
      </c>
      <c r="J3755">
        <v>-309.00740000000002</v>
      </c>
      <c r="K3755">
        <v>1.1105780000000001</v>
      </c>
      <c r="L3755">
        <v>140.74119999999999</v>
      </c>
      <c r="M3755">
        <v>-0.99987479999999995</v>
      </c>
      <c r="N3755">
        <v>0</v>
      </c>
      <c r="O3755">
        <v>6.1123419999999998E-3</v>
      </c>
      <c r="P3755">
        <v>-0.99693690000000001</v>
      </c>
      <c r="Q3755">
        <v>6.0014240000000003E-2</v>
      </c>
      <c r="R3755">
        <v>5.0152479999999999E-2</v>
      </c>
      <c r="S3755">
        <v>-3.0351870000000001</v>
      </c>
      <c r="T3755">
        <v>4.5129660000000002E-2</v>
      </c>
      <c r="U3755">
        <v>-0.57162480000000004</v>
      </c>
      <c r="V3755">
        <v>4.3961500000000001E-2</v>
      </c>
      <c r="W3755">
        <v>7.4626449999999997E-2</v>
      </c>
      <c r="X3755">
        <v>0.99624210000000002</v>
      </c>
      <c r="Y3755">
        <v>-0.1910618</v>
      </c>
      <c r="Z3755">
        <v>1.4980880000000001E-3</v>
      </c>
      <c r="AA3755">
        <v>0.98157689999999997</v>
      </c>
      <c r="AB3755">
        <v>34</v>
      </c>
      <c r="AC3755">
        <v>-131.74259999999899</v>
      </c>
      <c r="AD3755">
        <v>1.963651</v>
      </c>
      <c r="AE3755">
        <v>-24.874500000000001</v>
      </c>
      <c r="AF3755">
        <v>-25.673869341215301</v>
      </c>
      <c r="AG3755">
        <v>1.963651</v>
      </c>
      <c r="AH3755">
        <v>131.55985887931101</v>
      </c>
      <c r="AI3755">
        <v>89.160701695574502</v>
      </c>
      <c r="AJ3755">
        <v>101.042472734697</v>
      </c>
      <c r="AK3755">
        <v>134.05595831794901</v>
      </c>
      <c r="AL3755">
        <v>85.720240773304099</v>
      </c>
      <c r="AM3755">
        <v>87.4733295989232</v>
      </c>
      <c r="AN3755">
        <v>1.00000002116713</v>
      </c>
    </row>
    <row r="3756" spans="1:40" x14ac:dyDescent="0.25">
      <c r="A3756" t="str">
        <f>"20190312154632135"</f>
        <v>20190312154632135</v>
      </c>
      <c r="B3756" t="str">
        <f>"1552376792131571"</f>
        <v>1552376792131571</v>
      </c>
      <c r="C3756" t="s">
        <v>40</v>
      </c>
      <c r="D3756">
        <v>4.5935110000000003</v>
      </c>
      <c r="E3756">
        <v>0.4087094</v>
      </c>
      <c r="F3756" t="s">
        <v>78</v>
      </c>
      <c r="G3756">
        <v>-440.75</v>
      </c>
      <c r="H3756">
        <v>3.945443</v>
      </c>
      <c r="I3756">
        <v>115.6671</v>
      </c>
      <c r="J3756">
        <v>-309.3614</v>
      </c>
      <c r="K3756">
        <v>1.110603</v>
      </c>
      <c r="L3756">
        <v>140.74279999999999</v>
      </c>
      <c r="M3756">
        <v>-0.99987839999999995</v>
      </c>
      <c r="N3756">
        <v>0</v>
      </c>
      <c r="O3756">
        <v>5.5173430000000001E-3</v>
      </c>
      <c r="P3756">
        <v>-0.99642090000000005</v>
      </c>
      <c r="Q3756">
        <v>6.8877759999999996E-2</v>
      </c>
      <c r="R3756">
        <v>4.9006500000000001E-2</v>
      </c>
      <c r="S3756">
        <v>-3.034332</v>
      </c>
      <c r="T3756">
        <v>6.5293909999999997E-2</v>
      </c>
      <c r="U3756">
        <v>-0.57751459999999999</v>
      </c>
      <c r="V3756">
        <v>4.3402089999999997E-2</v>
      </c>
      <c r="W3756">
        <v>8.3475919999999995E-2</v>
      </c>
      <c r="X3756">
        <v>0.99556420000000001</v>
      </c>
      <c r="Y3756">
        <v>-0.19234409999999999</v>
      </c>
      <c r="Z3756">
        <v>2.168508E-3</v>
      </c>
      <c r="AA3756">
        <v>0.98132509999999995</v>
      </c>
      <c r="AB3756">
        <v>34</v>
      </c>
      <c r="AC3756">
        <v>-131.3886</v>
      </c>
      <c r="AD3756">
        <v>2.8348399999999998</v>
      </c>
      <c r="AE3756">
        <v>-25.075699999999902</v>
      </c>
      <c r="AF3756">
        <v>-25.7887279983903</v>
      </c>
      <c r="AG3756">
        <v>2.8348399999999998</v>
      </c>
      <c r="AH3756">
        <v>131.18930838828601</v>
      </c>
      <c r="AI3756">
        <v>88.785340166394107</v>
      </c>
      <c r="AJ3756">
        <v>101.12119813447001</v>
      </c>
      <c r="AK3756">
        <v>133.730061859693</v>
      </c>
      <c r="AL3756">
        <v>85.21161008688</v>
      </c>
      <c r="AM3756">
        <v>87.503744149413194</v>
      </c>
      <c r="AN3756">
        <v>1.0000000234789199</v>
      </c>
    </row>
    <row r="3757" spans="1:40" x14ac:dyDescent="0.25">
      <c r="A3757" t="str">
        <f>"20190312154632157"</f>
        <v>20190312154632157</v>
      </c>
      <c r="B3757" t="str">
        <f>"1552376792151091"</f>
        <v>1552376792151091</v>
      </c>
      <c r="C3757" t="s">
        <v>40</v>
      </c>
      <c r="D3757">
        <v>4.6748690000000002</v>
      </c>
      <c r="E3757">
        <v>0.40886109999999998</v>
      </c>
      <c r="F3757" t="s">
        <v>78</v>
      </c>
      <c r="G3757">
        <v>-440.75</v>
      </c>
      <c r="H3757">
        <v>4.7501329999999999</v>
      </c>
      <c r="I3757">
        <v>115.4032</v>
      </c>
      <c r="J3757">
        <v>-309.6952</v>
      </c>
      <c r="K3757">
        <v>1.1106389999999999</v>
      </c>
      <c r="L3757">
        <v>140.744</v>
      </c>
      <c r="M3757">
        <v>-0.99988120000000003</v>
      </c>
      <c r="N3757">
        <v>0</v>
      </c>
      <c r="O3757">
        <v>4.9730399999999998E-3</v>
      </c>
      <c r="P3757">
        <v>-0.99565329999999996</v>
      </c>
      <c r="Q3757">
        <v>7.9163449999999996E-2</v>
      </c>
      <c r="R3757">
        <v>4.9067760000000002E-2</v>
      </c>
      <c r="S3757">
        <v>-3.033722</v>
      </c>
      <c r="T3757">
        <v>8.4036109999999997E-2</v>
      </c>
      <c r="U3757">
        <v>-0.58508300000000002</v>
      </c>
      <c r="V3757">
        <v>4.3999509999999999E-2</v>
      </c>
      <c r="W3757">
        <v>9.3744530000000006E-2</v>
      </c>
      <c r="X3757">
        <v>0.99462349999999999</v>
      </c>
      <c r="Y3757">
        <v>-0.19417770000000001</v>
      </c>
      <c r="Z3757">
        <v>2.800879E-3</v>
      </c>
      <c r="AA3757">
        <v>0.98096240000000001</v>
      </c>
      <c r="AB3757">
        <v>34</v>
      </c>
      <c r="AC3757">
        <v>-131.0548</v>
      </c>
      <c r="AD3757">
        <v>3.639494</v>
      </c>
      <c r="AE3757">
        <v>-25.340800000000002</v>
      </c>
      <c r="AF3757">
        <v>-25.972987849540399</v>
      </c>
      <c r="AG3757">
        <v>3.639494</v>
      </c>
      <c r="AH3757">
        <v>130.82988316634101</v>
      </c>
      <c r="AI3757">
        <v>88.437014138531197</v>
      </c>
      <c r="AJ3757">
        <v>101.22864243474299</v>
      </c>
      <c r="AK3757">
        <v>133.43275588747699</v>
      </c>
      <c r="AL3757">
        <v>84.620935534850503</v>
      </c>
      <c r="AM3757">
        <v>87.467037852898997</v>
      </c>
      <c r="AN3757">
        <v>0.99999995026870403</v>
      </c>
    </row>
    <row r="3758" spans="1:40" x14ac:dyDescent="0.25">
      <c r="A3758" t="str">
        <f>"20190312154632181"</f>
        <v>20190312154632181</v>
      </c>
      <c r="B3758" t="str">
        <f>"1552376792171587"</f>
        <v>1552376792171587</v>
      </c>
      <c r="C3758" t="s">
        <v>40</v>
      </c>
      <c r="D3758">
        <v>4.6771719999999997</v>
      </c>
      <c r="E3758">
        <v>0.4479707</v>
      </c>
      <c r="F3758" t="s">
        <v>78</v>
      </c>
      <c r="G3758">
        <v>-440.75</v>
      </c>
      <c r="H3758">
        <v>5.8977950000000003</v>
      </c>
      <c r="I3758">
        <v>115.52979999999999</v>
      </c>
      <c r="J3758">
        <v>-310.05</v>
      </c>
      <c r="K3758">
        <v>1.110663</v>
      </c>
      <c r="L3758">
        <v>140.74520000000001</v>
      </c>
      <c r="M3758">
        <v>-0.99988390000000005</v>
      </c>
      <c r="N3758">
        <v>0</v>
      </c>
      <c r="O3758">
        <v>4.4177790000000002E-3</v>
      </c>
      <c r="P3758">
        <v>-0.99473820000000002</v>
      </c>
      <c r="Q3758">
        <v>9.0075409999999995E-2</v>
      </c>
      <c r="R3758">
        <v>4.8811470000000003E-2</v>
      </c>
      <c r="S3758">
        <v>-3.0330509999999999</v>
      </c>
      <c r="T3758">
        <v>0.1107914</v>
      </c>
      <c r="U3758">
        <v>-0.58354189999999995</v>
      </c>
      <c r="V3758">
        <v>4.4291839999999999E-2</v>
      </c>
      <c r="W3758">
        <v>0.1046354</v>
      </c>
      <c r="X3758">
        <v>0.99352390000000002</v>
      </c>
      <c r="Y3758">
        <v>-0.19313930000000001</v>
      </c>
      <c r="Z3758">
        <v>3.654203E-3</v>
      </c>
      <c r="AA3758">
        <v>0.98116460000000005</v>
      </c>
      <c r="AB3758">
        <v>34</v>
      </c>
      <c r="AC3758">
        <v>-130.69999999999999</v>
      </c>
      <c r="AD3758">
        <v>4.7871319999999997</v>
      </c>
      <c r="AE3758">
        <v>-25.215399999999999</v>
      </c>
      <c r="AF3758">
        <v>-25.759302253259602</v>
      </c>
      <c r="AG3758">
        <v>4.7871319999999997</v>
      </c>
      <c r="AH3758">
        <v>130.41863458173401</v>
      </c>
      <c r="AI3758">
        <v>87.937658109590501</v>
      </c>
      <c r="AJ3758">
        <v>101.172822046871</v>
      </c>
      <c r="AK3758">
        <v>133.024353152061</v>
      </c>
      <c r="AL3758">
        <v>83.993839415107502</v>
      </c>
      <c r="AM3758">
        <v>87.447412876312598</v>
      </c>
      <c r="AN3758">
        <v>1.00000003694747</v>
      </c>
    </row>
    <row r="3759" spans="1:40" x14ac:dyDescent="0.25">
      <c r="A3759" t="str">
        <f>"20190312154632202"</f>
        <v>20190312154632202</v>
      </c>
      <c r="B3759" t="str">
        <f>"1552376792191107"</f>
        <v>1552376792191107</v>
      </c>
      <c r="C3759" t="s">
        <v>40</v>
      </c>
      <c r="D3759">
        <v>4.6664510000000003</v>
      </c>
      <c r="E3759">
        <v>0.4515286</v>
      </c>
      <c r="F3759" t="s">
        <v>44</v>
      </c>
      <c r="G3759">
        <v>0</v>
      </c>
      <c r="H3759">
        <v>0</v>
      </c>
      <c r="I3759">
        <v>0</v>
      </c>
      <c r="J3759">
        <v>-310.38889999999998</v>
      </c>
      <c r="K3759">
        <v>1.110676</v>
      </c>
      <c r="L3759">
        <v>140.74619999999999</v>
      </c>
      <c r="M3759">
        <v>-0.99988589999999999</v>
      </c>
      <c r="N3759">
        <v>0</v>
      </c>
      <c r="O3759">
        <v>3.9170129999999996E-3</v>
      </c>
      <c r="P3759">
        <v>-0.9938591</v>
      </c>
      <c r="Q3759">
        <v>0.1000132</v>
      </c>
      <c r="R3759">
        <v>4.7343709999999997E-2</v>
      </c>
      <c r="S3759">
        <v>-3.022583</v>
      </c>
      <c r="T3759">
        <v>7.4712280000000006E-2</v>
      </c>
      <c r="U3759">
        <v>-0.27482600000000001</v>
      </c>
      <c r="V3759">
        <v>4.3320810000000001E-2</v>
      </c>
      <c r="W3759">
        <v>0.1145516</v>
      </c>
      <c r="X3759">
        <v>0.99247229999999997</v>
      </c>
      <c r="Y3759">
        <v>-9.4421539999999998E-2</v>
      </c>
      <c r="Z3759">
        <v>1.2609989999999901E-3</v>
      </c>
      <c r="AA3759">
        <v>0.99553150000000001</v>
      </c>
      <c r="AB3759">
        <v>34</v>
      </c>
      <c r="AC3759">
        <v>-3.022583</v>
      </c>
      <c r="AD3759">
        <v>7.4712280000000006E-2</v>
      </c>
      <c r="AE3759">
        <v>-0.27482600000000001</v>
      </c>
      <c r="AF3759">
        <v>-0.28649104303212802</v>
      </c>
      <c r="AG3759">
        <v>7.4712280000000006E-2</v>
      </c>
      <c r="AH3759">
        <v>3.01965337317437</v>
      </c>
      <c r="AI3759">
        <v>88.589010285334794</v>
      </c>
      <c r="AJ3759">
        <v>95.419741378423893</v>
      </c>
      <c r="AK3759">
        <v>3.0341334078520301</v>
      </c>
      <c r="AL3759">
        <v>83.422237384539699</v>
      </c>
      <c r="AM3759">
        <v>87.500660701859402</v>
      </c>
      <c r="AN3759">
        <v>1.00000001395445</v>
      </c>
    </row>
    <row r="3760" spans="1:40" x14ac:dyDescent="0.25">
      <c r="A3760" t="str">
        <f>"20190312154632224"</f>
        <v>20190312154632224</v>
      </c>
      <c r="B3760" t="str">
        <f>"1552376792211603"</f>
        <v>1552376792211603</v>
      </c>
      <c r="C3760" t="s">
        <v>40</v>
      </c>
      <c r="D3760">
        <v>4.6654150000000003</v>
      </c>
      <c r="E3760">
        <v>0.4528607</v>
      </c>
      <c r="F3760" t="s">
        <v>44</v>
      </c>
      <c r="G3760">
        <v>0</v>
      </c>
      <c r="H3760">
        <v>0</v>
      </c>
      <c r="I3760">
        <v>0</v>
      </c>
      <c r="J3760">
        <v>-310.70830000000001</v>
      </c>
      <c r="K3760">
        <v>1.110697</v>
      </c>
      <c r="L3760">
        <v>140.74700000000001</v>
      </c>
      <c r="M3760">
        <v>-0.99988779999999999</v>
      </c>
      <c r="N3760">
        <v>0</v>
      </c>
      <c r="O3760">
        <v>3.4768389999999998E-3</v>
      </c>
      <c r="P3760">
        <v>-0.99302480000000004</v>
      </c>
      <c r="Q3760">
        <v>0.1086737</v>
      </c>
      <c r="R3760">
        <v>4.5738510000000003E-2</v>
      </c>
      <c r="S3760">
        <v>-3.0211489999999999</v>
      </c>
      <c r="T3760">
        <v>9.3173980000000003E-2</v>
      </c>
      <c r="U3760">
        <v>-0.25135800000000003</v>
      </c>
      <c r="V3760">
        <v>4.2153919999999998E-2</v>
      </c>
      <c r="W3760">
        <v>0.1231907</v>
      </c>
      <c r="X3760">
        <v>0.99148729999999996</v>
      </c>
      <c r="Y3760">
        <v>-8.6335330000000002E-2</v>
      </c>
      <c r="Z3760">
        <v>1.435738E-3</v>
      </c>
      <c r="AA3760">
        <v>0.99626510000000001</v>
      </c>
      <c r="AB3760">
        <v>34</v>
      </c>
      <c r="AC3760">
        <v>-3.0211489999999999</v>
      </c>
      <c r="AD3760">
        <v>9.3173980000000003E-2</v>
      </c>
      <c r="AE3760">
        <v>-0.25135800000000003</v>
      </c>
      <c r="AF3760">
        <v>-0.26161452251603901</v>
      </c>
      <c r="AG3760">
        <v>9.3173980000000003E-2</v>
      </c>
      <c r="AH3760">
        <v>3.0174064617346699</v>
      </c>
      <c r="AI3760">
        <v>88.237941667202406</v>
      </c>
      <c r="AJ3760">
        <v>94.955254532043696</v>
      </c>
      <c r="AK3760">
        <v>3.0301592869449099</v>
      </c>
      <c r="AL3760">
        <v>82.923716915942606</v>
      </c>
      <c r="AM3760">
        <v>87.565487706240702</v>
      </c>
      <c r="AN3760">
        <v>0.999999983799572</v>
      </c>
    </row>
    <row r="3761" spans="1:40" x14ac:dyDescent="0.25">
      <c r="A3761" t="str">
        <f>"20190312154632246"</f>
        <v>20190312154632246</v>
      </c>
      <c r="B3761" t="str">
        <f>"1552376792240884"</f>
        <v>1552376792240884</v>
      </c>
      <c r="C3761" t="s">
        <v>40</v>
      </c>
      <c r="D3761">
        <v>4.660126</v>
      </c>
      <c r="E3761">
        <v>0.45348739999999998</v>
      </c>
      <c r="F3761" t="s">
        <v>44</v>
      </c>
      <c r="G3761">
        <v>0</v>
      </c>
      <c r="H3761">
        <v>0</v>
      </c>
      <c r="I3761">
        <v>0</v>
      </c>
      <c r="J3761">
        <v>-311.04300000000001</v>
      </c>
      <c r="K3761">
        <v>1.1106959999999999</v>
      </c>
      <c r="L3761">
        <v>140.74770000000001</v>
      </c>
      <c r="M3761">
        <v>-0.99988900000000003</v>
      </c>
      <c r="N3761">
        <v>0</v>
      </c>
      <c r="O3761">
        <v>3.0495790000000002E-3</v>
      </c>
      <c r="P3761">
        <v>-0.99227050000000006</v>
      </c>
      <c r="Q3761">
        <v>0.1160229</v>
      </c>
      <c r="R3761">
        <v>4.401878E-2</v>
      </c>
      <c r="S3761">
        <v>-3.0208439999999999</v>
      </c>
      <c r="T3761">
        <v>0.1057744</v>
      </c>
      <c r="U3761">
        <v>-0.24627689999999999</v>
      </c>
      <c r="V3761">
        <v>4.0861880000000003E-2</v>
      </c>
      <c r="W3761">
        <v>0.1305201</v>
      </c>
      <c r="X3761">
        <v>0.99060329999999996</v>
      </c>
      <c r="Y3761">
        <v>-8.4242570000000003E-2</v>
      </c>
      <c r="Z3761">
        <v>1.5785650000000001E-3</v>
      </c>
      <c r="AA3761">
        <v>0.996444</v>
      </c>
      <c r="AB3761">
        <v>34</v>
      </c>
      <c r="AC3761">
        <v>-3.0208439999999999</v>
      </c>
      <c r="AD3761">
        <v>0.1057744</v>
      </c>
      <c r="AE3761">
        <v>-0.24627689999999999</v>
      </c>
      <c r="AF3761">
        <v>-0.25517824383679399</v>
      </c>
      <c r="AG3761">
        <v>0.1057744</v>
      </c>
      <c r="AH3761">
        <v>3.0164050149009398</v>
      </c>
      <c r="AI3761">
        <v>87.9988096915489</v>
      </c>
      <c r="AJ3761">
        <v>94.835526798595694</v>
      </c>
      <c r="AK3761">
        <v>3.0290268030743102</v>
      </c>
      <c r="AL3761">
        <v>82.500352401162402</v>
      </c>
      <c r="AM3761">
        <v>87.637917472148004</v>
      </c>
      <c r="AN3761">
        <v>1.0000000438560099</v>
      </c>
    </row>
    <row r="3762" spans="1:40" x14ac:dyDescent="0.25">
      <c r="A3762" t="str">
        <f>"20190312154632268"</f>
        <v>20190312154632268</v>
      </c>
      <c r="B3762" t="str">
        <f>"1552376792261379"</f>
        <v>1552376792261379</v>
      </c>
      <c r="C3762" t="s">
        <v>40</v>
      </c>
      <c r="D3762">
        <v>4.6009349999999998</v>
      </c>
      <c r="E3762">
        <v>0.45386169999999998</v>
      </c>
      <c r="F3762" t="s">
        <v>44</v>
      </c>
      <c r="G3762">
        <v>0</v>
      </c>
      <c r="H3762">
        <v>0</v>
      </c>
      <c r="I3762">
        <v>0</v>
      </c>
      <c r="J3762">
        <v>-311.36799999999999</v>
      </c>
      <c r="K3762">
        <v>1.1106910000000001</v>
      </c>
      <c r="L3762">
        <v>140.7483</v>
      </c>
      <c r="M3762">
        <v>-0.99989030000000001</v>
      </c>
      <c r="N3762">
        <v>0</v>
      </c>
      <c r="O3762">
        <v>2.6607029999999999E-3</v>
      </c>
      <c r="P3762">
        <v>-0.99162349999999999</v>
      </c>
      <c r="Q3762">
        <v>0.1220905</v>
      </c>
      <c r="R3762">
        <v>4.215704E-2</v>
      </c>
      <c r="S3762">
        <v>-3.021973</v>
      </c>
      <c r="T3762">
        <v>0.1054292</v>
      </c>
      <c r="U3762">
        <v>-0.24725340000000001</v>
      </c>
      <c r="V3762">
        <v>3.9390410000000001E-2</v>
      </c>
      <c r="W3762">
        <v>0.13656989999999999</v>
      </c>
      <c r="X3762">
        <v>0.98984700000000003</v>
      </c>
      <c r="Y3762">
        <v>-8.4145429999999993E-2</v>
      </c>
      <c r="Z3762">
        <v>1.5575770000000001E-3</v>
      </c>
      <c r="AA3762">
        <v>0.99645229999999996</v>
      </c>
      <c r="AB3762">
        <v>34</v>
      </c>
      <c r="AC3762">
        <v>-3.021973</v>
      </c>
      <c r="AD3762">
        <v>0.1054292</v>
      </c>
      <c r="AE3762">
        <v>-0.24725340000000001</v>
      </c>
      <c r="AF3762">
        <v>-0.25498566135701101</v>
      </c>
      <c r="AG3762">
        <v>0.1054292</v>
      </c>
      <c r="AH3762">
        <v>3.0176558764263701</v>
      </c>
      <c r="AI3762">
        <v>88.006145002770495</v>
      </c>
      <c r="AJ3762">
        <v>94.829901308891195</v>
      </c>
      <c r="AK3762">
        <v>3.0302442133004499</v>
      </c>
      <c r="AL3762">
        <v>82.150590695375399</v>
      </c>
      <c r="AM3762">
        <v>87.721148789468998</v>
      </c>
      <c r="AN3762">
        <v>1.00000001269748</v>
      </c>
    </row>
    <row r="3763" spans="1:40" x14ac:dyDescent="0.25">
      <c r="A3763" t="str">
        <f>"20190312154632291"</f>
        <v>20190312154632291</v>
      </c>
      <c r="B3763" t="str">
        <f>"1552376792280900"</f>
        <v>1552376792280900</v>
      </c>
      <c r="C3763" t="s">
        <v>40</v>
      </c>
      <c r="D3763">
        <v>4.606687</v>
      </c>
      <c r="E3763">
        <v>0.4539762</v>
      </c>
      <c r="F3763" t="s">
        <v>44</v>
      </c>
      <c r="G3763">
        <v>0</v>
      </c>
      <c r="H3763">
        <v>0</v>
      </c>
      <c r="I3763">
        <v>0</v>
      </c>
      <c r="J3763">
        <v>-311.72910000000002</v>
      </c>
      <c r="K3763">
        <v>1.110687</v>
      </c>
      <c r="L3763">
        <v>140.74879999999999</v>
      </c>
      <c r="M3763">
        <v>-0.99989130000000004</v>
      </c>
      <c r="N3763">
        <v>0</v>
      </c>
      <c r="O3763">
        <v>2.259194E-3</v>
      </c>
      <c r="P3763">
        <v>-0.99113039999999997</v>
      </c>
      <c r="Q3763">
        <v>0.12651809999999999</v>
      </c>
      <c r="R3763">
        <v>4.0670770000000002E-2</v>
      </c>
      <c r="S3763">
        <v>-3.0217589999999999</v>
      </c>
      <c r="T3763">
        <v>0.11578479999999999</v>
      </c>
      <c r="U3763">
        <v>-0.25028990000000001</v>
      </c>
      <c r="V3763">
        <v>3.8307750000000002E-2</v>
      </c>
      <c r="W3763">
        <v>0.14098139999999901</v>
      </c>
      <c r="X3763">
        <v>0.98927080000000001</v>
      </c>
      <c r="Y3763">
        <v>-8.4734630000000005E-2</v>
      </c>
      <c r="Z3763">
        <v>1.7064199999999999E-3</v>
      </c>
      <c r="AA3763">
        <v>0.99640209999999996</v>
      </c>
      <c r="AB3763">
        <v>34</v>
      </c>
      <c r="AC3763">
        <v>-3.0217589999999999</v>
      </c>
      <c r="AD3763">
        <v>0.11578479999999999</v>
      </c>
      <c r="AE3763">
        <v>-0.25028990000000001</v>
      </c>
      <c r="AF3763">
        <v>-0.25674234656731598</v>
      </c>
      <c r="AG3763">
        <v>0.11578479999999999</v>
      </c>
      <c r="AH3763">
        <v>3.0167867256352001</v>
      </c>
      <c r="AI3763">
        <v>87.809965714680601</v>
      </c>
      <c r="AJ3763">
        <v>94.8644114878268</v>
      </c>
      <c r="AK3763">
        <v>3.0299050975898099</v>
      </c>
      <c r="AL3763">
        <v>81.895360210358604</v>
      </c>
      <c r="AM3763">
        <v>87.782430935781306</v>
      </c>
      <c r="AN3763">
        <v>0.99999997729433099</v>
      </c>
    </row>
    <row r="3764" spans="1:40" x14ac:dyDescent="0.25">
      <c r="A3764" t="str">
        <f>"20190312154632313"</f>
        <v>20190312154632313</v>
      </c>
      <c r="B3764" t="str">
        <f>"1552376792301395"</f>
        <v>1552376792301395</v>
      </c>
      <c r="C3764" t="s">
        <v>40</v>
      </c>
      <c r="D3764">
        <v>4.6182600000000003</v>
      </c>
      <c r="E3764">
        <v>0.45709139999999998</v>
      </c>
      <c r="F3764" t="s">
        <v>44</v>
      </c>
      <c r="G3764">
        <v>0</v>
      </c>
      <c r="H3764">
        <v>0</v>
      </c>
      <c r="I3764">
        <v>0</v>
      </c>
      <c r="J3764">
        <v>-312.04910000000001</v>
      </c>
      <c r="K3764">
        <v>1.1106720000000001</v>
      </c>
      <c r="L3764">
        <v>140.7491</v>
      </c>
      <c r="M3764">
        <v>-0.99989209999999995</v>
      </c>
      <c r="N3764">
        <v>0</v>
      </c>
      <c r="O3764">
        <v>1.925838E-3</v>
      </c>
      <c r="P3764">
        <v>-0.99076120000000001</v>
      </c>
      <c r="Q3764">
        <v>0.12975639999999999</v>
      </c>
      <c r="R3764">
        <v>3.9443699999999998E-2</v>
      </c>
      <c r="S3764">
        <v>-3.021271</v>
      </c>
      <c r="T3764">
        <v>0.1251197</v>
      </c>
      <c r="U3764">
        <v>-0.25401309999999999</v>
      </c>
      <c r="V3764">
        <v>3.7416089999999999E-2</v>
      </c>
      <c r="W3764">
        <v>0.14420769999999999</v>
      </c>
      <c r="X3764">
        <v>0.98883980000000005</v>
      </c>
      <c r="Y3764">
        <v>-8.5623930000000001E-2</v>
      </c>
      <c r="Z3764">
        <v>1.8486830000000001E-3</v>
      </c>
      <c r="AA3764">
        <v>0.99632580000000004</v>
      </c>
      <c r="AB3764">
        <v>34</v>
      </c>
      <c r="AC3764">
        <v>-3.021271</v>
      </c>
      <c r="AD3764">
        <v>0.1251197</v>
      </c>
      <c r="AE3764">
        <v>-0.25401309999999999</v>
      </c>
      <c r="AF3764">
        <v>-0.25938998499824401</v>
      </c>
      <c r="AG3764">
        <v>0.1251197</v>
      </c>
      <c r="AH3764">
        <v>3.0156405400830599</v>
      </c>
      <c r="AI3764">
        <v>87.632876593995803</v>
      </c>
      <c r="AJ3764">
        <v>94.916189674995493</v>
      </c>
      <c r="AK3764">
        <v>3.02936065377465</v>
      </c>
      <c r="AL3764">
        <v>81.708598343411296</v>
      </c>
      <c r="AM3764">
        <v>87.833054651230796</v>
      </c>
      <c r="AN3764">
        <v>0.99999998729710904</v>
      </c>
    </row>
    <row r="3765" spans="1:40" x14ac:dyDescent="0.25">
      <c r="A3765" t="str">
        <f>"20190312154632335"</f>
        <v>20190312154632335</v>
      </c>
      <c r="B3765" t="str">
        <f>"1552376792320916"</f>
        <v>1552376792320916</v>
      </c>
      <c r="C3765" t="s">
        <v>40</v>
      </c>
      <c r="D3765">
        <v>4.6048609999999996</v>
      </c>
      <c r="E3765">
        <v>0.45742260000000001</v>
      </c>
      <c r="F3765" t="s">
        <v>44</v>
      </c>
      <c r="G3765">
        <v>0</v>
      </c>
      <c r="H3765">
        <v>0</v>
      </c>
      <c r="I3765">
        <v>0</v>
      </c>
      <c r="J3765">
        <v>-312.38240000000002</v>
      </c>
      <c r="K3765">
        <v>1.1106670000000001</v>
      </c>
      <c r="L3765">
        <v>140.74940000000001</v>
      </c>
      <c r="M3765">
        <v>-0.99989280000000003</v>
      </c>
      <c r="N3765">
        <v>0</v>
      </c>
      <c r="O3765">
        <v>1.5981350000000001E-3</v>
      </c>
      <c r="P3765">
        <v>-0.99033780000000005</v>
      </c>
      <c r="Q3765">
        <v>0.13333439999999999</v>
      </c>
      <c r="R3765">
        <v>3.8122110000000001E-2</v>
      </c>
      <c r="S3765">
        <v>-3.0356749999999999</v>
      </c>
      <c r="T3765">
        <v>1.3393520000000001E-2</v>
      </c>
      <c r="U3765">
        <v>-0.2365265</v>
      </c>
      <c r="V3765">
        <v>3.6424249999999998E-2</v>
      </c>
      <c r="W3765">
        <v>0.1477726</v>
      </c>
      <c r="X3765">
        <v>0.98835039999999996</v>
      </c>
      <c r="Y3765">
        <v>-7.9272780000000001E-2</v>
      </c>
      <c r="Z3765">
        <v>1.816531E-4</v>
      </c>
      <c r="AA3765">
        <v>0.99685290000000004</v>
      </c>
      <c r="AB3765">
        <v>34</v>
      </c>
      <c r="AC3765">
        <v>-3.0356749999999999</v>
      </c>
      <c r="AD3765">
        <v>1.3393520000000001E-2</v>
      </c>
      <c r="AE3765">
        <v>-0.2365265</v>
      </c>
      <c r="AF3765">
        <v>-0.241373460036719</v>
      </c>
      <c r="AG3765">
        <v>1.3393520000000001E-2</v>
      </c>
      <c r="AH3765">
        <v>3.0352343535999902</v>
      </c>
      <c r="AI3765">
        <v>89.747969321208899</v>
      </c>
      <c r="AJ3765">
        <v>94.546811188953299</v>
      </c>
      <c r="AK3765">
        <v>3.0448461561894402</v>
      </c>
      <c r="AL3765">
        <v>81.502132457060696</v>
      </c>
      <c r="AM3765">
        <v>87.889400620270905</v>
      </c>
      <c r="AN3765">
        <v>0.99999999023949104</v>
      </c>
    </row>
    <row r="3766" spans="1:40" x14ac:dyDescent="0.25">
      <c r="A3766" t="str">
        <f>"20190312154632357"</f>
        <v>20190312154632357</v>
      </c>
      <c r="B3766" t="str">
        <f>"1552376792351172"</f>
        <v>1552376792351172</v>
      </c>
      <c r="C3766" t="s">
        <v>40</v>
      </c>
      <c r="D3766">
        <v>4.611313</v>
      </c>
      <c r="E3766">
        <v>0.4571885</v>
      </c>
      <c r="F3766" t="s">
        <v>44</v>
      </c>
      <c r="G3766">
        <v>0</v>
      </c>
      <c r="H3766">
        <v>0</v>
      </c>
      <c r="I3766">
        <v>0</v>
      </c>
      <c r="J3766">
        <v>-312.71199999999999</v>
      </c>
      <c r="K3766">
        <v>1.110665</v>
      </c>
      <c r="L3766">
        <v>140.74959999999999</v>
      </c>
      <c r="M3766">
        <v>-0.99989320000000004</v>
      </c>
      <c r="N3766">
        <v>0</v>
      </c>
      <c r="O3766">
        <v>1.2904240000000001E-3</v>
      </c>
      <c r="P3766">
        <v>-0.98960159999999997</v>
      </c>
      <c r="Q3766">
        <v>0.13894779999999901</v>
      </c>
      <c r="R3766">
        <v>3.7178059999999999E-2</v>
      </c>
      <c r="S3766">
        <v>-3.0363159999999998</v>
      </c>
      <c r="T3766">
        <v>1.5490169999999999E-2</v>
      </c>
      <c r="U3766">
        <v>-0.23750309999999999</v>
      </c>
      <c r="V3766">
        <v>3.5788319999999998E-2</v>
      </c>
      <c r="W3766">
        <v>0.15336900000000001</v>
      </c>
      <c r="X3766">
        <v>0.98752070000000003</v>
      </c>
      <c r="Y3766">
        <v>-7.9268110000000003E-2</v>
      </c>
      <c r="Z3766">
        <v>2.084628E-4</v>
      </c>
      <c r="AA3766">
        <v>0.99685330000000005</v>
      </c>
      <c r="AB3766">
        <v>34</v>
      </c>
      <c r="AC3766">
        <v>-3.0363159999999998</v>
      </c>
      <c r="AD3766">
        <v>1.5490169999999999E-2</v>
      </c>
      <c r="AE3766">
        <v>-0.23750309999999999</v>
      </c>
      <c r="AF3766">
        <v>-0.24141520746856299</v>
      </c>
      <c r="AG3766">
        <v>1.5490169999999999E-2</v>
      </c>
      <c r="AH3766">
        <v>3.0359284246924498</v>
      </c>
      <c r="AI3766">
        <v>89.708583074910393</v>
      </c>
      <c r="AJ3766">
        <v>94.546558989962705</v>
      </c>
      <c r="AK3766">
        <v>3.0455512879640199</v>
      </c>
      <c r="AL3766">
        <v>81.177784102287802</v>
      </c>
      <c r="AM3766">
        <v>87.924476220945195</v>
      </c>
      <c r="AN3766">
        <v>0.99999999346895596</v>
      </c>
    </row>
    <row r="3767" spans="1:40" x14ac:dyDescent="0.25">
      <c r="A3767" t="str">
        <f>"20190312154632382"</f>
        <v>20190312154632382</v>
      </c>
      <c r="B3767" t="str">
        <f>"1552376792371666"</f>
        <v>1552376792371666</v>
      </c>
      <c r="C3767" t="s">
        <v>40</v>
      </c>
      <c r="D3767">
        <v>4.5811339999999996</v>
      </c>
      <c r="E3767">
        <v>0.45991359999999998</v>
      </c>
      <c r="F3767" t="s">
        <v>44</v>
      </c>
      <c r="G3767">
        <v>0</v>
      </c>
      <c r="H3767">
        <v>0</v>
      </c>
      <c r="I3767">
        <v>0</v>
      </c>
      <c r="J3767">
        <v>-313.08420000000001</v>
      </c>
      <c r="K3767">
        <v>1.1106689999999999</v>
      </c>
      <c r="L3767">
        <v>140.74969999999999</v>
      </c>
      <c r="M3767">
        <v>-0.99989360000000005</v>
      </c>
      <c r="N3767">
        <v>0</v>
      </c>
      <c r="O3767">
        <v>9.5703029999999998E-4</v>
      </c>
      <c r="P3767">
        <v>-0.98895029999999995</v>
      </c>
      <c r="Q3767">
        <v>0.14384649999999999</v>
      </c>
      <c r="R3767">
        <v>3.5856909999999999E-2</v>
      </c>
      <c r="S3767">
        <v>-3.0383</v>
      </c>
      <c r="T3767">
        <v>1.6626479999999999E-2</v>
      </c>
      <c r="U3767">
        <v>-0.2426758</v>
      </c>
      <c r="V3767">
        <v>3.4801329999999998E-2</v>
      </c>
      <c r="W3767">
        <v>0.15825059999999999</v>
      </c>
      <c r="X3767">
        <v>0.98678549999999998</v>
      </c>
      <c r="Y3767">
        <v>-8.0571519999999994E-2</v>
      </c>
      <c r="Z3767">
        <v>2.253329E-4</v>
      </c>
      <c r="AA3767">
        <v>0.99674879999999999</v>
      </c>
      <c r="AB3767">
        <v>34</v>
      </c>
      <c r="AC3767">
        <v>-3.0383</v>
      </c>
      <c r="AD3767">
        <v>1.6626479999999999E-2</v>
      </c>
      <c r="AE3767">
        <v>-0.2426758</v>
      </c>
      <c r="AF3767">
        <v>-0.24557643466549101</v>
      </c>
      <c r="AG3767">
        <v>1.6626479999999999E-2</v>
      </c>
      <c r="AH3767">
        <v>3.0379759369759101</v>
      </c>
      <c r="AI3767">
        <v>89.687449641535693</v>
      </c>
      <c r="AJ3767">
        <v>94.621486741261293</v>
      </c>
      <c r="AK3767">
        <v>3.0479307765670902</v>
      </c>
      <c r="AL3767">
        <v>80.894630681313899</v>
      </c>
      <c r="AM3767">
        <v>87.980165643395495</v>
      </c>
      <c r="AN3767">
        <v>1.00000000399018</v>
      </c>
    </row>
    <row r="3768" spans="1:40" x14ac:dyDescent="0.25">
      <c r="A3768" t="str">
        <f>"20190312154632403"</f>
        <v>20190312154632403</v>
      </c>
      <c r="B3768" t="str">
        <f>"1552376792391187"</f>
        <v>1552376792391187</v>
      </c>
      <c r="C3768" t="s">
        <v>40</v>
      </c>
      <c r="D3768">
        <v>4.5353579999999996</v>
      </c>
      <c r="E3768">
        <v>0.45921840000000003</v>
      </c>
      <c r="F3768" t="s">
        <v>45</v>
      </c>
      <c r="G3768">
        <v>-641.22500000000002</v>
      </c>
      <c r="H3768">
        <v>-0.1</v>
      </c>
      <c r="I3768">
        <v>116.3984</v>
      </c>
      <c r="J3768">
        <v>-313.40480000000002</v>
      </c>
      <c r="K3768">
        <v>1.1106689999999999</v>
      </c>
      <c r="L3768">
        <v>140.74969999999999</v>
      </c>
      <c r="M3768">
        <v>-0.99989399999999995</v>
      </c>
      <c r="N3768">
        <v>0</v>
      </c>
      <c r="O3768">
        <v>6.8111440000000005E-4</v>
      </c>
      <c r="P3768">
        <v>-0.98837090000000005</v>
      </c>
      <c r="Q3768">
        <v>0.14803740000000001</v>
      </c>
      <c r="R3768">
        <v>3.4760930000000002E-2</v>
      </c>
      <c r="S3768">
        <v>-3.0433349999999999</v>
      </c>
      <c r="T3768">
        <v>-1.122832E-2</v>
      </c>
      <c r="U3768">
        <v>-0.2258453</v>
      </c>
      <c r="V3768">
        <v>3.3981160000000003E-2</v>
      </c>
      <c r="W3768">
        <v>0.16242779999999901</v>
      </c>
      <c r="X3768">
        <v>0.98613510000000004</v>
      </c>
      <c r="Y3768">
        <v>-7.4685130000000002E-2</v>
      </c>
      <c r="Z3768">
        <v>-1.4009480000000001E-4</v>
      </c>
      <c r="AA3768">
        <v>0.99720719999999996</v>
      </c>
      <c r="AB3768">
        <v>34</v>
      </c>
      <c r="AC3768">
        <v>-327.8202</v>
      </c>
      <c r="AD3768">
        <v>-1.210669</v>
      </c>
      <c r="AE3768">
        <v>-24.351299999999899</v>
      </c>
      <c r="AF3768">
        <v>-24.574267701071101</v>
      </c>
      <c r="AG3768">
        <v>-1.210669</v>
      </c>
      <c r="AH3768">
        <v>327.79908988200799</v>
      </c>
      <c r="AI3768">
        <v>90.211018907498996</v>
      </c>
      <c r="AJ3768">
        <v>94.287299790154606</v>
      </c>
      <c r="AK3768">
        <v>328.72116402803198</v>
      </c>
      <c r="AL3768">
        <v>80.652157136774605</v>
      </c>
      <c r="AM3768">
        <v>88.0264296702981</v>
      </c>
      <c r="AN3768">
        <v>0.99999997244989702</v>
      </c>
    </row>
    <row r="3769" spans="1:40" x14ac:dyDescent="0.25">
      <c r="A3769" t="str">
        <f>"20190312154632425"</f>
        <v>20190312154632425</v>
      </c>
      <c r="B3769" t="str">
        <f>"1552376792411682"</f>
        <v>1552376792411682</v>
      </c>
      <c r="C3769" t="s">
        <v>40</v>
      </c>
      <c r="D3769">
        <v>4.5624159999999998</v>
      </c>
      <c r="E3769">
        <v>0.45945449999999999</v>
      </c>
      <c r="F3769" t="s">
        <v>44</v>
      </c>
      <c r="G3769">
        <v>0</v>
      </c>
      <c r="H3769">
        <v>0</v>
      </c>
      <c r="I3769">
        <v>0</v>
      </c>
      <c r="J3769">
        <v>-313.73289999999997</v>
      </c>
      <c r="K3769">
        <v>1.110676</v>
      </c>
      <c r="L3769">
        <v>140.74959999999999</v>
      </c>
      <c r="M3769">
        <v>-0.99989419999999996</v>
      </c>
      <c r="N3769">
        <v>0</v>
      </c>
      <c r="O3769">
        <v>4.095247E-4</v>
      </c>
      <c r="P3769">
        <v>-0.98755720000000002</v>
      </c>
      <c r="Q3769">
        <v>0.15381040000000001</v>
      </c>
      <c r="R3769">
        <v>3.2763550000000002E-2</v>
      </c>
      <c r="S3769">
        <v>-3.0435490000000001</v>
      </c>
      <c r="T3769" s="1">
        <v>-6.020069E-5</v>
      </c>
      <c r="U3769">
        <v>-0.2338867</v>
      </c>
      <c r="V3769">
        <v>3.2253789999999997E-2</v>
      </c>
      <c r="W3769">
        <v>0.16818259999999999</v>
      </c>
      <c r="X3769">
        <v>0.98522810000000005</v>
      </c>
      <c r="Y3769">
        <v>-7.7029180000000003E-2</v>
      </c>
      <c r="Z3769" s="1">
        <v>-7.6877759999999895E-7</v>
      </c>
      <c r="AA3769">
        <v>0.99702880000000005</v>
      </c>
      <c r="AB3769">
        <v>34</v>
      </c>
      <c r="AC3769">
        <v>-3.0435490000000001</v>
      </c>
      <c r="AD3769" s="1">
        <v>-6.020069E-5</v>
      </c>
      <c r="AE3769">
        <v>-0.2338867</v>
      </c>
      <c r="AF3769">
        <v>-0.235133220562354</v>
      </c>
      <c r="AG3769" s="1">
        <v>-6.020069E-5</v>
      </c>
      <c r="AH3769">
        <v>3.0434529510372901</v>
      </c>
      <c r="AI3769">
        <v>90.001129965620805</v>
      </c>
      <c r="AJ3769">
        <v>94.417821571531505</v>
      </c>
      <c r="AK3769">
        <v>3.0525224815246998</v>
      </c>
      <c r="AL3769">
        <v>80.317832140783594</v>
      </c>
      <c r="AM3769">
        <v>88.124955761200894</v>
      </c>
      <c r="AN3769">
        <v>1.00000005147086</v>
      </c>
    </row>
    <row r="3770" spans="1:40" x14ac:dyDescent="0.25">
      <c r="A3770" t="str">
        <f>"20190312154632446"</f>
        <v>20190312154632446</v>
      </c>
      <c r="B3770" t="str">
        <f>"1552376792440965"</f>
        <v>1552376792440965</v>
      </c>
      <c r="C3770" t="s">
        <v>40</v>
      </c>
      <c r="D3770">
        <v>4.5697469999999996</v>
      </c>
      <c r="E3770">
        <v>0.48457790000000001</v>
      </c>
      <c r="F3770" t="s">
        <v>44</v>
      </c>
      <c r="G3770">
        <v>0</v>
      </c>
      <c r="H3770">
        <v>0</v>
      </c>
      <c r="I3770">
        <v>0</v>
      </c>
      <c r="J3770">
        <v>-314.06130000000002</v>
      </c>
      <c r="K3770">
        <v>1.1106819999999999</v>
      </c>
      <c r="L3770">
        <v>140.74940000000001</v>
      </c>
      <c r="M3770">
        <v>-0.99989419999999996</v>
      </c>
      <c r="N3770">
        <v>0</v>
      </c>
      <c r="O3770">
        <v>1.483496E-4</v>
      </c>
      <c r="P3770">
        <v>-0.98637719999999995</v>
      </c>
      <c r="Q3770">
        <v>0.1615569</v>
      </c>
      <c r="R3770">
        <v>3.097362E-2</v>
      </c>
      <c r="S3770">
        <v>-3.0432739999999998</v>
      </c>
      <c r="T3770">
        <v>1.5576960000000001E-2</v>
      </c>
      <c r="U3770">
        <v>-0.23802190000000001</v>
      </c>
      <c r="V3770">
        <v>3.0721930000000001E-2</v>
      </c>
      <c r="W3770">
        <v>0.17590529999999999</v>
      </c>
      <c r="X3770">
        <v>0.98392760000000001</v>
      </c>
      <c r="Y3770">
        <v>-7.8121200000000002E-2</v>
      </c>
      <c r="Z3770">
        <v>2.0038329999999999E-4</v>
      </c>
      <c r="AA3770">
        <v>0.99694380000000005</v>
      </c>
      <c r="AB3770">
        <v>33</v>
      </c>
      <c r="AC3770">
        <v>-3.0432739999999998</v>
      </c>
      <c r="AD3770">
        <v>1.5576960000000001E-2</v>
      </c>
      <c r="AE3770">
        <v>-0.23802190000000001</v>
      </c>
      <c r="AF3770">
        <v>-0.23846720402970401</v>
      </c>
      <c r="AG3770">
        <v>1.5576960000000001E-2</v>
      </c>
      <c r="AH3770">
        <v>3.04315940958511</v>
      </c>
      <c r="AI3770">
        <v>89.707620084312595</v>
      </c>
      <c r="AJ3770">
        <v>94.480639561332197</v>
      </c>
      <c r="AK3770">
        <v>3.0525282048208799</v>
      </c>
      <c r="AL3770">
        <v>79.868654902927105</v>
      </c>
      <c r="AM3770">
        <v>88.211590741490497</v>
      </c>
      <c r="AN3770">
        <v>1.0000000167963801</v>
      </c>
    </row>
    <row r="3771" spans="1:40" x14ac:dyDescent="0.25">
      <c r="A3771" t="str">
        <f>"20190312154632469"</f>
        <v>20190312154632469</v>
      </c>
      <c r="B3771" t="str">
        <f>"1552376792461462"</f>
        <v>1552376792461462</v>
      </c>
      <c r="C3771" t="s">
        <v>40</v>
      </c>
      <c r="D3771">
        <v>4.5466810000000004</v>
      </c>
      <c r="E3771">
        <v>0.48828830000000001</v>
      </c>
      <c r="F3771" t="s">
        <v>52</v>
      </c>
      <c r="G3771">
        <v>-414.01499999999999</v>
      </c>
      <c r="H3771" s="1">
        <v>-1.016882E-5</v>
      </c>
      <c r="I3771">
        <v>139.26849999999999</v>
      </c>
      <c r="J3771">
        <v>-314.39400000000001</v>
      </c>
      <c r="K3771">
        <v>1.110687</v>
      </c>
      <c r="L3771">
        <v>140.7492</v>
      </c>
      <c r="M3771">
        <v>-0.99989430000000001</v>
      </c>
      <c r="N3771">
        <v>0</v>
      </c>
      <c r="O3771">
        <v>-1.081272E-4</v>
      </c>
      <c r="P3771">
        <v>-0.98537940000000002</v>
      </c>
      <c r="Q3771">
        <v>0.16782130000000001</v>
      </c>
      <c r="R3771">
        <v>2.9390639999999999E-2</v>
      </c>
      <c r="S3771">
        <v>-3.0484010000000001</v>
      </c>
      <c r="T3771">
        <v>-3.3874029999999999E-2</v>
      </c>
      <c r="U3771">
        <v>-4.5166020000000001E-2</v>
      </c>
      <c r="V3771">
        <v>2.9393010000000001E-2</v>
      </c>
      <c r="W3771">
        <v>0.18214900000000001</v>
      </c>
      <c r="X3771">
        <v>0.98283149999999997</v>
      </c>
      <c r="Y3771">
        <v>-1.4705640000000001E-2</v>
      </c>
      <c r="Z3771" s="1">
        <v>-8.0496510000000005E-5</v>
      </c>
      <c r="AA3771">
        <v>0.99989189999999994</v>
      </c>
      <c r="AB3771">
        <v>33</v>
      </c>
      <c r="AC3771">
        <v>-99.620999999999896</v>
      </c>
      <c r="AD3771">
        <v>-1.11069716882</v>
      </c>
      <c r="AE3771">
        <v>-1.4807000000000099</v>
      </c>
      <c r="AF3771">
        <v>-1.4697444562939299</v>
      </c>
      <c r="AG3771">
        <v>-1.11069716882</v>
      </c>
      <c r="AH3771">
        <v>99.608780376986005</v>
      </c>
      <c r="AI3771">
        <v>90.638786029017396</v>
      </c>
      <c r="AJ3771">
        <v>90.845347604053899</v>
      </c>
      <c r="AK3771">
        <v>99.625814552044005</v>
      </c>
      <c r="AL3771">
        <v>79.505041745022297</v>
      </c>
      <c r="AM3771">
        <v>88.286996696228698</v>
      </c>
      <c r="AN3771">
        <v>0.99999998231505405</v>
      </c>
    </row>
    <row r="3772" spans="1:40" x14ac:dyDescent="0.25">
      <c r="A3772" t="str">
        <f>"20190312154632491"</f>
        <v>20190312154632491</v>
      </c>
      <c r="B3772" t="str">
        <f>"1552376792480979"</f>
        <v>1552376792480979</v>
      </c>
      <c r="C3772" t="s">
        <v>40</v>
      </c>
      <c r="D3772">
        <v>4.5090870000000001</v>
      </c>
      <c r="E3772">
        <v>0.4899077</v>
      </c>
      <c r="F3772" t="s">
        <v>45</v>
      </c>
      <c r="G3772">
        <v>-1298.598</v>
      </c>
      <c r="H3772">
        <v>-0.1</v>
      </c>
      <c r="I3772">
        <v>134.21109999999999</v>
      </c>
      <c r="J3772">
        <v>-314.72399999999999</v>
      </c>
      <c r="K3772">
        <v>1.110689</v>
      </c>
      <c r="L3772">
        <v>140.74889999999999</v>
      </c>
      <c r="M3772">
        <v>-0.99989430000000001</v>
      </c>
      <c r="N3772">
        <v>0</v>
      </c>
      <c r="O3772">
        <v>-3.5286379999999997E-4</v>
      </c>
      <c r="P3772">
        <v>-0.98445260000000001</v>
      </c>
      <c r="Q3772">
        <v>0.1733702</v>
      </c>
      <c r="R3772">
        <v>2.8209999999999999E-2</v>
      </c>
      <c r="S3772">
        <v>-3.0457459999999998</v>
      </c>
      <c r="T3772">
        <v>-3.746629E-3</v>
      </c>
      <c r="U3772">
        <v>-2.0233149999999998E-2</v>
      </c>
      <c r="V3772">
        <v>2.8454859999999998E-2</v>
      </c>
      <c r="W3772">
        <v>0.1876786</v>
      </c>
      <c r="X3772">
        <v>0.98181830000000003</v>
      </c>
      <c r="Y3772">
        <v>-6.2900419999999896E-3</v>
      </c>
      <c r="Z3772" s="1">
        <v>-3.4345989999999999E-6</v>
      </c>
      <c r="AA3772">
        <v>0.99998019999999999</v>
      </c>
      <c r="AB3772">
        <v>33</v>
      </c>
      <c r="AC3772">
        <v>-983.873999999999</v>
      </c>
      <c r="AD3772">
        <v>-1.2106889999999999</v>
      </c>
      <c r="AE3772">
        <v>-6.5377999999999998</v>
      </c>
      <c r="AF3772">
        <v>-6.1905800226064596</v>
      </c>
      <c r="AG3772">
        <v>-1.2106889999999999</v>
      </c>
      <c r="AH3772">
        <v>983.87475620364</v>
      </c>
      <c r="AI3772">
        <v>90.070502837354894</v>
      </c>
      <c r="AJ3772">
        <v>90.3605026200282</v>
      </c>
      <c r="AK3772">
        <v>983.89497658217704</v>
      </c>
      <c r="AL3772">
        <v>79.182659757483606</v>
      </c>
      <c r="AM3772">
        <v>88.339929956000006</v>
      </c>
      <c r="AN3772">
        <v>1.0000000550852299</v>
      </c>
    </row>
    <row r="3773" spans="1:40" x14ac:dyDescent="0.25">
      <c r="A3773" t="str">
        <f>"20190312154632514"</f>
        <v>20190312154632514</v>
      </c>
      <c r="B3773" t="str">
        <f>"1552376792501475"</f>
        <v>1552376792501475</v>
      </c>
      <c r="C3773" t="s">
        <v>40</v>
      </c>
      <c r="D3773">
        <v>4.4990800000000002</v>
      </c>
      <c r="E3773">
        <v>0.49084650000000002</v>
      </c>
      <c r="F3773" t="s">
        <v>44</v>
      </c>
      <c r="G3773">
        <v>0</v>
      </c>
      <c r="H3773">
        <v>0</v>
      </c>
      <c r="I3773">
        <v>0</v>
      </c>
      <c r="J3773">
        <v>-315.0634</v>
      </c>
      <c r="K3773">
        <v>1.1106940000000001</v>
      </c>
      <c r="L3773">
        <v>140.74850000000001</v>
      </c>
      <c r="M3773">
        <v>-0.99989419999999996</v>
      </c>
      <c r="N3773">
        <v>0</v>
      </c>
      <c r="O3773">
        <v>-5.9221129999999895E-4</v>
      </c>
      <c r="P3773">
        <v>-0.98314210000000002</v>
      </c>
      <c r="Q3773">
        <v>0.180808</v>
      </c>
      <c r="R3773">
        <v>2.720966E-2</v>
      </c>
      <c r="S3773">
        <v>-3.04541</v>
      </c>
      <c r="T3773">
        <v>1.3171550000000001E-2</v>
      </c>
      <c r="U3773">
        <v>-1.087952E-2</v>
      </c>
      <c r="V3773">
        <v>2.7691210000000001E-2</v>
      </c>
      <c r="W3773">
        <v>0.19509209999999999</v>
      </c>
      <c r="X3773">
        <v>0.98039390000000004</v>
      </c>
      <c r="Y3773">
        <v>-2.9801150000000002E-3</v>
      </c>
      <c r="Z3773" s="1">
        <v>3.8829289999999999E-6</v>
      </c>
      <c r="AA3773">
        <v>0.99999550000000004</v>
      </c>
      <c r="AB3773">
        <v>33</v>
      </c>
      <c r="AC3773">
        <v>-3.04541</v>
      </c>
      <c r="AD3773">
        <v>1.3171550000000001E-2</v>
      </c>
      <c r="AE3773">
        <v>-1.087952E-2</v>
      </c>
      <c r="AF3773">
        <v>-9.0756315926538694E-3</v>
      </c>
      <c r="AG3773">
        <v>1.3171550000000001E-2</v>
      </c>
      <c r="AH3773">
        <v>3.0453589435801098</v>
      </c>
      <c r="AI3773">
        <v>89.752191389684398</v>
      </c>
      <c r="AJ3773">
        <v>90.170749608471098</v>
      </c>
      <c r="AK3773">
        <v>3.0454009509523599</v>
      </c>
      <c r="AL3773">
        <v>78.749895732926205</v>
      </c>
      <c r="AM3773">
        <v>88.382111773164695</v>
      </c>
      <c r="AN3773">
        <v>0.99999996487544096</v>
      </c>
    </row>
    <row r="3774" spans="1:40" x14ac:dyDescent="0.25">
      <c r="A3774" t="str">
        <f>"20190312154632536"</f>
        <v>20190312154632536</v>
      </c>
      <c r="B3774" t="str">
        <f>"1552376792531732"</f>
        <v>1552376792531732</v>
      </c>
      <c r="C3774" t="s">
        <v>40</v>
      </c>
      <c r="D3774">
        <v>4.4731759999999996</v>
      </c>
      <c r="E3774">
        <v>0.49179479999999998</v>
      </c>
      <c r="F3774" t="s">
        <v>44</v>
      </c>
      <c r="G3774">
        <v>0</v>
      </c>
      <c r="H3774">
        <v>0</v>
      </c>
      <c r="I3774">
        <v>0</v>
      </c>
      <c r="J3774">
        <v>-315.3956</v>
      </c>
      <c r="K3774">
        <v>1.1106940000000001</v>
      </c>
      <c r="L3774">
        <v>140.74799999999999</v>
      </c>
      <c r="M3774">
        <v>-0.99989410000000001</v>
      </c>
      <c r="N3774">
        <v>0</v>
      </c>
      <c r="O3774">
        <v>-8.1054869999999896E-4</v>
      </c>
      <c r="P3774">
        <v>-0.98171870000000006</v>
      </c>
      <c r="Q3774">
        <v>0.1885636</v>
      </c>
      <c r="R3774">
        <v>2.5932009999999998E-2</v>
      </c>
      <c r="S3774">
        <v>-3.0460820000000002</v>
      </c>
      <c r="T3774">
        <v>3.0049200000000002E-2</v>
      </c>
      <c r="U3774">
        <v>-6.5765379999999998E-3</v>
      </c>
      <c r="V3774">
        <v>2.6629759999999999E-2</v>
      </c>
      <c r="W3774">
        <v>0.2028209</v>
      </c>
      <c r="X3774">
        <v>0.97885370000000005</v>
      </c>
      <c r="Y3774">
        <v>-1.348351E-3</v>
      </c>
      <c r="Z3774" s="1">
        <v>-1.3461089999999999E-6</v>
      </c>
      <c r="AA3774">
        <v>0.99999910000000003</v>
      </c>
      <c r="AB3774">
        <v>33</v>
      </c>
      <c r="AC3774">
        <v>-3.0460820000000002</v>
      </c>
      <c r="AD3774">
        <v>3.0049200000000002E-2</v>
      </c>
      <c r="AE3774">
        <v>-6.5765379999999998E-3</v>
      </c>
      <c r="AF3774">
        <v>-4.1068776891705497E-3</v>
      </c>
      <c r="AG3774">
        <v>3.0049200000000002E-2</v>
      </c>
      <c r="AH3774">
        <v>3.0457899287163199</v>
      </c>
      <c r="AI3774">
        <v>89.434749291179301</v>
      </c>
      <c r="AJ3774">
        <v>90.077256351050906</v>
      </c>
      <c r="AK3774">
        <v>3.0459409237105599</v>
      </c>
      <c r="AL3774">
        <v>78.298033899222901</v>
      </c>
      <c r="AM3774">
        <v>88.441650055613096</v>
      </c>
      <c r="AN3774">
        <v>1.0000000137990701</v>
      </c>
    </row>
    <row r="3775" spans="1:40" x14ac:dyDescent="0.25">
      <c r="A3775" t="str">
        <f>"20190312154632560"</f>
        <v>20190312154632560</v>
      </c>
      <c r="B3775" t="str">
        <f>"1552376792551251"</f>
        <v>1552376792551251</v>
      </c>
      <c r="C3775" t="s">
        <v>40</v>
      </c>
      <c r="D3775">
        <v>4.4683489999999999</v>
      </c>
      <c r="E3775">
        <v>0.49230109999999999</v>
      </c>
      <c r="F3775" t="s">
        <v>44</v>
      </c>
      <c r="G3775">
        <v>0</v>
      </c>
      <c r="H3775">
        <v>0</v>
      </c>
      <c r="I3775">
        <v>0</v>
      </c>
      <c r="J3775">
        <v>-315.73739999999998</v>
      </c>
      <c r="K3775">
        <v>1.1106780000000001</v>
      </c>
      <c r="L3775">
        <v>140.7475</v>
      </c>
      <c r="M3775">
        <v>-0.99989410000000001</v>
      </c>
      <c r="N3775">
        <v>0</v>
      </c>
      <c r="O3775">
        <v>-1.0145169999999999E-3</v>
      </c>
      <c r="P3775">
        <v>-0.98048250000000003</v>
      </c>
      <c r="Q3775">
        <v>0.1950646</v>
      </c>
      <c r="R3775">
        <v>2.457935E-2</v>
      </c>
      <c r="S3775">
        <v>-3.0475159999999999</v>
      </c>
      <c r="T3775">
        <v>4.3891909999999999E-2</v>
      </c>
      <c r="U3775">
        <v>-3.3111569999999999E-3</v>
      </c>
      <c r="V3775">
        <v>2.548193E-2</v>
      </c>
      <c r="W3775">
        <v>0.20929729999999999</v>
      </c>
      <c r="X3775">
        <v>0.97751999999999994</v>
      </c>
      <c r="Y3775" s="1">
        <v>-7.1983649999999996E-5</v>
      </c>
      <c r="Z3775" s="1">
        <v>-1.40940299999999E-5</v>
      </c>
      <c r="AA3775">
        <v>1</v>
      </c>
      <c r="AB3775">
        <v>33</v>
      </c>
      <c r="AC3775">
        <v>-3.0475159999999999</v>
      </c>
      <c r="AD3775">
        <v>4.3891909999999999E-2</v>
      </c>
      <c r="AE3775">
        <v>-3.3111569999999999E-3</v>
      </c>
      <c r="AF3775">
        <v>-2.1902721241693699E-4</v>
      </c>
      <c r="AG3775">
        <v>4.3891909999999999E-2</v>
      </c>
      <c r="AH3775">
        <v>3.0468857682952901</v>
      </c>
      <c r="AI3775">
        <v>89.174682791895606</v>
      </c>
      <c r="AJ3775">
        <v>90.004118741496299</v>
      </c>
      <c r="AK3775">
        <v>3.0472019022009</v>
      </c>
      <c r="AL3775">
        <v>77.918824820678097</v>
      </c>
      <c r="AM3775">
        <v>88.506755393396304</v>
      </c>
      <c r="AN3775">
        <v>1.0000000194719001</v>
      </c>
    </row>
    <row r="3776" spans="1:40" x14ac:dyDescent="0.25">
      <c r="A3776" t="str">
        <f>"20190312154632582"</f>
        <v>20190312154632582</v>
      </c>
      <c r="B3776" t="str">
        <f>"1552376792571747"</f>
        <v>1552376792571747</v>
      </c>
      <c r="C3776" t="s">
        <v>40</v>
      </c>
      <c r="D3776">
        <v>4.4551470000000002</v>
      </c>
      <c r="E3776">
        <v>0.49263560000000001</v>
      </c>
      <c r="F3776" t="s">
        <v>44</v>
      </c>
      <c r="G3776">
        <v>0</v>
      </c>
      <c r="H3776">
        <v>0</v>
      </c>
      <c r="I3776">
        <v>0</v>
      </c>
      <c r="J3776">
        <v>-316.06689999999998</v>
      </c>
      <c r="K3776">
        <v>1.110663</v>
      </c>
      <c r="L3776">
        <v>140.74700000000001</v>
      </c>
      <c r="M3776">
        <v>-0.99989380000000005</v>
      </c>
      <c r="N3776">
        <v>0</v>
      </c>
      <c r="O3776">
        <v>-1.187441E-3</v>
      </c>
      <c r="P3776">
        <v>-0.97952760000000005</v>
      </c>
      <c r="Q3776">
        <v>0.19999239999999999</v>
      </c>
      <c r="R3776">
        <v>2.298793E-2</v>
      </c>
      <c r="S3776">
        <v>-3.0487669999999998</v>
      </c>
      <c r="T3776">
        <v>5.5836080000000003E-2</v>
      </c>
      <c r="U3776">
        <v>-3.433228E-3</v>
      </c>
      <c r="V3776">
        <v>2.4067020000000001E-2</v>
      </c>
      <c r="W3776">
        <v>0.21420539999999999</v>
      </c>
      <c r="X3776">
        <v>0.97649209999999997</v>
      </c>
      <c r="Y3776" s="1">
        <v>6.1253970000000005E-5</v>
      </c>
      <c r="Z3776" s="1">
        <v>-2.2308490000000001E-5</v>
      </c>
      <c r="AA3776">
        <v>1</v>
      </c>
      <c r="AB3776">
        <v>33</v>
      </c>
      <c r="AC3776">
        <v>-3.0487669999999998</v>
      </c>
      <c r="AD3776">
        <v>5.5836080000000003E-2</v>
      </c>
      <c r="AE3776">
        <v>-3.433228E-3</v>
      </c>
      <c r="AF3776">
        <v>1.87324481268861E-4</v>
      </c>
      <c r="AG3776">
        <v>5.5836080000000003E-2</v>
      </c>
      <c r="AH3776">
        <v>3.0477466712830199</v>
      </c>
      <c r="AI3776">
        <v>88.950433150266704</v>
      </c>
      <c r="AJ3776">
        <v>89.996478413949603</v>
      </c>
      <c r="AK3776">
        <v>3.0482581050883799</v>
      </c>
      <c r="AL3776">
        <v>77.631085921197297</v>
      </c>
      <c r="AM3776">
        <v>88.588150827598497</v>
      </c>
      <c r="AN3776">
        <v>0.99999999810162499</v>
      </c>
    </row>
    <row r="3777" spans="1:40" x14ac:dyDescent="0.25">
      <c r="A3777" t="str">
        <f>"20190312154632626"</f>
        <v>20190312154632626</v>
      </c>
      <c r="B3777" t="str">
        <f>"1552376792621522"</f>
        <v>1552376792621522</v>
      </c>
      <c r="C3777" t="s">
        <v>40</v>
      </c>
      <c r="D3777">
        <v>4.4508299999999998</v>
      </c>
      <c r="E3777">
        <v>0.49514380000000002</v>
      </c>
      <c r="F3777" t="s">
        <v>44</v>
      </c>
      <c r="G3777">
        <v>0</v>
      </c>
      <c r="H3777">
        <v>0</v>
      </c>
      <c r="I3777">
        <v>0</v>
      </c>
      <c r="J3777">
        <v>-316.71170000000001</v>
      </c>
      <c r="K3777">
        <v>1.110652</v>
      </c>
      <c r="L3777">
        <v>140.7458</v>
      </c>
      <c r="M3777">
        <v>-0.9998937</v>
      </c>
      <c r="N3777">
        <v>0</v>
      </c>
      <c r="O3777">
        <v>-1.4368149999999999E-3</v>
      </c>
      <c r="P3777">
        <v>-0.97658679999999998</v>
      </c>
      <c r="Q3777">
        <v>0.21429019999999999</v>
      </c>
      <c r="R3777">
        <v>1.8927599999999999E-2</v>
      </c>
      <c r="S3777">
        <v>-3.0501399999999999</v>
      </c>
      <c r="T3777">
        <v>6.2259670000000003E-2</v>
      </c>
      <c r="U3777">
        <v>-5.7830809999999998E-3</v>
      </c>
      <c r="V3777">
        <v>2.0268950000000001E-2</v>
      </c>
      <c r="W3777">
        <v>0.22844809999999999</v>
      </c>
      <c r="X3777">
        <v>0.97334500000000002</v>
      </c>
      <c r="Y3777">
        <v>-4.5923939999999999E-4</v>
      </c>
      <c r="Z3777" s="1">
        <v>-2.4641840000000001E-5</v>
      </c>
      <c r="AA3777">
        <v>0.99999990000000005</v>
      </c>
      <c r="AB3777">
        <v>33</v>
      </c>
      <c r="AC3777">
        <v>-3.0501399999999999</v>
      </c>
      <c r="AD3777">
        <v>6.2259670000000003E-2</v>
      </c>
      <c r="AE3777">
        <v>-5.7830809999999998E-3</v>
      </c>
      <c r="AF3777">
        <v>-1.3995436211001601E-3</v>
      </c>
      <c r="AG3777">
        <v>6.2259670000000003E-2</v>
      </c>
      <c r="AH3777">
        <v>3.0488748439954301</v>
      </c>
      <c r="AI3777">
        <v>88.8301519693307</v>
      </c>
      <c r="AJ3777">
        <v>90.026300829389299</v>
      </c>
      <c r="AK3777">
        <v>3.0495107869261702</v>
      </c>
      <c r="AL3777">
        <v>76.794276904842306</v>
      </c>
      <c r="AM3777">
        <v>88.807044297454993</v>
      </c>
      <c r="AN3777">
        <v>0.99999992687635297</v>
      </c>
    </row>
    <row r="3778" spans="1:40" x14ac:dyDescent="0.25">
      <c r="A3778" t="str">
        <f>"20190312154632648"</f>
        <v>20190312154632648</v>
      </c>
      <c r="B3778" t="str">
        <f>"1552376792641043"</f>
        <v>1552376792641043</v>
      </c>
      <c r="C3778" t="s">
        <v>40</v>
      </c>
      <c r="D3778">
        <v>4.3985379999999896</v>
      </c>
      <c r="E3778">
        <v>0.49529889999999999</v>
      </c>
      <c r="F3778" t="s">
        <v>42</v>
      </c>
      <c r="G3778">
        <v>-465.72699999999998</v>
      </c>
      <c r="H3778" s="1">
        <v>-1.4092789999999901E-6</v>
      </c>
      <c r="I3778">
        <v>140.6431</v>
      </c>
      <c r="J3778">
        <v>-317.04899999999998</v>
      </c>
      <c r="K3778">
        <v>1.110635</v>
      </c>
      <c r="L3778">
        <v>140.74520000000001</v>
      </c>
      <c r="M3778">
        <v>-0.99989349999999999</v>
      </c>
      <c r="N3778">
        <v>0</v>
      </c>
      <c r="O3778">
        <v>-1.522029E-3</v>
      </c>
      <c r="P3778">
        <v>-0.97494749999999997</v>
      </c>
      <c r="Q3778">
        <v>0.22179299999999999</v>
      </c>
      <c r="R3778">
        <v>1.6891949999999999E-2</v>
      </c>
      <c r="S3778">
        <v>-3.0769959999999998</v>
      </c>
      <c r="T3778">
        <v>-2.2933720000000001E-2</v>
      </c>
      <c r="U3778">
        <v>-2.120972E-3</v>
      </c>
      <c r="V3778">
        <v>1.832688E-2</v>
      </c>
      <c r="W3778">
        <v>0.23592099999999999</v>
      </c>
      <c r="X3778">
        <v>0.9715994</v>
      </c>
      <c r="Y3778">
        <v>8.3282470000000004E-4</v>
      </c>
      <c r="Z3778" s="1">
        <v>1.4448740000000001E-5</v>
      </c>
      <c r="AA3778">
        <v>0.99999959999999999</v>
      </c>
      <c r="AB3778">
        <v>33</v>
      </c>
      <c r="AC3778">
        <v>-148.677999999999</v>
      </c>
      <c r="AD3778">
        <v>-1.110636409279</v>
      </c>
      <c r="AE3778">
        <v>-0.102100000000007</v>
      </c>
      <c r="AF3778">
        <v>0.124209255311108</v>
      </c>
      <c r="AG3778">
        <v>-1.110636409279</v>
      </c>
      <c r="AH3778">
        <v>148.66968709352199</v>
      </c>
      <c r="AI3778">
        <v>90.4280198211071</v>
      </c>
      <c r="AJ3778">
        <v>89.952131032296606</v>
      </c>
      <c r="AK3778">
        <v>148.673887423645</v>
      </c>
      <c r="AL3778">
        <v>76.354081128473297</v>
      </c>
      <c r="AM3778">
        <v>88.919381416960107</v>
      </c>
      <c r="AN3778">
        <v>0.99999999342594703</v>
      </c>
    </row>
    <row r="3779" spans="1:40" x14ac:dyDescent="0.25">
      <c r="A3779" t="str">
        <f>"20190312154632671"</f>
        <v>20190312154632671</v>
      </c>
      <c r="B3779" t="str">
        <f>"1552376792661539"</f>
        <v>1552376792661539</v>
      </c>
      <c r="C3779" t="s">
        <v>40</v>
      </c>
      <c r="D3779">
        <v>4.404604</v>
      </c>
      <c r="E3779">
        <v>0.4957626</v>
      </c>
      <c r="F3779" t="s">
        <v>44</v>
      </c>
      <c r="G3779">
        <v>0</v>
      </c>
      <c r="H3779">
        <v>0</v>
      </c>
      <c r="I3779">
        <v>0</v>
      </c>
      <c r="J3779">
        <v>-317.3784</v>
      </c>
      <c r="K3779">
        <v>1.1106149999999999</v>
      </c>
      <c r="L3779">
        <v>140.74459999999999</v>
      </c>
      <c r="M3779">
        <v>-0.99989349999999999</v>
      </c>
      <c r="N3779">
        <v>0</v>
      </c>
      <c r="O3779">
        <v>-1.5827650000000001E-3</v>
      </c>
      <c r="P3779">
        <v>-0.97360729999999995</v>
      </c>
      <c r="Q3779">
        <v>0.2277236</v>
      </c>
      <c r="R3779">
        <v>1.519298E-2</v>
      </c>
      <c r="S3779">
        <v>-3.0771480000000002</v>
      </c>
      <c r="T3779">
        <v>2.1135810000000001E-4</v>
      </c>
      <c r="U3779">
        <v>-7.1411130000000001E-3</v>
      </c>
      <c r="V3779">
        <v>1.669673E-2</v>
      </c>
      <c r="W3779">
        <v>0.24182690000000001</v>
      </c>
      <c r="X3779">
        <v>0.97017569999999997</v>
      </c>
      <c r="Y3779">
        <v>0</v>
      </c>
      <c r="Z3779">
        <v>0</v>
      </c>
      <c r="AA3779">
        <v>1</v>
      </c>
      <c r="AB3779">
        <v>33</v>
      </c>
      <c r="AC3779">
        <v>-3.0771480000000002</v>
      </c>
      <c r="AD3779">
        <v>2.1135810000000001E-4</v>
      </c>
      <c r="AE3779">
        <v>-7.1411130000000001E-3</v>
      </c>
      <c r="AF3779">
        <v>-2.2701892378124201E-3</v>
      </c>
      <c r="AG3779">
        <v>2.1135810000000001E-4</v>
      </c>
      <c r="AH3779">
        <v>3.07715543421115</v>
      </c>
      <c r="AI3779">
        <v>89.996064571959295</v>
      </c>
      <c r="AJ3779">
        <v>90.042270285399894</v>
      </c>
      <c r="AK3779">
        <v>3.0771562788923501</v>
      </c>
      <c r="AL3779">
        <v>76.005608827078504</v>
      </c>
      <c r="AM3779">
        <v>89.014036602860799</v>
      </c>
      <c r="AN3779">
        <v>0.99999995961339505</v>
      </c>
    </row>
    <row r="3780" spans="1:40" x14ac:dyDescent="0.25">
      <c r="A3780" t="str">
        <f>"20190312154632691"</f>
        <v>20190312154632691</v>
      </c>
      <c r="B3780" t="str">
        <f>"1552376792681060"</f>
        <v>1552376792681060</v>
      </c>
      <c r="C3780" t="s">
        <v>40</v>
      </c>
      <c r="D3780">
        <v>4.388039</v>
      </c>
      <c r="E3780">
        <v>0.4965562</v>
      </c>
      <c r="F3780" t="s">
        <v>44</v>
      </c>
      <c r="G3780">
        <v>0</v>
      </c>
      <c r="H3780">
        <v>0</v>
      </c>
      <c r="I3780">
        <v>0</v>
      </c>
      <c r="J3780">
        <v>-317.6925</v>
      </c>
      <c r="K3780">
        <v>1.110611</v>
      </c>
      <c r="L3780">
        <v>140.7441</v>
      </c>
      <c r="M3780">
        <v>-0.9998937</v>
      </c>
      <c r="N3780">
        <v>0</v>
      </c>
      <c r="O3780">
        <v>-1.618176E-3</v>
      </c>
      <c r="P3780">
        <v>-0.97249070000000004</v>
      </c>
      <c r="Q3780">
        <v>0.23248350000000001</v>
      </c>
      <c r="R3780">
        <v>1.461026E-2</v>
      </c>
      <c r="S3780">
        <v>-3.0790709999999999</v>
      </c>
      <c r="T3780">
        <v>1.029623E-2</v>
      </c>
      <c r="U3780">
        <v>-8.560181E-3</v>
      </c>
      <c r="V3780">
        <v>1.615683E-2</v>
      </c>
      <c r="W3780">
        <v>0.2465656</v>
      </c>
      <c r="X3780">
        <v>0.96899139999999995</v>
      </c>
      <c r="Y3780">
        <v>-1.161767E-3</v>
      </c>
      <c r="Z3780" s="1">
        <v>-3.4691899999999999E-6</v>
      </c>
      <c r="AA3780">
        <v>0.99999930000000004</v>
      </c>
      <c r="AB3780">
        <v>33</v>
      </c>
      <c r="AC3780">
        <v>-3.0790709999999999</v>
      </c>
      <c r="AD3780">
        <v>1.029623E-2</v>
      </c>
      <c r="AE3780">
        <v>-8.560181E-3</v>
      </c>
      <c r="AF3780">
        <v>-3.5771278284024602E-3</v>
      </c>
      <c r="AG3780">
        <v>1.029623E-2</v>
      </c>
      <c r="AH3780">
        <v>3.0790463917823598</v>
      </c>
      <c r="AI3780">
        <v>89.808405638679005</v>
      </c>
      <c r="AJ3780">
        <v>90.066564191979793</v>
      </c>
      <c r="AK3780">
        <v>3.0790656847400499</v>
      </c>
      <c r="AL3780">
        <v>75.725625078483603</v>
      </c>
      <c r="AM3780">
        <v>89.0447465323888</v>
      </c>
      <c r="AN3780">
        <v>0.99999998576648397</v>
      </c>
    </row>
    <row r="3781" spans="1:40" x14ac:dyDescent="0.25">
      <c r="A3781" t="str">
        <f>"20190312154632714"</f>
        <v>20190312154632714</v>
      </c>
      <c r="B3781" t="str">
        <f>"1552376792701555"</f>
        <v>1552376792701555</v>
      </c>
      <c r="C3781" t="s">
        <v>40</v>
      </c>
      <c r="D3781">
        <v>4.4045930000000002</v>
      </c>
      <c r="E3781">
        <v>0.49682779999999999</v>
      </c>
      <c r="F3781" t="s">
        <v>44</v>
      </c>
      <c r="G3781">
        <v>0</v>
      </c>
      <c r="H3781">
        <v>0</v>
      </c>
      <c r="I3781">
        <v>0</v>
      </c>
      <c r="J3781">
        <v>-318.0204</v>
      </c>
      <c r="K3781">
        <v>1.1106</v>
      </c>
      <c r="L3781">
        <v>140.74350000000001</v>
      </c>
      <c r="M3781">
        <v>-0.99989360000000005</v>
      </c>
      <c r="N3781">
        <v>0</v>
      </c>
      <c r="O3781">
        <v>-1.6371650000000001E-3</v>
      </c>
      <c r="P3781">
        <v>-0.97132059999999998</v>
      </c>
      <c r="Q3781">
        <v>0.23737369999999999</v>
      </c>
      <c r="R3781">
        <v>1.3793919999999999E-2</v>
      </c>
      <c r="S3781">
        <v>-3.0824889999999998</v>
      </c>
      <c r="T3781">
        <v>1.00292E-2</v>
      </c>
      <c r="U3781">
        <v>-3.7689210000000002E-3</v>
      </c>
      <c r="V3781">
        <v>1.5366640000000001E-2</v>
      </c>
      <c r="W3781">
        <v>0.25143409999999999</v>
      </c>
      <c r="X3781">
        <v>0.96775239999999996</v>
      </c>
      <c r="Y3781">
        <v>4.146404E-4</v>
      </c>
      <c r="Z3781" s="1">
        <v>-6.0017630000000003E-6</v>
      </c>
      <c r="AA3781">
        <v>0.99999990000000005</v>
      </c>
      <c r="AB3781">
        <v>33</v>
      </c>
      <c r="AC3781">
        <v>-3.0824889999999998</v>
      </c>
      <c r="AD3781">
        <v>1.00292E-2</v>
      </c>
      <c r="AE3781">
        <v>-3.7689210000000002E-3</v>
      </c>
      <c r="AF3781">
        <v>1.2781438693803199E-3</v>
      </c>
      <c r="AG3781">
        <v>1.00292E-2</v>
      </c>
      <c r="AH3781">
        <v>3.0824584084337201</v>
      </c>
      <c r="AI3781">
        <v>89.813581019220095</v>
      </c>
      <c r="AJ3781">
        <v>89.976242260097095</v>
      </c>
      <c r="AK3781">
        <v>3.0824749890677401</v>
      </c>
      <c r="AL3781">
        <v>75.437608543883897</v>
      </c>
      <c r="AM3781">
        <v>89.090294550284298</v>
      </c>
      <c r="AN3781">
        <v>0.99999997398672902</v>
      </c>
    </row>
    <row r="3782" spans="1:40" x14ac:dyDescent="0.25">
      <c r="A3782" t="str">
        <f>"20190312154632737"</f>
        <v>20190312154632737</v>
      </c>
      <c r="B3782" t="str">
        <f>"1552376792731811"</f>
        <v>1552376792731811</v>
      </c>
      <c r="C3782" t="s">
        <v>40</v>
      </c>
      <c r="D3782">
        <v>4.5695360000000003</v>
      </c>
      <c r="E3782">
        <v>0.49787039999999999</v>
      </c>
      <c r="F3782" t="s">
        <v>42</v>
      </c>
      <c r="G3782">
        <v>-379.04149999999998</v>
      </c>
      <c r="H3782" s="1">
        <v>-6.6302569999999904E-7</v>
      </c>
      <c r="I3782">
        <v>140.62909999999999</v>
      </c>
      <c r="J3782">
        <v>-318.35559999999998</v>
      </c>
      <c r="K3782">
        <v>1.1105910000000001</v>
      </c>
      <c r="L3782">
        <v>140.74299999999999</v>
      </c>
      <c r="M3782">
        <v>-0.9998937</v>
      </c>
      <c r="N3782">
        <v>0</v>
      </c>
      <c r="O3782">
        <v>-1.6425949999999999E-3</v>
      </c>
      <c r="P3782">
        <v>-0.97021250000000003</v>
      </c>
      <c r="Q3782">
        <v>0.2418932</v>
      </c>
      <c r="R3782">
        <v>1.3262049999999999E-2</v>
      </c>
      <c r="S3782">
        <v>-3.102417</v>
      </c>
      <c r="T3782">
        <v>-5.646491E-2</v>
      </c>
      <c r="U3782">
        <v>-5.813599E-3</v>
      </c>
      <c r="V3782">
        <v>1.4847300000000001E-2</v>
      </c>
      <c r="W3782">
        <v>0.25593260000000001</v>
      </c>
      <c r="X3782">
        <v>0.96658060000000001</v>
      </c>
      <c r="Y3782">
        <v>-2.3135659999999999E-4</v>
      </c>
      <c r="Z3782" s="1">
        <v>2.7791139999999998E-5</v>
      </c>
      <c r="AA3782">
        <v>1</v>
      </c>
      <c r="AB3782">
        <v>33</v>
      </c>
      <c r="AC3782">
        <v>-60.685899999999997</v>
      </c>
      <c r="AD3782">
        <v>-1.11059166302569</v>
      </c>
      <c r="AE3782">
        <v>-0.1139</v>
      </c>
      <c r="AF3782">
        <v>-1.42022710365978E-2</v>
      </c>
      <c r="AG3782">
        <v>-1.11059166302569</v>
      </c>
      <c r="AH3782">
        <v>60.665687512270601</v>
      </c>
      <c r="AI3782">
        <v>91.048782414613896</v>
      </c>
      <c r="AJ3782">
        <v>90.0134133512435</v>
      </c>
      <c r="AK3782">
        <v>60.675853985609102</v>
      </c>
      <c r="AL3782">
        <v>75.171146856540801</v>
      </c>
      <c r="AM3782">
        <v>89.1199691673595</v>
      </c>
      <c r="AN3782">
        <v>0.99999999717820498</v>
      </c>
    </row>
    <row r="3783" spans="1:40" x14ac:dyDescent="0.25">
      <c r="A3783" t="str">
        <f>"20190312154632760"</f>
        <v>20190312154632760</v>
      </c>
      <c r="B3783" t="str">
        <f>"1552376792751331"</f>
        <v>1552376792751331</v>
      </c>
      <c r="C3783" t="s">
        <v>40</v>
      </c>
      <c r="D3783">
        <v>4.421138</v>
      </c>
      <c r="E3783">
        <v>0.49796770000000001</v>
      </c>
      <c r="F3783" t="s">
        <v>42</v>
      </c>
      <c r="G3783">
        <v>-446.71129999999999</v>
      </c>
      <c r="H3783" s="1">
        <v>-6.9944209999999996E-7</v>
      </c>
      <c r="I3783">
        <v>140.81739999999999</v>
      </c>
      <c r="J3783">
        <v>-318.68490000000003</v>
      </c>
      <c r="K3783">
        <v>1.110574</v>
      </c>
      <c r="L3783">
        <v>140.7424</v>
      </c>
      <c r="M3783">
        <v>-0.9998937</v>
      </c>
      <c r="N3783">
        <v>0</v>
      </c>
      <c r="O3783">
        <v>-1.6319310000000001E-3</v>
      </c>
      <c r="P3783">
        <v>-0.96932940000000001</v>
      </c>
      <c r="Q3783">
        <v>0.24540790000000001</v>
      </c>
      <c r="R3783">
        <v>1.32522E-2</v>
      </c>
      <c r="S3783">
        <v>-3.0987550000000001</v>
      </c>
      <c r="T3783">
        <v>-2.681184E-2</v>
      </c>
      <c r="U3783">
        <v>1.8005370000000001E-3</v>
      </c>
      <c r="V3783">
        <v>1.483513E-2</v>
      </c>
      <c r="W3783">
        <v>0.25943050000000001</v>
      </c>
      <c r="X3783">
        <v>0.96564779999999995</v>
      </c>
      <c r="Y3783">
        <v>2.2130100000000001E-3</v>
      </c>
      <c r="Z3783" s="1">
        <v>2.3695229999999998E-5</v>
      </c>
      <c r="AA3783">
        <v>0.99999760000000004</v>
      </c>
      <c r="AB3783">
        <v>33</v>
      </c>
      <c r="AC3783">
        <v>-128.026399999999</v>
      </c>
      <c r="AD3783">
        <v>-1.1105746994421</v>
      </c>
      <c r="AE3783">
        <v>7.4999999999988604E-2</v>
      </c>
      <c r="AF3783">
        <v>0.28393071914829499</v>
      </c>
      <c r="AG3783">
        <v>-1.1105746994421</v>
      </c>
      <c r="AH3783">
        <v>128.01647406244501</v>
      </c>
      <c r="AI3783">
        <v>90.497041422685797</v>
      </c>
      <c r="AJ3783">
        <v>89.872922564651205</v>
      </c>
      <c r="AK3783">
        <v>128.021606083493</v>
      </c>
      <c r="AL3783">
        <v>74.963726808953894</v>
      </c>
      <c r="AM3783">
        <v>89.119841130505606</v>
      </c>
      <c r="AN3783">
        <v>0.99999996952860204</v>
      </c>
    </row>
    <row r="3784" spans="1:40" x14ac:dyDescent="0.25">
      <c r="A3784" t="str">
        <f>"20190312154632795"</f>
        <v>20190312154632795</v>
      </c>
      <c r="B3784" t="str">
        <f>"1552376792781587"</f>
        <v>1552376792781587</v>
      </c>
      <c r="C3784" t="s">
        <v>40</v>
      </c>
      <c r="D3784">
        <v>4.356471</v>
      </c>
      <c r="E3784">
        <v>0.51409300000000002</v>
      </c>
      <c r="F3784" t="s">
        <v>45</v>
      </c>
      <c r="G3784">
        <v>-625.37120000000004</v>
      </c>
      <c r="H3784">
        <v>-0.1</v>
      </c>
      <c r="I3784">
        <v>140.99770000000001</v>
      </c>
      <c r="J3784">
        <v>-319.19279999999998</v>
      </c>
      <c r="K3784">
        <v>1.110552</v>
      </c>
      <c r="L3784">
        <v>140.74160000000001</v>
      </c>
      <c r="M3784">
        <v>-0.99989380000000005</v>
      </c>
      <c r="N3784">
        <v>0</v>
      </c>
      <c r="O3784">
        <v>-1.574652E-3</v>
      </c>
      <c r="P3784">
        <v>-0.96853599999999995</v>
      </c>
      <c r="Q3784">
        <v>0.24848709999999999</v>
      </c>
      <c r="R3784">
        <v>1.3873470000000001E-2</v>
      </c>
      <c r="S3784">
        <v>-3.0979610000000002</v>
      </c>
      <c r="T3784">
        <v>-1.222849E-2</v>
      </c>
      <c r="U3784">
        <v>2.578735E-3</v>
      </c>
      <c r="V3784">
        <v>1.5417770000000001E-2</v>
      </c>
      <c r="W3784">
        <v>0.26249159999999999</v>
      </c>
      <c r="X3784">
        <v>0.96481110000000003</v>
      </c>
      <c r="Y3784">
        <v>2.407181E-3</v>
      </c>
      <c r="Z3784" s="1">
        <v>1.0967080000000001E-5</v>
      </c>
      <c r="AA3784">
        <v>0.99999709999999997</v>
      </c>
      <c r="AB3784">
        <v>33</v>
      </c>
      <c r="AC3784">
        <v>-306.17840000000001</v>
      </c>
      <c r="AD3784">
        <v>-1.2105520000000001</v>
      </c>
      <c r="AE3784">
        <v>0.25610000000000299</v>
      </c>
      <c r="AF3784">
        <v>0.73826318088037102</v>
      </c>
      <c r="AG3784">
        <v>-1.2105520000000001</v>
      </c>
      <c r="AH3784">
        <v>306.17283089405299</v>
      </c>
      <c r="AI3784">
        <v>90.226535310876997</v>
      </c>
      <c r="AJ3784">
        <v>89.861845081641306</v>
      </c>
      <c r="AK3784">
        <v>306.17611410158599</v>
      </c>
      <c r="AL3784">
        <v>74.782043667017305</v>
      </c>
      <c r="AM3784">
        <v>89.084486104774697</v>
      </c>
      <c r="AN3784">
        <v>1.00000000319277</v>
      </c>
    </row>
    <row r="3785" spans="1:40" x14ac:dyDescent="0.25">
      <c r="A3785" t="str">
        <f>"20190312154632815"</f>
        <v>20190312154632815</v>
      </c>
      <c r="B3785" t="str">
        <f>"1552376792801107"</f>
        <v>1552376792801107</v>
      </c>
      <c r="C3785" t="s">
        <v>40</v>
      </c>
      <c r="D3785">
        <v>4.3221449999999999</v>
      </c>
      <c r="E3785">
        <v>0.51484300000000005</v>
      </c>
      <c r="F3785" t="s">
        <v>52</v>
      </c>
      <c r="G3785">
        <v>-402.80450000000002</v>
      </c>
      <c r="H3785" s="1">
        <v>-8.5214999999999996E-6</v>
      </c>
      <c r="I3785">
        <v>144.26779999999999</v>
      </c>
      <c r="J3785">
        <v>-319.50049999999999</v>
      </c>
      <c r="K3785">
        <v>1.1105259999999999</v>
      </c>
      <c r="L3785">
        <v>140.74119999999999</v>
      </c>
      <c r="M3785">
        <v>-0.9998939</v>
      </c>
      <c r="N3785">
        <v>0</v>
      </c>
      <c r="O3785">
        <v>-1.5182850000000001E-3</v>
      </c>
      <c r="P3785">
        <v>-0.96850539999999996</v>
      </c>
      <c r="Q3785">
        <v>0.2485502</v>
      </c>
      <c r="R3785">
        <v>1.483725E-2</v>
      </c>
      <c r="S3785">
        <v>-3.1061709999999998</v>
      </c>
      <c r="T3785">
        <v>-4.1257259999999997E-2</v>
      </c>
      <c r="U3785">
        <v>0.13099669999999999</v>
      </c>
      <c r="V3785">
        <v>1.6338559999999999E-2</v>
      </c>
      <c r="W3785">
        <v>0.26255099999999998</v>
      </c>
      <c r="X3785">
        <v>0.96477979999999997</v>
      </c>
      <c r="Y3785">
        <v>4.3648680000000002E-2</v>
      </c>
      <c r="Z3785">
        <v>3.0989590000000001E-4</v>
      </c>
      <c r="AA3785">
        <v>0.99904689999999996</v>
      </c>
      <c r="AB3785">
        <v>33</v>
      </c>
      <c r="AC3785">
        <v>-83.304000000000002</v>
      </c>
      <c r="AD3785">
        <v>-1.1105345215</v>
      </c>
      <c r="AE3785">
        <v>3.5266000000000002</v>
      </c>
      <c r="AF3785">
        <v>3.65244047840834</v>
      </c>
      <c r="AG3785">
        <v>-1.1105345215</v>
      </c>
      <c r="AH3785">
        <v>83.283774436961295</v>
      </c>
      <c r="AI3785">
        <v>90.763222862556105</v>
      </c>
      <c r="AJ3785">
        <v>87.488881619458496</v>
      </c>
      <c r="AK3785">
        <v>83.371222210295102</v>
      </c>
      <c r="AL3785">
        <v>74.778516841073596</v>
      </c>
      <c r="AM3785">
        <v>89.029787880833894</v>
      </c>
      <c r="AN3785">
        <v>1.00000001931595</v>
      </c>
    </row>
    <row r="3786" spans="1:40" x14ac:dyDescent="0.25">
      <c r="A3786" t="str">
        <f>"20190312154632837"</f>
        <v>20190312154632837</v>
      </c>
      <c r="B3786" t="str">
        <f>"1552376792831364"</f>
        <v>1552376792831364</v>
      </c>
      <c r="C3786" t="s">
        <v>40</v>
      </c>
      <c r="D3786">
        <v>4.322775</v>
      </c>
      <c r="E3786">
        <v>0.51576699999999998</v>
      </c>
      <c r="F3786" t="s">
        <v>42</v>
      </c>
      <c r="G3786">
        <v>-389.75229999999999</v>
      </c>
      <c r="H3786" s="1">
        <v>-1.221657E-6</v>
      </c>
      <c r="I3786">
        <v>143.87459999999999</v>
      </c>
      <c r="J3786">
        <v>-319.8152</v>
      </c>
      <c r="K3786">
        <v>1.110506</v>
      </c>
      <c r="L3786">
        <v>140.74080000000001</v>
      </c>
      <c r="M3786">
        <v>-0.99989410000000001</v>
      </c>
      <c r="N3786">
        <v>0</v>
      </c>
      <c r="O3786">
        <v>-1.44537299999999E-3</v>
      </c>
      <c r="P3786">
        <v>-0.96863699999999997</v>
      </c>
      <c r="Q3786">
        <v>0.24797060000000001</v>
      </c>
      <c r="R3786">
        <v>1.5901060000000002E-2</v>
      </c>
      <c r="S3786">
        <v>-3.107971</v>
      </c>
      <c r="T3786">
        <v>-4.9130319999999998E-2</v>
      </c>
      <c r="U3786">
        <v>0.1386261</v>
      </c>
      <c r="V3786">
        <v>1.7342550000000002E-2</v>
      </c>
      <c r="W3786">
        <v>0.2619688</v>
      </c>
      <c r="X3786">
        <v>0.96492049999999996</v>
      </c>
      <c r="Y3786">
        <v>4.5997240000000002E-2</v>
      </c>
      <c r="Z3786">
        <v>3.861933E-4</v>
      </c>
      <c r="AA3786">
        <v>0.99894150000000004</v>
      </c>
      <c r="AB3786">
        <v>33</v>
      </c>
      <c r="AC3786">
        <v>-69.937099999999901</v>
      </c>
      <c r="AD3786">
        <v>-1.110507221657</v>
      </c>
      <c r="AE3786">
        <v>3.1337999999999702</v>
      </c>
      <c r="AF3786">
        <v>3.2340787423758699</v>
      </c>
      <c r="AG3786">
        <v>-1.110507221657</v>
      </c>
      <c r="AH3786">
        <v>69.914904502434197</v>
      </c>
      <c r="AI3786">
        <v>90.909020477745003</v>
      </c>
      <c r="AJ3786">
        <v>87.351536569263004</v>
      </c>
      <c r="AK3786">
        <v>69.998474006121995</v>
      </c>
      <c r="AL3786">
        <v>74.813084005251099</v>
      </c>
      <c r="AM3786">
        <v>88.970331806319095</v>
      </c>
      <c r="AN3786">
        <v>0.99999999376709603</v>
      </c>
    </row>
    <row r="3787" spans="1:40" x14ac:dyDescent="0.25">
      <c r="A3787" t="str">
        <f>"20190312154632859"</f>
        <v>20190312154632859</v>
      </c>
      <c r="B3787" t="str">
        <f>"1552376792850883"</f>
        <v>1552376792850883</v>
      </c>
      <c r="C3787" t="s">
        <v>40</v>
      </c>
      <c r="D3787">
        <v>4.3076829999999999</v>
      </c>
      <c r="E3787">
        <v>0.51629700000000001</v>
      </c>
      <c r="F3787" t="s">
        <v>42</v>
      </c>
      <c r="G3787">
        <v>-385.42959999999999</v>
      </c>
      <c r="H3787" s="1">
        <v>-3.074417E-6</v>
      </c>
      <c r="I3787">
        <v>143.86850000000001</v>
      </c>
      <c r="J3787">
        <v>-320.14890000000003</v>
      </c>
      <c r="K3787">
        <v>1.1104959999999999</v>
      </c>
      <c r="L3787">
        <v>140.74039999999999</v>
      </c>
      <c r="M3787">
        <v>-0.99989430000000001</v>
      </c>
      <c r="N3787">
        <v>0</v>
      </c>
      <c r="O3787">
        <v>-1.3524679999999999E-3</v>
      </c>
      <c r="P3787">
        <v>-0.96833880000000006</v>
      </c>
      <c r="Q3787">
        <v>0.2490964</v>
      </c>
      <c r="R3787">
        <v>1.6462830000000001E-2</v>
      </c>
      <c r="S3787">
        <v>-3.1081850000000002</v>
      </c>
      <c r="T3787">
        <v>-5.2605390000000002E-2</v>
      </c>
      <c r="U3787">
        <v>0.14816279999999901</v>
      </c>
      <c r="V3787">
        <v>1.7823559999999999E-2</v>
      </c>
      <c r="W3787">
        <v>0.2630864</v>
      </c>
      <c r="X3787">
        <v>0.96460760000000001</v>
      </c>
      <c r="Y3787">
        <v>4.8958389999999997E-2</v>
      </c>
      <c r="Z3787">
        <v>4.3691880000000001E-4</v>
      </c>
      <c r="AA3787">
        <v>0.99880069999999999</v>
      </c>
      <c r="AB3787">
        <v>33</v>
      </c>
      <c r="AC3787">
        <v>-65.280699999999896</v>
      </c>
      <c r="AD3787">
        <v>-1.110499074417</v>
      </c>
      <c r="AE3787">
        <v>3.1281000000000101</v>
      </c>
      <c r="AF3787">
        <v>3.2154680918494201</v>
      </c>
      <c r="AG3787">
        <v>-1.110499074417</v>
      </c>
      <c r="AH3787">
        <v>65.257568284385698</v>
      </c>
      <c r="AI3787">
        <v>90.973736757009902</v>
      </c>
      <c r="AJ3787">
        <v>87.179118463291502</v>
      </c>
      <c r="AK3787">
        <v>65.346175570076298</v>
      </c>
      <c r="AL3787">
        <v>74.746722322752106</v>
      </c>
      <c r="AM3787">
        <v>88.941436323920797</v>
      </c>
      <c r="AN3787">
        <v>0.99999997756689596</v>
      </c>
    </row>
    <row r="3788" spans="1:40" x14ac:dyDescent="0.25">
      <c r="A3788" t="str">
        <f>"20190312154632882"</f>
        <v>20190312154632882</v>
      </c>
      <c r="B3788" t="str">
        <f>"1552376792871379"</f>
        <v>1552376792871379</v>
      </c>
      <c r="C3788" t="s">
        <v>40</v>
      </c>
      <c r="D3788">
        <v>4.2538589999999896</v>
      </c>
      <c r="E3788">
        <v>0.51687939999999999</v>
      </c>
      <c r="F3788" t="s">
        <v>42</v>
      </c>
      <c r="G3788">
        <v>-386.85340000000002</v>
      </c>
      <c r="H3788" s="1">
        <v>-2.505231E-6</v>
      </c>
      <c r="I3788">
        <v>144.0248</v>
      </c>
      <c r="J3788">
        <v>-320.476</v>
      </c>
      <c r="K3788">
        <v>1.1104889999999901</v>
      </c>
      <c r="L3788">
        <v>140.74010000000001</v>
      </c>
      <c r="M3788">
        <v>-0.99989459999999997</v>
      </c>
      <c r="N3788">
        <v>0</v>
      </c>
      <c r="O3788">
        <v>-1.2489059999999999E-3</v>
      </c>
      <c r="P3788">
        <v>-0.96808340000000004</v>
      </c>
      <c r="Q3788">
        <v>0.25002200000000002</v>
      </c>
      <c r="R3788">
        <v>1.7428849999999999E-2</v>
      </c>
      <c r="S3788">
        <v>-3.1087950000000002</v>
      </c>
      <c r="T3788">
        <v>-5.1755309999999999E-2</v>
      </c>
      <c r="U3788">
        <v>0.1530762</v>
      </c>
      <c r="V3788">
        <v>1.8696210000000001E-2</v>
      </c>
      <c r="W3788">
        <v>0.26400449999999998</v>
      </c>
      <c r="X3788">
        <v>0.96434019999999998</v>
      </c>
      <c r="Y3788">
        <v>5.0420470000000002E-2</v>
      </c>
      <c r="Z3788">
        <v>4.401977E-4</v>
      </c>
      <c r="AA3788">
        <v>0.99872799999999995</v>
      </c>
      <c r="AB3788">
        <v>33</v>
      </c>
      <c r="AC3788">
        <v>-66.377399999999994</v>
      </c>
      <c r="AD3788">
        <v>-1.1104915052309901</v>
      </c>
      <c r="AE3788">
        <v>3.28469999999998</v>
      </c>
      <c r="AF3788">
        <v>3.36666524495062</v>
      </c>
      <c r="AG3788">
        <v>-1.1104915052309901</v>
      </c>
      <c r="AH3788">
        <v>66.354718745378193</v>
      </c>
      <c r="AI3788">
        <v>90.957562970178699</v>
      </c>
      <c r="AJ3788">
        <v>87.095452355064893</v>
      </c>
      <c r="AK3788">
        <v>66.449351584744505</v>
      </c>
      <c r="AL3788">
        <v>74.692191150317996</v>
      </c>
      <c r="AM3788">
        <v>88.889313396876801</v>
      </c>
      <c r="AN3788">
        <v>0.999999972812326</v>
      </c>
    </row>
    <row r="3789" spans="1:40" x14ac:dyDescent="0.25">
      <c r="A3789" t="str">
        <f>"20190312154632904"</f>
        <v>20190312154632904</v>
      </c>
      <c r="B3789" t="str">
        <f>"1552376792901635"</f>
        <v>1552376792901635</v>
      </c>
      <c r="C3789" t="s">
        <v>40</v>
      </c>
      <c r="D3789">
        <v>4.2651949999999896</v>
      </c>
      <c r="E3789">
        <v>0.51815840000000002</v>
      </c>
      <c r="F3789" t="s">
        <v>42</v>
      </c>
      <c r="G3789">
        <v>-388.77600000000001</v>
      </c>
      <c r="H3789" s="1">
        <v>-1.7394349999999999E-6</v>
      </c>
      <c r="I3789">
        <v>144.2465</v>
      </c>
      <c r="J3789">
        <v>-320.7998</v>
      </c>
      <c r="K3789">
        <v>1.110482</v>
      </c>
      <c r="L3789">
        <v>140.7398</v>
      </c>
      <c r="M3789">
        <v>-0.99989479999999997</v>
      </c>
      <c r="N3789">
        <v>0</v>
      </c>
      <c r="O3789">
        <v>-1.1387260000000001E-3</v>
      </c>
      <c r="P3789">
        <v>-0.96814840000000002</v>
      </c>
      <c r="Q3789">
        <v>0.24970500000000001</v>
      </c>
      <c r="R3789">
        <v>1.834214E-2</v>
      </c>
      <c r="S3789">
        <v>-3.1091000000000002</v>
      </c>
      <c r="T3789">
        <v>-5.0550940000000003E-2</v>
      </c>
      <c r="U3789">
        <v>0.15962219999999999</v>
      </c>
      <c r="V3789">
        <v>1.9507819999999999E-2</v>
      </c>
      <c r="W3789">
        <v>0.26368439999999999</v>
      </c>
      <c r="X3789">
        <v>0.96441169999999998</v>
      </c>
      <c r="Y3789">
        <v>5.240305E-2</v>
      </c>
      <c r="Z3789">
        <v>4.4420590000000002E-4</v>
      </c>
      <c r="AA3789">
        <v>0.99862589999999996</v>
      </c>
      <c r="AB3789">
        <v>33</v>
      </c>
      <c r="AC3789">
        <v>-67.976200000000006</v>
      </c>
      <c r="AD3789">
        <v>-1.110483739435</v>
      </c>
      <c r="AE3789">
        <v>3.5066999999999902</v>
      </c>
      <c r="AF3789">
        <v>3.5831583627180299</v>
      </c>
      <c r="AG3789">
        <v>-1.110483739435</v>
      </c>
      <c r="AH3789">
        <v>67.954075106302597</v>
      </c>
      <c r="AI3789">
        <v>90.934927367211401</v>
      </c>
      <c r="AJ3789">
        <v>86.981639455434603</v>
      </c>
      <c r="AK3789">
        <v>68.057538315317302</v>
      </c>
      <c r="AL3789">
        <v>74.711205286117405</v>
      </c>
      <c r="AM3789">
        <v>88.841196815001894</v>
      </c>
      <c r="AN3789">
        <v>0.99999997247070005</v>
      </c>
    </row>
    <row r="3790" spans="1:40" x14ac:dyDescent="0.25">
      <c r="A3790" t="str">
        <f>"20190312154632927"</f>
        <v>20190312154632927</v>
      </c>
      <c r="B3790" t="str">
        <f>"1552376792921156"</f>
        <v>1552376792921156</v>
      </c>
      <c r="C3790" t="s">
        <v>40</v>
      </c>
      <c r="D3790">
        <v>4.2823859999999998</v>
      </c>
      <c r="E3790">
        <v>0.51868859999999894</v>
      </c>
      <c r="F3790" t="s">
        <v>42</v>
      </c>
      <c r="G3790">
        <v>-379.97</v>
      </c>
      <c r="H3790" s="1">
        <v>-5.0647150000000002E-6</v>
      </c>
      <c r="I3790">
        <v>144.00489999999999</v>
      </c>
      <c r="J3790">
        <v>-321.12270000000001</v>
      </c>
      <c r="K3790">
        <v>1.1104769999999999</v>
      </c>
      <c r="L3790">
        <v>140.73949999999999</v>
      </c>
      <c r="M3790">
        <v>-0.99989479999999997</v>
      </c>
      <c r="N3790">
        <v>0</v>
      </c>
      <c r="O3790">
        <v>-1.0248939999999999E-3</v>
      </c>
      <c r="P3790">
        <v>-0.96829980000000004</v>
      </c>
      <c r="Q3790">
        <v>0.24904290000000001</v>
      </c>
      <c r="R3790">
        <v>1.9317529999999999E-2</v>
      </c>
      <c r="S3790">
        <v>-3.1105040000000002</v>
      </c>
      <c r="T3790">
        <v>-5.8377030000000003E-2</v>
      </c>
      <c r="U3790">
        <v>0.1716461</v>
      </c>
      <c r="V3790">
        <v>2.037628E-2</v>
      </c>
      <c r="W3790">
        <v>0.26302109999999901</v>
      </c>
      <c r="X3790">
        <v>0.96457490000000001</v>
      </c>
      <c r="Y3790">
        <v>5.6112299999999997E-2</v>
      </c>
      <c r="Z3790">
        <v>5.4532389999999999E-4</v>
      </c>
      <c r="AA3790">
        <v>0.99842430000000004</v>
      </c>
      <c r="AB3790">
        <v>33</v>
      </c>
      <c r="AC3790">
        <v>-58.847299999999997</v>
      </c>
      <c r="AD3790">
        <v>-1.110482064715</v>
      </c>
      <c r="AE3790">
        <v>3.2654000000000001</v>
      </c>
      <c r="AF3790">
        <v>3.3245366150143401</v>
      </c>
      <c r="AG3790">
        <v>-1.110482064715</v>
      </c>
      <c r="AH3790">
        <v>58.823039556266203</v>
      </c>
      <c r="AI3790">
        <v>91.079798658639305</v>
      </c>
      <c r="AJ3790">
        <v>86.765221735375803</v>
      </c>
      <c r="AK3790">
        <v>58.927376462546597</v>
      </c>
      <c r="AL3790">
        <v>74.7506008967041</v>
      </c>
      <c r="AM3790">
        <v>88.789828316169505</v>
      </c>
      <c r="AN3790">
        <v>1.00000001477092</v>
      </c>
    </row>
    <row r="3791" spans="1:40" x14ac:dyDescent="0.25">
      <c r="A3791" t="str">
        <f>"20190312154632949"</f>
        <v>20190312154632949</v>
      </c>
      <c r="B3791" t="str">
        <f>"1552376792941652"</f>
        <v>1552376792941652</v>
      </c>
      <c r="C3791" t="s">
        <v>40</v>
      </c>
      <c r="D3791">
        <v>4.2676509999999999</v>
      </c>
      <c r="E3791">
        <v>0.5191983</v>
      </c>
      <c r="F3791" t="s">
        <v>42</v>
      </c>
      <c r="G3791">
        <v>-375.01609999999999</v>
      </c>
      <c r="H3791" s="1">
        <v>-3.240013E-6</v>
      </c>
      <c r="I3791">
        <v>143.82409999999999</v>
      </c>
      <c r="J3791">
        <v>-321.44720000000001</v>
      </c>
      <c r="K3791">
        <v>1.1104719999999999</v>
      </c>
      <c r="L3791">
        <v>140.73929999999999</v>
      </c>
      <c r="M3791">
        <v>-0.99989499999999998</v>
      </c>
      <c r="N3791">
        <v>0</v>
      </c>
      <c r="O3791">
        <v>-9.1001560000000001E-4</v>
      </c>
      <c r="P3791">
        <v>-0.96839660000000005</v>
      </c>
      <c r="Q3791">
        <v>0.2485424</v>
      </c>
      <c r="R3791">
        <v>2.0856739999999999E-2</v>
      </c>
      <c r="S3791">
        <v>-3.111145</v>
      </c>
      <c r="T3791">
        <v>-6.4105629999999997E-2</v>
      </c>
      <c r="U3791">
        <v>0.17807010000000001</v>
      </c>
      <c r="V3791">
        <v>2.18064E-2</v>
      </c>
      <c r="W3791">
        <v>0.26251780000000002</v>
      </c>
      <c r="X3791">
        <v>0.96468069999999895</v>
      </c>
      <c r="Y3791">
        <v>5.803879E-2</v>
      </c>
      <c r="Z3791">
        <v>6.1613269999999897E-4</v>
      </c>
      <c r="AA3791">
        <v>0.99831409999999998</v>
      </c>
      <c r="AB3791">
        <v>33</v>
      </c>
      <c r="AC3791">
        <v>-53.5688999999999</v>
      </c>
      <c r="AD3791">
        <v>-1.11047524001299</v>
      </c>
      <c r="AE3791">
        <v>3.0848</v>
      </c>
      <c r="AF3791">
        <v>3.1322108102508599</v>
      </c>
      <c r="AG3791">
        <v>-1.11047524001299</v>
      </c>
      <c r="AH3791">
        <v>53.543137438640002</v>
      </c>
      <c r="AI3791">
        <v>91.186106858739507</v>
      </c>
      <c r="AJ3791">
        <v>86.652079533370795</v>
      </c>
      <c r="AK3791">
        <v>53.646169169770403</v>
      </c>
      <c r="AL3791">
        <v>74.780487655828594</v>
      </c>
      <c r="AM3791">
        <v>88.705061742719096</v>
      </c>
      <c r="AN3791">
        <v>0.99999998367514398</v>
      </c>
    </row>
    <row r="3792" spans="1:40" x14ac:dyDescent="0.25">
      <c r="A3792" t="str">
        <f>"20190312154632971"</f>
        <v>20190312154632971</v>
      </c>
      <c r="B3792" t="str">
        <f>"1552376792961171"</f>
        <v>1552376792961171</v>
      </c>
      <c r="C3792" t="s">
        <v>40</v>
      </c>
      <c r="D3792">
        <v>4.2835609999999997</v>
      </c>
      <c r="E3792">
        <v>0.51954540000000005</v>
      </c>
      <c r="F3792" t="s">
        <v>42</v>
      </c>
      <c r="G3792">
        <v>-371.62169999999998</v>
      </c>
      <c r="H3792" s="1">
        <v>-4.455649E-6</v>
      </c>
      <c r="I3792">
        <v>143.74010000000001</v>
      </c>
      <c r="J3792">
        <v>-321.77800000000002</v>
      </c>
      <c r="K3792">
        <v>1.110473</v>
      </c>
      <c r="L3792">
        <v>140.73920000000001</v>
      </c>
      <c r="M3792">
        <v>-0.99989519999999998</v>
      </c>
      <c r="N3792">
        <v>0</v>
      </c>
      <c r="O3792">
        <v>-7.9336450000000002E-4</v>
      </c>
      <c r="P3792">
        <v>-0.96850619999999998</v>
      </c>
      <c r="Q3792">
        <v>0.24802489999999999</v>
      </c>
      <c r="R3792">
        <v>2.1898620000000001E-2</v>
      </c>
      <c r="S3792">
        <v>-3.1115719999999998</v>
      </c>
      <c r="T3792">
        <v>-6.8866250000000004E-2</v>
      </c>
      <c r="U3792">
        <v>0.18609619999999999</v>
      </c>
      <c r="V3792">
        <v>2.2736909999999999E-2</v>
      </c>
      <c r="W3792">
        <v>0.26199820000000001</v>
      </c>
      <c r="X3792">
        <v>0.96480049999999995</v>
      </c>
      <c r="Y3792">
        <v>6.0478150000000001E-2</v>
      </c>
      <c r="Z3792">
        <v>6.8612429999999997E-4</v>
      </c>
      <c r="AA3792">
        <v>0.99816930000000004</v>
      </c>
      <c r="AB3792">
        <v>32</v>
      </c>
      <c r="AC3792">
        <v>-49.843699999999899</v>
      </c>
      <c r="AD3792">
        <v>-1.110477455649</v>
      </c>
      <c r="AE3792">
        <v>3.0009000000000001</v>
      </c>
      <c r="AF3792">
        <v>3.0389444396757201</v>
      </c>
      <c r="AG3792">
        <v>-1.110477455649</v>
      </c>
      <c r="AH3792">
        <v>49.816665437170798</v>
      </c>
      <c r="AI3792">
        <v>91.274616393304299</v>
      </c>
      <c r="AJ3792">
        <v>86.509136317721499</v>
      </c>
      <c r="AK3792">
        <v>49.921623558994497</v>
      </c>
      <c r="AL3792">
        <v>74.811338864488803</v>
      </c>
      <c r="AM3792">
        <v>88.649992517671706</v>
      </c>
      <c r="AN3792">
        <v>1.0000000143399099</v>
      </c>
    </row>
    <row r="3793" spans="1:40" x14ac:dyDescent="0.25">
      <c r="A3793" t="str">
        <f>"20190312154632995"</f>
        <v>20190312154632995</v>
      </c>
      <c r="B3793" t="str">
        <f>"1552376792991428"</f>
        <v>1552376792991428</v>
      </c>
      <c r="C3793" t="s">
        <v>40</v>
      </c>
      <c r="D3793">
        <v>4.267773</v>
      </c>
      <c r="E3793">
        <v>0.5199241</v>
      </c>
      <c r="F3793" t="s">
        <v>42</v>
      </c>
      <c r="G3793">
        <v>-368.80840000000001</v>
      </c>
      <c r="H3793" s="1">
        <v>-1.5608040000000001E-6</v>
      </c>
      <c r="I3793">
        <v>143.6275</v>
      </c>
      <c r="J3793">
        <v>-322.11700000000002</v>
      </c>
      <c r="K3793">
        <v>1.1104769999999999</v>
      </c>
      <c r="L3793">
        <v>140.739</v>
      </c>
      <c r="M3793">
        <v>-0.99989539999999999</v>
      </c>
      <c r="N3793">
        <v>0</v>
      </c>
      <c r="O3793">
        <v>-6.7482070000000004E-4</v>
      </c>
      <c r="P3793">
        <v>-0.96848460000000003</v>
      </c>
      <c r="Q3793">
        <v>0.24805199999999999</v>
      </c>
      <c r="R3793">
        <v>2.253811E-2</v>
      </c>
      <c r="S3793">
        <v>-3.1120299999999999</v>
      </c>
      <c r="T3793">
        <v>-7.3480840000000006E-2</v>
      </c>
      <c r="U3793">
        <v>0.19113160000000001</v>
      </c>
      <c r="V3793">
        <v>2.3262669999999999E-2</v>
      </c>
      <c r="W3793">
        <v>0.26202130000000001</v>
      </c>
      <c r="X3793">
        <v>0.96478169999999996</v>
      </c>
      <c r="Y3793">
        <v>6.1957739999999997E-2</v>
      </c>
      <c r="Z3793">
        <v>7.4659729999999999E-4</v>
      </c>
      <c r="AA3793">
        <v>0.99807849999999998</v>
      </c>
      <c r="AB3793">
        <v>32</v>
      </c>
      <c r="AC3793">
        <v>-46.691399999999902</v>
      </c>
      <c r="AD3793">
        <v>-1.110478560804</v>
      </c>
      <c r="AE3793">
        <v>2.8884999999999899</v>
      </c>
      <c r="AF3793">
        <v>2.9183664786010701</v>
      </c>
      <c r="AG3793">
        <v>-1.110478560804</v>
      </c>
      <c r="AH3793">
        <v>46.663145640909597</v>
      </c>
      <c r="AI3793">
        <v>91.360596850128601</v>
      </c>
      <c r="AJ3793">
        <v>86.421317465794004</v>
      </c>
      <c r="AK3793">
        <v>46.767501394046803</v>
      </c>
      <c r="AL3793">
        <v>74.809967525502998</v>
      </c>
      <c r="AM3793">
        <v>88.6187604898236</v>
      </c>
      <c r="AN3793">
        <v>1.0000000210620501</v>
      </c>
    </row>
    <row r="3794" spans="1:40" x14ac:dyDescent="0.25">
      <c r="A3794" t="str">
        <f>"20190312154633018"</f>
        <v>20190312154633018</v>
      </c>
      <c r="B3794" t="str">
        <f>"1552376793010948"</f>
        <v>1552376793010948</v>
      </c>
      <c r="C3794" t="s">
        <v>40</v>
      </c>
      <c r="D3794">
        <v>4.310937</v>
      </c>
      <c r="E3794">
        <v>0.52021309999999998</v>
      </c>
      <c r="F3794" t="s">
        <v>42</v>
      </c>
      <c r="G3794">
        <v>-367.64940000000001</v>
      </c>
      <c r="H3794" s="1">
        <v>-2.052998E-6</v>
      </c>
      <c r="I3794">
        <v>143.6087</v>
      </c>
      <c r="J3794">
        <v>-322.44869999999997</v>
      </c>
      <c r="K3794">
        <v>1.1104879999999999</v>
      </c>
      <c r="L3794">
        <v>140.7389</v>
      </c>
      <c r="M3794">
        <v>-0.99989550000000005</v>
      </c>
      <c r="N3794">
        <v>0</v>
      </c>
      <c r="O3794">
        <v>-5.597442E-4</v>
      </c>
      <c r="P3794">
        <v>-0.96817330000000001</v>
      </c>
      <c r="Q3794">
        <v>0.2492675</v>
      </c>
      <c r="R3794">
        <v>2.2500550000000001E-2</v>
      </c>
      <c r="S3794">
        <v>-3.1124879999999999</v>
      </c>
      <c r="T3794">
        <v>-7.5909850000000001E-2</v>
      </c>
      <c r="U3794">
        <v>0.19616700000000001</v>
      </c>
      <c r="V3794">
        <v>2.3114409999999998E-2</v>
      </c>
      <c r="W3794">
        <v>0.26322899999999999</v>
      </c>
      <c r="X3794">
        <v>0.96445639999999999</v>
      </c>
      <c r="Y3794">
        <v>6.3440709999999997E-2</v>
      </c>
      <c r="Z3794">
        <v>7.8637759999999998E-4</v>
      </c>
      <c r="AA3794">
        <v>0.99798529999999996</v>
      </c>
      <c r="AB3794">
        <v>32</v>
      </c>
      <c r="AC3794">
        <v>-45.200699999999998</v>
      </c>
      <c r="AD3794">
        <v>-1.110490052998</v>
      </c>
      <c r="AE3794">
        <v>2.8697999999999899</v>
      </c>
      <c r="AF3794">
        <v>2.8933636384434398</v>
      </c>
      <c r="AG3794">
        <v>-1.110490052998</v>
      </c>
      <c r="AH3794">
        <v>45.171930723938601</v>
      </c>
      <c r="AI3794">
        <v>91.405375820717893</v>
      </c>
      <c r="AJ3794">
        <v>86.335083145841807</v>
      </c>
      <c r="AK3794">
        <v>45.278119071250998</v>
      </c>
      <c r="AL3794">
        <v>74.7382532429463</v>
      </c>
      <c r="AM3794">
        <v>88.627097436418396</v>
      </c>
      <c r="AN3794">
        <v>0.99999996494580301</v>
      </c>
    </row>
    <row r="3795" spans="1:40" x14ac:dyDescent="0.25">
      <c r="A3795" t="str">
        <f>"20190312154633040"</f>
        <v>20190312154633040</v>
      </c>
      <c r="B3795" t="str">
        <f>"1552376793031444"</f>
        <v>1552376793031444</v>
      </c>
      <c r="C3795" t="s">
        <v>40</v>
      </c>
      <c r="D3795">
        <v>4.2895390000000004</v>
      </c>
      <c r="E3795">
        <v>0.52044279999999998</v>
      </c>
      <c r="F3795" t="s">
        <v>42</v>
      </c>
      <c r="G3795">
        <v>-369.4357</v>
      </c>
      <c r="H3795" s="1">
        <v>-1.3176760000000001E-6</v>
      </c>
      <c r="I3795">
        <v>143.7251</v>
      </c>
      <c r="J3795">
        <v>-322.76299999999998</v>
      </c>
      <c r="K3795">
        <v>1.1104969999999901</v>
      </c>
      <c r="L3795">
        <v>140.7389</v>
      </c>
      <c r="M3795">
        <v>-0.99989550000000005</v>
      </c>
      <c r="N3795">
        <v>0</v>
      </c>
      <c r="O3795">
        <v>-4.507577E-4</v>
      </c>
      <c r="P3795">
        <v>-0.96773220000000004</v>
      </c>
      <c r="Q3795">
        <v>0.25104549999999998</v>
      </c>
      <c r="R3795">
        <v>2.1689460000000001E-2</v>
      </c>
      <c r="S3795">
        <v>-3.1129760000000002</v>
      </c>
      <c r="T3795">
        <v>-7.3572159999999998E-2</v>
      </c>
      <c r="U3795">
        <v>0.19784550000000001</v>
      </c>
      <c r="V3795">
        <v>2.2198619999999999E-2</v>
      </c>
      <c r="W3795">
        <v>0.26499729999999999</v>
      </c>
      <c r="X3795">
        <v>0.96399360000000001</v>
      </c>
      <c r="Y3795">
        <v>6.3859109999999997E-2</v>
      </c>
      <c r="Z3795">
        <v>7.6440079999999999E-4</v>
      </c>
      <c r="AA3795">
        <v>0.99795869999999998</v>
      </c>
      <c r="AB3795">
        <v>32</v>
      </c>
      <c r="AC3795">
        <v>-46.672699999999999</v>
      </c>
      <c r="AD3795">
        <v>-1.1104983176759999</v>
      </c>
      <c r="AE3795">
        <v>2.98619999999999</v>
      </c>
      <c r="AF3795">
        <v>3.0055454039403799</v>
      </c>
      <c r="AG3795">
        <v>-1.1104983176759999</v>
      </c>
      <c r="AH3795">
        <v>46.645049939489397</v>
      </c>
      <c r="AI3795">
        <v>91.360985815574907</v>
      </c>
      <c r="AJ3795">
        <v>86.313277847966901</v>
      </c>
      <c r="AK3795">
        <v>46.754969720299997</v>
      </c>
      <c r="AL3795">
        <v>74.633207704085905</v>
      </c>
      <c r="AM3795">
        <v>88.680839280930002</v>
      </c>
      <c r="AN3795">
        <v>1.00000000428907</v>
      </c>
    </row>
    <row r="3796" spans="1:40" x14ac:dyDescent="0.25">
      <c r="A3796" t="str">
        <f>"20190312154633060"</f>
        <v>20190312154633060</v>
      </c>
      <c r="B3796" t="str">
        <f>"1552376793050963"</f>
        <v>1552376793050963</v>
      </c>
      <c r="C3796" t="s">
        <v>40</v>
      </c>
      <c r="D3796">
        <v>4.2911440000000001</v>
      </c>
      <c r="E3796">
        <v>0.52065470000000003</v>
      </c>
      <c r="F3796" t="s">
        <v>42</v>
      </c>
      <c r="G3796">
        <v>-372.23390000000001</v>
      </c>
      <c r="H3796" s="1">
        <v>-4.2707030000000003E-6</v>
      </c>
      <c r="I3796">
        <v>143.87190000000001</v>
      </c>
      <c r="J3796">
        <v>-323.06889999999999</v>
      </c>
      <c r="K3796">
        <v>1.110506</v>
      </c>
      <c r="L3796">
        <v>140.7388</v>
      </c>
      <c r="M3796">
        <v>-0.9998956</v>
      </c>
      <c r="N3796">
        <v>0</v>
      </c>
      <c r="O3796">
        <v>-3.4487960000000002E-4</v>
      </c>
      <c r="P3796">
        <v>-0.96739750000000002</v>
      </c>
      <c r="Q3796">
        <v>0.25236700000000001</v>
      </c>
      <c r="R3796">
        <v>2.1288899999999999E-2</v>
      </c>
      <c r="S3796">
        <v>-3.1137700000000001</v>
      </c>
      <c r="T3796">
        <v>-6.989658E-2</v>
      </c>
      <c r="U3796">
        <v>0.19720460000000001</v>
      </c>
      <c r="V3796">
        <v>2.1696099999999999E-2</v>
      </c>
      <c r="W3796">
        <v>0.26631070000000001</v>
      </c>
      <c r="X3796">
        <v>0.96364300000000003</v>
      </c>
      <c r="Y3796">
        <v>6.353462E-2</v>
      </c>
      <c r="Z3796">
        <v>7.2002990000000005E-4</v>
      </c>
      <c r="AA3796">
        <v>0.99797939999999996</v>
      </c>
      <c r="AB3796">
        <v>32</v>
      </c>
      <c r="AC3796">
        <v>-49.164999999999999</v>
      </c>
      <c r="AD3796">
        <v>-1.1105102707029999</v>
      </c>
      <c r="AE3796">
        <v>3.13310000000001</v>
      </c>
      <c r="AF3796">
        <v>3.1484577696163898</v>
      </c>
      <c r="AG3796">
        <v>-1.1105102707029999</v>
      </c>
      <c r="AH3796">
        <v>49.138947554943101</v>
      </c>
      <c r="AI3796">
        <v>91.291980966756</v>
      </c>
      <c r="AJ3796">
        <v>86.333924480816094</v>
      </c>
      <c r="AK3796">
        <v>49.252230266210702</v>
      </c>
      <c r="AL3796">
        <v>74.555150176956502</v>
      </c>
      <c r="AM3796">
        <v>88.710222582503604</v>
      </c>
      <c r="AN3796">
        <v>0.99999997056934897</v>
      </c>
    </row>
    <row r="3797" spans="1:40" x14ac:dyDescent="0.25">
      <c r="A3797" t="str">
        <f>"20190312154633084"</f>
        <v>20190312154633084</v>
      </c>
      <c r="B3797" t="str">
        <f>"1552376793071460"</f>
        <v>1552376793071460</v>
      </c>
      <c r="C3797" t="s">
        <v>40</v>
      </c>
      <c r="D3797">
        <v>4.2824839999999904</v>
      </c>
      <c r="E3797">
        <v>0.52069309999999902</v>
      </c>
      <c r="F3797" t="s">
        <v>42</v>
      </c>
      <c r="G3797">
        <v>-374.4128</v>
      </c>
      <c r="H3797" s="1">
        <v>-3.5440899999999998E-6</v>
      </c>
      <c r="I3797">
        <v>143.99420000000001</v>
      </c>
      <c r="J3797">
        <v>-323.39729999999997</v>
      </c>
      <c r="K3797">
        <v>1.110503</v>
      </c>
      <c r="L3797">
        <v>140.7388</v>
      </c>
      <c r="M3797">
        <v>-0.99989570000000005</v>
      </c>
      <c r="N3797">
        <v>0</v>
      </c>
      <c r="O3797">
        <v>-2.312556E-4</v>
      </c>
      <c r="P3797">
        <v>-0.9670396</v>
      </c>
      <c r="Q3797">
        <v>0.25376399999999999</v>
      </c>
      <c r="R3797">
        <v>2.093329E-2</v>
      </c>
      <c r="S3797">
        <v>-3.1143190000000001</v>
      </c>
      <c r="T3797">
        <v>-6.7359210000000003E-2</v>
      </c>
      <c r="U3797">
        <v>0.197464</v>
      </c>
      <c r="V3797">
        <v>2.1230530000000001E-2</v>
      </c>
      <c r="W3797">
        <v>0.26769949999999998</v>
      </c>
      <c r="X3797">
        <v>0.96326849999999997</v>
      </c>
      <c r="Y3797">
        <v>6.3494099999999998E-2</v>
      </c>
      <c r="Z3797">
        <v>6.9088099999999996E-4</v>
      </c>
      <c r="AA3797">
        <v>0.99798200000000004</v>
      </c>
      <c r="AB3797">
        <v>32</v>
      </c>
      <c r="AC3797">
        <v>-51.015500000000003</v>
      </c>
      <c r="AD3797">
        <v>-1.1105065440899999</v>
      </c>
      <c r="AE3797">
        <v>3.2553999999999998</v>
      </c>
      <c r="AF3797">
        <v>3.2656576173960601</v>
      </c>
      <c r="AG3797">
        <v>-1.1105065440899999</v>
      </c>
      <c r="AH3797">
        <v>50.990681943256497</v>
      </c>
      <c r="AI3797">
        <v>91.245075602563603</v>
      </c>
      <c r="AJ3797">
        <v>86.335542081930996</v>
      </c>
      <c r="AK3797">
        <v>51.107214652110201</v>
      </c>
      <c r="AL3797">
        <v>74.472580246410999</v>
      </c>
      <c r="AM3797">
        <v>88.737399948026706</v>
      </c>
      <c r="AN3797">
        <v>0.99999998039828997</v>
      </c>
    </row>
    <row r="3798" spans="1:40" x14ac:dyDescent="0.25">
      <c r="A3798" t="str">
        <f>"20190312154633105"</f>
        <v>20190312154633105</v>
      </c>
      <c r="B3798" t="str">
        <f>"1552376793101715"</f>
        <v>1552376793101715</v>
      </c>
      <c r="C3798" t="s">
        <v>40</v>
      </c>
      <c r="D3798">
        <v>4.2564419999999998</v>
      </c>
      <c r="E3798">
        <v>0.52094819999999997</v>
      </c>
      <c r="F3798" t="s">
        <v>42</v>
      </c>
      <c r="G3798">
        <v>-378.14690000000002</v>
      </c>
      <c r="H3798" s="1">
        <v>-1.9947769999999999E-6</v>
      </c>
      <c r="I3798">
        <v>144.1919</v>
      </c>
      <c r="J3798">
        <v>-323.70319999999998</v>
      </c>
      <c r="K3798">
        <v>1.1105069999999999</v>
      </c>
      <c r="L3798">
        <v>140.7389</v>
      </c>
      <c r="M3798">
        <v>-0.9998958</v>
      </c>
      <c r="N3798">
        <v>0</v>
      </c>
      <c r="O3798">
        <v>-1.2585419999999999E-4</v>
      </c>
      <c r="P3798">
        <v>-0.9668177</v>
      </c>
      <c r="Q3798">
        <v>0.2545983</v>
      </c>
      <c r="R3798">
        <v>2.106069E-2</v>
      </c>
      <c r="S3798">
        <v>-3.1145939999999999</v>
      </c>
      <c r="T3798">
        <v>-6.317449E-2</v>
      </c>
      <c r="U3798">
        <v>0.1964417</v>
      </c>
      <c r="V3798">
        <v>2.1256500000000001E-2</v>
      </c>
      <c r="W3798">
        <v>0.26852769999999998</v>
      </c>
      <c r="X3798">
        <v>0.96303740000000004</v>
      </c>
      <c r="Y3798">
        <v>6.3058959999999997E-2</v>
      </c>
      <c r="Z3798">
        <v>6.4137440000000003E-4</v>
      </c>
      <c r="AA3798">
        <v>0.99800960000000005</v>
      </c>
      <c r="AB3798">
        <v>32</v>
      </c>
      <c r="AC3798">
        <v>-54.4437</v>
      </c>
      <c r="AD3798">
        <v>-1.1105089947769999</v>
      </c>
      <c r="AE3798">
        <v>3.4529999999999998</v>
      </c>
      <c r="AF3798">
        <v>3.45841953309565</v>
      </c>
      <c r="AG3798">
        <v>-1.1105089947769999</v>
      </c>
      <c r="AH3798">
        <v>54.420713747826198</v>
      </c>
      <c r="AI3798">
        <v>91.1666625448171</v>
      </c>
      <c r="AJ3798">
        <v>86.363760726519999</v>
      </c>
      <c r="AK3798">
        <v>54.541800306895098</v>
      </c>
      <c r="AL3798">
        <v>74.423324792264197</v>
      </c>
      <c r="AM3798">
        <v>88.735552729950896</v>
      </c>
      <c r="AN3798">
        <v>0.99999999912915005</v>
      </c>
    </row>
    <row r="3799" spans="1:40" x14ac:dyDescent="0.25">
      <c r="A3799" t="str">
        <f>"20190312154633128"</f>
        <v>20190312154633128</v>
      </c>
      <c r="B3799" t="str">
        <f>"1552376793121236"</f>
        <v>1552376793121236</v>
      </c>
      <c r="C3799" t="s">
        <v>40</v>
      </c>
      <c r="D3799">
        <v>4.2899029999999998</v>
      </c>
      <c r="E3799">
        <v>0.52115480000000003</v>
      </c>
      <c r="F3799" t="s">
        <v>42</v>
      </c>
      <c r="G3799">
        <v>-378.90219999999999</v>
      </c>
      <c r="H3799" s="1">
        <v>-1.6882589999999999E-6</v>
      </c>
      <c r="I3799">
        <v>144.2578</v>
      </c>
      <c r="J3799">
        <v>-324.03059999999999</v>
      </c>
      <c r="K3799">
        <v>1.1105119999999999</v>
      </c>
      <c r="L3799">
        <v>140.739</v>
      </c>
      <c r="M3799">
        <v>-0.99989589999999995</v>
      </c>
      <c r="N3799">
        <v>0</v>
      </c>
      <c r="O3799" s="1">
        <v>-1.300369E-5</v>
      </c>
      <c r="P3799">
        <v>-0.96659260000000002</v>
      </c>
      <c r="Q3799">
        <v>0.25540819999999997</v>
      </c>
      <c r="R3799">
        <v>2.1579600000000001E-2</v>
      </c>
      <c r="S3799">
        <v>-3.115173</v>
      </c>
      <c r="T3799">
        <v>-6.2671900000000003E-2</v>
      </c>
      <c r="U3799">
        <v>0.19859309999999999</v>
      </c>
      <c r="V3799">
        <v>2.1666540000000001E-2</v>
      </c>
      <c r="W3799">
        <v>0.26933059999999998</v>
      </c>
      <c r="X3799">
        <v>0.96280399999999999</v>
      </c>
      <c r="Y3799">
        <v>6.3621300000000006E-2</v>
      </c>
      <c r="Z3799">
        <v>6.3952309999999995E-4</v>
      </c>
      <c r="AA3799">
        <v>0.99797389999999997</v>
      </c>
      <c r="AB3799">
        <v>32</v>
      </c>
      <c r="AC3799">
        <v>-54.871600000000001</v>
      </c>
      <c r="AD3799">
        <v>-1.1105136882590001</v>
      </c>
      <c r="AE3799">
        <v>3.5187999999999899</v>
      </c>
      <c r="AF3799">
        <v>3.5180785283321501</v>
      </c>
      <c r="AG3799">
        <v>-1.1105136882590001</v>
      </c>
      <c r="AH3799">
        <v>54.849180399697602</v>
      </c>
      <c r="AI3799">
        <v>91.157512772928797</v>
      </c>
      <c r="AJ3799">
        <v>86.330021609968995</v>
      </c>
      <c r="AK3799">
        <v>54.973108950666898</v>
      </c>
      <c r="AL3799">
        <v>74.375562083568397</v>
      </c>
      <c r="AM3799">
        <v>88.710857236673704</v>
      </c>
      <c r="AN3799">
        <v>0.99999997673396501</v>
      </c>
    </row>
    <row r="3800" spans="1:40" x14ac:dyDescent="0.25">
      <c r="A3800" t="str">
        <f>"20190312154633150"</f>
        <v>20190312154633150</v>
      </c>
      <c r="B3800" t="str">
        <f>"1552376793140756"</f>
        <v>1552376793140756</v>
      </c>
      <c r="C3800" t="s">
        <v>40</v>
      </c>
      <c r="D3800">
        <v>4.2768610000000002</v>
      </c>
      <c r="E3800">
        <v>0.52130959999999904</v>
      </c>
      <c r="F3800" t="s">
        <v>42</v>
      </c>
      <c r="G3800">
        <v>-380.1456</v>
      </c>
      <c r="H3800" s="1">
        <v>-5.0686899999999996E-6</v>
      </c>
      <c r="I3800">
        <v>144.36429999999999</v>
      </c>
      <c r="J3800">
        <v>-324.35000000000002</v>
      </c>
      <c r="K3800">
        <v>1.1105119999999999</v>
      </c>
      <c r="L3800">
        <v>140.73910000000001</v>
      </c>
      <c r="M3800">
        <v>-0.99989589999999995</v>
      </c>
      <c r="N3800">
        <v>0</v>
      </c>
      <c r="O3800" s="1">
        <v>9.7103619999999998E-5</v>
      </c>
      <c r="P3800">
        <v>-0.96655239999999998</v>
      </c>
      <c r="Q3800">
        <v>0.25551610000000002</v>
      </c>
      <c r="R3800">
        <v>2.210399E-2</v>
      </c>
      <c r="S3800">
        <v>-3.1154790000000001</v>
      </c>
      <c r="T3800">
        <v>-6.1655399999999999E-2</v>
      </c>
      <c r="U3800">
        <v>0.2012787</v>
      </c>
      <c r="V3800">
        <v>2.2084530000000002E-2</v>
      </c>
      <c r="W3800">
        <v>0.26943430000000002</v>
      </c>
      <c r="X3800">
        <v>0.96276550000000005</v>
      </c>
      <c r="Y3800">
        <v>6.4362180000000005E-2</v>
      </c>
      <c r="Z3800">
        <v>6.3421959999999998E-4</v>
      </c>
      <c r="AA3800">
        <v>0.99792639999999999</v>
      </c>
      <c r="AB3800">
        <v>32</v>
      </c>
      <c r="AC3800">
        <v>-55.795599999999901</v>
      </c>
      <c r="AD3800">
        <v>-1.1105170686900001</v>
      </c>
      <c r="AE3800">
        <v>3.6251999999999698</v>
      </c>
      <c r="AF3800">
        <v>3.6183541086820101</v>
      </c>
      <c r="AG3800">
        <v>-1.1105170686900001</v>
      </c>
      <c r="AH3800">
        <v>55.773950284332898</v>
      </c>
      <c r="AI3800">
        <v>91.138275294972203</v>
      </c>
      <c r="AJ3800">
        <v>86.288118402382494</v>
      </c>
      <c r="AK3800">
        <v>55.902229516674097</v>
      </c>
      <c r="AL3800">
        <v>74.369392623950404</v>
      </c>
      <c r="AM3800">
        <v>88.685943257139201</v>
      </c>
      <c r="AN3800">
        <v>0.99999998823602998</v>
      </c>
    </row>
    <row r="3801" spans="1:40" x14ac:dyDescent="0.25">
      <c r="A3801" t="str">
        <f>"20190312154633171"</f>
        <v>20190312154633171</v>
      </c>
      <c r="B3801" t="str">
        <f>"1552376793161252"</f>
        <v>1552376793161252</v>
      </c>
      <c r="C3801" t="s">
        <v>40</v>
      </c>
      <c r="D3801">
        <v>4.2967959999999996</v>
      </c>
      <c r="E3801">
        <v>0.5214666</v>
      </c>
      <c r="F3801" t="s">
        <v>42</v>
      </c>
      <c r="G3801">
        <v>-379.85660000000001</v>
      </c>
      <c r="H3801" s="1">
        <v>-1.312816E-6</v>
      </c>
      <c r="I3801">
        <v>144.38550000000001</v>
      </c>
      <c r="J3801">
        <v>-324.66520000000003</v>
      </c>
      <c r="K3801">
        <v>1.1105069999999999</v>
      </c>
      <c r="L3801">
        <v>140.73920000000001</v>
      </c>
      <c r="M3801">
        <v>-0.99989589999999995</v>
      </c>
      <c r="N3801">
        <v>0</v>
      </c>
      <c r="O3801">
        <v>2.0583959999999999E-4</v>
      </c>
      <c r="P3801">
        <v>-0.96693770000000001</v>
      </c>
      <c r="Q3801">
        <v>0.2539805</v>
      </c>
      <c r="R3801">
        <v>2.2925339999999999E-2</v>
      </c>
      <c r="S3801">
        <v>-3.115631</v>
      </c>
      <c r="T3801">
        <v>-6.2334059999999997E-2</v>
      </c>
      <c r="U3801">
        <v>0.20468140000000001</v>
      </c>
      <c r="V3801">
        <v>2.280012E-2</v>
      </c>
      <c r="W3801">
        <v>0.2679011</v>
      </c>
      <c r="X3801">
        <v>0.96317660000000005</v>
      </c>
      <c r="Y3801">
        <v>6.5335299999999999E-2</v>
      </c>
      <c r="Z3801">
        <v>6.4869530000000002E-4</v>
      </c>
      <c r="AA3801">
        <v>0.99786319999999995</v>
      </c>
      <c r="AB3801">
        <v>32</v>
      </c>
      <c r="AC3801">
        <v>-55.191399999999902</v>
      </c>
      <c r="AD3801">
        <v>-1.1105083128159901</v>
      </c>
      <c r="AE3801">
        <v>3.6462999999999899</v>
      </c>
      <c r="AF3801">
        <v>3.6334735230278401</v>
      </c>
      <c r="AG3801">
        <v>-1.1105083128159901</v>
      </c>
      <c r="AH3801">
        <v>55.169910648035597</v>
      </c>
      <c r="AI3801">
        <v>91.150651837524507</v>
      </c>
      <c r="AJ3801">
        <v>86.231959071940807</v>
      </c>
      <c r="AK3801">
        <v>55.3005822706019</v>
      </c>
      <c r="AL3801">
        <v>74.460591895301206</v>
      </c>
      <c r="AM3801">
        <v>88.643959244692496</v>
      </c>
      <c r="AN3801">
        <v>1.00000000382039</v>
      </c>
    </row>
    <row r="3802" spans="1:40" x14ac:dyDescent="0.25">
      <c r="A3802" t="str">
        <f>"20190312154633195"</f>
        <v>20190312154633195</v>
      </c>
      <c r="B3802" t="str">
        <f>"1552376793191508"</f>
        <v>1552376793191508</v>
      </c>
      <c r="C3802" t="s">
        <v>40</v>
      </c>
      <c r="D3802">
        <v>4.2705440000000001</v>
      </c>
      <c r="E3802">
        <v>0.52166699999999999</v>
      </c>
      <c r="F3802" t="s">
        <v>42</v>
      </c>
      <c r="G3802">
        <v>-375.1071</v>
      </c>
      <c r="H3802" s="1">
        <v>-3.2807939999999998E-6</v>
      </c>
      <c r="I3802">
        <v>144.1241</v>
      </c>
      <c r="J3802">
        <v>-324.98869999999999</v>
      </c>
      <c r="K3802">
        <v>1.1105069999999999</v>
      </c>
      <c r="L3802">
        <v>140.73939999999999</v>
      </c>
      <c r="M3802">
        <v>-0.99989589999999995</v>
      </c>
      <c r="N3802">
        <v>0</v>
      </c>
      <c r="O3802">
        <v>3.174365E-4</v>
      </c>
      <c r="P3802">
        <v>-0.96748440000000002</v>
      </c>
      <c r="Q3802">
        <v>0.25183990000000001</v>
      </c>
      <c r="R3802">
        <v>2.3470109999999999E-2</v>
      </c>
      <c r="S3802">
        <v>-3.115631</v>
      </c>
      <c r="T3802">
        <v>-6.8592669999999994E-2</v>
      </c>
      <c r="U3802">
        <v>0.20907590000000001</v>
      </c>
      <c r="V3802">
        <v>2.323617E-2</v>
      </c>
      <c r="W3802">
        <v>0.26576509999999998</v>
      </c>
      <c r="X3802">
        <v>0.9637578</v>
      </c>
      <c r="Y3802">
        <v>6.6622139999999996E-2</v>
      </c>
      <c r="Z3802">
        <v>7.254723E-4</v>
      </c>
      <c r="AA3802">
        <v>0.99777800000000005</v>
      </c>
      <c r="AB3802">
        <v>32</v>
      </c>
      <c r="AC3802">
        <v>-50.118400000000001</v>
      </c>
      <c r="AD3802">
        <v>-1.1105102807939999</v>
      </c>
      <c r="AE3802">
        <v>3.3847</v>
      </c>
      <c r="AF3802">
        <v>3.3671431196263599</v>
      </c>
      <c r="AG3802">
        <v>-1.1105102807939999</v>
      </c>
      <c r="AH3802">
        <v>50.094988778258902</v>
      </c>
      <c r="AI3802">
        <v>91.267071990912001</v>
      </c>
      <c r="AJ3802">
        <v>86.154638515534998</v>
      </c>
      <c r="AK3802">
        <v>50.220302533593703</v>
      </c>
      <c r="AL3802">
        <v>74.587580716827901</v>
      </c>
      <c r="AM3802">
        <v>88.618868144129394</v>
      </c>
      <c r="AN3802">
        <v>1.0000000525175501</v>
      </c>
    </row>
    <row r="3803" spans="1:40" x14ac:dyDescent="0.25">
      <c r="A3803" t="str">
        <f>"20190312154633217"</f>
        <v>20190312154633217</v>
      </c>
      <c r="B3803" t="str">
        <f>"1552376793211028"</f>
        <v>1552376793211028</v>
      </c>
      <c r="C3803" t="s">
        <v>40</v>
      </c>
      <c r="D3803">
        <v>4.303013</v>
      </c>
      <c r="E3803">
        <v>0.52175070000000001</v>
      </c>
      <c r="F3803" t="s">
        <v>42</v>
      </c>
      <c r="G3803">
        <v>-369.8827</v>
      </c>
      <c r="H3803" s="1">
        <v>-1.147367E-6</v>
      </c>
      <c r="I3803">
        <v>143.8057</v>
      </c>
      <c r="J3803">
        <v>-325.31290000000001</v>
      </c>
      <c r="K3803">
        <v>1.1105020000000001</v>
      </c>
      <c r="L3803">
        <v>140.7397</v>
      </c>
      <c r="M3803">
        <v>-0.99989589999999995</v>
      </c>
      <c r="N3803">
        <v>0</v>
      </c>
      <c r="O3803">
        <v>4.2950660000000001E-4</v>
      </c>
      <c r="P3803">
        <v>-0.96807679999999996</v>
      </c>
      <c r="Q3803">
        <v>0.24946670000000001</v>
      </c>
      <c r="R3803">
        <v>2.4368230000000001E-2</v>
      </c>
      <c r="S3803">
        <v>-3.1157530000000002</v>
      </c>
      <c r="T3803">
        <v>-7.7072139999999997E-2</v>
      </c>
      <c r="U3803">
        <v>0.21281430000000001</v>
      </c>
      <c r="V3803">
        <v>2.4024719999999999E-2</v>
      </c>
      <c r="W3803">
        <v>0.26339689999999999</v>
      </c>
      <c r="X3803">
        <v>0.96438829999999998</v>
      </c>
      <c r="Y3803">
        <v>6.7694889999999994E-2</v>
      </c>
      <c r="Z3803">
        <v>8.2554669999999896E-4</v>
      </c>
      <c r="AA3803">
        <v>0.99770579999999998</v>
      </c>
      <c r="AB3803">
        <v>32</v>
      </c>
      <c r="AC3803">
        <v>-44.569800000000001</v>
      </c>
      <c r="AD3803">
        <v>-1.110503147367</v>
      </c>
      <c r="AE3803">
        <v>3.0659999999999998</v>
      </c>
      <c r="AF3803">
        <v>3.0449732582876399</v>
      </c>
      <c r="AG3803">
        <v>-1.110503147367</v>
      </c>
      <c r="AH3803">
        <v>44.543590060686</v>
      </c>
      <c r="AI3803">
        <v>91.424804596519493</v>
      </c>
      <c r="AJ3803">
        <v>86.089378556945803</v>
      </c>
      <c r="AK3803">
        <v>44.661353482383902</v>
      </c>
      <c r="AL3803">
        <v>74.728281201900003</v>
      </c>
      <c r="AM3803">
        <v>88.572949910104299</v>
      </c>
      <c r="AN3803">
        <v>0.99999995363878802</v>
      </c>
    </row>
    <row r="3804" spans="1:40" x14ac:dyDescent="0.25">
      <c r="A3804" t="str">
        <f>"20190312154633240"</f>
        <v>20190312154633240</v>
      </c>
      <c r="B3804" t="str">
        <f>"1552376793231523"</f>
        <v>1552376793231523</v>
      </c>
      <c r="C3804" t="s">
        <v>40</v>
      </c>
      <c r="D3804">
        <v>4.2741439999999997</v>
      </c>
      <c r="E3804">
        <v>0.52183170000000001</v>
      </c>
      <c r="F3804" t="s">
        <v>42</v>
      </c>
      <c r="G3804">
        <v>-365.74779999999998</v>
      </c>
      <c r="H3804" s="1">
        <v>-2.8517210000000001E-6</v>
      </c>
      <c r="I3804">
        <v>143.5445</v>
      </c>
      <c r="J3804">
        <v>-325.63889999999998</v>
      </c>
      <c r="K3804">
        <v>1.1104989999999999</v>
      </c>
      <c r="L3804">
        <v>140.73990000000001</v>
      </c>
      <c r="M3804">
        <v>-0.99989589999999995</v>
      </c>
      <c r="N3804">
        <v>0</v>
      </c>
      <c r="O3804">
        <v>5.4229300000000001E-4</v>
      </c>
      <c r="P3804">
        <v>-0.96858049999999996</v>
      </c>
      <c r="Q3804">
        <v>0.24748339999999999</v>
      </c>
      <c r="R3804">
        <v>2.4573709999999999E-2</v>
      </c>
      <c r="S3804">
        <v>-3.1155400000000002</v>
      </c>
      <c r="T3804">
        <v>-8.5565329999999995E-2</v>
      </c>
      <c r="U3804">
        <v>0.2161255</v>
      </c>
      <c r="V3804">
        <v>2.411992E-2</v>
      </c>
      <c r="W3804">
        <v>0.26141789999999998</v>
      </c>
      <c r="X3804">
        <v>0.96492429999999996</v>
      </c>
      <c r="Y3804">
        <v>6.8637240000000002E-2</v>
      </c>
      <c r="Z3804">
        <v>9.2634599999999998E-4</v>
      </c>
      <c r="AA3804">
        <v>0.99764129999999995</v>
      </c>
      <c r="AB3804">
        <v>32</v>
      </c>
      <c r="AC3804">
        <v>-40.108899999999998</v>
      </c>
      <c r="AD3804">
        <v>-1.1105018517209999</v>
      </c>
      <c r="AE3804">
        <v>2.80459999999999</v>
      </c>
      <c r="AF3804">
        <v>2.7807252760433099</v>
      </c>
      <c r="AG3804">
        <v>-1.1105018517209999</v>
      </c>
      <c r="AH3804">
        <v>40.079840293921698</v>
      </c>
      <c r="AI3804">
        <v>91.583297890121699</v>
      </c>
      <c r="AJ3804">
        <v>86.031198728721606</v>
      </c>
      <c r="AK3804">
        <v>40.191532011230599</v>
      </c>
      <c r="AL3804">
        <v>74.845787996226704</v>
      </c>
      <c r="AM3804">
        <v>88.568092966673007</v>
      </c>
      <c r="AN3804">
        <v>0.99999999685585295</v>
      </c>
    </row>
    <row r="3805" spans="1:40" x14ac:dyDescent="0.25">
      <c r="A3805" t="str">
        <f>"20190312154633261"</f>
        <v>20190312154633261</v>
      </c>
      <c r="B3805" t="str">
        <f>"1552376793251044"</f>
        <v>1552376793251044</v>
      </c>
      <c r="C3805" t="s">
        <v>40</v>
      </c>
      <c r="D3805">
        <v>4.2767439999999999</v>
      </c>
      <c r="E3805">
        <v>0.52186980000000005</v>
      </c>
      <c r="F3805" t="s">
        <v>42</v>
      </c>
      <c r="G3805">
        <v>-363.11110000000002</v>
      </c>
      <c r="H3805" s="1">
        <v>-3.8812189999999997E-6</v>
      </c>
      <c r="I3805">
        <v>143.35910000000001</v>
      </c>
      <c r="J3805">
        <v>-325.95139999999998</v>
      </c>
      <c r="K3805">
        <v>1.1104969999999901</v>
      </c>
      <c r="L3805">
        <v>140.74019999999999</v>
      </c>
      <c r="M3805">
        <v>-0.99989600000000001</v>
      </c>
      <c r="N3805">
        <v>0</v>
      </c>
      <c r="O3805">
        <v>6.5019440000000002E-4</v>
      </c>
      <c r="P3805">
        <v>-0.96907089999999996</v>
      </c>
      <c r="Q3805">
        <v>0.24559510000000001</v>
      </c>
      <c r="R3805">
        <v>2.4192559999999998E-2</v>
      </c>
      <c r="S3805">
        <v>-3.1153870000000001</v>
      </c>
      <c r="T3805">
        <v>-9.2325809999999994E-2</v>
      </c>
      <c r="U3805">
        <v>0.21775820000000001</v>
      </c>
      <c r="V3805">
        <v>2.3633649999999999E-2</v>
      </c>
      <c r="W3805">
        <v>0.25953359999999998</v>
      </c>
      <c r="X3805">
        <v>0.96544490000000005</v>
      </c>
      <c r="Y3805">
        <v>6.9048949999999998E-2</v>
      </c>
      <c r="Z3805">
        <v>1.002434E-3</v>
      </c>
      <c r="AA3805">
        <v>0.99761279999999997</v>
      </c>
      <c r="AB3805">
        <v>32</v>
      </c>
      <c r="AC3805">
        <v>-37.159700000000001</v>
      </c>
      <c r="AD3805">
        <v>-1.11050088121899</v>
      </c>
      <c r="AE3805">
        <v>2.61890000000002</v>
      </c>
      <c r="AF3805">
        <v>2.5924320871089699</v>
      </c>
      <c r="AG3805">
        <v>-1.11050088121899</v>
      </c>
      <c r="AH3805">
        <v>37.128400135642998</v>
      </c>
      <c r="AI3805">
        <v>91.709032763314696</v>
      </c>
      <c r="AJ3805">
        <v>86.005894815512406</v>
      </c>
      <c r="AK3805">
        <v>37.235359713125902</v>
      </c>
      <c r="AL3805">
        <v>74.957611296035395</v>
      </c>
      <c r="AM3805">
        <v>88.5977055609942</v>
      </c>
      <c r="AN3805">
        <v>1.0000000469386401</v>
      </c>
    </row>
    <row r="3806" spans="1:40" x14ac:dyDescent="0.25">
      <c r="A3806" t="str">
        <f>"20190312154633284"</f>
        <v>20190312154633284</v>
      </c>
      <c r="B3806" t="str">
        <f>"1552376793271540"</f>
        <v>1552376793271540</v>
      </c>
      <c r="C3806" t="s">
        <v>40</v>
      </c>
      <c r="D3806">
        <v>4.369777</v>
      </c>
      <c r="E3806">
        <v>0.4941913</v>
      </c>
      <c r="F3806" t="s">
        <v>42</v>
      </c>
      <c r="G3806">
        <v>-360.88720000000001</v>
      </c>
      <c r="H3806" s="1">
        <v>-4.606115E-6</v>
      </c>
      <c r="I3806">
        <v>143.17930000000001</v>
      </c>
      <c r="J3806">
        <v>-326.26339999999999</v>
      </c>
      <c r="K3806">
        <v>1.1104959999999999</v>
      </c>
      <c r="L3806">
        <v>140.7405</v>
      </c>
      <c r="M3806">
        <v>-0.9998958</v>
      </c>
      <c r="N3806">
        <v>0</v>
      </c>
      <c r="O3806">
        <v>7.5839250000000005E-4</v>
      </c>
      <c r="P3806">
        <v>-0.96951920000000003</v>
      </c>
      <c r="Q3806">
        <v>0.24384430000000001</v>
      </c>
      <c r="R3806">
        <v>2.3924620000000001E-2</v>
      </c>
      <c r="S3806">
        <v>-3.1154169999999999</v>
      </c>
      <c r="T3806">
        <v>-9.9029539999999999E-2</v>
      </c>
      <c r="U3806">
        <v>0.21751400000000001</v>
      </c>
      <c r="V3806">
        <v>2.3259680000000001E-2</v>
      </c>
      <c r="W3806">
        <v>0.25778699999999999</v>
      </c>
      <c r="X3806">
        <v>0.96592180000000005</v>
      </c>
      <c r="Y3806">
        <v>6.8858150000000007E-2</v>
      </c>
      <c r="Z3806">
        <v>1.068715E-3</v>
      </c>
      <c r="AA3806">
        <v>0.99762589999999995</v>
      </c>
      <c r="AB3806">
        <v>32</v>
      </c>
      <c r="AC3806">
        <v>-34.623800000000003</v>
      </c>
      <c r="AD3806">
        <v>-1.110500606115</v>
      </c>
      <c r="AE3806">
        <v>2.4388000000000098</v>
      </c>
      <c r="AF3806">
        <v>2.4100711423713799</v>
      </c>
      <c r="AG3806">
        <v>-1.110500606115</v>
      </c>
      <c r="AH3806">
        <v>34.590232546695901</v>
      </c>
      <c r="AI3806">
        <v>91.834374134596104</v>
      </c>
      <c r="AJ3806">
        <v>86.014363264662094</v>
      </c>
      <c r="AK3806">
        <v>34.691869971824403</v>
      </c>
      <c r="AL3806">
        <v>75.061209588868905</v>
      </c>
      <c r="AM3806">
        <v>88.620567424179299</v>
      </c>
      <c r="AN3806">
        <v>1.0000000368989701</v>
      </c>
    </row>
    <row r="3807" spans="1:40" x14ac:dyDescent="0.25">
      <c r="A3807" t="str">
        <f>"20190312154633305"</f>
        <v>20190312154633305</v>
      </c>
      <c r="B3807" t="str">
        <f>"1552376793300820"</f>
        <v>1552376793300820</v>
      </c>
      <c r="C3807" t="s">
        <v>40</v>
      </c>
      <c r="D3807">
        <v>4.3237189999999996</v>
      </c>
      <c r="E3807">
        <v>0.47929129999999998</v>
      </c>
      <c r="F3807" t="s">
        <v>42</v>
      </c>
      <c r="G3807">
        <v>-362.84480000000002</v>
      </c>
      <c r="H3807" s="1">
        <v>-3.3391980000000001E-6</v>
      </c>
      <c r="I3807">
        <v>140.6962</v>
      </c>
      <c r="J3807">
        <v>-326.5693</v>
      </c>
      <c r="K3807">
        <v>1.1104959999999999</v>
      </c>
      <c r="L3807">
        <v>140.74080000000001</v>
      </c>
      <c r="M3807">
        <v>-0.9998958</v>
      </c>
      <c r="N3807">
        <v>0</v>
      </c>
      <c r="O3807">
        <v>8.6420569999999996E-4</v>
      </c>
      <c r="P3807">
        <v>-0.96969629999999996</v>
      </c>
      <c r="Q3807">
        <v>0.24321470000000001</v>
      </c>
      <c r="R3807">
        <v>2.3147190000000002E-2</v>
      </c>
      <c r="S3807">
        <v>-3.1182249999999998</v>
      </c>
      <c r="T3807">
        <v>-9.4659809999999997E-2</v>
      </c>
      <c r="U3807">
        <v>-3.7689210000000002E-3</v>
      </c>
      <c r="V3807">
        <v>2.2379309999999999E-2</v>
      </c>
      <c r="W3807">
        <v>0.25715710000000003</v>
      </c>
      <c r="X3807">
        <v>0.96611049999999998</v>
      </c>
      <c r="Y3807">
        <v>-2.0716160000000001E-3</v>
      </c>
      <c r="Z3807" s="1">
        <v>-5.7668060000000002E-5</v>
      </c>
      <c r="AA3807">
        <v>0.9999979</v>
      </c>
      <c r="AB3807">
        <v>32</v>
      </c>
      <c r="AC3807">
        <v>-36.275500000000001</v>
      </c>
      <c r="AD3807">
        <v>-1.110499339198</v>
      </c>
      <c r="AE3807">
        <v>-4.4600000000002603E-2</v>
      </c>
      <c r="AF3807">
        <v>-7.5881619994575794E-2</v>
      </c>
      <c r="AG3807">
        <v>-1.110499339198</v>
      </c>
      <c r="AH3807">
        <v>36.241484194261297</v>
      </c>
      <c r="AI3807">
        <v>91.755084959301897</v>
      </c>
      <c r="AJ3807">
        <v>90.119964463699006</v>
      </c>
      <c r="AK3807">
        <v>36.258573377968197</v>
      </c>
      <c r="AL3807">
        <v>75.098559665480906</v>
      </c>
      <c r="AM3807">
        <v>88.673018520161193</v>
      </c>
      <c r="AN3807">
        <v>1.0000000529033599</v>
      </c>
    </row>
    <row r="3808" spans="1:40" x14ac:dyDescent="0.25">
      <c r="A3808" t="str">
        <f>"20190312154633328"</f>
        <v>20190312154633328</v>
      </c>
      <c r="B3808" t="str">
        <f>"1552376793321319"</f>
        <v>1552376793321319</v>
      </c>
      <c r="C3808" t="s">
        <v>40</v>
      </c>
      <c r="D3808">
        <v>4.2499459999999996</v>
      </c>
      <c r="E3808">
        <v>0.47648040000000003</v>
      </c>
      <c r="F3808" t="s">
        <v>42</v>
      </c>
      <c r="G3808">
        <v>-370.30399999999997</v>
      </c>
      <c r="H3808" s="1">
        <v>-4.2525270000000001E-6</v>
      </c>
      <c r="I3808">
        <v>138.9924</v>
      </c>
      <c r="J3808">
        <v>-326.89440000000002</v>
      </c>
      <c r="K3808">
        <v>1.110498</v>
      </c>
      <c r="L3808">
        <v>140.74119999999999</v>
      </c>
      <c r="M3808">
        <v>-0.99989589999999995</v>
      </c>
      <c r="N3808">
        <v>0</v>
      </c>
      <c r="O3808">
        <v>9.7663510000000004E-4</v>
      </c>
      <c r="P3808">
        <v>-0.96990229999999999</v>
      </c>
      <c r="Q3808">
        <v>0.24247650000000001</v>
      </c>
      <c r="R3808">
        <v>2.2243700000000002E-2</v>
      </c>
      <c r="S3808">
        <v>-3.1166079999999998</v>
      </c>
      <c r="T3808">
        <v>-7.9136129999999999E-2</v>
      </c>
      <c r="U3808">
        <v>-0.124588</v>
      </c>
      <c r="V3808">
        <v>2.1366130000000001E-2</v>
      </c>
      <c r="W3808">
        <v>0.25641839999999999</v>
      </c>
      <c r="X3808">
        <v>0.96632969999999896</v>
      </c>
      <c r="Y3808">
        <v>-4.0906079999999997E-2</v>
      </c>
      <c r="Z3808">
        <v>-5.43835E-4</v>
      </c>
      <c r="AA3808">
        <v>0.99916289999999996</v>
      </c>
      <c r="AB3808">
        <v>32</v>
      </c>
      <c r="AC3808">
        <v>-43.409599999999998</v>
      </c>
      <c r="AD3808">
        <v>-1.1105022525270001</v>
      </c>
      <c r="AE3808">
        <v>-1.7487999999999799</v>
      </c>
      <c r="AF3808">
        <v>-1.7900293365811599</v>
      </c>
      <c r="AG3808">
        <v>-1.1105022525270001</v>
      </c>
      <c r="AH3808">
        <v>43.379528042883798</v>
      </c>
      <c r="AI3808">
        <v>91.465187274463105</v>
      </c>
      <c r="AJ3808">
        <v>92.362934274786198</v>
      </c>
      <c r="AK3808">
        <v>43.4306444057883</v>
      </c>
      <c r="AL3808">
        <v>75.142351695724699</v>
      </c>
      <c r="AM3808">
        <v>88.733362289577798</v>
      </c>
      <c r="AN3808">
        <v>0.99999999823591301</v>
      </c>
    </row>
    <row r="3809" spans="1:40" x14ac:dyDescent="0.25">
      <c r="A3809" t="str">
        <f>"20190312154633351"</f>
        <v>20190312154633351</v>
      </c>
      <c r="B3809" t="str">
        <f>"1552376793340836"</f>
        <v>1552376793340836</v>
      </c>
      <c r="C3809" t="s">
        <v>40</v>
      </c>
      <c r="D3809">
        <v>4.2613830000000004</v>
      </c>
      <c r="E3809">
        <v>0.47523349999999998</v>
      </c>
      <c r="F3809" t="s">
        <v>42</v>
      </c>
      <c r="G3809">
        <v>-365.68700000000001</v>
      </c>
      <c r="H3809" s="1">
        <v>-1.9639750000000001E-6</v>
      </c>
      <c r="I3809">
        <v>138.87530000000001</v>
      </c>
      <c r="J3809">
        <v>-327.21820000000002</v>
      </c>
      <c r="K3809">
        <v>1.110495</v>
      </c>
      <c r="L3809">
        <v>140.74170000000001</v>
      </c>
      <c r="M3809">
        <v>-0.99989570000000005</v>
      </c>
      <c r="N3809">
        <v>0</v>
      </c>
      <c r="O3809">
        <v>1.088707E-3</v>
      </c>
      <c r="P3809">
        <v>-0.97003930000000005</v>
      </c>
      <c r="Q3809">
        <v>0.24198439999999999</v>
      </c>
      <c r="R3809">
        <v>2.1613719999999999E-2</v>
      </c>
      <c r="S3809">
        <v>-3.1188660000000001</v>
      </c>
      <c r="T3809">
        <v>-8.9282509999999995E-2</v>
      </c>
      <c r="U3809">
        <v>-0.15000920000000001</v>
      </c>
      <c r="V3809">
        <v>2.062698E-2</v>
      </c>
      <c r="W3809">
        <v>0.25592569999999998</v>
      </c>
      <c r="X3809">
        <v>0.96647640000000001</v>
      </c>
      <c r="Y3809">
        <v>-4.9108819999999997E-2</v>
      </c>
      <c r="Z3809">
        <v>-7.3350450000000001E-4</v>
      </c>
      <c r="AA3809">
        <v>0.99879320000000005</v>
      </c>
      <c r="AB3809">
        <v>32</v>
      </c>
      <c r="AC3809">
        <v>-38.468799999999902</v>
      </c>
      <c r="AD3809">
        <v>-1.110496963975</v>
      </c>
      <c r="AE3809">
        <v>-1.8663999999999901</v>
      </c>
      <c r="AF3809">
        <v>-1.9066993093343401</v>
      </c>
      <c r="AG3809">
        <v>-1.110496963975</v>
      </c>
      <c r="AH3809">
        <v>38.434791341744202</v>
      </c>
      <c r="AI3809">
        <v>91.652955730380199</v>
      </c>
      <c r="AJ3809">
        <v>92.8400397855889</v>
      </c>
      <c r="AK3809">
        <v>38.498076461644601</v>
      </c>
      <c r="AL3809">
        <v>75.171556376043796</v>
      </c>
      <c r="AM3809">
        <v>88.777352965453403</v>
      </c>
      <c r="AN3809">
        <v>1.00000003399068</v>
      </c>
    </row>
    <row r="3810" spans="1:40" x14ac:dyDescent="0.25">
      <c r="A3810" t="str">
        <f>"20190312154633374"</f>
        <v>20190312154633374</v>
      </c>
      <c r="B3810" t="str">
        <f>"1552376793371092"</f>
        <v>1552376793371092</v>
      </c>
      <c r="C3810" t="s">
        <v>40</v>
      </c>
      <c r="D3810">
        <v>4.3335540000000004</v>
      </c>
      <c r="E3810">
        <v>0.47396309999999903</v>
      </c>
      <c r="F3810" t="s">
        <v>42</v>
      </c>
      <c r="G3810">
        <v>-364.46339999999998</v>
      </c>
      <c r="H3810" s="1">
        <v>-2.5001290000000002E-6</v>
      </c>
      <c r="I3810">
        <v>138.81209999999999</v>
      </c>
      <c r="J3810">
        <v>-327.5419</v>
      </c>
      <c r="K3810">
        <v>1.1104909999999999</v>
      </c>
      <c r="L3810">
        <v>140.74209999999999</v>
      </c>
      <c r="M3810">
        <v>-0.9998956</v>
      </c>
      <c r="N3810">
        <v>0</v>
      </c>
      <c r="O3810">
        <v>1.2009569999999999E-3</v>
      </c>
      <c r="P3810">
        <v>-0.97033740000000002</v>
      </c>
      <c r="Q3810">
        <v>0.2408218</v>
      </c>
      <c r="R3810">
        <v>2.1219970000000001E-2</v>
      </c>
      <c r="S3810">
        <v>-3.1194459999999999</v>
      </c>
      <c r="T3810">
        <v>-9.3009110000000006E-2</v>
      </c>
      <c r="U3810">
        <v>-0.16160579999999999</v>
      </c>
      <c r="V3810">
        <v>2.0123619999999998E-2</v>
      </c>
      <c r="W3810">
        <v>0.25476379999999998</v>
      </c>
      <c r="X3810">
        <v>0.96679389999999998</v>
      </c>
      <c r="Y3810">
        <v>-5.2912019999999997E-2</v>
      </c>
      <c r="Z3810">
        <v>-8.2388640000000005E-4</v>
      </c>
      <c r="AA3810">
        <v>0.99859880000000001</v>
      </c>
      <c r="AB3810">
        <v>32</v>
      </c>
      <c r="AC3810">
        <v>-36.921499999999902</v>
      </c>
      <c r="AD3810">
        <v>-1.1104935001289999</v>
      </c>
      <c r="AE3810">
        <v>-1.93</v>
      </c>
      <c r="AF3810">
        <v>-1.9725647511183499</v>
      </c>
      <c r="AG3810">
        <v>-1.1104935001289999</v>
      </c>
      <c r="AH3810">
        <v>36.885877955807899</v>
      </c>
      <c r="AI3810">
        <v>91.721978086788098</v>
      </c>
      <c r="AJ3810">
        <v>93.061119493766398</v>
      </c>
      <c r="AK3810">
        <v>36.955272967222598</v>
      </c>
      <c r="AL3810">
        <v>75.240410345167007</v>
      </c>
      <c r="AM3810">
        <v>88.807572096432395</v>
      </c>
      <c r="AN3810">
        <v>0.99999999947477702</v>
      </c>
    </row>
    <row r="3811" spans="1:40" x14ac:dyDescent="0.25">
      <c r="A3811" t="str">
        <f>"20190312154633396"</f>
        <v>20190312154633396</v>
      </c>
      <c r="B3811" t="str">
        <f>"1552376793391588"</f>
        <v>1552376793391588</v>
      </c>
      <c r="C3811" t="s">
        <v>40</v>
      </c>
      <c r="D3811">
        <v>4.3137740000000004</v>
      </c>
      <c r="E3811">
        <v>0.47305629999999999</v>
      </c>
      <c r="F3811" t="s">
        <v>42</v>
      </c>
      <c r="G3811">
        <v>-363.34019999999998</v>
      </c>
      <c r="H3811" s="1">
        <v>-2.9909839999999998E-6</v>
      </c>
      <c r="I3811">
        <v>138.76140000000001</v>
      </c>
      <c r="J3811">
        <v>-327.8528</v>
      </c>
      <c r="K3811">
        <v>1.1104879999999999</v>
      </c>
      <c r="L3811">
        <v>140.74260000000001</v>
      </c>
      <c r="M3811">
        <v>-0.9998956</v>
      </c>
      <c r="N3811">
        <v>0</v>
      </c>
      <c r="O3811">
        <v>1.3086180000000001E-3</v>
      </c>
      <c r="P3811">
        <v>-0.97052289999999997</v>
      </c>
      <c r="Q3811">
        <v>0.24009510000000001</v>
      </c>
      <c r="R3811">
        <v>2.0971070000000001E-2</v>
      </c>
      <c r="S3811">
        <v>-3.119507</v>
      </c>
      <c r="T3811">
        <v>-9.6769930000000004E-2</v>
      </c>
      <c r="U3811">
        <v>-0.1725922</v>
      </c>
      <c r="V3811">
        <v>1.976955E-2</v>
      </c>
      <c r="W3811">
        <v>0.25403700000000001</v>
      </c>
      <c r="X3811">
        <v>0.96699239999999997</v>
      </c>
      <c r="Y3811">
        <v>-5.6521229999999999E-2</v>
      </c>
      <c r="Z3811">
        <v>-9.1634829999999998E-4</v>
      </c>
      <c r="AA3811">
        <v>0.99840099999999998</v>
      </c>
      <c r="AB3811">
        <v>32</v>
      </c>
      <c r="AC3811">
        <v>-35.487399999999901</v>
      </c>
      <c r="AD3811">
        <v>-1.1104909909839999</v>
      </c>
      <c r="AE3811">
        <v>-1.9812000000000001</v>
      </c>
      <c r="AF3811">
        <v>-2.0256651474790601</v>
      </c>
      <c r="AG3811">
        <v>-1.1104909909839999</v>
      </c>
      <c r="AH3811">
        <v>35.450170933055297</v>
      </c>
      <c r="AI3811">
        <v>91.791306697789906</v>
      </c>
      <c r="AJ3811">
        <v>93.2703930274063</v>
      </c>
      <c r="AK3811">
        <v>35.5253589526356</v>
      </c>
      <c r="AL3811">
        <v>75.283469125059597</v>
      </c>
      <c r="AM3811">
        <v>88.828787068637595</v>
      </c>
      <c r="AN3811">
        <v>0.99999996706698002</v>
      </c>
    </row>
    <row r="3812" spans="1:40" x14ac:dyDescent="0.25">
      <c r="A3812" t="str">
        <f>"20190312154633422"</f>
        <v>20190312154633422</v>
      </c>
      <c r="B3812" t="str">
        <f>"1552376793411108"</f>
        <v>1552376793411108</v>
      </c>
      <c r="C3812" t="s">
        <v>40</v>
      </c>
      <c r="D3812">
        <v>4.2920429999999996</v>
      </c>
      <c r="E3812">
        <v>0.47255209999999997</v>
      </c>
      <c r="F3812" t="s">
        <v>42</v>
      </c>
      <c r="G3812">
        <v>-362.91849999999999</v>
      </c>
      <c r="H3812" s="1">
        <v>-3.1788719999999998E-6</v>
      </c>
      <c r="I3812">
        <v>138.72200000000001</v>
      </c>
      <c r="J3812">
        <v>-328.22160000000002</v>
      </c>
      <c r="K3812">
        <v>1.110484</v>
      </c>
      <c r="L3812">
        <v>140.7432</v>
      </c>
      <c r="M3812">
        <v>-0.99989539999999999</v>
      </c>
      <c r="N3812">
        <v>0</v>
      </c>
      <c r="O3812">
        <v>1.436131E-3</v>
      </c>
      <c r="P3812">
        <v>-0.97031179999999995</v>
      </c>
      <c r="Q3812">
        <v>0.2409501</v>
      </c>
      <c r="R3812">
        <v>2.0931399999999999E-2</v>
      </c>
      <c r="S3812">
        <v>-3.1194459999999999</v>
      </c>
      <c r="T3812">
        <v>-9.8789569999999993E-2</v>
      </c>
      <c r="U3812">
        <v>-0.17974849999999901</v>
      </c>
      <c r="V3812">
        <v>1.9606579999999998E-2</v>
      </c>
      <c r="W3812">
        <v>0.25488470000000002</v>
      </c>
      <c r="X3812">
        <v>0.96677270000000004</v>
      </c>
      <c r="Y3812">
        <v>-5.8930200000000002E-2</v>
      </c>
      <c r="Z3812">
        <v>-9.7755949999999998E-4</v>
      </c>
      <c r="AA3812">
        <v>0.99826159999999997</v>
      </c>
      <c r="AB3812">
        <v>32</v>
      </c>
      <c r="AC3812">
        <v>-34.6968999999999</v>
      </c>
      <c r="AD3812">
        <v>-1.1104871788719901</v>
      </c>
      <c r="AE3812">
        <v>-2.0211999999999901</v>
      </c>
      <c r="AF3812">
        <v>-2.0689202518526399</v>
      </c>
      <c r="AG3812">
        <v>-1.1104871788719901</v>
      </c>
      <c r="AH3812">
        <v>34.658578968971298</v>
      </c>
      <c r="AI3812">
        <v>91.831913636569197</v>
      </c>
      <c r="AJ3812">
        <v>93.416178609597296</v>
      </c>
      <c r="AK3812">
        <v>34.738029721493803</v>
      </c>
      <c r="AL3812">
        <v>75.233247423152093</v>
      </c>
      <c r="AM3812">
        <v>88.838175395927493</v>
      </c>
      <c r="AN3812">
        <v>1.0000000408693299</v>
      </c>
    </row>
    <row r="3813" spans="1:40" x14ac:dyDescent="0.25">
      <c r="A3813" t="str">
        <f>"20190312154633443"</f>
        <v>20190312154633443</v>
      </c>
      <c r="B3813" t="str">
        <f>"1552376793431604"</f>
        <v>1552376793431604</v>
      </c>
      <c r="C3813" t="s">
        <v>40</v>
      </c>
      <c r="D3813">
        <v>4.470262</v>
      </c>
      <c r="E3813">
        <v>0.4724508</v>
      </c>
      <c r="F3813" t="s">
        <v>42</v>
      </c>
      <c r="G3813">
        <v>-364.09120000000001</v>
      </c>
      <c r="H3813" s="1">
        <v>-2.6914350000000001E-6</v>
      </c>
      <c r="I3813">
        <v>138.63380000000001</v>
      </c>
      <c r="J3813">
        <v>-328.51499999999999</v>
      </c>
      <c r="K3813">
        <v>1.11049</v>
      </c>
      <c r="L3813">
        <v>140.74369999999999</v>
      </c>
      <c r="M3813">
        <v>-0.99989539999999999</v>
      </c>
      <c r="N3813">
        <v>0</v>
      </c>
      <c r="O3813">
        <v>1.5378900000000001E-3</v>
      </c>
      <c r="P3813">
        <v>-0.97017810000000004</v>
      </c>
      <c r="Q3813">
        <v>0.24151049999999999</v>
      </c>
      <c r="R3813">
        <v>2.067507E-2</v>
      </c>
      <c r="S3813">
        <v>-3.11972</v>
      </c>
      <c r="T3813">
        <v>-9.6583489999999994E-2</v>
      </c>
      <c r="U3813">
        <v>-0.18345639999999999</v>
      </c>
      <c r="V3813">
        <v>1.9251810000000001E-2</v>
      </c>
      <c r="W3813">
        <v>0.25544070000000002</v>
      </c>
      <c r="X3813">
        <v>0.96663299999999996</v>
      </c>
      <c r="Y3813">
        <v>-6.0209829999999999E-2</v>
      </c>
      <c r="Z3813">
        <v>-9.785563000000001E-4</v>
      </c>
      <c r="AA3813">
        <v>0.99818530000000005</v>
      </c>
      <c r="AB3813">
        <v>32</v>
      </c>
      <c r="AC3813">
        <v>-35.5762</v>
      </c>
      <c r="AD3813">
        <v>-1.110492691435</v>
      </c>
      <c r="AE3813">
        <v>-2.1098999999999801</v>
      </c>
      <c r="AF3813">
        <v>-2.1625157962442301</v>
      </c>
      <c r="AG3813">
        <v>-1.110492691435</v>
      </c>
      <c r="AH3813">
        <v>35.538407522458101</v>
      </c>
      <c r="AI3813">
        <v>91.786475439863196</v>
      </c>
      <c r="AJ3813">
        <v>93.482160542204198</v>
      </c>
      <c r="AK3813">
        <v>35.621455301812802</v>
      </c>
      <c r="AL3813">
        <v>75.200299289191193</v>
      </c>
      <c r="AM3813">
        <v>88.859027521041995</v>
      </c>
      <c r="AN3813">
        <v>0.99999997004688201</v>
      </c>
    </row>
    <row r="3814" spans="1:40" x14ac:dyDescent="0.25">
      <c r="A3814" t="str">
        <f>"20190312154633585"</f>
        <v>20190312154633585</v>
      </c>
      <c r="B3814" t="str">
        <f>"1552376793580932"</f>
        <v>1552376793580932</v>
      </c>
      <c r="C3814" t="s">
        <v>40</v>
      </c>
      <c r="D3814">
        <v>4.1413669999999998</v>
      </c>
      <c r="E3814">
        <v>0.46837980000000001</v>
      </c>
      <c r="F3814" t="s">
        <v>42</v>
      </c>
      <c r="G3814">
        <v>-365.2688</v>
      </c>
      <c r="H3814" s="1">
        <v>-2.1978380000000001E-6</v>
      </c>
      <c r="I3814">
        <v>138.5684</v>
      </c>
      <c r="J3814">
        <v>-330.51249999999999</v>
      </c>
      <c r="K3814">
        <v>1.110482</v>
      </c>
      <c r="L3814">
        <v>140.74809999999999</v>
      </c>
      <c r="M3814">
        <v>-0.99989430000000001</v>
      </c>
      <c r="N3814">
        <v>0</v>
      </c>
      <c r="O3814">
        <v>2.2304349999999998E-3</v>
      </c>
      <c r="P3814">
        <v>-0.97141599999999995</v>
      </c>
      <c r="Q3814">
        <v>0.2367001</v>
      </c>
      <c r="R3814">
        <v>1.8010399999999999E-2</v>
      </c>
      <c r="S3814">
        <v>-3.1196290000000002</v>
      </c>
      <c r="T3814">
        <v>-9.4257590000000002E-2</v>
      </c>
      <c r="U3814">
        <v>-0.1846313</v>
      </c>
      <c r="V3814">
        <v>1.5911249999999998E-2</v>
      </c>
      <c r="W3814">
        <v>0.25062869999999998</v>
      </c>
      <c r="X3814">
        <v>0.96795249999999999</v>
      </c>
      <c r="Y3814">
        <v>-6.1278119999999998E-2</v>
      </c>
      <c r="Z3814">
        <v>-9.9204470000000011E-4</v>
      </c>
      <c r="AA3814">
        <v>0.99812020000000001</v>
      </c>
      <c r="AB3814">
        <v>31</v>
      </c>
      <c r="AC3814">
        <v>-34.756300000000003</v>
      </c>
      <c r="AD3814">
        <v>-1.110484197838</v>
      </c>
      <c r="AE3814">
        <v>-2.1796999999999902</v>
      </c>
      <c r="AF3814">
        <v>-2.2549313409250402</v>
      </c>
      <c r="AG3814">
        <v>-1.110484197838</v>
      </c>
      <c r="AH3814">
        <v>34.716050651751502</v>
      </c>
      <c r="AI3814">
        <v>91.828281459502094</v>
      </c>
      <c r="AJ3814">
        <v>93.716344774359698</v>
      </c>
      <c r="AK3814">
        <v>34.806925508595398</v>
      </c>
      <c r="AL3814">
        <v>75.485281147997497</v>
      </c>
      <c r="AM3814">
        <v>89.058254022618101</v>
      </c>
      <c r="AN3814">
        <v>0.999999977698251</v>
      </c>
    </row>
    <row r="3815" spans="1:40" x14ac:dyDescent="0.25">
      <c r="A3815" t="str">
        <f>"20190312154633609"</f>
        <v>20190312154633609</v>
      </c>
      <c r="B3815" t="str">
        <f>"1552376793601429"</f>
        <v>1552376793601429</v>
      </c>
      <c r="C3815" t="s">
        <v>40</v>
      </c>
      <c r="D3815">
        <v>4.2461039999999999</v>
      </c>
      <c r="E3815">
        <v>0.46805980000000003</v>
      </c>
      <c r="F3815" t="s">
        <v>41</v>
      </c>
      <c r="G3815">
        <v>-331.40649999999999</v>
      </c>
      <c r="H3815">
        <v>0.83414189999999999</v>
      </c>
      <c r="I3815">
        <v>140.6816</v>
      </c>
      <c r="J3815">
        <v>-330.83859999999999</v>
      </c>
      <c r="K3815">
        <v>1.110479</v>
      </c>
      <c r="L3815">
        <v>140.749</v>
      </c>
      <c r="M3815">
        <v>-0.99989419999999996</v>
      </c>
      <c r="N3815">
        <v>0</v>
      </c>
      <c r="O3815">
        <v>2.343758E-3</v>
      </c>
      <c r="P3815">
        <v>-0.97169229999999995</v>
      </c>
      <c r="Q3815">
        <v>0.23558399999999999</v>
      </c>
      <c r="R3815">
        <v>1.7734090000000001E-2</v>
      </c>
      <c r="S3815">
        <v>-3.34491</v>
      </c>
      <c r="T3815">
        <v>-1.033892</v>
      </c>
      <c r="U3815">
        <v>-0.25018309999999999</v>
      </c>
      <c r="V3815">
        <v>1.552369E-2</v>
      </c>
      <c r="W3815">
        <v>0.24951329999999999</v>
      </c>
      <c r="X3815">
        <v>0.96824690000000002</v>
      </c>
      <c r="Y3815">
        <v>-7.3407109999999998E-2</v>
      </c>
      <c r="Z3815">
        <v>-1.1778759999999999E-2</v>
      </c>
      <c r="AA3815">
        <v>0.99723249999999997</v>
      </c>
      <c r="AB3815">
        <v>31</v>
      </c>
      <c r="AC3815">
        <v>-0.56790000000000795</v>
      </c>
      <c r="AD3815">
        <v>-0.276337099999999</v>
      </c>
      <c r="AE3815">
        <v>-6.7399999999992105E-2</v>
      </c>
      <c r="AF3815">
        <v>-5.57209377785692E-2</v>
      </c>
      <c r="AG3815">
        <v>-0.276337099999999</v>
      </c>
      <c r="AH3815">
        <v>0.46027328759703301</v>
      </c>
      <c r="AI3815">
        <v>120.795976292638</v>
      </c>
      <c r="AJ3815">
        <v>96.902668373175402</v>
      </c>
      <c r="AK3815">
        <v>0.53973930282935101</v>
      </c>
      <c r="AL3815">
        <v>75.551285826755006</v>
      </c>
      <c r="AM3815">
        <v>89.081468042027296</v>
      </c>
      <c r="AN3815">
        <v>0.99999996559385695</v>
      </c>
    </row>
    <row r="3816" spans="1:40" x14ac:dyDescent="0.25">
      <c r="A3816" t="str">
        <f>"20190312154633631"</f>
        <v>20190312154633631</v>
      </c>
      <c r="B3816" t="str">
        <f>"1552376793620948"</f>
        <v>1552376793620948</v>
      </c>
      <c r="C3816" t="s">
        <v>40</v>
      </c>
      <c r="D3816">
        <v>4.5383870000000002</v>
      </c>
      <c r="E3816">
        <v>0.46819509999999998</v>
      </c>
      <c r="F3816" t="s">
        <v>41</v>
      </c>
      <c r="G3816">
        <v>-331.70490000000001</v>
      </c>
      <c r="H3816">
        <v>0.87861699999999998</v>
      </c>
      <c r="I3816">
        <v>140.684</v>
      </c>
      <c r="J3816">
        <v>-331.15620000000001</v>
      </c>
      <c r="K3816">
        <v>1.1104719999999999</v>
      </c>
      <c r="L3816">
        <v>140.74979999999999</v>
      </c>
      <c r="M3816">
        <v>-0.99989399999999995</v>
      </c>
      <c r="N3816">
        <v>0</v>
      </c>
      <c r="O3816">
        <v>2.453925E-3</v>
      </c>
      <c r="P3816">
        <v>-0.9717133</v>
      </c>
      <c r="Q3816">
        <v>0.23547599999999999</v>
      </c>
      <c r="R3816">
        <v>1.8020330000000001E-2</v>
      </c>
      <c r="S3816">
        <v>-3.3064580000000001</v>
      </c>
      <c r="T3816">
        <v>-0.884961</v>
      </c>
      <c r="U3816">
        <v>-0.24842829999999999</v>
      </c>
      <c r="V3816">
        <v>1.5702899999999999E-2</v>
      </c>
      <c r="W3816">
        <v>0.2494024</v>
      </c>
      <c r="X3816">
        <v>0.96827260000000004</v>
      </c>
      <c r="Y3816">
        <v>-7.4670399999999998E-2</v>
      </c>
      <c r="Z3816">
        <v>-1.045133E-2</v>
      </c>
      <c r="AA3816">
        <v>0.99715350000000003</v>
      </c>
      <c r="AB3816">
        <v>31</v>
      </c>
      <c r="AC3816">
        <v>-0.54869999999999597</v>
      </c>
      <c r="AD3816">
        <v>-0.23185499999999901</v>
      </c>
      <c r="AE3816">
        <v>-6.5799999999995806E-2</v>
      </c>
      <c r="AF3816">
        <v>-5.7096315860764899E-2</v>
      </c>
      <c r="AG3816">
        <v>-0.23185499999999901</v>
      </c>
      <c r="AH3816">
        <v>0.46643497929151001</v>
      </c>
      <c r="AI3816">
        <v>116.261551710947</v>
      </c>
      <c r="AJ3816">
        <v>96.978858238022795</v>
      </c>
      <c r="AK3816">
        <v>0.52400221394240698</v>
      </c>
      <c r="AL3816">
        <v>75.557847625365596</v>
      </c>
      <c r="AM3816">
        <v>89.070890746662101</v>
      </c>
      <c r="AN3816">
        <v>0.99999998305246496</v>
      </c>
    </row>
    <row r="3817" spans="1:40" x14ac:dyDescent="0.25">
      <c r="A3817" t="str">
        <f>"20190312154633656"</f>
        <v>20190312154633656</v>
      </c>
      <c r="B3817" t="str">
        <f>"1552376793651204"</f>
        <v>1552376793651204</v>
      </c>
      <c r="C3817" t="s">
        <v>40</v>
      </c>
      <c r="D3817">
        <v>4.6233019999999998</v>
      </c>
      <c r="E3817">
        <v>0.46598410000000001</v>
      </c>
      <c r="F3817" t="s">
        <v>41</v>
      </c>
      <c r="G3817">
        <v>-331.99770000000001</v>
      </c>
      <c r="H3817">
        <v>0.91107510000000003</v>
      </c>
      <c r="I3817">
        <v>140.6875</v>
      </c>
      <c r="J3817">
        <v>-331.4982</v>
      </c>
      <c r="K3817">
        <v>1.1104830000000001</v>
      </c>
      <c r="L3817">
        <v>140.7508</v>
      </c>
      <c r="M3817">
        <v>-0.9998937</v>
      </c>
      <c r="N3817">
        <v>0</v>
      </c>
      <c r="O3817">
        <v>2.5727940000000002E-3</v>
      </c>
      <c r="P3817">
        <v>-0.97167579999999998</v>
      </c>
      <c r="Q3817">
        <v>0.2356481</v>
      </c>
      <c r="R3817">
        <v>1.778132E-2</v>
      </c>
      <c r="S3817">
        <v>-3.280243</v>
      </c>
      <c r="T3817">
        <v>-0.77729059999999905</v>
      </c>
      <c r="U3817">
        <v>-0.24348449999999999</v>
      </c>
      <c r="V3817">
        <v>1.5348229999999999E-2</v>
      </c>
      <c r="W3817">
        <v>0.24957099999999999</v>
      </c>
      <c r="X3817">
        <v>0.96823490000000001</v>
      </c>
      <c r="Y3817">
        <v>-7.4467710000000006E-2</v>
      </c>
      <c r="Z3817">
        <v>-9.2916219999999994E-3</v>
      </c>
      <c r="AA3817">
        <v>0.99718019999999996</v>
      </c>
      <c r="AB3817">
        <v>31</v>
      </c>
      <c r="AC3817">
        <v>-0.49950000000001099</v>
      </c>
      <c r="AD3817">
        <v>-0.199407899999999</v>
      </c>
      <c r="AE3817">
        <v>-6.3299999999998094E-2</v>
      </c>
      <c r="AF3817">
        <v>-5.5828181505120103E-2</v>
      </c>
      <c r="AG3817">
        <v>-0.199407899999999</v>
      </c>
      <c r="AH3817">
        <v>0.43163237480564798</v>
      </c>
      <c r="AI3817">
        <v>114.615781643565</v>
      </c>
      <c r="AJ3817">
        <v>97.369833231151802</v>
      </c>
      <c r="AK3817">
        <v>0.478734585561709</v>
      </c>
      <c r="AL3817">
        <v>75.547872908375794</v>
      </c>
      <c r="AM3817">
        <v>89.091836954062899</v>
      </c>
      <c r="AN3817">
        <v>1.00000003689157</v>
      </c>
    </row>
    <row r="3818" spans="1:40" x14ac:dyDescent="0.25">
      <c r="A3818" t="str">
        <f>"20190312154633686"</f>
        <v>20190312154633686</v>
      </c>
      <c r="B3818" t="str">
        <f>"1552376793681460"</f>
        <v>1552376793681460</v>
      </c>
      <c r="C3818" t="s">
        <v>40</v>
      </c>
      <c r="D3818">
        <v>4.5336720000000001</v>
      </c>
      <c r="E3818">
        <v>0.46577439999999998</v>
      </c>
      <c r="F3818" t="s">
        <v>41</v>
      </c>
      <c r="G3818">
        <v>-332.29539999999997</v>
      </c>
      <c r="H3818">
        <v>0.95510479999999998</v>
      </c>
      <c r="I3818">
        <v>140.6875</v>
      </c>
      <c r="J3818">
        <v>-331.90960000000001</v>
      </c>
      <c r="K3818">
        <v>1.1104889999999901</v>
      </c>
      <c r="L3818">
        <v>140.75200000000001</v>
      </c>
      <c r="M3818">
        <v>-0.99989340000000004</v>
      </c>
      <c r="N3818">
        <v>0</v>
      </c>
      <c r="O3818">
        <v>2.715748E-3</v>
      </c>
      <c r="P3818">
        <v>-0.97163149999999998</v>
      </c>
      <c r="Q3818">
        <v>0.23574049999999999</v>
      </c>
      <c r="R3818">
        <v>1.8949089999999998E-2</v>
      </c>
      <c r="S3818">
        <v>-3.2455440000000002</v>
      </c>
      <c r="T3818">
        <v>-0.63254129999999997</v>
      </c>
      <c r="U3818">
        <v>-0.2579803</v>
      </c>
      <c r="V3818">
        <v>1.6377249999999999E-2</v>
      </c>
      <c r="W3818">
        <v>0.24965780000000001</v>
      </c>
      <c r="X3818">
        <v>0.96819560000000005</v>
      </c>
      <c r="Y3818">
        <v>-8.0390799999999998E-2</v>
      </c>
      <c r="Z3818">
        <v>-8.2726169999999995E-3</v>
      </c>
      <c r="AA3818">
        <v>0.99672910000000003</v>
      </c>
      <c r="AB3818">
        <v>31</v>
      </c>
      <c r="AC3818">
        <v>-0.38579999999996001</v>
      </c>
      <c r="AD3818">
        <v>-0.155384199999999</v>
      </c>
      <c r="AE3818">
        <v>-6.4500000000009494E-2</v>
      </c>
      <c r="AF3818">
        <v>-5.6613751506821103E-2</v>
      </c>
      <c r="AG3818">
        <v>-0.155384199999999</v>
      </c>
      <c r="AH3818">
        <v>0.33306459922579601</v>
      </c>
      <c r="AI3818">
        <v>114.699200868437</v>
      </c>
      <c r="AJ3818">
        <v>99.646836437849601</v>
      </c>
      <c r="AK3818">
        <v>0.37186206276891998</v>
      </c>
      <c r="AL3818">
        <v>75.542736156460506</v>
      </c>
      <c r="AM3818">
        <v>89.030921204837895</v>
      </c>
      <c r="AN3818">
        <v>0.99999997563888099</v>
      </c>
    </row>
    <row r="3819" spans="1:40" x14ac:dyDescent="0.25">
      <c r="A3819" t="str">
        <f>"20190312154633707"</f>
        <v>20190312154633707</v>
      </c>
      <c r="B3819" t="str">
        <f>"1552376793700981"</f>
        <v>1552376793700981</v>
      </c>
      <c r="C3819" t="s">
        <v>40</v>
      </c>
      <c r="D3819">
        <v>4.4749030000000003</v>
      </c>
      <c r="E3819">
        <v>0.4682963</v>
      </c>
      <c r="F3819" t="s">
        <v>41</v>
      </c>
      <c r="G3819">
        <v>-332.84989999999999</v>
      </c>
      <c r="H3819">
        <v>0.95014719999999997</v>
      </c>
      <c r="I3819">
        <v>140.67779999999999</v>
      </c>
      <c r="J3819">
        <v>-332.2226</v>
      </c>
      <c r="K3819">
        <v>1.110493</v>
      </c>
      <c r="L3819">
        <v>140.75299999999999</v>
      </c>
      <c r="M3819">
        <v>-0.99989309999999998</v>
      </c>
      <c r="N3819">
        <v>0</v>
      </c>
      <c r="O3819">
        <v>2.824661E-3</v>
      </c>
      <c r="P3819">
        <v>-0.97164600000000001</v>
      </c>
      <c r="Q3819">
        <v>0.2356046</v>
      </c>
      <c r="R3819">
        <v>1.9867360000000001E-2</v>
      </c>
      <c r="S3819">
        <v>-3.226013</v>
      </c>
      <c r="T3819">
        <v>-0.55002399999999996</v>
      </c>
      <c r="U3819">
        <v>-0.25418089999999999</v>
      </c>
      <c r="V3819">
        <v>1.7189490000000002E-2</v>
      </c>
      <c r="W3819">
        <v>0.24951880000000001</v>
      </c>
      <c r="X3819">
        <v>0.96821740000000001</v>
      </c>
      <c r="Y3819">
        <v>-8.0173079999999994E-2</v>
      </c>
      <c r="Z3819">
        <v>-7.252863E-3</v>
      </c>
      <c r="AA3819">
        <v>0.99675460000000005</v>
      </c>
      <c r="AB3819">
        <v>31</v>
      </c>
      <c r="AC3819">
        <v>-0.62729999999999098</v>
      </c>
      <c r="AD3819">
        <v>-0.16034579999999901</v>
      </c>
      <c r="AE3819">
        <v>-7.5199999999995201E-2</v>
      </c>
      <c r="AF3819">
        <v>-7.2313898384452402E-2</v>
      </c>
      <c r="AG3819">
        <v>-0.16034579999999901</v>
      </c>
      <c r="AH3819">
        <v>0.58913745000909801</v>
      </c>
      <c r="AI3819">
        <v>105.117211688534</v>
      </c>
      <c r="AJ3819">
        <v>96.997788259295007</v>
      </c>
      <c r="AK3819">
        <v>0.61483575894739495</v>
      </c>
      <c r="AL3819">
        <v>75.550961238288394</v>
      </c>
      <c r="AM3819">
        <v>88.982891888364193</v>
      </c>
      <c r="AN3819">
        <v>1.0000000218913201</v>
      </c>
    </row>
    <row r="3820" spans="1:40" x14ac:dyDescent="0.25">
      <c r="A3820" t="str">
        <f>"20190312154633730"</f>
        <v>20190312154633730</v>
      </c>
      <c r="B3820" t="str">
        <f>"1552376793721477"</f>
        <v>1552376793721477</v>
      </c>
      <c r="C3820" t="s">
        <v>40</v>
      </c>
      <c r="D3820">
        <v>4.5902620000000001</v>
      </c>
      <c r="E3820">
        <v>0.46677269999999998</v>
      </c>
      <c r="F3820" t="s">
        <v>42</v>
      </c>
      <c r="G3820">
        <v>-358.89760000000001</v>
      </c>
      <c r="H3820" s="1">
        <v>-5.8500140000000001E-7</v>
      </c>
      <c r="I3820">
        <v>138.88470000000001</v>
      </c>
      <c r="J3820">
        <v>-332.53030000000001</v>
      </c>
      <c r="K3820">
        <v>1.1104860000000001</v>
      </c>
      <c r="L3820">
        <v>140.75399999999999</v>
      </c>
      <c r="M3820">
        <v>-0.99989280000000003</v>
      </c>
      <c r="N3820">
        <v>0</v>
      </c>
      <c r="O3820">
        <v>2.9314300000000001E-3</v>
      </c>
      <c r="P3820">
        <v>-0.97162099999999996</v>
      </c>
      <c r="Q3820">
        <v>0.23559630000000001</v>
      </c>
      <c r="R3820">
        <v>2.114653E-2</v>
      </c>
      <c r="S3820">
        <v>-3.123535</v>
      </c>
      <c r="T3820">
        <v>-0.13003419999999999</v>
      </c>
      <c r="U3820">
        <v>-0.2187653</v>
      </c>
      <c r="V3820">
        <v>1.8364829999999999E-2</v>
      </c>
      <c r="W3820">
        <v>0.24950629999999999</v>
      </c>
      <c r="X3820">
        <v>0.96819900000000003</v>
      </c>
      <c r="Y3820">
        <v>-7.2725620000000005E-2</v>
      </c>
      <c r="Z3820">
        <v>-1.6331469999999999E-3</v>
      </c>
      <c r="AA3820">
        <v>0.99735059999999998</v>
      </c>
      <c r="AB3820">
        <v>31</v>
      </c>
      <c r="AC3820">
        <v>-26.3673</v>
      </c>
      <c r="AD3820">
        <v>-1.1104865850014001</v>
      </c>
      <c r="AE3820">
        <v>-1.86929999999998</v>
      </c>
      <c r="AF3820">
        <v>-1.94316434135238</v>
      </c>
      <c r="AG3820">
        <v>-1.1104865850014001</v>
      </c>
      <c r="AH3820">
        <v>26.315262817794199</v>
      </c>
      <c r="AI3820">
        <v>92.4098567982346</v>
      </c>
      <c r="AJ3820">
        <v>94.2231544710245</v>
      </c>
      <c r="AK3820">
        <v>26.410265528437101</v>
      </c>
      <c r="AL3820">
        <v>75.551700241043406</v>
      </c>
      <c r="AM3820">
        <v>88.913342106932902</v>
      </c>
      <c r="AN3820">
        <v>0.99999998216080899</v>
      </c>
    </row>
    <row r="3821" spans="1:40" x14ac:dyDescent="0.25">
      <c r="A3821" t="str">
        <f>"20190312154633753"</f>
        <v>20190312154633753</v>
      </c>
      <c r="B3821" t="str">
        <f>"1552376793741248"</f>
        <v>1552376793741248</v>
      </c>
      <c r="C3821" t="s">
        <v>40</v>
      </c>
      <c r="D3821">
        <v>4.4633390000000004</v>
      </c>
      <c r="E3821">
        <v>0.46620240000000002</v>
      </c>
      <c r="F3821" t="s">
        <v>42</v>
      </c>
      <c r="G3821">
        <v>-362.55180000000001</v>
      </c>
      <c r="H3821" s="1">
        <v>-3.3622639999999998E-6</v>
      </c>
      <c r="I3821">
        <v>138.57499999999999</v>
      </c>
      <c r="J3821">
        <v>-332.85019999999997</v>
      </c>
      <c r="K3821">
        <v>1.1104860000000001</v>
      </c>
      <c r="L3821">
        <v>140.755</v>
      </c>
      <c r="M3821">
        <v>-0.99989249999999996</v>
      </c>
      <c r="N3821">
        <v>0</v>
      </c>
      <c r="O3821">
        <v>3.0427269999999998E-3</v>
      </c>
      <c r="P3821">
        <v>-0.97160400000000002</v>
      </c>
      <c r="Q3821">
        <v>0.2356306</v>
      </c>
      <c r="R3821">
        <v>2.1537489999999999E-2</v>
      </c>
      <c r="S3821">
        <v>-3.1205440000000002</v>
      </c>
      <c r="T3821">
        <v>-0.1154284</v>
      </c>
      <c r="U3821">
        <v>-0.2264862</v>
      </c>
      <c r="V3821">
        <v>1.8647489999999999E-2</v>
      </c>
      <c r="W3821">
        <v>0.24953719999999999</v>
      </c>
      <c r="X3821">
        <v>0.96818570000000004</v>
      </c>
      <c r="Y3821">
        <v>-7.5370030000000005E-2</v>
      </c>
      <c r="Z3821">
        <v>-1.504036E-3</v>
      </c>
      <c r="AA3821">
        <v>0.99715450000000005</v>
      </c>
      <c r="AB3821">
        <v>31</v>
      </c>
      <c r="AC3821">
        <v>-29.701599999999999</v>
      </c>
      <c r="AD3821">
        <v>-1.110489362264</v>
      </c>
      <c r="AE3821">
        <v>-2.1800000000000002</v>
      </c>
      <c r="AF3821">
        <v>-2.2672207493829499</v>
      </c>
      <c r="AG3821">
        <v>-1.110489362264</v>
      </c>
      <c r="AH3821">
        <v>29.653598663369301</v>
      </c>
      <c r="AI3821">
        <v>92.138416226142297</v>
      </c>
      <c r="AJ3821">
        <v>94.372148717903997</v>
      </c>
      <c r="AK3821">
        <v>29.760870118971901</v>
      </c>
      <c r="AL3821">
        <v>75.549872919895506</v>
      </c>
      <c r="AM3821">
        <v>88.8966058969702</v>
      </c>
      <c r="AN3821">
        <v>1.0000000463758101</v>
      </c>
    </row>
    <row r="3822" spans="1:40" x14ac:dyDescent="0.25">
      <c r="A3822" t="str">
        <f>"20190312154633775"</f>
        <v>20190312154633775</v>
      </c>
      <c r="B3822" t="str">
        <f>"1552376793771504"</f>
        <v>1552376793771504</v>
      </c>
      <c r="C3822" t="s">
        <v>40</v>
      </c>
      <c r="D3822">
        <v>4.5565660000000001</v>
      </c>
      <c r="E3822">
        <v>0.4663233</v>
      </c>
      <c r="F3822" t="s">
        <v>42</v>
      </c>
      <c r="G3822">
        <v>-363.4366</v>
      </c>
      <c r="H3822" s="1">
        <v>-2.9955529999999999E-6</v>
      </c>
      <c r="I3822">
        <v>138.50229999999999</v>
      </c>
      <c r="J3822">
        <v>-333.14659999999998</v>
      </c>
      <c r="K3822">
        <v>1.110482</v>
      </c>
      <c r="L3822">
        <v>140.7561</v>
      </c>
      <c r="M3822">
        <v>-0.99989240000000001</v>
      </c>
      <c r="N3822">
        <v>0</v>
      </c>
      <c r="O3822">
        <v>3.1459180000000002E-3</v>
      </c>
      <c r="P3822">
        <v>-0.97165869999999999</v>
      </c>
      <c r="Q3822">
        <v>0.2353653</v>
      </c>
      <c r="R3822">
        <v>2.1971589999999999E-2</v>
      </c>
      <c r="S3822">
        <v>-3.1202390000000002</v>
      </c>
      <c r="T3822">
        <v>-0.11328530000000001</v>
      </c>
      <c r="U3822">
        <v>-0.22979740000000001</v>
      </c>
      <c r="V3822">
        <v>1.8981149999999999E-2</v>
      </c>
      <c r="W3822">
        <v>0.24926989999999999</v>
      </c>
      <c r="X3822">
        <v>0.968248</v>
      </c>
      <c r="Y3822">
        <v>-7.6533589999999999E-2</v>
      </c>
      <c r="Z3822">
        <v>-1.501044E-3</v>
      </c>
      <c r="AA3822">
        <v>0.99706589999999995</v>
      </c>
      <c r="AB3822">
        <v>31</v>
      </c>
      <c r="AC3822">
        <v>-30.29</v>
      </c>
      <c r="AD3822">
        <v>-1.1104849955530001</v>
      </c>
      <c r="AE3822">
        <v>-2.2538000000000098</v>
      </c>
      <c r="AF3822">
        <v>-2.3459526844349998</v>
      </c>
      <c r="AG3822">
        <v>-1.1104849955530001</v>
      </c>
      <c r="AH3822">
        <v>30.242334613909701</v>
      </c>
      <c r="AI3822">
        <v>92.096637551397095</v>
      </c>
      <c r="AJ3822">
        <v>94.435654632897595</v>
      </c>
      <c r="AK3822">
        <v>30.353508426912299</v>
      </c>
      <c r="AL3822">
        <v>75.565686834198402</v>
      </c>
      <c r="AM3822">
        <v>88.876940098910097</v>
      </c>
      <c r="AN3822">
        <v>0.99999997830266596</v>
      </c>
    </row>
    <row r="3823" spans="1:40" x14ac:dyDescent="0.25">
      <c r="A3823" t="str">
        <f>"20190312154633796"</f>
        <v>20190312154633796</v>
      </c>
      <c r="B3823" t="str">
        <f>"1552376793791024"</f>
        <v>1552376793791024</v>
      </c>
      <c r="C3823" t="s">
        <v>40</v>
      </c>
      <c r="D3823">
        <v>4.5266929999999999</v>
      </c>
      <c r="E3823">
        <v>0.4659895</v>
      </c>
      <c r="F3823" t="s">
        <v>42</v>
      </c>
      <c r="G3823">
        <v>-363.22149999999999</v>
      </c>
      <c r="H3823" s="1">
        <v>-3.076864E-6</v>
      </c>
      <c r="I3823">
        <v>138.5642</v>
      </c>
      <c r="J3823">
        <v>-333.45170000000002</v>
      </c>
      <c r="K3823">
        <v>1.1104830000000001</v>
      </c>
      <c r="L3823">
        <v>140.75710000000001</v>
      </c>
      <c r="M3823">
        <v>-0.99989189999999994</v>
      </c>
      <c r="N3823">
        <v>0</v>
      </c>
      <c r="O3823">
        <v>3.252446E-3</v>
      </c>
      <c r="P3823">
        <v>-0.97172840000000005</v>
      </c>
      <c r="Q3823">
        <v>0.2350573</v>
      </c>
      <c r="R3823">
        <v>2.2184260000000001E-2</v>
      </c>
      <c r="S3823">
        <v>-3.1205750000000001</v>
      </c>
      <c r="T3823">
        <v>-0.1152244</v>
      </c>
      <c r="U3823">
        <v>-0.22741700000000001</v>
      </c>
      <c r="V3823">
        <v>1.9089970000000001E-2</v>
      </c>
      <c r="W3823">
        <v>0.2489595</v>
      </c>
      <c r="X3823">
        <v>0.96832569999999996</v>
      </c>
      <c r="Y3823">
        <v>-7.5874049999999998E-2</v>
      </c>
      <c r="Z3823">
        <v>-1.51837E-3</v>
      </c>
      <c r="AA3823">
        <v>0.99711629999999996</v>
      </c>
      <c r="AB3823">
        <v>31</v>
      </c>
      <c r="AC3823">
        <v>-29.769799999999901</v>
      </c>
      <c r="AD3823">
        <v>-1.1104860768639999</v>
      </c>
      <c r="AE3823">
        <v>-2.1928999999999998</v>
      </c>
      <c r="AF3823">
        <v>-2.2865585106561701</v>
      </c>
      <c r="AG3823">
        <v>-1.1104860768639999</v>
      </c>
      <c r="AH3823">
        <v>29.721376222560998</v>
      </c>
      <c r="AI3823">
        <v>92.133460514408796</v>
      </c>
      <c r="AJ3823">
        <v>94.399277984267997</v>
      </c>
      <c r="AK3823">
        <v>29.8298798809613</v>
      </c>
      <c r="AL3823">
        <v>75.584050110708105</v>
      </c>
      <c r="AM3823">
        <v>88.870593805733407</v>
      </c>
      <c r="AN3823">
        <v>0.99999996043766903</v>
      </c>
    </row>
    <row r="3824" spans="1:40" x14ac:dyDescent="0.25">
      <c r="A3824" t="str">
        <f>"20190312154633821"</f>
        <v>20190312154633821</v>
      </c>
      <c r="B3824" t="str">
        <f>"1552376793811520"</f>
        <v>1552376793811520</v>
      </c>
      <c r="C3824" t="s">
        <v>40</v>
      </c>
      <c r="D3824">
        <v>4.5206749999999998</v>
      </c>
      <c r="E3824">
        <v>0.46574120000000002</v>
      </c>
      <c r="F3824" t="s">
        <v>42</v>
      </c>
      <c r="G3824">
        <v>-363.88909999999998</v>
      </c>
      <c r="H3824" s="1">
        <v>-2.7984109999999998E-6</v>
      </c>
      <c r="I3824">
        <v>138.51949999999999</v>
      </c>
      <c r="J3824">
        <v>-333.78280000000001</v>
      </c>
      <c r="K3824">
        <v>1.110493</v>
      </c>
      <c r="L3824">
        <v>140.75829999999999</v>
      </c>
      <c r="M3824">
        <v>-0.99989170000000005</v>
      </c>
      <c r="N3824">
        <v>0</v>
      </c>
      <c r="O3824">
        <v>3.3677970000000001E-3</v>
      </c>
      <c r="P3824">
        <v>-0.97170749999999995</v>
      </c>
      <c r="Q3824">
        <v>0.2351463</v>
      </c>
      <c r="R3824">
        <v>2.2159479999999999E-2</v>
      </c>
      <c r="S3824">
        <v>-3.1200869999999998</v>
      </c>
      <c r="T3824">
        <v>-0.11383409999999999</v>
      </c>
      <c r="U3824">
        <v>-0.22937009999999999</v>
      </c>
      <c r="V3824">
        <v>1.8953009999999999E-2</v>
      </c>
      <c r="W3824">
        <v>0.24904499999999999</v>
      </c>
      <c r="X3824">
        <v>0.96830640000000001</v>
      </c>
      <c r="Y3824">
        <v>-7.6621899999999896E-2</v>
      </c>
      <c r="Z3824">
        <v>-1.5180839999999901E-3</v>
      </c>
      <c r="AA3824">
        <v>0.99705900000000003</v>
      </c>
      <c r="AB3824">
        <v>31</v>
      </c>
      <c r="AC3824">
        <v>-30.106299999999901</v>
      </c>
      <c r="AD3824">
        <v>-1.110495798411</v>
      </c>
      <c r="AE3824">
        <v>-2.2387999999999901</v>
      </c>
      <c r="AF3824">
        <v>-2.3370274250980798</v>
      </c>
      <c r="AG3824">
        <v>-1.110495798411</v>
      </c>
      <c r="AH3824">
        <v>30.0579178080826</v>
      </c>
      <c r="AI3824">
        <v>92.109481017722104</v>
      </c>
      <c r="AJ3824">
        <v>94.445848938494507</v>
      </c>
      <c r="AK3824">
        <v>30.169078889840101</v>
      </c>
      <c r="AL3824">
        <v>75.578991946949003</v>
      </c>
      <c r="AM3824">
        <v>88.878672251829201</v>
      </c>
      <c r="AN3824">
        <v>0.99999995644700901</v>
      </c>
    </row>
    <row r="3825" spans="1:40" x14ac:dyDescent="0.25">
      <c r="A3825" t="str">
        <f>"20190312154633846"</f>
        <v>20190312154633846</v>
      </c>
      <c r="B3825" t="str">
        <f>"1552376793841308"</f>
        <v>1552376793841308</v>
      </c>
      <c r="C3825" t="s">
        <v>40</v>
      </c>
      <c r="D3825">
        <v>4.5739869999999998</v>
      </c>
      <c r="E3825">
        <v>0.4652365</v>
      </c>
      <c r="F3825" t="s">
        <v>42</v>
      </c>
      <c r="G3825">
        <v>-364.7029</v>
      </c>
      <c r="H3825" s="1">
        <v>-2.4590500000000002E-6</v>
      </c>
      <c r="I3825">
        <v>138.46459999999999</v>
      </c>
      <c r="J3825">
        <v>-334.11779999999999</v>
      </c>
      <c r="K3825">
        <v>1.110492</v>
      </c>
      <c r="L3825">
        <v>140.75960000000001</v>
      </c>
      <c r="M3825">
        <v>-0.99989130000000004</v>
      </c>
      <c r="N3825">
        <v>0</v>
      </c>
      <c r="O3825">
        <v>3.484404E-3</v>
      </c>
      <c r="P3825">
        <v>-0.97164150000000005</v>
      </c>
      <c r="Q3825">
        <v>0.2353885</v>
      </c>
      <c r="R3825">
        <v>2.2482120000000001E-2</v>
      </c>
      <c r="S3825">
        <v>-3.1196899999999999</v>
      </c>
      <c r="T3825">
        <v>-0.112044</v>
      </c>
      <c r="U3825">
        <v>-0.2314148</v>
      </c>
      <c r="V3825">
        <v>1.9162519999999999E-2</v>
      </c>
      <c r="W3825">
        <v>0.24928230000000001</v>
      </c>
      <c r="X3825">
        <v>0.96824129999999997</v>
      </c>
      <c r="Y3825">
        <v>-7.7398430000000004E-2</v>
      </c>
      <c r="Z3825">
        <v>-1.512481E-3</v>
      </c>
      <c r="AA3825">
        <v>0.99699910000000003</v>
      </c>
      <c r="AB3825">
        <v>31</v>
      </c>
      <c r="AC3825">
        <v>-30.585100000000001</v>
      </c>
      <c r="AD3825">
        <v>-1.1104944590500001</v>
      </c>
      <c r="AE3825">
        <v>-2.2950000000000101</v>
      </c>
      <c r="AF3825">
        <v>-2.3984237185842199</v>
      </c>
      <c r="AG3825">
        <v>-1.1104944590500001</v>
      </c>
      <c r="AH3825">
        <v>30.5368855022761</v>
      </c>
      <c r="AI3825">
        <v>92.076293266064198</v>
      </c>
      <c r="AJ3825">
        <v>94.490897590684895</v>
      </c>
      <c r="AK3825">
        <v>30.651052354798001</v>
      </c>
      <c r="AL3825">
        <v>75.564954134569604</v>
      </c>
      <c r="AM3825">
        <v>88.866203903527705</v>
      </c>
      <c r="AN3825">
        <v>1.0000000411458601</v>
      </c>
    </row>
    <row r="3826" spans="1:40" x14ac:dyDescent="0.25">
      <c r="A3826" t="str">
        <f>"20190312154633866"</f>
        <v>20190312154633866</v>
      </c>
      <c r="B3826" t="str">
        <f>"1552376793860826"</f>
        <v>1552376793860826</v>
      </c>
      <c r="C3826" t="s">
        <v>40</v>
      </c>
      <c r="D3826">
        <v>4.5653329999999999</v>
      </c>
      <c r="E3826">
        <v>0.46505540000000001</v>
      </c>
      <c r="F3826" t="s">
        <v>42</v>
      </c>
      <c r="G3826">
        <v>-365.59199999999998</v>
      </c>
      <c r="H3826" s="1">
        <v>-2.090197E-6</v>
      </c>
      <c r="I3826">
        <v>138.39349999999999</v>
      </c>
      <c r="J3826">
        <v>-334.40230000000003</v>
      </c>
      <c r="K3826">
        <v>1.11049</v>
      </c>
      <c r="L3826">
        <v>140.76070000000001</v>
      </c>
      <c r="M3826">
        <v>-0.99989099999999997</v>
      </c>
      <c r="N3826">
        <v>0</v>
      </c>
      <c r="O3826">
        <v>3.583363E-3</v>
      </c>
      <c r="P3826">
        <v>-0.97163710000000003</v>
      </c>
      <c r="Q3826">
        <v>0.2353999</v>
      </c>
      <c r="R3826">
        <v>2.2544910000000001E-2</v>
      </c>
      <c r="S3826">
        <v>-3.119659</v>
      </c>
      <c r="T3826">
        <v>-0.1100701</v>
      </c>
      <c r="U3826">
        <v>-0.23451230000000001</v>
      </c>
      <c r="V3826">
        <v>1.91291E-2</v>
      </c>
      <c r="W3826">
        <v>0.2492907</v>
      </c>
      <c r="X3826">
        <v>0.96823979999999998</v>
      </c>
      <c r="Y3826">
        <v>-7.8483300000000006E-2</v>
      </c>
      <c r="Z3826">
        <v>-1.508405E-3</v>
      </c>
      <c r="AA3826">
        <v>0.99691430000000003</v>
      </c>
      <c r="AB3826">
        <v>31</v>
      </c>
      <c r="AC3826">
        <v>-31.189699999999899</v>
      </c>
      <c r="AD3826">
        <v>-1.1104920901969999</v>
      </c>
      <c r="AE3826">
        <v>-2.36720000000002</v>
      </c>
      <c r="AF3826">
        <v>-2.4758396926915802</v>
      </c>
      <c r="AG3826">
        <v>-1.1104920901969999</v>
      </c>
      <c r="AH3826">
        <v>31.1417647150253</v>
      </c>
      <c r="AI3826">
        <v>92.0358410925882</v>
      </c>
      <c r="AJ3826">
        <v>94.545581300410603</v>
      </c>
      <c r="AK3826">
        <v>31.259758227348598</v>
      </c>
      <c r="AL3826">
        <v>75.564457186903397</v>
      </c>
      <c r="AM3826">
        <v>88.868179009579507</v>
      </c>
      <c r="AN3826">
        <v>1.00000004293866</v>
      </c>
    </row>
    <row r="3827" spans="1:40" x14ac:dyDescent="0.25">
      <c r="A3827" t="str">
        <f>"20190312154633887"</f>
        <v>20190312154633887</v>
      </c>
      <c r="B3827" t="str">
        <f>"1552376793881323"</f>
        <v>1552376793881323</v>
      </c>
      <c r="C3827" t="s">
        <v>40</v>
      </c>
      <c r="D3827">
        <v>4.6051460000000004</v>
      </c>
      <c r="E3827">
        <v>0.46487129999999999</v>
      </c>
      <c r="F3827" t="s">
        <v>42</v>
      </c>
      <c r="G3827">
        <v>-366.29230000000001</v>
      </c>
      <c r="H3827" s="1">
        <v>-1.797388E-6</v>
      </c>
      <c r="I3827">
        <v>138.35059999999999</v>
      </c>
      <c r="J3827">
        <v>-334.68959999999998</v>
      </c>
      <c r="K3827">
        <v>1.110492</v>
      </c>
      <c r="L3827">
        <v>140.76179999999999</v>
      </c>
      <c r="M3827">
        <v>-0.99989079999999997</v>
      </c>
      <c r="N3827">
        <v>0</v>
      </c>
      <c r="O3827">
        <v>3.6833349999999998E-3</v>
      </c>
      <c r="P3827">
        <v>-0.97171629999999998</v>
      </c>
      <c r="Q3827">
        <v>0.23507230000000001</v>
      </c>
      <c r="R3827">
        <v>2.256141E-2</v>
      </c>
      <c r="S3827">
        <v>-3.1193240000000002</v>
      </c>
      <c r="T3827">
        <v>-0.108623</v>
      </c>
      <c r="U3827">
        <v>-0.235733</v>
      </c>
      <c r="V3827">
        <v>1.9048039999999999E-2</v>
      </c>
      <c r="W3827">
        <v>0.2489614</v>
      </c>
      <c r="X3827">
        <v>0.96832609999999997</v>
      </c>
      <c r="Y3827">
        <v>-7.8979859999999999E-2</v>
      </c>
      <c r="Z3827">
        <v>-1.5008300000000001E-3</v>
      </c>
      <c r="AA3827">
        <v>0.99687510000000001</v>
      </c>
      <c r="AB3827">
        <v>31</v>
      </c>
      <c r="AC3827">
        <v>-31.602699999999999</v>
      </c>
      <c r="AD3827">
        <v>-1.110493797388</v>
      </c>
      <c r="AE3827">
        <v>-2.4112</v>
      </c>
      <c r="AF3827">
        <v>-2.5244997738701498</v>
      </c>
      <c r="AG3827">
        <v>-1.110493797388</v>
      </c>
      <c r="AH3827">
        <v>31.554866105435</v>
      </c>
      <c r="AI3827">
        <v>92.009134149276704</v>
      </c>
      <c r="AJ3827">
        <v>94.574120598119507</v>
      </c>
      <c r="AK3827">
        <v>31.675161728304399</v>
      </c>
      <c r="AL3827">
        <v>75.5839386049757</v>
      </c>
      <c r="AM3827">
        <v>88.873074305200603</v>
      </c>
      <c r="AN3827">
        <v>1.0000000212294999</v>
      </c>
    </row>
    <row r="3828" spans="1:40" x14ac:dyDescent="0.25">
      <c r="A3828" t="str">
        <f>"20190312154633909"</f>
        <v>20190312154633909</v>
      </c>
      <c r="B3828" t="str">
        <f>"1552376793900843"</f>
        <v>1552376793900843</v>
      </c>
      <c r="C3828" t="s">
        <v>40</v>
      </c>
      <c r="D3828">
        <v>4.6314699999999904</v>
      </c>
      <c r="E3828">
        <v>0.46370600000000001</v>
      </c>
      <c r="F3828" t="s">
        <v>42</v>
      </c>
      <c r="G3828">
        <v>-366.6644</v>
      </c>
      <c r="H3828" s="1">
        <v>-1.6417239999999999E-6</v>
      </c>
      <c r="I3828">
        <v>138.32839999999999</v>
      </c>
      <c r="J3828">
        <v>-335.00670000000002</v>
      </c>
      <c r="K3828">
        <v>1.1104889999999901</v>
      </c>
      <c r="L3828">
        <v>140.76310000000001</v>
      </c>
      <c r="M3828">
        <v>-0.99989039999999996</v>
      </c>
      <c r="N3828">
        <v>0</v>
      </c>
      <c r="O3828">
        <v>3.7937380000000001E-3</v>
      </c>
      <c r="P3828">
        <v>-0.97181419999999996</v>
      </c>
      <c r="Q3828">
        <v>0.2346414</v>
      </c>
      <c r="R3828">
        <v>2.2823980000000001E-2</v>
      </c>
      <c r="S3828">
        <v>-3.1190190000000002</v>
      </c>
      <c r="T3828">
        <v>-0.1083245</v>
      </c>
      <c r="U3828">
        <v>-0.23736570000000001</v>
      </c>
      <c r="V3828">
        <v>1.920264E-2</v>
      </c>
      <c r="W3828">
        <v>0.2485282</v>
      </c>
      <c r="X3828">
        <v>0.96843429999999997</v>
      </c>
      <c r="Y3828">
        <v>-7.9615909999999998E-2</v>
      </c>
      <c r="Z3828">
        <v>-1.5116789999999999E-3</v>
      </c>
      <c r="AA3828">
        <v>0.99682440000000005</v>
      </c>
      <c r="AB3828">
        <v>31</v>
      </c>
      <c r="AC3828">
        <v>-31.657699999999899</v>
      </c>
      <c r="AD3828">
        <v>-1.1104906417239999</v>
      </c>
      <c r="AE3828">
        <v>-2.4347000000000198</v>
      </c>
      <c r="AF3828">
        <v>-2.5516744973302301</v>
      </c>
      <c r="AG3828">
        <v>-1.1104906417239999</v>
      </c>
      <c r="AH3828">
        <v>31.609568642758401</v>
      </c>
      <c r="AI3828">
        <v>92.005538942533207</v>
      </c>
      <c r="AJ3828">
        <v>94.615179869154204</v>
      </c>
      <c r="AK3828">
        <v>31.731830422888201</v>
      </c>
      <c r="AL3828">
        <v>75.609564280200004</v>
      </c>
      <c r="AM3828">
        <v>88.864057098538893</v>
      </c>
      <c r="AN3828">
        <v>1.0000000004973399</v>
      </c>
    </row>
    <row r="3829" spans="1:40" x14ac:dyDescent="0.25">
      <c r="A3829" t="str">
        <f>"20190312154633931"</f>
        <v>20190312154633931</v>
      </c>
      <c r="B3829" t="str">
        <f>"1552376793921338"</f>
        <v>1552376793921338</v>
      </c>
      <c r="C3829" t="s">
        <v>40</v>
      </c>
      <c r="D3829">
        <v>4.5732599999999897</v>
      </c>
      <c r="E3829">
        <v>0.4399477</v>
      </c>
      <c r="F3829" t="s">
        <v>42</v>
      </c>
      <c r="G3829">
        <v>-367.37970000000001</v>
      </c>
      <c r="H3829" s="1">
        <v>-1.356361E-6</v>
      </c>
      <c r="I3829">
        <v>138.2072</v>
      </c>
      <c r="J3829">
        <v>-335.30689999999998</v>
      </c>
      <c r="K3829">
        <v>1.11049</v>
      </c>
      <c r="L3829">
        <v>140.76439999999999</v>
      </c>
      <c r="M3829">
        <v>-0.9998901</v>
      </c>
      <c r="N3829">
        <v>0</v>
      </c>
      <c r="O3829">
        <v>3.898594E-3</v>
      </c>
      <c r="P3829">
        <v>-0.9720377</v>
      </c>
      <c r="Q3829">
        <v>0.23365279999999999</v>
      </c>
      <c r="R3829">
        <v>2.3443729999999999E-2</v>
      </c>
      <c r="S3829">
        <v>-3.118652</v>
      </c>
      <c r="T3829">
        <v>-0.1069794</v>
      </c>
      <c r="U3829">
        <v>-0.24621580000000001</v>
      </c>
      <c r="V3829">
        <v>1.9719179999999999E-2</v>
      </c>
      <c r="W3829">
        <v>0.2475396</v>
      </c>
      <c r="X3829">
        <v>0.96867709999999996</v>
      </c>
      <c r="Y3829">
        <v>-8.2540299999999997E-2</v>
      </c>
      <c r="Z3829">
        <v>-1.546586E-3</v>
      </c>
      <c r="AA3829">
        <v>0.99658650000000004</v>
      </c>
      <c r="AB3829">
        <v>31</v>
      </c>
      <c r="AC3829">
        <v>-32.072800000000001</v>
      </c>
      <c r="AD3829">
        <v>-1.1104913563609999</v>
      </c>
      <c r="AE3829">
        <v>-2.5571999999999901</v>
      </c>
      <c r="AF3829">
        <v>-2.6790407617390799</v>
      </c>
      <c r="AG3829">
        <v>-1.1104913563609999</v>
      </c>
      <c r="AH3829">
        <v>32.0244364558542</v>
      </c>
      <c r="AI3829">
        <v>91.979106503559706</v>
      </c>
      <c r="AJ3829">
        <v>94.782009143499806</v>
      </c>
      <c r="AK3829">
        <v>32.155481348763097</v>
      </c>
      <c r="AL3829">
        <v>75.668034156176603</v>
      </c>
      <c r="AM3829">
        <v>88.833801519940096</v>
      </c>
      <c r="AN3829">
        <v>1.00000001184622</v>
      </c>
    </row>
    <row r="3830" spans="1:40" x14ac:dyDescent="0.25">
      <c r="A3830" t="str">
        <f>"20190312154633954"</f>
        <v>20190312154633954</v>
      </c>
      <c r="B3830" t="str">
        <f>"1552376793941366"</f>
        <v>1552376793941366</v>
      </c>
      <c r="C3830" t="s">
        <v>40</v>
      </c>
      <c r="D3830">
        <v>4.6406720000000004</v>
      </c>
      <c r="E3830">
        <v>0.44023509999999999</v>
      </c>
      <c r="F3830" t="s">
        <v>42</v>
      </c>
      <c r="G3830">
        <v>-374.6223</v>
      </c>
      <c r="H3830" s="1">
        <v>-3.0554879999999999E-6</v>
      </c>
      <c r="I3830">
        <v>135.29689999999999</v>
      </c>
      <c r="J3830">
        <v>-335.61239999999998</v>
      </c>
      <c r="K3830">
        <v>1.1104879999999999</v>
      </c>
      <c r="L3830">
        <v>140.76570000000001</v>
      </c>
      <c r="M3830">
        <v>-0.99988960000000005</v>
      </c>
      <c r="N3830">
        <v>0</v>
      </c>
      <c r="O3830">
        <v>4.0051230000000002E-3</v>
      </c>
      <c r="P3830">
        <v>-0.97213539999999998</v>
      </c>
      <c r="Q3830">
        <v>0.2331695</v>
      </c>
      <c r="R3830">
        <v>2.4184890000000001E-2</v>
      </c>
      <c r="S3830">
        <v>-3.1179199999999998</v>
      </c>
      <c r="T3830">
        <v>-8.8068010000000002E-2</v>
      </c>
      <c r="U3830">
        <v>-0.43359379999999997</v>
      </c>
      <c r="V3830">
        <v>2.035609E-2</v>
      </c>
      <c r="W3830">
        <v>0.24705450000000001</v>
      </c>
      <c r="X3830">
        <v>0.96878770000000003</v>
      </c>
      <c r="Y3830">
        <v>-0.14164879999999999</v>
      </c>
      <c r="Z3830">
        <v>-2.103101E-3</v>
      </c>
      <c r="AA3830">
        <v>0.98991470000000004</v>
      </c>
      <c r="AB3830">
        <v>31</v>
      </c>
      <c r="AC3830">
        <v>-39.009900000000002</v>
      </c>
      <c r="AD3830">
        <v>-1.1104910554880001</v>
      </c>
      <c r="AE3830">
        <v>-5.4688000000000097</v>
      </c>
      <c r="AF3830">
        <v>-5.6205446719952201</v>
      </c>
      <c r="AG3830">
        <v>-1.1104910554880001</v>
      </c>
      <c r="AH3830">
        <v>38.956720926889702</v>
      </c>
      <c r="AI3830">
        <v>91.616093293650707</v>
      </c>
      <c r="AJ3830">
        <v>98.209790852167998</v>
      </c>
      <c r="AK3830">
        <v>39.375751652124499</v>
      </c>
      <c r="AL3830">
        <v>75.696718433903698</v>
      </c>
      <c r="AM3830">
        <v>88.7962827703182</v>
      </c>
      <c r="AN3830">
        <v>0.99999995202081204</v>
      </c>
    </row>
    <row r="3831" spans="1:40" x14ac:dyDescent="0.25">
      <c r="A3831" t="str">
        <f>"20190312154633975"</f>
        <v>20190312154633975</v>
      </c>
      <c r="B3831" t="str">
        <f>"1552376793971622"</f>
        <v>1552376793971622</v>
      </c>
      <c r="C3831" t="s">
        <v>40</v>
      </c>
      <c r="D3831">
        <v>4.6584099999999999</v>
      </c>
      <c r="E3831">
        <v>0.43992779999999998</v>
      </c>
      <c r="F3831" t="s">
        <v>42</v>
      </c>
      <c r="G3831">
        <v>-382.7183</v>
      </c>
      <c r="H3831" s="1">
        <v>-4.0517950000000004E-6</v>
      </c>
      <c r="I3831">
        <v>134.28489999999999</v>
      </c>
      <c r="J3831">
        <v>-335.9085</v>
      </c>
      <c r="K3831">
        <v>1.110492</v>
      </c>
      <c r="L3831">
        <v>140.767</v>
      </c>
      <c r="M3831">
        <v>-0.99988929999999998</v>
      </c>
      <c r="N3831">
        <v>0</v>
      </c>
      <c r="O3831">
        <v>4.1082530000000001E-3</v>
      </c>
      <c r="P3831">
        <v>-0.97229849999999995</v>
      </c>
      <c r="Q3831">
        <v>0.23239489999999999</v>
      </c>
      <c r="R3831">
        <v>2.5068190000000001E-2</v>
      </c>
      <c r="S3831">
        <v>-3.114258</v>
      </c>
      <c r="T3831">
        <v>-7.3416709999999996E-2</v>
      </c>
      <c r="U3831">
        <v>-0.42845149999999999</v>
      </c>
      <c r="V3831">
        <v>2.1138029999999999E-2</v>
      </c>
      <c r="W3831">
        <v>0.2462791</v>
      </c>
      <c r="X3831">
        <v>0.96896839999999995</v>
      </c>
      <c r="Y3831">
        <v>-0.14032339999999999</v>
      </c>
      <c r="Z3831">
        <v>-1.7424389999999999E-3</v>
      </c>
      <c r="AA3831">
        <v>0.99010419999999999</v>
      </c>
      <c r="AB3831">
        <v>31</v>
      </c>
      <c r="AC3831">
        <v>-46.809800000000003</v>
      </c>
      <c r="AD3831">
        <v>-1.110496051795</v>
      </c>
      <c r="AE3831">
        <v>-6.4821</v>
      </c>
      <c r="AF3831">
        <v>-6.6706877755812304</v>
      </c>
      <c r="AG3831">
        <v>-1.110496051795</v>
      </c>
      <c r="AH3831">
        <v>46.756951991944099</v>
      </c>
      <c r="AI3831">
        <v>91.346908275630994</v>
      </c>
      <c r="AJ3831">
        <v>98.119442034451197</v>
      </c>
      <c r="AK3831">
        <v>47.243452842243698</v>
      </c>
      <c r="AL3831">
        <v>75.742562631299293</v>
      </c>
      <c r="AM3831">
        <v>88.750291712621404</v>
      </c>
      <c r="AN3831">
        <v>0.99999998580382499</v>
      </c>
    </row>
    <row r="3832" spans="1:40" x14ac:dyDescent="0.25">
      <c r="A3832" t="str">
        <f>"20190312154633999"</f>
        <v>20190312154633999</v>
      </c>
      <c r="B3832" t="str">
        <f>"1552376793991142"</f>
        <v>1552376793991142</v>
      </c>
      <c r="C3832" t="s">
        <v>40</v>
      </c>
      <c r="D3832">
        <v>4.6808870000000002</v>
      </c>
      <c r="E3832">
        <v>0.4396872</v>
      </c>
      <c r="F3832" t="s">
        <v>42</v>
      </c>
      <c r="G3832">
        <v>-377.71390000000002</v>
      </c>
      <c r="H3832" s="1">
        <v>-1.9881219999999998E-6</v>
      </c>
      <c r="I3832">
        <v>135.01570000000001</v>
      </c>
      <c r="J3832">
        <v>-336.23509999999999</v>
      </c>
      <c r="K3832">
        <v>1.110493</v>
      </c>
      <c r="L3832">
        <v>140.76849999999999</v>
      </c>
      <c r="M3832">
        <v>-0.99988889999999997</v>
      </c>
      <c r="N3832">
        <v>0</v>
      </c>
      <c r="O3832">
        <v>4.2221719999999997E-3</v>
      </c>
      <c r="P3832">
        <v>-0.97243349999999995</v>
      </c>
      <c r="Q3832">
        <v>0.2317989</v>
      </c>
      <c r="R3832">
        <v>2.534515E-2</v>
      </c>
      <c r="S3832">
        <v>-3.1162719999999999</v>
      </c>
      <c r="T3832">
        <v>-8.2778930000000001E-2</v>
      </c>
      <c r="U3832">
        <v>-0.42871090000000001</v>
      </c>
      <c r="V3832">
        <v>2.1303280000000001E-2</v>
      </c>
      <c r="W3832">
        <v>0.2456815</v>
      </c>
      <c r="X3832">
        <v>0.96911650000000005</v>
      </c>
      <c r="Y3832">
        <v>-0.14041999999999999</v>
      </c>
      <c r="Z3832">
        <v>-1.9675840000000001E-3</v>
      </c>
      <c r="AA3832">
        <v>0.99009009999999997</v>
      </c>
      <c r="AB3832">
        <v>31</v>
      </c>
      <c r="AC3832">
        <v>-41.4788</v>
      </c>
      <c r="AD3832">
        <v>-1.1104949881220001</v>
      </c>
      <c r="AE3832">
        <v>-5.7527999999999704</v>
      </c>
      <c r="AF3832">
        <v>-5.9237314075040102</v>
      </c>
      <c r="AG3832">
        <v>-1.1104949881220001</v>
      </c>
      <c r="AH3832">
        <v>41.425006512226197</v>
      </c>
      <c r="AI3832">
        <v>91.520124455399298</v>
      </c>
      <c r="AJ3832">
        <v>98.138063255142995</v>
      </c>
      <c r="AK3832">
        <v>41.861138988862599</v>
      </c>
      <c r="AL3832">
        <v>75.777888316905006</v>
      </c>
      <c r="AM3832">
        <v>88.740717459293606</v>
      </c>
      <c r="AN3832">
        <v>1.00000000987662</v>
      </c>
    </row>
    <row r="3833" spans="1:40" x14ac:dyDescent="0.25">
      <c r="A3833" t="str">
        <f>"20190312154634021"</f>
        <v>20190312154634021</v>
      </c>
      <c r="B3833" t="str">
        <f>"1552376794011637"</f>
        <v>1552376794011637</v>
      </c>
      <c r="C3833" t="s">
        <v>40</v>
      </c>
      <c r="D3833">
        <v>4.6670879999999997</v>
      </c>
      <c r="E3833">
        <v>0.43909480000000001</v>
      </c>
      <c r="F3833" t="s">
        <v>42</v>
      </c>
      <c r="G3833">
        <v>-373.4871</v>
      </c>
      <c r="H3833" s="1">
        <v>-3.4830310000000002E-6</v>
      </c>
      <c r="I3833">
        <v>135.63210000000001</v>
      </c>
      <c r="J3833">
        <v>-336.5308</v>
      </c>
      <c r="K3833">
        <v>1.1104909999999999</v>
      </c>
      <c r="L3833">
        <v>140.7698</v>
      </c>
      <c r="M3833">
        <v>-0.99988840000000001</v>
      </c>
      <c r="N3833">
        <v>0</v>
      </c>
      <c r="O3833">
        <v>4.3253010000000001E-3</v>
      </c>
      <c r="P3833">
        <v>-0.97265420000000002</v>
      </c>
      <c r="Q3833">
        <v>0.23079079999999999</v>
      </c>
      <c r="R3833">
        <v>2.6069640000000002E-2</v>
      </c>
      <c r="S3833">
        <v>-3.1183779999999999</v>
      </c>
      <c r="T3833">
        <v>-9.2960119999999993E-2</v>
      </c>
      <c r="U3833">
        <v>-0.42996220000000002</v>
      </c>
      <c r="V3833">
        <v>2.1926069999999999E-2</v>
      </c>
      <c r="W3833">
        <v>0.24467369999999999</v>
      </c>
      <c r="X3833">
        <v>0.96935760000000004</v>
      </c>
      <c r="Y3833">
        <v>-0.1408085</v>
      </c>
      <c r="Z3833">
        <v>-2.2167670000000001E-3</v>
      </c>
      <c r="AA3833">
        <v>0.99003430000000003</v>
      </c>
      <c r="AB3833">
        <v>31</v>
      </c>
      <c r="AC3833">
        <v>-36.956299999999999</v>
      </c>
      <c r="AD3833">
        <v>-1.110494483031</v>
      </c>
      <c r="AE3833">
        <v>-5.1376999999999899</v>
      </c>
      <c r="AF3833">
        <v>-5.2928269393038301</v>
      </c>
      <c r="AG3833">
        <v>-1.110494483031</v>
      </c>
      <c r="AH3833">
        <v>36.901042414294899</v>
      </c>
      <c r="AI3833">
        <v>91.706278616796695</v>
      </c>
      <c r="AJ3833">
        <v>98.162433622463894</v>
      </c>
      <c r="AK3833">
        <v>37.295229537674899</v>
      </c>
      <c r="AL3833">
        <v>75.8374496909519</v>
      </c>
      <c r="AM3833">
        <v>88.7042376409171</v>
      </c>
      <c r="AN3833">
        <v>1.00000006434754</v>
      </c>
    </row>
    <row r="3834" spans="1:40" x14ac:dyDescent="0.25">
      <c r="A3834" t="str">
        <f>"20190312154634044"</f>
        <v>20190312154634044</v>
      </c>
      <c r="B3834" t="str">
        <f>"1552376794031705"</f>
        <v>1552376794031705</v>
      </c>
      <c r="C3834" t="s">
        <v>40</v>
      </c>
      <c r="D3834">
        <v>4.624911</v>
      </c>
      <c r="E3834">
        <v>0.43891940000000002</v>
      </c>
      <c r="F3834" t="s">
        <v>42</v>
      </c>
      <c r="G3834">
        <v>-368.91910000000001</v>
      </c>
      <c r="H3834" s="1">
        <v>-1.2416440000000001E-6</v>
      </c>
      <c r="I3834">
        <v>136.27979999999999</v>
      </c>
      <c r="J3834">
        <v>-336.8365</v>
      </c>
      <c r="K3834">
        <v>1.110484</v>
      </c>
      <c r="L3834">
        <v>140.7713</v>
      </c>
      <c r="M3834">
        <v>-0.999888</v>
      </c>
      <c r="N3834">
        <v>0</v>
      </c>
      <c r="O3834">
        <v>4.4321259999999998E-3</v>
      </c>
      <c r="P3834">
        <v>-0.97289859999999995</v>
      </c>
      <c r="Q3834">
        <v>0.22977249999999999</v>
      </c>
      <c r="R3834">
        <v>2.594043E-2</v>
      </c>
      <c r="S3834">
        <v>-3.1213380000000002</v>
      </c>
      <c r="T3834">
        <v>-0.10702100000000001</v>
      </c>
      <c r="U3834">
        <v>-0.4327087</v>
      </c>
      <c r="V3834">
        <v>2.1691510000000001E-2</v>
      </c>
      <c r="W3834">
        <v>0.24365600000000001</v>
      </c>
      <c r="X3834">
        <v>0.96961920000000001</v>
      </c>
      <c r="Y3834">
        <v>-0.1416211</v>
      </c>
      <c r="Z3834">
        <v>-2.5668430000000001E-3</v>
      </c>
      <c r="AA3834">
        <v>0.98991759999999995</v>
      </c>
      <c r="AB3834">
        <v>31</v>
      </c>
      <c r="AC3834">
        <v>-32.082599999999999</v>
      </c>
      <c r="AD3834">
        <v>-1.1104852416439901</v>
      </c>
      <c r="AE3834">
        <v>-4.4915000000000003</v>
      </c>
      <c r="AF3834">
        <v>-4.6282261281176202</v>
      </c>
      <c r="AG3834">
        <v>-1.1104852416439901</v>
      </c>
      <c r="AH3834">
        <v>32.024745171714699</v>
      </c>
      <c r="AI3834">
        <v>91.965579762869893</v>
      </c>
      <c r="AJ3834">
        <v>98.223467190349993</v>
      </c>
      <c r="AK3834">
        <v>32.376503175577199</v>
      </c>
      <c r="AL3834">
        <v>75.897579741847906</v>
      </c>
      <c r="AM3834">
        <v>88.718440493386595</v>
      </c>
      <c r="AN3834">
        <v>1.0000000804753499</v>
      </c>
    </row>
    <row r="3835" spans="1:40" x14ac:dyDescent="0.25">
      <c r="A3835" t="str">
        <f>"20190312154634067"</f>
        <v>20190312154634067</v>
      </c>
      <c r="B3835" t="str">
        <f>"1552376794060944"</f>
        <v>1552376794060944</v>
      </c>
      <c r="C3835" t="s">
        <v>40</v>
      </c>
      <c r="D3835">
        <v>4.6345559999999999</v>
      </c>
      <c r="E3835">
        <v>0.4383975</v>
      </c>
      <c r="F3835" t="s">
        <v>42</v>
      </c>
      <c r="G3835">
        <v>-364.21530000000001</v>
      </c>
      <c r="H3835" s="1">
        <v>-2.934574E-6</v>
      </c>
      <c r="I3835">
        <v>136.96299999999999</v>
      </c>
      <c r="J3835">
        <v>-337.15719999999999</v>
      </c>
      <c r="K3835">
        <v>1.110487</v>
      </c>
      <c r="L3835">
        <v>140.77279999999999</v>
      </c>
      <c r="M3835">
        <v>-0.99988750000000004</v>
      </c>
      <c r="N3835">
        <v>0</v>
      </c>
      <c r="O3835">
        <v>4.5441969999999998E-3</v>
      </c>
      <c r="P3835">
        <v>-0.97323150000000003</v>
      </c>
      <c r="Q3835">
        <v>0.22841929999999999</v>
      </c>
      <c r="R3835">
        <v>2.5396479999999999E-2</v>
      </c>
      <c r="S3835">
        <v>-3.125092</v>
      </c>
      <c r="T3835">
        <v>-0.12675419999999901</v>
      </c>
      <c r="U3835">
        <v>-0.43467709999999998</v>
      </c>
      <c r="V3835">
        <v>2.1036450000000002E-2</v>
      </c>
      <c r="W3835">
        <v>0.2423044</v>
      </c>
      <c r="X3835">
        <v>0.96997219999999995</v>
      </c>
      <c r="Y3835">
        <v>-0.14214789999999999</v>
      </c>
      <c r="Z3835">
        <v>-3.051186E-3</v>
      </c>
      <c r="AA3835">
        <v>0.98984070000000002</v>
      </c>
      <c r="AB3835">
        <v>30</v>
      </c>
      <c r="AC3835">
        <v>-27.0581</v>
      </c>
      <c r="AD3835">
        <v>-1.110489934574</v>
      </c>
      <c r="AE3835">
        <v>-3.8097999999999899</v>
      </c>
      <c r="AF3835">
        <v>-3.9262459068701099</v>
      </c>
      <c r="AG3835">
        <v>-1.110489934574</v>
      </c>
      <c r="AH3835">
        <v>26.995919428121301</v>
      </c>
      <c r="AI3835">
        <v>92.331063743172606</v>
      </c>
      <c r="AJ3835">
        <v>98.274992284403595</v>
      </c>
      <c r="AK3835">
        <v>27.302532127728099</v>
      </c>
      <c r="AL3835">
        <v>75.977412243066794</v>
      </c>
      <c r="AM3835">
        <v>88.757582040933102</v>
      </c>
      <c r="AN3835">
        <v>1.0000000116304</v>
      </c>
    </row>
    <row r="3836" spans="1:40" x14ac:dyDescent="0.25">
      <c r="A3836" t="str">
        <f>"20190312154634088"</f>
        <v>20190312154634088</v>
      </c>
      <c r="B3836" t="str">
        <f>"1552376794081440"</f>
        <v>1552376794081440</v>
      </c>
      <c r="C3836" t="s">
        <v>40</v>
      </c>
      <c r="D3836">
        <v>4.6117990000000004</v>
      </c>
      <c r="E3836">
        <v>0.43822</v>
      </c>
      <c r="F3836" t="s">
        <v>42</v>
      </c>
      <c r="G3836">
        <v>-362.399</v>
      </c>
      <c r="H3836" s="1">
        <v>-3.66914E-6</v>
      </c>
      <c r="I3836">
        <v>137.21459999999999</v>
      </c>
      <c r="J3836">
        <v>-337.43990000000002</v>
      </c>
      <c r="K3836">
        <v>1.110482</v>
      </c>
      <c r="L3836">
        <v>140.77420000000001</v>
      </c>
      <c r="M3836">
        <v>-0.99988710000000003</v>
      </c>
      <c r="N3836">
        <v>0</v>
      </c>
      <c r="O3836">
        <v>4.6432720000000004E-3</v>
      </c>
      <c r="P3836">
        <v>-0.97355689999999995</v>
      </c>
      <c r="Q3836">
        <v>0.22701260000000001</v>
      </c>
      <c r="R3836">
        <v>2.5547050000000002E-2</v>
      </c>
      <c r="S3836">
        <v>-3.1262819999999998</v>
      </c>
      <c r="T3836">
        <v>-0.13753840000000001</v>
      </c>
      <c r="U3836">
        <v>-0.4406891</v>
      </c>
      <c r="V3836">
        <v>2.108873E-2</v>
      </c>
      <c r="W3836">
        <v>0.24089959999999999</v>
      </c>
      <c r="X3836">
        <v>0.97032090000000004</v>
      </c>
      <c r="Y3836">
        <v>-0.14403850000000001</v>
      </c>
      <c r="Z3836">
        <v>-3.3545580000000001E-3</v>
      </c>
      <c r="AA3836">
        <v>0.98956639999999996</v>
      </c>
      <c r="AB3836">
        <v>30</v>
      </c>
      <c r="AC3836">
        <v>-24.9590999999999</v>
      </c>
      <c r="AD3836">
        <v>-1.11048566913999</v>
      </c>
      <c r="AE3836">
        <v>-3.5596000000000099</v>
      </c>
      <c r="AF3836">
        <v>-3.6683483964566399</v>
      </c>
      <c r="AG3836">
        <v>-1.11048566913999</v>
      </c>
      <c r="AH3836">
        <v>24.894004240027499</v>
      </c>
      <c r="AI3836">
        <v>92.526936468439203</v>
      </c>
      <c r="AJ3836">
        <v>98.382704005800207</v>
      </c>
      <c r="AK3836">
        <v>25.1873262868781</v>
      </c>
      <c r="AL3836">
        <v>76.0603584522662</v>
      </c>
      <c r="AM3836">
        <v>88.754942793245306</v>
      </c>
      <c r="AN3836">
        <v>1.00000000039499</v>
      </c>
    </row>
    <row r="3837" spans="1:40" x14ac:dyDescent="0.25">
      <c r="A3837" t="str">
        <f>"20190312154634110"</f>
        <v>20190312154634110</v>
      </c>
      <c r="B3837" t="str">
        <f>"1552376794100961"</f>
        <v>1552376794100961</v>
      </c>
      <c r="C3837" t="s">
        <v>40</v>
      </c>
      <c r="D3837">
        <v>4.5816619999999997</v>
      </c>
      <c r="E3837">
        <v>0.4380366</v>
      </c>
      <c r="F3837" t="s">
        <v>42</v>
      </c>
      <c r="G3837">
        <v>-361.673</v>
      </c>
      <c r="H3837" s="1">
        <v>-3.9564900000000003E-6</v>
      </c>
      <c r="I3837">
        <v>137.3503</v>
      </c>
      <c r="J3837">
        <v>-337.74880000000002</v>
      </c>
      <c r="K3837">
        <v>1.110479</v>
      </c>
      <c r="L3837">
        <v>140.7758</v>
      </c>
      <c r="M3837">
        <v>-0.99988679999999996</v>
      </c>
      <c r="N3837">
        <v>0</v>
      </c>
      <c r="O3837">
        <v>4.7505769999999998E-3</v>
      </c>
      <c r="P3837">
        <v>-0.97372769999999997</v>
      </c>
      <c r="Q3837">
        <v>0.22628870000000001</v>
      </c>
      <c r="R3837">
        <v>2.54577E-2</v>
      </c>
      <c r="S3837">
        <v>-3.126465</v>
      </c>
      <c r="T3837">
        <v>-0.14327119999999999</v>
      </c>
      <c r="U3837">
        <v>-0.44172670000000003</v>
      </c>
      <c r="V3837">
        <v>2.089365E-2</v>
      </c>
      <c r="W3837">
        <v>0.24017479999999999</v>
      </c>
      <c r="X3837">
        <v>0.97050479999999995</v>
      </c>
      <c r="Y3837">
        <v>-0.14444609999999999</v>
      </c>
      <c r="Z3837">
        <v>-3.5081380000000001E-3</v>
      </c>
      <c r="AA3837">
        <v>0.98950640000000001</v>
      </c>
      <c r="AB3837">
        <v>30</v>
      </c>
      <c r="AC3837">
        <v>-23.9241999999999</v>
      </c>
      <c r="AD3837">
        <v>-1.1104829564899901</v>
      </c>
      <c r="AE3837">
        <v>-3.4254999999999902</v>
      </c>
      <c r="AF3837">
        <v>-3.5316705082670099</v>
      </c>
      <c r="AG3837">
        <v>-1.1104829564899901</v>
      </c>
      <c r="AH3837">
        <v>23.857287002525698</v>
      </c>
      <c r="AI3837">
        <v>92.636329532575402</v>
      </c>
      <c r="AJ3837">
        <v>98.4205242450128</v>
      </c>
      <c r="AK3837">
        <v>24.142825271630901</v>
      </c>
      <c r="AL3837">
        <v>76.103142900128901</v>
      </c>
      <c r="AM3837">
        <v>88.7666902138632</v>
      </c>
      <c r="AN3837">
        <v>1.0000000229942001</v>
      </c>
    </row>
    <row r="3838" spans="1:40" x14ac:dyDescent="0.25">
      <c r="A3838" t="str">
        <f>"20190312154634133"</f>
        <v>20190312154634133</v>
      </c>
      <c r="B3838" t="str">
        <f>"1552376794121456"</f>
        <v>1552376794121456</v>
      </c>
      <c r="C3838" t="s">
        <v>40</v>
      </c>
      <c r="D3838">
        <v>4.5642889999999996</v>
      </c>
      <c r="E3838">
        <v>0.43781100000000001</v>
      </c>
      <c r="F3838" t="s">
        <v>42</v>
      </c>
      <c r="G3838">
        <v>-361.31150000000002</v>
      </c>
      <c r="H3838" s="1">
        <v>-4.0963330000000003E-6</v>
      </c>
      <c r="I3838">
        <v>137.43620000000001</v>
      </c>
      <c r="J3838">
        <v>-338.048</v>
      </c>
      <c r="K3838">
        <v>1.1104700000000001</v>
      </c>
      <c r="L3838">
        <v>140.7773</v>
      </c>
      <c r="M3838">
        <v>-0.99988619999999995</v>
      </c>
      <c r="N3838">
        <v>0</v>
      </c>
      <c r="O3838">
        <v>4.8551970000000003E-3</v>
      </c>
      <c r="P3838">
        <v>-0.97382369999999996</v>
      </c>
      <c r="Q3838">
        <v>0.2258694</v>
      </c>
      <c r="R3838">
        <v>2.550792E-2</v>
      </c>
      <c r="S3838">
        <v>-3.1267399999999999</v>
      </c>
      <c r="T3838">
        <v>-0.14735980000000001</v>
      </c>
      <c r="U3838">
        <v>-0.44314579999999998</v>
      </c>
      <c r="V3838">
        <v>2.0841220000000001E-2</v>
      </c>
      <c r="W3838">
        <v>0.23975399999999999</v>
      </c>
      <c r="X3838">
        <v>0.97060999999999997</v>
      </c>
      <c r="Y3838">
        <v>-0.1449684</v>
      </c>
      <c r="Z3838">
        <v>-3.6248600000000001E-3</v>
      </c>
      <c r="AA3838">
        <v>0.98942969999999997</v>
      </c>
      <c r="AB3838">
        <v>30</v>
      </c>
      <c r="AC3838">
        <v>-23.263500000000001</v>
      </c>
      <c r="AD3838">
        <v>-1.110474096333</v>
      </c>
      <c r="AE3838">
        <v>-3.34109999999998</v>
      </c>
      <c r="AF3838">
        <v>-3.44632693736565</v>
      </c>
      <c r="AG3838">
        <v>-1.110474096333</v>
      </c>
      <c r="AH3838">
        <v>23.1952180706779</v>
      </c>
      <c r="AI3838">
        <v>92.711232321886698</v>
      </c>
      <c r="AJ3838">
        <v>98.451134528892595</v>
      </c>
      <c r="AK3838">
        <v>23.476125392068798</v>
      </c>
      <c r="AL3838">
        <v>76.127979067898707</v>
      </c>
      <c r="AM3838">
        <v>88.769917394673797</v>
      </c>
      <c r="AN3838">
        <v>1.0000000545335399</v>
      </c>
    </row>
    <row r="3839" spans="1:40" x14ac:dyDescent="0.25">
      <c r="A3839" t="str">
        <f>"20190312154634155"</f>
        <v>20190312154634155</v>
      </c>
      <c r="B3839" t="str">
        <f>"1552376794151713"</f>
        <v>1552376794151713</v>
      </c>
      <c r="C3839" t="s">
        <v>40</v>
      </c>
      <c r="D3839">
        <v>4.5335979999999996</v>
      </c>
      <c r="E3839">
        <v>0.43766949999999999</v>
      </c>
      <c r="F3839" t="s">
        <v>42</v>
      </c>
      <c r="G3839">
        <v>-361.36750000000001</v>
      </c>
      <c r="H3839" s="1">
        <v>-4.0678899999999998E-6</v>
      </c>
      <c r="I3839">
        <v>137.46109999999999</v>
      </c>
      <c r="J3839">
        <v>-338.34370000000001</v>
      </c>
      <c r="K3839">
        <v>1.110474</v>
      </c>
      <c r="L3839">
        <v>140.77879999999999</v>
      </c>
      <c r="M3839">
        <v>-0.99988580000000005</v>
      </c>
      <c r="N3839">
        <v>0</v>
      </c>
      <c r="O3839">
        <v>4.9584470000000004E-3</v>
      </c>
      <c r="P3839">
        <v>-0.97392299999999998</v>
      </c>
      <c r="Q3839">
        <v>0.22541520000000001</v>
      </c>
      <c r="R3839">
        <v>2.5730920000000001E-2</v>
      </c>
      <c r="S3839">
        <v>-3.1268310000000001</v>
      </c>
      <c r="T3839">
        <v>-0.14889959999999999</v>
      </c>
      <c r="U3839">
        <v>-0.44464110000000001</v>
      </c>
      <c r="V3839">
        <v>2.0962959999999999E-2</v>
      </c>
      <c r="W3839">
        <v>0.23929839999999999</v>
      </c>
      <c r="X3839">
        <v>0.97071980000000002</v>
      </c>
      <c r="Y3839">
        <v>-0.14552619999999999</v>
      </c>
      <c r="Z3839">
        <v>-3.680563E-3</v>
      </c>
      <c r="AA3839">
        <v>0.98934759999999999</v>
      </c>
      <c r="AB3839">
        <v>30</v>
      </c>
      <c r="AC3839">
        <v>-23.023799999999898</v>
      </c>
      <c r="AD3839">
        <v>-1.1104780678899999</v>
      </c>
      <c r="AE3839">
        <v>-3.3176999999999999</v>
      </c>
      <c r="AF3839">
        <v>-3.4240298395881301</v>
      </c>
      <c r="AG3839">
        <v>-1.1104780678899999</v>
      </c>
      <c r="AH3839">
        <v>22.954751181678802</v>
      </c>
      <c r="AI3839">
        <v>92.739367991064398</v>
      </c>
      <c r="AJ3839">
        <v>98.483932529332293</v>
      </c>
      <c r="AK3839">
        <v>23.235269391475502</v>
      </c>
      <c r="AL3839">
        <v>76.154865632545693</v>
      </c>
      <c r="AM3839">
        <v>88.762874235512697</v>
      </c>
      <c r="AN3839">
        <v>1.00000005002327</v>
      </c>
    </row>
    <row r="3840" spans="1:40" x14ac:dyDescent="0.25">
      <c r="A3840" t="str">
        <f>"20190312154634177"</f>
        <v>20190312154634177</v>
      </c>
      <c r="B3840" t="str">
        <f>"1552376794171232"</f>
        <v>1552376794171232</v>
      </c>
      <c r="C3840" t="s">
        <v>40</v>
      </c>
      <c r="D3840">
        <v>4.5409040000000003</v>
      </c>
      <c r="E3840">
        <v>0.46036470000000002</v>
      </c>
      <c r="F3840" t="s">
        <v>42</v>
      </c>
      <c r="G3840">
        <v>-361.40879999999999</v>
      </c>
      <c r="H3840" s="1">
        <v>-4.0444869999999901E-6</v>
      </c>
      <c r="I3840">
        <v>137.49340000000001</v>
      </c>
      <c r="J3840">
        <v>-338.6413</v>
      </c>
      <c r="K3840">
        <v>1.110473</v>
      </c>
      <c r="L3840">
        <v>140.78039999999999</v>
      </c>
      <c r="M3840">
        <v>-0.99988540000000004</v>
      </c>
      <c r="N3840">
        <v>0</v>
      </c>
      <c r="O3840">
        <v>5.0622330000000002E-3</v>
      </c>
      <c r="P3840">
        <v>-0.97414310000000004</v>
      </c>
      <c r="Q3840">
        <v>0.22440789999999999</v>
      </c>
      <c r="R3840">
        <v>2.620215E-2</v>
      </c>
      <c r="S3840">
        <v>-3.1269840000000002</v>
      </c>
      <c r="T3840">
        <v>-0.1505505</v>
      </c>
      <c r="U3840">
        <v>-0.44540410000000002</v>
      </c>
      <c r="V3840">
        <v>2.1331610000000001E-2</v>
      </c>
      <c r="W3840">
        <v>0.2382909</v>
      </c>
      <c r="X3840">
        <v>0.97095949999999998</v>
      </c>
      <c r="Y3840">
        <v>-0.1458546</v>
      </c>
      <c r="Z3840">
        <v>-3.7339119999999998E-3</v>
      </c>
      <c r="AA3840">
        <v>0.98929900000000004</v>
      </c>
      <c r="AB3840">
        <v>30</v>
      </c>
      <c r="AC3840">
        <v>-22.767499999999899</v>
      </c>
      <c r="AD3840">
        <v>-1.110477044487</v>
      </c>
      <c r="AE3840">
        <v>-3.2869999999999702</v>
      </c>
      <c r="AF3840">
        <v>-3.3943139080052598</v>
      </c>
      <c r="AG3840">
        <v>-1.110477044487</v>
      </c>
      <c r="AH3840">
        <v>22.6976724432716</v>
      </c>
      <c r="AI3840">
        <v>92.770190389019305</v>
      </c>
      <c r="AJ3840">
        <v>98.505244488697599</v>
      </c>
      <c r="AK3840">
        <v>22.976920170346201</v>
      </c>
      <c r="AL3840">
        <v>76.214309759891904</v>
      </c>
      <c r="AM3840">
        <v>88.7414360321239</v>
      </c>
      <c r="AN3840">
        <v>0.99999997062412505</v>
      </c>
    </row>
    <row r="3841" spans="1:40" x14ac:dyDescent="0.25">
      <c r="A3841" t="str">
        <f>"20190312154634200"</f>
        <v>20190312154634200</v>
      </c>
      <c r="B3841" t="str">
        <f>"1552376794191727"</f>
        <v>1552376794191727</v>
      </c>
      <c r="C3841" t="s">
        <v>40</v>
      </c>
      <c r="D3841">
        <v>4.491358</v>
      </c>
      <c r="E3841">
        <v>0.46361239999999998</v>
      </c>
      <c r="F3841" t="s">
        <v>42</v>
      </c>
      <c r="G3841">
        <v>-370.0566</v>
      </c>
      <c r="H3841" s="1">
        <v>-4.5093899999999997E-6</v>
      </c>
      <c r="I3841">
        <v>138.14250000000001</v>
      </c>
      <c r="J3841">
        <v>-338.94990000000001</v>
      </c>
      <c r="K3841">
        <v>1.1104780000000001</v>
      </c>
      <c r="L3841">
        <v>140.78210000000001</v>
      </c>
      <c r="M3841">
        <v>-0.99988469999999996</v>
      </c>
      <c r="N3841">
        <v>0</v>
      </c>
      <c r="O3841">
        <v>5.1701919999999997E-3</v>
      </c>
      <c r="P3841">
        <v>-0.97421159999999996</v>
      </c>
      <c r="Q3841">
        <v>0.22407460000000001</v>
      </c>
      <c r="R3841">
        <v>2.6498379999999998E-2</v>
      </c>
      <c r="S3841">
        <v>-3.1120000000000001</v>
      </c>
      <c r="T3841">
        <v>-0.1100038</v>
      </c>
      <c r="U3841">
        <v>-0.26130679999999901</v>
      </c>
      <c r="V3841">
        <v>2.1521930000000002E-2</v>
      </c>
      <c r="W3841">
        <v>0.23795559999999999</v>
      </c>
      <c r="X3841">
        <v>0.97103759999999995</v>
      </c>
      <c r="Y3841">
        <v>-8.8766220000000007E-2</v>
      </c>
      <c r="Z3841">
        <v>-1.7480320000000001E-3</v>
      </c>
      <c r="AA3841">
        <v>0.99605100000000002</v>
      </c>
      <c r="AB3841">
        <v>30</v>
      </c>
      <c r="AC3841">
        <v>-31.106699999999901</v>
      </c>
      <c r="AD3841">
        <v>-1.1104825093899999</v>
      </c>
      <c r="AE3841">
        <v>-2.6396000000000002</v>
      </c>
      <c r="AF3841">
        <v>-2.7968697910562099</v>
      </c>
      <c r="AG3841">
        <v>-1.1104825093899999</v>
      </c>
      <c r="AH3841">
        <v>31.053343182184701</v>
      </c>
      <c r="AI3841">
        <v>92.039802239009802</v>
      </c>
      <c r="AJ3841">
        <v>95.146551150195293</v>
      </c>
      <c r="AK3841">
        <v>31.1988104712715</v>
      </c>
      <c r="AL3841">
        <v>76.234091001079193</v>
      </c>
      <c r="AM3841">
        <v>88.730312916360106</v>
      </c>
      <c r="AN3841">
        <v>1.0000000408280201</v>
      </c>
    </row>
    <row r="3842" spans="1:40" x14ac:dyDescent="0.25">
      <c r="A3842" t="str">
        <f>"20190312154634222"</f>
        <v>20190312154634222</v>
      </c>
      <c r="B3842" t="str">
        <f>"1552376794211249"</f>
        <v>1552376794211249</v>
      </c>
      <c r="C3842" t="s">
        <v>40</v>
      </c>
      <c r="D3842">
        <v>4.404382</v>
      </c>
      <c r="E3842">
        <v>0.46506649999999999</v>
      </c>
      <c r="F3842" t="s">
        <v>42</v>
      </c>
      <c r="G3842">
        <v>-370.4119</v>
      </c>
      <c r="H3842" s="1">
        <v>-4.308909E-6</v>
      </c>
      <c r="I3842">
        <v>138.4135</v>
      </c>
      <c r="J3842">
        <v>-339.26049999999998</v>
      </c>
      <c r="K3842">
        <v>1.1104689999999999</v>
      </c>
      <c r="L3842">
        <v>140.78380000000001</v>
      </c>
      <c r="M3842">
        <v>-0.9998842</v>
      </c>
      <c r="N3842">
        <v>0</v>
      </c>
      <c r="O3842">
        <v>5.2791610000000001E-3</v>
      </c>
      <c r="P3842">
        <v>-0.97438389999999997</v>
      </c>
      <c r="Q3842">
        <v>0.22328419999999999</v>
      </c>
      <c r="R3842">
        <v>2.6837110000000001E-2</v>
      </c>
      <c r="S3842">
        <v>-3.1110530000000001</v>
      </c>
      <c r="T3842">
        <v>-0.10980760000000001</v>
      </c>
      <c r="U3842">
        <v>-0.2342072</v>
      </c>
      <c r="V3842">
        <v>2.175328E-2</v>
      </c>
      <c r="W3842">
        <v>0.23716400000000001</v>
      </c>
      <c r="X3842">
        <v>0.97122600000000003</v>
      </c>
      <c r="Y3842">
        <v>-8.0280610000000002E-2</v>
      </c>
      <c r="Z3842">
        <v>-1.6003899999999999E-3</v>
      </c>
      <c r="AA3842">
        <v>0.99677099999999996</v>
      </c>
      <c r="AB3842">
        <v>30</v>
      </c>
      <c r="AC3842">
        <v>-31.151399999999999</v>
      </c>
      <c r="AD3842">
        <v>-1.110473308909</v>
      </c>
      <c r="AE3842">
        <v>-2.3703000000000101</v>
      </c>
      <c r="AF3842">
        <v>-2.5315385308468801</v>
      </c>
      <c r="AG3842">
        <v>-1.110473308909</v>
      </c>
      <c r="AH3842">
        <v>31.0991594893726</v>
      </c>
      <c r="AI3842">
        <v>92.038284036584201</v>
      </c>
      <c r="AJ3842">
        <v>94.653738856245994</v>
      </c>
      <c r="AK3842">
        <v>31.2217802062662</v>
      </c>
      <c r="AL3842">
        <v>76.280781802919705</v>
      </c>
      <c r="AM3842">
        <v>88.716917813803207</v>
      </c>
      <c r="AN3842">
        <v>0.999999955581378</v>
      </c>
    </row>
    <row r="3843" spans="1:40" x14ac:dyDescent="0.25">
      <c r="A3843" t="str">
        <f>"20190312154634246"</f>
        <v>20190312154634246</v>
      </c>
      <c r="B3843" t="str">
        <f>"1552376794241504"</f>
        <v>1552376794241504</v>
      </c>
      <c r="C3843" t="s">
        <v>40</v>
      </c>
      <c r="D3843">
        <v>4.4466539999999997</v>
      </c>
      <c r="E3843">
        <v>0.46594449999999998</v>
      </c>
      <c r="F3843" t="s">
        <v>42</v>
      </c>
      <c r="G3843">
        <v>-371.0299</v>
      </c>
      <c r="H3843" s="1">
        <v>-4.0241589999999999E-6</v>
      </c>
      <c r="I3843">
        <v>138.5241</v>
      </c>
      <c r="J3843">
        <v>-339.56760000000003</v>
      </c>
      <c r="K3843">
        <v>1.110465</v>
      </c>
      <c r="L3843">
        <v>140.78559999999999</v>
      </c>
      <c r="M3843">
        <v>-0.99988370000000004</v>
      </c>
      <c r="N3843">
        <v>0</v>
      </c>
      <c r="O3843">
        <v>5.3866410000000002E-3</v>
      </c>
      <c r="P3843">
        <v>-0.97454730000000001</v>
      </c>
      <c r="Q3843">
        <v>0.22255900000000001</v>
      </c>
      <c r="R3843">
        <v>2.6934059999999999E-2</v>
      </c>
      <c r="S3843">
        <v>-3.1098940000000002</v>
      </c>
      <c r="T3843">
        <v>-0.1087037</v>
      </c>
      <c r="U3843">
        <v>-0.22119140000000001</v>
      </c>
      <c r="V3843">
        <v>2.1744360000000001E-2</v>
      </c>
      <c r="W3843">
        <v>0.2364385</v>
      </c>
      <c r="X3843">
        <v>0.97140309999999996</v>
      </c>
      <c r="Y3843">
        <v>-7.6268810000000006E-2</v>
      </c>
      <c r="Z3843">
        <v>-1.5188879999999999E-3</v>
      </c>
      <c r="AA3843">
        <v>0.99708609999999998</v>
      </c>
      <c r="AB3843">
        <v>30</v>
      </c>
      <c r="AC3843">
        <v>-31.4622999999999</v>
      </c>
      <c r="AD3843">
        <v>-1.1104690241590001</v>
      </c>
      <c r="AE3843">
        <v>-2.2614999999999799</v>
      </c>
      <c r="AF3843">
        <v>-2.4279514703103402</v>
      </c>
      <c r="AG3843">
        <v>-1.1104690241590001</v>
      </c>
      <c r="AH3843">
        <v>31.410731440170199</v>
      </c>
      <c r="AI3843">
        <v>92.018727580709495</v>
      </c>
      <c r="AJ3843">
        <v>94.419995975485406</v>
      </c>
      <c r="AK3843">
        <v>31.523993075153001</v>
      </c>
      <c r="AL3843">
        <v>76.323567148971904</v>
      </c>
      <c r="AM3843">
        <v>88.717677519229198</v>
      </c>
      <c r="AN3843">
        <v>0.99999998208183405</v>
      </c>
    </row>
    <row r="3844" spans="1:40" x14ac:dyDescent="0.25">
      <c r="A3844" t="str">
        <f>"20190312154634267"</f>
        <v>20190312154634267</v>
      </c>
      <c r="B3844" t="str">
        <f>"1552376794261024"</f>
        <v>1552376794261024</v>
      </c>
      <c r="C3844" t="s">
        <v>40</v>
      </c>
      <c r="D3844">
        <v>4.4355570000000002</v>
      </c>
      <c r="E3844">
        <v>0.46586699999999998</v>
      </c>
      <c r="F3844" t="s">
        <v>42</v>
      </c>
      <c r="G3844">
        <v>-372.31979999999999</v>
      </c>
      <c r="H3844" s="1">
        <v>-3.4696370000000002E-6</v>
      </c>
      <c r="I3844">
        <v>138.5309</v>
      </c>
      <c r="J3844">
        <v>-339.86840000000001</v>
      </c>
      <c r="K3844">
        <v>1.1104689999999999</v>
      </c>
      <c r="L3844">
        <v>140.78729999999999</v>
      </c>
      <c r="M3844">
        <v>-0.99988319999999997</v>
      </c>
      <c r="N3844">
        <v>0</v>
      </c>
      <c r="O3844">
        <v>5.4916770000000004E-3</v>
      </c>
      <c r="P3844">
        <v>-0.97458999999999996</v>
      </c>
      <c r="Q3844">
        <v>0.22231670000000001</v>
      </c>
      <c r="R3844">
        <v>2.738268E-2</v>
      </c>
      <c r="S3844">
        <v>-3.1083370000000001</v>
      </c>
      <c r="T3844">
        <v>-0.105389</v>
      </c>
      <c r="U3844">
        <v>-0.213974</v>
      </c>
      <c r="V3844">
        <v>2.209007E-2</v>
      </c>
      <c r="W3844">
        <v>0.2361934</v>
      </c>
      <c r="X3844">
        <v>0.97145490000000001</v>
      </c>
      <c r="Y3844">
        <v>-7.410891E-2</v>
      </c>
      <c r="Z3844">
        <v>-1.440448E-3</v>
      </c>
      <c r="AA3844">
        <v>0.9972491</v>
      </c>
      <c r="AB3844">
        <v>30</v>
      </c>
      <c r="AC3844">
        <v>-32.4513999999999</v>
      </c>
      <c r="AD3844">
        <v>-1.1104724696369901</v>
      </c>
      <c r="AE3844">
        <v>-2.2563999999999802</v>
      </c>
      <c r="AF3844">
        <v>-2.4317628643893401</v>
      </c>
      <c r="AG3844">
        <v>-1.1104724696369901</v>
      </c>
      <c r="AH3844">
        <v>32.400759844783003</v>
      </c>
      <c r="AI3844">
        <v>91.957431117667696</v>
      </c>
      <c r="AJ3844">
        <v>94.292153024080406</v>
      </c>
      <c r="AK3844">
        <v>32.510857544115098</v>
      </c>
      <c r="AL3844">
        <v>76.3380193603831</v>
      </c>
      <c r="AM3844">
        <v>88.697366494579896</v>
      </c>
      <c r="AN3844">
        <v>0.99999995806508601</v>
      </c>
    </row>
    <row r="3845" spans="1:40" x14ac:dyDescent="0.25">
      <c r="A3845" t="str">
        <f>"20190312154634289"</f>
        <v>20190312154634289</v>
      </c>
      <c r="B3845" t="str">
        <f>"1552376794281520"</f>
        <v>1552376794281520</v>
      </c>
      <c r="C3845" t="s">
        <v>40</v>
      </c>
      <c r="D3845">
        <v>4.4306070000000002</v>
      </c>
      <c r="E3845">
        <v>0.46584429999999999</v>
      </c>
      <c r="F3845" t="s">
        <v>42</v>
      </c>
      <c r="G3845">
        <v>-372.69920000000002</v>
      </c>
      <c r="H3845" s="1">
        <v>-3.306661E-6</v>
      </c>
      <c r="I3845">
        <v>138.53190000000001</v>
      </c>
      <c r="J3845">
        <v>-340.15140000000002</v>
      </c>
      <c r="K3845">
        <v>1.1104719999999999</v>
      </c>
      <c r="L3845">
        <v>140.78899999999999</v>
      </c>
      <c r="M3845">
        <v>-0.99988279999999996</v>
      </c>
      <c r="N3845">
        <v>0</v>
      </c>
      <c r="O3845">
        <v>5.5905759999999999E-3</v>
      </c>
      <c r="P3845">
        <v>-0.97469479999999997</v>
      </c>
      <c r="Q3845">
        <v>0.22186829999999999</v>
      </c>
      <c r="R3845">
        <v>2.728879E-2</v>
      </c>
      <c r="S3845">
        <v>-3.108215</v>
      </c>
      <c r="T3845">
        <v>-0.10513260000000001</v>
      </c>
      <c r="U3845">
        <v>-0.21351619999999999</v>
      </c>
      <c r="V3845">
        <v>2.1899040000000002E-2</v>
      </c>
      <c r="W3845">
        <v>0.23574400000000001</v>
      </c>
      <c r="X3845">
        <v>0.97156849999999995</v>
      </c>
      <c r="Y3845">
        <v>-7.4064229999999995E-2</v>
      </c>
      <c r="Z3845">
        <v>-1.4395949999999999E-3</v>
      </c>
      <c r="AA3845">
        <v>0.99725240000000004</v>
      </c>
      <c r="AB3845">
        <v>30</v>
      </c>
      <c r="AC3845">
        <v>-32.547799999999903</v>
      </c>
      <c r="AD3845">
        <v>-1.11047530666099</v>
      </c>
      <c r="AE3845">
        <v>-2.2570999999999799</v>
      </c>
      <c r="AF3845">
        <v>-2.43622182337044</v>
      </c>
      <c r="AG3845">
        <v>-1.11047530666099</v>
      </c>
      <c r="AH3845">
        <v>32.497024122761999</v>
      </c>
      <c r="AI3845">
        <v>91.951654572833405</v>
      </c>
      <c r="AJ3845">
        <v>94.287303674125795</v>
      </c>
      <c r="AK3845">
        <v>32.607129726713801</v>
      </c>
      <c r="AL3845">
        <v>76.364517979448394</v>
      </c>
      <c r="AM3845">
        <v>88.708778489203397</v>
      </c>
      <c r="AN3845">
        <v>1.00000007584058</v>
      </c>
    </row>
    <row r="3846" spans="1:40" x14ac:dyDescent="0.25">
      <c r="A3846" t="str">
        <f>"20190312154634310"</f>
        <v>20190312154634310</v>
      </c>
      <c r="B3846" t="str">
        <f>"1552376794301040"</f>
        <v>1552376794301040</v>
      </c>
      <c r="C3846" t="s">
        <v>40</v>
      </c>
      <c r="D3846">
        <v>4.4278930000000001</v>
      </c>
      <c r="E3846">
        <v>0.46580440000000001</v>
      </c>
      <c r="F3846" t="s">
        <v>42</v>
      </c>
      <c r="G3846">
        <v>-372.83550000000002</v>
      </c>
      <c r="H3846" s="1">
        <v>-3.245367E-6</v>
      </c>
      <c r="I3846">
        <v>138.5478</v>
      </c>
      <c r="J3846">
        <v>-340.4452</v>
      </c>
      <c r="K3846">
        <v>1.110474</v>
      </c>
      <c r="L3846">
        <v>140.79069999999999</v>
      </c>
      <c r="M3846">
        <v>-0.9998821</v>
      </c>
      <c r="N3846">
        <v>0</v>
      </c>
      <c r="O3846">
        <v>5.6932880000000003E-3</v>
      </c>
      <c r="P3846">
        <v>-0.97486899999999999</v>
      </c>
      <c r="Q3846">
        <v>0.22105350000000001</v>
      </c>
      <c r="R3846">
        <v>2.767447E-2</v>
      </c>
      <c r="S3846">
        <v>-3.10791</v>
      </c>
      <c r="T3846">
        <v>-0.1055944</v>
      </c>
      <c r="U3846">
        <v>-0.21310419999999999</v>
      </c>
      <c r="V3846">
        <v>2.2183270000000001E-2</v>
      </c>
      <c r="W3846">
        <v>0.23492879999999999</v>
      </c>
      <c r="X3846">
        <v>0.97175940000000005</v>
      </c>
      <c r="Y3846">
        <v>-7.4041350000000006E-2</v>
      </c>
      <c r="Z3846">
        <v>-1.4491599999999999E-3</v>
      </c>
      <c r="AA3846">
        <v>0.99725410000000003</v>
      </c>
      <c r="AB3846">
        <v>30</v>
      </c>
      <c r="AC3846">
        <v>-32.390300000000003</v>
      </c>
      <c r="AD3846">
        <v>-1.110477245367</v>
      </c>
      <c r="AE3846">
        <v>-2.2428999999999899</v>
      </c>
      <c r="AF3846">
        <v>-2.4244535752794101</v>
      </c>
      <c r="AG3846">
        <v>-1.110477245367</v>
      </c>
      <c r="AH3846">
        <v>32.339173781188201</v>
      </c>
      <c r="AI3846">
        <v>91.961176474677202</v>
      </c>
      <c r="AJ3846">
        <v>94.287418902057595</v>
      </c>
      <c r="AK3846">
        <v>32.448933660461897</v>
      </c>
      <c r="AL3846">
        <v>76.412573976135903</v>
      </c>
      <c r="AM3846">
        <v>88.692282230173504</v>
      </c>
      <c r="AN3846">
        <v>0.99999998501284604</v>
      </c>
    </row>
    <row r="3847" spans="1:40" x14ac:dyDescent="0.25">
      <c r="A3847" t="str">
        <f>"20190312154634333"</f>
        <v>20190312154634333</v>
      </c>
      <c r="B3847" t="str">
        <f>"1552376794321536"</f>
        <v>1552376794321536</v>
      </c>
      <c r="C3847" t="s">
        <v>40</v>
      </c>
      <c r="D3847">
        <v>4.4543200000000001</v>
      </c>
      <c r="E3847">
        <v>0.46579359999999997</v>
      </c>
      <c r="F3847" t="s">
        <v>42</v>
      </c>
      <c r="G3847">
        <v>-372.76819999999998</v>
      </c>
      <c r="H3847" s="1">
        <v>-3.2669590000000002E-6</v>
      </c>
      <c r="I3847">
        <v>138.589</v>
      </c>
      <c r="J3847">
        <v>-340.74009999999998</v>
      </c>
      <c r="K3847">
        <v>1.110473</v>
      </c>
      <c r="L3847">
        <v>140.79249999999999</v>
      </c>
      <c r="M3847">
        <v>-0.99988160000000004</v>
      </c>
      <c r="N3847">
        <v>0</v>
      </c>
      <c r="O3847">
        <v>5.7965350000000002E-3</v>
      </c>
      <c r="P3847">
        <v>-0.97522209999999998</v>
      </c>
      <c r="Q3847">
        <v>0.21945600000000001</v>
      </c>
      <c r="R3847">
        <v>2.7950920000000001E-2</v>
      </c>
      <c r="S3847">
        <v>-3.1075740000000001</v>
      </c>
      <c r="T3847">
        <v>-0.10676289999999999</v>
      </c>
      <c r="U3847">
        <v>-0.21166989999999999</v>
      </c>
      <c r="V3847">
        <v>2.2356600000000001E-2</v>
      </c>
      <c r="W3847">
        <v>0.2333335</v>
      </c>
      <c r="X3847">
        <v>0.97213970000000005</v>
      </c>
      <c r="Y3847">
        <v>-7.3692640000000004E-2</v>
      </c>
      <c r="Z3847">
        <v>-1.462929E-3</v>
      </c>
      <c r="AA3847">
        <v>0.9972799</v>
      </c>
      <c r="AB3847">
        <v>30</v>
      </c>
      <c r="AC3847">
        <v>-32.028099999999903</v>
      </c>
      <c r="AD3847">
        <v>-1.110476266959</v>
      </c>
      <c r="AE3847">
        <v>-2.2034999999999898</v>
      </c>
      <c r="AF3847">
        <v>-2.38627870546985</v>
      </c>
      <c r="AG3847">
        <v>-1.110476266959</v>
      </c>
      <c r="AH3847">
        <v>31.976528579799702</v>
      </c>
      <c r="AI3847">
        <v>91.983449381476007</v>
      </c>
      <c r="AJ3847">
        <v>94.267840917358996</v>
      </c>
      <c r="AK3847">
        <v>32.0846671108553</v>
      </c>
      <c r="AL3847">
        <v>76.506590918825495</v>
      </c>
      <c r="AM3847">
        <v>88.682583299012805</v>
      </c>
      <c r="AN3847">
        <v>0.99999996805094904</v>
      </c>
    </row>
    <row r="3848" spans="1:40" x14ac:dyDescent="0.25">
      <c r="A3848" t="str">
        <f>"20190312154634355"</f>
        <v>20190312154634355</v>
      </c>
      <c r="B3848" t="str">
        <f>"1552376794351792"</f>
        <v>1552376794351792</v>
      </c>
      <c r="C3848" t="s">
        <v>40</v>
      </c>
      <c r="D3848">
        <v>4.4593809999999996</v>
      </c>
      <c r="E3848">
        <v>0.49581940000000002</v>
      </c>
      <c r="F3848" t="s">
        <v>42</v>
      </c>
      <c r="G3848">
        <v>-371.95170000000002</v>
      </c>
      <c r="H3848" s="1">
        <v>-3.6022899999999999E-6</v>
      </c>
      <c r="I3848">
        <v>138.67320000000001</v>
      </c>
      <c r="J3848">
        <v>-341.0419</v>
      </c>
      <c r="K3848">
        <v>1.1104719999999999</v>
      </c>
      <c r="L3848">
        <v>140.7944</v>
      </c>
      <c r="M3848">
        <v>-0.99988100000000002</v>
      </c>
      <c r="N3848">
        <v>0</v>
      </c>
      <c r="O3848">
        <v>5.9021079999999997E-3</v>
      </c>
      <c r="P3848">
        <v>-0.97548029999999997</v>
      </c>
      <c r="Q3848">
        <v>0.21825629999999999</v>
      </c>
      <c r="R3848">
        <v>2.8332389999999999E-2</v>
      </c>
      <c r="S3848">
        <v>-3.1071469999999999</v>
      </c>
      <c r="T3848">
        <v>-0.1105492</v>
      </c>
      <c r="U3848">
        <v>-0.21096799999999999</v>
      </c>
      <c r="V3848">
        <v>2.2633130000000001E-2</v>
      </c>
      <c r="W3848">
        <v>0.2321348</v>
      </c>
      <c r="X3848">
        <v>0.97242030000000002</v>
      </c>
      <c r="Y3848">
        <v>-7.357959E-2</v>
      </c>
      <c r="Z3848">
        <v>-1.516742E-3</v>
      </c>
      <c r="AA3848">
        <v>0.99728819999999996</v>
      </c>
      <c r="AB3848">
        <v>30</v>
      </c>
      <c r="AC3848">
        <v>-30.909800000000001</v>
      </c>
      <c r="AD3848">
        <v>-1.11047560229</v>
      </c>
      <c r="AE3848">
        <v>-2.12119999999998</v>
      </c>
      <c r="AF3848">
        <v>-2.3006590137738998</v>
      </c>
      <c r="AG3848">
        <v>-1.11047560229</v>
      </c>
      <c r="AH3848">
        <v>30.857100088211801</v>
      </c>
      <c r="AI3848">
        <v>92.055353022472005</v>
      </c>
      <c r="AJ3848">
        <v>94.263997756515195</v>
      </c>
      <c r="AK3848">
        <v>30.962668066800401</v>
      </c>
      <c r="AL3848">
        <v>76.577211437931894</v>
      </c>
      <c r="AM3848">
        <v>88.666678663081797</v>
      </c>
      <c r="AN3848">
        <v>1.00000003189836</v>
      </c>
    </row>
    <row r="3849" spans="1:40" x14ac:dyDescent="0.25">
      <c r="A3849" t="str">
        <f>"20190312154634378"</f>
        <v>20190312154634378</v>
      </c>
      <c r="B3849" t="str">
        <f>"1552376794371316"</f>
        <v>1552376794371316</v>
      </c>
      <c r="C3849" t="s">
        <v>40</v>
      </c>
      <c r="D3849">
        <v>4.4746069999999998</v>
      </c>
      <c r="E3849">
        <v>0.49827900000000003</v>
      </c>
      <c r="F3849" t="s">
        <v>42</v>
      </c>
      <c r="G3849">
        <v>-374.24119999999999</v>
      </c>
      <c r="H3849" s="1">
        <v>-2.852446E-6</v>
      </c>
      <c r="I3849">
        <v>141.1182</v>
      </c>
      <c r="J3849">
        <v>-341.34160000000003</v>
      </c>
      <c r="K3849">
        <v>1.110468</v>
      </c>
      <c r="L3849">
        <v>140.7962</v>
      </c>
      <c r="M3849">
        <v>-0.9998804</v>
      </c>
      <c r="N3849">
        <v>0</v>
      </c>
      <c r="O3849">
        <v>6.0071439999999999E-3</v>
      </c>
      <c r="P3849">
        <v>-0.97565369999999996</v>
      </c>
      <c r="Q3849">
        <v>0.2174382</v>
      </c>
      <c r="R3849">
        <v>2.8645469999999999E-2</v>
      </c>
      <c r="S3849">
        <v>-3.0977169999999998</v>
      </c>
      <c r="T3849">
        <v>-0.10361480000000001</v>
      </c>
      <c r="U3849">
        <v>3.022766E-2</v>
      </c>
      <c r="V3849">
        <v>2.2842149999999999E-2</v>
      </c>
      <c r="W3849">
        <v>0.23131599999999999</v>
      </c>
      <c r="X3849">
        <v>0.97261050000000004</v>
      </c>
      <c r="Y3849">
        <v>3.7511979999999999E-3</v>
      </c>
      <c r="Z3849">
        <v>-1.3817119999999999E-4</v>
      </c>
      <c r="AA3849">
        <v>0.99999300000000002</v>
      </c>
      <c r="AB3849">
        <v>30</v>
      </c>
      <c r="AC3849">
        <v>-32.8995999999999</v>
      </c>
      <c r="AD3849">
        <v>-1.1104708524460001</v>
      </c>
      <c r="AE3849">
        <v>0.32200000000000201</v>
      </c>
      <c r="AF3849">
        <v>0.12419999570008899</v>
      </c>
      <c r="AG3849">
        <v>-1.1104708524460001</v>
      </c>
      <c r="AH3849">
        <v>32.863503395355401</v>
      </c>
      <c r="AI3849">
        <v>91.9352970217505</v>
      </c>
      <c r="AJ3849">
        <v>89.783464909257205</v>
      </c>
      <c r="AK3849">
        <v>32.882494226709802</v>
      </c>
      <c r="AL3849">
        <v>76.625437726928098</v>
      </c>
      <c r="AM3849">
        <v>88.654632817436493</v>
      </c>
      <c r="AN3849">
        <v>1.0000000201914301</v>
      </c>
    </row>
    <row r="3850" spans="1:40" x14ac:dyDescent="0.25">
      <c r="A3850" t="str">
        <f>"20190312154634400"</f>
        <v>20190312154634400</v>
      </c>
      <c r="B3850" t="str">
        <f>"1552376794391807"</f>
        <v>1552376794391807</v>
      </c>
      <c r="C3850" t="s">
        <v>40</v>
      </c>
      <c r="D3850">
        <v>4.4541050000000002</v>
      </c>
      <c r="E3850">
        <v>0.49897649999999999</v>
      </c>
      <c r="F3850" t="s">
        <v>42</v>
      </c>
      <c r="G3850">
        <v>-372.47570000000002</v>
      </c>
      <c r="H3850" s="1">
        <v>-3.6590590000000002E-6</v>
      </c>
      <c r="I3850">
        <v>141.3031</v>
      </c>
      <c r="J3850">
        <v>-341.64179999999999</v>
      </c>
      <c r="K3850">
        <v>1.11046</v>
      </c>
      <c r="L3850">
        <v>140.79820000000001</v>
      </c>
      <c r="M3850">
        <v>-0.99987999999999999</v>
      </c>
      <c r="N3850">
        <v>0</v>
      </c>
      <c r="O3850">
        <v>6.112241E-3</v>
      </c>
      <c r="P3850">
        <v>-0.97582420000000003</v>
      </c>
      <c r="Q3850">
        <v>0.2166208</v>
      </c>
      <c r="R3850">
        <v>2.903416E-2</v>
      </c>
      <c r="S3850">
        <v>-3.0979920000000001</v>
      </c>
      <c r="T3850">
        <v>-0.1104972</v>
      </c>
      <c r="U3850">
        <v>5.044556E-2</v>
      </c>
      <c r="V3850">
        <v>2.3126979999999998E-2</v>
      </c>
      <c r="W3850">
        <v>0.23049810000000001</v>
      </c>
      <c r="X3850">
        <v>0.97279789999999999</v>
      </c>
      <c r="Y3850">
        <v>1.016622E-2</v>
      </c>
      <c r="Z3850" s="1">
        <v>-3.6710679999999999E-5</v>
      </c>
      <c r="AA3850">
        <v>0.99994830000000001</v>
      </c>
      <c r="AB3850">
        <v>30</v>
      </c>
      <c r="AC3850">
        <v>-30.8339</v>
      </c>
      <c r="AD3850">
        <v>-1.110463659059</v>
      </c>
      <c r="AE3850">
        <v>0.50489999999999202</v>
      </c>
      <c r="AF3850">
        <v>0.31599749201840999</v>
      </c>
      <c r="AG3850">
        <v>-1.110463659059</v>
      </c>
      <c r="AH3850">
        <v>30.796476882916</v>
      </c>
      <c r="AI3850">
        <v>92.064975911082797</v>
      </c>
      <c r="AJ3850">
        <v>89.412118232421506</v>
      </c>
      <c r="AK3850">
        <v>30.818111109427701</v>
      </c>
      <c r="AL3850">
        <v>76.673601161192096</v>
      </c>
      <c r="AM3850">
        <v>88.638125357553207</v>
      </c>
      <c r="AN3850">
        <v>0.99999999277596996</v>
      </c>
    </row>
    <row r="3851" spans="1:40" x14ac:dyDescent="0.25">
      <c r="A3851" t="str">
        <f>"20190312154634424"</f>
        <v>20190312154634424</v>
      </c>
      <c r="B3851" t="str">
        <f>"1552376794421088"</f>
        <v>1552376794421088</v>
      </c>
      <c r="C3851" t="s">
        <v>40</v>
      </c>
      <c r="D3851">
        <v>4.4575139999999998</v>
      </c>
      <c r="E3851">
        <v>0.49956780000000001</v>
      </c>
      <c r="F3851" t="s">
        <v>42</v>
      </c>
      <c r="G3851">
        <v>-372.5684</v>
      </c>
      <c r="H3851" s="1">
        <v>-3.6364079999999998E-6</v>
      </c>
      <c r="I3851">
        <v>141.3674</v>
      </c>
      <c r="J3851">
        <v>-341.94729999999998</v>
      </c>
      <c r="K3851">
        <v>1.1104620000000001</v>
      </c>
      <c r="L3851">
        <v>140.80009999999999</v>
      </c>
      <c r="M3851">
        <v>-0.99987919999999997</v>
      </c>
      <c r="N3851">
        <v>0</v>
      </c>
      <c r="O3851">
        <v>6.2194829999999996E-3</v>
      </c>
      <c r="P3851">
        <v>-0.97603700000000004</v>
      </c>
      <c r="Q3851">
        <v>0.215672</v>
      </c>
      <c r="R3851">
        <v>2.8937250000000001E-2</v>
      </c>
      <c r="S3851">
        <v>-3.0973510000000002</v>
      </c>
      <c r="T3851">
        <v>-0.11121499999999999</v>
      </c>
      <c r="U3851">
        <v>5.7022089999999998E-2</v>
      </c>
      <c r="V3851">
        <v>2.292363E-2</v>
      </c>
      <c r="W3851">
        <v>0.22954910000000001</v>
      </c>
      <c r="X3851">
        <v>0.97302710000000003</v>
      </c>
      <c r="Y3851">
        <v>1.2183579999999999E-2</v>
      </c>
      <c r="Z3851" s="1">
        <v>-4.6015190000000002E-6</v>
      </c>
      <c r="AA3851">
        <v>0.99992579999999998</v>
      </c>
      <c r="AB3851">
        <v>30</v>
      </c>
      <c r="AC3851">
        <v>-30.621099999999998</v>
      </c>
      <c r="AD3851">
        <v>-1.1104656364079999</v>
      </c>
      <c r="AE3851">
        <v>0.56730000000001701</v>
      </c>
      <c r="AF3851">
        <v>0.37632754066587798</v>
      </c>
      <c r="AG3851">
        <v>-1.1104656364079999</v>
      </c>
      <c r="AH3851">
        <v>30.583828394044598</v>
      </c>
      <c r="AI3851">
        <v>92.079276865797098</v>
      </c>
      <c r="AJ3851">
        <v>89.295023127965095</v>
      </c>
      <c r="AK3851">
        <v>30.606295358698201</v>
      </c>
      <c r="AL3851">
        <v>76.729473290110306</v>
      </c>
      <c r="AM3851">
        <v>88.6504134020701</v>
      </c>
      <c r="AN3851">
        <v>1.00000000972879</v>
      </c>
    </row>
    <row r="3852" spans="1:40" x14ac:dyDescent="0.25">
      <c r="A3852" t="str">
        <f>"20190312154634448"</f>
        <v>20190312154634448</v>
      </c>
      <c r="B3852" t="str">
        <f>"1552376794441585"</f>
        <v>1552376794441585</v>
      </c>
      <c r="C3852" t="s">
        <v>40</v>
      </c>
      <c r="D3852">
        <v>4.4862209999999996</v>
      </c>
      <c r="E3852">
        <v>0.499865</v>
      </c>
      <c r="F3852" t="s">
        <v>42</v>
      </c>
      <c r="G3852">
        <v>-372.36489999999998</v>
      </c>
      <c r="H3852" s="1">
        <v>-3.7319790000000001E-6</v>
      </c>
      <c r="I3852">
        <v>141.39850000000001</v>
      </c>
      <c r="J3852">
        <v>-342.27050000000003</v>
      </c>
      <c r="K3852">
        <v>1.1104579999999999</v>
      </c>
      <c r="L3852">
        <v>140.8023</v>
      </c>
      <c r="M3852">
        <v>-0.99987859999999995</v>
      </c>
      <c r="N3852">
        <v>0</v>
      </c>
      <c r="O3852">
        <v>6.3325669999999999E-3</v>
      </c>
      <c r="P3852">
        <v>-0.97615019999999997</v>
      </c>
      <c r="Q3852">
        <v>0.21512210000000001</v>
      </c>
      <c r="R3852">
        <v>2.921236E-2</v>
      </c>
      <c r="S3852">
        <v>-3.096832</v>
      </c>
      <c r="T3852">
        <v>-0.11305750000000001</v>
      </c>
      <c r="U3852">
        <v>6.0928339999999998E-2</v>
      </c>
      <c r="V3852">
        <v>2.3087259999999998E-2</v>
      </c>
      <c r="W3852">
        <v>0.2289977</v>
      </c>
      <c r="X3852">
        <v>0.97315309999999999</v>
      </c>
      <c r="Y3852">
        <v>1.333356E-2</v>
      </c>
      <c r="Z3852" s="1">
        <v>1.217738E-5</v>
      </c>
      <c r="AA3852">
        <v>0.99991110000000005</v>
      </c>
      <c r="AB3852">
        <v>30</v>
      </c>
      <c r="AC3852">
        <v>-30.094399999999901</v>
      </c>
      <c r="AD3852">
        <v>-1.110461731979</v>
      </c>
      <c r="AE3852">
        <v>0.59620000000001006</v>
      </c>
      <c r="AF3852">
        <v>0.40504265046857402</v>
      </c>
      <c r="AG3852">
        <v>-1.110461731979</v>
      </c>
      <c r="AH3852">
        <v>30.056664511357699</v>
      </c>
      <c r="AI3852">
        <v>92.115673110988894</v>
      </c>
      <c r="AJ3852">
        <v>89.2279306403275</v>
      </c>
      <c r="AK3852">
        <v>30.079898044295199</v>
      </c>
      <c r="AL3852">
        <v>76.761930141884605</v>
      </c>
      <c r="AM3852">
        <v>88.640959507469105</v>
      </c>
      <c r="AN3852">
        <v>0.99999996210960296</v>
      </c>
    </row>
    <row r="3853" spans="1:40" x14ac:dyDescent="0.25">
      <c r="A3853" t="str">
        <f>"20190312154634467"</f>
        <v>20190312154634467</v>
      </c>
      <c r="B3853" t="str">
        <f>"1552376794461105"</f>
        <v>1552376794461105</v>
      </c>
      <c r="C3853" t="s">
        <v>40</v>
      </c>
      <c r="D3853">
        <v>4.5152199999999896</v>
      </c>
      <c r="E3853">
        <v>0.50007270000000004</v>
      </c>
      <c r="F3853" t="s">
        <v>42</v>
      </c>
      <c r="G3853">
        <v>-372.6943</v>
      </c>
      <c r="H3853" s="1">
        <v>-3.6000100000000001E-6</v>
      </c>
      <c r="I3853">
        <v>141.43369999999999</v>
      </c>
      <c r="J3853">
        <v>-342.5385</v>
      </c>
      <c r="K3853">
        <v>1.1104620000000001</v>
      </c>
      <c r="L3853">
        <v>140.80410000000001</v>
      </c>
      <c r="M3853">
        <v>-0.99987800000000004</v>
      </c>
      <c r="N3853">
        <v>0</v>
      </c>
      <c r="O3853">
        <v>6.4266949999999996E-3</v>
      </c>
      <c r="P3853">
        <v>-0.97641800000000001</v>
      </c>
      <c r="Q3853">
        <v>0.21388989999999999</v>
      </c>
      <c r="R3853">
        <v>2.9311759999999999E-2</v>
      </c>
      <c r="S3853">
        <v>-3.0962830000000001</v>
      </c>
      <c r="T3853">
        <v>-0.11301360000000001</v>
      </c>
      <c r="U3853">
        <v>6.4270019999999997E-2</v>
      </c>
      <c r="V3853">
        <v>2.3092749999999999E-2</v>
      </c>
      <c r="W3853">
        <v>0.22776660000000001</v>
      </c>
      <c r="X3853">
        <v>0.97344189999999997</v>
      </c>
      <c r="Y3853">
        <v>1.432104E-2</v>
      </c>
      <c r="Z3853" s="1">
        <v>2.6753940000000001E-5</v>
      </c>
      <c r="AA3853">
        <v>0.99989740000000005</v>
      </c>
      <c r="AB3853">
        <v>30</v>
      </c>
      <c r="AC3853">
        <v>-30.155799999999999</v>
      </c>
      <c r="AD3853">
        <v>-1.1104656000099999</v>
      </c>
      <c r="AE3853">
        <v>0.62959999999998195</v>
      </c>
      <c r="AF3853">
        <v>0.43517537032408299</v>
      </c>
      <c r="AG3853">
        <v>-1.1104656000099999</v>
      </c>
      <c r="AH3853">
        <v>30.1184001858885</v>
      </c>
      <c r="AI3853">
        <v>92.111319105103405</v>
      </c>
      <c r="AJ3853">
        <v>89.172201145907195</v>
      </c>
      <c r="AK3853">
        <v>30.1420062571998</v>
      </c>
      <c r="AL3853">
        <v>76.834382488638298</v>
      </c>
      <c r="AM3853">
        <v>88.641039601421994</v>
      </c>
      <c r="AN3853">
        <v>1.0000000159268601</v>
      </c>
    </row>
    <row r="3854" spans="1:40" x14ac:dyDescent="0.25">
      <c r="A3854" t="str">
        <f>"20190312154634490"</f>
        <v>20190312154634490</v>
      </c>
      <c r="B3854" t="str">
        <f>"1552376794481601"</f>
        <v>1552376794481601</v>
      </c>
      <c r="C3854" t="s">
        <v>40</v>
      </c>
      <c r="D3854">
        <v>4.4770699999999897</v>
      </c>
      <c r="E3854">
        <v>0.50045099999999998</v>
      </c>
      <c r="F3854" t="s">
        <v>42</v>
      </c>
      <c r="G3854">
        <v>-372.09320000000002</v>
      </c>
      <c r="H3854" s="1">
        <v>-3.8582419999999996E-6</v>
      </c>
      <c r="I3854">
        <v>141.435</v>
      </c>
      <c r="J3854">
        <v>-342.83249999999998</v>
      </c>
      <c r="K3854">
        <v>1.110457</v>
      </c>
      <c r="L3854">
        <v>140.80609999999999</v>
      </c>
      <c r="M3854">
        <v>-0.99987749999999997</v>
      </c>
      <c r="N3854">
        <v>0</v>
      </c>
      <c r="O3854">
        <v>6.5297050000000002E-3</v>
      </c>
      <c r="P3854">
        <v>-0.97646750000000004</v>
      </c>
      <c r="Q3854">
        <v>0.21369589999999999</v>
      </c>
      <c r="R3854">
        <v>2.9078799999999998E-2</v>
      </c>
      <c r="S3854">
        <v>-3.0959780000000001</v>
      </c>
      <c r="T3854">
        <v>-0.1163262</v>
      </c>
      <c r="U3854">
        <v>6.6101069999999998E-2</v>
      </c>
      <c r="V3854">
        <v>2.2758819999999999E-2</v>
      </c>
      <c r="W3854">
        <v>0.22757060000000001</v>
      </c>
      <c r="X3854">
        <v>0.97349560000000002</v>
      </c>
      <c r="Y3854">
        <v>1.481059E-2</v>
      </c>
      <c r="Z3854" s="1">
        <v>3.2864280000000002E-5</v>
      </c>
      <c r="AA3854">
        <v>0.99989030000000001</v>
      </c>
      <c r="AB3854">
        <v>30</v>
      </c>
      <c r="AC3854">
        <v>-29.2607</v>
      </c>
      <c r="AD3854">
        <v>-1.1104608582419999</v>
      </c>
      <c r="AE3854">
        <v>0.628900000000015</v>
      </c>
      <c r="AF3854">
        <v>0.437174169003613</v>
      </c>
      <c r="AG3854">
        <v>-1.1104608582419999</v>
      </c>
      <c r="AH3854">
        <v>29.222115377818302</v>
      </c>
      <c r="AI3854">
        <v>92.175989375935799</v>
      </c>
      <c r="AJ3854">
        <v>89.142896877428299</v>
      </c>
      <c r="AK3854">
        <v>29.2464745179015</v>
      </c>
      <c r="AL3854">
        <v>76.845915283641105</v>
      </c>
      <c r="AM3854">
        <v>88.660757331120607</v>
      </c>
      <c r="AN3854">
        <v>1.00000001254575</v>
      </c>
    </row>
    <row r="3855" spans="1:40" x14ac:dyDescent="0.25">
      <c r="A3855" t="str">
        <f>"20190312154634512"</f>
        <v>20190312154634512</v>
      </c>
      <c r="B3855" t="str">
        <f>"1552376794501121"</f>
        <v>1552376794501121</v>
      </c>
      <c r="C3855" t="s">
        <v>40</v>
      </c>
      <c r="D3855">
        <v>4.4893190000000001</v>
      </c>
      <c r="E3855">
        <v>0.50074200000000002</v>
      </c>
      <c r="F3855" t="s">
        <v>42</v>
      </c>
      <c r="G3855">
        <v>-371.84989999999999</v>
      </c>
      <c r="H3855" s="1">
        <v>-3.965732E-6</v>
      </c>
      <c r="I3855">
        <v>141.44669999999999</v>
      </c>
      <c r="J3855">
        <v>-343.12849999999997</v>
      </c>
      <c r="K3855">
        <v>1.110452</v>
      </c>
      <c r="L3855">
        <v>140.8081</v>
      </c>
      <c r="M3855">
        <v>-0.99987689999999996</v>
      </c>
      <c r="N3855">
        <v>0</v>
      </c>
      <c r="O3855">
        <v>6.6335500000000002E-3</v>
      </c>
      <c r="P3855">
        <v>-0.97669879999999998</v>
      </c>
      <c r="Q3855">
        <v>0.21259749999999999</v>
      </c>
      <c r="R3855">
        <v>2.9358550000000001E-2</v>
      </c>
      <c r="S3855">
        <v>-3.0961609999999999</v>
      </c>
      <c r="T3855">
        <v>-0.1184868</v>
      </c>
      <c r="U3855">
        <v>6.8359379999999997E-2</v>
      </c>
      <c r="V3855">
        <v>2.293506E-2</v>
      </c>
      <c r="W3855">
        <v>0.22647239999999999</v>
      </c>
      <c r="X3855">
        <v>0.97374760000000005</v>
      </c>
      <c r="Y3855">
        <v>1.5433850000000001E-2</v>
      </c>
      <c r="Z3855" s="1">
        <v>4.1419669999999997E-5</v>
      </c>
      <c r="AA3855">
        <v>0.99988089999999996</v>
      </c>
      <c r="AB3855">
        <v>30</v>
      </c>
      <c r="AC3855">
        <v>-28.721399999999999</v>
      </c>
      <c r="AD3855">
        <v>-1.1104559657319999</v>
      </c>
      <c r="AE3855">
        <v>0.63859999999999595</v>
      </c>
      <c r="AF3855">
        <v>0.44737342413960202</v>
      </c>
      <c r="AG3855">
        <v>-1.1104559657319999</v>
      </c>
      <c r="AH3855">
        <v>28.6821508292057</v>
      </c>
      <c r="AI3855">
        <v>92.216882313435505</v>
      </c>
      <c r="AJ3855">
        <v>89.106394396939606</v>
      </c>
      <c r="AK3855">
        <v>28.707125101997999</v>
      </c>
      <c r="AL3855">
        <v>76.910525329045498</v>
      </c>
      <c r="AM3855">
        <v>88.650739451739298</v>
      </c>
      <c r="AN3855">
        <v>1.00000007672235</v>
      </c>
    </row>
    <row r="3856" spans="1:40" x14ac:dyDescent="0.25">
      <c r="A3856" t="str">
        <f>"20190312154634535"</f>
        <v>20190312154634535</v>
      </c>
      <c r="B3856" t="str">
        <f>"1552376794531377"</f>
        <v>1552376794531377</v>
      </c>
      <c r="C3856" t="s">
        <v>40</v>
      </c>
      <c r="D3856">
        <v>4.5069369999999997</v>
      </c>
      <c r="E3856">
        <v>0.5011137</v>
      </c>
      <c r="F3856" t="s">
        <v>42</v>
      </c>
      <c r="G3856">
        <v>-371.14980000000003</v>
      </c>
      <c r="H3856" s="1">
        <v>-4.2119259999999997E-6</v>
      </c>
      <c r="I3856">
        <v>141.4607</v>
      </c>
      <c r="J3856">
        <v>-343.42599999999999</v>
      </c>
      <c r="K3856">
        <v>1.1104499999999999</v>
      </c>
      <c r="L3856">
        <v>140.81020000000001</v>
      </c>
      <c r="M3856">
        <v>-0.99987610000000005</v>
      </c>
      <c r="N3856">
        <v>0</v>
      </c>
      <c r="O3856">
        <v>6.7379329999999998E-3</v>
      </c>
      <c r="P3856">
        <v>-0.97694460000000005</v>
      </c>
      <c r="Q3856">
        <v>0.2115001</v>
      </c>
      <c r="R3856">
        <v>2.9096879999999999E-2</v>
      </c>
      <c r="S3856">
        <v>-3.0960999999999999</v>
      </c>
      <c r="T3856">
        <v>-0.1226957</v>
      </c>
      <c r="U3856">
        <v>7.2113040000000003E-2</v>
      </c>
      <c r="V3856">
        <v>2.2569289999999999E-2</v>
      </c>
      <c r="W3856">
        <v>0.22537570000000001</v>
      </c>
      <c r="X3856">
        <v>0.9740105</v>
      </c>
      <c r="Y3856">
        <v>1.6540249999999999E-2</v>
      </c>
      <c r="Z3856" s="1">
        <v>6.0667020000000002E-5</v>
      </c>
      <c r="AA3856">
        <v>0.99986319999999995</v>
      </c>
      <c r="AB3856">
        <v>30</v>
      </c>
      <c r="AC3856">
        <v>-27.723800000000001</v>
      </c>
      <c r="AD3856">
        <v>-1.1104542119259999</v>
      </c>
      <c r="AE3856">
        <v>0.65049999999999297</v>
      </c>
      <c r="AF3856">
        <v>0.46292294185124999</v>
      </c>
      <c r="AG3856">
        <v>-1.1104542119259999</v>
      </c>
      <c r="AH3856">
        <v>27.683165299007801</v>
      </c>
      <c r="AI3856">
        <v>92.2967521032961</v>
      </c>
      <c r="AJ3856">
        <v>89.041978810387306</v>
      </c>
      <c r="AK3856">
        <v>27.709295320867799</v>
      </c>
      <c r="AL3856">
        <v>76.975028568854896</v>
      </c>
      <c r="AM3856">
        <v>88.672608042932197</v>
      </c>
      <c r="AN3856">
        <v>1.00000001655592</v>
      </c>
    </row>
    <row r="3857" spans="1:40" x14ac:dyDescent="0.25">
      <c r="A3857" t="str">
        <f>"20190312154634557"</f>
        <v>20190312154634557</v>
      </c>
      <c r="B3857" t="str">
        <f>"1552376794551873"</f>
        <v>1552376794551873</v>
      </c>
      <c r="C3857" t="s">
        <v>40</v>
      </c>
      <c r="D3857">
        <v>4.494294</v>
      </c>
      <c r="E3857">
        <v>0.50127189999999999</v>
      </c>
      <c r="F3857" t="s">
        <v>42</v>
      </c>
      <c r="G3857">
        <v>-370.31380000000001</v>
      </c>
      <c r="H3857" s="1">
        <v>-4.4955660000000001E-6</v>
      </c>
      <c r="I3857">
        <v>141.45599999999999</v>
      </c>
      <c r="J3857">
        <v>-343.7242</v>
      </c>
      <c r="K3857">
        <v>1.110447</v>
      </c>
      <c r="L3857">
        <v>140.81229999999999</v>
      </c>
      <c r="M3857">
        <v>-0.99987550000000003</v>
      </c>
      <c r="N3857">
        <v>0</v>
      </c>
      <c r="O3857">
        <v>6.8420779999999997E-3</v>
      </c>
      <c r="P3857">
        <v>-0.97715689999999999</v>
      </c>
      <c r="Q3857">
        <v>0.21056839999999999</v>
      </c>
      <c r="R3857">
        <v>2.8731340000000001E-2</v>
      </c>
      <c r="S3857">
        <v>-3.0962519999999998</v>
      </c>
      <c r="T3857">
        <v>-0.12787399999999999</v>
      </c>
      <c r="U3857">
        <v>7.4371339999999994E-2</v>
      </c>
      <c r="V3857">
        <v>2.210026E-2</v>
      </c>
      <c r="W3857">
        <v>0.22444410000000001</v>
      </c>
      <c r="X3857">
        <v>0.97423630000000006</v>
      </c>
      <c r="Y3857">
        <v>1.7162719999999999E-2</v>
      </c>
      <c r="Z3857" s="1">
        <v>7.1769609999999999E-5</v>
      </c>
      <c r="AA3857">
        <v>0.99985270000000004</v>
      </c>
      <c r="AB3857">
        <v>30</v>
      </c>
      <c r="AC3857">
        <v>-26.589600000000001</v>
      </c>
      <c r="AD3857">
        <v>-1.1104514955660001</v>
      </c>
      <c r="AE3857">
        <v>0.64370000000002303</v>
      </c>
      <c r="AF3857">
        <v>0.46093496588821498</v>
      </c>
      <c r="AG3857">
        <v>-1.1104514955660001</v>
      </c>
      <c r="AH3857">
        <v>26.547108035544401</v>
      </c>
      <c r="AI3857">
        <v>92.394895275708393</v>
      </c>
      <c r="AJ3857">
        <v>89.005278664940604</v>
      </c>
      <c r="AK3857">
        <v>26.574320473299899</v>
      </c>
      <c r="AL3857">
        <v>77.029808222537</v>
      </c>
      <c r="AM3857">
        <v>88.700485201964</v>
      </c>
      <c r="AN3857">
        <v>0.99999997187728296</v>
      </c>
    </row>
    <row r="3858" spans="1:40" x14ac:dyDescent="0.25">
      <c r="A3858" t="str">
        <f>"20190312154634580"</f>
        <v>20190312154634580</v>
      </c>
      <c r="B3858" t="str">
        <f>"1552376794571393"</f>
        <v>1552376794571393</v>
      </c>
      <c r="C3858" t="s">
        <v>40</v>
      </c>
      <c r="D3858">
        <v>4.5231089999999998</v>
      </c>
      <c r="E3858">
        <v>0.50143939999999998</v>
      </c>
      <c r="F3858" t="s">
        <v>42</v>
      </c>
      <c r="G3858">
        <v>-369.86290000000002</v>
      </c>
      <c r="H3858" s="1">
        <v>-5.2667150000000003E-7</v>
      </c>
      <c r="I3858">
        <v>141.44110000000001</v>
      </c>
      <c r="J3858">
        <v>-344.02050000000003</v>
      </c>
      <c r="K3858">
        <v>1.1104499999999999</v>
      </c>
      <c r="L3858">
        <v>140.81450000000001</v>
      </c>
      <c r="M3858">
        <v>-0.99987479999999995</v>
      </c>
      <c r="N3858">
        <v>0</v>
      </c>
      <c r="O3858">
        <v>6.9461009999999997E-3</v>
      </c>
      <c r="P3858">
        <v>-0.97743270000000004</v>
      </c>
      <c r="Q3858">
        <v>0.20934340000000001</v>
      </c>
      <c r="R3858">
        <v>2.82992E-2</v>
      </c>
      <c r="S3858">
        <v>-3.0962830000000001</v>
      </c>
      <c r="T3858">
        <v>-0.131539299999999</v>
      </c>
      <c r="U3858">
        <v>7.4493409999999996E-2</v>
      </c>
      <c r="V3858">
        <v>2.1564110000000001E-2</v>
      </c>
      <c r="W3858">
        <v>0.22322</v>
      </c>
      <c r="X3858">
        <v>0.9745296</v>
      </c>
      <c r="Y3858">
        <v>1.709749E-2</v>
      </c>
      <c r="Z3858" s="1">
        <v>6.8022779999999994E-5</v>
      </c>
      <c r="AA3858">
        <v>0.99985380000000001</v>
      </c>
      <c r="AB3858">
        <v>30</v>
      </c>
      <c r="AC3858">
        <v>-25.842400000000001</v>
      </c>
      <c r="AD3858">
        <v>-1.1104505266714999</v>
      </c>
      <c r="AE3858">
        <v>0.62659999999999605</v>
      </c>
      <c r="AF3858">
        <v>0.44623934983698699</v>
      </c>
      <c r="AG3858">
        <v>-1.1104505266714999</v>
      </c>
      <c r="AH3858">
        <v>25.798522142675498</v>
      </c>
      <c r="AI3858">
        <v>92.464303235391299</v>
      </c>
      <c r="AJ3858">
        <v>89.0090485857842</v>
      </c>
      <c r="AK3858">
        <v>25.826265209581599</v>
      </c>
      <c r="AL3858">
        <v>77.101770982368294</v>
      </c>
      <c r="AM3858">
        <v>88.732382374426393</v>
      </c>
      <c r="AN3858">
        <v>1.00000006025812</v>
      </c>
    </row>
    <row r="3859" spans="1:40" x14ac:dyDescent="0.25">
      <c r="A3859" t="str">
        <f>"20190312154634601"</f>
        <v>20190312154634601</v>
      </c>
      <c r="B3859" t="str">
        <f>"1552376794591888"</f>
        <v>1552376794591888</v>
      </c>
      <c r="C3859" t="s">
        <v>40</v>
      </c>
      <c r="D3859">
        <v>4.5315690000000002</v>
      </c>
      <c r="E3859">
        <v>0.50140039999999997</v>
      </c>
      <c r="F3859" t="s">
        <v>42</v>
      </c>
      <c r="G3859">
        <v>-369.2149</v>
      </c>
      <c r="H3859" s="1">
        <v>-7.9911719999999897E-7</v>
      </c>
      <c r="I3859">
        <v>141.4203</v>
      </c>
      <c r="J3859">
        <v>-344.30090000000001</v>
      </c>
      <c r="K3859">
        <v>1.1104449999999999</v>
      </c>
      <c r="L3859">
        <v>140.81649999999999</v>
      </c>
      <c r="M3859">
        <v>-0.99987409999999999</v>
      </c>
      <c r="N3859">
        <v>0</v>
      </c>
      <c r="O3859">
        <v>7.0445799999999999E-3</v>
      </c>
      <c r="P3859">
        <v>-0.97771059999999999</v>
      </c>
      <c r="Q3859">
        <v>0.20806859999999999</v>
      </c>
      <c r="R3859">
        <v>2.8095519999999999E-2</v>
      </c>
      <c r="S3859">
        <v>-3.0963440000000002</v>
      </c>
      <c r="T3859">
        <v>-0.1364726</v>
      </c>
      <c r="U3859">
        <v>7.4462890000000004E-2</v>
      </c>
      <c r="V3859">
        <v>2.1261680000000002E-2</v>
      </c>
      <c r="W3859">
        <v>0.22194620000000001</v>
      </c>
      <c r="X3859">
        <v>0.97482709999999995</v>
      </c>
      <c r="Y3859">
        <v>1.6988199999999998E-2</v>
      </c>
      <c r="Z3859" s="1">
        <v>6.3825019999999994E-5</v>
      </c>
      <c r="AA3859">
        <v>0.99985570000000001</v>
      </c>
      <c r="AB3859">
        <v>30</v>
      </c>
      <c r="AC3859">
        <v>-24.913999999999898</v>
      </c>
      <c r="AD3859">
        <v>-1.1104457991171901</v>
      </c>
      <c r="AE3859">
        <v>0.603800000000006</v>
      </c>
      <c r="AF3859">
        <v>0.42741001641460602</v>
      </c>
      <c r="AG3859">
        <v>-1.1104457991171901</v>
      </c>
      <c r="AH3859">
        <v>24.868261631814601</v>
      </c>
      <c r="AI3859">
        <v>92.5563606467216</v>
      </c>
      <c r="AJ3859">
        <v>89.015356216336102</v>
      </c>
      <c r="AK3859">
        <v>24.896710742250502</v>
      </c>
      <c r="AL3859">
        <v>77.1766318783244</v>
      </c>
      <c r="AM3859">
        <v>88.750535951645801</v>
      </c>
      <c r="AN3859">
        <v>1.00000002481263</v>
      </c>
    </row>
    <row r="3860" spans="1:40" x14ac:dyDescent="0.25">
      <c r="A3860" t="str">
        <f>"20190312154634626"</f>
        <v>20190312154634626</v>
      </c>
      <c r="B3860" t="str">
        <f>"1552376794621168"</f>
        <v>1552376794621168</v>
      </c>
      <c r="C3860" t="s">
        <v>40</v>
      </c>
      <c r="D3860">
        <v>4.5495650000000003</v>
      </c>
      <c r="E3860">
        <v>0.50159759999999998</v>
      </c>
      <c r="F3860" t="s">
        <v>42</v>
      </c>
      <c r="G3860">
        <v>-369.01299999999998</v>
      </c>
      <c r="H3860" s="1">
        <v>-8.814553E-7</v>
      </c>
      <c r="I3860">
        <v>141.4041</v>
      </c>
      <c r="J3860">
        <v>-344.61189999999999</v>
      </c>
      <c r="K3860">
        <v>1.1104419999999999</v>
      </c>
      <c r="L3860">
        <v>140.81880000000001</v>
      </c>
      <c r="M3860">
        <v>-0.99987349999999997</v>
      </c>
      <c r="N3860">
        <v>0</v>
      </c>
      <c r="O3860">
        <v>7.1537900000000001E-3</v>
      </c>
      <c r="P3860">
        <v>-0.97790520000000003</v>
      </c>
      <c r="Q3860">
        <v>0.20719660000000001</v>
      </c>
      <c r="R3860">
        <v>2.7772999999999999E-2</v>
      </c>
      <c r="S3860">
        <v>-3.095917</v>
      </c>
      <c r="T3860">
        <v>-0.139116299999999</v>
      </c>
      <c r="U3860">
        <v>7.3623659999999994E-2</v>
      </c>
      <c r="V3860">
        <v>2.0830749999999999E-2</v>
      </c>
      <c r="W3860">
        <v>0.2210734</v>
      </c>
      <c r="X3860">
        <v>0.97503470000000003</v>
      </c>
      <c r="Y3860">
        <v>1.6611529999999999E-2</v>
      </c>
      <c r="Z3860" s="1">
        <v>5.1707609999999898E-5</v>
      </c>
      <c r="AA3860">
        <v>0.99986200000000003</v>
      </c>
      <c r="AB3860">
        <v>29</v>
      </c>
      <c r="AC3860">
        <v>-24.4011</v>
      </c>
      <c r="AD3860">
        <v>-1.1104428814553</v>
      </c>
      <c r="AE3860">
        <v>0.58529999999998905</v>
      </c>
      <c r="AF3860">
        <v>0.40985874156768898</v>
      </c>
      <c r="AG3860">
        <v>-1.1104428814553</v>
      </c>
      <c r="AH3860">
        <v>24.354255108263601</v>
      </c>
      <c r="AI3860">
        <v>92.610248848112505</v>
      </c>
      <c r="AJ3860">
        <v>89.035858028960902</v>
      </c>
      <c r="AK3860">
        <v>24.383002470151101</v>
      </c>
      <c r="AL3860">
        <v>77.227913469593801</v>
      </c>
      <c r="AM3860">
        <v>88.776112762466099</v>
      </c>
      <c r="AN3860">
        <v>1.0000000172686001</v>
      </c>
    </row>
    <row r="3861" spans="1:40" x14ac:dyDescent="0.25">
      <c r="A3861" t="str">
        <f>"20190312154634651"</f>
        <v>20190312154634651</v>
      </c>
      <c r="B3861" t="str">
        <f>"1552376794641665"</f>
        <v>1552376794641665</v>
      </c>
      <c r="C3861" t="s">
        <v>40</v>
      </c>
      <c r="D3861">
        <v>4.5511280000000003</v>
      </c>
      <c r="E3861">
        <v>0.50158859999999905</v>
      </c>
      <c r="F3861" t="s">
        <v>42</v>
      </c>
      <c r="G3861">
        <v>-368.81740000000002</v>
      </c>
      <c r="H3861" s="1">
        <v>-9.6445559999999992E-7</v>
      </c>
      <c r="I3861">
        <v>141.4007</v>
      </c>
      <c r="J3861">
        <v>-344.94580000000002</v>
      </c>
      <c r="K3861">
        <v>1.110439</v>
      </c>
      <c r="L3861">
        <v>140.82140000000001</v>
      </c>
      <c r="M3861">
        <v>-0.99987269999999995</v>
      </c>
      <c r="N3861">
        <v>0</v>
      </c>
      <c r="O3861">
        <v>7.2708690000000001E-3</v>
      </c>
      <c r="P3861">
        <v>-0.97798870000000004</v>
      </c>
      <c r="Q3861">
        <v>0.2068093</v>
      </c>
      <c r="R3861">
        <v>2.77174E-2</v>
      </c>
      <c r="S3861">
        <v>-3.0957949999999999</v>
      </c>
      <c r="T3861">
        <v>-0.14202229999999999</v>
      </c>
      <c r="U3861">
        <v>7.4432369999999998E-2</v>
      </c>
      <c r="V3861">
        <v>2.0659819999999999E-2</v>
      </c>
      <c r="W3861">
        <v>0.2206842</v>
      </c>
      <c r="X3861">
        <v>0.97512650000000001</v>
      </c>
      <c r="Y3861">
        <v>1.6756009999999998E-2</v>
      </c>
      <c r="Z3861" s="1">
        <v>5.0732690000000002E-5</v>
      </c>
      <c r="AA3861">
        <v>0.99985959999999996</v>
      </c>
      <c r="AB3861">
        <v>29</v>
      </c>
      <c r="AC3861">
        <v>-23.871600000000001</v>
      </c>
      <c r="AD3861">
        <v>-1.1104399644556</v>
      </c>
      <c r="AE3861">
        <v>0.57929999999998905</v>
      </c>
      <c r="AF3861">
        <v>0.40482443558532499</v>
      </c>
      <c r="AG3861">
        <v>-1.1104399644556</v>
      </c>
      <c r="AH3861">
        <v>23.8236608282742</v>
      </c>
      <c r="AI3861">
        <v>92.668286150601702</v>
      </c>
      <c r="AJ3861">
        <v>89.026493044361104</v>
      </c>
      <c r="AK3861">
        <v>23.852961556145399</v>
      </c>
      <c r="AL3861">
        <v>77.250777709352406</v>
      </c>
      <c r="AM3861">
        <v>88.786266784184804</v>
      </c>
      <c r="AN3861">
        <v>1.00000001764716</v>
      </c>
    </row>
    <row r="3862" spans="1:40" x14ac:dyDescent="0.25">
      <c r="A3862" t="str">
        <f>"20190312154634669"</f>
        <v>20190312154634669</v>
      </c>
      <c r="B3862" t="str">
        <f>"1552376794661186"</f>
        <v>1552376794661186</v>
      </c>
      <c r="C3862" t="s">
        <v>40</v>
      </c>
      <c r="D3862">
        <v>4.5549330000000001</v>
      </c>
      <c r="E3862">
        <v>0.50175179999999997</v>
      </c>
      <c r="F3862" t="s">
        <v>42</v>
      </c>
      <c r="G3862">
        <v>-369.07229999999998</v>
      </c>
      <c r="H3862" s="1">
        <v>-8.5550609999999905E-7</v>
      </c>
      <c r="I3862">
        <v>141.40219999999999</v>
      </c>
      <c r="J3862">
        <v>-345.19959999999998</v>
      </c>
      <c r="K3862">
        <v>1.1104320000000001</v>
      </c>
      <c r="L3862">
        <v>140.82329999999999</v>
      </c>
      <c r="M3862">
        <v>-0.99987199999999998</v>
      </c>
      <c r="N3862">
        <v>0</v>
      </c>
      <c r="O3862">
        <v>7.3602279999999999E-3</v>
      </c>
      <c r="P3862">
        <v>-0.97818709999999998</v>
      </c>
      <c r="Q3862">
        <v>0.20591200000000001</v>
      </c>
      <c r="R3862">
        <v>2.7396E-2</v>
      </c>
      <c r="S3862">
        <v>-3.0955509999999999</v>
      </c>
      <c r="T3862">
        <v>-0.14247560000000001</v>
      </c>
      <c r="U3862">
        <v>7.4539179999999997E-2</v>
      </c>
      <c r="V3862">
        <v>2.024923E-2</v>
      </c>
      <c r="W3862">
        <v>0.21978739999999999</v>
      </c>
      <c r="X3862">
        <v>0.97533760000000003</v>
      </c>
      <c r="Y3862">
        <v>1.670311E-2</v>
      </c>
      <c r="Z3862" s="1">
        <v>4.5571739999999999E-5</v>
      </c>
      <c r="AA3862">
        <v>0.99986050000000004</v>
      </c>
      <c r="AB3862">
        <v>29</v>
      </c>
      <c r="AC3862">
        <v>-23.872699999999998</v>
      </c>
      <c r="AD3862">
        <v>-1.1104328555060901</v>
      </c>
      <c r="AE3862">
        <v>0.57890000000000397</v>
      </c>
      <c r="AF3862">
        <v>0.40228818036924002</v>
      </c>
      <c r="AG3862">
        <v>-1.1104328555060901</v>
      </c>
      <c r="AH3862">
        <v>23.8247969225412</v>
      </c>
      <c r="AI3862">
        <v>92.668146879086507</v>
      </c>
      <c r="AJ3862">
        <v>89.032637097616401</v>
      </c>
      <c r="AK3862">
        <v>23.854053016352999</v>
      </c>
      <c r="AL3862">
        <v>77.303453498771702</v>
      </c>
      <c r="AM3862">
        <v>88.8106387289574</v>
      </c>
      <c r="AN3862">
        <v>0.99999998324405603</v>
      </c>
    </row>
    <row r="3863" spans="1:40" x14ac:dyDescent="0.25">
      <c r="A3863" t="str">
        <f>"20190312154634690"</f>
        <v>20190312154634690</v>
      </c>
      <c r="B3863" t="str">
        <f>"1552376794681680"</f>
        <v>1552376794681680</v>
      </c>
      <c r="C3863" t="s">
        <v>40</v>
      </c>
      <c r="D3863">
        <v>4.5431109999999997</v>
      </c>
      <c r="E3863">
        <v>0.52330449999999995</v>
      </c>
      <c r="F3863" t="s">
        <v>42</v>
      </c>
      <c r="G3863">
        <v>-369.02460000000002</v>
      </c>
      <c r="H3863" s="1">
        <v>-8.7543190000000001E-7</v>
      </c>
      <c r="I3863">
        <v>141.40029999999999</v>
      </c>
      <c r="J3863">
        <v>-345.47160000000002</v>
      </c>
      <c r="K3863">
        <v>1.1104350000000001</v>
      </c>
      <c r="L3863">
        <v>140.8254</v>
      </c>
      <c r="M3863">
        <v>-0.99987130000000002</v>
      </c>
      <c r="N3863">
        <v>0</v>
      </c>
      <c r="O3863">
        <v>7.4559659999999996E-3</v>
      </c>
      <c r="P3863">
        <v>-0.97845689999999996</v>
      </c>
      <c r="Q3863">
        <v>0.20465</v>
      </c>
      <c r="R3863">
        <v>2.7214459999999999E-2</v>
      </c>
      <c r="S3863">
        <v>-3.0951230000000001</v>
      </c>
      <c r="T3863">
        <v>-0.14425769999999999</v>
      </c>
      <c r="U3863">
        <v>7.4966430000000001E-2</v>
      </c>
      <c r="V3863">
        <v>1.9971409999999998E-2</v>
      </c>
      <c r="W3863">
        <v>0.21852659999999999</v>
      </c>
      <c r="X3863">
        <v>0.97562660000000001</v>
      </c>
      <c r="Y3863">
        <v>1.674844E-2</v>
      </c>
      <c r="Z3863" s="1">
        <v>4.2743629999999997E-5</v>
      </c>
      <c r="AA3863">
        <v>0.99985979999999997</v>
      </c>
      <c r="AB3863">
        <v>29</v>
      </c>
      <c r="AC3863">
        <v>-23.553000000000001</v>
      </c>
      <c r="AD3863">
        <v>-1.1104358754318999</v>
      </c>
      <c r="AE3863">
        <v>0.57489999999998498</v>
      </c>
      <c r="AF3863">
        <v>0.398370968787779</v>
      </c>
      <c r="AG3863">
        <v>-1.1104358754318999</v>
      </c>
      <c r="AH3863">
        <v>23.5044182490027</v>
      </c>
      <c r="AI3863">
        <v>92.7044660592843</v>
      </c>
      <c r="AJ3863">
        <v>89.029000005299096</v>
      </c>
      <c r="AK3863">
        <v>23.5340061291373</v>
      </c>
      <c r="AL3863">
        <v>77.377492109271799</v>
      </c>
      <c r="AM3863">
        <v>88.827299590474695</v>
      </c>
      <c r="AN3863">
        <v>0.999999997376254</v>
      </c>
    </row>
    <row r="3864" spans="1:40" x14ac:dyDescent="0.25">
      <c r="A3864" t="str">
        <f>"20190312154634725"</f>
        <v>20190312154634725</v>
      </c>
      <c r="B3864" t="str">
        <f>"1552376794721696"</f>
        <v>1552376794721696</v>
      </c>
      <c r="C3864" t="s">
        <v>40</v>
      </c>
      <c r="D3864">
        <v>4.5356550000000002</v>
      </c>
      <c r="E3864">
        <v>0.52669109999999997</v>
      </c>
      <c r="F3864" t="s">
        <v>42</v>
      </c>
      <c r="G3864">
        <v>-369.36520000000002</v>
      </c>
      <c r="H3864" s="1">
        <v>-1.0824819999999999E-6</v>
      </c>
      <c r="I3864">
        <v>142.72749999999999</v>
      </c>
      <c r="J3864">
        <v>-345.916</v>
      </c>
      <c r="K3864">
        <v>1.1104270000000001</v>
      </c>
      <c r="L3864">
        <v>140.8289</v>
      </c>
      <c r="M3864">
        <v>-0.99987029999999999</v>
      </c>
      <c r="N3864">
        <v>0</v>
      </c>
      <c r="O3864">
        <v>7.612031E-3</v>
      </c>
      <c r="P3864">
        <v>-0.97872700000000001</v>
      </c>
      <c r="Q3864">
        <v>0.2033141</v>
      </c>
      <c r="R3864">
        <v>2.751588E-2</v>
      </c>
      <c r="S3864">
        <v>-3.0892029999999999</v>
      </c>
      <c r="T3864">
        <v>-0.1435688</v>
      </c>
      <c r="U3864">
        <v>0.2459412</v>
      </c>
      <c r="V3864">
        <v>2.0117630000000001E-2</v>
      </c>
      <c r="W3864">
        <v>0.21718999999999999</v>
      </c>
      <c r="X3864">
        <v>0.97592199999999996</v>
      </c>
      <c r="Y3864">
        <v>7.170224E-2</v>
      </c>
      <c r="Z3864">
        <v>1.309611E-3</v>
      </c>
      <c r="AA3864">
        <v>0.99742520000000001</v>
      </c>
      <c r="AB3864">
        <v>29</v>
      </c>
      <c r="AC3864">
        <v>-23.449200000000001</v>
      </c>
      <c r="AD3864">
        <v>-1.1104280824820001</v>
      </c>
      <c r="AE3864">
        <v>1.8985999999999801</v>
      </c>
      <c r="AF3864">
        <v>1.7162075020227501</v>
      </c>
      <c r="AG3864">
        <v>-1.1104280824820001</v>
      </c>
      <c r="AH3864">
        <v>23.410818228350799</v>
      </c>
      <c r="AI3864">
        <v>92.708376193016903</v>
      </c>
      <c r="AJ3864">
        <v>85.807243320408602</v>
      </c>
      <c r="AK3864">
        <v>23.499889975003001</v>
      </c>
      <c r="AL3864">
        <v>77.455958194724602</v>
      </c>
      <c r="AM3864">
        <v>88.819073587624601</v>
      </c>
      <c r="AN3864">
        <v>0.99999998261040801</v>
      </c>
    </row>
    <row r="3865" spans="1:40" x14ac:dyDescent="0.25">
      <c r="A3865" t="str">
        <f>"20190312154634747"</f>
        <v>20190312154634747</v>
      </c>
      <c r="B3865" t="str">
        <f>"1552376794741217"</f>
        <v>1552376794741217</v>
      </c>
      <c r="C3865" t="s">
        <v>40</v>
      </c>
      <c r="D3865">
        <v>4.5640850000000004</v>
      </c>
      <c r="E3865">
        <v>0.52712720000000002</v>
      </c>
      <c r="F3865" t="s">
        <v>42</v>
      </c>
      <c r="G3865">
        <v>-369.80790000000002</v>
      </c>
      <c r="H3865" s="1">
        <v>-9.5196299999999999E-7</v>
      </c>
      <c r="I3865">
        <v>142.95070000000001</v>
      </c>
      <c r="J3865">
        <v>-346.20639999999997</v>
      </c>
      <c r="K3865">
        <v>1.1104229999999999</v>
      </c>
      <c r="L3865">
        <v>140.8312</v>
      </c>
      <c r="M3865">
        <v>-0.99986949999999997</v>
      </c>
      <c r="N3865">
        <v>0</v>
      </c>
      <c r="O3865">
        <v>7.7143269999999896E-3</v>
      </c>
      <c r="P3865">
        <v>-0.97891680000000003</v>
      </c>
      <c r="Q3865">
        <v>0.2023297</v>
      </c>
      <c r="R3865">
        <v>2.801391E-2</v>
      </c>
      <c r="S3865">
        <v>-3.0873110000000001</v>
      </c>
      <c r="T3865">
        <v>-0.14349010000000001</v>
      </c>
      <c r="U3865">
        <v>0.27420040000000001</v>
      </c>
      <c r="V3865">
        <v>2.0513650000000001E-2</v>
      </c>
      <c r="W3865">
        <v>0.21620500000000001</v>
      </c>
      <c r="X3865">
        <v>0.97613249999999996</v>
      </c>
      <c r="Y3865">
        <v>8.0701430000000005E-2</v>
      </c>
      <c r="Z3865">
        <v>1.513059E-3</v>
      </c>
      <c r="AA3865">
        <v>0.99673719999999999</v>
      </c>
      <c r="AB3865">
        <v>29</v>
      </c>
      <c r="AC3865">
        <v>-23.601500000000001</v>
      </c>
      <c r="AD3865">
        <v>-1.1104239519629999</v>
      </c>
      <c r="AE3865">
        <v>2.1195000000000102</v>
      </c>
      <c r="AF3865">
        <v>1.93310400893023</v>
      </c>
      <c r="AG3865">
        <v>-1.1104239519629999</v>
      </c>
      <c r="AH3865">
        <v>23.565402772417599</v>
      </c>
      <c r="AI3865">
        <v>92.688817231632896</v>
      </c>
      <c r="AJ3865">
        <v>85.310444603143196</v>
      </c>
      <c r="AK3865">
        <v>23.6706176575243</v>
      </c>
      <c r="AL3865">
        <v>77.513768836890094</v>
      </c>
      <c r="AM3865">
        <v>88.796093166931797</v>
      </c>
      <c r="AN3865">
        <v>1.0000000347087801</v>
      </c>
    </row>
    <row r="3866" spans="1:40" x14ac:dyDescent="0.25">
      <c r="A3866" t="str">
        <f>"20190312154634769"</f>
        <v>20190312154634769</v>
      </c>
      <c r="B3866" t="str">
        <f>"1552376794761713"</f>
        <v>1552376794761713</v>
      </c>
      <c r="C3866" t="s">
        <v>40</v>
      </c>
      <c r="D3866">
        <v>4.5583839999999904</v>
      </c>
      <c r="E3866">
        <v>0.5271943</v>
      </c>
      <c r="F3866" t="s">
        <v>42</v>
      </c>
      <c r="G3866">
        <v>-370.03149999999999</v>
      </c>
      <c r="H3866" s="1">
        <v>-4.8631029999999999E-6</v>
      </c>
      <c r="I3866">
        <v>142.9863</v>
      </c>
      <c r="J3866">
        <v>-346.50299999999999</v>
      </c>
      <c r="K3866">
        <v>1.1104259999999999</v>
      </c>
      <c r="L3866">
        <v>140.83359999999999</v>
      </c>
      <c r="M3866">
        <v>-0.9998688</v>
      </c>
      <c r="N3866">
        <v>0</v>
      </c>
      <c r="O3866">
        <v>7.8184099999999996E-3</v>
      </c>
      <c r="P3866">
        <v>-0.97903269999999998</v>
      </c>
      <c r="Q3866">
        <v>0.2017968</v>
      </c>
      <c r="R3866">
        <v>2.7811849999999999E-2</v>
      </c>
      <c r="S3866">
        <v>-3.0863339999999999</v>
      </c>
      <c r="T3866">
        <v>-0.14384630000000001</v>
      </c>
      <c r="U3866">
        <v>0.2791901</v>
      </c>
      <c r="V3866">
        <v>2.02086E-2</v>
      </c>
      <c r="W3866">
        <v>0.21567049999999999</v>
      </c>
      <c r="X3866">
        <v>0.97625709999999999</v>
      </c>
      <c r="Y3866">
        <v>8.222198E-2</v>
      </c>
      <c r="Z3866">
        <v>1.547685E-3</v>
      </c>
      <c r="AA3866">
        <v>0.99661279999999997</v>
      </c>
      <c r="AB3866">
        <v>29</v>
      </c>
      <c r="AC3866">
        <v>-23.528499999999902</v>
      </c>
      <c r="AD3866">
        <v>-1.110430863103</v>
      </c>
      <c r="AE3866">
        <v>2.15270000000001</v>
      </c>
      <c r="AF3866">
        <v>1.96432124688604</v>
      </c>
      <c r="AG3866">
        <v>-1.110430863103</v>
      </c>
      <c r="AH3866">
        <v>23.492720260511401</v>
      </c>
      <c r="AI3866">
        <v>92.696789897708499</v>
      </c>
      <c r="AJ3866">
        <v>85.220386304158396</v>
      </c>
      <c r="AK3866">
        <v>23.6008372711932</v>
      </c>
      <c r="AL3866">
        <v>77.545133461010295</v>
      </c>
      <c r="AM3866">
        <v>88.814142142594605</v>
      </c>
      <c r="AN3866">
        <v>1.0000000386923</v>
      </c>
    </row>
    <row r="3867" spans="1:40" x14ac:dyDescent="0.25">
      <c r="A3867" t="str">
        <f>"20190312154634790"</f>
        <v>20190312154634790</v>
      </c>
      <c r="B3867" t="str">
        <f>"1552376794781235"</f>
        <v>1552376794781235</v>
      </c>
      <c r="C3867" t="s">
        <v>40</v>
      </c>
      <c r="D3867">
        <v>4.5535459999999999</v>
      </c>
      <c r="E3867">
        <v>0.52728719999999996</v>
      </c>
      <c r="F3867" t="s">
        <v>42</v>
      </c>
      <c r="G3867">
        <v>-370.10090000000002</v>
      </c>
      <c r="H3867" s="1">
        <v>-4.8370319999999996E-6</v>
      </c>
      <c r="I3867">
        <v>142.97239999999999</v>
      </c>
      <c r="J3867">
        <v>-346.78449999999998</v>
      </c>
      <c r="K3867">
        <v>1.110422</v>
      </c>
      <c r="L3867">
        <v>140.83590000000001</v>
      </c>
      <c r="M3867">
        <v>-0.99986790000000003</v>
      </c>
      <c r="N3867">
        <v>0</v>
      </c>
      <c r="O3867">
        <v>7.9176650000000008E-3</v>
      </c>
      <c r="P3867">
        <v>-0.97922410000000004</v>
      </c>
      <c r="Q3867">
        <v>0.20078470000000001</v>
      </c>
      <c r="R3867">
        <v>2.8380639999999999E-2</v>
      </c>
      <c r="S3867">
        <v>-3.0862430000000001</v>
      </c>
      <c r="T3867">
        <v>-0.14522769999999999</v>
      </c>
      <c r="U3867">
        <v>0.27973940000000003</v>
      </c>
      <c r="V3867">
        <v>2.067809E-2</v>
      </c>
      <c r="W3867">
        <v>0.2146586</v>
      </c>
      <c r="X3867">
        <v>0.97647019999999995</v>
      </c>
      <c r="Y3867">
        <v>8.2300120000000004E-2</v>
      </c>
      <c r="Z3867">
        <v>1.5597409999999999E-3</v>
      </c>
      <c r="AA3867">
        <v>0.99660629999999994</v>
      </c>
      <c r="AB3867">
        <v>29</v>
      </c>
      <c r="AC3867">
        <v>-23.316400000000002</v>
      </c>
      <c r="AD3867">
        <v>-1.1104268370320001</v>
      </c>
      <c r="AE3867">
        <v>2.1364999999999799</v>
      </c>
      <c r="AF3867">
        <v>1.9474228519310699</v>
      </c>
      <c r="AG3867">
        <v>-1.1104268370320001</v>
      </c>
      <c r="AH3867">
        <v>23.280225194602099</v>
      </c>
      <c r="AI3867">
        <v>92.721350289898098</v>
      </c>
      <c r="AJ3867">
        <v>85.218262003005805</v>
      </c>
      <c r="AK3867">
        <v>23.387911164445899</v>
      </c>
      <c r="AL3867">
        <v>77.604500787130505</v>
      </c>
      <c r="AM3867">
        <v>88.786864940045703</v>
      </c>
      <c r="AN3867">
        <v>0.99999997472402302</v>
      </c>
    </row>
    <row r="3868" spans="1:40" x14ac:dyDescent="0.25">
      <c r="A3868" t="str">
        <f>"20190312154634813"</f>
        <v>20190312154634813</v>
      </c>
      <c r="B3868" t="str">
        <f>"1552376794801729"</f>
        <v>1552376794801729</v>
      </c>
      <c r="C3868" t="s">
        <v>40</v>
      </c>
      <c r="D3868">
        <v>4.5454460000000001</v>
      </c>
      <c r="E3868">
        <v>0.52752600000000005</v>
      </c>
      <c r="F3868" t="s">
        <v>42</v>
      </c>
      <c r="G3868">
        <v>-370.09530000000001</v>
      </c>
      <c r="H3868" s="1">
        <v>-4.8383080000000001E-6</v>
      </c>
      <c r="I3868">
        <v>142.96899999999999</v>
      </c>
      <c r="J3868">
        <v>-347.07679999999999</v>
      </c>
      <c r="K3868">
        <v>1.110414</v>
      </c>
      <c r="L3868">
        <v>140.8383</v>
      </c>
      <c r="M3868">
        <v>-0.99986730000000001</v>
      </c>
      <c r="N3868">
        <v>0</v>
      </c>
      <c r="O3868">
        <v>8.020615E-3</v>
      </c>
      <c r="P3868">
        <v>-0.97964269999999998</v>
      </c>
      <c r="Q3868">
        <v>0.1986976</v>
      </c>
      <c r="R3868">
        <v>2.8631480000000001E-2</v>
      </c>
      <c r="S3868">
        <v>-3.0856020000000002</v>
      </c>
      <c r="T3868">
        <v>-0.1469847</v>
      </c>
      <c r="U3868">
        <v>0.2823639</v>
      </c>
      <c r="V3868">
        <v>2.0824249999999999E-2</v>
      </c>
      <c r="W3868">
        <v>0.2125745</v>
      </c>
      <c r="X3868">
        <v>0.97692290000000004</v>
      </c>
      <c r="Y3868">
        <v>8.3054059999999999E-2</v>
      </c>
      <c r="Z3868">
        <v>1.5918760000000001E-3</v>
      </c>
      <c r="AA3868">
        <v>0.99654379999999998</v>
      </c>
      <c r="AB3868">
        <v>29</v>
      </c>
      <c r="AC3868">
        <v>-23.0185</v>
      </c>
      <c r="AD3868">
        <v>-1.110418838308</v>
      </c>
      <c r="AE3868">
        <v>2.1306999999999898</v>
      </c>
      <c r="AF3868">
        <v>1.9415106090774401</v>
      </c>
      <c r="AG3868">
        <v>-1.110418838308</v>
      </c>
      <c r="AH3868">
        <v>22.9818234748967</v>
      </c>
      <c r="AI3868">
        <v>92.756420562810405</v>
      </c>
      <c r="AJ3868">
        <v>85.171103212296302</v>
      </c>
      <c r="AK3868">
        <v>23.0904028477838</v>
      </c>
      <c r="AL3868">
        <v>77.726732166183695</v>
      </c>
      <c r="AM3868">
        <v>88.778858625403302</v>
      </c>
      <c r="AN3868">
        <v>0.99999995999136004</v>
      </c>
    </row>
    <row r="3869" spans="1:40" x14ac:dyDescent="0.25">
      <c r="A3869" t="str">
        <f>"20190312154634836"</f>
        <v>20190312154634836</v>
      </c>
      <c r="B3869" t="str">
        <f>"1552376794831009"</f>
        <v>1552376794831009</v>
      </c>
      <c r="C3869" t="s">
        <v>40</v>
      </c>
      <c r="D3869">
        <v>4.5801499999999997</v>
      </c>
      <c r="E3869">
        <v>0.52775620000000001</v>
      </c>
      <c r="F3869" t="s">
        <v>42</v>
      </c>
      <c r="G3869">
        <v>-369.6157</v>
      </c>
      <c r="H3869" s="1">
        <v>-1.027542E-6</v>
      </c>
      <c r="I3869">
        <v>142.92490000000001</v>
      </c>
      <c r="J3869">
        <v>-347.37490000000003</v>
      </c>
      <c r="K3869">
        <v>1.110403</v>
      </c>
      <c r="L3869">
        <v>140.8408</v>
      </c>
      <c r="M3869">
        <v>-0.99986649999999999</v>
      </c>
      <c r="N3869">
        <v>0</v>
      </c>
      <c r="O3869">
        <v>8.1255930000000004E-3</v>
      </c>
      <c r="P3869">
        <v>-0.98027489999999995</v>
      </c>
      <c r="Q3869">
        <v>0.19554379999999999</v>
      </c>
      <c r="R3869">
        <v>2.8705000000000001E-2</v>
      </c>
      <c r="S3869">
        <v>-3.0848080000000002</v>
      </c>
      <c r="T3869">
        <v>-0.15197840000000001</v>
      </c>
      <c r="U3869">
        <v>0.28559879999999999</v>
      </c>
      <c r="V3869">
        <v>2.0788839999999999E-2</v>
      </c>
      <c r="W3869">
        <v>0.2094269</v>
      </c>
      <c r="X3869">
        <v>0.97760329999999995</v>
      </c>
      <c r="Y3869">
        <v>8.4002010000000002E-2</v>
      </c>
      <c r="Z3869">
        <v>1.6643669999999999E-3</v>
      </c>
      <c r="AA3869">
        <v>0.99646420000000002</v>
      </c>
      <c r="AB3869">
        <v>29</v>
      </c>
      <c r="AC3869">
        <v>-22.240799999999901</v>
      </c>
      <c r="AD3869">
        <v>-1.110404027542</v>
      </c>
      <c r="AE3869">
        <v>2.0840999999999998</v>
      </c>
      <c r="AF3869">
        <v>1.8986019778882099</v>
      </c>
      <c r="AG3869">
        <v>-1.110404027542</v>
      </c>
      <c r="AH3869">
        <v>22.202141423364299</v>
      </c>
      <c r="AI3869">
        <v>92.852775192231903</v>
      </c>
      <c r="AJ3869">
        <v>85.112278931979105</v>
      </c>
      <c r="AK3869">
        <v>22.310821821660699</v>
      </c>
      <c r="AL3869">
        <v>77.911230844731094</v>
      </c>
      <c r="AM3869">
        <v>88.781782652173803</v>
      </c>
      <c r="AN3869">
        <v>1.0000000072415201</v>
      </c>
    </row>
    <row r="3870" spans="1:40" x14ac:dyDescent="0.25">
      <c r="A3870" t="str">
        <f>"20190312154634860"</f>
        <v>20190312154634860</v>
      </c>
      <c r="B3870" t="str">
        <f>"1552376794851504"</f>
        <v>1552376794851504</v>
      </c>
      <c r="C3870" t="s">
        <v>40</v>
      </c>
      <c r="D3870">
        <v>4.5992499999999996</v>
      </c>
      <c r="E3870">
        <v>0.52807740000000003</v>
      </c>
      <c r="F3870" t="s">
        <v>42</v>
      </c>
      <c r="G3870">
        <v>-368.76510000000002</v>
      </c>
      <c r="H3870" s="1">
        <v>-1.3708409999999999E-6</v>
      </c>
      <c r="I3870">
        <v>142.84379999999999</v>
      </c>
      <c r="J3870">
        <v>-347.67860000000002</v>
      </c>
      <c r="K3870">
        <v>1.1103909999999999</v>
      </c>
      <c r="L3870">
        <v>140.8434</v>
      </c>
      <c r="M3870">
        <v>-0.99986549999999996</v>
      </c>
      <c r="N3870">
        <v>0</v>
      </c>
      <c r="O3870">
        <v>8.2325369999999998E-3</v>
      </c>
      <c r="P3870">
        <v>-0.9808055</v>
      </c>
      <c r="Q3870">
        <v>0.19284960000000001</v>
      </c>
      <c r="R3870">
        <v>2.8804010000000001E-2</v>
      </c>
      <c r="S3870">
        <v>-3.0838320000000001</v>
      </c>
      <c r="T3870">
        <v>-0.1600876</v>
      </c>
      <c r="U3870">
        <v>0.28878779999999998</v>
      </c>
      <c r="V3870">
        <v>2.077787E-2</v>
      </c>
      <c r="W3870">
        <v>0.20673759999999999</v>
      </c>
      <c r="X3870">
        <v>0.97817580000000004</v>
      </c>
      <c r="Y3870">
        <v>8.4934830000000003E-2</v>
      </c>
      <c r="Z3870">
        <v>1.772135E-3</v>
      </c>
      <c r="AA3870">
        <v>0.99638490000000002</v>
      </c>
      <c r="AB3870">
        <v>29</v>
      </c>
      <c r="AC3870">
        <v>-21.086500000000001</v>
      </c>
      <c r="AD3870">
        <v>-1.110392370841</v>
      </c>
      <c r="AE3870">
        <v>2.00039999999998</v>
      </c>
      <c r="AF3870">
        <v>1.8217128543357</v>
      </c>
      <c r="AG3870">
        <v>-1.110392370841</v>
      </c>
      <c r="AH3870">
        <v>21.044420414735701</v>
      </c>
      <c r="AI3870">
        <v>93.009133412327898</v>
      </c>
      <c r="AJ3870">
        <v>85.052517187841701</v>
      </c>
      <c r="AK3870">
        <v>21.152286862961699</v>
      </c>
      <c r="AL3870">
        <v>78.068764863689395</v>
      </c>
      <c r="AM3870">
        <v>88.783137695438796</v>
      </c>
      <c r="AN3870">
        <v>1.0000000254205601</v>
      </c>
    </row>
    <row r="3871" spans="1:40" x14ac:dyDescent="0.25">
      <c r="A3871" t="str">
        <f>"20190312154634882"</f>
        <v>20190312154634882</v>
      </c>
      <c r="B3871" t="str">
        <f>"1552376794871025"</f>
        <v>1552376794871025</v>
      </c>
      <c r="C3871" t="s">
        <v>40</v>
      </c>
      <c r="D3871">
        <v>4.5266529999999996</v>
      </c>
      <c r="E3871">
        <v>0.5282114</v>
      </c>
      <c r="F3871" t="s">
        <v>42</v>
      </c>
      <c r="G3871">
        <v>-367.9615</v>
      </c>
      <c r="H3871" s="1">
        <v>-1.695589E-6</v>
      </c>
      <c r="I3871">
        <v>142.76859999999999</v>
      </c>
      <c r="J3871">
        <v>-347.9735</v>
      </c>
      <c r="K3871">
        <v>1.110387</v>
      </c>
      <c r="L3871">
        <v>140.8459</v>
      </c>
      <c r="M3871">
        <v>-0.9998648</v>
      </c>
      <c r="N3871">
        <v>0</v>
      </c>
      <c r="O3871">
        <v>8.3364990000000007E-3</v>
      </c>
      <c r="P3871">
        <v>-0.98116599999999998</v>
      </c>
      <c r="Q3871">
        <v>0.19115370000000001</v>
      </c>
      <c r="R3871">
        <v>2.78184E-2</v>
      </c>
      <c r="S3871">
        <v>-3.0832820000000001</v>
      </c>
      <c r="T3871">
        <v>-0.168795</v>
      </c>
      <c r="U3871">
        <v>0.29267880000000002</v>
      </c>
      <c r="V3871">
        <v>1.968673E-2</v>
      </c>
      <c r="W3871">
        <v>0.20504430000000001</v>
      </c>
      <c r="X3871">
        <v>0.9785547</v>
      </c>
      <c r="Y3871">
        <v>8.6080980000000001E-2</v>
      </c>
      <c r="Z3871">
        <v>1.8942119999999999E-3</v>
      </c>
      <c r="AA3871">
        <v>0.99628629999999996</v>
      </c>
      <c r="AB3871">
        <v>29</v>
      </c>
      <c r="AC3871">
        <v>-19.988</v>
      </c>
      <c r="AD3871">
        <v>-1.1103886955889899</v>
      </c>
      <c r="AE3871">
        <v>1.9226999999999901</v>
      </c>
      <c r="AF3871">
        <v>1.75063337868957</v>
      </c>
      <c r="AG3871">
        <v>-1.1103886955889899</v>
      </c>
      <c r="AH3871">
        <v>19.942355441022698</v>
      </c>
      <c r="AI3871">
        <v>93.174749577170104</v>
      </c>
      <c r="AJ3871">
        <v>84.983168521972502</v>
      </c>
      <c r="AK3871">
        <v>20.0498184734417</v>
      </c>
      <c r="AL3871">
        <v>78.167907859071804</v>
      </c>
      <c r="AM3871">
        <v>88.847469231569505</v>
      </c>
      <c r="AN3871">
        <v>1.0000000165963301</v>
      </c>
    </row>
    <row r="3872" spans="1:40" x14ac:dyDescent="0.25">
      <c r="A3872" t="str">
        <f>"20190312154634904"</f>
        <v>20190312154634904</v>
      </c>
      <c r="B3872" t="str">
        <f>"1552376794891521"</f>
        <v>1552376794891521</v>
      </c>
      <c r="C3872" t="s">
        <v>40</v>
      </c>
      <c r="D3872">
        <v>4.5649329999999999</v>
      </c>
      <c r="E3872">
        <v>0.52835209999999999</v>
      </c>
      <c r="F3872" t="s">
        <v>42</v>
      </c>
      <c r="G3872">
        <v>-367.78559999999999</v>
      </c>
      <c r="H3872" s="1">
        <v>-1.758317E-6</v>
      </c>
      <c r="I3872">
        <v>142.7208</v>
      </c>
      <c r="J3872">
        <v>-348.24639999999999</v>
      </c>
      <c r="K3872">
        <v>1.11039</v>
      </c>
      <c r="L3872">
        <v>140.84829999999999</v>
      </c>
      <c r="M3872">
        <v>-0.99986390000000003</v>
      </c>
      <c r="N3872">
        <v>0</v>
      </c>
      <c r="O3872">
        <v>8.4326519999999901E-3</v>
      </c>
      <c r="P3872">
        <v>-0.98144540000000002</v>
      </c>
      <c r="Q3872">
        <v>0.1898138</v>
      </c>
      <c r="R3872">
        <v>2.7123399999999999E-2</v>
      </c>
      <c r="S3872">
        <v>-3.083008</v>
      </c>
      <c r="T3872">
        <v>-0.17279079999999999</v>
      </c>
      <c r="U3872">
        <v>0.2917633</v>
      </c>
      <c r="V3872">
        <v>1.8894689999999999E-2</v>
      </c>
      <c r="W3872">
        <v>0.203706</v>
      </c>
      <c r="X3872">
        <v>0.97884979999999999</v>
      </c>
      <c r="Y3872">
        <v>8.5695489999999999E-2</v>
      </c>
      <c r="Z3872">
        <v>1.9230390000000001E-3</v>
      </c>
      <c r="AA3872">
        <v>0.99631950000000002</v>
      </c>
      <c r="AB3872">
        <v>29</v>
      </c>
      <c r="AC3872">
        <v>-19.539199999999902</v>
      </c>
      <c r="AD3872">
        <v>-1.110391758317</v>
      </c>
      <c r="AE3872">
        <v>1.8725000000000001</v>
      </c>
      <c r="AF3872">
        <v>1.70220228714532</v>
      </c>
      <c r="AG3872">
        <v>-1.110391758317</v>
      </c>
      <c r="AH3872">
        <v>19.4919200506619</v>
      </c>
      <c r="AI3872">
        <v>93.248096389733504</v>
      </c>
      <c r="AJ3872">
        <v>85.009100850068194</v>
      </c>
      <c r="AK3872">
        <v>19.597586834727799</v>
      </c>
      <c r="AL3872">
        <v>78.246240442590306</v>
      </c>
      <c r="AM3872">
        <v>88.894159692669703</v>
      </c>
      <c r="AN3872">
        <v>1.0000000373531099</v>
      </c>
    </row>
    <row r="3873" spans="1:40" x14ac:dyDescent="0.25">
      <c r="A3873" t="str">
        <f>"20190312154634926"</f>
        <v>20190312154634926</v>
      </c>
      <c r="B3873" t="str">
        <f>"1552376794921777"</f>
        <v>1552376794921777</v>
      </c>
      <c r="C3873" t="s">
        <v>40</v>
      </c>
      <c r="D3873">
        <v>4.5967379999999904</v>
      </c>
      <c r="E3873">
        <v>0.5286033</v>
      </c>
      <c r="F3873" t="s">
        <v>42</v>
      </c>
      <c r="G3873">
        <v>-367.68239999999997</v>
      </c>
      <c r="H3873" s="1">
        <v>-1.7921679999999999E-6</v>
      </c>
      <c r="I3873">
        <v>142.6816</v>
      </c>
      <c r="J3873">
        <v>-348.52600000000001</v>
      </c>
      <c r="K3873">
        <v>1.11039</v>
      </c>
      <c r="L3873">
        <v>140.85069999999999</v>
      </c>
      <c r="M3873">
        <v>-0.99986330000000001</v>
      </c>
      <c r="N3873">
        <v>0</v>
      </c>
      <c r="O3873">
        <v>8.53107E-3</v>
      </c>
      <c r="P3873">
        <v>-0.98165139999999995</v>
      </c>
      <c r="Q3873">
        <v>0.18889249999999999</v>
      </c>
      <c r="R3873">
        <v>2.608657E-2</v>
      </c>
      <c r="S3873">
        <v>-3.0827640000000001</v>
      </c>
      <c r="T3873">
        <v>-0.1761209</v>
      </c>
      <c r="U3873">
        <v>0.290802</v>
      </c>
      <c r="V3873">
        <v>1.775916E-2</v>
      </c>
      <c r="W3873">
        <v>0.2027853</v>
      </c>
      <c r="X3873">
        <v>0.97906210000000005</v>
      </c>
      <c r="Y3873">
        <v>8.5292989999999999E-2</v>
      </c>
      <c r="Z3873">
        <v>1.943157E-3</v>
      </c>
      <c r="AA3873">
        <v>0.99635399999999996</v>
      </c>
      <c r="AB3873">
        <v>29</v>
      </c>
      <c r="AC3873">
        <v>-19.156399999999898</v>
      </c>
      <c r="AD3873">
        <v>-1.110391792168</v>
      </c>
      <c r="AE3873">
        <v>1.83090000000001</v>
      </c>
      <c r="AF3873">
        <v>1.66185926085583</v>
      </c>
      <c r="AG3873">
        <v>-1.110391792168</v>
      </c>
      <c r="AH3873">
        <v>19.1077052698042</v>
      </c>
      <c r="AI3873">
        <v>93.313366245954299</v>
      </c>
      <c r="AJ3873">
        <v>85.029307907758394</v>
      </c>
      <c r="AK3873">
        <v>19.2119532274235</v>
      </c>
      <c r="AL3873">
        <v>78.300115928486605</v>
      </c>
      <c r="AM3873">
        <v>88.960828591114606</v>
      </c>
      <c r="AN3873">
        <v>0.99999993065820003</v>
      </c>
    </row>
    <row r="3874" spans="1:40" x14ac:dyDescent="0.25">
      <c r="A3874" t="str">
        <f>"20190312154634948"</f>
        <v>20190312154634948</v>
      </c>
      <c r="B3874" t="str">
        <f>"1552376794941298"</f>
        <v>1552376794941298</v>
      </c>
      <c r="C3874" t="s">
        <v>40</v>
      </c>
      <c r="D3874">
        <v>4.5861219999999996</v>
      </c>
      <c r="E3874">
        <v>0.52878649999999905</v>
      </c>
      <c r="F3874" t="s">
        <v>42</v>
      </c>
      <c r="G3874">
        <v>-367.75749999999999</v>
      </c>
      <c r="H3874" s="1">
        <v>-1.7542509999999901E-6</v>
      </c>
      <c r="I3874">
        <v>142.6601</v>
      </c>
      <c r="J3874">
        <v>-348.82040000000001</v>
      </c>
      <c r="K3874">
        <v>1.110395</v>
      </c>
      <c r="L3874">
        <v>140.85329999999999</v>
      </c>
      <c r="M3874">
        <v>-0.99986240000000004</v>
      </c>
      <c r="N3874">
        <v>0</v>
      </c>
      <c r="O3874">
        <v>8.6347950000000007E-3</v>
      </c>
      <c r="P3874">
        <v>-0.98189320000000002</v>
      </c>
      <c r="Q3874">
        <v>0.18778529999999999</v>
      </c>
      <c r="R3874">
        <v>2.494818E-2</v>
      </c>
      <c r="S3874">
        <v>-3.082611</v>
      </c>
      <c r="T3874">
        <v>-0.17798520000000001</v>
      </c>
      <c r="U3874">
        <v>0.29003909999999899</v>
      </c>
      <c r="V3874">
        <v>1.6516429999999999E-2</v>
      </c>
      <c r="W3874">
        <v>0.20167860000000001</v>
      </c>
      <c r="X3874">
        <v>0.97931250000000003</v>
      </c>
      <c r="Y3874">
        <v>8.4947910000000001E-2</v>
      </c>
      <c r="Z3874">
        <v>1.9479090000000001E-3</v>
      </c>
      <c r="AA3874">
        <v>0.99638349999999998</v>
      </c>
      <c r="AB3874">
        <v>29</v>
      </c>
      <c r="AC3874">
        <v>-18.937099999999901</v>
      </c>
      <c r="AD3874">
        <v>-1.110396754251</v>
      </c>
      <c r="AE3874">
        <v>1.8068</v>
      </c>
      <c r="AF3874">
        <v>1.6376186010167</v>
      </c>
      <c r="AG3874">
        <v>-1.110396754251</v>
      </c>
      <c r="AH3874">
        <v>18.887643367592901</v>
      </c>
      <c r="AI3874">
        <v>93.351975898764294</v>
      </c>
      <c r="AJ3874">
        <v>85.044666491850407</v>
      </c>
      <c r="AK3874">
        <v>18.990993855394201</v>
      </c>
      <c r="AL3874">
        <v>78.364863955237496</v>
      </c>
      <c r="AM3874">
        <v>89.033779285772695</v>
      </c>
      <c r="AN3874">
        <v>1.00000001140707</v>
      </c>
    </row>
    <row r="3875" spans="1:40" x14ac:dyDescent="0.25">
      <c r="A3875" t="str">
        <f>"20190312154634970"</f>
        <v>20190312154634970</v>
      </c>
      <c r="B3875" t="str">
        <f>"1552376794961793"</f>
        <v>1552376794961793</v>
      </c>
      <c r="C3875" t="s">
        <v>40</v>
      </c>
      <c r="D3875">
        <v>4.5395019999999997</v>
      </c>
      <c r="E3875">
        <v>0.52892329999999999</v>
      </c>
      <c r="F3875" t="s">
        <v>42</v>
      </c>
      <c r="G3875">
        <v>-367.75490000000002</v>
      </c>
      <c r="H3875" s="1">
        <v>-1.7461300000000001E-6</v>
      </c>
      <c r="I3875">
        <v>142.62540000000001</v>
      </c>
      <c r="J3875">
        <v>-349.10309999999998</v>
      </c>
      <c r="K3875">
        <v>1.110384</v>
      </c>
      <c r="L3875">
        <v>140.85589999999999</v>
      </c>
      <c r="M3875">
        <v>-0.99986160000000002</v>
      </c>
      <c r="N3875">
        <v>0</v>
      </c>
      <c r="O3875">
        <v>8.7345259999999994E-3</v>
      </c>
      <c r="P3875">
        <v>-0.98224429999999996</v>
      </c>
      <c r="Q3875">
        <v>0.18602189999999999</v>
      </c>
      <c r="R3875">
        <v>2.433544E-2</v>
      </c>
      <c r="S3875">
        <v>-3.0825200000000001</v>
      </c>
      <c r="T3875">
        <v>-0.1807724</v>
      </c>
      <c r="U3875">
        <v>0.28849789999999997</v>
      </c>
      <c r="V3875">
        <v>1.5802119999999999E-2</v>
      </c>
      <c r="W3875">
        <v>0.1999175</v>
      </c>
      <c r="X3875">
        <v>0.97968529999999998</v>
      </c>
      <c r="Y3875">
        <v>8.4354680000000001E-2</v>
      </c>
      <c r="Z3875">
        <v>1.9552940000000002E-3</v>
      </c>
      <c r="AA3875">
        <v>0.99643389999999998</v>
      </c>
      <c r="AB3875">
        <v>29</v>
      </c>
      <c r="AC3875">
        <v>-18.651800000000001</v>
      </c>
      <c r="AD3875">
        <v>-1.11038574613</v>
      </c>
      <c r="AE3875">
        <v>1.7695000000000201</v>
      </c>
      <c r="AF3875">
        <v>1.60087845259099</v>
      </c>
      <c r="AG3875">
        <v>-1.11038574613</v>
      </c>
      <c r="AH3875">
        <v>18.601209108987799</v>
      </c>
      <c r="AI3875">
        <v>93.403624199460694</v>
      </c>
      <c r="AJ3875">
        <v>85.081066070444905</v>
      </c>
      <c r="AK3875">
        <v>18.702960959202901</v>
      </c>
      <c r="AL3875">
        <v>78.467865304592195</v>
      </c>
      <c r="AM3875">
        <v>89.075911135234705</v>
      </c>
      <c r="AN3875">
        <v>1.0000000004194101</v>
      </c>
    </row>
    <row r="3876" spans="1:40" x14ac:dyDescent="0.25">
      <c r="A3876" t="str">
        <f>"20190312154634993"</f>
        <v>20190312154634993</v>
      </c>
      <c r="B3876" t="str">
        <f>"1552376794981314"</f>
        <v>1552376794981314</v>
      </c>
      <c r="C3876" t="s">
        <v>40</v>
      </c>
      <c r="D3876">
        <v>4.5884960000000001</v>
      </c>
      <c r="E3876">
        <v>0.52907539999999997</v>
      </c>
      <c r="F3876" t="s">
        <v>42</v>
      </c>
      <c r="G3876">
        <v>-367.62610000000001</v>
      </c>
      <c r="H3876" s="1">
        <v>-1.7913140000000001E-6</v>
      </c>
      <c r="I3876">
        <v>142.58760000000001</v>
      </c>
      <c r="J3876">
        <v>-349.399</v>
      </c>
      <c r="K3876">
        <v>1.1103809999999901</v>
      </c>
      <c r="L3876">
        <v>140.8586</v>
      </c>
      <c r="M3876">
        <v>-0.99986059999999999</v>
      </c>
      <c r="N3876">
        <v>0</v>
      </c>
      <c r="O3876">
        <v>8.8382449999999998E-3</v>
      </c>
      <c r="P3876">
        <v>-0.98272020000000004</v>
      </c>
      <c r="Q3876">
        <v>0.1835754</v>
      </c>
      <c r="R3876">
        <v>2.3689410000000001E-2</v>
      </c>
      <c r="S3876">
        <v>-3.0820919999999998</v>
      </c>
      <c r="T3876">
        <v>-0.18476010000000001</v>
      </c>
      <c r="U3876">
        <v>0.28816219999999998</v>
      </c>
      <c r="V3876">
        <v>1.50493E-2</v>
      </c>
      <c r="W3876">
        <v>0.1974757</v>
      </c>
      <c r="X3876">
        <v>0.98019219999999896</v>
      </c>
      <c r="Y3876">
        <v>8.4151290000000004E-2</v>
      </c>
      <c r="Z3876">
        <v>1.9863599999999999E-3</v>
      </c>
      <c r="AA3876">
        <v>0.99645099999999998</v>
      </c>
      <c r="AB3876">
        <v>29</v>
      </c>
      <c r="AC3876">
        <v>-18.2271</v>
      </c>
      <c r="AD3876">
        <v>-1.1103827913140001</v>
      </c>
      <c r="AE3876">
        <v>1.7290000000000101</v>
      </c>
      <c r="AF3876">
        <v>1.56207529281822</v>
      </c>
      <c r="AG3876">
        <v>-1.1103827913140001</v>
      </c>
      <c r="AH3876">
        <v>18.174822544282002</v>
      </c>
      <c r="AI3876">
        <v>93.483304985917002</v>
      </c>
      <c r="AJ3876">
        <v>85.087659555487505</v>
      </c>
      <c r="AK3876">
        <v>18.275590378420699</v>
      </c>
      <c r="AL3876">
        <v>78.610615805208894</v>
      </c>
      <c r="AM3876">
        <v>89.1203830929052</v>
      </c>
      <c r="AN3876">
        <v>0.99999994123090796</v>
      </c>
    </row>
    <row r="3877" spans="1:40" x14ac:dyDescent="0.25">
      <c r="A3877" t="str">
        <f>"20190312154635015"</f>
        <v>20190312154635015</v>
      </c>
      <c r="B3877" t="str">
        <f>"1552376795011569"</f>
        <v>1552376795011569</v>
      </c>
      <c r="C3877" t="s">
        <v>40</v>
      </c>
      <c r="D3877">
        <v>4.5593769999999996</v>
      </c>
      <c r="E3877">
        <v>0.48569230000000002</v>
      </c>
      <c r="F3877" t="s">
        <v>42</v>
      </c>
      <c r="G3877">
        <v>-367.3263</v>
      </c>
      <c r="H3877" s="1">
        <v>-1.9066220000000001E-6</v>
      </c>
      <c r="I3877">
        <v>142.53749999999999</v>
      </c>
      <c r="J3877">
        <v>-349.67919999999998</v>
      </c>
      <c r="K3877">
        <v>1.110379</v>
      </c>
      <c r="L3877">
        <v>140.8612</v>
      </c>
      <c r="M3877">
        <v>-0.99985990000000002</v>
      </c>
      <c r="N3877">
        <v>0</v>
      </c>
      <c r="O3877">
        <v>8.9345589999999999E-3</v>
      </c>
      <c r="P3877">
        <v>-0.98301280000000002</v>
      </c>
      <c r="Q3877">
        <v>0.1820137</v>
      </c>
      <c r="R3877">
        <v>2.3606700000000001E-2</v>
      </c>
      <c r="S3877">
        <v>-3.0814509999999999</v>
      </c>
      <c r="T3877">
        <v>-0.19086040000000001</v>
      </c>
      <c r="U3877">
        <v>0.28860469999999999</v>
      </c>
      <c r="V3877">
        <v>1.4868360000000001E-2</v>
      </c>
      <c r="W3877">
        <v>0.1959156</v>
      </c>
      <c r="X3877">
        <v>0.98050800000000005</v>
      </c>
      <c r="Y3877">
        <v>8.4207400000000002E-2</v>
      </c>
      <c r="Z3877">
        <v>2.048018E-3</v>
      </c>
      <c r="AA3877">
        <v>0.9964461</v>
      </c>
      <c r="AB3877">
        <v>29</v>
      </c>
      <c r="AC3877">
        <v>-17.647099999999998</v>
      </c>
      <c r="AD3877">
        <v>-1.1103809066220001</v>
      </c>
      <c r="AE3877">
        <v>1.6762999999999899</v>
      </c>
      <c r="AF3877">
        <v>1.51261318016805</v>
      </c>
      <c r="AG3877">
        <v>-1.1103809066220001</v>
      </c>
      <c r="AH3877">
        <v>17.592346845581499</v>
      </c>
      <c r="AI3877">
        <v>93.598321126044894</v>
      </c>
      <c r="AJ3877">
        <v>85.085719618000098</v>
      </c>
      <c r="AK3877">
        <v>17.692134182337899</v>
      </c>
      <c r="AL3877">
        <v>78.701784237589806</v>
      </c>
      <c r="AM3877">
        <v>89.131237084215897</v>
      </c>
      <c r="AN3877">
        <v>0.99999996425822402</v>
      </c>
    </row>
    <row r="3878" spans="1:40" x14ac:dyDescent="0.25">
      <c r="A3878" t="str">
        <f>"20190312154635038"</f>
        <v>20190312154635038</v>
      </c>
      <c r="B3878" t="str">
        <f>"1552376795031089"</f>
        <v>1552376795031089</v>
      </c>
      <c r="C3878" t="s">
        <v>40</v>
      </c>
      <c r="D3878">
        <v>4.5625790000000004</v>
      </c>
      <c r="E3878">
        <v>0.47123520000000002</v>
      </c>
      <c r="F3878" t="s">
        <v>42</v>
      </c>
      <c r="G3878">
        <v>-374.00670000000002</v>
      </c>
      <c r="H3878" s="1">
        <v>-2.7676500000000001E-6</v>
      </c>
      <c r="I3878">
        <v>140.4213</v>
      </c>
      <c r="J3878">
        <v>-349.97669999999999</v>
      </c>
      <c r="K3878">
        <v>1.1103809999999901</v>
      </c>
      <c r="L3878">
        <v>140.8639</v>
      </c>
      <c r="M3878">
        <v>-0.99985889999999999</v>
      </c>
      <c r="N3878">
        <v>0</v>
      </c>
      <c r="O3878">
        <v>9.0352760000000001E-3</v>
      </c>
      <c r="P3878">
        <v>-0.98320589999999997</v>
      </c>
      <c r="Q3878">
        <v>0.1809954</v>
      </c>
      <c r="R3878">
        <v>2.3388140000000002E-2</v>
      </c>
      <c r="S3878">
        <v>-3.0791930000000001</v>
      </c>
      <c r="T3878">
        <v>-0.14054410000000001</v>
      </c>
      <c r="U3878">
        <v>-5.5664060000000001E-2</v>
      </c>
      <c r="V3878">
        <v>1.454806E-2</v>
      </c>
      <c r="W3878">
        <v>0.1948976</v>
      </c>
      <c r="X3878">
        <v>0.98071569999999997</v>
      </c>
      <c r="Y3878">
        <v>-2.7070919999999998E-2</v>
      </c>
      <c r="Z3878">
        <v>-1.0296249999999999E-3</v>
      </c>
      <c r="AA3878">
        <v>0.99963299999999999</v>
      </c>
      <c r="AB3878">
        <v>29</v>
      </c>
      <c r="AC3878">
        <v>-24.03</v>
      </c>
      <c r="AD3878">
        <v>-1.1103837676499999</v>
      </c>
      <c r="AE3878">
        <v>-0.442599999999998</v>
      </c>
      <c r="AF3878">
        <v>-0.65831622582586202</v>
      </c>
      <c r="AG3878">
        <v>-1.1103837676499999</v>
      </c>
      <c r="AH3878">
        <v>23.973847897156801</v>
      </c>
      <c r="AI3878">
        <v>92.650844702425999</v>
      </c>
      <c r="AJ3878">
        <v>91.572933360971604</v>
      </c>
      <c r="AK3878">
        <v>24.008575871147698</v>
      </c>
      <c r="AL3878">
        <v>78.761258293976098</v>
      </c>
      <c r="AM3878">
        <v>89.150129537562094</v>
      </c>
      <c r="AN3878">
        <v>1.0000000023810001</v>
      </c>
    </row>
    <row r="3879" spans="1:40" x14ac:dyDescent="0.25">
      <c r="A3879" t="str">
        <f>"20190312154635063"</f>
        <v>20190312154635063</v>
      </c>
      <c r="B3879" t="str">
        <f>"1552376795051585"</f>
        <v>1552376795051585</v>
      </c>
      <c r="C3879" t="s">
        <v>40</v>
      </c>
      <c r="D3879">
        <v>4.5779930000000002</v>
      </c>
      <c r="E3879">
        <v>0.46402700000000002</v>
      </c>
      <c r="F3879" t="s">
        <v>42</v>
      </c>
      <c r="G3879">
        <v>-371.32330000000002</v>
      </c>
      <c r="H3879" s="1">
        <v>-3.7195079999999999E-6</v>
      </c>
      <c r="I3879">
        <v>139.67230000000001</v>
      </c>
      <c r="J3879">
        <v>-350.28840000000002</v>
      </c>
      <c r="K3879">
        <v>1.1103809999999901</v>
      </c>
      <c r="L3879">
        <v>140.86689999999999</v>
      </c>
      <c r="M3879">
        <v>-0.99985809999999997</v>
      </c>
      <c r="N3879">
        <v>0</v>
      </c>
      <c r="O3879">
        <v>9.1384299999999995E-3</v>
      </c>
      <c r="P3879">
        <v>-0.9834176</v>
      </c>
      <c r="Q3879">
        <v>0.17992330000000001</v>
      </c>
      <c r="R3879">
        <v>2.2745769999999998E-2</v>
      </c>
      <c r="S3879">
        <v>-3.0848390000000001</v>
      </c>
      <c r="T3879">
        <v>-0.16046440000000001</v>
      </c>
      <c r="U3879">
        <v>-0.1721954</v>
      </c>
      <c r="V3879">
        <v>1.3800730000000001E-2</v>
      </c>
      <c r="W3879">
        <v>0.19382550000000001</v>
      </c>
      <c r="X3879">
        <v>0.98093900000000001</v>
      </c>
      <c r="Y3879">
        <v>-6.4756359999999999E-2</v>
      </c>
      <c r="Z3879">
        <v>-2.1565130000000001E-3</v>
      </c>
      <c r="AA3879">
        <v>0.99789879999999997</v>
      </c>
      <c r="AB3879">
        <v>29</v>
      </c>
      <c r="AC3879">
        <v>-21.0349</v>
      </c>
      <c r="AD3879">
        <v>-1.1103847195080001</v>
      </c>
      <c r="AE3879">
        <v>-1.1945999999999799</v>
      </c>
      <c r="AF3879">
        <v>-1.38295404595723</v>
      </c>
      <c r="AG3879">
        <v>-1.1103847195080001</v>
      </c>
      <c r="AH3879">
        <v>20.964871877021899</v>
      </c>
      <c r="AI3879">
        <v>93.0252216668042</v>
      </c>
      <c r="AJ3879">
        <v>93.774065393801294</v>
      </c>
      <c r="AK3879">
        <v>21.0397568650042</v>
      </c>
      <c r="AL3879">
        <v>78.823879862077504</v>
      </c>
      <c r="AM3879">
        <v>89.1939647428961</v>
      </c>
      <c r="AN3879">
        <v>1.00000005315989</v>
      </c>
    </row>
    <row r="3880" spans="1:40" x14ac:dyDescent="0.25">
      <c r="A3880" t="str">
        <f>"20190312154635084"</f>
        <v>20190312154635084</v>
      </c>
      <c r="B3880" t="str">
        <f>"1552376795081841"</f>
        <v>1552376795081841</v>
      </c>
      <c r="C3880" t="s">
        <v>40</v>
      </c>
      <c r="D3880">
        <v>4.5258349999999998</v>
      </c>
      <c r="E3880">
        <v>0.45923019999999998</v>
      </c>
      <c r="F3880" t="s">
        <v>42</v>
      </c>
      <c r="G3880">
        <v>-370.50740000000002</v>
      </c>
      <c r="H3880" s="1">
        <v>-4.1012400000000001E-6</v>
      </c>
      <c r="I3880">
        <v>139.35329999999999</v>
      </c>
      <c r="J3880">
        <v>-350.56959999999998</v>
      </c>
      <c r="K3880">
        <v>1.1103860000000001</v>
      </c>
      <c r="L3880">
        <v>140.86949999999999</v>
      </c>
      <c r="M3880">
        <v>-0.99985740000000001</v>
      </c>
      <c r="N3880">
        <v>0</v>
      </c>
      <c r="O3880">
        <v>9.2278670000000007E-3</v>
      </c>
      <c r="P3880">
        <v>-0.98369660000000003</v>
      </c>
      <c r="Q3880">
        <v>0.1785032</v>
      </c>
      <c r="R3880">
        <v>2.1862860000000001E-2</v>
      </c>
      <c r="S3880">
        <v>-3.0869140000000002</v>
      </c>
      <c r="T3880">
        <v>-0.16952679999999901</v>
      </c>
      <c r="U3880">
        <v>-0.23106380000000001</v>
      </c>
      <c r="V3880">
        <v>1.2825949999999999E-2</v>
      </c>
      <c r="W3880">
        <v>0.19240689999999999</v>
      </c>
      <c r="X3880">
        <v>0.98123139999999998</v>
      </c>
      <c r="Y3880">
        <v>-8.3704459999999994E-2</v>
      </c>
      <c r="Z3880">
        <v>-2.7992820000000002E-3</v>
      </c>
      <c r="AA3880">
        <v>0.99648669999999995</v>
      </c>
      <c r="AB3880">
        <v>29</v>
      </c>
      <c r="AC3880">
        <v>-19.937799999999999</v>
      </c>
      <c r="AD3880">
        <v>-1.1103901012399999</v>
      </c>
      <c r="AE3880">
        <v>-1.51619999999999</v>
      </c>
      <c r="AF3880">
        <v>-1.6949103621956001</v>
      </c>
      <c r="AG3880">
        <v>-1.1103901012399999</v>
      </c>
      <c r="AH3880">
        <v>19.861707829216801</v>
      </c>
      <c r="AI3880">
        <v>93.188287427235693</v>
      </c>
      <c r="AJ3880">
        <v>94.877551788277898</v>
      </c>
      <c r="AK3880">
        <v>19.964797149131801</v>
      </c>
      <c r="AL3880">
        <v>78.906718324997897</v>
      </c>
      <c r="AM3880">
        <v>89.251113494243896</v>
      </c>
      <c r="AN3880">
        <v>0.99999999025348596</v>
      </c>
    </row>
    <row r="3881" spans="1:40" x14ac:dyDescent="0.25">
      <c r="A3881" t="str">
        <f>"20190312154635105"</f>
        <v>20190312154635105</v>
      </c>
      <c r="B3881" t="str">
        <f>"1552376795101363"</f>
        <v>1552376795101363</v>
      </c>
      <c r="C3881" t="s">
        <v>40</v>
      </c>
      <c r="D3881">
        <v>4.5038559999999999</v>
      </c>
      <c r="E3881">
        <v>0.45734229999999998</v>
      </c>
      <c r="F3881" t="s">
        <v>42</v>
      </c>
      <c r="G3881">
        <v>-370.21530000000001</v>
      </c>
      <c r="H3881" s="1">
        <v>-4.2641109999999996E-6</v>
      </c>
      <c r="I3881">
        <v>139.14160000000001</v>
      </c>
      <c r="J3881">
        <v>-350.82920000000001</v>
      </c>
      <c r="K3881">
        <v>1.110385</v>
      </c>
      <c r="L3881">
        <v>140.87200000000001</v>
      </c>
      <c r="M3881">
        <v>-0.99985670000000004</v>
      </c>
      <c r="N3881">
        <v>0</v>
      </c>
      <c r="O3881">
        <v>9.3053049999999998E-3</v>
      </c>
      <c r="P3881">
        <v>-0.98415249999999999</v>
      </c>
      <c r="Q3881">
        <v>0.1761046</v>
      </c>
      <c r="R3881">
        <v>2.0762249999999999E-2</v>
      </c>
      <c r="S3881">
        <v>-3.0874329999999999</v>
      </c>
      <c r="T3881">
        <v>-0.1745042</v>
      </c>
      <c r="U3881">
        <v>-0.27154539999999999</v>
      </c>
      <c r="V3881">
        <v>1.164248E-2</v>
      </c>
      <c r="W3881">
        <v>0.19001290000000001</v>
      </c>
      <c r="X3881">
        <v>0.98171260000000005</v>
      </c>
      <c r="Y3881">
        <v>-9.6712350000000002E-2</v>
      </c>
      <c r="Z3881">
        <v>-3.2503160000000001E-3</v>
      </c>
      <c r="AA3881">
        <v>0.9953071</v>
      </c>
      <c r="AB3881">
        <v>29</v>
      </c>
      <c r="AC3881">
        <v>-19.386099999999999</v>
      </c>
      <c r="AD3881">
        <v>-1.110389264111</v>
      </c>
      <c r="AE3881">
        <v>-1.7303999999999999</v>
      </c>
      <c r="AF3881">
        <v>-1.9045378080526301</v>
      </c>
      <c r="AG3881">
        <v>-1.110389264111</v>
      </c>
      <c r="AH3881">
        <v>19.306318954224899</v>
      </c>
      <c r="AI3881">
        <v>93.275833919794707</v>
      </c>
      <c r="AJ3881">
        <v>95.633909667667695</v>
      </c>
      <c r="AK3881">
        <v>19.431782731968202</v>
      </c>
      <c r="AL3881">
        <v>79.046463406403902</v>
      </c>
      <c r="AM3881">
        <v>89.320540760368402</v>
      </c>
      <c r="AN3881">
        <v>1.0000000392528501</v>
      </c>
    </row>
    <row r="3882" spans="1:40" x14ac:dyDescent="0.25">
      <c r="A3882" t="str">
        <f>"20190312154635127"</f>
        <v>20190312154635127</v>
      </c>
      <c r="B3882" t="str">
        <f>"1552376795121857"</f>
        <v>1552376795121857</v>
      </c>
      <c r="C3882" t="s">
        <v>40</v>
      </c>
      <c r="D3882">
        <v>4.550459</v>
      </c>
      <c r="E3882">
        <v>0.45604529999999899</v>
      </c>
      <c r="F3882" t="s">
        <v>42</v>
      </c>
      <c r="G3882">
        <v>-369.75670000000002</v>
      </c>
      <c r="H3882" s="1">
        <v>-2.0794450000000001E-7</v>
      </c>
      <c r="I3882">
        <v>139.0934</v>
      </c>
      <c r="J3882">
        <v>-351.11509999999998</v>
      </c>
      <c r="K3882">
        <v>1.110384</v>
      </c>
      <c r="L3882">
        <v>140.87469999999999</v>
      </c>
      <c r="M3882">
        <v>-0.99985579999999996</v>
      </c>
      <c r="N3882">
        <v>0</v>
      </c>
      <c r="O3882">
        <v>9.3851149999999994E-3</v>
      </c>
      <c r="P3882">
        <v>-0.98454370000000002</v>
      </c>
      <c r="Q3882">
        <v>0.17398269999999999</v>
      </c>
      <c r="R3882">
        <v>2.0089099999999999E-2</v>
      </c>
      <c r="S3882">
        <v>-3.086792</v>
      </c>
      <c r="T3882">
        <v>-0.1810869</v>
      </c>
      <c r="U3882">
        <v>-0.29003909999999899</v>
      </c>
      <c r="V3882">
        <v>1.0884690000000001E-2</v>
      </c>
      <c r="W3882">
        <v>0.18789410000000001</v>
      </c>
      <c r="X3882">
        <v>0.98212900000000003</v>
      </c>
      <c r="Y3882">
        <v>-0.102699</v>
      </c>
      <c r="Z3882">
        <v>-3.5522470000000001E-3</v>
      </c>
      <c r="AA3882">
        <v>0.99470619999999998</v>
      </c>
      <c r="AB3882">
        <v>29</v>
      </c>
      <c r="AC3882">
        <v>-18.6416</v>
      </c>
      <c r="AD3882">
        <v>-1.1103842079445001</v>
      </c>
      <c r="AE3882">
        <v>-1.7812999999999799</v>
      </c>
      <c r="AF3882">
        <v>-1.94933899639679</v>
      </c>
      <c r="AG3882">
        <v>-1.1103842079445001</v>
      </c>
      <c r="AH3882">
        <v>18.558809109359501</v>
      </c>
      <c r="AI3882">
        <v>93.405269338631498</v>
      </c>
      <c r="AJ3882">
        <v>95.996120646785599</v>
      </c>
      <c r="AK3882">
        <v>18.693910002184399</v>
      </c>
      <c r="AL3882">
        <v>79.170088506540296</v>
      </c>
      <c r="AM3882">
        <v>89.365031206121301</v>
      </c>
      <c r="AN3882">
        <v>1.0000000209661</v>
      </c>
    </row>
    <row r="3883" spans="1:40" x14ac:dyDescent="0.25">
      <c r="A3883" t="str">
        <f>"20190312154635149"</f>
        <v>20190312154635149</v>
      </c>
      <c r="B3883" t="str">
        <f>"1552376795141381"</f>
        <v>1552376795141381</v>
      </c>
      <c r="C3883" t="s">
        <v>40</v>
      </c>
      <c r="D3883">
        <v>4.5249949999999997</v>
      </c>
      <c r="E3883">
        <v>0.45491890000000001</v>
      </c>
      <c r="F3883" t="s">
        <v>42</v>
      </c>
      <c r="G3883">
        <v>-369.59399999999999</v>
      </c>
      <c r="H3883" s="1">
        <v>-2.7065260000000001E-7</v>
      </c>
      <c r="I3883">
        <v>139.0659</v>
      </c>
      <c r="J3883">
        <v>-351.39269999999999</v>
      </c>
      <c r="K3883">
        <v>1.110384</v>
      </c>
      <c r="L3883">
        <v>140.87739999999999</v>
      </c>
      <c r="M3883">
        <v>-0.99985539999999995</v>
      </c>
      <c r="N3883">
        <v>0</v>
      </c>
      <c r="O3883">
        <v>9.4547099999999999E-3</v>
      </c>
      <c r="P3883">
        <v>-0.98493160000000002</v>
      </c>
      <c r="Q3883">
        <v>0.17182259999999999</v>
      </c>
      <c r="R3883">
        <v>1.9671460000000002E-2</v>
      </c>
      <c r="S3883">
        <v>-3.0860289999999999</v>
      </c>
      <c r="T3883">
        <v>-0.1854383</v>
      </c>
      <c r="U3883">
        <v>-0.30206300000000003</v>
      </c>
      <c r="V3883">
        <v>1.039197E-2</v>
      </c>
      <c r="W3883">
        <v>0.18573690000000001</v>
      </c>
      <c r="X3883">
        <v>0.98254450000000004</v>
      </c>
      <c r="Y3883">
        <v>-0.10661420000000001</v>
      </c>
      <c r="Z3883">
        <v>-3.759091E-3</v>
      </c>
      <c r="AA3883">
        <v>0.99429330000000005</v>
      </c>
      <c r="AB3883">
        <v>29</v>
      </c>
      <c r="AC3883">
        <v>-18.2013</v>
      </c>
      <c r="AD3883">
        <v>-1.1103842706525999</v>
      </c>
      <c r="AE3883">
        <v>-1.8114999999999899</v>
      </c>
      <c r="AF3883">
        <v>-1.9762413766018301</v>
      </c>
      <c r="AG3883">
        <v>-1.1103842706525999</v>
      </c>
      <c r="AH3883">
        <v>18.1165941024455</v>
      </c>
      <c r="AI3883">
        <v>93.4866964170443</v>
      </c>
      <c r="AJ3883">
        <v>96.225471692418694</v>
      </c>
      <c r="AK3883">
        <v>18.257860364233998</v>
      </c>
      <c r="AL3883">
        <v>79.295901072448203</v>
      </c>
      <c r="AM3883">
        <v>89.394028645629106</v>
      </c>
      <c r="AN3883">
        <v>0.99999994177116802</v>
      </c>
    </row>
    <row r="3884" spans="1:40" x14ac:dyDescent="0.25">
      <c r="A3884" t="str">
        <f>"20190312154635171"</f>
        <v>20190312154635171</v>
      </c>
      <c r="B3884" t="str">
        <f>"1552376795160898"</f>
        <v>1552376795160898</v>
      </c>
      <c r="C3884" t="s">
        <v>40</v>
      </c>
      <c r="D3884">
        <v>4.5280009999999997</v>
      </c>
      <c r="E3884">
        <v>0.45424409999999998</v>
      </c>
      <c r="F3884" t="s">
        <v>42</v>
      </c>
      <c r="G3884">
        <v>-369.37150000000003</v>
      </c>
      <c r="H3884" s="1">
        <v>-3.5135620000000002E-7</v>
      </c>
      <c r="I3884">
        <v>139.05590000000001</v>
      </c>
      <c r="J3884">
        <v>-351.67200000000003</v>
      </c>
      <c r="K3884">
        <v>1.110387</v>
      </c>
      <c r="L3884">
        <v>140.8801</v>
      </c>
      <c r="M3884">
        <v>-0.99985469999999999</v>
      </c>
      <c r="N3884">
        <v>0</v>
      </c>
      <c r="O3884">
        <v>9.5146220000000004E-3</v>
      </c>
      <c r="P3884">
        <v>-0.98530799999999996</v>
      </c>
      <c r="Q3884">
        <v>0.16963529999999999</v>
      </c>
      <c r="R3884">
        <v>1.980123E-2</v>
      </c>
      <c r="S3884">
        <v>-3.0853269999999999</v>
      </c>
      <c r="T3884">
        <v>-0.19055340000000001</v>
      </c>
      <c r="U3884">
        <v>-0.31257629999999997</v>
      </c>
      <c r="V3884">
        <v>1.045518E-2</v>
      </c>
      <c r="W3884">
        <v>0.18355260000000001</v>
      </c>
      <c r="X3884">
        <v>0.98295429999999995</v>
      </c>
      <c r="Y3884">
        <v>-0.1100317</v>
      </c>
      <c r="Z3884">
        <v>-3.9716700000000001E-3</v>
      </c>
      <c r="AA3884">
        <v>0.99392009999999997</v>
      </c>
      <c r="AB3884">
        <v>29</v>
      </c>
      <c r="AC3884">
        <v>-17.6995</v>
      </c>
      <c r="AD3884">
        <v>-1.1103873513561999</v>
      </c>
      <c r="AE3884">
        <v>-1.8241999999999901</v>
      </c>
      <c r="AF3884">
        <v>-1.9848087150745199</v>
      </c>
      <c r="AG3884">
        <v>-1.1103873513561999</v>
      </c>
      <c r="AH3884">
        <v>17.612749658048699</v>
      </c>
      <c r="AI3884">
        <v>93.584779906634097</v>
      </c>
      <c r="AJ3884">
        <v>96.429626448013806</v>
      </c>
      <c r="AK3884">
        <v>17.758980157165102</v>
      </c>
      <c r="AL3884">
        <v>79.423242612000394</v>
      </c>
      <c r="AM3884">
        <v>89.390597203852806</v>
      </c>
      <c r="AN3884">
        <v>1.00000001182204</v>
      </c>
    </row>
    <row r="3885" spans="1:40" x14ac:dyDescent="0.25">
      <c r="A3885" t="str">
        <f>"20190312154635194"</f>
        <v>20190312154635194</v>
      </c>
      <c r="B3885" t="str">
        <f>"1552376795181393"</f>
        <v>1552376795181393</v>
      </c>
      <c r="C3885" t="s">
        <v>40</v>
      </c>
      <c r="D3885">
        <v>4.5086629999999897</v>
      </c>
      <c r="E3885">
        <v>0.45364690000000002</v>
      </c>
      <c r="F3885" t="s">
        <v>42</v>
      </c>
      <c r="G3885">
        <v>-369.27609999999999</v>
      </c>
      <c r="H3885" s="1">
        <v>-3.9041159999999999E-7</v>
      </c>
      <c r="I3885">
        <v>139.06630000000001</v>
      </c>
      <c r="J3885">
        <v>-351.9649</v>
      </c>
      <c r="K3885">
        <v>1.110382</v>
      </c>
      <c r="L3885">
        <v>140.88299999999899</v>
      </c>
      <c r="M3885">
        <v>-0.99985440000000003</v>
      </c>
      <c r="N3885">
        <v>0</v>
      </c>
      <c r="O3885">
        <v>9.5634610000000005E-3</v>
      </c>
      <c r="P3885">
        <v>-0.98576770000000002</v>
      </c>
      <c r="Q3885">
        <v>0.16691039999999999</v>
      </c>
      <c r="R3885">
        <v>2.007828E-2</v>
      </c>
      <c r="S3885">
        <v>-3.0845950000000002</v>
      </c>
      <c r="T3885">
        <v>-0.19456229999999999</v>
      </c>
      <c r="U3885">
        <v>-0.31781009999999998</v>
      </c>
      <c r="V3885">
        <v>1.0674629999999999E-2</v>
      </c>
      <c r="W3885">
        <v>0.18083179999999999</v>
      </c>
      <c r="X3885">
        <v>0.98345610000000006</v>
      </c>
      <c r="Y3885">
        <v>-0.1117596</v>
      </c>
      <c r="Z3885">
        <v>-4.1130400000000001E-3</v>
      </c>
      <c r="AA3885">
        <v>0.99372680000000002</v>
      </c>
      <c r="AB3885">
        <v>28</v>
      </c>
      <c r="AC3885">
        <v>-17.3111999999999</v>
      </c>
      <c r="AD3885">
        <v>-1.1103823904115999</v>
      </c>
      <c r="AE3885">
        <v>-1.81669999999996</v>
      </c>
      <c r="AF3885">
        <v>-1.97415473305857</v>
      </c>
      <c r="AG3885">
        <v>-1.1103823904115999</v>
      </c>
      <c r="AH3885">
        <v>17.222944877943</v>
      </c>
      <c r="AI3885">
        <v>93.664886280824405</v>
      </c>
      <c r="AJ3885">
        <v>96.538906872301098</v>
      </c>
      <c r="AK3885">
        <v>17.371242506846102</v>
      </c>
      <c r="AL3885">
        <v>79.581786395891399</v>
      </c>
      <c r="AM3885">
        <v>89.378124524482004</v>
      </c>
      <c r="AN3885">
        <v>0.99999999412204299</v>
      </c>
    </row>
    <row r="3886" spans="1:40" x14ac:dyDescent="0.25">
      <c r="A3886" t="str">
        <f>"20190312154635215"</f>
        <v>20190312154635215</v>
      </c>
      <c r="B3886" t="str">
        <f>"1552376795211649"</f>
        <v>1552376795211649</v>
      </c>
      <c r="C3886" t="s">
        <v>40</v>
      </c>
      <c r="D3886">
        <v>4.5378790000000002</v>
      </c>
      <c r="E3886">
        <v>0.45287379999999999</v>
      </c>
      <c r="F3886" t="s">
        <v>42</v>
      </c>
      <c r="G3886">
        <v>-369.03649999999999</v>
      </c>
      <c r="H3886" s="1">
        <v>-4.8732240000000002E-7</v>
      </c>
      <c r="I3886">
        <v>139.0994</v>
      </c>
      <c r="J3886">
        <v>-352.23680000000002</v>
      </c>
      <c r="K3886">
        <v>1.1103860000000001</v>
      </c>
      <c r="L3886">
        <v>140.88560000000001</v>
      </c>
      <c r="M3886">
        <v>-0.99985409999999997</v>
      </c>
      <c r="N3886">
        <v>0</v>
      </c>
      <c r="O3886">
        <v>9.5943369999999997E-3</v>
      </c>
      <c r="P3886">
        <v>-0.98625620000000003</v>
      </c>
      <c r="Q3886">
        <v>0.16390279999999999</v>
      </c>
      <c r="R3886">
        <v>2.08483E-2</v>
      </c>
      <c r="S3886">
        <v>-3.0838320000000001</v>
      </c>
      <c r="T3886">
        <v>-0.20058129999999999</v>
      </c>
      <c r="U3886">
        <v>-0.32217410000000002</v>
      </c>
      <c r="V3886">
        <v>1.140408E-2</v>
      </c>
      <c r="W3886">
        <v>0.1778286</v>
      </c>
      <c r="X3886">
        <v>0.98399539999999996</v>
      </c>
      <c r="Y3886">
        <v>-0.11318839999999999</v>
      </c>
      <c r="Z3886">
        <v>-4.2890480000000002E-3</v>
      </c>
      <c r="AA3886">
        <v>0.99356429999999996</v>
      </c>
      <c r="AB3886">
        <v>28</v>
      </c>
      <c r="AC3886">
        <v>-16.799699999999898</v>
      </c>
      <c r="AD3886">
        <v>-1.1103864873223901</v>
      </c>
      <c r="AE3886">
        <v>-1.7862</v>
      </c>
      <c r="AF3886">
        <v>-1.9389400264404799</v>
      </c>
      <c r="AG3886">
        <v>-1.1103864873223901</v>
      </c>
      <c r="AH3886">
        <v>16.709605400763301</v>
      </c>
      <c r="AI3886">
        <v>93.776562827013393</v>
      </c>
      <c r="AJ3886">
        <v>96.618855211591693</v>
      </c>
      <c r="AK3886">
        <v>16.8583320416517</v>
      </c>
      <c r="AL3886">
        <v>79.756692688890396</v>
      </c>
      <c r="AM3886">
        <v>89.335996488537504</v>
      </c>
      <c r="AN3886">
        <v>1.0000000056198799</v>
      </c>
    </row>
    <row r="3887" spans="1:40" x14ac:dyDescent="0.25">
      <c r="A3887" t="str">
        <f>"20190312154635238"</f>
        <v>20190312154635238</v>
      </c>
      <c r="B3887" t="str">
        <f>"1552376795231169"</f>
        <v>1552376795231169</v>
      </c>
      <c r="C3887" t="s">
        <v>40</v>
      </c>
      <c r="D3887">
        <v>4.5493300000000003</v>
      </c>
      <c r="E3887">
        <v>0.45257500000000001</v>
      </c>
      <c r="F3887" t="s">
        <v>42</v>
      </c>
      <c r="G3887">
        <v>-368.75650000000002</v>
      </c>
      <c r="H3887" s="1">
        <v>-6.0059740000000001E-7</v>
      </c>
      <c r="I3887">
        <v>139.13800000000001</v>
      </c>
      <c r="J3887">
        <v>-352.53739999999999</v>
      </c>
      <c r="K3887">
        <v>1.11039</v>
      </c>
      <c r="L3887">
        <v>140.88849999999999</v>
      </c>
      <c r="M3887">
        <v>-0.99985389999999996</v>
      </c>
      <c r="N3887">
        <v>0</v>
      </c>
      <c r="O3887">
        <v>9.6144660000000003E-3</v>
      </c>
      <c r="P3887">
        <v>-0.98685040000000002</v>
      </c>
      <c r="Q3887">
        <v>0.16016320000000001</v>
      </c>
      <c r="R3887">
        <v>2.1777600000000001E-2</v>
      </c>
      <c r="S3887">
        <v>-3.0831300000000001</v>
      </c>
      <c r="T3887">
        <v>-0.20723559999999999</v>
      </c>
      <c r="U3887">
        <v>-0.32615660000000002</v>
      </c>
      <c r="V3887">
        <v>1.23021E-2</v>
      </c>
      <c r="W3887">
        <v>0.174095</v>
      </c>
      <c r="X3887">
        <v>0.98465199999999997</v>
      </c>
      <c r="Y3887">
        <v>-0.1144807</v>
      </c>
      <c r="Z3887">
        <v>-4.4763390000000002E-3</v>
      </c>
      <c r="AA3887">
        <v>0.99341539999999995</v>
      </c>
      <c r="AB3887">
        <v>28</v>
      </c>
      <c r="AC3887">
        <v>-16.219100000000001</v>
      </c>
      <c r="AD3887">
        <v>-1.1103906005974</v>
      </c>
      <c r="AE3887">
        <v>-1.75049999999998</v>
      </c>
      <c r="AF3887">
        <v>-1.8975810207011901</v>
      </c>
      <c r="AG3887">
        <v>-1.1103906005974</v>
      </c>
      <c r="AH3887">
        <v>16.1268018762803</v>
      </c>
      <c r="AI3887">
        <v>93.911908915066604</v>
      </c>
      <c r="AJ3887">
        <v>96.710923888609699</v>
      </c>
      <c r="AK3887">
        <v>16.2759798406369</v>
      </c>
      <c r="AL3887">
        <v>79.974002845205305</v>
      </c>
      <c r="AM3887">
        <v>89.284192042174595</v>
      </c>
      <c r="AN3887">
        <v>0.99999998589670402</v>
      </c>
    </row>
    <row r="3888" spans="1:40" x14ac:dyDescent="0.25">
      <c r="A3888" t="str">
        <f>"20190312154635263"</f>
        <v>20190312154635263</v>
      </c>
      <c r="B3888" t="str">
        <f>"1552376795251665"</f>
        <v>1552376795251665</v>
      </c>
      <c r="C3888" t="s">
        <v>40</v>
      </c>
      <c r="D3888">
        <v>4.7417049999999996</v>
      </c>
      <c r="E3888">
        <v>0.45257500000000001</v>
      </c>
      <c r="F3888" t="s">
        <v>42</v>
      </c>
      <c r="G3888">
        <v>-368.44690000000003</v>
      </c>
      <c r="H3888" s="1">
        <v>-7.2061039999999996E-7</v>
      </c>
      <c r="I3888">
        <v>139.21010000000001</v>
      </c>
      <c r="J3888">
        <v>-352.84</v>
      </c>
      <c r="K3888">
        <v>1.11039</v>
      </c>
      <c r="L3888">
        <v>140.8914</v>
      </c>
      <c r="M3888">
        <v>-0.99985389999999996</v>
      </c>
      <c r="N3888">
        <v>0</v>
      </c>
      <c r="O3888">
        <v>9.6226609999999994E-3</v>
      </c>
      <c r="P3888">
        <v>-0.987317</v>
      </c>
      <c r="Q3888">
        <v>0.15712499999999999</v>
      </c>
      <c r="R3888">
        <v>2.2732809999999999E-2</v>
      </c>
      <c r="S3888">
        <v>-3.0820620000000001</v>
      </c>
      <c r="T3888">
        <v>-0.21510989999999999</v>
      </c>
      <c r="U3888">
        <v>-0.32513429999999999</v>
      </c>
      <c r="V3888">
        <v>1.3240170000000001E-2</v>
      </c>
      <c r="W3888">
        <v>0.171061299999999</v>
      </c>
      <c r="X3888">
        <v>0.98517140000000003</v>
      </c>
      <c r="Y3888">
        <v>-0.1141781</v>
      </c>
      <c r="Z3888">
        <v>-4.6377550000000003E-3</v>
      </c>
      <c r="AA3888">
        <v>0.99344940000000004</v>
      </c>
      <c r="AB3888">
        <v>28</v>
      </c>
      <c r="AC3888">
        <v>-15.6069</v>
      </c>
      <c r="AD3888">
        <v>-1.11039072061039</v>
      </c>
      <c r="AE3888">
        <v>-1.68129999999999</v>
      </c>
      <c r="AF3888">
        <v>-1.82229846860268</v>
      </c>
      <c r="AG3888">
        <v>-1.11039072061039</v>
      </c>
      <c r="AH3888">
        <v>15.512374951835101</v>
      </c>
      <c r="AI3888">
        <v>94.066435983815694</v>
      </c>
      <c r="AJ3888">
        <v>96.700048179539806</v>
      </c>
      <c r="AK3888">
        <v>15.6584646727388</v>
      </c>
      <c r="AL3888">
        <v>80.150468785934393</v>
      </c>
      <c r="AM3888">
        <v>89.230022112804804</v>
      </c>
      <c r="AN3888">
        <v>0.99999997891863901</v>
      </c>
    </row>
    <row r="3889" spans="1:40" x14ac:dyDescent="0.25">
      <c r="A3889" t="str">
        <f>"20190312154635285"</f>
        <v>20190312154635285</v>
      </c>
      <c r="B3889" t="str">
        <f>"1552376795280946"</f>
        <v>1552376795280946</v>
      </c>
      <c r="C3889" t="s">
        <v>40</v>
      </c>
      <c r="D3889">
        <v>4.5328670000000004</v>
      </c>
      <c r="E3889">
        <v>0.51371719999999998</v>
      </c>
      <c r="F3889" t="s">
        <v>42</v>
      </c>
      <c r="G3889">
        <v>-368.0763</v>
      </c>
      <c r="H3889" s="1">
        <v>-8.6389339999999999E-7</v>
      </c>
      <c r="I3889">
        <v>139.2989</v>
      </c>
      <c r="J3889">
        <v>-353.1146</v>
      </c>
      <c r="K3889">
        <v>1.1103879999999999</v>
      </c>
      <c r="L3889">
        <v>140.89410000000001</v>
      </c>
      <c r="M3889">
        <v>-0.99985389999999996</v>
      </c>
      <c r="N3889">
        <v>0</v>
      </c>
      <c r="O3889">
        <v>9.6221090000000002E-3</v>
      </c>
      <c r="P3889">
        <v>-0.98770150000000001</v>
      </c>
      <c r="Q3889">
        <v>0.15463099999999999</v>
      </c>
      <c r="R3889">
        <v>2.313774E-2</v>
      </c>
      <c r="S3889">
        <v>-3.0816650000000001</v>
      </c>
      <c r="T3889">
        <v>-0.2245866</v>
      </c>
      <c r="U3889">
        <v>-0.32209779999999999</v>
      </c>
      <c r="V3889">
        <v>1.363957E-2</v>
      </c>
      <c r="W3889">
        <v>0.16856989999999999</v>
      </c>
      <c r="X3889">
        <v>0.98559529999999995</v>
      </c>
      <c r="Y3889">
        <v>-0.1131983</v>
      </c>
      <c r="Z3889">
        <v>-4.8068109999999898E-3</v>
      </c>
      <c r="AA3889">
        <v>0.99356080000000002</v>
      </c>
      <c r="AB3889">
        <v>28</v>
      </c>
      <c r="AC3889">
        <v>-14.9617</v>
      </c>
      <c r="AD3889">
        <v>-1.1103888638934001</v>
      </c>
      <c r="AE3889">
        <v>-1.5952</v>
      </c>
      <c r="AF3889">
        <v>-1.7296837220568999</v>
      </c>
      <c r="AG3889">
        <v>-1.1103888638934001</v>
      </c>
      <c r="AH3889">
        <v>14.8647030323826</v>
      </c>
      <c r="AI3889">
        <v>94.243516775003002</v>
      </c>
      <c r="AJ3889">
        <v>96.637191888120697</v>
      </c>
      <c r="AK3889">
        <v>15.006137592609599</v>
      </c>
      <c r="AL3889">
        <v>80.295319300608597</v>
      </c>
      <c r="AM3889">
        <v>89.207139165590505</v>
      </c>
      <c r="AN3889">
        <v>0.99999997221894199</v>
      </c>
    </row>
    <row r="3890" spans="1:40" x14ac:dyDescent="0.25">
      <c r="A3890" t="str">
        <f>"20190312154635305"</f>
        <v>20190312154635305</v>
      </c>
      <c r="B3890" t="str">
        <f>"1552376795301441"</f>
        <v>1552376795301441</v>
      </c>
      <c r="C3890" t="s">
        <v>40</v>
      </c>
      <c r="D3890">
        <v>4.5758830000000001</v>
      </c>
      <c r="E3890">
        <v>0.52107519999999996</v>
      </c>
      <c r="F3890" t="s">
        <v>41</v>
      </c>
      <c r="G3890">
        <v>-354.02539999999999</v>
      </c>
      <c r="H3890">
        <v>0.92370960000000002</v>
      </c>
      <c r="I3890">
        <v>140.94040000000001</v>
      </c>
      <c r="J3890">
        <v>-353.37630000000001</v>
      </c>
      <c r="K3890">
        <v>1.1103860000000001</v>
      </c>
      <c r="L3890">
        <v>140.89660000000001</v>
      </c>
      <c r="M3890">
        <v>-0.99985400000000002</v>
      </c>
      <c r="N3890">
        <v>0</v>
      </c>
      <c r="O3890">
        <v>9.6155089999999995E-3</v>
      </c>
      <c r="P3890">
        <v>-0.98810640000000005</v>
      </c>
      <c r="Q3890">
        <v>0.15198349999999999</v>
      </c>
      <c r="R3890">
        <v>2.3385199999999998E-2</v>
      </c>
      <c r="S3890">
        <v>-3.1341549999999998</v>
      </c>
      <c r="T3890">
        <v>-0.64239159999999995</v>
      </c>
      <c r="U3890">
        <v>0.15954589999999999</v>
      </c>
      <c r="V3890">
        <v>1.3887999999999999E-2</v>
      </c>
      <c r="W3890">
        <v>0.16592589999999999</v>
      </c>
      <c r="X3890">
        <v>0.98604040000000004</v>
      </c>
      <c r="Y3890">
        <v>4.0591120000000001E-2</v>
      </c>
      <c r="Z3890">
        <v>2.1651019999999999E-3</v>
      </c>
      <c r="AA3890">
        <v>0.99917350000000005</v>
      </c>
      <c r="AB3890">
        <v>28</v>
      </c>
      <c r="AC3890">
        <v>-0.64909999999997503</v>
      </c>
      <c r="AD3890">
        <v>-0.18667639999999999</v>
      </c>
      <c r="AE3890">
        <v>4.3800000000004502E-2</v>
      </c>
      <c r="AF3890">
        <v>3.4698995482892403E-2</v>
      </c>
      <c r="AG3890">
        <v>-0.18667639999999999</v>
      </c>
      <c r="AH3890">
        <v>0.60008352144793797</v>
      </c>
      <c r="AI3890">
        <v>107.25297920507199</v>
      </c>
      <c r="AJ3890">
        <v>86.690636273613407</v>
      </c>
      <c r="AK3890">
        <v>0.629406332441801</v>
      </c>
      <c r="AL3890">
        <v>80.448973668785101</v>
      </c>
      <c r="AM3890">
        <v>89.193064326234605</v>
      </c>
      <c r="AN3890">
        <v>0.99999997563348397</v>
      </c>
    </row>
    <row r="3891" spans="1:40" x14ac:dyDescent="0.25">
      <c r="A3891" t="str">
        <f>"20190312154635327"</f>
        <v>20190312154635327</v>
      </c>
      <c r="B3891" t="str">
        <f>"1552376795321937"</f>
        <v>1552376795321937</v>
      </c>
      <c r="C3891" t="s">
        <v>40</v>
      </c>
      <c r="D3891">
        <v>4.552835</v>
      </c>
      <c r="E3891">
        <v>0.52504069999999903</v>
      </c>
      <c r="F3891" t="s">
        <v>41</v>
      </c>
      <c r="G3891">
        <v>-354.2697</v>
      </c>
      <c r="H3891">
        <v>0.90783270000000005</v>
      </c>
      <c r="I3891">
        <v>140.959</v>
      </c>
      <c r="J3891">
        <v>-353.65249999999997</v>
      </c>
      <c r="K3891">
        <v>1.1103769999999999</v>
      </c>
      <c r="L3891">
        <v>140.89930000000001</v>
      </c>
      <c r="M3891">
        <v>-0.99985429999999997</v>
      </c>
      <c r="N3891">
        <v>0</v>
      </c>
      <c r="O3891">
        <v>9.6035500000000006E-3</v>
      </c>
      <c r="P3891">
        <v>-0.98850789999999999</v>
      </c>
      <c r="Q3891">
        <v>0.14931269999999999</v>
      </c>
      <c r="R3891">
        <v>2.3629529999999999E-2</v>
      </c>
      <c r="S3891">
        <v>-3.1404420000000002</v>
      </c>
      <c r="T3891">
        <v>-0.71196289999999995</v>
      </c>
      <c r="U3891">
        <v>0.21809390000000001</v>
      </c>
      <c r="V3891">
        <v>1.413884E-2</v>
      </c>
      <c r="W3891">
        <v>0.16325819999999999</v>
      </c>
      <c r="X3891">
        <v>0.98648210000000003</v>
      </c>
      <c r="Y3891">
        <v>5.846167E-2</v>
      </c>
      <c r="Z3891">
        <v>4.3888069999999998E-3</v>
      </c>
      <c r="AA3891">
        <v>0.99827999999999995</v>
      </c>
      <c r="AB3891">
        <v>28</v>
      </c>
      <c r="AC3891">
        <v>-0.61720000000002495</v>
      </c>
      <c r="AD3891">
        <v>-0.20254430000000001</v>
      </c>
      <c r="AE3891">
        <v>5.9699999999992301E-2</v>
      </c>
      <c r="AF3891">
        <v>4.85855166712299E-2</v>
      </c>
      <c r="AG3891">
        <v>-0.20254430000000001</v>
      </c>
      <c r="AH3891">
        <v>0.55818898582185505</v>
      </c>
      <c r="AI3891">
        <v>109.874565225566</v>
      </c>
      <c r="AJ3891">
        <v>85.025436113562606</v>
      </c>
      <c r="AK3891">
        <v>0.59578493584978498</v>
      </c>
      <c r="AL3891">
        <v>80.603935691702603</v>
      </c>
      <c r="AM3891">
        <v>89.178859509702804</v>
      </c>
      <c r="AN3891">
        <v>1.0000000401420901</v>
      </c>
    </row>
    <row r="3892" spans="1:40" x14ac:dyDescent="0.25">
      <c r="A3892" t="str">
        <f>"20190312154635355"</f>
        <v>20190312154635355</v>
      </c>
      <c r="B3892" t="str">
        <f>"1552376795351218"</f>
        <v>1552376795351218</v>
      </c>
      <c r="C3892" t="s">
        <v>40</v>
      </c>
      <c r="D3892">
        <v>4.5618069999999999</v>
      </c>
      <c r="E3892">
        <v>0.52863419999999905</v>
      </c>
      <c r="F3892" t="s">
        <v>41</v>
      </c>
      <c r="G3892">
        <v>-354.51929999999999</v>
      </c>
      <c r="H3892">
        <v>0.90347500000000003</v>
      </c>
      <c r="I3892">
        <v>140.9683</v>
      </c>
      <c r="J3892">
        <v>-353.99439999999998</v>
      </c>
      <c r="K3892">
        <v>1.110379</v>
      </c>
      <c r="L3892">
        <v>140.9025</v>
      </c>
      <c r="M3892">
        <v>-0.99985460000000004</v>
      </c>
      <c r="N3892">
        <v>0</v>
      </c>
      <c r="O3892">
        <v>9.5752400000000005E-3</v>
      </c>
      <c r="P3892">
        <v>-0.98889579999999999</v>
      </c>
      <c r="Q3892">
        <v>0.1467378</v>
      </c>
      <c r="R3892">
        <v>2.3514819999999999E-2</v>
      </c>
      <c r="S3892">
        <v>-3.1421510000000001</v>
      </c>
      <c r="T3892">
        <v>-0.74997230000000004</v>
      </c>
      <c r="U3892">
        <v>0.24971009999999999</v>
      </c>
      <c r="V3892">
        <v>1.4044839999999999E-2</v>
      </c>
      <c r="W3892">
        <v>0.16068569999999999</v>
      </c>
      <c r="X3892">
        <v>0.9869057</v>
      </c>
      <c r="Y3892">
        <v>6.8039799999999998E-2</v>
      </c>
      <c r="Z3892">
        <v>5.7449959999999996E-3</v>
      </c>
      <c r="AA3892">
        <v>0.9976661</v>
      </c>
      <c r="AB3892">
        <v>28</v>
      </c>
      <c r="AC3892">
        <v>-0.52490000000000203</v>
      </c>
      <c r="AD3892">
        <v>-0.206904</v>
      </c>
      <c r="AE3892">
        <v>6.5799999999995806E-2</v>
      </c>
      <c r="AF3892">
        <v>5.2707628040076601E-2</v>
      </c>
      <c r="AG3892">
        <v>-0.206904</v>
      </c>
      <c r="AH3892">
        <v>0.45578372684092799</v>
      </c>
      <c r="AI3892">
        <v>114.272846393615</v>
      </c>
      <c r="AJ3892">
        <v>83.403516580686301</v>
      </c>
      <c r="AK3892">
        <v>0.50331517454038399</v>
      </c>
      <c r="AL3892">
        <v>80.7533011275832</v>
      </c>
      <c r="AM3892">
        <v>89.184668061550994</v>
      </c>
      <c r="AN3892">
        <v>1.0000000062037999</v>
      </c>
    </row>
    <row r="3893" spans="1:40" x14ac:dyDescent="0.25">
      <c r="A3893" t="str">
        <f>"20190312154635372"</f>
        <v>20190312154635372</v>
      </c>
      <c r="B3893" t="str">
        <f>"1552376795360978"</f>
        <v>1552376795360978</v>
      </c>
      <c r="C3893" t="s">
        <v>40</v>
      </c>
      <c r="D3893">
        <v>4.5337120000000004</v>
      </c>
      <c r="E3893">
        <v>0.52932880000000004</v>
      </c>
      <c r="F3893" t="s">
        <v>41</v>
      </c>
      <c r="G3893">
        <v>-354.77670000000001</v>
      </c>
      <c r="H3893">
        <v>0.91626739999999995</v>
      </c>
      <c r="I3893">
        <v>140.9718</v>
      </c>
      <c r="J3893">
        <v>-354.22140000000002</v>
      </c>
      <c r="K3893">
        <v>1.110385</v>
      </c>
      <c r="L3893">
        <v>140.90469999999999</v>
      </c>
      <c r="M3893">
        <v>-0.99985480000000004</v>
      </c>
      <c r="N3893">
        <v>0</v>
      </c>
      <c r="O3893">
        <v>9.5449430000000002E-3</v>
      </c>
      <c r="P3893">
        <v>-0.98911150000000003</v>
      </c>
      <c r="Q3893">
        <v>0.1451836</v>
      </c>
      <c r="R3893">
        <v>2.4084540000000002E-2</v>
      </c>
      <c r="S3893">
        <v>-3.142792</v>
      </c>
      <c r="T3893">
        <v>-0.77983449999999999</v>
      </c>
      <c r="U3893">
        <v>0.27687070000000003</v>
      </c>
      <c r="V3893">
        <v>1.46391E-2</v>
      </c>
      <c r="W3893">
        <v>0.15913289999999999</v>
      </c>
      <c r="X3893">
        <v>0.98714860000000004</v>
      </c>
      <c r="Y3893">
        <v>7.6237429999999995E-2</v>
      </c>
      <c r="Z3893">
        <v>6.9713600000000002E-3</v>
      </c>
      <c r="AA3893">
        <v>0.99706530000000004</v>
      </c>
      <c r="AB3893">
        <v>28</v>
      </c>
      <c r="AC3893">
        <v>-0.55529999999998803</v>
      </c>
      <c r="AD3893">
        <v>-0.194117599999999</v>
      </c>
      <c r="AE3893">
        <v>6.7100000000010596E-2</v>
      </c>
      <c r="AF3893">
        <v>5.5153314816021697E-2</v>
      </c>
      <c r="AG3893">
        <v>-0.194117599999999</v>
      </c>
      <c r="AH3893">
        <v>0.49615693846143899</v>
      </c>
      <c r="AI3893">
        <v>111.248433850167</v>
      </c>
      <c r="AJ3893">
        <v>83.656983179371096</v>
      </c>
      <c r="AK3893">
        <v>0.53562602471163001</v>
      </c>
      <c r="AL3893">
        <v>80.843429498432002</v>
      </c>
      <c r="AM3893">
        <v>89.150384078416593</v>
      </c>
      <c r="AN3893">
        <v>0.99999997079658898</v>
      </c>
    </row>
    <row r="3894" spans="1:40" x14ac:dyDescent="0.25">
      <c r="A3894" t="str">
        <f>"20190312154635394"</f>
        <v>20190312154635394</v>
      </c>
      <c r="B3894" t="str">
        <f>"1552376795391234"</f>
        <v>1552376795391234</v>
      </c>
      <c r="C3894" t="s">
        <v>40</v>
      </c>
      <c r="D3894">
        <v>4.5783550000000002</v>
      </c>
      <c r="E3894">
        <v>0.53074200000000005</v>
      </c>
      <c r="F3894" t="s">
        <v>41</v>
      </c>
      <c r="G3894">
        <v>-355.02449999999999</v>
      </c>
      <c r="H3894">
        <v>0.9088155</v>
      </c>
      <c r="I3894">
        <v>140.97710000000001</v>
      </c>
      <c r="J3894">
        <v>-354.49650000000003</v>
      </c>
      <c r="K3894">
        <v>1.110398</v>
      </c>
      <c r="L3894">
        <v>140.90729999999999</v>
      </c>
      <c r="M3894">
        <v>-0.99985539999999995</v>
      </c>
      <c r="N3894">
        <v>0</v>
      </c>
      <c r="O3894">
        <v>9.4922070000000008E-3</v>
      </c>
      <c r="P3894">
        <v>-0.98935430000000002</v>
      </c>
      <c r="Q3894">
        <v>0.143390299999999</v>
      </c>
      <c r="R3894">
        <v>2.4846199999999999E-2</v>
      </c>
      <c r="S3894">
        <v>-3.1418460000000001</v>
      </c>
      <c r="T3894">
        <v>-0.78858689999999998</v>
      </c>
      <c r="U3894">
        <v>0.28327940000000001</v>
      </c>
      <c r="V3894">
        <v>1.5444930000000001E-2</v>
      </c>
      <c r="W3894">
        <v>0.15734039999999999</v>
      </c>
      <c r="X3894">
        <v>0.98742370000000002</v>
      </c>
      <c r="Y3894">
        <v>7.8225690000000001E-2</v>
      </c>
      <c r="Z3894">
        <v>7.3069659999999998E-3</v>
      </c>
      <c r="AA3894">
        <v>0.99690889999999999</v>
      </c>
      <c r="AB3894">
        <v>28</v>
      </c>
      <c r="AC3894">
        <v>-0.52799999999996305</v>
      </c>
      <c r="AD3894">
        <v>-0.201582499999999</v>
      </c>
      <c r="AE3894">
        <v>6.9800000000014906E-2</v>
      </c>
      <c r="AF3894">
        <v>5.6666621986799899E-2</v>
      </c>
      <c r="AG3894">
        <v>-0.201582499999999</v>
      </c>
      <c r="AH3894">
        <v>0.46239749289419502</v>
      </c>
      <c r="AI3894">
        <v>113.398784429708</v>
      </c>
      <c r="AJ3894">
        <v>83.013263410411895</v>
      </c>
      <c r="AK3894">
        <v>0.50760028741962104</v>
      </c>
      <c r="AL3894">
        <v>80.947443412179396</v>
      </c>
      <c r="AM3894">
        <v>89.103872891414397</v>
      </c>
      <c r="AN3894">
        <v>1.00000005532827</v>
      </c>
    </row>
    <row r="3895" spans="1:40" x14ac:dyDescent="0.25">
      <c r="A3895" t="str">
        <f>"20190312154635416"</f>
        <v>20190312154635416</v>
      </c>
      <c r="B3895" t="str">
        <f>"1552376795411729"</f>
        <v>1552376795411729</v>
      </c>
      <c r="C3895" t="s">
        <v>40</v>
      </c>
      <c r="D3895">
        <v>4.599647</v>
      </c>
      <c r="E3895">
        <v>0.56240649999999903</v>
      </c>
      <c r="F3895" t="s">
        <v>41</v>
      </c>
      <c r="G3895">
        <v>-355.27659999999997</v>
      </c>
      <c r="H3895">
        <v>0.91107990000000005</v>
      </c>
      <c r="I3895">
        <v>140.98089999999999</v>
      </c>
      <c r="J3895">
        <v>-354.77730000000003</v>
      </c>
      <c r="K3895">
        <v>1.1104050000000001</v>
      </c>
      <c r="L3895">
        <v>140.90989999999999</v>
      </c>
      <c r="M3895">
        <v>-0.99985610000000003</v>
      </c>
      <c r="N3895">
        <v>0</v>
      </c>
      <c r="O3895">
        <v>9.4184530000000002E-3</v>
      </c>
      <c r="P3895">
        <v>-0.98952779999999996</v>
      </c>
      <c r="Q3895">
        <v>0.14201859999999999</v>
      </c>
      <c r="R3895">
        <v>2.5805089999999999E-2</v>
      </c>
      <c r="S3895">
        <v>-3.1411739999999999</v>
      </c>
      <c r="T3895">
        <v>-0.80268260000000002</v>
      </c>
      <c r="U3895">
        <v>0.2960663</v>
      </c>
      <c r="V3895">
        <v>1.6469149999999998E-2</v>
      </c>
      <c r="W3895">
        <v>0.15596949999999901</v>
      </c>
      <c r="X3895">
        <v>0.98762459999999996</v>
      </c>
      <c r="Y3895">
        <v>8.213956E-2</v>
      </c>
      <c r="Z3895">
        <v>7.9434190000000002E-3</v>
      </c>
      <c r="AA3895">
        <v>0.99658919999999995</v>
      </c>
      <c r="AB3895">
        <v>28</v>
      </c>
      <c r="AC3895">
        <v>-0.49929999999994801</v>
      </c>
      <c r="AD3895">
        <v>-0.19932509999999901</v>
      </c>
      <c r="AE3895">
        <v>7.0999999999997898E-2</v>
      </c>
      <c r="AF3895">
        <v>5.73371541434919E-2</v>
      </c>
      <c r="AG3895">
        <v>-0.19932509999999901</v>
      </c>
      <c r="AH3895">
        <v>0.43240150734605498</v>
      </c>
      <c r="AI3895">
        <v>114.559085395381</v>
      </c>
      <c r="AJ3895">
        <v>82.446550566360798</v>
      </c>
      <c r="AK3895">
        <v>0.47957179680463402</v>
      </c>
      <c r="AL3895">
        <v>81.026971916772297</v>
      </c>
      <c r="AM3895">
        <v>89.044651847072899</v>
      </c>
      <c r="AN3895">
        <v>1.00000003417856</v>
      </c>
    </row>
    <row r="3896" spans="1:40" x14ac:dyDescent="0.25">
      <c r="A3896" t="str">
        <f>"20190312154635440"</f>
        <v>20190312154635440</v>
      </c>
      <c r="B3896" t="str">
        <f>"1552376795431249"</f>
        <v>1552376795431249</v>
      </c>
      <c r="C3896" t="s">
        <v>40</v>
      </c>
      <c r="D3896">
        <v>4.5055829999999997</v>
      </c>
      <c r="E3896">
        <v>0.5629613</v>
      </c>
      <c r="F3896" t="s">
        <v>41</v>
      </c>
      <c r="G3896">
        <v>-355.52069999999998</v>
      </c>
      <c r="H3896">
        <v>0.89241579999999998</v>
      </c>
      <c r="I3896">
        <v>141.03960000000001</v>
      </c>
      <c r="J3896">
        <v>-355.0772</v>
      </c>
      <c r="K3896">
        <v>1.110419</v>
      </c>
      <c r="L3896">
        <v>140.9126</v>
      </c>
      <c r="M3896">
        <v>-0.9998572</v>
      </c>
      <c r="N3896">
        <v>0</v>
      </c>
      <c r="O3896">
        <v>9.3176960000000003E-3</v>
      </c>
      <c r="P3896">
        <v>-0.9897243</v>
      </c>
      <c r="Q3896">
        <v>0.14051540000000001</v>
      </c>
      <c r="R3896">
        <v>2.648783E-2</v>
      </c>
      <c r="S3896">
        <v>-3.149994</v>
      </c>
      <c r="T3896">
        <v>-0.92378159999999998</v>
      </c>
      <c r="U3896">
        <v>0.54954530000000001</v>
      </c>
      <c r="V3896">
        <v>1.724351E-2</v>
      </c>
      <c r="W3896">
        <v>0.15446679999999999</v>
      </c>
      <c r="X3896">
        <v>0.98784749999999999</v>
      </c>
      <c r="Y3896">
        <v>0.15665309999999999</v>
      </c>
      <c r="Z3896">
        <v>1.9681009999999999E-2</v>
      </c>
      <c r="AA3896">
        <v>0.98745760000000005</v>
      </c>
      <c r="AB3896">
        <v>28</v>
      </c>
      <c r="AC3896">
        <v>-0.44349999999997097</v>
      </c>
      <c r="AD3896">
        <v>-0.21800319999999901</v>
      </c>
      <c r="AE3896">
        <v>0.12700000000000899</v>
      </c>
      <c r="AF3896">
        <v>0.100433695312901</v>
      </c>
      <c r="AG3896">
        <v>-0.21800319999999901</v>
      </c>
      <c r="AH3896">
        <v>0.36349226861560702</v>
      </c>
      <c r="AI3896">
        <v>120.031600941449</v>
      </c>
      <c r="AJ3896">
        <v>74.554409686948802</v>
      </c>
      <c r="AK3896">
        <v>0.43559034850162298</v>
      </c>
      <c r="AL3896">
        <v>81.114126343520098</v>
      </c>
      <c r="AM3896">
        <v>88.999967080268604</v>
      </c>
      <c r="AN3896">
        <v>1.0000000070977999</v>
      </c>
    </row>
    <row r="3897" spans="1:40" x14ac:dyDescent="0.25">
      <c r="A3897" t="str">
        <f>"20190312154635466"</f>
        <v>20190312154635466</v>
      </c>
      <c r="B3897" t="str">
        <f>"1552376795461260"</f>
        <v>1552376795461260</v>
      </c>
      <c r="C3897" t="s">
        <v>40</v>
      </c>
      <c r="D3897">
        <v>4.5266590000000004</v>
      </c>
      <c r="E3897">
        <v>0.56264530000000001</v>
      </c>
      <c r="F3897" t="s">
        <v>41</v>
      </c>
      <c r="G3897">
        <v>-355.77440000000001</v>
      </c>
      <c r="H3897">
        <v>0.90066669999999904</v>
      </c>
      <c r="I3897">
        <v>141.036</v>
      </c>
      <c r="J3897">
        <v>-355.38619999999997</v>
      </c>
      <c r="K3897">
        <v>1.1104290000000001</v>
      </c>
      <c r="L3897">
        <v>140.9153</v>
      </c>
      <c r="M3897">
        <v>-0.99985829999999998</v>
      </c>
      <c r="N3897">
        <v>0</v>
      </c>
      <c r="O3897">
        <v>9.1909390000000004E-3</v>
      </c>
      <c r="P3897">
        <v>-0.98981470000000005</v>
      </c>
      <c r="Q3897">
        <v>0.13972479999999901</v>
      </c>
      <c r="R3897">
        <v>2.727572E-2</v>
      </c>
      <c r="S3897">
        <v>-3.1508180000000001</v>
      </c>
      <c r="T3897">
        <v>-0.94795430000000003</v>
      </c>
      <c r="U3897">
        <v>0.55572509999999997</v>
      </c>
      <c r="V3897">
        <v>1.815081E-2</v>
      </c>
      <c r="W3897">
        <v>0.15367529999999999</v>
      </c>
      <c r="X3897">
        <v>0.98795469999999996</v>
      </c>
      <c r="Y3897">
        <v>0.15823289999999901</v>
      </c>
      <c r="Z3897">
        <v>2.0434549999999999E-2</v>
      </c>
      <c r="AA3897">
        <v>0.98719040000000002</v>
      </c>
      <c r="AB3897">
        <v>28</v>
      </c>
      <c r="AC3897">
        <v>-0.38820000000004001</v>
      </c>
      <c r="AD3897">
        <v>-0.20976230000000001</v>
      </c>
      <c r="AE3897">
        <v>0.120699999999999</v>
      </c>
      <c r="AF3897">
        <v>9.2499835528841404E-2</v>
      </c>
      <c r="AG3897">
        <v>-0.20976230000000001</v>
      </c>
      <c r="AH3897">
        <v>0.30744114916870302</v>
      </c>
      <c r="AI3897">
        <v>123.158724412483</v>
      </c>
      <c r="AJ3897">
        <v>73.255032328224999</v>
      </c>
      <c r="AK3897">
        <v>0.38350554399685699</v>
      </c>
      <c r="AL3897">
        <v>81.160024092732399</v>
      </c>
      <c r="AM3897">
        <v>88.947474187337505</v>
      </c>
      <c r="AN3897">
        <v>1.00000001949291</v>
      </c>
    </row>
    <row r="3898" spans="1:40" x14ac:dyDescent="0.25">
      <c r="A3898" t="str">
        <f>"20190312154635487"</f>
        <v>20190312154635487</v>
      </c>
      <c r="B3898" t="str">
        <f>"1552376795481756"</f>
        <v>1552376795481756</v>
      </c>
      <c r="C3898" t="s">
        <v>40</v>
      </c>
      <c r="D3898">
        <v>4.5511520000000001</v>
      </c>
      <c r="E3898">
        <v>0.5629383</v>
      </c>
      <c r="F3898" t="s">
        <v>41</v>
      </c>
      <c r="G3898">
        <v>-356.25279999999998</v>
      </c>
      <c r="H3898">
        <v>0.84807900000000003</v>
      </c>
      <c r="I3898">
        <v>141.06829999999999</v>
      </c>
      <c r="J3898">
        <v>-355.65890000000002</v>
      </c>
      <c r="K3898">
        <v>1.1104430000000001</v>
      </c>
      <c r="L3898">
        <v>140.9177</v>
      </c>
      <c r="M3898">
        <v>-0.99985959999999996</v>
      </c>
      <c r="N3898">
        <v>0</v>
      </c>
      <c r="O3898">
        <v>9.0640860000000007E-3</v>
      </c>
      <c r="P3898">
        <v>-0.98980270000000004</v>
      </c>
      <c r="Q3898">
        <v>0.13976160000000001</v>
      </c>
      <c r="R3898">
        <v>2.7518919999999999E-2</v>
      </c>
      <c r="S3898">
        <v>-3.1501769999999998</v>
      </c>
      <c r="T3898">
        <v>-0.95363379999999998</v>
      </c>
      <c r="U3898">
        <v>0.55555730000000003</v>
      </c>
      <c r="V3898">
        <v>1.851614E-2</v>
      </c>
      <c r="W3898">
        <v>0.15370919999999999</v>
      </c>
      <c r="X3898">
        <v>0.9879426</v>
      </c>
      <c r="Y3898">
        <v>0.1582568</v>
      </c>
      <c r="Z3898">
        <v>2.0596690000000001E-2</v>
      </c>
      <c r="AA3898">
        <v>0.98718320000000004</v>
      </c>
      <c r="AB3898">
        <v>28</v>
      </c>
      <c r="AC3898">
        <v>-0.59389999999996201</v>
      </c>
      <c r="AD3898">
        <v>-0.26236399999999899</v>
      </c>
      <c r="AE3898">
        <v>0.15059999999999699</v>
      </c>
      <c r="AF3898">
        <v>0.12270946528336001</v>
      </c>
      <c r="AG3898">
        <v>-0.26236399999999899</v>
      </c>
      <c r="AH3898">
        <v>0.50300681544730297</v>
      </c>
      <c r="AI3898">
        <v>116.872738238121</v>
      </c>
      <c r="AJ3898">
        <v>76.2903645687432</v>
      </c>
      <c r="AK3898">
        <v>0.58043805677485105</v>
      </c>
      <c r="AL3898">
        <v>81.158057998964296</v>
      </c>
      <c r="AM3898">
        <v>88.926281262010605</v>
      </c>
      <c r="AN3898">
        <v>0.99999997324994905</v>
      </c>
    </row>
    <row r="3899" spans="1:40" x14ac:dyDescent="0.25">
      <c r="A3899" t="str">
        <f>"20190312154635510"</f>
        <v>20190312154635510</v>
      </c>
      <c r="B3899" t="str">
        <f>"1552376795501276"</f>
        <v>1552376795501276</v>
      </c>
      <c r="C3899" t="s">
        <v>40</v>
      </c>
      <c r="D3899">
        <v>4.5482860000000001</v>
      </c>
      <c r="E3899">
        <v>0.56256169999999905</v>
      </c>
      <c r="F3899" t="s">
        <v>41</v>
      </c>
      <c r="G3899">
        <v>-356.50599999999997</v>
      </c>
      <c r="H3899">
        <v>0.85670519999999994</v>
      </c>
      <c r="I3899">
        <v>141.06829999999999</v>
      </c>
      <c r="J3899">
        <v>-355.93720000000002</v>
      </c>
      <c r="K3899">
        <v>1.110447</v>
      </c>
      <c r="L3899">
        <v>140.92009999999999</v>
      </c>
      <c r="M3899">
        <v>-0.99986079999999999</v>
      </c>
      <c r="N3899">
        <v>0</v>
      </c>
      <c r="O3899">
        <v>8.9260809999999902E-3</v>
      </c>
      <c r="P3899">
        <v>-0.98989119999999997</v>
      </c>
      <c r="Q3899">
        <v>0.13914499999999999</v>
      </c>
      <c r="R3899">
        <v>2.746206E-2</v>
      </c>
      <c r="S3899">
        <v>-3.1485599999999998</v>
      </c>
      <c r="T3899">
        <v>-0.94318100000000005</v>
      </c>
      <c r="U3899">
        <v>0.55870059999999999</v>
      </c>
      <c r="V3899">
        <v>1.8592910000000001E-2</v>
      </c>
      <c r="W3899">
        <v>0.15309149999999999</v>
      </c>
      <c r="X3899">
        <v>0.9880371</v>
      </c>
      <c r="Y3899">
        <v>0.1595095</v>
      </c>
      <c r="Z3899">
        <v>2.061091E-2</v>
      </c>
      <c r="AA3899">
        <v>0.9869812</v>
      </c>
      <c r="AB3899">
        <v>28</v>
      </c>
      <c r="AC3899">
        <v>-0.56879999999995301</v>
      </c>
      <c r="AD3899">
        <v>-0.25374179999999902</v>
      </c>
      <c r="AE3899">
        <v>0.148200000000002</v>
      </c>
      <c r="AF3899">
        <v>0.120635460520352</v>
      </c>
      <c r="AG3899">
        <v>-0.25374179999999902</v>
      </c>
      <c r="AH3899">
        <v>0.48054797827630102</v>
      </c>
      <c r="AI3899">
        <v>117.118582223923</v>
      </c>
      <c r="AJ3899">
        <v>75.907834065909597</v>
      </c>
      <c r="AK3899">
        <v>0.556654448313887</v>
      </c>
      <c r="AL3899">
        <v>81.193873814042405</v>
      </c>
      <c r="AM3899">
        <v>88.921933648272898</v>
      </c>
      <c r="AN3899">
        <v>1.00000000732546</v>
      </c>
    </row>
    <row r="3900" spans="1:40" x14ac:dyDescent="0.25">
      <c r="A3900" t="str">
        <f>"20190312154635531"</f>
        <v>20190312154635531</v>
      </c>
      <c r="B3900" t="str">
        <f>"1552376795521772"</f>
        <v>1552376795521772</v>
      </c>
      <c r="C3900" t="s">
        <v>40</v>
      </c>
      <c r="D3900">
        <v>4.5666659999999997</v>
      </c>
      <c r="E3900">
        <v>0.56255730000000004</v>
      </c>
      <c r="F3900" t="s">
        <v>41</v>
      </c>
      <c r="G3900">
        <v>-356.75799999999998</v>
      </c>
      <c r="H3900">
        <v>0.8636471</v>
      </c>
      <c r="I3900">
        <v>141.0651</v>
      </c>
      <c r="J3900">
        <v>-356.20699999999999</v>
      </c>
      <c r="K3900">
        <v>1.1104529999999999</v>
      </c>
      <c r="L3900">
        <v>140.92240000000001</v>
      </c>
      <c r="M3900">
        <v>-0.99986209999999998</v>
      </c>
      <c r="N3900">
        <v>0</v>
      </c>
      <c r="O3900">
        <v>8.7880509999999998E-3</v>
      </c>
      <c r="P3900">
        <v>-0.99008969999999996</v>
      </c>
      <c r="Q3900">
        <v>0.1377977</v>
      </c>
      <c r="R3900">
        <v>2.709891E-2</v>
      </c>
      <c r="S3900">
        <v>-3.1483150000000002</v>
      </c>
      <c r="T3900">
        <v>-0.94671260000000002</v>
      </c>
      <c r="U3900">
        <v>0.55535889999999999</v>
      </c>
      <c r="V3900">
        <v>1.836345E-2</v>
      </c>
      <c r="W3900">
        <v>0.15174460000000001</v>
      </c>
      <c r="X3900">
        <v>0.98824909999999999</v>
      </c>
      <c r="Y3900">
        <v>0.1586254</v>
      </c>
      <c r="Z3900">
        <v>2.0599369999999999E-2</v>
      </c>
      <c r="AA3900">
        <v>0.98712390000000005</v>
      </c>
      <c r="AB3900">
        <v>28</v>
      </c>
      <c r="AC3900">
        <v>-0.55100000000004401</v>
      </c>
      <c r="AD3900">
        <v>-0.24680589999999999</v>
      </c>
      <c r="AE3900">
        <v>0.14269999999999</v>
      </c>
      <c r="AF3900">
        <v>0.11603449013594901</v>
      </c>
      <c r="AG3900">
        <v>-0.24680589999999999</v>
      </c>
      <c r="AH3900">
        <v>0.46483300667623001</v>
      </c>
      <c r="AI3900">
        <v>117.255183452426</v>
      </c>
      <c r="AJ3900">
        <v>75.9839164406131</v>
      </c>
      <c r="AK3900">
        <v>0.53893123798086096</v>
      </c>
      <c r="AL3900">
        <v>81.2719574295988</v>
      </c>
      <c r="AM3900">
        <v>88.935463628606101</v>
      </c>
      <c r="AN3900">
        <v>0.99999996178793504</v>
      </c>
    </row>
    <row r="3901" spans="1:40" x14ac:dyDescent="0.25">
      <c r="A3901" t="str">
        <f>"20190312154635552"</f>
        <v>20190312154635552</v>
      </c>
      <c r="B3901" t="str">
        <f>"1552376795541292"</f>
        <v>1552376795541292</v>
      </c>
      <c r="C3901" t="s">
        <v>40</v>
      </c>
      <c r="D3901">
        <v>4.5715029999999999</v>
      </c>
      <c r="E3901">
        <v>0.56253839999999999</v>
      </c>
      <c r="F3901" t="s">
        <v>41</v>
      </c>
      <c r="G3901">
        <v>-357.0095</v>
      </c>
      <c r="H3901">
        <v>0.86988259999999995</v>
      </c>
      <c r="I3901">
        <v>141.06370000000001</v>
      </c>
      <c r="J3901">
        <v>-356.46699999999998</v>
      </c>
      <c r="K3901">
        <v>1.1104430000000001</v>
      </c>
      <c r="L3901">
        <v>140.92449999999999</v>
      </c>
      <c r="M3901">
        <v>-0.99986339999999996</v>
      </c>
      <c r="N3901">
        <v>0</v>
      </c>
      <c r="O3901">
        <v>8.6526060000000002E-3</v>
      </c>
      <c r="P3901">
        <v>-0.99035269999999997</v>
      </c>
      <c r="Q3901">
        <v>0.1358511</v>
      </c>
      <c r="R3901">
        <v>2.73218E-2</v>
      </c>
      <c r="S3901">
        <v>-3.1461489999999999</v>
      </c>
      <c r="T3901">
        <v>-0.94313570000000002</v>
      </c>
      <c r="U3901">
        <v>0.55346680000000004</v>
      </c>
      <c r="V3901">
        <v>1.871778E-2</v>
      </c>
      <c r="W3901">
        <v>0.14979870000000001</v>
      </c>
      <c r="X3901">
        <v>0.98853930000000001</v>
      </c>
      <c r="Y3901">
        <v>0.15834389999999901</v>
      </c>
      <c r="Z3901">
        <v>2.0537550000000002E-2</v>
      </c>
      <c r="AA3901">
        <v>0.9871704</v>
      </c>
      <c r="AB3901">
        <v>28</v>
      </c>
      <c r="AC3901">
        <v>-0.54250000000001797</v>
      </c>
      <c r="AD3901">
        <v>-0.24056040000000001</v>
      </c>
      <c r="AE3901">
        <v>0.13920000000001601</v>
      </c>
      <c r="AF3901">
        <v>0.113551845962343</v>
      </c>
      <c r="AG3901">
        <v>-0.24056040000000001</v>
      </c>
      <c r="AH3901">
        <v>0.45900535264943698</v>
      </c>
      <c r="AI3901">
        <v>116.96489234508201</v>
      </c>
      <c r="AJ3901">
        <v>76.104763189070994</v>
      </c>
      <c r="AK3901">
        <v>0.53051789934972904</v>
      </c>
      <c r="AL3901">
        <v>81.384738684545198</v>
      </c>
      <c r="AM3901">
        <v>88.9152463070198</v>
      </c>
      <c r="AN3901">
        <v>0.99999997672715402</v>
      </c>
    </row>
    <row r="3902" spans="1:40" x14ac:dyDescent="0.25">
      <c r="A3902" t="str">
        <f>"20190312154635576"</f>
        <v>20190312154635576</v>
      </c>
      <c r="B3902" t="str">
        <f>"1552376795571548"</f>
        <v>1552376795571548</v>
      </c>
      <c r="C3902" t="s">
        <v>40</v>
      </c>
      <c r="D3902">
        <v>4.4876019999999999</v>
      </c>
      <c r="E3902">
        <v>0.56174930000000001</v>
      </c>
      <c r="F3902" t="s">
        <v>41</v>
      </c>
      <c r="G3902">
        <v>-357.25920000000002</v>
      </c>
      <c r="H3902">
        <v>0.87257220000000002</v>
      </c>
      <c r="I3902">
        <v>141.0643</v>
      </c>
      <c r="J3902">
        <v>-356.75979999999998</v>
      </c>
      <c r="K3902">
        <v>1.1104369999999999</v>
      </c>
      <c r="L3902">
        <v>140.92689999999999</v>
      </c>
      <c r="M3902">
        <v>-0.9998648</v>
      </c>
      <c r="N3902">
        <v>0</v>
      </c>
      <c r="O3902">
        <v>8.4976110000000004E-3</v>
      </c>
      <c r="P3902">
        <v>-0.99072550000000004</v>
      </c>
      <c r="Q3902">
        <v>0.13307529999999901</v>
      </c>
      <c r="R3902">
        <v>2.7466299999999999E-2</v>
      </c>
      <c r="S3902">
        <v>-3.143494</v>
      </c>
      <c r="T3902">
        <v>-0.94394020000000001</v>
      </c>
      <c r="U3902">
        <v>0.55255129999999997</v>
      </c>
      <c r="V3902">
        <v>1.901216E-2</v>
      </c>
      <c r="W3902">
        <v>0.1470255</v>
      </c>
      <c r="X3902">
        <v>0.98895</v>
      </c>
      <c r="Y3902">
        <v>0.15833259999999999</v>
      </c>
      <c r="Z3902">
        <v>2.0614759999999999E-2</v>
      </c>
      <c r="AA3902">
        <v>0.98717060000000001</v>
      </c>
      <c r="AB3902">
        <v>28</v>
      </c>
      <c r="AC3902">
        <v>-0.49940000000003598</v>
      </c>
      <c r="AD3902">
        <v>-0.23786479999999999</v>
      </c>
      <c r="AE3902">
        <v>0.13740000000001301</v>
      </c>
      <c r="AF3902">
        <v>0.109960422798781</v>
      </c>
      <c r="AG3902">
        <v>-0.23786479999999999</v>
      </c>
      <c r="AH3902">
        <v>0.413370447049481</v>
      </c>
      <c r="AI3902">
        <v>119.077964356705</v>
      </c>
      <c r="AJ3902">
        <v>75.103747253955902</v>
      </c>
      <c r="AK3902">
        <v>0.48943445337962699</v>
      </c>
      <c r="AL3902">
        <v>81.545411209645593</v>
      </c>
      <c r="AM3902">
        <v>88.898647698210297</v>
      </c>
      <c r="AN3902">
        <v>1.00000003118905</v>
      </c>
    </row>
    <row r="3903" spans="1:40" x14ac:dyDescent="0.25">
      <c r="A3903" t="str">
        <f>"20190312154635595"</f>
        <v>20190312154635595</v>
      </c>
      <c r="B3903" t="str">
        <f>"1552376795592044"</f>
        <v>1552376795592044</v>
      </c>
      <c r="C3903" t="s">
        <v>40</v>
      </c>
      <c r="D3903">
        <v>4.5014779999999996</v>
      </c>
      <c r="E3903">
        <v>0.56107189999999996</v>
      </c>
      <c r="F3903" t="s">
        <v>41</v>
      </c>
      <c r="G3903">
        <v>-357.51280000000003</v>
      </c>
      <c r="H3903">
        <v>0.88567359999999995</v>
      </c>
      <c r="I3903">
        <v>141.05789999999999</v>
      </c>
      <c r="J3903">
        <v>-357.01100000000002</v>
      </c>
      <c r="K3903">
        <v>1.1104400000000001</v>
      </c>
      <c r="L3903">
        <v>140.9289</v>
      </c>
      <c r="M3903">
        <v>-0.99986589999999997</v>
      </c>
      <c r="N3903">
        <v>0</v>
      </c>
      <c r="O3903">
        <v>8.3619829999999999E-3</v>
      </c>
      <c r="P3903">
        <v>-0.99102679999999999</v>
      </c>
      <c r="Q3903">
        <v>0.1307836</v>
      </c>
      <c r="R3903">
        <v>2.760406E-2</v>
      </c>
      <c r="S3903">
        <v>-3.1387939999999999</v>
      </c>
      <c r="T3903">
        <v>-0.93685419999999997</v>
      </c>
      <c r="U3903">
        <v>0.54580689999999998</v>
      </c>
      <c r="V3903">
        <v>1.9281119999999999E-2</v>
      </c>
      <c r="W3903">
        <v>0.14473620000000001</v>
      </c>
      <c r="X3903">
        <v>0.98928240000000001</v>
      </c>
      <c r="Y3903">
        <v>0.1567924</v>
      </c>
      <c r="Z3903">
        <v>2.0314789999999999E-2</v>
      </c>
      <c r="AA3903">
        <v>0.98742260000000004</v>
      </c>
      <c r="AB3903">
        <v>28</v>
      </c>
      <c r="AC3903">
        <v>-0.50180000000005898</v>
      </c>
      <c r="AD3903">
        <v>-0.22476639999999901</v>
      </c>
      <c r="AE3903">
        <v>0.12899999999999001</v>
      </c>
      <c r="AF3903">
        <v>0.105032424993554</v>
      </c>
      <c r="AG3903">
        <v>-0.22476639999999901</v>
      </c>
      <c r="AH3903">
        <v>0.42321432399000902</v>
      </c>
      <c r="AI3903">
        <v>117.269143799478</v>
      </c>
      <c r="AJ3903">
        <v>76.062058314444798</v>
      </c>
      <c r="AK3903">
        <v>0.49057324519311801</v>
      </c>
      <c r="AL3903">
        <v>81.677996566033499</v>
      </c>
      <c r="AM3903">
        <v>88.883446272241301</v>
      </c>
      <c r="AN3903">
        <v>0.99999999806432704</v>
      </c>
    </row>
    <row r="3904" spans="1:40" x14ac:dyDescent="0.25">
      <c r="A3904" t="str">
        <f>"20190312154635618"</f>
        <v>20190312154635618</v>
      </c>
      <c r="B3904" t="str">
        <f>"1552376795611567"</f>
        <v>1552376795611567</v>
      </c>
      <c r="C3904" t="s">
        <v>40</v>
      </c>
      <c r="D3904">
        <v>4.5087279999999996</v>
      </c>
      <c r="E3904">
        <v>0.56086729999999996</v>
      </c>
      <c r="F3904" t="s">
        <v>41</v>
      </c>
      <c r="G3904">
        <v>-357.76190000000003</v>
      </c>
      <c r="H3904">
        <v>0.88814230000000005</v>
      </c>
      <c r="I3904">
        <v>141.05869999999999</v>
      </c>
      <c r="J3904">
        <v>-357.28750000000002</v>
      </c>
      <c r="K3904">
        <v>1.1104449999999999</v>
      </c>
      <c r="L3904">
        <v>140.93100000000001</v>
      </c>
      <c r="M3904">
        <v>-0.99986710000000001</v>
      </c>
      <c r="N3904">
        <v>0</v>
      </c>
      <c r="O3904">
        <v>8.2067790000000009E-3</v>
      </c>
      <c r="P3904">
        <v>-0.99132439999999999</v>
      </c>
      <c r="Q3904">
        <v>0.12841330000000001</v>
      </c>
      <c r="R3904">
        <v>2.803572E-2</v>
      </c>
      <c r="S3904">
        <v>-3.1345519999999998</v>
      </c>
      <c r="T3904">
        <v>-0.92792699999999995</v>
      </c>
      <c r="U3904">
        <v>0.5412903</v>
      </c>
      <c r="V3904">
        <v>1.9863189999999999E-2</v>
      </c>
      <c r="W3904">
        <v>0.14236770000000001</v>
      </c>
      <c r="X3904">
        <v>0.98961449999999995</v>
      </c>
      <c r="Y3904">
        <v>0.15591849999999999</v>
      </c>
      <c r="Z3904">
        <v>2.0076009999999998E-2</v>
      </c>
      <c r="AA3904">
        <v>0.9875659</v>
      </c>
      <c r="AB3904">
        <v>28</v>
      </c>
      <c r="AC3904">
        <v>-0.47440000000000199</v>
      </c>
      <c r="AD3904">
        <v>-0.22230269999999999</v>
      </c>
      <c r="AE3904">
        <v>0.127699999999975</v>
      </c>
      <c r="AF3904">
        <v>0.102761763406143</v>
      </c>
      <c r="AG3904">
        <v>-0.22230269999999999</v>
      </c>
      <c r="AH3904">
        <v>0.39463205471123802</v>
      </c>
      <c r="AI3904">
        <v>118.59644757485</v>
      </c>
      <c r="AJ3904">
        <v>75.404376362034398</v>
      </c>
      <c r="AK3904">
        <v>0.464449059694649</v>
      </c>
      <c r="AL3904">
        <v>81.8151217709691</v>
      </c>
      <c r="AM3904">
        <v>88.850133906783796</v>
      </c>
      <c r="AN3904">
        <v>0.99999998346525698</v>
      </c>
    </row>
    <row r="3905" spans="1:40" x14ac:dyDescent="0.25">
      <c r="A3905" t="str">
        <f>"20190312154635751"</f>
        <v>20190312154635751</v>
      </c>
      <c r="B3905" t="str">
        <f>"1552376795741881"</f>
        <v>1552376795741881</v>
      </c>
      <c r="C3905" t="s">
        <v>40</v>
      </c>
      <c r="D3905">
        <v>4.3520240000000001</v>
      </c>
      <c r="E3905">
        <v>0.42980960000000001</v>
      </c>
      <c r="F3905" t="s">
        <v>42</v>
      </c>
      <c r="G3905">
        <v>-361.30110000000002</v>
      </c>
      <c r="H3905" s="1">
        <v>-3.9687650000000001E-6</v>
      </c>
      <c r="I3905">
        <v>140.57339999999999</v>
      </c>
      <c r="J3905">
        <v>-358.93189999999998</v>
      </c>
      <c r="K3905">
        <v>1.1105100000000001</v>
      </c>
      <c r="L3905">
        <v>140.94239999999999</v>
      </c>
      <c r="M3905">
        <v>-0.99987740000000003</v>
      </c>
      <c r="N3905">
        <v>0</v>
      </c>
      <c r="O3905">
        <v>6.8824059999999998E-3</v>
      </c>
      <c r="P3905">
        <v>-0.9921837</v>
      </c>
      <c r="Q3905">
        <v>0.1210128</v>
      </c>
      <c r="R3905">
        <v>3.045631E-2</v>
      </c>
      <c r="S3905">
        <v>-3.2053530000000001</v>
      </c>
      <c r="T3905">
        <v>-1.3480449999999999</v>
      </c>
      <c r="U3905">
        <v>-0.44584659999999898</v>
      </c>
      <c r="V3905">
        <v>2.3562240000000002E-2</v>
      </c>
      <c r="W3905">
        <v>0.1349688</v>
      </c>
      <c r="X3905">
        <v>0.9905697</v>
      </c>
      <c r="Y3905">
        <v>-0.1329342</v>
      </c>
      <c r="Z3905">
        <v>-2.9467690000000001E-2</v>
      </c>
      <c r="AA3905">
        <v>0.99068670000000003</v>
      </c>
      <c r="AB3905">
        <v>28</v>
      </c>
      <c r="AC3905">
        <v>-2.3692000000000299</v>
      </c>
      <c r="AD3905">
        <v>-1.1105139687649901</v>
      </c>
      <c r="AE3905">
        <v>-0.368999999999999</v>
      </c>
      <c r="AF3905">
        <v>-0.31724775833940799</v>
      </c>
      <c r="AG3905">
        <v>-1.1105139687649901</v>
      </c>
      <c r="AH3905">
        <v>1.9486177385877601</v>
      </c>
      <c r="AI3905">
        <v>119.35742128186401</v>
      </c>
      <c r="AJ3905">
        <v>99.246998341021396</v>
      </c>
      <c r="AK3905">
        <v>2.2651707454698502</v>
      </c>
      <c r="AL3905">
        <v>82.243184589994698</v>
      </c>
      <c r="AM3905">
        <v>88.637387776941495</v>
      </c>
      <c r="AN3905">
        <v>1.0000000433426699</v>
      </c>
    </row>
    <row r="3906" spans="1:40" x14ac:dyDescent="0.25">
      <c r="A3906" t="str">
        <f>"20190312154635775"</f>
        <v>20190312154635775</v>
      </c>
      <c r="B3906" t="str">
        <f>"1552376795771161"</f>
        <v>1552376795771161</v>
      </c>
      <c r="C3906" t="s">
        <v>40</v>
      </c>
      <c r="D3906">
        <v>5.0069939999999997</v>
      </c>
      <c r="E3906">
        <v>0.41104160000000001</v>
      </c>
      <c r="F3906" t="s">
        <v>42</v>
      </c>
      <c r="G3906">
        <v>-362.25790000000001</v>
      </c>
      <c r="H3906" s="1">
        <v>-3.514794E-6</v>
      </c>
      <c r="I3906">
        <v>140.40979999999999</v>
      </c>
      <c r="J3906">
        <v>-359.2131</v>
      </c>
      <c r="K3906">
        <v>1.1105290000000001</v>
      </c>
      <c r="L3906">
        <v>140.94399999999999</v>
      </c>
      <c r="M3906">
        <v>-0.99987979999999999</v>
      </c>
      <c r="N3906">
        <v>0</v>
      </c>
      <c r="O3906">
        <v>6.5468380000000001E-3</v>
      </c>
      <c r="P3906">
        <v>-0.99245229999999995</v>
      </c>
      <c r="Q3906">
        <v>0.1185831</v>
      </c>
      <c r="R3906">
        <v>3.1250979999999998E-2</v>
      </c>
      <c r="S3906">
        <v>-3.1682739999999998</v>
      </c>
      <c r="T3906">
        <v>-1.057871</v>
      </c>
      <c r="U3906">
        <v>-0.50726320000000003</v>
      </c>
      <c r="V3906">
        <v>2.4681060000000001E-2</v>
      </c>
      <c r="W3906">
        <v>0.132542299999999</v>
      </c>
      <c r="X3906">
        <v>0.99087000000000003</v>
      </c>
      <c r="Y3906">
        <v>-0.15594920000000001</v>
      </c>
      <c r="Z3906">
        <v>-2.731546E-2</v>
      </c>
      <c r="AA3906">
        <v>0.98738729999999997</v>
      </c>
      <c r="AB3906">
        <v>28</v>
      </c>
      <c r="AC3906">
        <v>-3.0448</v>
      </c>
      <c r="AD3906">
        <v>-1.1105325147939999</v>
      </c>
      <c r="AE3906">
        <v>-0.53419999999999801</v>
      </c>
      <c r="AF3906">
        <v>-0.490785491244698</v>
      </c>
      <c r="AG3906">
        <v>-1.1105325147939999</v>
      </c>
      <c r="AH3906">
        <v>2.6936103429072502</v>
      </c>
      <c r="AI3906">
        <v>112.07778479595601</v>
      </c>
      <c r="AJ3906">
        <v>100.32622099167401</v>
      </c>
      <c r="AK3906">
        <v>2.9546048033955201</v>
      </c>
      <c r="AL3906">
        <v>82.383472979131398</v>
      </c>
      <c r="AM3906">
        <v>88.573144584590395</v>
      </c>
      <c r="AN3906">
        <v>0.99999998645600596</v>
      </c>
    </row>
    <row r="3907" spans="1:40" x14ac:dyDescent="0.25">
      <c r="A3907" t="str">
        <f>"20190312154635796"</f>
        <v>20190312154635796</v>
      </c>
      <c r="B3907" t="str">
        <f>"1552376795791657"</f>
        <v>1552376795791657</v>
      </c>
      <c r="C3907" t="s">
        <v>40</v>
      </c>
      <c r="D3907">
        <v>4.3945249999999998</v>
      </c>
      <c r="E3907">
        <v>0.41125339999999999</v>
      </c>
      <c r="F3907" t="s">
        <v>42</v>
      </c>
      <c r="G3907">
        <v>-369.07029999999997</v>
      </c>
      <c r="H3907" s="1">
        <v>-5.0569450000000004E-7</v>
      </c>
      <c r="I3907">
        <v>138.91409999999999</v>
      </c>
      <c r="J3907">
        <v>-359.4796</v>
      </c>
      <c r="K3907">
        <v>1.110549</v>
      </c>
      <c r="L3907">
        <v>140.94540000000001</v>
      </c>
      <c r="M3907">
        <v>-0.9998821</v>
      </c>
      <c r="N3907">
        <v>0</v>
      </c>
      <c r="O3907">
        <v>6.1903139999999997E-3</v>
      </c>
      <c r="P3907">
        <v>-0.99290690000000004</v>
      </c>
      <c r="Q3907">
        <v>0.11471149999999999</v>
      </c>
      <c r="R3907">
        <v>3.126454E-2</v>
      </c>
      <c r="S3907">
        <v>-3.084381</v>
      </c>
      <c r="T3907">
        <v>-0.3474932</v>
      </c>
      <c r="U3907">
        <v>-0.63514709999999996</v>
      </c>
      <c r="V3907">
        <v>2.5039499999999999E-2</v>
      </c>
      <c r="W3907">
        <v>0.1286766</v>
      </c>
      <c r="X3907">
        <v>0.99137039999999998</v>
      </c>
      <c r="Y3907">
        <v>-0.20646049999999999</v>
      </c>
      <c r="Z3907">
        <v>-1.216245E-2</v>
      </c>
      <c r="AA3907">
        <v>0.97837940000000001</v>
      </c>
      <c r="AB3907">
        <v>27</v>
      </c>
      <c r="AC3907">
        <v>-9.5906999999999698</v>
      </c>
      <c r="AD3907">
        <v>-1.1105495056945001</v>
      </c>
      <c r="AE3907">
        <v>-2.0313000000000101</v>
      </c>
      <c r="AF3907">
        <v>-2.06414781449919</v>
      </c>
      <c r="AG3907">
        <v>-1.1105495056945001</v>
      </c>
      <c r="AH3907">
        <v>9.4565871456055497</v>
      </c>
      <c r="AI3907">
        <v>96.545219807754293</v>
      </c>
      <c r="AJ3907">
        <v>102.313177134125</v>
      </c>
      <c r="AK3907">
        <v>9.7427443180621491</v>
      </c>
      <c r="AL3907">
        <v>82.606874891187303</v>
      </c>
      <c r="AM3907">
        <v>88.553161650818893</v>
      </c>
      <c r="AN3907">
        <v>0.99999995697198396</v>
      </c>
    </row>
    <row r="3908" spans="1:40" x14ac:dyDescent="0.25">
      <c r="A3908" t="str">
        <f>"20190312154635818"</f>
        <v>20190312154635818</v>
      </c>
      <c r="B3908" t="str">
        <f>"1552376795811177"</f>
        <v>1552376795811177</v>
      </c>
      <c r="C3908" t="s">
        <v>40</v>
      </c>
      <c r="D3908">
        <v>4.2472479999999999</v>
      </c>
      <c r="E3908">
        <v>0.41139100000000001</v>
      </c>
      <c r="F3908" t="s">
        <v>42</v>
      </c>
      <c r="G3908">
        <v>-371.67750000000001</v>
      </c>
      <c r="H3908" s="1">
        <v>-3.7614070000000001E-6</v>
      </c>
      <c r="I3908">
        <v>138.43940000000001</v>
      </c>
      <c r="J3908">
        <v>-359.75880000000001</v>
      </c>
      <c r="K3908">
        <v>1.110576</v>
      </c>
      <c r="L3908">
        <v>140.94669999999999</v>
      </c>
      <c r="M3908">
        <v>-0.99988469999999996</v>
      </c>
      <c r="N3908">
        <v>0</v>
      </c>
      <c r="O3908">
        <v>5.7741190000000003E-3</v>
      </c>
      <c r="P3908">
        <v>-0.99321300000000001</v>
      </c>
      <c r="Q3908">
        <v>0.11212469999999999</v>
      </c>
      <c r="R3908">
        <v>3.0921210000000001E-2</v>
      </c>
      <c r="S3908">
        <v>-3.0736690000000002</v>
      </c>
      <c r="T3908">
        <v>-0.27984360000000003</v>
      </c>
      <c r="U3908">
        <v>-0.63145450000000003</v>
      </c>
      <c r="V3908">
        <v>2.509962E-2</v>
      </c>
      <c r="W3908">
        <v>0.12609380000000001</v>
      </c>
      <c r="X3908">
        <v>0.99170080000000005</v>
      </c>
      <c r="Y3908">
        <v>-0.20604939999999999</v>
      </c>
      <c r="Z3908">
        <v>-9.7837770000000004E-3</v>
      </c>
      <c r="AA3908">
        <v>0.97849269999999999</v>
      </c>
      <c r="AB3908">
        <v>27</v>
      </c>
      <c r="AC3908">
        <v>-11.918699999999999</v>
      </c>
      <c r="AD3908">
        <v>-1.1105797614069901</v>
      </c>
      <c r="AE3908">
        <v>-2.5072999999999799</v>
      </c>
      <c r="AF3908">
        <v>-2.5548427661151001</v>
      </c>
      <c r="AG3908">
        <v>-1.1105797614069901</v>
      </c>
      <c r="AH3908">
        <v>11.8058626965665</v>
      </c>
      <c r="AI3908">
        <v>95.253117309696506</v>
      </c>
      <c r="AJ3908">
        <v>102.21077880423999</v>
      </c>
      <c r="AK3908">
        <v>12.1300866846119</v>
      </c>
      <c r="AL3908">
        <v>82.756074686373594</v>
      </c>
      <c r="AM3908">
        <v>88.550172251094907</v>
      </c>
      <c r="AN3908">
        <v>1.0000000570216101</v>
      </c>
    </row>
    <row r="3909" spans="1:40" x14ac:dyDescent="0.25">
      <c r="A3909" t="str">
        <f>"20190312154635841"</f>
        <v>20190312154635841</v>
      </c>
      <c r="B3909" t="str">
        <f>"1552376795831672"</f>
        <v>1552376795831672</v>
      </c>
      <c r="C3909" t="s">
        <v>40</v>
      </c>
      <c r="D3909">
        <v>4.5344429999999996</v>
      </c>
      <c r="E3909">
        <v>0.41269299999999998</v>
      </c>
      <c r="F3909" t="s">
        <v>42</v>
      </c>
      <c r="G3909">
        <v>-370.97809999999998</v>
      </c>
      <c r="H3909" s="1">
        <v>-4.0261429999999996E-6</v>
      </c>
      <c r="I3909">
        <v>138.63820000000001</v>
      </c>
      <c r="J3909">
        <v>-360.02940000000001</v>
      </c>
      <c r="K3909">
        <v>1.1106039999999999</v>
      </c>
      <c r="L3909">
        <v>140.9478</v>
      </c>
      <c r="M3909">
        <v>-0.99988699999999997</v>
      </c>
      <c r="N3909">
        <v>0</v>
      </c>
      <c r="O3909">
        <v>5.328948E-3</v>
      </c>
      <c r="P3909">
        <v>-0.99332299999999996</v>
      </c>
      <c r="Q3909">
        <v>0.11125069999999999</v>
      </c>
      <c r="R3909">
        <v>3.0544060000000001E-2</v>
      </c>
      <c r="S3909">
        <v>-3.0745849999999999</v>
      </c>
      <c r="T3909">
        <v>-0.30434670000000003</v>
      </c>
      <c r="U3909">
        <v>-0.63259889999999996</v>
      </c>
      <c r="V3909">
        <v>2.5155540000000001E-2</v>
      </c>
      <c r="W3909">
        <v>0.12522049999999901</v>
      </c>
      <c r="X3909">
        <v>0.99180999999999997</v>
      </c>
      <c r="Y3909">
        <v>-0.20575660000000001</v>
      </c>
      <c r="Z3909">
        <v>-1.057525E-2</v>
      </c>
      <c r="AA3909">
        <v>0.97854609999999997</v>
      </c>
      <c r="AB3909">
        <v>27</v>
      </c>
      <c r="AC3909">
        <v>-10.948699999999899</v>
      </c>
      <c r="AD3909">
        <v>-1.110608026143</v>
      </c>
      <c r="AE3909">
        <v>-2.3095999999999801</v>
      </c>
      <c r="AF3909">
        <v>-2.34481877003061</v>
      </c>
      <c r="AG3909">
        <v>-1.110608026143</v>
      </c>
      <c r="AH3909">
        <v>10.8295516193774</v>
      </c>
      <c r="AI3909">
        <v>95.723691792552501</v>
      </c>
      <c r="AJ3909">
        <v>102.217117350078</v>
      </c>
      <c r="AK3909">
        <v>11.1360142568507</v>
      </c>
      <c r="AL3909">
        <v>82.806510632014394</v>
      </c>
      <c r="AM3909">
        <v>88.547103446429105</v>
      </c>
      <c r="AN3909">
        <v>1.00000002545647</v>
      </c>
    </row>
    <row r="3910" spans="1:40" x14ac:dyDescent="0.25">
      <c r="A3910" t="str">
        <f>"20190312154635866"</f>
        <v>20190312154635866</v>
      </c>
      <c r="B3910" t="str">
        <f>"1552376795861462"</f>
        <v>1552376795861462</v>
      </c>
      <c r="C3910" t="s">
        <v>40</v>
      </c>
      <c r="D3910">
        <v>4.4805109999999999</v>
      </c>
      <c r="E3910">
        <v>0.41275339999999999</v>
      </c>
      <c r="F3910" t="s">
        <v>42</v>
      </c>
      <c r="G3910">
        <v>-372.22050000000002</v>
      </c>
      <c r="H3910" s="1">
        <v>-3.522496E-6</v>
      </c>
      <c r="I3910">
        <v>138.47280000000001</v>
      </c>
      <c r="J3910">
        <v>-360.32810000000001</v>
      </c>
      <c r="K3910">
        <v>1.1106370000000001</v>
      </c>
      <c r="L3910">
        <v>140.9487</v>
      </c>
      <c r="M3910">
        <v>-0.9998899</v>
      </c>
      <c r="N3910">
        <v>0</v>
      </c>
      <c r="O3910">
        <v>4.7908229999999996E-3</v>
      </c>
      <c r="P3910">
        <v>-0.99349189999999998</v>
      </c>
      <c r="Q3910">
        <v>0.1100057</v>
      </c>
      <c r="R3910">
        <v>2.954174E-2</v>
      </c>
      <c r="S3910">
        <v>-3.0706790000000002</v>
      </c>
      <c r="T3910">
        <v>-0.27973870000000001</v>
      </c>
      <c r="U3910">
        <v>-0.62336729999999996</v>
      </c>
      <c r="V3910">
        <v>2.4677830000000001E-2</v>
      </c>
      <c r="W3910">
        <v>0.1239767</v>
      </c>
      <c r="X3910">
        <v>0.99197820000000003</v>
      </c>
      <c r="Y3910">
        <v>-0.20281560000000001</v>
      </c>
      <c r="Z3910">
        <v>-9.5579059999999997E-3</v>
      </c>
      <c r="AA3910">
        <v>0.97917030000000005</v>
      </c>
      <c r="AB3910">
        <v>27</v>
      </c>
      <c r="AC3910">
        <v>-11.8924</v>
      </c>
      <c r="AD3910">
        <v>-1.1106405224959901</v>
      </c>
      <c r="AE3910">
        <v>-2.47589999999999</v>
      </c>
      <c r="AF3910">
        <v>-2.5118537298044101</v>
      </c>
      <c r="AG3910">
        <v>-1.1106405224959901</v>
      </c>
      <c r="AH3910">
        <v>11.7819097919489</v>
      </c>
      <c r="AI3910">
        <v>95.267473273482594</v>
      </c>
      <c r="AJ3910">
        <v>102.035038086642</v>
      </c>
      <c r="AK3910">
        <v>12.0977820229893</v>
      </c>
      <c r="AL3910">
        <v>82.878334533672799</v>
      </c>
      <c r="AM3910">
        <v>88.574924401396501</v>
      </c>
      <c r="AN3910">
        <v>0.99999998335581897</v>
      </c>
    </row>
    <row r="3911" spans="1:40" x14ac:dyDescent="0.25">
      <c r="A3911" t="str">
        <f>"20190312154635889"</f>
        <v>20190312154635889</v>
      </c>
      <c r="B3911" t="str">
        <f>"1552376795881958"</f>
        <v>1552376795881958</v>
      </c>
      <c r="C3911" t="s">
        <v>40</v>
      </c>
      <c r="D3911">
        <v>4.4628370000000004</v>
      </c>
      <c r="E3911">
        <v>0.41294710000000001</v>
      </c>
      <c r="F3911" t="s">
        <v>42</v>
      </c>
      <c r="G3911">
        <v>-373.20830000000001</v>
      </c>
      <c r="H3911" s="1">
        <v>-3.125065E-6</v>
      </c>
      <c r="I3911">
        <v>138.3246</v>
      </c>
      <c r="J3911">
        <v>-360.61880000000002</v>
      </c>
      <c r="K3911">
        <v>1.110662</v>
      </c>
      <c r="L3911">
        <v>140.9495</v>
      </c>
      <c r="M3911">
        <v>-0.99989240000000001</v>
      </c>
      <c r="N3911">
        <v>0</v>
      </c>
      <c r="O3911">
        <v>4.2241859999999996E-3</v>
      </c>
      <c r="P3911">
        <v>-0.99365570000000003</v>
      </c>
      <c r="Q3911">
        <v>0.1087173</v>
      </c>
      <c r="R3911">
        <v>2.879232E-2</v>
      </c>
      <c r="S3911">
        <v>-3.0675349999999999</v>
      </c>
      <c r="T3911">
        <v>-0.26450990000000002</v>
      </c>
      <c r="U3911">
        <v>-0.62495419999999902</v>
      </c>
      <c r="V3911">
        <v>2.4483649999999999E-2</v>
      </c>
      <c r="W3911">
        <v>0.1226891</v>
      </c>
      <c r="X3911">
        <v>0.99214310000000006</v>
      </c>
      <c r="Y3911">
        <v>-0.20302999999999999</v>
      </c>
      <c r="Z3911">
        <v>-9.0089239999999998E-3</v>
      </c>
      <c r="AA3911">
        <v>0.97913110000000003</v>
      </c>
      <c r="AB3911">
        <v>27</v>
      </c>
      <c r="AC3911">
        <v>-12.5894999999999</v>
      </c>
      <c r="AD3911">
        <v>-1.1106651250649999</v>
      </c>
      <c r="AE3911">
        <v>-2.62489999999999</v>
      </c>
      <c r="AF3911">
        <v>-2.6582349897638999</v>
      </c>
      <c r="AG3911">
        <v>-1.1106651250649999</v>
      </c>
      <c r="AH3911">
        <v>12.485174166554801</v>
      </c>
      <c r="AI3911">
        <v>94.9726951920847</v>
      </c>
      <c r="AJ3911">
        <v>102.019446447497</v>
      </c>
      <c r="AK3911">
        <v>12.8132495585643</v>
      </c>
      <c r="AL3911">
        <v>82.952676259105104</v>
      </c>
      <c r="AM3911">
        <v>88.586368080769105</v>
      </c>
      <c r="AN3911">
        <v>0.99999999762687097</v>
      </c>
    </row>
    <row r="3912" spans="1:40" x14ac:dyDescent="0.25">
      <c r="A3912" t="str">
        <f>"20190312154635909"</f>
        <v>20190312154635909</v>
      </c>
      <c r="B3912" t="str">
        <f>"1552376795901477"</f>
        <v>1552376795901477</v>
      </c>
      <c r="C3912" t="s">
        <v>40</v>
      </c>
      <c r="D3912">
        <v>4.3877810000000004</v>
      </c>
      <c r="E3912">
        <v>0.41310249999999998</v>
      </c>
      <c r="F3912" t="s">
        <v>42</v>
      </c>
      <c r="G3912">
        <v>-373.81740000000002</v>
      </c>
      <c r="H3912" s="1">
        <v>-2.8760110000000002E-6</v>
      </c>
      <c r="I3912">
        <v>138.25540000000001</v>
      </c>
      <c r="J3912">
        <v>-360.85469999999998</v>
      </c>
      <c r="K3912">
        <v>1.1106780000000001</v>
      </c>
      <c r="L3912">
        <v>140.94999999999999</v>
      </c>
      <c r="M3912">
        <v>-0.99989439999999996</v>
      </c>
      <c r="N3912">
        <v>0</v>
      </c>
      <c r="O3912">
        <v>3.7430779999999999E-3</v>
      </c>
      <c r="P3912">
        <v>-0.99382190000000004</v>
      </c>
      <c r="Q3912">
        <v>0.1075116</v>
      </c>
      <c r="R3912">
        <v>2.7558030000000001E-2</v>
      </c>
      <c r="S3912">
        <v>-3.0655519999999998</v>
      </c>
      <c r="T3912">
        <v>-0.25796649999999999</v>
      </c>
      <c r="U3912">
        <v>-0.62573239999999997</v>
      </c>
      <c r="V3912">
        <v>2.3722790000000001E-2</v>
      </c>
      <c r="W3912">
        <v>0.1214842</v>
      </c>
      <c r="X3912">
        <v>0.99230989999999997</v>
      </c>
      <c r="Y3912">
        <v>-0.20295849999999999</v>
      </c>
      <c r="Z3912">
        <v>-8.7491800000000005E-3</v>
      </c>
      <c r="AA3912">
        <v>0.97914829999999997</v>
      </c>
      <c r="AB3912">
        <v>27</v>
      </c>
      <c r="AC3912">
        <v>-12.9627</v>
      </c>
      <c r="AD3912">
        <v>-1.1106808760110001</v>
      </c>
      <c r="AE3912">
        <v>-2.6945999999999799</v>
      </c>
      <c r="AF3912">
        <v>-2.7239367313335499</v>
      </c>
      <c r="AG3912">
        <v>-1.1106808760110001</v>
      </c>
      <c r="AH3912">
        <v>12.862006348815999</v>
      </c>
      <c r="AI3912">
        <v>94.828874808264203</v>
      </c>
      <c r="AJ3912">
        <v>101.957512565287</v>
      </c>
      <c r="AK3912">
        <v>13.194114242404799</v>
      </c>
      <c r="AL3912">
        <v>83.022232700702006</v>
      </c>
      <c r="AM3912">
        <v>88.630511606176896</v>
      </c>
      <c r="AN3912">
        <v>1.00000005962651</v>
      </c>
    </row>
    <row r="3913" spans="1:40" x14ac:dyDescent="0.25">
      <c r="A3913" t="str">
        <f>"20190312154635930"</f>
        <v>20190312154635930</v>
      </c>
      <c r="B3913" t="str">
        <f>"1552376795920997"</f>
        <v>1552376795920997</v>
      </c>
      <c r="C3913" t="s">
        <v>40</v>
      </c>
      <c r="D3913">
        <v>4.4921870000000004</v>
      </c>
      <c r="E3913">
        <v>0.41343449999999998</v>
      </c>
      <c r="F3913" t="s">
        <v>42</v>
      </c>
      <c r="G3913">
        <v>-374.39620000000002</v>
      </c>
      <c r="H3913" s="1">
        <v>-2.6422299999999999E-6</v>
      </c>
      <c r="I3913">
        <v>138.17349999999999</v>
      </c>
      <c r="J3913">
        <v>-361.11649999999997</v>
      </c>
      <c r="K3913">
        <v>1.1106849999999999</v>
      </c>
      <c r="L3913">
        <v>140.9504</v>
      </c>
      <c r="M3913">
        <v>-0.99989629999999996</v>
      </c>
      <c r="N3913">
        <v>0</v>
      </c>
      <c r="O3913">
        <v>3.1900259999999999E-3</v>
      </c>
      <c r="P3913">
        <v>-0.99391589999999996</v>
      </c>
      <c r="Q3913">
        <v>0.1067998</v>
      </c>
      <c r="R3913">
        <v>2.6929769999999999E-2</v>
      </c>
      <c r="S3913">
        <v>-3.0632320000000002</v>
      </c>
      <c r="T3913">
        <v>-0.25124859999999999</v>
      </c>
      <c r="U3913">
        <v>-0.62806700000000004</v>
      </c>
      <c r="V3913">
        <v>2.3640640000000001E-2</v>
      </c>
      <c r="W3913">
        <v>0.1207718</v>
      </c>
      <c r="X3913">
        <v>0.99239869999999997</v>
      </c>
      <c r="Y3913">
        <v>-0.2033143</v>
      </c>
      <c r="Z3913">
        <v>-8.4973289999999996E-3</v>
      </c>
      <c r="AA3913">
        <v>0.97907659999999996</v>
      </c>
      <c r="AB3913">
        <v>27</v>
      </c>
      <c r="AC3913">
        <v>-13.2797</v>
      </c>
      <c r="AD3913">
        <v>-1.1106876422299901</v>
      </c>
      <c r="AE3913">
        <v>-2.7769000000000101</v>
      </c>
      <c r="AF3913">
        <v>-2.8004830940821899</v>
      </c>
      <c r="AG3913">
        <v>-1.1106876422299901</v>
      </c>
      <c r="AH3913">
        <v>13.1824212677012</v>
      </c>
      <c r="AI3913">
        <v>94.711439204123707</v>
      </c>
      <c r="AJ3913">
        <v>101.99364964041099</v>
      </c>
      <c r="AK3913">
        <v>13.522298734977801</v>
      </c>
      <c r="AL3913">
        <v>83.063352176944406</v>
      </c>
      <c r="AM3913">
        <v>88.635374302760397</v>
      </c>
      <c r="AN3913">
        <v>0.99999994364826805</v>
      </c>
    </row>
    <row r="3914" spans="1:40" x14ac:dyDescent="0.25">
      <c r="A3914" t="str">
        <f>"20190312154635953"</f>
        <v>20190312154635953</v>
      </c>
      <c r="B3914" t="str">
        <f>"1552376795941493"</f>
        <v>1552376795941493</v>
      </c>
      <c r="C3914" t="s">
        <v>40</v>
      </c>
      <c r="D3914">
        <v>4.8577000000000004</v>
      </c>
      <c r="E3914">
        <v>0.41348600000000002</v>
      </c>
      <c r="F3914" t="s">
        <v>42</v>
      </c>
      <c r="G3914">
        <v>-375.31740000000002</v>
      </c>
      <c r="H3914" s="1">
        <v>-2.2700439999999998E-6</v>
      </c>
      <c r="I3914">
        <v>138.04399999999899</v>
      </c>
      <c r="J3914">
        <v>-361.39120000000003</v>
      </c>
      <c r="K3914">
        <v>1.1106959999999999</v>
      </c>
      <c r="L3914">
        <v>140.95060000000001</v>
      </c>
      <c r="M3914">
        <v>-0.99989810000000001</v>
      </c>
      <c r="N3914">
        <v>0</v>
      </c>
      <c r="O3914">
        <v>2.5952660000000002E-3</v>
      </c>
      <c r="P3914">
        <v>-0.994004</v>
      </c>
      <c r="Q3914">
        <v>0.106232199999999</v>
      </c>
      <c r="R3914">
        <v>2.5897529999999998E-2</v>
      </c>
      <c r="S3914">
        <v>-3.0610659999999998</v>
      </c>
      <c r="T3914">
        <v>-0.23941499999999999</v>
      </c>
      <c r="U3914">
        <v>-0.62648009999999998</v>
      </c>
      <c r="V3914">
        <v>2.3196620000000001E-2</v>
      </c>
      <c r="W3914">
        <v>0.1202024</v>
      </c>
      <c r="X3914">
        <v>0.99247839999999998</v>
      </c>
      <c r="Y3914">
        <v>-0.20244570000000001</v>
      </c>
      <c r="Z3914">
        <v>-8.0247819999999994E-3</v>
      </c>
      <c r="AA3914">
        <v>0.97926060000000004</v>
      </c>
      <c r="AB3914">
        <v>27</v>
      </c>
      <c r="AC3914">
        <v>-13.9261999999999</v>
      </c>
      <c r="AD3914">
        <v>-1.110698270044</v>
      </c>
      <c r="AE3914">
        <v>-2.9066000000000201</v>
      </c>
      <c r="AF3914">
        <v>-2.9249072150838198</v>
      </c>
      <c r="AG3914">
        <v>-1.110698270044</v>
      </c>
      <c r="AH3914">
        <v>13.834282187899801</v>
      </c>
      <c r="AI3914">
        <v>94.491334525791402</v>
      </c>
      <c r="AJ3914">
        <v>101.937931246571</v>
      </c>
      <c r="AK3914">
        <v>14.183655964467301</v>
      </c>
      <c r="AL3914">
        <v>83.096216460964001</v>
      </c>
      <c r="AM3914">
        <v>88.6611028570249</v>
      </c>
      <c r="AN3914">
        <v>1.0000000373058699</v>
      </c>
    </row>
    <row r="3915" spans="1:40" x14ac:dyDescent="0.25">
      <c r="A3915" t="str">
        <f>"20190312154635975"</f>
        <v>20190312154635975</v>
      </c>
      <c r="B3915" t="str">
        <f>"1552376795961013"</f>
        <v>1552376795961013</v>
      </c>
      <c r="C3915" t="s">
        <v>40</v>
      </c>
      <c r="D3915">
        <v>4.5660619999999996</v>
      </c>
      <c r="E3915">
        <v>0.41362369999999998</v>
      </c>
      <c r="F3915" t="s">
        <v>42</v>
      </c>
      <c r="G3915">
        <v>-376.17419999999998</v>
      </c>
      <c r="H3915" s="1">
        <v>-1.9255660000000002E-6</v>
      </c>
      <c r="I3915">
        <v>137.91370000000001</v>
      </c>
      <c r="J3915">
        <v>-361.66180000000003</v>
      </c>
      <c r="K3915">
        <v>1.1107020000000001</v>
      </c>
      <c r="L3915">
        <v>140.95070000000001</v>
      </c>
      <c r="M3915">
        <v>-0.99989939999999999</v>
      </c>
      <c r="N3915">
        <v>0</v>
      </c>
      <c r="O3915">
        <v>2.0009950000000002E-3</v>
      </c>
      <c r="P3915">
        <v>-0.99406609999999995</v>
      </c>
      <c r="Q3915">
        <v>0.1058767</v>
      </c>
      <c r="R3915">
        <v>2.495354E-2</v>
      </c>
      <c r="S3915">
        <v>-3.0589900000000001</v>
      </c>
      <c r="T3915">
        <v>-0.2298325</v>
      </c>
      <c r="U3915">
        <v>-0.62840269999999898</v>
      </c>
      <c r="V3915">
        <v>2.2841739999999999E-2</v>
      </c>
      <c r="W3915">
        <v>0.11984499999999999</v>
      </c>
      <c r="X3915">
        <v>0.99252980000000002</v>
      </c>
      <c r="Y3915">
        <v>-0.20263239999999999</v>
      </c>
      <c r="Z3915">
        <v>-7.67190699999999E-3</v>
      </c>
      <c r="AA3915">
        <v>0.97922480000000001</v>
      </c>
      <c r="AB3915">
        <v>27</v>
      </c>
      <c r="AC3915">
        <v>-14.5123999999999</v>
      </c>
      <c r="AD3915">
        <v>-1.1107039255660001</v>
      </c>
      <c r="AE3915">
        <v>-3.0369999999999999</v>
      </c>
      <c r="AF3915">
        <v>-3.0489260078994498</v>
      </c>
      <c r="AG3915">
        <v>-1.1107039255660001</v>
      </c>
      <c r="AH3915">
        <v>14.425340948896901</v>
      </c>
      <c r="AI3915">
        <v>94.3080944751663</v>
      </c>
      <c r="AJ3915">
        <v>101.934336263806</v>
      </c>
      <c r="AK3915">
        <v>14.785806521926199</v>
      </c>
      <c r="AL3915">
        <v>83.116842729789894</v>
      </c>
      <c r="AM3915">
        <v>88.681647317451805</v>
      </c>
      <c r="AN3915">
        <v>0.99999998649963295</v>
      </c>
    </row>
    <row r="3916" spans="1:40" x14ac:dyDescent="0.25">
      <c r="A3916" t="str">
        <f>"20190312154635998"</f>
        <v>20190312154635998</v>
      </c>
      <c r="B3916" t="str">
        <f>"1552376795991269"</f>
        <v>1552376795991269</v>
      </c>
      <c r="C3916" t="s">
        <v>40</v>
      </c>
      <c r="D3916">
        <v>4.5751039999999996</v>
      </c>
      <c r="E3916">
        <v>0.41385939999999999</v>
      </c>
      <c r="F3916" t="s">
        <v>42</v>
      </c>
      <c r="G3916">
        <v>-376.81020000000001</v>
      </c>
      <c r="H3916" s="1">
        <v>-1.667625E-6</v>
      </c>
      <c r="I3916">
        <v>137.8296</v>
      </c>
      <c r="J3916">
        <v>-361.93520000000001</v>
      </c>
      <c r="K3916">
        <v>1.110698</v>
      </c>
      <c r="L3916">
        <v>140.95050000000001</v>
      </c>
      <c r="M3916">
        <v>-0.99990049999999997</v>
      </c>
      <c r="N3916">
        <v>0</v>
      </c>
      <c r="O3916">
        <v>1.396942E-3</v>
      </c>
      <c r="P3916">
        <v>-0.99417129999999998</v>
      </c>
      <c r="Q3916">
        <v>0.1050933</v>
      </c>
      <c r="R3916">
        <v>2.4058449999999999E-2</v>
      </c>
      <c r="S3916">
        <v>-3.057617</v>
      </c>
      <c r="T3916">
        <v>-0.22418840000000001</v>
      </c>
      <c r="U3916">
        <v>-0.62995909999999999</v>
      </c>
      <c r="V3916">
        <v>2.2546739999999999E-2</v>
      </c>
      <c r="W3916">
        <v>0.11906</v>
      </c>
      <c r="X3916">
        <v>0.99263100000000004</v>
      </c>
      <c r="Y3916">
        <v>-0.2026338</v>
      </c>
      <c r="Z3916">
        <v>-7.4431740000000003E-3</v>
      </c>
      <c r="AA3916">
        <v>0.97922629999999999</v>
      </c>
      <c r="AB3916">
        <v>27</v>
      </c>
      <c r="AC3916">
        <v>-14.875</v>
      </c>
      <c r="AD3916">
        <v>-1.1106996676250001</v>
      </c>
      <c r="AE3916">
        <v>-3.1208999999999998</v>
      </c>
      <c r="AF3916">
        <v>-3.1249899364871299</v>
      </c>
      <c r="AG3916">
        <v>-1.1106996676250001</v>
      </c>
      <c r="AH3916">
        <v>14.791632664356801</v>
      </c>
      <c r="AI3916">
        <v>94.201859682749401</v>
      </c>
      <c r="AJ3916">
        <v>101.92931149840599</v>
      </c>
      <c r="AK3916">
        <v>15.158879006446201</v>
      </c>
      <c r="AL3916">
        <v>83.162144172346601</v>
      </c>
      <c r="AM3916">
        <v>88.698800514146697</v>
      </c>
      <c r="AN3916">
        <v>0.99999997062281298</v>
      </c>
    </row>
    <row r="3917" spans="1:40" x14ac:dyDescent="0.25">
      <c r="A3917" t="str">
        <f>"20190312154636019"</f>
        <v>20190312154636019</v>
      </c>
      <c r="B3917" t="str">
        <f>"1552376796011765"</f>
        <v>1552376796011765</v>
      </c>
      <c r="C3917" t="s">
        <v>40</v>
      </c>
      <c r="D3917">
        <v>4.596673</v>
      </c>
      <c r="E3917">
        <v>0.41391860000000003</v>
      </c>
      <c r="F3917" t="s">
        <v>42</v>
      </c>
      <c r="G3917">
        <v>-377.4391</v>
      </c>
      <c r="H3917" s="1">
        <v>-1.4118709999999901E-6</v>
      </c>
      <c r="I3917">
        <v>137.75040000000001</v>
      </c>
      <c r="J3917">
        <v>-362.19619999999998</v>
      </c>
      <c r="K3917">
        <v>1.1107020000000001</v>
      </c>
      <c r="L3917">
        <v>140.9503</v>
      </c>
      <c r="M3917">
        <v>-0.99990129999999999</v>
      </c>
      <c r="N3917">
        <v>0</v>
      </c>
      <c r="O3917">
        <v>8.1849660000000003E-4</v>
      </c>
      <c r="P3917">
        <v>-0.99428280000000002</v>
      </c>
      <c r="Q3917">
        <v>0.1042551</v>
      </c>
      <c r="R3917">
        <v>2.3080679999999999E-2</v>
      </c>
      <c r="S3917">
        <v>-3.056</v>
      </c>
      <c r="T3917">
        <v>-0.21893119999999999</v>
      </c>
      <c r="U3917">
        <v>-0.63076779999999999</v>
      </c>
      <c r="V3917">
        <v>2.2144500000000001E-2</v>
      </c>
      <c r="W3917">
        <v>0.11822009999999999</v>
      </c>
      <c r="X3917">
        <v>0.99274050000000003</v>
      </c>
      <c r="Y3917">
        <v>-0.20244409999999999</v>
      </c>
      <c r="Z3917">
        <v>-7.2249559999999899E-3</v>
      </c>
      <c r="AA3917">
        <v>0.9792672</v>
      </c>
      <c r="AB3917">
        <v>27</v>
      </c>
      <c r="AC3917">
        <v>-15.242900000000001</v>
      </c>
      <c r="AD3917">
        <v>-1.110703411871</v>
      </c>
      <c r="AE3917">
        <v>-3.19989999999998</v>
      </c>
      <c r="AF3917">
        <v>-3.1961226117238501</v>
      </c>
      <c r="AG3917">
        <v>-1.110703411871</v>
      </c>
      <c r="AH3917">
        <v>15.1631636209543</v>
      </c>
      <c r="AI3917">
        <v>94.099674597392394</v>
      </c>
      <c r="AJ3917">
        <v>101.902687585979</v>
      </c>
      <c r="AK3917">
        <v>15.5360996654291</v>
      </c>
      <c r="AL3917">
        <v>83.210609636456695</v>
      </c>
      <c r="AM3917">
        <v>88.7221474165719</v>
      </c>
      <c r="AN3917">
        <v>1.00000003563225</v>
      </c>
    </row>
    <row r="3918" spans="1:40" x14ac:dyDescent="0.25">
      <c r="A3918" t="str">
        <f>"20190312154636042"</f>
        <v>20190312154636042</v>
      </c>
      <c r="B3918" t="str">
        <f>"1552376796031286"</f>
        <v>1552376796031286</v>
      </c>
      <c r="C3918" t="s">
        <v>40</v>
      </c>
      <c r="D3918">
        <v>4.5805860000000003</v>
      </c>
      <c r="E3918">
        <v>0.4139852</v>
      </c>
      <c r="F3918" t="s">
        <v>42</v>
      </c>
      <c r="G3918">
        <v>-377.6925</v>
      </c>
      <c r="H3918" s="1">
        <v>-1.305352E-6</v>
      </c>
      <c r="I3918">
        <v>137.73820000000001</v>
      </c>
      <c r="J3918">
        <v>-362.46929999999998</v>
      </c>
      <c r="K3918">
        <v>1.1107039999999999</v>
      </c>
      <c r="L3918">
        <v>140.94980000000001</v>
      </c>
      <c r="M3918">
        <v>-0.9999017</v>
      </c>
      <c r="N3918">
        <v>0</v>
      </c>
      <c r="O3918">
        <v>2.124827E-4</v>
      </c>
      <c r="P3918">
        <v>-0.9942898</v>
      </c>
      <c r="Q3918">
        <v>0.104298</v>
      </c>
      <c r="R3918">
        <v>2.2584859999999998E-2</v>
      </c>
      <c r="S3918">
        <v>-3.0549010000000001</v>
      </c>
      <c r="T3918">
        <v>-0.21896099999999999</v>
      </c>
      <c r="U3918">
        <v>-0.63320919999999903</v>
      </c>
      <c r="V3918">
        <v>2.2251110000000001E-2</v>
      </c>
      <c r="W3918">
        <v>0.1182603</v>
      </c>
      <c r="X3918">
        <v>0.99273330000000004</v>
      </c>
      <c r="Y3918">
        <v>-0.2026714</v>
      </c>
      <c r="Z3918">
        <v>-7.193016E-3</v>
      </c>
      <c r="AA3918">
        <v>0.97922039999999999</v>
      </c>
      <c r="AB3918">
        <v>27</v>
      </c>
      <c r="AC3918">
        <v>-15.2232</v>
      </c>
      <c r="AD3918">
        <v>-1.110705305352</v>
      </c>
      <c r="AE3918">
        <v>-3.2115999999999998</v>
      </c>
      <c r="AF3918">
        <v>-3.1985335001410098</v>
      </c>
      <c r="AG3918">
        <v>-1.110705305352</v>
      </c>
      <c r="AH3918">
        <v>15.1453286056612</v>
      </c>
      <c r="AI3918">
        <v>94.104156224503498</v>
      </c>
      <c r="AJ3918">
        <v>101.92503502428001</v>
      </c>
      <c r="AK3918">
        <v>15.519190101301</v>
      </c>
      <c r="AL3918">
        <v>83.208289883863401</v>
      </c>
      <c r="AM3918">
        <v>88.715988211459205</v>
      </c>
      <c r="AN3918">
        <v>1.0000000076905999</v>
      </c>
    </row>
    <row r="3919" spans="1:40" x14ac:dyDescent="0.25">
      <c r="A3919" t="str">
        <f>"20190312154636067"</f>
        <v>20190312154636067</v>
      </c>
      <c r="B3919" t="str">
        <f>"1552376796061540"</f>
        <v>1552376796061540</v>
      </c>
      <c r="C3919" t="s">
        <v>40</v>
      </c>
      <c r="D3919">
        <v>4.603453</v>
      </c>
      <c r="E3919">
        <v>0.41378860000000001</v>
      </c>
      <c r="F3919" t="s">
        <v>42</v>
      </c>
      <c r="G3919">
        <v>-378.18549999999999</v>
      </c>
      <c r="H3919" s="1">
        <v>-1.1171850000000001E-6</v>
      </c>
      <c r="I3919">
        <v>137.6857</v>
      </c>
      <c r="J3919">
        <v>-362.7681</v>
      </c>
      <c r="K3919">
        <v>1.110717</v>
      </c>
      <c r="L3919">
        <v>140.94909999999999</v>
      </c>
      <c r="M3919">
        <v>-0.9999017</v>
      </c>
      <c r="N3919">
        <v>0</v>
      </c>
      <c r="O3919">
        <v>-4.515187E-4</v>
      </c>
      <c r="P3919">
        <v>-0.99425200000000002</v>
      </c>
      <c r="Q3919">
        <v>0.1047255</v>
      </c>
      <c r="R3919">
        <v>2.2271920000000001E-2</v>
      </c>
      <c r="S3919">
        <v>-3.0543209999999998</v>
      </c>
      <c r="T3919">
        <v>-0.21585699999999999</v>
      </c>
      <c r="U3919">
        <v>-0.63433839999999997</v>
      </c>
      <c r="V3919">
        <v>2.2598010000000002E-2</v>
      </c>
      <c r="W3919">
        <v>0.1186841</v>
      </c>
      <c r="X3919">
        <v>0.99267490000000003</v>
      </c>
      <c r="Y3919">
        <v>-0.2024212</v>
      </c>
      <c r="Z3919">
        <v>-7.0372339999999999E-3</v>
      </c>
      <c r="AA3919">
        <v>0.97927330000000001</v>
      </c>
      <c r="AB3919">
        <v>27</v>
      </c>
      <c r="AC3919">
        <v>-15.417399999999899</v>
      </c>
      <c r="AD3919">
        <v>-1.110718117185</v>
      </c>
      <c r="AE3919">
        <v>-3.2633999999999901</v>
      </c>
      <c r="AF3919">
        <v>-3.2403408766072301</v>
      </c>
      <c r="AG3919">
        <v>-1.110718117185</v>
      </c>
      <c r="AH3919">
        <v>15.3426551971056</v>
      </c>
      <c r="AI3919">
        <v>94.051587780162805</v>
      </c>
      <c r="AJ3919">
        <v>101.92551436779701</v>
      </c>
      <c r="AK3919">
        <v>15.7203871526666</v>
      </c>
      <c r="AL3919">
        <v>83.183835804479401</v>
      </c>
      <c r="AM3919">
        <v>88.695900336566098</v>
      </c>
      <c r="AN3919">
        <v>1.00000002136938</v>
      </c>
    </row>
    <row r="3920" spans="1:40" x14ac:dyDescent="0.25">
      <c r="A3920" t="str">
        <f>"20190312154636091"</f>
        <v>20190312154636091</v>
      </c>
      <c r="B3920" t="str">
        <f>"1552376796081061"</f>
        <v>1552376796081061</v>
      </c>
      <c r="C3920" t="s">
        <v>40</v>
      </c>
      <c r="D3920">
        <v>4.6226059999999896</v>
      </c>
      <c r="E3920">
        <v>0.41328160000000003</v>
      </c>
      <c r="F3920" t="s">
        <v>42</v>
      </c>
      <c r="G3920">
        <v>-378.7792</v>
      </c>
      <c r="H3920" s="1">
        <v>-9.3586080000000001E-7</v>
      </c>
      <c r="I3920">
        <v>137.6079</v>
      </c>
      <c r="J3920">
        <v>-363.05579999999998</v>
      </c>
      <c r="K3920">
        <v>1.110717</v>
      </c>
      <c r="L3920">
        <v>140.94829999999999</v>
      </c>
      <c r="M3920">
        <v>-0.99990120000000005</v>
      </c>
      <c r="N3920">
        <v>0</v>
      </c>
      <c r="O3920">
        <v>-1.0926919999999999E-3</v>
      </c>
      <c r="P3920">
        <v>-0.99422379999999999</v>
      </c>
      <c r="Q3920">
        <v>0.1050587</v>
      </c>
      <c r="R3920">
        <v>2.1963150000000001E-2</v>
      </c>
      <c r="S3920">
        <v>-3.0538940000000001</v>
      </c>
      <c r="T3920">
        <v>-0.21185390000000001</v>
      </c>
      <c r="U3920">
        <v>-0.6372681</v>
      </c>
      <c r="V3920">
        <v>2.2926370000000001E-2</v>
      </c>
      <c r="W3920">
        <v>0.1190141</v>
      </c>
      <c r="X3920">
        <v>0.99262790000000001</v>
      </c>
      <c r="Y3920">
        <v>-0.20273949999999999</v>
      </c>
      <c r="Z3920">
        <v>-6.8742650000000001E-3</v>
      </c>
      <c r="AA3920">
        <v>0.97920859999999998</v>
      </c>
      <c r="AB3920">
        <v>27</v>
      </c>
      <c r="AC3920">
        <v>-15.7234</v>
      </c>
      <c r="AD3920">
        <v>-1.1107179358607999</v>
      </c>
      <c r="AE3920">
        <v>-3.3403999999999798</v>
      </c>
      <c r="AF3920">
        <v>-3.30742365368382</v>
      </c>
      <c r="AG3920">
        <v>-1.1107179358607999</v>
      </c>
      <c r="AH3920">
        <v>15.6523065206983</v>
      </c>
      <c r="AI3920">
        <v>93.971607028658298</v>
      </c>
      <c r="AJ3920">
        <v>101.93141879519401</v>
      </c>
      <c r="AK3920">
        <v>16.036441156811701</v>
      </c>
      <c r="AL3920">
        <v>83.164793503241796</v>
      </c>
      <c r="AM3920">
        <v>88.676895203116402</v>
      </c>
      <c r="AN3920">
        <v>1.0000000611492901</v>
      </c>
    </row>
    <row r="3921" spans="1:40" x14ac:dyDescent="0.25">
      <c r="A3921" t="str">
        <f>"20190312154636113"</f>
        <v>20190312154636113</v>
      </c>
      <c r="B3921" t="str">
        <f>"1552376796101558"</f>
        <v>1552376796101558</v>
      </c>
      <c r="C3921" t="s">
        <v>40</v>
      </c>
      <c r="D3921">
        <v>4.6277589999999904</v>
      </c>
      <c r="E3921">
        <v>0.38659349999999998</v>
      </c>
      <c r="F3921" t="s">
        <v>42</v>
      </c>
      <c r="G3921">
        <v>-379.16579999999999</v>
      </c>
      <c r="H3921" s="1">
        <v>-8.1769600000000002E-7</v>
      </c>
      <c r="I3921">
        <v>137.5575</v>
      </c>
      <c r="J3921">
        <v>-363.31869999999998</v>
      </c>
      <c r="K3921">
        <v>1.1107149999999999</v>
      </c>
      <c r="L3921">
        <v>140.94730000000001</v>
      </c>
      <c r="M3921">
        <v>-0.99990040000000002</v>
      </c>
      <c r="N3921">
        <v>0</v>
      </c>
      <c r="O3921">
        <v>-1.681185E-3</v>
      </c>
      <c r="P3921">
        <v>-0.99422140000000003</v>
      </c>
      <c r="Q3921">
        <v>0.1049928</v>
      </c>
      <c r="R3921">
        <v>2.23667E-2</v>
      </c>
      <c r="S3921">
        <v>-3.0538940000000001</v>
      </c>
      <c r="T3921">
        <v>-0.21055280000000001</v>
      </c>
      <c r="U3921">
        <v>-0.64274600000000004</v>
      </c>
      <c r="V3921">
        <v>2.3914959999999999E-2</v>
      </c>
      <c r="W3921">
        <v>0.11894589999999899</v>
      </c>
      <c r="X3921">
        <v>0.99261270000000001</v>
      </c>
      <c r="Y3921">
        <v>-0.20385039999999999</v>
      </c>
      <c r="Z3921">
        <v>-6.8286519999999898E-3</v>
      </c>
      <c r="AA3921">
        <v>0.97897820000000002</v>
      </c>
      <c r="AB3921">
        <v>27</v>
      </c>
      <c r="AC3921">
        <v>-15.847099999999999</v>
      </c>
      <c r="AD3921">
        <v>-1.1107158176959999</v>
      </c>
      <c r="AE3921">
        <v>-3.3898000000000001</v>
      </c>
      <c r="AF3921">
        <v>-3.34742582190907</v>
      </c>
      <c r="AG3921">
        <v>-1.1107158176959999</v>
      </c>
      <c r="AH3921">
        <v>15.778655248051299</v>
      </c>
      <c r="AI3921">
        <v>93.939226171555703</v>
      </c>
      <c r="AJ3921">
        <v>101.97765562662801</v>
      </c>
      <c r="AK3921">
        <v>16.168021236308402</v>
      </c>
      <c r="AL3921">
        <v>83.168728695431099</v>
      </c>
      <c r="AM3921">
        <v>88.619843124600905</v>
      </c>
      <c r="AN3921">
        <v>1.0000000123199499</v>
      </c>
    </row>
    <row r="3922" spans="1:40" x14ac:dyDescent="0.25">
      <c r="A3922" t="str">
        <f>"20190312154636131"</f>
        <v>20190312154636131</v>
      </c>
      <c r="B3922" t="str">
        <f>"1552376796121078"</f>
        <v>1552376796121078</v>
      </c>
      <c r="C3922" t="s">
        <v>40</v>
      </c>
      <c r="D3922">
        <v>4.5803070000000004</v>
      </c>
      <c r="E3922">
        <v>0.38615529999999998</v>
      </c>
      <c r="F3922" t="s">
        <v>42</v>
      </c>
      <c r="G3922">
        <v>-377.77449999999999</v>
      </c>
      <c r="H3922" s="1">
        <v>-1.463782E-6</v>
      </c>
      <c r="I3922">
        <v>136.90880000000001</v>
      </c>
      <c r="J3922">
        <v>-363.54899999999998</v>
      </c>
      <c r="K3922">
        <v>1.1107119999999999</v>
      </c>
      <c r="L3922">
        <v>140.94640000000001</v>
      </c>
      <c r="M3922">
        <v>-0.99989939999999999</v>
      </c>
      <c r="N3922">
        <v>0</v>
      </c>
      <c r="O3922">
        <v>-2.2011560000000001E-3</v>
      </c>
      <c r="P3922">
        <v>-0.99423779999999995</v>
      </c>
      <c r="Q3922">
        <v>0.1048173</v>
      </c>
      <c r="R3922">
        <v>2.2471499999999998E-2</v>
      </c>
      <c r="S3922">
        <v>-3.0615230000000002</v>
      </c>
      <c r="T3922">
        <v>-0.23523279999999999</v>
      </c>
      <c r="U3922">
        <v>-0.85528559999999998</v>
      </c>
      <c r="V3922">
        <v>2.453673E-2</v>
      </c>
      <c r="W3922">
        <v>0.11876879999999999</v>
      </c>
      <c r="X3922">
        <v>0.99261869999999996</v>
      </c>
      <c r="Y3922">
        <v>-0.26622099999999999</v>
      </c>
      <c r="Z3922">
        <v>-9.8557680000000009E-3</v>
      </c>
      <c r="AA3922">
        <v>0.96386159999999999</v>
      </c>
      <c r="AB3922">
        <v>27</v>
      </c>
      <c r="AC3922">
        <v>-14.225499999999901</v>
      </c>
      <c r="AD3922">
        <v>-1.110713463782</v>
      </c>
      <c r="AE3922">
        <v>-4.0375999999999896</v>
      </c>
      <c r="AF3922">
        <v>-3.9837986465474802</v>
      </c>
      <c r="AG3922">
        <v>-1.110713463782</v>
      </c>
      <c r="AH3922">
        <v>14.1544963997002</v>
      </c>
      <c r="AI3922">
        <v>94.319687889119606</v>
      </c>
      <c r="AJ3922">
        <v>105.719315081598</v>
      </c>
      <c r="AK3922">
        <v>14.7463251145493</v>
      </c>
      <c r="AL3922">
        <v>83.178948007879498</v>
      </c>
      <c r="AM3922">
        <v>88.583983120591299</v>
      </c>
      <c r="AN3922">
        <v>0.99999998128111101</v>
      </c>
    </row>
    <row r="3923" spans="1:40" x14ac:dyDescent="0.25">
      <c r="A3923" t="str">
        <f>"20190312154636154"</f>
        <v>20190312154636154</v>
      </c>
      <c r="B3923" t="str">
        <f>"1552376796151333"</f>
        <v>1552376796151333</v>
      </c>
      <c r="C3923" t="s">
        <v>40</v>
      </c>
      <c r="D3923">
        <v>4.5591720000000002</v>
      </c>
      <c r="E3923">
        <v>0.38673560000000001</v>
      </c>
      <c r="F3923" t="s">
        <v>42</v>
      </c>
      <c r="G3923">
        <v>-377.61930000000001</v>
      </c>
      <c r="H3923" s="1">
        <v>-1.491728E-6</v>
      </c>
      <c r="I3923">
        <v>137.00219999999999</v>
      </c>
      <c r="J3923">
        <v>-363.81</v>
      </c>
      <c r="K3923">
        <v>1.110714</v>
      </c>
      <c r="L3923">
        <v>140.9451</v>
      </c>
      <c r="M3923">
        <v>-0.99989799999999995</v>
      </c>
      <c r="N3923">
        <v>0</v>
      </c>
      <c r="O3923">
        <v>-2.7973270000000001E-3</v>
      </c>
      <c r="P3923">
        <v>-0.99427560000000004</v>
      </c>
      <c r="Q3923">
        <v>0.10443280000000001</v>
      </c>
      <c r="R3923">
        <v>2.2586829999999999E-2</v>
      </c>
      <c r="S3923">
        <v>-3.0622859999999998</v>
      </c>
      <c r="T3923">
        <v>-0.24173829999999999</v>
      </c>
      <c r="U3923">
        <v>-0.85838320000000001</v>
      </c>
      <c r="V3923">
        <v>2.5244320000000001E-2</v>
      </c>
      <c r="W3923">
        <v>0.1183825</v>
      </c>
      <c r="X3923">
        <v>0.9926471</v>
      </c>
      <c r="Y3923">
        <v>-0.26644959999999901</v>
      </c>
      <c r="Z3923">
        <v>-1.008651E-2</v>
      </c>
      <c r="AA3923">
        <v>0.96379610000000004</v>
      </c>
      <c r="AB3923">
        <v>27</v>
      </c>
      <c r="AC3923">
        <v>-13.8093</v>
      </c>
      <c r="AD3923">
        <v>-1.110715491728</v>
      </c>
      <c r="AE3923">
        <v>-3.9428999999999998</v>
      </c>
      <c r="AF3923">
        <v>-3.8810363864072799</v>
      </c>
      <c r="AG3923">
        <v>-1.110715491728</v>
      </c>
      <c r="AH3923">
        <v>13.738099182187799</v>
      </c>
      <c r="AI3923">
        <v>94.448889917090099</v>
      </c>
      <c r="AJ3923">
        <v>105.775076208295</v>
      </c>
      <c r="AK3923">
        <v>14.318921100271799</v>
      </c>
      <c r="AL3923">
        <v>83.201238609392206</v>
      </c>
      <c r="AM3923">
        <v>88.543207052568604</v>
      </c>
      <c r="AN3923">
        <v>0.99999997856846001</v>
      </c>
    </row>
    <row r="3924" spans="1:40" x14ac:dyDescent="0.25">
      <c r="A3924" t="str">
        <f>"20190312154636176"</f>
        <v>20190312154636176</v>
      </c>
      <c r="B3924" t="str">
        <f>"1552376796171830"</f>
        <v>1552376796171830</v>
      </c>
      <c r="C3924" t="s">
        <v>40</v>
      </c>
      <c r="D3924">
        <v>4.488353</v>
      </c>
      <c r="E3924">
        <v>0.38694440000000002</v>
      </c>
      <c r="F3924" t="s">
        <v>42</v>
      </c>
      <c r="G3924">
        <v>-377.87819999999999</v>
      </c>
      <c r="H3924" s="1">
        <v>-1.3980800000000001E-6</v>
      </c>
      <c r="I3924">
        <v>137.0231</v>
      </c>
      <c r="J3924">
        <v>-364.07960000000003</v>
      </c>
      <c r="K3924">
        <v>1.1107180000000001</v>
      </c>
      <c r="L3924">
        <v>140.9436</v>
      </c>
      <c r="M3924">
        <v>-0.99989600000000001</v>
      </c>
      <c r="N3924">
        <v>0</v>
      </c>
      <c r="O3924">
        <v>-3.4228639999999999E-3</v>
      </c>
      <c r="P3924">
        <v>-0.99439540000000004</v>
      </c>
      <c r="Q3924">
        <v>0.1033171</v>
      </c>
      <c r="R3924">
        <v>2.244268E-2</v>
      </c>
      <c r="S3924">
        <v>-3.0620729999999998</v>
      </c>
      <c r="T3924">
        <v>-0.24175740000000001</v>
      </c>
      <c r="U3924">
        <v>-0.85363770000000005</v>
      </c>
      <c r="V3924">
        <v>2.572234E-2</v>
      </c>
      <c r="W3924">
        <v>0.11726640000000001</v>
      </c>
      <c r="X3924">
        <v>0.99276730000000002</v>
      </c>
      <c r="Y3924">
        <v>-0.26448519999999998</v>
      </c>
      <c r="Z3924">
        <v>-9.9656680000000004E-3</v>
      </c>
      <c r="AA3924">
        <v>0.96433820000000003</v>
      </c>
      <c r="AB3924">
        <v>27</v>
      </c>
      <c r="AC3924">
        <v>-13.798599999999899</v>
      </c>
      <c r="AD3924">
        <v>-1.1107193980800001</v>
      </c>
      <c r="AE3924">
        <v>-3.9205000000000001</v>
      </c>
      <c r="AF3924">
        <v>-3.8501581613051101</v>
      </c>
      <c r="AG3924">
        <v>-1.1107193980800001</v>
      </c>
      <c r="AH3924">
        <v>13.7296242810939</v>
      </c>
      <c r="AI3924">
        <v>94.454040265753505</v>
      </c>
      <c r="AJ3924">
        <v>105.664933750053</v>
      </c>
      <c r="AK3924">
        <v>14.3024472852844</v>
      </c>
      <c r="AL3924">
        <v>83.265634997958102</v>
      </c>
      <c r="AM3924">
        <v>88.515813460338606</v>
      </c>
      <c r="AN3924">
        <v>0.99999997964666199</v>
      </c>
    </row>
    <row r="3925" spans="1:40" x14ac:dyDescent="0.25">
      <c r="A3925" t="str">
        <f>"20190312154636199"</f>
        <v>20190312154636199</v>
      </c>
      <c r="B3925" t="str">
        <f>"1552376796191349"</f>
        <v>1552376796191349</v>
      </c>
      <c r="C3925" t="s">
        <v>40</v>
      </c>
      <c r="D3925">
        <v>4.4752340000000004</v>
      </c>
      <c r="E3925">
        <v>0.38710240000000001</v>
      </c>
      <c r="F3925" t="s">
        <v>42</v>
      </c>
      <c r="G3925">
        <v>-377.98649999999998</v>
      </c>
      <c r="H3925" s="1">
        <v>-1.3482930000000001E-6</v>
      </c>
      <c r="I3925">
        <v>137.07169999999999</v>
      </c>
      <c r="J3925">
        <v>-364.34710000000001</v>
      </c>
      <c r="K3925">
        <v>1.110727</v>
      </c>
      <c r="L3925">
        <v>140.94200000000001</v>
      </c>
      <c r="M3925">
        <v>-0.99989380000000005</v>
      </c>
      <c r="N3925">
        <v>0</v>
      </c>
      <c r="O3925">
        <v>-4.0566689999999997E-3</v>
      </c>
      <c r="P3925">
        <v>-0.99454920000000002</v>
      </c>
      <c r="Q3925">
        <v>0.1018539</v>
      </c>
      <c r="R3925">
        <v>2.2310150000000001E-2</v>
      </c>
      <c r="S3925">
        <v>-3.0615839999999999</v>
      </c>
      <c r="T3925">
        <v>-0.24452399999999999</v>
      </c>
      <c r="U3925">
        <v>-0.85238649999999905</v>
      </c>
      <c r="V3925">
        <v>2.621996E-2</v>
      </c>
      <c r="W3925">
        <v>0.115804</v>
      </c>
      <c r="X3925">
        <v>0.99292590000000003</v>
      </c>
      <c r="Y3925">
        <v>-0.26353510000000002</v>
      </c>
      <c r="Z3925">
        <v>-9.9946870000000004E-3</v>
      </c>
      <c r="AA3925">
        <v>0.96459799999999996</v>
      </c>
      <c r="AB3925">
        <v>27</v>
      </c>
      <c r="AC3925">
        <v>-13.639399999999901</v>
      </c>
      <c r="AD3925">
        <v>-1.1107283482929999</v>
      </c>
      <c r="AE3925">
        <v>-3.8703000000000101</v>
      </c>
      <c r="AF3925">
        <v>-3.7916608105320901</v>
      </c>
      <c r="AG3925">
        <v>-1.1107283482929999</v>
      </c>
      <c r="AH3925">
        <v>13.571693307456901</v>
      </c>
      <c r="AI3925">
        <v>94.506914558358005</v>
      </c>
      <c r="AJ3925">
        <v>105.609304776363</v>
      </c>
      <c r="AK3925">
        <v>14.135107654259199</v>
      </c>
      <c r="AL3925">
        <v>83.349998952838703</v>
      </c>
      <c r="AM3925">
        <v>88.487355399391802</v>
      </c>
      <c r="AN3925">
        <v>0.99999994780460399</v>
      </c>
    </row>
    <row r="3926" spans="1:40" x14ac:dyDescent="0.25">
      <c r="A3926" t="str">
        <f>"20190312154636221"</f>
        <v>20190312154636221</v>
      </c>
      <c r="B3926" t="str">
        <f>"1552376796211845"</f>
        <v>1552376796211845</v>
      </c>
      <c r="C3926" t="s">
        <v>40</v>
      </c>
      <c r="D3926">
        <v>4.4582579999999998</v>
      </c>
      <c r="E3926">
        <v>0.38727010000000001</v>
      </c>
      <c r="F3926" t="s">
        <v>42</v>
      </c>
      <c r="G3926">
        <v>-378.22770000000003</v>
      </c>
      <c r="H3926" s="1">
        <v>-1.264374E-6</v>
      </c>
      <c r="I3926">
        <v>137.0787</v>
      </c>
      <c r="J3926">
        <v>-364.61149999999998</v>
      </c>
      <c r="K3926">
        <v>1.1107320000000001</v>
      </c>
      <c r="L3926">
        <v>140.9402</v>
      </c>
      <c r="M3926">
        <v>-0.99989099999999997</v>
      </c>
      <c r="N3926">
        <v>0</v>
      </c>
      <c r="O3926">
        <v>-4.6992149999999996E-3</v>
      </c>
      <c r="P3926">
        <v>-0.99472340000000004</v>
      </c>
      <c r="Q3926">
        <v>0.1002565</v>
      </c>
      <c r="R3926">
        <v>2.177921E-2</v>
      </c>
      <c r="S3926">
        <v>-3.0606080000000002</v>
      </c>
      <c r="T3926">
        <v>-0.24491170000000001</v>
      </c>
      <c r="U3926">
        <v>-0.85183719999999996</v>
      </c>
      <c r="V3926">
        <v>2.632791E-2</v>
      </c>
      <c r="W3926">
        <v>0.1142068</v>
      </c>
      <c r="X3926">
        <v>0.99310810000000005</v>
      </c>
      <c r="Y3926">
        <v>-0.26283509999999999</v>
      </c>
      <c r="Z3926">
        <v>-9.935971E-3</v>
      </c>
      <c r="AA3926">
        <v>0.96478960000000002</v>
      </c>
      <c r="AB3926">
        <v>27</v>
      </c>
      <c r="AC3926">
        <v>-13.616199999999999</v>
      </c>
      <c r="AD3926">
        <v>-1.110733264374</v>
      </c>
      <c r="AE3926">
        <v>-3.8614999999999999</v>
      </c>
      <c r="AF3926">
        <v>-3.7742200962067001</v>
      </c>
      <c r="AG3926">
        <v>-1.110733264374</v>
      </c>
      <c r="AH3926">
        <v>13.5507380069288</v>
      </c>
      <c r="AI3926">
        <v>94.514870176329794</v>
      </c>
      <c r="AJ3926">
        <v>105.563852312845</v>
      </c>
      <c r="AK3926">
        <v>14.110314179763</v>
      </c>
      <c r="AL3926">
        <v>83.442123552044606</v>
      </c>
      <c r="AM3926">
        <v>88.481409140937899</v>
      </c>
      <c r="AN3926">
        <v>1.0000000251484</v>
      </c>
    </row>
    <row r="3927" spans="1:40" x14ac:dyDescent="0.25">
      <c r="A3927" t="str">
        <f>"20190312154636244"</f>
        <v>20190312154636244</v>
      </c>
      <c r="B3927" t="str">
        <f>"1552376796231366"</f>
        <v>1552376796231366</v>
      </c>
      <c r="C3927" t="s">
        <v>40</v>
      </c>
      <c r="D3927">
        <v>4.4278909999999998</v>
      </c>
      <c r="E3927">
        <v>0.38728319999999999</v>
      </c>
      <c r="F3927" t="s">
        <v>42</v>
      </c>
      <c r="G3927">
        <v>-378.34559999999999</v>
      </c>
      <c r="H3927" s="1">
        <v>-1.214878E-6</v>
      </c>
      <c r="I3927">
        <v>137.1138</v>
      </c>
      <c r="J3927">
        <v>-364.88240000000002</v>
      </c>
      <c r="K3927">
        <v>1.110741</v>
      </c>
      <c r="L3927">
        <v>140.93819999999999</v>
      </c>
      <c r="M3927">
        <v>-0.99988750000000004</v>
      </c>
      <c r="N3927">
        <v>0</v>
      </c>
      <c r="O3927">
        <v>-5.3767379999999998E-3</v>
      </c>
      <c r="P3927">
        <v>-0.99493529999999997</v>
      </c>
      <c r="Q3927">
        <v>9.8193929999999999E-2</v>
      </c>
      <c r="R3927">
        <v>2.1490209999999999E-2</v>
      </c>
      <c r="S3927">
        <v>-3.0595089999999998</v>
      </c>
      <c r="T3927">
        <v>-0.24743499999999999</v>
      </c>
      <c r="U3927">
        <v>-0.85238649999999905</v>
      </c>
      <c r="V3927">
        <v>2.6712909999999999E-2</v>
      </c>
      <c r="W3927">
        <v>0.1121458</v>
      </c>
      <c r="X3927">
        <v>0.99333260000000001</v>
      </c>
      <c r="Y3927">
        <v>-0.26241880000000001</v>
      </c>
      <c r="Z3927">
        <v>-9.9710839999999999E-3</v>
      </c>
      <c r="AA3927">
        <v>0.96490260000000005</v>
      </c>
      <c r="AB3927">
        <v>27</v>
      </c>
      <c r="AC3927">
        <v>-13.463199999999899</v>
      </c>
      <c r="AD3927">
        <v>-1.110742214878</v>
      </c>
      <c r="AE3927">
        <v>-3.82439999999999</v>
      </c>
      <c r="AF3927">
        <v>-3.7284662574228098</v>
      </c>
      <c r="AG3927">
        <v>-1.110742214878</v>
      </c>
      <c r="AH3927">
        <v>13.3991772133955</v>
      </c>
      <c r="AI3927">
        <v>94.566071084053902</v>
      </c>
      <c r="AJ3927">
        <v>105.549802401872</v>
      </c>
      <c r="AK3927">
        <v>13.952532347091299</v>
      </c>
      <c r="AL3927">
        <v>83.560973354831305</v>
      </c>
      <c r="AM3927">
        <v>88.459561072842504</v>
      </c>
      <c r="AN3927">
        <v>0.99999995712053302</v>
      </c>
    </row>
    <row r="3928" spans="1:40" x14ac:dyDescent="0.25">
      <c r="A3928" t="str">
        <f>"20190312154636269"</f>
        <v>20190312154636269</v>
      </c>
      <c r="B3928" t="str">
        <f>"1552376796261622"</f>
        <v>1552376796261622</v>
      </c>
      <c r="C3928" t="s">
        <v>40</v>
      </c>
      <c r="D3928">
        <v>4.3730129999999896</v>
      </c>
      <c r="E3928">
        <v>0.38734299999999999</v>
      </c>
      <c r="F3928" t="s">
        <v>42</v>
      </c>
      <c r="G3928">
        <v>-378.44</v>
      </c>
      <c r="H3928" s="1">
        <v>-1.1721589999999999E-6</v>
      </c>
      <c r="I3928">
        <v>137.15369999999999</v>
      </c>
      <c r="J3928">
        <v>-365.1825</v>
      </c>
      <c r="K3928">
        <v>1.1107450000000001</v>
      </c>
      <c r="L3928">
        <v>140.9357</v>
      </c>
      <c r="M3928">
        <v>-0.99988319999999997</v>
      </c>
      <c r="N3928">
        <v>0</v>
      </c>
      <c r="O3928">
        <v>-6.1568369999999897E-3</v>
      </c>
      <c r="P3928">
        <v>-0.99503620000000004</v>
      </c>
      <c r="Q3928">
        <v>9.7312899999999994E-2</v>
      </c>
      <c r="R3928">
        <v>2.0821929999999999E-2</v>
      </c>
      <c r="S3928">
        <v>-3.0584410000000002</v>
      </c>
      <c r="T3928">
        <v>-0.25057160000000001</v>
      </c>
      <c r="U3928">
        <v>-0.85372919999999997</v>
      </c>
      <c r="V3928">
        <v>2.6818160000000001E-2</v>
      </c>
      <c r="W3928">
        <v>0.111264</v>
      </c>
      <c r="X3928">
        <v>0.99342889999999995</v>
      </c>
      <c r="Y3928">
        <v>-0.26212940000000001</v>
      </c>
      <c r="Z3928">
        <v>-1.002568E-2</v>
      </c>
      <c r="AA3928">
        <v>0.96498070000000002</v>
      </c>
      <c r="AB3928">
        <v>27</v>
      </c>
      <c r="AC3928">
        <v>-13.257499999999901</v>
      </c>
      <c r="AD3928">
        <v>-1.110746172159</v>
      </c>
      <c r="AE3928">
        <v>-3.782</v>
      </c>
      <c r="AF3928">
        <v>-3.6764314390197201</v>
      </c>
      <c r="AG3928">
        <v>-1.110746172159</v>
      </c>
      <c r="AH3928">
        <v>13.1948849024434</v>
      </c>
      <c r="AI3928">
        <v>94.636041725734202</v>
      </c>
      <c r="AJ3928">
        <v>105.569192890004</v>
      </c>
      <c r="AK3928">
        <v>13.742448572707399</v>
      </c>
      <c r="AL3928">
        <v>83.611814833845699</v>
      </c>
      <c r="AM3928">
        <v>88.453644460499106</v>
      </c>
      <c r="AN3928">
        <v>0.99999993537849496</v>
      </c>
    </row>
    <row r="3929" spans="1:40" x14ac:dyDescent="0.25">
      <c r="A3929" t="str">
        <f>"20190312154636291"</f>
        <v>20190312154636291</v>
      </c>
      <c r="B3929" t="str">
        <f>"1552376796281141"</f>
        <v>1552376796281141</v>
      </c>
      <c r="C3929" t="s">
        <v>40</v>
      </c>
      <c r="D3929">
        <v>4.3610239999999996</v>
      </c>
      <c r="E3929">
        <v>0.38714140000000002</v>
      </c>
      <c r="F3929" t="s">
        <v>42</v>
      </c>
      <c r="G3929">
        <v>-378.90010000000001</v>
      </c>
      <c r="H3929" s="1">
        <v>-1.030779E-6</v>
      </c>
      <c r="I3929">
        <v>137.09649999999999</v>
      </c>
      <c r="J3929">
        <v>-365.44880000000001</v>
      </c>
      <c r="K3929">
        <v>1.110754</v>
      </c>
      <c r="L3929">
        <v>140.9332</v>
      </c>
      <c r="M3929">
        <v>-0.9998785</v>
      </c>
      <c r="N3929">
        <v>0</v>
      </c>
      <c r="O3929">
        <v>-6.8682319999999897E-3</v>
      </c>
      <c r="P3929">
        <v>-0.99500630000000001</v>
      </c>
      <c r="Q3929">
        <v>9.7697889999999996E-2</v>
      </c>
      <c r="R3929">
        <v>2.0438669999999999E-2</v>
      </c>
      <c r="S3929">
        <v>-3.0570680000000001</v>
      </c>
      <c r="T3929">
        <v>-0.24753749999999999</v>
      </c>
      <c r="U3929">
        <v>-0.85556030000000005</v>
      </c>
      <c r="V3929">
        <v>2.713844E-2</v>
      </c>
      <c r="W3929">
        <v>0.11164689999999999</v>
      </c>
      <c r="X3929">
        <v>0.99337730000000002</v>
      </c>
      <c r="Y3929">
        <v>-0.26211210000000001</v>
      </c>
      <c r="Z3929">
        <v>-9.8510590000000006E-3</v>
      </c>
      <c r="AA3929">
        <v>0.96498720000000004</v>
      </c>
      <c r="AB3929">
        <v>27</v>
      </c>
      <c r="AC3929">
        <v>-13.4513</v>
      </c>
      <c r="AD3929">
        <v>-1.110755030779</v>
      </c>
      <c r="AE3929">
        <v>-3.8367</v>
      </c>
      <c r="AF3929">
        <v>-3.7207515118728001</v>
      </c>
      <c r="AG3929">
        <v>-1.110755030779</v>
      </c>
      <c r="AH3929">
        <v>13.3928838718204</v>
      </c>
      <c r="AI3929">
        <v>94.568782889237397</v>
      </c>
      <c r="AJ3929">
        <v>105.526120586773</v>
      </c>
      <c r="AK3929">
        <v>13.944429244525301</v>
      </c>
      <c r="AL3929">
        <v>83.589739100482802</v>
      </c>
      <c r="AM3929">
        <v>88.435104757165703</v>
      </c>
      <c r="AN3929">
        <v>0.99999999268026596</v>
      </c>
    </row>
    <row r="3930" spans="1:40" x14ac:dyDescent="0.25">
      <c r="A3930" t="str">
        <f>"20190312154636313"</f>
        <v>20190312154636313</v>
      </c>
      <c r="B3930" t="str">
        <f>"1552376796301640"</f>
        <v>1552376796301640</v>
      </c>
      <c r="C3930" t="s">
        <v>40</v>
      </c>
      <c r="D3930">
        <v>4.3558760000000003</v>
      </c>
      <c r="E3930">
        <v>0.38693759999999999</v>
      </c>
      <c r="F3930" t="s">
        <v>42</v>
      </c>
      <c r="G3930">
        <v>-379.4271</v>
      </c>
      <c r="H3930" s="1">
        <v>-8.7524860000000001E-7</v>
      </c>
      <c r="I3930">
        <v>137.00700000000001</v>
      </c>
      <c r="J3930">
        <v>-365.7072</v>
      </c>
      <c r="K3930">
        <v>1.11077</v>
      </c>
      <c r="L3930">
        <v>140.9306</v>
      </c>
      <c r="M3930">
        <v>-0.99987329999999996</v>
      </c>
      <c r="N3930">
        <v>0</v>
      </c>
      <c r="O3930">
        <v>-7.5780619999999896E-3</v>
      </c>
      <c r="P3930">
        <v>-0.99499269999999995</v>
      </c>
      <c r="Q3930">
        <v>9.7881700000000002E-2</v>
      </c>
      <c r="R3930">
        <v>2.0223359999999999E-2</v>
      </c>
      <c r="S3930">
        <v>-3.056549</v>
      </c>
      <c r="T3930">
        <v>-0.24288180000000001</v>
      </c>
      <c r="U3930">
        <v>-0.85850519999999997</v>
      </c>
      <c r="V3930">
        <v>2.7625650000000002E-2</v>
      </c>
      <c r="W3930">
        <v>0.11182880000000001</v>
      </c>
      <c r="X3930">
        <v>0.99334339999999999</v>
      </c>
      <c r="Y3930">
        <v>-0.26236189999999998</v>
      </c>
      <c r="Z3930">
        <v>-9.6211739999999997E-3</v>
      </c>
      <c r="AA3930">
        <v>0.96492160000000005</v>
      </c>
      <c r="AB3930">
        <v>27</v>
      </c>
      <c r="AC3930">
        <v>-13.7198999999999</v>
      </c>
      <c r="AD3930">
        <v>-1.1107708752486001</v>
      </c>
      <c r="AE3930">
        <v>-3.9235999999999902</v>
      </c>
      <c r="AF3930">
        <v>-3.7965035615497902</v>
      </c>
      <c r="AG3930">
        <v>-1.1107708752486001</v>
      </c>
      <c r="AH3930">
        <v>13.6664361583488</v>
      </c>
      <c r="AI3930">
        <v>94.477792403197299</v>
      </c>
      <c r="AJ3930">
        <v>105.525166907117</v>
      </c>
      <c r="AK3930">
        <v>14.2273935947659</v>
      </c>
      <c r="AL3930">
        <v>83.579251262669601</v>
      </c>
      <c r="AM3930">
        <v>88.406970574832599</v>
      </c>
      <c r="AN3930">
        <v>0.99999998368546095</v>
      </c>
    </row>
    <row r="3931" spans="1:40" x14ac:dyDescent="0.25">
      <c r="A3931" t="str">
        <f>"20190312154636333"</f>
        <v>20190312154636333</v>
      </c>
      <c r="B3931" t="str">
        <f>"1552376796321158"</f>
        <v>1552376796321158</v>
      </c>
      <c r="C3931" t="s">
        <v>40</v>
      </c>
      <c r="D3931">
        <v>4.3279329999999998</v>
      </c>
      <c r="E3931">
        <v>0.38666460000000002</v>
      </c>
      <c r="F3931" t="s">
        <v>42</v>
      </c>
      <c r="G3931">
        <v>-379.71409999999997</v>
      </c>
      <c r="H3931" s="1">
        <v>-7.8260319999999904E-7</v>
      </c>
      <c r="I3931">
        <v>136.9881</v>
      </c>
      <c r="J3931">
        <v>-365.9513</v>
      </c>
      <c r="K3931">
        <v>1.1107849999999999</v>
      </c>
      <c r="L3931">
        <v>140.928</v>
      </c>
      <c r="M3931">
        <v>-0.99986790000000003</v>
      </c>
      <c r="N3931">
        <v>0</v>
      </c>
      <c r="O3931">
        <v>-8.2675000000000005E-3</v>
      </c>
      <c r="P3931">
        <v>-0.9949905</v>
      </c>
      <c r="Q3931">
        <v>9.805179E-2</v>
      </c>
      <c r="R3931">
        <v>1.9488399999999999E-2</v>
      </c>
      <c r="S3931">
        <v>-3.0564269999999998</v>
      </c>
      <c r="T3931">
        <v>-0.2423795</v>
      </c>
      <c r="U3931">
        <v>-0.86027529999999997</v>
      </c>
      <c r="V3931">
        <v>2.7573130000000001E-2</v>
      </c>
      <c r="W3931">
        <v>0.1119971</v>
      </c>
      <c r="X3931">
        <v>0.99332589999999998</v>
      </c>
      <c r="Y3931">
        <v>-0.26223000000000002</v>
      </c>
      <c r="Z3931">
        <v>-9.5423220000000007E-3</v>
      </c>
      <c r="AA3931">
        <v>0.96495819999999999</v>
      </c>
      <c r="AB3931">
        <v>27</v>
      </c>
      <c r="AC3931">
        <v>-13.762799999999899</v>
      </c>
      <c r="AD3931">
        <v>-1.1107857826031999</v>
      </c>
      <c r="AE3931">
        <v>-3.93989999999999</v>
      </c>
      <c r="AF3931">
        <v>-3.8030734742323502</v>
      </c>
      <c r="AG3931">
        <v>-1.1107857826031999</v>
      </c>
      <c r="AH3931">
        <v>13.7123493890183</v>
      </c>
      <c r="AI3931">
        <v>94.463436370978201</v>
      </c>
      <c r="AJ3931">
        <v>105.501173429424</v>
      </c>
      <c r="AK3931">
        <v>14.2732525610582</v>
      </c>
      <c r="AL3931">
        <v>83.569547436812798</v>
      </c>
      <c r="AM3931">
        <v>88.4099695799015</v>
      </c>
      <c r="AN3931">
        <v>0.99999998575860805</v>
      </c>
    </row>
    <row r="3932" spans="1:40" x14ac:dyDescent="0.25">
      <c r="A3932" t="str">
        <f>"20190312154636355"</f>
        <v>20190312154636355</v>
      </c>
      <c r="B3932" t="str">
        <f>"1552376796351414"</f>
        <v>1552376796351414</v>
      </c>
      <c r="C3932" t="s">
        <v>40</v>
      </c>
      <c r="D3932">
        <v>4.0896239999999997</v>
      </c>
      <c r="E3932">
        <v>0.38658579999999998</v>
      </c>
      <c r="F3932" t="s">
        <v>42</v>
      </c>
      <c r="G3932">
        <v>-380.04219999999998</v>
      </c>
      <c r="H3932" s="1">
        <v>-4.7284210000000003E-6</v>
      </c>
      <c r="I3932">
        <v>136.9426</v>
      </c>
      <c r="J3932">
        <v>-366.20850000000002</v>
      </c>
      <c r="K3932">
        <v>1.110806</v>
      </c>
      <c r="L3932">
        <v>140.92509999999999</v>
      </c>
      <c r="M3932">
        <v>-0.99986169999999996</v>
      </c>
      <c r="N3932">
        <v>0</v>
      </c>
      <c r="O3932">
        <v>-9.013343E-3</v>
      </c>
      <c r="P3932">
        <v>-0.99502159999999995</v>
      </c>
      <c r="Q3932">
        <v>9.7955769999999998E-2</v>
      </c>
      <c r="R3932">
        <v>1.8363959999999999E-2</v>
      </c>
      <c r="S3932">
        <v>-3.0557560000000001</v>
      </c>
      <c r="T3932">
        <v>-0.2408875</v>
      </c>
      <c r="U3932">
        <v>-0.86427310000000002</v>
      </c>
      <c r="V3932">
        <v>2.7187630000000001E-2</v>
      </c>
      <c r="W3932">
        <v>0.1118994</v>
      </c>
      <c r="X3932">
        <v>0.99334750000000005</v>
      </c>
      <c r="Y3932">
        <v>-0.2627447</v>
      </c>
      <c r="Z3932">
        <v>-9.4464279999999998E-3</v>
      </c>
      <c r="AA3932">
        <v>0.96481910000000004</v>
      </c>
      <c r="AB3932">
        <v>27</v>
      </c>
      <c r="AC3932">
        <v>-13.833699999999901</v>
      </c>
      <c r="AD3932">
        <v>-1.110810728421</v>
      </c>
      <c r="AE3932">
        <v>-3.9824999999999799</v>
      </c>
      <c r="AF3932">
        <v>-3.8348048940991801</v>
      </c>
      <c r="AG3932">
        <v>-1.110810728421</v>
      </c>
      <c r="AH3932">
        <v>13.7869467047752</v>
      </c>
      <c r="AI3932">
        <v>94.438568987755701</v>
      </c>
      <c r="AJ3932">
        <v>105.543775722511</v>
      </c>
      <c r="AK3932">
        <v>14.3533803854873</v>
      </c>
      <c r="AL3932">
        <v>83.575180409786</v>
      </c>
      <c r="AM3932">
        <v>88.432222700056002</v>
      </c>
      <c r="AN3932">
        <v>0.99999994935081205</v>
      </c>
    </row>
    <row r="3933" spans="1:40" x14ac:dyDescent="0.25">
      <c r="A3933" t="str">
        <f>"20190312154636377"</f>
        <v>20190312154636377</v>
      </c>
      <c r="B3933" t="str">
        <f>"1552376796371909"</f>
        <v>1552376796371909</v>
      </c>
      <c r="C3933" t="s">
        <v>40</v>
      </c>
      <c r="D3933">
        <v>4.3832909999999998</v>
      </c>
      <c r="E3933">
        <v>0.42153980000000002</v>
      </c>
      <c r="F3933" t="s">
        <v>42</v>
      </c>
      <c r="G3933">
        <v>-380.40820000000002</v>
      </c>
      <c r="H3933" s="1">
        <v>-4.5811360000000002E-6</v>
      </c>
      <c r="I3933">
        <v>136.8877</v>
      </c>
      <c r="J3933">
        <v>-366.47230000000002</v>
      </c>
      <c r="K3933">
        <v>1.110822</v>
      </c>
      <c r="L3933">
        <v>140.92179999999999</v>
      </c>
      <c r="M3933">
        <v>-0.99985420000000003</v>
      </c>
      <c r="N3933">
        <v>0</v>
      </c>
      <c r="O3933">
        <v>-9.7982969999999992E-3</v>
      </c>
      <c r="P3933">
        <v>-0.99498710000000001</v>
      </c>
      <c r="Q3933">
        <v>9.8483550000000003E-2</v>
      </c>
      <c r="R3933">
        <v>1.7368390000000001E-2</v>
      </c>
      <c r="S3933">
        <v>-3.0545650000000002</v>
      </c>
      <c r="T3933">
        <v>-0.23895189999999999</v>
      </c>
      <c r="U3933">
        <v>-0.86848449999999899</v>
      </c>
      <c r="V3933">
        <v>2.6968220000000001E-2</v>
      </c>
      <c r="W3933">
        <v>0.11242439999999999</v>
      </c>
      <c r="X3933">
        <v>0.99329420000000002</v>
      </c>
      <c r="Y3933">
        <v>-0.26332899999999998</v>
      </c>
      <c r="Z3933">
        <v>-9.3348140000000003E-3</v>
      </c>
      <c r="AA3933">
        <v>0.96466090000000004</v>
      </c>
      <c r="AB3933">
        <v>27</v>
      </c>
      <c r="AC3933">
        <v>-13.9359</v>
      </c>
      <c r="AD3933">
        <v>-1.1108265811360001</v>
      </c>
      <c r="AE3933">
        <v>-4.0340999999999898</v>
      </c>
      <c r="AF3933">
        <v>-3.8746302597283102</v>
      </c>
      <c r="AG3933">
        <v>-1.1108265811360001</v>
      </c>
      <c r="AH3933">
        <v>13.893313990429901</v>
      </c>
      <c r="AI3933">
        <v>94.403948435766495</v>
      </c>
      <c r="AJ3933">
        <v>105.582963670544</v>
      </c>
      <c r="AK3933">
        <v>14.4661974609652</v>
      </c>
      <c r="AL3933">
        <v>83.544909108980093</v>
      </c>
      <c r="AM3933">
        <v>88.444785353439698</v>
      </c>
      <c r="AN3933">
        <v>0.99999994917948298</v>
      </c>
    </row>
    <row r="3934" spans="1:40" x14ac:dyDescent="0.25">
      <c r="A3934" t="str">
        <f>"20190312154636400"</f>
        <v>20190312154636400</v>
      </c>
      <c r="B3934" t="str">
        <f>"1552376796391429"</f>
        <v>1552376796391429</v>
      </c>
      <c r="C3934" t="s">
        <v>40</v>
      </c>
      <c r="D3934">
        <v>4.3640509999999999</v>
      </c>
      <c r="E3934">
        <v>0.43772420000000001</v>
      </c>
      <c r="F3934" t="s">
        <v>52</v>
      </c>
      <c r="G3934">
        <v>-430.76010000000002</v>
      </c>
      <c r="H3934">
        <v>2.5636369999999999E-2</v>
      </c>
      <c r="I3934">
        <v>128.49170000000001</v>
      </c>
      <c r="J3934">
        <v>-366.73349999999999</v>
      </c>
      <c r="K3934">
        <v>1.1108420000000001</v>
      </c>
      <c r="L3934">
        <v>140.91839999999999</v>
      </c>
      <c r="M3934">
        <v>-0.99984620000000002</v>
      </c>
      <c r="N3934">
        <v>0</v>
      </c>
      <c r="O3934">
        <v>-1.0594330000000001E-2</v>
      </c>
      <c r="P3934">
        <v>-0.99496419999999997</v>
      </c>
      <c r="Q3934">
        <v>9.8911369999999998E-2</v>
      </c>
      <c r="R3934">
        <v>1.6209009999999999E-2</v>
      </c>
      <c r="S3934">
        <v>-3.0304259999999998</v>
      </c>
      <c r="T3934">
        <v>-5.1153900000000002E-2</v>
      </c>
      <c r="U3934">
        <v>-0.5859375</v>
      </c>
      <c r="V3934">
        <v>2.659626E-2</v>
      </c>
      <c r="W3934">
        <v>0.1128499</v>
      </c>
      <c r="X3934">
        <v>0.99325600000000003</v>
      </c>
      <c r="Y3934">
        <v>-0.17939910000000001</v>
      </c>
      <c r="Z3934">
        <v>-1.32299E-3</v>
      </c>
      <c r="AA3934">
        <v>0.98377550000000002</v>
      </c>
      <c r="AB3934">
        <v>26</v>
      </c>
      <c r="AC3934">
        <v>-64.026600000000002</v>
      </c>
      <c r="AD3934">
        <v>-1.0852056299999999</v>
      </c>
      <c r="AE3934">
        <v>-12.426699999999901</v>
      </c>
      <c r="AF3934">
        <v>-11.744365845150201</v>
      </c>
      <c r="AG3934">
        <v>-1.0852056299999999</v>
      </c>
      <c r="AH3934">
        <v>64.136915162638601</v>
      </c>
      <c r="AI3934">
        <v>90.953509030625796</v>
      </c>
      <c r="AJ3934">
        <v>100.376698049692</v>
      </c>
      <c r="AK3934">
        <v>65.212358391210003</v>
      </c>
      <c r="AL3934">
        <v>83.520373757711894</v>
      </c>
      <c r="AM3934">
        <v>88.466166421545694</v>
      </c>
      <c r="AN3934">
        <v>0.99999997125599804</v>
      </c>
    </row>
    <row r="3935" spans="1:40" x14ac:dyDescent="0.25">
      <c r="A3935" t="str">
        <f>"20190312154636422"</f>
        <v>20190312154636422</v>
      </c>
      <c r="B3935" t="str">
        <f>"1552376796411926"</f>
        <v>1552376796411926</v>
      </c>
      <c r="C3935" t="s">
        <v>40</v>
      </c>
      <c r="D3935">
        <v>4.3239679999999998</v>
      </c>
      <c r="E3935">
        <v>0.44519839999999999</v>
      </c>
      <c r="F3935" t="s">
        <v>52</v>
      </c>
      <c r="G3935">
        <v>-427.93729999999999</v>
      </c>
      <c r="H3935" s="1">
        <v>-7.7609749999999905E-6</v>
      </c>
      <c r="I3935">
        <v>131.6148</v>
      </c>
      <c r="J3935">
        <v>-366.9966</v>
      </c>
      <c r="K3935">
        <v>1.110868</v>
      </c>
      <c r="L3935">
        <v>140.91470000000001</v>
      </c>
      <c r="M3935">
        <v>-0.99983699999999998</v>
      </c>
      <c r="N3935">
        <v>0</v>
      </c>
      <c r="O3935">
        <v>-1.141648E-2</v>
      </c>
      <c r="P3935">
        <v>-0.99484539999999999</v>
      </c>
      <c r="Q3935">
        <v>0.1003159</v>
      </c>
      <c r="R3935">
        <v>1.4805530000000001E-2</v>
      </c>
      <c r="S3935">
        <v>-3.028168</v>
      </c>
      <c r="T3935">
        <v>-5.4961200000000002E-2</v>
      </c>
      <c r="U3935">
        <v>-0.4603119</v>
      </c>
      <c r="V3935">
        <v>2.6003800000000001E-2</v>
      </c>
      <c r="W3935">
        <v>0.1142498</v>
      </c>
      <c r="X3935">
        <v>0.99311170000000004</v>
      </c>
      <c r="Y3935">
        <v>-0.13896539999999999</v>
      </c>
      <c r="Z3935">
        <v>-1.0478250000000001E-3</v>
      </c>
      <c r="AA3935">
        <v>0.99029670000000003</v>
      </c>
      <c r="AB3935">
        <v>26</v>
      </c>
      <c r="AC3935">
        <v>-60.9406999999999</v>
      </c>
      <c r="AD3935">
        <v>-1.110875760975</v>
      </c>
      <c r="AE3935">
        <v>-9.2998999999999992</v>
      </c>
      <c r="AF3935">
        <v>-8.6007045792641392</v>
      </c>
      <c r="AG3935">
        <v>-1.110875760975</v>
      </c>
      <c r="AH3935">
        <v>61.023094390479301</v>
      </c>
      <c r="AI3935">
        <v>91.0327034008981</v>
      </c>
      <c r="AJ3935">
        <v>98.022527222762207</v>
      </c>
      <c r="AK3935">
        <v>61.6362248455033</v>
      </c>
      <c r="AL3935">
        <v>83.439643643287098</v>
      </c>
      <c r="AM3935">
        <v>88.500100610568794</v>
      </c>
      <c r="AN3935">
        <v>1.0000000315456801</v>
      </c>
    </row>
    <row r="3936" spans="1:40" x14ac:dyDescent="0.25">
      <c r="A3936" t="str">
        <f>"20190312154636445"</f>
        <v>20190312154636445</v>
      </c>
      <c r="B3936" t="str">
        <f>"1552376796431445"</f>
        <v>1552376796431445</v>
      </c>
      <c r="C3936" t="s">
        <v>40</v>
      </c>
      <c r="D3936">
        <v>4.3002219999999998</v>
      </c>
      <c r="E3936">
        <v>0.44928829999999997</v>
      </c>
      <c r="F3936" t="s">
        <v>52</v>
      </c>
      <c r="G3936">
        <v>-430.59780000000001</v>
      </c>
      <c r="H3936" s="1">
        <v>-8.1482169999999992E-6</v>
      </c>
      <c r="I3936">
        <v>132.4067</v>
      </c>
      <c r="J3936">
        <v>-367.26280000000003</v>
      </c>
      <c r="K3936">
        <v>1.110887</v>
      </c>
      <c r="L3936">
        <v>140.91069999999999</v>
      </c>
      <c r="M3936">
        <v>-0.99982709999999997</v>
      </c>
      <c r="N3936">
        <v>0</v>
      </c>
      <c r="O3936">
        <v>-1.227165E-2</v>
      </c>
      <c r="P3936">
        <v>-0.99487910000000002</v>
      </c>
      <c r="Q3936">
        <v>0.1000998</v>
      </c>
      <c r="R3936">
        <v>1.3999019999999999E-2</v>
      </c>
      <c r="S3936">
        <v>-3.0268860000000002</v>
      </c>
      <c r="T3936">
        <v>-5.2868489999999997E-2</v>
      </c>
      <c r="U3936">
        <v>-0.40490720000000002</v>
      </c>
      <c r="V3936">
        <v>2.6044879999999999E-2</v>
      </c>
      <c r="W3936">
        <v>0.11403239999999901</v>
      </c>
      <c r="X3936">
        <v>0.99313560000000001</v>
      </c>
      <c r="Y3936">
        <v>-0.12039850000000001</v>
      </c>
      <c r="Z3936">
        <v>-8.3336979999999998E-4</v>
      </c>
      <c r="AA3936">
        <v>0.99272530000000003</v>
      </c>
      <c r="AB3936">
        <v>26</v>
      </c>
      <c r="AC3936">
        <v>-63.334999999999901</v>
      </c>
      <c r="AD3936">
        <v>-1.110895148217</v>
      </c>
      <c r="AE3936">
        <v>-8.5039999999999907</v>
      </c>
      <c r="AF3936">
        <v>-7.7237245836407604</v>
      </c>
      <c r="AG3936">
        <v>-1.110895148217</v>
      </c>
      <c r="AH3936">
        <v>63.415433940640803</v>
      </c>
      <c r="AI3936">
        <v>90.996229553756706</v>
      </c>
      <c r="AJ3936">
        <v>96.944174969541393</v>
      </c>
      <c r="AK3936">
        <v>63.8937185594488</v>
      </c>
      <c r="AL3936">
        <v>83.452181624417804</v>
      </c>
      <c r="AM3936">
        <v>88.497768336598199</v>
      </c>
      <c r="AN3936">
        <v>1.00000002200566</v>
      </c>
    </row>
    <row r="3937" spans="1:40" x14ac:dyDescent="0.25">
      <c r="A3937" t="str">
        <f>"20190312154636471"</f>
        <v>20190312154636471</v>
      </c>
      <c r="B3937" t="str">
        <f>"1552376796461702"</f>
        <v>1552376796461702</v>
      </c>
      <c r="C3937" t="s">
        <v>40</v>
      </c>
      <c r="D3937">
        <v>4.3209980000000003</v>
      </c>
      <c r="E3937">
        <v>0.45233859999999898</v>
      </c>
      <c r="F3937" t="s">
        <v>52</v>
      </c>
      <c r="G3937">
        <v>-428.61880000000002</v>
      </c>
      <c r="H3937" s="1">
        <v>-8.5338829999999999E-6</v>
      </c>
      <c r="I3937">
        <v>133.30330000000001</v>
      </c>
      <c r="J3937">
        <v>-367.56810000000002</v>
      </c>
      <c r="K3937">
        <v>1.1108960000000001</v>
      </c>
      <c r="L3937">
        <v>140.9058</v>
      </c>
      <c r="M3937">
        <v>-0.99981419999999999</v>
      </c>
      <c r="N3937">
        <v>0</v>
      </c>
      <c r="O3937">
        <v>-1.328579E-2</v>
      </c>
      <c r="P3937">
        <v>-0.99507590000000001</v>
      </c>
      <c r="Q3937">
        <v>9.8347509999999999E-2</v>
      </c>
      <c r="R3937">
        <v>1.23293E-2</v>
      </c>
      <c r="S3937">
        <v>-3.0262150000000001</v>
      </c>
      <c r="T3937">
        <v>-5.4791810000000003E-2</v>
      </c>
      <c r="U3937">
        <v>-0.37521359999999998</v>
      </c>
      <c r="V3937">
        <v>2.5384469999999999E-2</v>
      </c>
      <c r="W3937">
        <v>0.1122804</v>
      </c>
      <c r="X3937">
        <v>0.99335229999999997</v>
      </c>
      <c r="Y3937">
        <v>-0.109833</v>
      </c>
      <c r="Z3937">
        <v>-7.508498E-4</v>
      </c>
      <c r="AA3937">
        <v>0.99394979999999999</v>
      </c>
      <c r="AB3937">
        <v>26</v>
      </c>
      <c r="AC3937">
        <v>-61.050699999999999</v>
      </c>
      <c r="AD3937">
        <v>-1.1109045338829999</v>
      </c>
      <c r="AE3937">
        <v>-7.6024999999999903</v>
      </c>
      <c r="AF3937">
        <v>-6.7884295838339499</v>
      </c>
      <c r="AG3937">
        <v>-1.1109045338829999</v>
      </c>
      <c r="AH3937">
        <v>61.1263951938231</v>
      </c>
      <c r="AI3937">
        <v>91.034812316921503</v>
      </c>
      <c r="AJ3937">
        <v>96.337050970623594</v>
      </c>
      <c r="AK3937">
        <v>61.512218903966598</v>
      </c>
      <c r="AL3937">
        <v>83.553212769362602</v>
      </c>
      <c r="AM3937">
        <v>88.5361623174459</v>
      </c>
      <c r="AN3937">
        <v>1.0000000257283099</v>
      </c>
    </row>
    <row r="3938" spans="1:40" x14ac:dyDescent="0.25">
      <c r="A3938" t="str">
        <f>"20190312154636495"</f>
        <v>20190312154636495</v>
      </c>
      <c r="B3938" t="str">
        <f>"1552376796481223"</f>
        <v>1552376796481223</v>
      </c>
      <c r="C3938" t="s">
        <v>40</v>
      </c>
      <c r="D3938">
        <v>4.3202259999999999</v>
      </c>
      <c r="E3938">
        <v>0.45382899999999998</v>
      </c>
      <c r="F3938" t="s">
        <v>52</v>
      </c>
      <c r="G3938">
        <v>-421.98160000000001</v>
      </c>
      <c r="H3938" s="1">
        <v>-8.0033240000000008E-6</v>
      </c>
      <c r="I3938">
        <v>134.49449999999999</v>
      </c>
      <c r="J3938">
        <v>-367.85419999999999</v>
      </c>
      <c r="K3938">
        <v>1.1109070000000001</v>
      </c>
      <c r="L3938">
        <v>140.90090000000001</v>
      </c>
      <c r="M3938">
        <v>-0.99980060000000004</v>
      </c>
      <c r="N3938">
        <v>0</v>
      </c>
      <c r="O3938">
        <v>-1.426153E-2</v>
      </c>
      <c r="P3938">
        <v>-0.99518779999999996</v>
      </c>
      <c r="Q3938">
        <v>9.7438849999999994E-2</v>
      </c>
      <c r="R3938">
        <v>1.034093E-2</v>
      </c>
      <c r="S3938">
        <v>-3.0253299999999999</v>
      </c>
      <c r="T3938">
        <v>-6.1765069999999998E-2</v>
      </c>
      <c r="U3938">
        <v>-0.35646060000000002</v>
      </c>
      <c r="V3938">
        <v>2.436549E-2</v>
      </c>
      <c r="W3938">
        <v>0.1113697</v>
      </c>
      <c r="X3938">
        <v>0.99348029999999998</v>
      </c>
      <c r="Y3938">
        <v>-0.10282089999999899</v>
      </c>
      <c r="Z3938">
        <v>-7.5577899999999896E-4</v>
      </c>
      <c r="AA3938">
        <v>0.99469960000000002</v>
      </c>
      <c r="AB3938">
        <v>26</v>
      </c>
      <c r="AC3938">
        <v>-54.127400000000002</v>
      </c>
      <c r="AD3938">
        <v>-1.1109150033239901</v>
      </c>
      <c r="AE3938">
        <v>-6.4064000000000103</v>
      </c>
      <c r="AF3938">
        <v>-5.6313939956689598</v>
      </c>
      <c r="AG3938">
        <v>-1.1109150033239901</v>
      </c>
      <c r="AH3938">
        <v>54.190756280830598</v>
      </c>
      <c r="AI3938">
        <v>91.168115226454802</v>
      </c>
      <c r="AJ3938">
        <v>95.932767016685006</v>
      </c>
      <c r="AK3938">
        <v>54.493896876324101</v>
      </c>
      <c r="AL3938">
        <v>83.605721189500301</v>
      </c>
      <c r="AM3938">
        <v>88.595080405464202</v>
      </c>
      <c r="AN3938">
        <v>0.99999999683455998</v>
      </c>
    </row>
    <row r="3939" spans="1:40" x14ac:dyDescent="0.25">
      <c r="A3939" t="str">
        <f>"20190312154636536"</f>
        <v>20190312154636536</v>
      </c>
      <c r="B3939" t="str">
        <f>"1552376796521237"</f>
        <v>1552376796521237</v>
      </c>
      <c r="C3939" t="s">
        <v>40</v>
      </c>
      <c r="D3939">
        <v>4.3322050000000001</v>
      </c>
      <c r="E3939">
        <v>0.45600780000000002</v>
      </c>
      <c r="F3939" t="s">
        <v>52</v>
      </c>
      <c r="G3939">
        <v>-419.47160000000002</v>
      </c>
      <c r="H3939" s="1">
        <v>-7.9115799999999992E-6</v>
      </c>
      <c r="I3939">
        <v>134.9135</v>
      </c>
      <c r="J3939">
        <v>-368.31650000000002</v>
      </c>
      <c r="K3939">
        <v>1.1109169999999999</v>
      </c>
      <c r="L3939">
        <v>140.8922</v>
      </c>
      <c r="M3939">
        <v>-0.99977579999999999</v>
      </c>
      <c r="N3939">
        <v>0</v>
      </c>
      <c r="O3939">
        <v>-1.5918020000000001E-2</v>
      </c>
      <c r="P3939">
        <v>-0.99547779999999997</v>
      </c>
      <c r="Q3939">
        <v>9.4763700000000006E-2</v>
      </c>
      <c r="R3939">
        <v>6.6212930000000003E-3</v>
      </c>
      <c r="S3939">
        <v>-3.0245359999999999</v>
      </c>
      <c r="T3939">
        <v>-6.5094349999999995E-2</v>
      </c>
      <c r="U3939">
        <v>-0.35083009999999998</v>
      </c>
      <c r="V3939">
        <v>2.2294029999999999E-2</v>
      </c>
      <c r="W3939">
        <v>0.10869429999999999</v>
      </c>
      <c r="X3939">
        <v>0.99382519999999996</v>
      </c>
      <c r="Y3939">
        <v>-9.9374939999999995E-2</v>
      </c>
      <c r="Z3939">
        <v>-7.2433399999999998E-4</v>
      </c>
      <c r="AA3939">
        <v>0.99504979999999998</v>
      </c>
      <c r="AB3939">
        <v>26</v>
      </c>
      <c r="AC3939">
        <v>-51.155099999999997</v>
      </c>
      <c r="AD3939">
        <v>-1.11092491158</v>
      </c>
      <c r="AE3939">
        <v>-5.9786999999999999</v>
      </c>
      <c r="AF3939">
        <v>-5.16117374862145</v>
      </c>
      <c r="AG3939">
        <v>-1.11092491158</v>
      </c>
      <c r="AH3939">
        <v>51.219964940173497</v>
      </c>
      <c r="AI3939">
        <v>91.236251861311203</v>
      </c>
      <c r="AJ3939">
        <v>95.753980475933901</v>
      </c>
      <c r="AK3939">
        <v>51.491326231659897</v>
      </c>
      <c r="AL3939">
        <v>83.759946846069298</v>
      </c>
      <c r="AM3939">
        <v>88.714925291648896</v>
      </c>
      <c r="AN3939">
        <v>1.0000000013905801</v>
      </c>
    </row>
    <row r="3940" spans="1:40" x14ac:dyDescent="0.25">
      <c r="A3940" t="str">
        <f>"20190312154636560"</f>
        <v>20190312154636560</v>
      </c>
      <c r="B3940" t="str">
        <f>"1552376796551494"</f>
        <v>1552376796551494</v>
      </c>
      <c r="C3940" t="s">
        <v>40</v>
      </c>
      <c r="D3940">
        <v>4.3312660000000003</v>
      </c>
      <c r="E3940">
        <v>0.45716329999999999</v>
      </c>
      <c r="F3940" t="s">
        <v>52</v>
      </c>
      <c r="G3940">
        <v>-412.22620000000001</v>
      </c>
      <c r="H3940" s="1">
        <v>-8.8456179999999997E-6</v>
      </c>
      <c r="I3940">
        <v>135.8818</v>
      </c>
      <c r="J3940">
        <v>-368.61450000000002</v>
      </c>
      <c r="K3940">
        <v>1.110938</v>
      </c>
      <c r="L3940">
        <v>140.8862</v>
      </c>
      <c r="M3940">
        <v>-0.99975720000000001</v>
      </c>
      <c r="N3940">
        <v>0</v>
      </c>
      <c r="O3940">
        <v>-1.7045979999999999E-2</v>
      </c>
      <c r="P3940">
        <v>-0.99567609999999995</v>
      </c>
      <c r="Q3940">
        <v>9.2718590000000004E-2</v>
      </c>
      <c r="R3940">
        <v>5.7021700000000003E-3</v>
      </c>
      <c r="S3940">
        <v>-3.023193</v>
      </c>
      <c r="T3940">
        <v>-7.6487659999999999E-2</v>
      </c>
      <c r="U3940">
        <v>-0.34497070000000002</v>
      </c>
      <c r="V3940">
        <v>2.2497139999999999E-2</v>
      </c>
      <c r="W3940">
        <v>0.1066515</v>
      </c>
      <c r="X3940">
        <v>0.99404190000000003</v>
      </c>
      <c r="Y3940">
        <v>-9.6393090000000001E-2</v>
      </c>
      <c r="Z3940">
        <v>-7.8552299999999999E-4</v>
      </c>
      <c r="AA3940">
        <v>0.99534299999999998</v>
      </c>
      <c r="AB3940">
        <v>26</v>
      </c>
      <c r="AC3940">
        <v>-43.6116999999999</v>
      </c>
      <c r="AD3940">
        <v>-1.1109468456180001</v>
      </c>
      <c r="AE3940">
        <v>-5.0044000000000004</v>
      </c>
      <c r="AF3940">
        <v>-4.2574693182734196</v>
      </c>
      <c r="AG3940">
        <v>-1.1109468456180001</v>
      </c>
      <c r="AH3940">
        <v>43.662710805167897</v>
      </c>
      <c r="AI3940">
        <v>91.450633021770301</v>
      </c>
      <c r="AJ3940">
        <v>95.569198553854903</v>
      </c>
      <c r="AK3940">
        <v>43.883853098213102</v>
      </c>
      <c r="AL3940">
        <v>83.877674990589995</v>
      </c>
      <c r="AM3940">
        <v>88.703504184185604</v>
      </c>
      <c r="AN3940">
        <v>0.99999998135801904</v>
      </c>
    </row>
    <row r="3941" spans="1:40" x14ac:dyDescent="0.25">
      <c r="A3941" t="str">
        <f>"20190312154636584"</f>
        <v>20190312154636584</v>
      </c>
      <c r="B3941" t="str">
        <f>"1552376796571989"</f>
        <v>1552376796571989</v>
      </c>
      <c r="C3941" t="s">
        <v>40</v>
      </c>
      <c r="D3941">
        <v>4.3184149999999999</v>
      </c>
      <c r="E3941">
        <v>0.45783289999999999</v>
      </c>
      <c r="F3941" t="s">
        <v>52</v>
      </c>
      <c r="G3941">
        <v>-408.99090000000001</v>
      </c>
      <c r="H3941" s="1">
        <v>-8.6528729999999992E-6</v>
      </c>
      <c r="I3941">
        <v>136.36189999999999</v>
      </c>
      <c r="J3941">
        <v>-368.89100000000002</v>
      </c>
      <c r="K3941">
        <v>1.1109639999999901</v>
      </c>
      <c r="L3941">
        <v>140.8802</v>
      </c>
      <c r="M3941">
        <v>-0.99973800000000002</v>
      </c>
      <c r="N3941">
        <v>0</v>
      </c>
      <c r="O3941">
        <v>-1.8142390000000001E-2</v>
      </c>
      <c r="P3941">
        <v>-0.99582870000000001</v>
      </c>
      <c r="Q3941">
        <v>9.1102450000000001E-2</v>
      </c>
      <c r="R3941">
        <v>5.0753279999999996E-3</v>
      </c>
      <c r="S3941">
        <v>-3.0227050000000002</v>
      </c>
      <c r="T3941">
        <v>-8.3168859999999997E-2</v>
      </c>
      <c r="U3941">
        <v>-0.33869929999999998</v>
      </c>
      <c r="V3941">
        <v>2.2959480000000001E-2</v>
      </c>
      <c r="W3941">
        <v>0.10503700000000001</v>
      </c>
      <c r="X3941">
        <v>0.99420330000000001</v>
      </c>
      <c r="Y3941">
        <v>-9.3277139999999995E-2</v>
      </c>
      <c r="Z3941">
        <v>-7.8156959999999996E-4</v>
      </c>
      <c r="AA3941">
        <v>0.99563990000000002</v>
      </c>
      <c r="AB3941">
        <v>26</v>
      </c>
      <c r="AC3941">
        <v>-40.099899999999998</v>
      </c>
      <c r="AD3941">
        <v>-1.11097265287299</v>
      </c>
      <c r="AE3941">
        <v>-4.5183000000000098</v>
      </c>
      <c r="AF3941">
        <v>-3.7871068727788599</v>
      </c>
      <c r="AG3941">
        <v>-1.11097265287299</v>
      </c>
      <c r="AH3941">
        <v>40.144851720437003</v>
      </c>
      <c r="AI3941">
        <v>91.578201237782906</v>
      </c>
      <c r="AJ3941">
        <v>95.389109057401001</v>
      </c>
      <c r="AK3941">
        <v>40.3383881477329</v>
      </c>
      <c r="AL3941">
        <v>83.970702043449606</v>
      </c>
      <c r="AM3941">
        <v>88.677083923628999</v>
      </c>
      <c r="AN3941">
        <v>1.0000000554108699</v>
      </c>
    </row>
    <row r="3942" spans="1:40" x14ac:dyDescent="0.25">
      <c r="A3942" t="str">
        <f>"20190312154636601"</f>
        <v>20190312154636601</v>
      </c>
      <c r="B3942" t="str">
        <f>"1552376796591509"</f>
        <v>1552376796591509</v>
      </c>
      <c r="C3942" t="s">
        <v>40</v>
      </c>
      <c r="D3942">
        <v>4.3181180000000001</v>
      </c>
      <c r="E3942">
        <v>0.4583815</v>
      </c>
      <c r="F3942" t="s">
        <v>52</v>
      </c>
      <c r="G3942">
        <v>-406.94909999999999</v>
      </c>
      <c r="H3942" s="1">
        <v>-7.5119830000000004E-6</v>
      </c>
      <c r="I3942">
        <v>136.65989999999999</v>
      </c>
      <c r="J3942">
        <v>-369.09539999999998</v>
      </c>
      <c r="K3942">
        <v>1.1109880000000001</v>
      </c>
      <c r="L3942">
        <v>140.87559999999999</v>
      </c>
      <c r="M3942">
        <v>-0.99972220000000001</v>
      </c>
      <c r="N3942">
        <v>0</v>
      </c>
      <c r="O3942">
        <v>-1.899497E-2</v>
      </c>
      <c r="P3942">
        <v>-0.99592709999999995</v>
      </c>
      <c r="Q3942">
        <v>9.0035770000000001E-2</v>
      </c>
      <c r="R3942">
        <v>4.789583E-3</v>
      </c>
      <c r="S3942">
        <v>-3.0223689999999999</v>
      </c>
      <c r="T3942">
        <v>-8.8227390000000003E-2</v>
      </c>
      <c r="U3942">
        <v>-0.33515929999999999</v>
      </c>
      <c r="V3942">
        <v>2.351955E-2</v>
      </c>
      <c r="W3942">
        <v>0.10397240000000001</v>
      </c>
      <c r="X3942">
        <v>0.99430200000000002</v>
      </c>
      <c r="Y3942">
        <v>-9.1285920000000007E-2</v>
      </c>
      <c r="Z3942">
        <v>-7.7546970000000001E-4</v>
      </c>
      <c r="AA3942">
        <v>0.99582440000000005</v>
      </c>
      <c r="AB3942">
        <v>26</v>
      </c>
      <c r="AC3942">
        <v>-37.853700000000003</v>
      </c>
      <c r="AD3942">
        <v>-1.110995511983</v>
      </c>
      <c r="AE3942">
        <v>-4.2156999999999902</v>
      </c>
      <c r="AF3942">
        <v>-3.4928674266247399</v>
      </c>
      <c r="AG3942">
        <v>-1.110995511983</v>
      </c>
      <c r="AH3942">
        <v>37.894711139499897</v>
      </c>
      <c r="AI3942">
        <v>91.672229728302099</v>
      </c>
      <c r="AJ3942">
        <v>95.266241090125703</v>
      </c>
      <c r="AK3942">
        <v>38.071558494941598</v>
      </c>
      <c r="AL3942">
        <v>84.032034322742206</v>
      </c>
      <c r="AM3942">
        <v>88.644959276877799</v>
      </c>
      <c r="AN3942">
        <v>0.99999994819897997</v>
      </c>
    </row>
    <row r="3943" spans="1:40" x14ac:dyDescent="0.25">
      <c r="A3943" t="str">
        <f>"20190312154636623"</f>
        <v>20190312154636623</v>
      </c>
      <c r="B3943" t="str">
        <f>"1552376796612005"</f>
        <v>1552376796612005</v>
      </c>
      <c r="C3943" t="s">
        <v>40</v>
      </c>
      <c r="D3943">
        <v>4.3380140000000003</v>
      </c>
      <c r="E3943">
        <v>0.45884000000000003</v>
      </c>
      <c r="F3943" t="s">
        <v>52</v>
      </c>
      <c r="G3943">
        <v>-405.83300000000003</v>
      </c>
      <c r="H3943" s="1">
        <v>-6.8665689999999998E-6</v>
      </c>
      <c r="I3943">
        <v>136.84270000000001</v>
      </c>
      <c r="J3943">
        <v>-369.3494</v>
      </c>
      <c r="K3943">
        <v>1.1110260000000001</v>
      </c>
      <c r="L3943">
        <v>140.86959999999999</v>
      </c>
      <c r="M3943">
        <v>-0.99970079999999995</v>
      </c>
      <c r="N3943">
        <v>0</v>
      </c>
      <c r="O3943">
        <v>-2.0091069999999999E-2</v>
      </c>
      <c r="P3943">
        <v>-0.99600580000000005</v>
      </c>
      <c r="Q3943">
        <v>8.9180819999999994E-2</v>
      </c>
      <c r="R3943">
        <v>4.4000719999999997E-3</v>
      </c>
      <c r="S3943">
        <v>-3.022125</v>
      </c>
      <c r="T3943">
        <v>-9.1393349999999998E-2</v>
      </c>
      <c r="U3943">
        <v>-0.33175660000000001</v>
      </c>
      <c r="V3943">
        <v>2.42168E-2</v>
      </c>
      <c r="W3943">
        <v>0.10311910000000001</v>
      </c>
      <c r="X3943">
        <v>0.99437419999999999</v>
      </c>
      <c r="Y3943">
        <v>-8.9094190000000004E-2</v>
      </c>
      <c r="Z3943">
        <v>-7.3734099999999997E-4</v>
      </c>
      <c r="AA3943">
        <v>0.99602290000000004</v>
      </c>
      <c r="AB3943">
        <v>26</v>
      </c>
      <c r="AC3943">
        <v>-36.483600000000003</v>
      </c>
      <c r="AD3943">
        <v>-1.1110328665689999</v>
      </c>
      <c r="AE3943">
        <v>-4.0268999999999799</v>
      </c>
      <c r="AF3943">
        <v>-3.2900067462894098</v>
      </c>
      <c r="AG3943">
        <v>-1.1110328665689999</v>
      </c>
      <c r="AH3943">
        <v>36.523683397289197</v>
      </c>
      <c r="AI3943">
        <v>91.735350805528299</v>
      </c>
      <c r="AJ3943">
        <v>95.147238759777693</v>
      </c>
      <c r="AK3943">
        <v>36.688390361620499</v>
      </c>
      <c r="AL3943">
        <v>84.081189498824102</v>
      </c>
      <c r="AM3943">
        <v>88.604905261640795</v>
      </c>
      <c r="AN3943">
        <v>1.00000002590634</v>
      </c>
    </row>
    <row r="3944" spans="1:40" x14ac:dyDescent="0.25">
      <c r="A3944" t="str">
        <f>"20190312154636645"</f>
        <v>20190312154636645</v>
      </c>
      <c r="B3944" t="str">
        <f>"1552376796641285"</f>
        <v>1552376796641285</v>
      </c>
      <c r="C3944" t="s">
        <v>40</v>
      </c>
      <c r="D3944">
        <v>4.3587389999999999</v>
      </c>
      <c r="E3944">
        <v>0.45940769999999997</v>
      </c>
      <c r="F3944" t="s">
        <v>52</v>
      </c>
      <c r="G3944">
        <v>-404.88709999999998</v>
      </c>
      <c r="H3944" s="1">
        <v>-6.3110460000000002E-6</v>
      </c>
      <c r="I3944">
        <v>136.99870000000001</v>
      </c>
      <c r="J3944">
        <v>-369.59989999999999</v>
      </c>
      <c r="K3944">
        <v>1.1110549999999999</v>
      </c>
      <c r="L3944">
        <v>140.86330000000001</v>
      </c>
      <c r="M3944">
        <v>-0.99967740000000005</v>
      </c>
      <c r="N3944">
        <v>0</v>
      </c>
      <c r="O3944">
        <v>-2.1221960000000002E-2</v>
      </c>
      <c r="P3944">
        <v>-0.99601170000000006</v>
      </c>
      <c r="Q3944">
        <v>8.9152110000000007E-2</v>
      </c>
      <c r="R3944">
        <v>3.607711E-3</v>
      </c>
      <c r="S3944">
        <v>-3.0219420000000001</v>
      </c>
      <c r="T3944">
        <v>-9.4476340000000006E-2</v>
      </c>
      <c r="U3944">
        <v>-0.32916260000000003</v>
      </c>
      <c r="V3944">
        <v>2.454315E-2</v>
      </c>
      <c r="W3944">
        <v>0.10309160000000001</v>
      </c>
      <c r="X3944">
        <v>0.99436899999999995</v>
      </c>
      <c r="Y3944">
        <v>-8.7128300000000006E-2</v>
      </c>
      <c r="Z3944">
        <v>-6.964289E-4</v>
      </c>
      <c r="AA3944">
        <v>0.99619690000000005</v>
      </c>
      <c r="AB3944">
        <v>26</v>
      </c>
      <c r="AC3944">
        <v>-35.287199999999899</v>
      </c>
      <c r="AD3944">
        <v>-1.1110613110459999</v>
      </c>
      <c r="AE3944">
        <v>-3.86459999999999</v>
      </c>
      <c r="AF3944">
        <v>-3.11174464188877</v>
      </c>
      <c r="AG3944">
        <v>-1.1110613110459999</v>
      </c>
      <c r="AH3944">
        <v>35.326666571070298</v>
      </c>
      <c r="AI3944">
        <v>91.794475914497994</v>
      </c>
      <c r="AJ3944">
        <v>95.033898564817207</v>
      </c>
      <c r="AK3944">
        <v>35.480850933662801</v>
      </c>
      <c r="AL3944">
        <v>84.082773279864995</v>
      </c>
      <c r="AM3944">
        <v>88.586104901248504</v>
      </c>
      <c r="AN3944">
        <v>0.99999997618173997</v>
      </c>
    </row>
    <row r="3945" spans="1:40" x14ac:dyDescent="0.25">
      <c r="A3945" t="str">
        <f>"20190312154636669"</f>
        <v>20190312154636669</v>
      </c>
      <c r="B3945" t="str">
        <f>"1552376796661782"</f>
        <v>1552376796661782</v>
      </c>
      <c r="C3945" t="s">
        <v>40</v>
      </c>
      <c r="D3945">
        <v>4.296144</v>
      </c>
      <c r="E3945">
        <v>0.45981919999999998</v>
      </c>
      <c r="F3945" t="s">
        <v>52</v>
      </c>
      <c r="G3945">
        <v>-405.28530000000001</v>
      </c>
      <c r="H3945" s="1">
        <v>-6.5670799999999996E-6</v>
      </c>
      <c r="I3945">
        <v>137.00139999999999</v>
      </c>
      <c r="J3945">
        <v>-369.87860000000001</v>
      </c>
      <c r="K3945">
        <v>1.1110850000000001</v>
      </c>
      <c r="L3945">
        <v>140.85589999999999</v>
      </c>
      <c r="M3945">
        <v>-0.9996486</v>
      </c>
      <c r="N3945">
        <v>0</v>
      </c>
      <c r="O3945">
        <v>-2.2535639999999999E-2</v>
      </c>
      <c r="P3945">
        <v>-0.99600730000000004</v>
      </c>
      <c r="Q3945">
        <v>8.9228340000000003E-2</v>
      </c>
      <c r="R3945">
        <v>2.7739689999999998E-3</v>
      </c>
      <c r="S3945">
        <v>-3.0216059999999998</v>
      </c>
      <c r="T3945">
        <v>-9.4077350000000004E-2</v>
      </c>
      <c r="U3945">
        <v>-0.3269958</v>
      </c>
      <c r="V3945">
        <v>2.500933E-2</v>
      </c>
      <c r="W3945">
        <v>0.1031685</v>
      </c>
      <c r="X3945">
        <v>0.99434940000000005</v>
      </c>
      <c r="Y3945">
        <v>-8.5126720000000003E-2</v>
      </c>
      <c r="Z3945">
        <v>-6.2178519999999998E-4</v>
      </c>
      <c r="AA3945">
        <v>0.99636999999999998</v>
      </c>
      <c r="AB3945">
        <v>26</v>
      </c>
      <c r="AC3945">
        <v>-35.406700000000001</v>
      </c>
      <c r="AD3945">
        <v>-1.1110915670799999</v>
      </c>
      <c r="AE3945">
        <v>-3.8544999999999998</v>
      </c>
      <c r="AF3945">
        <v>-3.05255972022184</v>
      </c>
      <c r="AG3945">
        <v>-1.1110915670799999</v>
      </c>
      <c r="AH3945">
        <v>35.4500776456537</v>
      </c>
      <c r="AI3945">
        <v>91.788586904772004</v>
      </c>
      <c r="AJ3945">
        <v>94.921524545664994</v>
      </c>
      <c r="AK3945">
        <v>35.598604613086103</v>
      </c>
      <c r="AL3945">
        <v>84.0783435639879</v>
      </c>
      <c r="AM3945">
        <v>88.559231777813906</v>
      </c>
      <c r="AN3945">
        <v>0.99999996762982801</v>
      </c>
    </row>
    <row r="3946" spans="1:40" x14ac:dyDescent="0.25">
      <c r="A3946" t="str">
        <f>"20190312154636691"</f>
        <v>20190312154636691</v>
      </c>
      <c r="B3946" t="str">
        <f>"1552376796681301"</f>
        <v>1552376796681301</v>
      </c>
      <c r="C3946" t="s">
        <v>40</v>
      </c>
      <c r="D3946">
        <v>4.3204909999999996</v>
      </c>
      <c r="E3946">
        <v>0.46019589999999999</v>
      </c>
      <c r="F3946" t="s">
        <v>52</v>
      </c>
      <c r="G3946">
        <v>-406.15769999999998</v>
      </c>
      <c r="H3946" s="1">
        <v>-7.130448E-6</v>
      </c>
      <c r="I3946">
        <v>136.93350000000001</v>
      </c>
      <c r="J3946">
        <v>-370.13400000000001</v>
      </c>
      <c r="K3946">
        <v>1.111113</v>
      </c>
      <c r="L3946">
        <v>140.84870000000001</v>
      </c>
      <c r="M3946">
        <v>-0.99961979999999995</v>
      </c>
      <c r="N3946">
        <v>0</v>
      </c>
      <c r="O3946">
        <v>-2.377572E-2</v>
      </c>
      <c r="P3946">
        <v>-0.99598439999999999</v>
      </c>
      <c r="Q3946">
        <v>8.9509140000000001E-2</v>
      </c>
      <c r="R3946">
        <v>1.7896349999999999E-3</v>
      </c>
      <c r="S3946">
        <v>-3.0212400000000001</v>
      </c>
      <c r="T3946">
        <v>-9.2529299999999995E-2</v>
      </c>
      <c r="U3946">
        <v>-0.32664490000000002</v>
      </c>
      <c r="V3946">
        <v>2.5252819999999999E-2</v>
      </c>
      <c r="W3946">
        <v>0.10344929999999999</v>
      </c>
      <c r="X3946">
        <v>0.99431409999999998</v>
      </c>
      <c r="Y3946">
        <v>-8.3791290000000004E-2</v>
      </c>
      <c r="Z3946">
        <v>-5.5341769999999997E-4</v>
      </c>
      <c r="AA3946">
        <v>0.99648309999999996</v>
      </c>
      <c r="AB3946">
        <v>26</v>
      </c>
      <c r="AC3946">
        <v>-36.023699999999899</v>
      </c>
      <c r="AD3946">
        <v>-1.1111201304480001</v>
      </c>
      <c r="AE3946">
        <v>-3.9151999999999898</v>
      </c>
      <c r="AF3946">
        <v>-3.0546479672800602</v>
      </c>
      <c r="AG3946">
        <v>-1.1111201304480001</v>
      </c>
      <c r="AH3946">
        <v>36.072693006729203</v>
      </c>
      <c r="AI3946">
        <v>91.757993284522996</v>
      </c>
      <c r="AJ3946">
        <v>94.840278730770805</v>
      </c>
      <c r="AK3946">
        <v>36.218843754405398</v>
      </c>
      <c r="AL3946">
        <v>84.062168529394796</v>
      </c>
      <c r="AM3946">
        <v>88.545158880143603</v>
      </c>
      <c r="AN3946">
        <v>0.99999999602362599</v>
      </c>
    </row>
    <row r="3947" spans="1:40" x14ac:dyDescent="0.25">
      <c r="A3947" t="str">
        <f>"20190312154636714"</f>
        <v>20190312154636714</v>
      </c>
      <c r="B3947" t="str">
        <f>"1552376796701798"</f>
        <v>1552376796701798</v>
      </c>
      <c r="C3947" t="s">
        <v>40</v>
      </c>
      <c r="D3947">
        <v>4.3335119999999998</v>
      </c>
      <c r="E3947">
        <v>0.46055000000000001</v>
      </c>
      <c r="F3947" t="s">
        <v>52</v>
      </c>
      <c r="G3947">
        <v>-406.80290000000002</v>
      </c>
      <c r="H3947" s="1">
        <v>-7.519724E-6</v>
      </c>
      <c r="I3947">
        <v>136.88579999999999</v>
      </c>
      <c r="J3947">
        <v>-370.39949999999999</v>
      </c>
      <c r="K3947">
        <v>1.1111340000000001</v>
      </c>
      <c r="L3947">
        <v>140.8409</v>
      </c>
      <c r="M3947">
        <v>-0.99958780000000003</v>
      </c>
      <c r="N3947">
        <v>0</v>
      </c>
      <c r="O3947">
        <v>-2.5095320000000001E-2</v>
      </c>
      <c r="P3947">
        <v>-0.99595020000000001</v>
      </c>
      <c r="Q3947">
        <v>8.9904979999999995E-2</v>
      </c>
      <c r="R3947">
        <v>6.0726319999999999E-4</v>
      </c>
      <c r="S3947">
        <v>-3.0208740000000001</v>
      </c>
      <c r="T3947">
        <v>-9.1536640000000002E-2</v>
      </c>
      <c r="U3947">
        <v>-0.32647710000000002</v>
      </c>
      <c r="V3947">
        <v>2.5378459999999999E-2</v>
      </c>
      <c r="W3947">
        <v>0.1038443</v>
      </c>
      <c r="X3947">
        <v>0.99426970000000003</v>
      </c>
      <c r="Y3947">
        <v>-8.2435729999999999E-2</v>
      </c>
      <c r="Z3947">
        <v>-4.8724819999999998E-4</v>
      </c>
      <c r="AA3947">
        <v>0.99659629999999999</v>
      </c>
      <c r="AB3947">
        <v>26</v>
      </c>
      <c r="AC3947">
        <v>-36.403399999999998</v>
      </c>
      <c r="AD3947">
        <v>-1.111141519724</v>
      </c>
      <c r="AE3947">
        <v>-3.9551000000000101</v>
      </c>
      <c r="AF3947">
        <v>-3.0374135359640202</v>
      </c>
      <c r="AG3947">
        <v>-1.111141519724</v>
      </c>
      <c r="AH3947">
        <v>36.457627486558103</v>
      </c>
      <c r="AI3947">
        <v>91.739674799676905</v>
      </c>
      <c r="AJ3947">
        <v>94.762514702164793</v>
      </c>
      <c r="AK3947">
        <v>36.600807619695303</v>
      </c>
      <c r="AL3947">
        <v>84.039413992872596</v>
      </c>
      <c r="AM3947">
        <v>88.537858501658405</v>
      </c>
      <c r="AN3947">
        <v>0.99999997060627499</v>
      </c>
    </row>
    <row r="3948" spans="1:40" x14ac:dyDescent="0.25">
      <c r="A3948" t="str">
        <f>"20190312154636734"</f>
        <v>20190312154636734</v>
      </c>
      <c r="B3948" t="str">
        <f>"1552376796721318"</f>
        <v>1552376796721318</v>
      </c>
      <c r="C3948" t="s">
        <v>40</v>
      </c>
      <c r="D3948">
        <v>4.302753</v>
      </c>
      <c r="E3948">
        <v>0.46090350000000002</v>
      </c>
      <c r="F3948" t="s">
        <v>52</v>
      </c>
      <c r="G3948">
        <v>-407.72399999999999</v>
      </c>
      <c r="H3948" s="1">
        <v>-8.0549729999999994E-6</v>
      </c>
      <c r="I3948">
        <v>136.79849999999999</v>
      </c>
      <c r="J3948">
        <v>-370.63810000000001</v>
      </c>
      <c r="K3948">
        <v>1.111151</v>
      </c>
      <c r="L3948">
        <v>140.83359999999999</v>
      </c>
      <c r="M3948">
        <v>-0.99955689999999997</v>
      </c>
      <c r="N3948">
        <v>0</v>
      </c>
      <c r="O3948">
        <v>-2.6300690000000002E-2</v>
      </c>
      <c r="P3948">
        <v>-0.995869</v>
      </c>
      <c r="Q3948">
        <v>9.080241E-2</v>
      </c>
      <c r="R3948">
        <v>-3.5271E-4</v>
      </c>
      <c r="S3948">
        <v>-3.020508</v>
      </c>
      <c r="T3948">
        <v>-8.9919810000000003E-2</v>
      </c>
      <c r="U3948">
        <v>-0.32713320000000001</v>
      </c>
      <c r="V3948">
        <v>2.5612179999999998E-2</v>
      </c>
      <c r="W3948">
        <v>0.1047392</v>
      </c>
      <c r="X3948">
        <v>0.99416990000000005</v>
      </c>
      <c r="Y3948">
        <v>-8.1462670000000001E-2</v>
      </c>
      <c r="Z3948">
        <v>-4.2851869999999999E-4</v>
      </c>
      <c r="AA3948">
        <v>0.99667629999999996</v>
      </c>
      <c r="AB3948">
        <v>26</v>
      </c>
      <c r="AC3948">
        <v>-37.085899999999903</v>
      </c>
      <c r="AD3948">
        <v>-1.1111590549729999</v>
      </c>
      <c r="AE3948">
        <v>-4.0350999999999999</v>
      </c>
      <c r="AF3948">
        <v>-3.0555135092510999</v>
      </c>
      <c r="AG3948">
        <v>-1.1111590549729999</v>
      </c>
      <c r="AH3948">
        <v>37.146248551725002</v>
      </c>
      <c r="AI3948">
        <v>91.707619066587597</v>
      </c>
      <c r="AJ3948">
        <v>94.702353203491498</v>
      </c>
      <c r="AK3948">
        <v>37.288263820097598</v>
      </c>
      <c r="AL3948">
        <v>83.9878592534061</v>
      </c>
      <c r="AM3948">
        <v>88.524250941340497</v>
      </c>
      <c r="AN3948">
        <v>1.0000000369235</v>
      </c>
    </row>
    <row r="3949" spans="1:40" x14ac:dyDescent="0.25">
      <c r="A3949" t="str">
        <f>"20190312154636757"</f>
        <v>20190312154636757</v>
      </c>
      <c r="B3949" t="str">
        <f>"1552376796751663"</f>
        <v>1552376796751663</v>
      </c>
      <c r="C3949" t="s">
        <v>40</v>
      </c>
      <c r="D3949">
        <v>4.3016680000000003</v>
      </c>
      <c r="E3949">
        <v>0.46140370000000003</v>
      </c>
      <c r="F3949" t="s">
        <v>52</v>
      </c>
      <c r="G3949">
        <v>-409.24439999999998</v>
      </c>
      <c r="H3949" s="1">
        <v>-8.9379520000000002E-6</v>
      </c>
      <c r="I3949">
        <v>136.65309999999999</v>
      </c>
      <c r="J3949">
        <v>-370.90440000000001</v>
      </c>
      <c r="K3949">
        <v>1.1111759999999999</v>
      </c>
      <c r="L3949">
        <v>140.82499999999999</v>
      </c>
      <c r="M3949">
        <v>-0.99952010000000002</v>
      </c>
      <c r="N3949">
        <v>0</v>
      </c>
      <c r="O3949">
        <v>-2.7660230000000001E-2</v>
      </c>
      <c r="P3949">
        <v>-0.99572629999999995</v>
      </c>
      <c r="Q3949">
        <v>9.2339190000000002E-2</v>
      </c>
      <c r="R3949">
        <v>-1.750396E-3</v>
      </c>
      <c r="S3949">
        <v>-3.0202330000000002</v>
      </c>
      <c r="T3949">
        <v>-8.6927770000000001E-2</v>
      </c>
      <c r="U3949">
        <v>-0.32704159999999999</v>
      </c>
      <c r="V3949">
        <v>2.5559970000000001E-2</v>
      </c>
      <c r="W3949">
        <v>0.1062722</v>
      </c>
      <c r="X3949">
        <v>0.99400849999999996</v>
      </c>
      <c r="Y3949">
        <v>-8.0089460000000001E-2</v>
      </c>
      <c r="Z3949">
        <v>-3.5563130000000002E-4</v>
      </c>
      <c r="AA3949">
        <v>0.9967876</v>
      </c>
      <c r="AB3949">
        <v>26</v>
      </c>
      <c r="AC3949">
        <v>-38.339999999999897</v>
      </c>
      <c r="AD3949">
        <v>-1.111184937952</v>
      </c>
      <c r="AE3949">
        <v>-4.1718999999999902</v>
      </c>
      <c r="AF3949">
        <v>-3.1071277101526098</v>
      </c>
      <c r="AG3949">
        <v>-1.111184937952</v>
      </c>
      <c r="AH3949">
        <v>38.408849432229303</v>
      </c>
      <c r="AI3949">
        <v>91.651737107430506</v>
      </c>
      <c r="AJ3949">
        <v>94.624936206657097</v>
      </c>
      <c r="AK3949">
        <v>38.550339677896403</v>
      </c>
      <c r="AL3949">
        <v>83.899531580932504</v>
      </c>
      <c r="AM3949">
        <v>88.527018876843201</v>
      </c>
      <c r="AN3949">
        <v>0.99999999531574502</v>
      </c>
    </row>
    <row r="3950" spans="1:40" x14ac:dyDescent="0.25">
      <c r="A3950" t="str">
        <f>"20190312154636779"</f>
        <v>20190312154636779</v>
      </c>
      <c r="B3950" t="str">
        <f>"1552376796771186"</f>
        <v>1552376796771186</v>
      </c>
      <c r="C3950" t="s">
        <v>40</v>
      </c>
      <c r="D3950">
        <v>4.3175559999999997</v>
      </c>
      <c r="E3950">
        <v>0.46170630000000001</v>
      </c>
      <c r="F3950" t="s">
        <v>52</v>
      </c>
      <c r="G3950">
        <v>-411.76819999999998</v>
      </c>
      <c r="H3950" s="1">
        <v>-9.1115739999999998E-6</v>
      </c>
      <c r="I3950">
        <v>136.3982</v>
      </c>
      <c r="J3950">
        <v>-371.15879999999999</v>
      </c>
      <c r="K3950">
        <v>1.1111799999999901</v>
      </c>
      <c r="L3950">
        <v>140.81649999999999</v>
      </c>
      <c r="M3950">
        <v>-0.99948320000000002</v>
      </c>
      <c r="N3950">
        <v>0</v>
      </c>
      <c r="O3950">
        <v>-2.8963869999999999E-2</v>
      </c>
      <c r="P3950">
        <v>-0.99562910000000004</v>
      </c>
      <c r="Q3950">
        <v>9.3325630000000007E-2</v>
      </c>
      <c r="R3950">
        <v>-3.6234230000000002E-3</v>
      </c>
      <c r="S3950">
        <v>-3.0198969999999998</v>
      </c>
      <c r="T3950">
        <v>-8.2118269999999993E-2</v>
      </c>
      <c r="U3950">
        <v>-0.32714840000000001</v>
      </c>
      <c r="V3950">
        <v>2.4980200000000001E-2</v>
      </c>
      <c r="W3950">
        <v>0.1072541</v>
      </c>
      <c r="X3950">
        <v>0.99391779999999996</v>
      </c>
      <c r="Y3950">
        <v>-7.8839259999999994E-2</v>
      </c>
      <c r="Z3950">
        <v>-2.8374869999999998E-4</v>
      </c>
      <c r="AA3950">
        <v>0.99688730000000003</v>
      </c>
      <c r="AB3950">
        <v>26</v>
      </c>
      <c r="AC3950">
        <v>-40.609400000000001</v>
      </c>
      <c r="AD3950">
        <v>-1.11118911157399</v>
      </c>
      <c r="AE3950">
        <v>-4.4182999999999799</v>
      </c>
      <c r="AF3950">
        <v>-3.23773042763976</v>
      </c>
      <c r="AG3950">
        <v>-1.11118911157399</v>
      </c>
      <c r="AH3950">
        <v>40.690233481073498</v>
      </c>
      <c r="AI3950">
        <v>91.559346631655004</v>
      </c>
      <c r="AJ3950">
        <v>94.549451877512496</v>
      </c>
      <c r="AK3950">
        <v>40.833965522687301</v>
      </c>
      <c r="AL3950">
        <v>83.842949625822001</v>
      </c>
      <c r="AM3950">
        <v>88.560284579090194</v>
      </c>
      <c r="AN3950">
        <v>1.0000000227578401</v>
      </c>
    </row>
    <row r="3951" spans="1:40" x14ac:dyDescent="0.25">
      <c r="A3951" t="str">
        <f>"20190312154636801"</f>
        <v>20190312154636801</v>
      </c>
      <c r="B3951" t="str">
        <f>"1552376796791678"</f>
        <v>1552376796791678</v>
      </c>
      <c r="C3951" t="s">
        <v>40</v>
      </c>
      <c r="D3951">
        <v>4.2897540000000003</v>
      </c>
      <c r="E3951">
        <v>0.46197949999999999</v>
      </c>
      <c r="F3951" t="s">
        <v>52</v>
      </c>
      <c r="G3951">
        <v>-413.46440000000001</v>
      </c>
      <c r="H3951" s="1">
        <v>-8.8703569999999997E-6</v>
      </c>
      <c r="I3951">
        <v>136.18719999999999</v>
      </c>
      <c r="J3951">
        <v>-371.41239999999999</v>
      </c>
      <c r="K3951">
        <v>1.111183</v>
      </c>
      <c r="L3951">
        <v>140.80770000000001</v>
      </c>
      <c r="M3951">
        <v>-0.99944469999999996</v>
      </c>
      <c r="N3951">
        <v>0</v>
      </c>
      <c r="O3951">
        <v>-3.026363E-2</v>
      </c>
      <c r="P3951">
        <v>-0.99555329999999997</v>
      </c>
      <c r="Q3951">
        <v>9.4015639999999998E-2</v>
      </c>
      <c r="R3951">
        <v>-5.9087840000000003E-3</v>
      </c>
      <c r="S3951">
        <v>-3.019409</v>
      </c>
      <c r="T3951">
        <v>-7.9307080000000002E-2</v>
      </c>
      <c r="U3951">
        <v>-0.33039859999999999</v>
      </c>
      <c r="V3951">
        <v>2.39866E-2</v>
      </c>
      <c r="W3951">
        <v>0.1079386</v>
      </c>
      <c r="X3951">
        <v>0.99386819999999998</v>
      </c>
      <c r="Y3951">
        <v>-7.8622330000000004E-2</v>
      </c>
      <c r="Z3951">
        <v>-2.372334E-4</v>
      </c>
      <c r="AA3951">
        <v>0.99690440000000002</v>
      </c>
      <c r="AB3951">
        <v>26</v>
      </c>
      <c r="AC3951">
        <v>-42.052</v>
      </c>
      <c r="AD3951">
        <v>-1.1111918703569901</v>
      </c>
      <c r="AE3951">
        <v>-4.6205000000000203</v>
      </c>
      <c r="AF3951">
        <v>-3.3433067001111998</v>
      </c>
      <c r="AG3951">
        <v>-1.1111918703569901</v>
      </c>
      <c r="AH3951">
        <v>42.143505823105897</v>
      </c>
      <c r="AI3951">
        <v>91.505631575546204</v>
      </c>
      <c r="AJ3951">
        <v>94.535859465543993</v>
      </c>
      <c r="AK3951">
        <v>42.2905134767351</v>
      </c>
      <c r="AL3951">
        <v>83.803501817172602</v>
      </c>
      <c r="AM3951">
        <v>88.617458332260298</v>
      </c>
      <c r="AN3951">
        <v>1.00000004866037</v>
      </c>
    </row>
    <row r="3952" spans="1:40" x14ac:dyDescent="0.25">
      <c r="A3952" t="str">
        <f>"20190312154636823"</f>
        <v>20190312154636823</v>
      </c>
      <c r="B3952" t="str">
        <f>"1552376796811199"</f>
        <v>1552376796811199</v>
      </c>
      <c r="C3952" t="s">
        <v>40</v>
      </c>
      <c r="D3952">
        <v>4.3371469999999999</v>
      </c>
      <c r="E3952">
        <v>0.46227960000000001</v>
      </c>
      <c r="F3952" t="s">
        <v>52</v>
      </c>
      <c r="G3952">
        <v>-414.83150000000001</v>
      </c>
      <c r="H3952" s="1">
        <v>-8.6624539999999996E-6</v>
      </c>
      <c r="I3952">
        <v>135.9863</v>
      </c>
      <c r="J3952">
        <v>-371.6644</v>
      </c>
      <c r="K3952">
        <v>1.1111879999999901</v>
      </c>
      <c r="L3952">
        <v>140.79859999999999</v>
      </c>
      <c r="M3952">
        <v>-0.99940479999999998</v>
      </c>
      <c r="N3952">
        <v>0</v>
      </c>
      <c r="O3952">
        <v>-3.1553209999999998E-2</v>
      </c>
      <c r="P3952">
        <v>-0.99550320000000003</v>
      </c>
      <c r="Q3952">
        <v>9.4449450000000004E-2</v>
      </c>
      <c r="R3952">
        <v>-7.2843269999999898E-3</v>
      </c>
      <c r="S3952">
        <v>-3.018707</v>
      </c>
      <c r="T3952">
        <v>-7.7255370000000004E-2</v>
      </c>
      <c r="U3952">
        <v>-0.33520509999999998</v>
      </c>
      <c r="V3952">
        <v>2.3894410000000001E-2</v>
      </c>
      <c r="W3952">
        <v>0.1083691</v>
      </c>
      <c r="X3952">
        <v>0.99382349999999997</v>
      </c>
      <c r="Y3952">
        <v>-7.8930479999999997E-2</v>
      </c>
      <c r="Z3952">
        <v>-2.0220620000000001E-4</v>
      </c>
      <c r="AA3952">
        <v>0.99688010000000005</v>
      </c>
      <c r="AB3952">
        <v>26</v>
      </c>
      <c r="AC3952">
        <v>-43.167099999999998</v>
      </c>
      <c r="AD3952">
        <v>-1.111196662454</v>
      </c>
      <c r="AE3952">
        <v>-4.8122999999999898</v>
      </c>
      <c r="AF3952">
        <v>-3.4454552889189398</v>
      </c>
      <c r="AG3952">
        <v>-1.111196662454</v>
      </c>
      <c r="AH3952">
        <v>43.269140248601197</v>
      </c>
      <c r="AI3952">
        <v>91.466452267504195</v>
      </c>
      <c r="AJ3952">
        <v>94.552768712458104</v>
      </c>
      <c r="AK3952">
        <v>43.420322638411101</v>
      </c>
      <c r="AL3952">
        <v>83.778689997624696</v>
      </c>
      <c r="AM3952">
        <v>88.622708015823207</v>
      </c>
      <c r="AN3952">
        <v>0.99999997690815301</v>
      </c>
    </row>
    <row r="3953" spans="1:40" x14ac:dyDescent="0.25">
      <c r="A3953" t="str">
        <f>"20190312154636846"</f>
        <v>20190312154636846</v>
      </c>
      <c r="B3953" t="str">
        <f>"1552376796841455"</f>
        <v>1552376796841455</v>
      </c>
      <c r="C3953" t="s">
        <v>40</v>
      </c>
      <c r="D3953">
        <v>4.2956799999999999</v>
      </c>
      <c r="E3953">
        <v>0.46982889999999999</v>
      </c>
      <c r="F3953" t="s">
        <v>52</v>
      </c>
      <c r="G3953">
        <v>-415.78800000000001</v>
      </c>
      <c r="H3953" s="1">
        <v>-8.5278940000000004E-6</v>
      </c>
      <c r="I3953">
        <v>135.8707</v>
      </c>
      <c r="J3953">
        <v>-371.92189999999999</v>
      </c>
      <c r="K3953">
        <v>1.1111850000000001</v>
      </c>
      <c r="L3953">
        <v>140.78899999999999</v>
      </c>
      <c r="M3953">
        <v>-0.99936259999999999</v>
      </c>
      <c r="N3953">
        <v>0</v>
      </c>
      <c r="O3953">
        <v>-3.2866729999999997E-2</v>
      </c>
      <c r="P3953">
        <v>-0.99549869999999996</v>
      </c>
      <c r="Q3953">
        <v>9.4423800000000002E-2</v>
      </c>
      <c r="R3953">
        <v>-8.161148E-3</v>
      </c>
      <c r="S3953">
        <v>-3.0183110000000002</v>
      </c>
      <c r="T3953">
        <v>-7.6012369999999996E-2</v>
      </c>
      <c r="U3953">
        <v>-0.33709719999999999</v>
      </c>
      <c r="V3953">
        <v>2.4327080000000001E-2</v>
      </c>
      <c r="W3953">
        <v>0.1083416</v>
      </c>
      <c r="X3953">
        <v>0.99381600000000003</v>
      </c>
      <c r="Y3953">
        <v>-7.8252959999999996E-2</v>
      </c>
      <c r="Z3953">
        <v>-1.5753920000000001E-4</v>
      </c>
      <c r="AA3953">
        <v>0.99693350000000003</v>
      </c>
      <c r="AB3953">
        <v>26</v>
      </c>
      <c r="AC3953">
        <v>-43.866100000000003</v>
      </c>
      <c r="AD3953">
        <v>-1.1111935278939999</v>
      </c>
      <c r="AE3953">
        <v>-4.9182999999999799</v>
      </c>
      <c r="AF3953">
        <v>-3.4715670873156399</v>
      </c>
      <c r="AG3953">
        <v>-1.1111935278939999</v>
      </c>
      <c r="AH3953">
        <v>43.9761920749662</v>
      </c>
      <c r="AI3953">
        <v>91.442958554475894</v>
      </c>
      <c r="AJ3953">
        <v>94.513680875133701</v>
      </c>
      <c r="AK3953">
        <v>44.126998521454901</v>
      </c>
      <c r="AL3953">
        <v>83.780274954625796</v>
      </c>
      <c r="AM3953">
        <v>88.597767878309597</v>
      </c>
      <c r="AN3953">
        <v>0.99999997548394204</v>
      </c>
    </row>
    <row r="3954" spans="1:40" x14ac:dyDescent="0.25">
      <c r="A3954" t="str">
        <f>"20190312154636870"</f>
        <v>20190312154636870</v>
      </c>
      <c r="B3954" t="str">
        <f>"1552376796861360"</f>
        <v>1552376796861360</v>
      </c>
      <c r="C3954" t="s">
        <v>40</v>
      </c>
      <c r="D3954">
        <v>4.321752</v>
      </c>
      <c r="E3954">
        <v>0.46979130000000002</v>
      </c>
      <c r="F3954" t="s">
        <v>52</v>
      </c>
      <c r="G3954">
        <v>-410.12599999999998</v>
      </c>
      <c r="H3954" s="1">
        <v>-9.6268189999999994E-6</v>
      </c>
      <c r="I3954">
        <v>137.24690000000001</v>
      </c>
      <c r="J3954">
        <v>-372.19439999999997</v>
      </c>
      <c r="K3954">
        <v>1.111183</v>
      </c>
      <c r="L3954">
        <v>140.7784</v>
      </c>
      <c r="M3954">
        <v>-0.99931599999999998</v>
      </c>
      <c r="N3954">
        <v>0</v>
      </c>
      <c r="O3954">
        <v>-3.4252350000000001E-2</v>
      </c>
      <c r="P3954">
        <v>-0.99548939999999997</v>
      </c>
      <c r="Q3954">
        <v>9.4495590000000004E-2</v>
      </c>
      <c r="R3954">
        <v>-8.4567119999999999E-3</v>
      </c>
      <c r="S3954">
        <v>-3.0195620000000001</v>
      </c>
      <c r="T3954">
        <v>-8.7826249999999995E-2</v>
      </c>
      <c r="U3954">
        <v>-0.27995300000000001</v>
      </c>
      <c r="V3954">
        <v>2.5412540000000001E-2</v>
      </c>
      <c r="W3954">
        <v>0.1084127</v>
      </c>
      <c r="X3954">
        <v>0.99378109999999997</v>
      </c>
      <c r="Y3954">
        <v>-5.814362E-2</v>
      </c>
      <c r="Z3954">
        <v>1.4988339999999999E-4</v>
      </c>
      <c r="AA3954">
        <v>0.99830819999999998</v>
      </c>
      <c r="AB3954">
        <v>26</v>
      </c>
      <c r="AC3954">
        <v>-37.931600000000003</v>
      </c>
      <c r="AD3954">
        <v>-1.111192626819</v>
      </c>
      <c r="AE3954">
        <v>-3.5314999999999901</v>
      </c>
      <c r="AF3954">
        <v>-2.2281589641339101</v>
      </c>
      <c r="AG3954">
        <v>-1.111192626819</v>
      </c>
      <c r="AH3954">
        <v>37.997983214110199</v>
      </c>
      <c r="AI3954">
        <v>91.672178837340596</v>
      </c>
      <c r="AJ3954">
        <v>93.355917077654496</v>
      </c>
      <c r="AK3954">
        <v>38.079471763184202</v>
      </c>
      <c r="AL3954">
        <v>83.776177195207495</v>
      </c>
      <c r="AM3954">
        <v>88.535176363855101</v>
      </c>
      <c r="AN3954">
        <v>0.99999999271387496</v>
      </c>
    </row>
    <row r="3955" spans="1:40" x14ac:dyDescent="0.25">
      <c r="A3955" t="str">
        <f>"20190312154636891"</f>
        <v>20190312154636891</v>
      </c>
      <c r="B3955" t="str">
        <f>"1552376796881856"</f>
        <v>1552376796881856</v>
      </c>
      <c r="C3955" t="s">
        <v>40</v>
      </c>
      <c r="D3955">
        <v>4.3346809999999998</v>
      </c>
      <c r="E3955">
        <v>0.46986159999999999</v>
      </c>
      <c r="F3955" t="s">
        <v>52</v>
      </c>
      <c r="G3955">
        <v>-409.45850000000002</v>
      </c>
      <c r="H3955" s="1">
        <v>-9.3572810000000007E-6</v>
      </c>
      <c r="I3955">
        <v>137.3075</v>
      </c>
      <c r="J3955">
        <v>-372.44009999999997</v>
      </c>
      <c r="K3955">
        <v>1.1111759999999999</v>
      </c>
      <c r="L3955">
        <v>140.76859999999999</v>
      </c>
      <c r="M3955">
        <v>-0.99927259999999996</v>
      </c>
      <c r="N3955">
        <v>0</v>
      </c>
      <c r="O3955">
        <v>-3.5499589999999998E-2</v>
      </c>
      <c r="P3955">
        <v>-0.99545450000000002</v>
      </c>
      <c r="Q3955">
        <v>9.4913029999999995E-2</v>
      </c>
      <c r="R3955">
        <v>-7.8797699999999995E-3</v>
      </c>
      <c r="S3955">
        <v>-3.0197449999999999</v>
      </c>
      <c r="T3955">
        <v>-9.0046879999999996E-2</v>
      </c>
      <c r="U3955">
        <v>-0.2812653</v>
      </c>
      <c r="V3955">
        <v>2.7230150000000002E-2</v>
      </c>
      <c r="W3955">
        <v>0.1088298</v>
      </c>
      <c r="X3955">
        <v>0.9936874</v>
      </c>
      <c r="Y3955">
        <v>-5.7322539999999998E-2</v>
      </c>
      <c r="Z3955">
        <v>2.0293000000000001E-4</v>
      </c>
      <c r="AA3955">
        <v>0.99835569999999896</v>
      </c>
      <c r="AB3955">
        <v>26</v>
      </c>
      <c r="AC3955">
        <v>-37.0184</v>
      </c>
      <c r="AD3955">
        <v>-1.111185357281</v>
      </c>
      <c r="AE3955">
        <v>-3.4610999999999801</v>
      </c>
      <c r="AF3955">
        <v>-2.1427385343821901</v>
      </c>
      <c r="AG3955">
        <v>-1.111185357281</v>
      </c>
      <c r="AH3955">
        <v>37.084817139499002</v>
      </c>
      <c r="AI3955">
        <v>91.713404025783007</v>
      </c>
      <c r="AJ3955">
        <v>93.306839195931204</v>
      </c>
      <c r="AK3955">
        <v>37.163284617953799</v>
      </c>
      <c r="AL3955">
        <v>83.752137103007797</v>
      </c>
      <c r="AM3955">
        <v>88.430308849032897</v>
      </c>
      <c r="AN3955">
        <v>1.00000002767791</v>
      </c>
    </row>
    <row r="3956" spans="1:40" x14ac:dyDescent="0.25">
      <c r="A3956" t="str">
        <f>"20190312154636915"</f>
        <v>20190312154636915</v>
      </c>
      <c r="B3956" t="str">
        <f>"1552376796901378"</f>
        <v>1552376796901378</v>
      </c>
      <c r="C3956" t="s">
        <v>40</v>
      </c>
      <c r="D3956">
        <v>4.325539</v>
      </c>
      <c r="E3956">
        <v>0.46982360000000001</v>
      </c>
      <c r="F3956" t="s">
        <v>52</v>
      </c>
      <c r="G3956">
        <v>-410.82440000000003</v>
      </c>
      <c r="H3956" s="1">
        <v>-9.5555860000000005E-6</v>
      </c>
      <c r="I3956">
        <v>137.2243</v>
      </c>
      <c r="J3956">
        <v>-372.7011</v>
      </c>
      <c r="K3956">
        <v>1.1111789999999999</v>
      </c>
      <c r="L3956">
        <v>140.7578</v>
      </c>
      <c r="M3956">
        <v>-0.99922480000000002</v>
      </c>
      <c r="N3956">
        <v>0</v>
      </c>
      <c r="O3956">
        <v>-3.6822050000000002E-2</v>
      </c>
      <c r="P3956">
        <v>-0.99550470000000002</v>
      </c>
      <c r="Q3956">
        <v>9.439264E-2</v>
      </c>
      <c r="R3956">
        <v>-7.7791700000000002E-3</v>
      </c>
      <c r="S3956">
        <v>-3.0198360000000002</v>
      </c>
      <c r="T3956">
        <v>-8.7421299999999993E-2</v>
      </c>
      <c r="U3956">
        <v>-0.27883909999999901</v>
      </c>
      <c r="V3956">
        <v>2.865169E-2</v>
      </c>
      <c r="W3956">
        <v>0.1083094</v>
      </c>
      <c r="X3956">
        <v>0.99370429999999998</v>
      </c>
      <c r="Y3956">
        <v>-5.5205070000000002E-2</v>
      </c>
      <c r="Z3956">
        <v>2.6574600000000003E-4</v>
      </c>
      <c r="AA3956">
        <v>0.998475</v>
      </c>
      <c r="AB3956">
        <v>26</v>
      </c>
      <c r="AC3956">
        <v>-38.1233</v>
      </c>
      <c r="AD3956">
        <v>-1.1111885555859999</v>
      </c>
      <c r="AE3956">
        <v>-3.5335000000000001</v>
      </c>
      <c r="AF3956">
        <v>-2.1253987749114298</v>
      </c>
      <c r="AG3956">
        <v>-1.1111885555859999</v>
      </c>
      <c r="AH3956">
        <v>38.195391630814001</v>
      </c>
      <c r="AI3956">
        <v>91.663818643075302</v>
      </c>
      <c r="AJ3956">
        <v>93.184963352642697</v>
      </c>
      <c r="AK3956">
        <v>38.270615382950297</v>
      </c>
      <c r="AL3956">
        <v>83.782131206342996</v>
      </c>
      <c r="AM3956">
        <v>88.348436031892106</v>
      </c>
      <c r="AN3956">
        <v>1.00000004065335</v>
      </c>
    </row>
    <row r="3957" spans="1:40" x14ac:dyDescent="0.25">
      <c r="A3957" t="str">
        <f>"20190312154636936"</f>
        <v>20190312154636936</v>
      </c>
      <c r="B3957" t="str">
        <f>"1552376796931632"</f>
        <v>1552376796931632</v>
      </c>
      <c r="C3957" t="s">
        <v>40</v>
      </c>
      <c r="D3957">
        <v>4.3646099999999999</v>
      </c>
      <c r="E3957">
        <v>0.47002850000000002</v>
      </c>
      <c r="F3957" t="s">
        <v>52</v>
      </c>
      <c r="G3957">
        <v>-409.99380000000002</v>
      </c>
      <c r="H3957" s="1">
        <v>-9.6684030000000003E-6</v>
      </c>
      <c r="I3957">
        <v>137.31549999999999</v>
      </c>
      <c r="J3957">
        <v>-372.93959999999998</v>
      </c>
      <c r="K3957">
        <v>1.111175</v>
      </c>
      <c r="L3957">
        <v>140.74760000000001</v>
      </c>
      <c r="M3957">
        <v>-0.9991795</v>
      </c>
      <c r="N3957">
        <v>0</v>
      </c>
      <c r="O3957">
        <v>-3.8030799999999997E-2</v>
      </c>
      <c r="P3957">
        <v>-0.9955716</v>
      </c>
      <c r="Q3957">
        <v>9.3647549999999996E-2</v>
      </c>
      <c r="R3957">
        <v>-8.2204129999999993E-3</v>
      </c>
      <c r="S3957">
        <v>-3.0198969999999998</v>
      </c>
      <c r="T3957">
        <v>-8.9982149999999997E-2</v>
      </c>
      <c r="U3957">
        <v>-0.27874759999999998</v>
      </c>
      <c r="V3957">
        <v>2.9419710000000002E-2</v>
      </c>
      <c r="W3957">
        <v>0.1075641</v>
      </c>
      <c r="X3957">
        <v>0.99376279999999995</v>
      </c>
      <c r="Y3957">
        <v>-5.3965920000000001E-2</v>
      </c>
      <c r="Z3957">
        <v>3.2782580000000001E-4</v>
      </c>
      <c r="AA3957">
        <v>0.99854270000000001</v>
      </c>
      <c r="AB3957">
        <v>26</v>
      </c>
      <c r="AC3957">
        <v>-37.054200000000002</v>
      </c>
      <c r="AD3957">
        <v>-1.111184668403</v>
      </c>
      <c r="AE3957">
        <v>-3.4321000000000201</v>
      </c>
      <c r="AF3957">
        <v>-2.0184793051794401</v>
      </c>
      <c r="AG3957">
        <v>-1.111184668403</v>
      </c>
      <c r="AH3957">
        <v>37.1248249218865</v>
      </c>
      <c r="AI3957">
        <v>91.711883625959402</v>
      </c>
      <c r="AJ3957">
        <v>93.112111343167001</v>
      </c>
      <c r="AK3957">
        <v>37.196258085370097</v>
      </c>
      <c r="AL3957">
        <v>83.825084621095399</v>
      </c>
      <c r="AM3957">
        <v>88.304290481751707</v>
      </c>
      <c r="AN3957">
        <v>1.0000000288045601</v>
      </c>
    </row>
    <row r="3958" spans="1:40" x14ac:dyDescent="0.25">
      <c r="A3958" t="str">
        <f>"20190312154636957"</f>
        <v>20190312154636957</v>
      </c>
      <c r="B3958" t="str">
        <f>"1552376796951152"</f>
        <v>1552376796951152</v>
      </c>
      <c r="C3958" t="s">
        <v>40</v>
      </c>
      <c r="D3958">
        <v>4.3463180000000001</v>
      </c>
      <c r="E3958">
        <v>0.47027380000000002</v>
      </c>
      <c r="F3958" t="s">
        <v>52</v>
      </c>
      <c r="G3958">
        <v>-408.63639999999998</v>
      </c>
      <c r="H3958" s="1">
        <v>-8.9090450000000004E-6</v>
      </c>
      <c r="I3958">
        <v>137.453</v>
      </c>
      <c r="J3958">
        <v>-373.20069999999998</v>
      </c>
      <c r="K3958">
        <v>1.1111709999999999</v>
      </c>
      <c r="L3958">
        <v>140.73609999999999</v>
      </c>
      <c r="M3958">
        <v>-0.99912849999999997</v>
      </c>
      <c r="N3958">
        <v>0</v>
      </c>
      <c r="O3958">
        <v>-3.9351709999999998E-2</v>
      </c>
      <c r="P3958">
        <v>-0.99559219999999904</v>
      </c>
      <c r="Q3958">
        <v>9.3331369999999997E-2</v>
      </c>
      <c r="R3958">
        <v>-9.2562879999999997E-3</v>
      </c>
      <c r="S3958">
        <v>-3.0198969999999998</v>
      </c>
      <c r="T3958">
        <v>-9.4004749999999998E-2</v>
      </c>
      <c r="U3958">
        <v>-0.27871699999999999</v>
      </c>
      <c r="V3958">
        <v>2.9702860000000001E-2</v>
      </c>
      <c r="W3958">
        <v>0.1072456</v>
      </c>
      <c r="X3958">
        <v>0.99378880000000003</v>
      </c>
      <c r="Y3958">
        <v>-5.2636410000000002E-2</v>
      </c>
      <c r="Z3958">
        <v>4.040836E-4</v>
      </c>
      <c r="AA3958">
        <v>0.99861369999999905</v>
      </c>
      <c r="AB3958">
        <v>26</v>
      </c>
      <c r="AC3958">
        <v>-35.435699999999997</v>
      </c>
      <c r="AD3958">
        <v>-1.1111799090450001</v>
      </c>
      <c r="AE3958">
        <v>-3.2830999999999899</v>
      </c>
      <c r="AF3958">
        <v>-1.8841291380065801</v>
      </c>
      <c r="AG3958">
        <v>-1.1111799090450001</v>
      </c>
      <c r="AH3958">
        <v>35.5028421754023</v>
      </c>
      <c r="AI3958">
        <v>91.790159899905206</v>
      </c>
      <c r="AJ3958">
        <v>93.037826434473899</v>
      </c>
      <c r="AK3958">
        <v>35.570162579477703</v>
      </c>
      <c r="AL3958">
        <v>83.843439502676603</v>
      </c>
      <c r="AM3958">
        <v>88.288024555806004</v>
      </c>
      <c r="AN3958">
        <v>1.00000002880848</v>
      </c>
    </row>
    <row r="3959" spans="1:40" x14ac:dyDescent="0.25">
      <c r="A3959" t="str">
        <f>"20190312154636980"</f>
        <v>20190312154636980</v>
      </c>
      <c r="B3959" t="str">
        <f>"1552376796971648"</f>
        <v>1552376796971648</v>
      </c>
      <c r="C3959" t="s">
        <v>40</v>
      </c>
      <c r="D3959">
        <v>4.3739059999999998</v>
      </c>
      <c r="E3959">
        <v>0.47035680000000002</v>
      </c>
      <c r="F3959" t="s">
        <v>52</v>
      </c>
      <c r="G3959">
        <v>-408.09030000000001</v>
      </c>
      <c r="H3959" s="1">
        <v>-8.5899439999999992E-6</v>
      </c>
      <c r="I3959">
        <v>137.50059999999999</v>
      </c>
      <c r="J3959">
        <v>-373.452</v>
      </c>
      <c r="K3959">
        <v>1.1111660000000001</v>
      </c>
      <c r="L3959">
        <v>140.72479999999999</v>
      </c>
      <c r="M3959">
        <v>-0.99907769999999996</v>
      </c>
      <c r="N3959">
        <v>0</v>
      </c>
      <c r="O3959">
        <v>-4.0620030000000001E-2</v>
      </c>
      <c r="P3959">
        <v>-0.99558029999999997</v>
      </c>
      <c r="Q3959">
        <v>9.3274889999999999E-2</v>
      </c>
      <c r="R3959">
        <v>-1.0940160000000001E-2</v>
      </c>
      <c r="S3959">
        <v>-3.0196839999999998</v>
      </c>
      <c r="T3959">
        <v>-9.6172090000000002E-2</v>
      </c>
      <c r="U3959">
        <v>-0.28002929999999998</v>
      </c>
      <c r="V3959">
        <v>2.9284569999999999E-2</v>
      </c>
      <c r="W3959">
        <v>0.1071858</v>
      </c>
      <c r="X3959">
        <v>0.99380760000000001</v>
      </c>
      <c r="Y3959">
        <v>-5.1806190000000002E-2</v>
      </c>
      <c r="Z3959">
        <v>4.668424E-4</v>
      </c>
      <c r="AA3959">
        <v>0.99865700000000002</v>
      </c>
      <c r="AB3959">
        <v>26</v>
      </c>
      <c r="AC3959">
        <v>-34.638300000000001</v>
      </c>
      <c r="AD3959">
        <v>-1.111174589944</v>
      </c>
      <c r="AE3959">
        <v>-3.22419999999999</v>
      </c>
      <c r="AF3959">
        <v>-1.81254408384143</v>
      </c>
      <c r="AG3959">
        <v>-1.111174589944</v>
      </c>
      <c r="AH3959">
        <v>34.705278165161999</v>
      </c>
      <c r="AI3959">
        <v>91.831344213994498</v>
      </c>
      <c r="AJ3959">
        <v>92.989656423448693</v>
      </c>
      <c r="AK3959">
        <v>34.770337322874497</v>
      </c>
      <c r="AL3959">
        <v>83.846885252944006</v>
      </c>
      <c r="AM3959">
        <v>88.312151285631401</v>
      </c>
      <c r="AN3959">
        <v>0.99999996378974099</v>
      </c>
    </row>
    <row r="3960" spans="1:40" x14ac:dyDescent="0.25">
      <c r="A3960" t="str">
        <f>"20190312154637002"</f>
        <v>20190312154637002</v>
      </c>
      <c r="B3960" t="str">
        <f>"1552376796992144"</f>
        <v>1552376796992144</v>
      </c>
      <c r="C3960" t="s">
        <v>40</v>
      </c>
      <c r="D3960">
        <v>4.3381069999999999</v>
      </c>
      <c r="E3960">
        <v>0.45226339999999998</v>
      </c>
      <c r="F3960" t="s">
        <v>52</v>
      </c>
      <c r="G3960">
        <v>-408.05439999999999</v>
      </c>
      <c r="H3960" s="1">
        <v>-8.5521189999999993E-6</v>
      </c>
      <c r="I3960">
        <v>137.46530000000001</v>
      </c>
      <c r="J3960">
        <v>-373.7099</v>
      </c>
      <c r="K3960">
        <v>1.111157</v>
      </c>
      <c r="L3960">
        <v>140.71279999999999</v>
      </c>
      <c r="M3960">
        <v>-0.99902420000000003</v>
      </c>
      <c r="N3960">
        <v>0</v>
      </c>
      <c r="O3960">
        <v>-4.1916450000000001E-2</v>
      </c>
      <c r="P3960">
        <v>-0.99561699999999997</v>
      </c>
      <c r="Q3960">
        <v>9.2558609999999999E-2</v>
      </c>
      <c r="R3960">
        <v>-1.3409330000000001E-2</v>
      </c>
      <c r="S3960">
        <v>-3.0192869999999998</v>
      </c>
      <c r="T3960">
        <v>-9.6957210000000002E-2</v>
      </c>
      <c r="U3960">
        <v>-0.28440860000000001</v>
      </c>
      <c r="V3960">
        <v>2.8113800000000001E-2</v>
      </c>
      <c r="W3960">
        <v>0.1064652</v>
      </c>
      <c r="X3960">
        <v>0.99391890000000005</v>
      </c>
      <c r="Y3960">
        <v>-5.1958780000000003E-2</v>
      </c>
      <c r="Z3960">
        <v>5.0969419999999995E-4</v>
      </c>
      <c r="AA3960">
        <v>0.99864909999999996</v>
      </c>
      <c r="AB3960">
        <v>26</v>
      </c>
      <c r="AC3960">
        <v>-34.344499999999897</v>
      </c>
      <c r="AD3960">
        <v>-1.111165552119</v>
      </c>
      <c r="AE3960">
        <v>-3.2474999999999699</v>
      </c>
      <c r="AF3960">
        <v>-1.8030357457125401</v>
      </c>
      <c r="AG3960">
        <v>-1.111165552119</v>
      </c>
      <c r="AH3960">
        <v>34.414741876071503</v>
      </c>
      <c r="AI3960">
        <v>91.846763275685007</v>
      </c>
      <c r="AJ3960">
        <v>92.999062841068493</v>
      </c>
      <c r="AK3960">
        <v>34.479850422836201</v>
      </c>
      <c r="AL3960">
        <v>83.888410444312896</v>
      </c>
      <c r="AM3960">
        <v>88.379774548749893</v>
      </c>
      <c r="AN3960">
        <v>1.00000000216934</v>
      </c>
    </row>
    <row r="3961" spans="1:40" x14ac:dyDescent="0.25">
      <c r="A3961" t="str">
        <f>"20190312154637025"</f>
        <v>20190312154637025</v>
      </c>
      <c r="B3961" t="str">
        <f>"1552376797021424"</f>
        <v>1552376797021424</v>
      </c>
      <c r="C3961" t="s">
        <v>40</v>
      </c>
      <c r="D3961">
        <v>4.3492199999999999</v>
      </c>
      <c r="E3961">
        <v>0.398366</v>
      </c>
      <c r="F3961" t="s">
        <v>52</v>
      </c>
      <c r="G3961">
        <v>-428.38470000000001</v>
      </c>
      <c r="H3961" s="1">
        <v>-8.3102439999999992E-6</v>
      </c>
      <c r="I3961">
        <v>132.82929999999999</v>
      </c>
      <c r="J3961">
        <v>-373.96050000000002</v>
      </c>
      <c r="K3961">
        <v>1.1111359999999999</v>
      </c>
      <c r="L3961">
        <v>140.70079999999999</v>
      </c>
      <c r="M3961">
        <v>-0.99897069999999999</v>
      </c>
      <c r="N3961">
        <v>0</v>
      </c>
      <c r="O3961">
        <v>-4.3169819999999998E-2</v>
      </c>
      <c r="P3961">
        <v>-0.99564470000000005</v>
      </c>
      <c r="Q3961">
        <v>9.1873720000000006E-2</v>
      </c>
      <c r="R3961">
        <v>-1.5836329999999999E-2</v>
      </c>
      <c r="S3961">
        <v>-3.0130620000000001</v>
      </c>
      <c r="T3961">
        <v>-6.1234950000000003E-2</v>
      </c>
      <c r="U3961">
        <v>-0.43444820000000001</v>
      </c>
      <c r="V3961">
        <v>2.6942600000000001E-2</v>
      </c>
      <c r="W3961">
        <v>0.1057758</v>
      </c>
      <c r="X3961">
        <v>0.99402489999999999</v>
      </c>
      <c r="Y3961">
        <v>-9.9835800000000002E-2</v>
      </c>
      <c r="Z3961">
        <v>-1.3721639999999901E-4</v>
      </c>
      <c r="AA3961">
        <v>0.99500390000000005</v>
      </c>
      <c r="AB3961">
        <v>25</v>
      </c>
      <c r="AC3961">
        <v>-54.4241999999999</v>
      </c>
      <c r="AD3961">
        <v>-1.111144310244</v>
      </c>
      <c r="AE3961">
        <v>-7.8714999999999904</v>
      </c>
      <c r="AF3961">
        <v>-5.5121990588056402</v>
      </c>
      <c r="AG3961">
        <v>-1.111144310244</v>
      </c>
      <c r="AH3961">
        <v>54.690967695881902</v>
      </c>
      <c r="AI3961">
        <v>91.158040216952003</v>
      </c>
      <c r="AJ3961">
        <v>95.755297716836196</v>
      </c>
      <c r="AK3961">
        <v>54.979277256563599</v>
      </c>
      <c r="AL3961">
        <v>83.928134225374095</v>
      </c>
      <c r="AM3961">
        <v>88.447403675257306</v>
      </c>
      <c r="AN3961">
        <v>0.99999996269020397</v>
      </c>
    </row>
    <row r="3962" spans="1:40" x14ac:dyDescent="0.25">
      <c r="A3962" t="str">
        <f>"20190312154637046"</f>
        <v>20190312154637046</v>
      </c>
      <c r="B3962" t="str">
        <f>"1552376797041920"</f>
        <v>1552376797041920</v>
      </c>
      <c r="C3962" t="s">
        <v>40</v>
      </c>
      <c r="D3962">
        <v>4.3934189999999997</v>
      </c>
      <c r="E3962">
        <v>0.3919685</v>
      </c>
      <c r="F3962" t="s">
        <v>42</v>
      </c>
      <c r="G3962">
        <v>-398.36</v>
      </c>
      <c r="H3962" s="1">
        <v>-2.1406119999999998E-6</v>
      </c>
      <c r="I3962">
        <v>133.61609999999999</v>
      </c>
      <c r="J3962">
        <v>-374.20600000000002</v>
      </c>
      <c r="K3962">
        <v>1.1111310000000001</v>
      </c>
      <c r="L3962">
        <v>140.68879999999999</v>
      </c>
      <c r="M3962">
        <v>-0.99891739999999996</v>
      </c>
      <c r="N3962">
        <v>0</v>
      </c>
      <c r="O3962">
        <v>-4.4391960000000001E-2</v>
      </c>
      <c r="P3962">
        <v>-0.99565689999999996</v>
      </c>
      <c r="Q3962">
        <v>9.1313080000000005E-2</v>
      </c>
      <c r="R3962">
        <v>-1.81476E-2</v>
      </c>
      <c r="S3962">
        <v>-3.0118710000000002</v>
      </c>
      <c r="T3962">
        <v>-0.137159</v>
      </c>
      <c r="U3962">
        <v>-0.87452700000000005</v>
      </c>
      <c r="V3962">
        <v>2.585496E-2</v>
      </c>
      <c r="W3962">
        <v>0.1052106</v>
      </c>
      <c r="X3962">
        <v>0.99411380000000005</v>
      </c>
      <c r="Y3962">
        <v>-0.23575070000000001</v>
      </c>
      <c r="Z3962">
        <v>-3.2805E-3</v>
      </c>
      <c r="AA3962">
        <v>0.97180800000000001</v>
      </c>
      <c r="AB3962">
        <v>25</v>
      </c>
      <c r="AC3962">
        <v>-24.154</v>
      </c>
      <c r="AD3962">
        <v>-1.111133140612</v>
      </c>
      <c r="AE3962">
        <v>-7.0726999999999904</v>
      </c>
      <c r="AF3962">
        <v>-5.98172043198689</v>
      </c>
      <c r="AG3962">
        <v>-1.111133140612</v>
      </c>
      <c r="AH3962">
        <v>24.396634780271</v>
      </c>
      <c r="AI3962">
        <v>92.5327891141945</v>
      </c>
      <c r="AJ3962">
        <v>103.776369614085</v>
      </c>
      <c r="AK3962">
        <v>25.143814046093802</v>
      </c>
      <c r="AL3962">
        <v>83.9606997311909</v>
      </c>
      <c r="AM3962">
        <v>88.510184435662694</v>
      </c>
      <c r="AN3962">
        <v>0.99999999832969999</v>
      </c>
    </row>
    <row r="3963" spans="1:40" x14ac:dyDescent="0.25">
      <c r="A3963" t="str">
        <f>"20190312154637071"</f>
        <v>20190312154637071</v>
      </c>
      <c r="B3963" t="str">
        <f>"1552376797061440"</f>
        <v>1552376797061440</v>
      </c>
      <c r="C3963" t="s">
        <v>40</v>
      </c>
      <c r="D3963">
        <v>4.3948010000000002</v>
      </c>
      <c r="E3963">
        <v>0.38922459999999998</v>
      </c>
      <c r="F3963" t="s">
        <v>42</v>
      </c>
      <c r="G3963">
        <v>-393.74009999999998</v>
      </c>
      <c r="H3963" s="1">
        <v>-3.5524340000000002E-6</v>
      </c>
      <c r="I3963">
        <v>134.62889999999999</v>
      </c>
      <c r="J3963">
        <v>-374.47550000000001</v>
      </c>
      <c r="K3963">
        <v>1.1111230000000001</v>
      </c>
      <c r="L3963">
        <v>140.67519999999999</v>
      </c>
      <c r="M3963">
        <v>-0.99885710000000005</v>
      </c>
      <c r="N3963">
        <v>0</v>
      </c>
      <c r="O3963">
        <v>-4.5727360000000002E-2</v>
      </c>
      <c r="P3963">
        <v>-0.99567030000000001</v>
      </c>
      <c r="Q3963">
        <v>9.0703400000000003E-2</v>
      </c>
      <c r="R3963">
        <v>-2.0337210000000001E-2</v>
      </c>
      <c r="S3963">
        <v>-3.011749</v>
      </c>
      <c r="T3963">
        <v>-0.17131360000000001</v>
      </c>
      <c r="U3963">
        <v>-0.93429569999999995</v>
      </c>
      <c r="V3963">
        <v>2.500229E-2</v>
      </c>
      <c r="W3963">
        <v>0.10459739999999999</v>
      </c>
      <c r="X3963">
        <v>0.99420030000000004</v>
      </c>
      <c r="Y3963">
        <v>-0.25199629999999901</v>
      </c>
      <c r="Z3963">
        <v>-4.4625209999999997E-3</v>
      </c>
      <c r="AA3963">
        <v>0.96771790000000002</v>
      </c>
      <c r="AB3963">
        <v>25</v>
      </c>
      <c r="AC3963">
        <v>-19.264599999999898</v>
      </c>
      <c r="AD3963">
        <v>-1.1111265524339999</v>
      </c>
      <c r="AE3963">
        <v>-6.0462999999999996</v>
      </c>
      <c r="AF3963">
        <v>-5.1433935898226801</v>
      </c>
      <c r="AG3963">
        <v>-1.1111265524339999</v>
      </c>
      <c r="AH3963">
        <v>19.4620149541045</v>
      </c>
      <c r="AI3963">
        <v>93.159350596683495</v>
      </c>
      <c r="AJ3963">
        <v>104.803597840912</v>
      </c>
      <c r="AK3963">
        <v>20.160831478615702</v>
      </c>
      <c r="AL3963">
        <v>83.996028346107096</v>
      </c>
      <c r="AM3963">
        <v>88.559421256034199</v>
      </c>
      <c r="AN3963">
        <v>0.99999998355604602</v>
      </c>
    </row>
    <row r="3964" spans="1:40" x14ac:dyDescent="0.25">
      <c r="A3964" t="str">
        <f>"20190312154637114"</f>
        <v>20190312154637114</v>
      </c>
      <c r="B3964" t="str">
        <f>"1552376797101456"</f>
        <v>1552376797101456</v>
      </c>
      <c r="C3964" t="s">
        <v>40</v>
      </c>
      <c r="D3964">
        <v>4.3854889999999997</v>
      </c>
      <c r="E3964">
        <v>0.38823809999999997</v>
      </c>
      <c r="F3964" t="s">
        <v>42</v>
      </c>
      <c r="G3964">
        <v>-392.21820000000002</v>
      </c>
      <c r="H3964" s="1">
        <v>-4.1398520000000003E-6</v>
      </c>
      <c r="I3964">
        <v>134.99809999999999</v>
      </c>
      <c r="J3964">
        <v>-374.96210000000002</v>
      </c>
      <c r="K3964">
        <v>1.111102</v>
      </c>
      <c r="L3964">
        <v>140.6498</v>
      </c>
      <c r="M3964">
        <v>-0.99874430000000003</v>
      </c>
      <c r="N3964">
        <v>0</v>
      </c>
      <c r="O3964">
        <v>-4.8129709999999999E-2</v>
      </c>
      <c r="P3964">
        <v>-0.99587890000000001</v>
      </c>
      <c r="Q3964">
        <v>8.7068510000000002E-2</v>
      </c>
      <c r="R3964">
        <v>-2.5379490000000001E-2</v>
      </c>
      <c r="S3964">
        <v>-3.0105590000000002</v>
      </c>
      <c r="T3964">
        <v>-0.18853490000000001</v>
      </c>
      <c r="U3964">
        <v>-0.96327209999999996</v>
      </c>
      <c r="V3964">
        <v>2.237975E-2</v>
      </c>
      <c r="W3964">
        <v>0.10095659999999999</v>
      </c>
      <c r="X3964">
        <v>0.9946391</v>
      </c>
      <c r="Y3964">
        <v>-0.25817509999999999</v>
      </c>
      <c r="Z3964">
        <v>-4.9479939999999998E-3</v>
      </c>
      <c r="AA3964">
        <v>0.96608550000000004</v>
      </c>
      <c r="AB3964">
        <v>25</v>
      </c>
      <c r="AC3964">
        <v>-17.2561</v>
      </c>
      <c r="AD3964">
        <v>-1.1111061398519999</v>
      </c>
      <c r="AE3964">
        <v>-5.6516999999999999</v>
      </c>
      <c r="AF3964">
        <v>-4.7965776352719303</v>
      </c>
      <c r="AG3964">
        <v>-1.1111061398519999</v>
      </c>
      <c r="AH3964">
        <v>17.442827413926899</v>
      </c>
      <c r="AI3964">
        <v>93.514689007195898</v>
      </c>
      <c r="AJ3964">
        <v>105.375640775549</v>
      </c>
      <c r="AK3964">
        <v>18.124401839984898</v>
      </c>
      <c r="AL3964">
        <v>84.205741671696103</v>
      </c>
      <c r="AM3964">
        <v>88.711041122504994</v>
      </c>
      <c r="AN3964">
        <v>1.00000001377121</v>
      </c>
    </row>
    <row r="3965" spans="1:40" x14ac:dyDescent="0.25">
      <c r="A3965" t="str">
        <f>"20190312154637135"</f>
        <v>20190312154637135</v>
      </c>
      <c r="B3965" t="str">
        <f>"1552376797131713"</f>
        <v>1552376797131713</v>
      </c>
      <c r="C3965" t="s">
        <v>40</v>
      </c>
      <c r="D3965">
        <v>4.4175409999999999</v>
      </c>
      <c r="E3965">
        <v>0.38855050000000002</v>
      </c>
      <c r="F3965" t="s">
        <v>42</v>
      </c>
      <c r="G3965">
        <v>-390.76089999999999</v>
      </c>
      <c r="H3965" s="1">
        <v>-4.6813029999999901E-6</v>
      </c>
      <c r="I3965">
        <v>135.47</v>
      </c>
      <c r="J3965">
        <v>-375.21129999999999</v>
      </c>
      <c r="K3965">
        <v>1.111094</v>
      </c>
      <c r="L3965">
        <v>140.63640000000001</v>
      </c>
      <c r="M3965">
        <v>-0.99868440000000003</v>
      </c>
      <c r="N3965">
        <v>0</v>
      </c>
      <c r="O3965">
        <v>-4.935792E-2</v>
      </c>
      <c r="P3965">
        <v>-0.99603209999999998</v>
      </c>
      <c r="Q3965">
        <v>8.4611210000000006E-2</v>
      </c>
      <c r="R3965">
        <v>-2.7587939999999998E-2</v>
      </c>
      <c r="S3965">
        <v>-3.0057369999999999</v>
      </c>
      <c r="T3965">
        <v>-0.2113892</v>
      </c>
      <c r="U3965">
        <v>-0.98544310000000002</v>
      </c>
      <c r="V3965">
        <v>2.1411960000000001E-2</v>
      </c>
      <c r="W3965">
        <v>9.8497940000000006E-2</v>
      </c>
      <c r="X3965">
        <v>0.99490679999999998</v>
      </c>
      <c r="Y3965">
        <v>-0.2637757</v>
      </c>
      <c r="Z3965">
        <v>-5.6569709999999898E-3</v>
      </c>
      <c r="AA3965">
        <v>0.96456750000000002</v>
      </c>
      <c r="AB3965">
        <v>25</v>
      </c>
      <c r="AC3965">
        <v>-15.5495999999999</v>
      </c>
      <c r="AD3965">
        <v>-1.1110986813029999</v>
      </c>
      <c r="AE3965">
        <v>-5.1664000000000003</v>
      </c>
      <c r="AF3965">
        <v>-4.3724262405043204</v>
      </c>
      <c r="AG3965">
        <v>-1.1110986813029999</v>
      </c>
      <c r="AH3965">
        <v>15.713417311673901</v>
      </c>
      <c r="AI3965">
        <v>93.897084634942203</v>
      </c>
      <c r="AJ3965">
        <v>105.549794272499</v>
      </c>
      <c r="AK3965">
        <v>16.3482150438223</v>
      </c>
      <c r="AL3965">
        <v>84.347317850651706</v>
      </c>
      <c r="AM3965">
        <v>88.767094987751904</v>
      </c>
      <c r="AN3965">
        <v>0.99999992845076002</v>
      </c>
    </row>
    <row r="3966" spans="1:40" x14ac:dyDescent="0.25">
      <c r="A3966" t="str">
        <f>"20190312154637159"</f>
        <v>20190312154637159</v>
      </c>
      <c r="B3966" t="str">
        <f>"1552376797151234"</f>
        <v>1552376797151234</v>
      </c>
      <c r="C3966" t="s">
        <v>40</v>
      </c>
      <c r="D3966">
        <v>4.4148230000000002</v>
      </c>
      <c r="E3966">
        <v>0.3887235</v>
      </c>
      <c r="F3966" t="s">
        <v>42</v>
      </c>
      <c r="G3966">
        <v>-390.12900000000002</v>
      </c>
      <c r="H3966" s="1">
        <v>-4.9070980000000004E-6</v>
      </c>
      <c r="I3966">
        <v>135.72540000000001</v>
      </c>
      <c r="J3966">
        <v>-375.47219999999999</v>
      </c>
      <c r="K3966">
        <v>1.111084</v>
      </c>
      <c r="L3966">
        <v>140.62200000000001</v>
      </c>
      <c r="M3966">
        <v>-0.99862019999999996</v>
      </c>
      <c r="N3966">
        <v>0</v>
      </c>
      <c r="O3966">
        <v>-5.0643819999999999E-2</v>
      </c>
      <c r="P3966">
        <v>-0.99614970000000003</v>
      </c>
      <c r="Q3966">
        <v>8.2021090000000005E-2</v>
      </c>
      <c r="R3966">
        <v>-3.0961269999999999E-2</v>
      </c>
      <c r="S3966">
        <v>-3.0035099999999999</v>
      </c>
      <c r="T3966">
        <v>-0.22370799999999999</v>
      </c>
      <c r="U3966">
        <v>-0.98875429999999997</v>
      </c>
      <c r="V3966">
        <v>1.933733E-2</v>
      </c>
      <c r="W3966">
        <v>9.590485E-2</v>
      </c>
      <c r="X3966">
        <v>0.9952027</v>
      </c>
      <c r="Y3966">
        <v>-0.26365129999999998</v>
      </c>
      <c r="Z3966">
        <v>-5.8917989999999996E-3</v>
      </c>
      <c r="AA3966">
        <v>0.96460000000000001</v>
      </c>
      <c r="AB3966">
        <v>25</v>
      </c>
      <c r="AC3966">
        <v>-14.6568</v>
      </c>
      <c r="AD3966">
        <v>-1.1110889070979999</v>
      </c>
      <c r="AE3966">
        <v>-4.8966000000000003</v>
      </c>
      <c r="AF3966">
        <v>-4.1266339252127802</v>
      </c>
      <c r="AG3966">
        <v>-1.1110889070979999</v>
      </c>
      <c r="AH3966">
        <v>14.8094344357023</v>
      </c>
      <c r="AI3966">
        <v>94.133715807239597</v>
      </c>
      <c r="AJ3966">
        <v>105.570441578482</v>
      </c>
      <c r="AK3966">
        <v>15.413726817922999</v>
      </c>
      <c r="AL3966">
        <v>84.496598532598298</v>
      </c>
      <c r="AM3966">
        <v>88.886851900714007</v>
      </c>
      <c r="AN3966">
        <v>1.00000004333616</v>
      </c>
    </row>
    <row r="3967" spans="1:40" x14ac:dyDescent="0.25">
      <c r="A3967" t="str">
        <f>"20190312154637180"</f>
        <v>20190312154637180</v>
      </c>
      <c r="B3967" t="str">
        <f>"1552376797171728"</f>
        <v>1552376797171728</v>
      </c>
      <c r="C3967" t="s">
        <v>40</v>
      </c>
      <c r="D3967">
        <v>4.3929689999999999</v>
      </c>
      <c r="E3967">
        <v>0.38879760000000002</v>
      </c>
      <c r="F3967" t="s">
        <v>42</v>
      </c>
      <c r="G3967">
        <v>-389.726</v>
      </c>
      <c r="H3967" s="1">
        <v>-1.0719240000000001E-6</v>
      </c>
      <c r="I3967">
        <v>135.88560000000001</v>
      </c>
      <c r="J3967">
        <v>-375.71480000000003</v>
      </c>
      <c r="K3967">
        <v>1.1110770000000001</v>
      </c>
      <c r="L3967">
        <v>140.60830000000001</v>
      </c>
      <c r="M3967">
        <v>-0.99855859999999996</v>
      </c>
      <c r="N3967">
        <v>0</v>
      </c>
      <c r="O3967">
        <v>-5.1841520000000002E-2</v>
      </c>
      <c r="P3967">
        <v>-0.99615759999999998</v>
      </c>
      <c r="Q3967">
        <v>8.0388340000000003E-2</v>
      </c>
      <c r="R3967">
        <v>-3.4753659999999999E-2</v>
      </c>
      <c r="S3967">
        <v>-2.9998779999999998</v>
      </c>
      <c r="T3967">
        <v>-0.23384189999999999</v>
      </c>
      <c r="U3967">
        <v>-0.99681090000000006</v>
      </c>
      <c r="V3967">
        <v>1.6749429999999999E-2</v>
      </c>
      <c r="W3967">
        <v>9.4266740000000002E-2</v>
      </c>
      <c r="X3967">
        <v>0.99540609999999996</v>
      </c>
      <c r="Y3967">
        <v>-0.26512540000000001</v>
      </c>
      <c r="Z3967">
        <v>-6.1281039999999997E-3</v>
      </c>
      <c r="AA3967">
        <v>0.96419449999999995</v>
      </c>
      <c r="AB3967">
        <v>25</v>
      </c>
      <c r="AC3967">
        <v>-14.011199999999899</v>
      </c>
      <c r="AD3967">
        <v>-1.1110780719239901</v>
      </c>
      <c r="AE3967">
        <v>-4.7226999999999997</v>
      </c>
      <c r="AF3967">
        <v>-3.9675123676342299</v>
      </c>
      <c r="AG3967">
        <v>-1.1110780719239901</v>
      </c>
      <c r="AH3967">
        <v>14.1572678838149</v>
      </c>
      <c r="AI3967">
        <v>94.321608605272303</v>
      </c>
      <c r="AJ3967">
        <v>105.655295698888</v>
      </c>
      <c r="AK3967">
        <v>14.7446221654995</v>
      </c>
      <c r="AL3967">
        <v>84.590882464671793</v>
      </c>
      <c r="AM3967">
        <v>89.035990345859503</v>
      </c>
      <c r="AN3967">
        <v>1.0000000327963801</v>
      </c>
    </row>
    <row r="3968" spans="1:40" x14ac:dyDescent="0.25">
      <c r="A3968" t="str">
        <f>"20190312154637202"</f>
        <v>20190312154637202</v>
      </c>
      <c r="B3968" t="str">
        <f>"1552376797191249"</f>
        <v>1552376797191249</v>
      </c>
      <c r="C3968" t="s">
        <v>40</v>
      </c>
      <c r="D3968">
        <v>4.4152440000000004</v>
      </c>
      <c r="E3968">
        <v>0.38887300000000002</v>
      </c>
      <c r="F3968" t="s">
        <v>42</v>
      </c>
      <c r="G3968">
        <v>-389.65159999999997</v>
      </c>
      <c r="H3968" s="1">
        <v>-1.0867130000000001E-6</v>
      </c>
      <c r="I3968">
        <v>135.92509999999999</v>
      </c>
      <c r="J3968">
        <v>-375.96769999999998</v>
      </c>
      <c r="K3968">
        <v>1.1110679999999999</v>
      </c>
      <c r="L3968">
        <v>140.59370000000001</v>
      </c>
      <c r="M3968">
        <v>-0.99849310000000002</v>
      </c>
      <c r="N3968">
        <v>0</v>
      </c>
      <c r="O3968">
        <v>-5.3091190000000003E-2</v>
      </c>
      <c r="P3968">
        <v>-0.99616150000000003</v>
      </c>
      <c r="Q3968">
        <v>7.8554789999999999E-2</v>
      </c>
      <c r="R3968">
        <v>-3.8624609999999997E-2</v>
      </c>
      <c r="S3968">
        <v>-2.9957280000000002</v>
      </c>
      <c r="T3968">
        <v>-0.23882890000000001</v>
      </c>
      <c r="U3968">
        <v>-1.0066379999999999</v>
      </c>
      <c r="V3968">
        <v>1.4135689999999999E-2</v>
      </c>
      <c r="W3968">
        <v>9.2427540000000002E-2</v>
      </c>
      <c r="X3968">
        <v>0.99561909999999998</v>
      </c>
      <c r="Y3968">
        <v>-0.26713490000000001</v>
      </c>
      <c r="Z3968">
        <v>-6.2450800000000001E-3</v>
      </c>
      <c r="AA3968">
        <v>0.96363889999999996</v>
      </c>
      <c r="AB3968">
        <v>25</v>
      </c>
      <c r="AC3968">
        <v>-13.6838999999999</v>
      </c>
      <c r="AD3968">
        <v>-1.111069086713</v>
      </c>
      <c r="AE3968">
        <v>-4.6686000000000201</v>
      </c>
      <c r="AF3968">
        <v>-3.9123462507782198</v>
      </c>
      <c r="AG3968">
        <v>-1.111069086713</v>
      </c>
      <c r="AH3968">
        <v>13.8308077085028</v>
      </c>
      <c r="AI3968">
        <v>94.420161985591093</v>
      </c>
      <c r="AJ3968">
        <v>105.794715164978</v>
      </c>
      <c r="AK3968">
        <v>14.4163854544407</v>
      </c>
      <c r="AL3968">
        <v>84.696722999544903</v>
      </c>
      <c r="AM3968">
        <v>89.186575505477506</v>
      </c>
      <c r="AN3968">
        <v>1.0000000300835099</v>
      </c>
    </row>
    <row r="3969" spans="1:40" x14ac:dyDescent="0.25">
      <c r="A3969" t="str">
        <f>"20190312154637226"</f>
        <v>20190312154637226</v>
      </c>
      <c r="B3969" t="str">
        <f>"1552376797221505"</f>
        <v>1552376797221505</v>
      </c>
      <c r="C3969" t="s">
        <v>40</v>
      </c>
      <c r="D3969">
        <v>4.4150669999999996</v>
      </c>
      <c r="E3969">
        <v>0.38913249999999999</v>
      </c>
      <c r="F3969" t="s">
        <v>42</v>
      </c>
      <c r="G3969">
        <v>-389.6191</v>
      </c>
      <c r="H3969" s="1">
        <v>-1.0904490000000001E-6</v>
      </c>
      <c r="I3969">
        <v>135.95269999999999</v>
      </c>
      <c r="J3969">
        <v>-376.21699999999998</v>
      </c>
      <c r="K3969">
        <v>1.1110580000000001</v>
      </c>
      <c r="L3969">
        <v>140.57900000000001</v>
      </c>
      <c r="M3969">
        <v>-0.9984267</v>
      </c>
      <c r="N3969">
        <v>0</v>
      </c>
      <c r="O3969">
        <v>-5.4324409999999997E-2</v>
      </c>
      <c r="P3969">
        <v>-0.99611719999999904</v>
      </c>
      <c r="Q3969">
        <v>7.6970350000000007E-2</v>
      </c>
      <c r="R3969">
        <v>-4.2734439999999999E-2</v>
      </c>
      <c r="S3969">
        <v>-2.9913639999999999</v>
      </c>
      <c r="T3969">
        <v>-0.24346409999999999</v>
      </c>
      <c r="U3969">
        <v>-1.016953</v>
      </c>
      <c r="V3969">
        <v>1.1264140000000001E-2</v>
      </c>
      <c r="W3969">
        <v>9.0836860000000005E-2</v>
      </c>
      <c r="X3969">
        <v>0.99580210000000002</v>
      </c>
      <c r="Y3969">
        <v>-0.26932289999999998</v>
      </c>
      <c r="Z3969">
        <v>-6.3609069999999998E-3</v>
      </c>
      <c r="AA3969">
        <v>0.96302889999999997</v>
      </c>
      <c r="AB3969">
        <v>25</v>
      </c>
      <c r="AC3969">
        <v>-13.402100000000001</v>
      </c>
      <c r="AD3969">
        <v>-1.1110590904490001</v>
      </c>
      <c r="AE3969">
        <v>-4.6263000000000103</v>
      </c>
      <c r="AF3969">
        <v>-3.86758502256107</v>
      </c>
      <c r="AG3969">
        <v>-1.1110590904490001</v>
      </c>
      <c r="AH3969">
        <v>13.550438185448</v>
      </c>
      <c r="AI3969">
        <v>94.508194099103207</v>
      </c>
      <c r="AJ3969">
        <v>105.92988002644</v>
      </c>
      <c r="AK3969">
        <v>14.1353118546022</v>
      </c>
      <c r="AL3969">
        <v>84.788247250325796</v>
      </c>
      <c r="AM3969">
        <v>89.351919264322405</v>
      </c>
      <c r="AN3969">
        <v>1.0000000191745</v>
      </c>
    </row>
    <row r="3970" spans="1:40" x14ac:dyDescent="0.25">
      <c r="A3970" t="str">
        <f>"20190312154637248"</f>
        <v>20190312154637248</v>
      </c>
      <c r="B3970" t="str">
        <f>"1552376797241024"</f>
        <v>1552376797241024</v>
      </c>
      <c r="C3970" t="s">
        <v>40</v>
      </c>
      <c r="D3970">
        <v>4.4118079999999997</v>
      </c>
      <c r="E3970">
        <v>0.38932679999999997</v>
      </c>
      <c r="F3970" t="s">
        <v>42</v>
      </c>
      <c r="G3970">
        <v>-389.66820000000001</v>
      </c>
      <c r="H3970" s="1">
        <v>-1.072634E-6</v>
      </c>
      <c r="I3970">
        <v>135.95689999999999</v>
      </c>
      <c r="J3970">
        <v>-376.47280000000001</v>
      </c>
      <c r="K3970">
        <v>1.1110530000000001</v>
      </c>
      <c r="L3970">
        <v>140.56360000000001</v>
      </c>
      <c r="M3970">
        <v>-0.99835719999999994</v>
      </c>
      <c r="N3970">
        <v>0</v>
      </c>
      <c r="O3970">
        <v>-5.5590540000000001E-2</v>
      </c>
      <c r="P3970">
        <v>-0.99600929999999999</v>
      </c>
      <c r="Q3970">
        <v>7.5801289999999993E-2</v>
      </c>
      <c r="R3970">
        <v>-4.711854E-2</v>
      </c>
      <c r="S3970">
        <v>-2.9867249999999999</v>
      </c>
      <c r="T3970">
        <v>-0.2467039</v>
      </c>
      <c r="U3970">
        <v>-1.0262910000000001</v>
      </c>
      <c r="V3970">
        <v>8.1481360000000003E-3</v>
      </c>
      <c r="W3970">
        <v>8.966056E-2</v>
      </c>
      <c r="X3970">
        <v>0.99593909999999997</v>
      </c>
      <c r="Y3970">
        <v>-0.27123269999999999</v>
      </c>
      <c r="Z3970">
        <v>-6.4272919999999898E-3</v>
      </c>
      <c r="AA3970">
        <v>0.96249229999999997</v>
      </c>
      <c r="AB3970">
        <v>25</v>
      </c>
      <c r="AC3970">
        <v>-13.195399999999999</v>
      </c>
      <c r="AD3970">
        <v>-1.1110540726339999</v>
      </c>
      <c r="AE3970">
        <v>-4.6067000000000098</v>
      </c>
      <c r="AF3970">
        <v>-3.84168768266795</v>
      </c>
      <c r="AG3970">
        <v>-1.1110540726339999</v>
      </c>
      <c r="AH3970">
        <v>13.3467609096913</v>
      </c>
      <c r="AI3970">
        <v>94.573765882537103</v>
      </c>
      <c r="AJ3970">
        <v>106.05776064193201</v>
      </c>
      <c r="AK3970">
        <v>13.933019492699399</v>
      </c>
      <c r="AL3970">
        <v>84.855920591764502</v>
      </c>
      <c r="AM3970">
        <v>89.531253077737802</v>
      </c>
      <c r="AN3970">
        <v>1.00000004952429</v>
      </c>
    </row>
    <row r="3971" spans="1:40" x14ac:dyDescent="0.25">
      <c r="A3971" t="str">
        <f>"20190312154637271"</f>
        <v>20190312154637271</v>
      </c>
      <c r="B3971" t="str">
        <f>"1552376797261727"</f>
        <v>1552376797261727</v>
      </c>
      <c r="C3971" t="s">
        <v>40</v>
      </c>
      <c r="D3971">
        <v>4.4040670000000004</v>
      </c>
      <c r="E3971">
        <v>0.38950069999999998</v>
      </c>
      <c r="F3971" t="s">
        <v>42</v>
      </c>
      <c r="G3971">
        <v>-389.70769999999999</v>
      </c>
      <c r="H3971" s="1">
        <v>-1.057658E-6</v>
      </c>
      <c r="I3971">
        <v>135.96260000000001</v>
      </c>
      <c r="J3971">
        <v>-376.72559999999999</v>
      </c>
      <c r="K3971">
        <v>1.111048</v>
      </c>
      <c r="L3971">
        <v>140.548</v>
      </c>
      <c r="M3971">
        <v>-0.99828680000000003</v>
      </c>
      <c r="N3971">
        <v>0</v>
      </c>
      <c r="O3971">
        <v>-5.6841280000000001E-2</v>
      </c>
      <c r="P3971">
        <v>-0.99593909999999997</v>
      </c>
      <c r="Q3971">
        <v>7.4421500000000002E-2</v>
      </c>
      <c r="R3971">
        <v>-5.0667869999999997E-2</v>
      </c>
      <c r="S3971">
        <v>-2.981995</v>
      </c>
      <c r="T3971">
        <v>-0.25033650000000002</v>
      </c>
      <c r="U3971">
        <v>-1.0366519999999999</v>
      </c>
      <c r="V3971">
        <v>5.8529230000000003E-3</v>
      </c>
      <c r="W3971">
        <v>8.8275129999999993E-2</v>
      </c>
      <c r="X3971">
        <v>0.99607889999999999</v>
      </c>
      <c r="Y3971">
        <v>-0.273458799999999</v>
      </c>
      <c r="Z3971">
        <v>-6.5172889999999999E-3</v>
      </c>
      <c r="AA3971">
        <v>0.96186159999999998</v>
      </c>
      <c r="AB3971">
        <v>25</v>
      </c>
      <c r="AC3971">
        <v>-12.982100000000001</v>
      </c>
      <c r="AD3971">
        <v>-1.1110490576579899</v>
      </c>
      <c r="AE3971">
        <v>-4.5853999999999902</v>
      </c>
      <c r="AF3971">
        <v>-3.8151503338400201</v>
      </c>
      <c r="AG3971">
        <v>-1.1110490576579899</v>
      </c>
      <c r="AH3971">
        <v>13.136228142095201</v>
      </c>
      <c r="AI3971">
        <v>94.643529945775498</v>
      </c>
      <c r="AJ3971">
        <v>106.19486461449</v>
      </c>
      <c r="AK3971">
        <v>13.7240770866203</v>
      </c>
      <c r="AL3971">
        <v>84.935615489690505</v>
      </c>
      <c r="AM3971">
        <v>89.663335980429196</v>
      </c>
      <c r="AN3971">
        <v>0.99999996515468403</v>
      </c>
    </row>
    <row r="3972" spans="1:40" x14ac:dyDescent="0.25">
      <c r="A3972" t="str">
        <f>"20190312154637293"</f>
        <v>20190312154637293</v>
      </c>
      <c r="B3972" t="str">
        <f>"1552376797281246"</f>
        <v>1552376797281246</v>
      </c>
      <c r="C3972" t="s">
        <v>40</v>
      </c>
      <c r="D3972">
        <v>4.3935250000000003</v>
      </c>
      <c r="E3972">
        <v>0.38972469999999998</v>
      </c>
      <c r="F3972" t="s">
        <v>42</v>
      </c>
      <c r="G3972">
        <v>-389.75310000000002</v>
      </c>
      <c r="H3972" s="1">
        <v>-1.037929E-6</v>
      </c>
      <c r="I3972">
        <v>135.9787</v>
      </c>
      <c r="J3972">
        <v>-376.97340000000003</v>
      </c>
      <c r="K3972">
        <v>1.11104</v>
      </c>
      <c r="L3972">
        <v>140.5325</v>
      </c>
      <c r="M3972">
        <v>-0.9982162</v>
      </c>
      <c r="N3972">
        <v>0</v>
      </c>
      <c r="O3972">
        <v>-5.8068420000000003E-2</v>
      </c>
      <c r="P3972">
        <v>-0.99578060000000002</v>
      </c>
      <c r="Q3972">
        <v>7.3718619999999999E-2</v>
      </c>
      <c r="R3972">
        <v>-5.4650879999999999E-2</v>
      </c>
      <c r="S3972">
        <v>-2.9780880000000001</v>
      </c>
      <c r="T3972">
        <v>-0.25398700000000002</v>
      </c>
      <c r="U3972">
        <v>-1.04454</v>
      </c>
      <c r="V3972">
        <v>3.0948339999999999E-3</v>
      </c>
      <c r="W3972">
        <v>8.7565499999999893E-2</v>
      </c>
      <c r="X3972">
        <v>0.99615399999999998</v>
      </c>
      <c r="Y3972">
        <v>-0.27491680000000002</v>
      </c>
      <c r="Z3972">
        <v>-6.5768999999999897E-3</v>
      </c>
      <c r="AA3972">
        <v>0.96144549999999995</v>
      </c>
      <c r="AB3972">
        <v>25</v>
      </c>
      <c r="AC3972">
        <v>-12.779699999999901</v>
      </c>
      <c r="AD3972">
        <v>-1.1110410379289899</v>
      </c>
      <c r="AE3972">
        <v>-4.5537999999999901</v>
      </c>
      <c r="AF3972">
        <v>-3.7786042555620898</v>
      </c>
      <c r="AG3972">
        <v>-1.1110410379289899</v>
      </c>
      <c r="AH3972">
        <v>12.9358327183171</v>
      </c>
      <c r="AI3972">
        <v>94.713000213900401</v>
      </c>
      <c r="AJ3972">
        <v>106.28327760892</v>
      </c>
      <c r="AK3972">
        <v>13.5221311347139</v>
      </c>
      <c r="AL3972">
        <v>84.976432752225193</v>
      </c>
      <c r="AM3972">
        <v>89.821995036921393</v>
      </c>
      <c r="AN3972">
        <v>1.0000000432518601</v>
      </c>
    </row>
    <row r="3973" spans="1:40" x14ac:dyDescent="0.25">
      <c r="A3973" t="str">
        <f>"20190312154637315"</f>
        <v>20190312154637315</v>
      </c>
      <c r="B3973" t="str">
        <f>"1552376797311503"</f>
        <v>1552376797311503</v>
      </c>
      <c r="C3973" t="s">
        <v>40</v>
      </c>
      <c r="D3973">
        <v>4.3981969999999997</v>
      </c>
      <c r="E3973">
        <v>0.39000099999999999</v>
      </c>
      <c r="F3973" t="s">
        <v>42</v>
      </c>
      <c r="G3973">
        <v>-389.90649999999999</v>
      </c>
      <c r="H3973" s="1">
        <v>-9.932915999999999E-7</v>
      </c>
      <c r="I3973">
        <v>135.9502</v>
      </c>
      <c r="J3973">
        <v>-377.21839999999997</v>
      </c>
      <c r="K3973">
        <v>1.1110420000000001</v>
      </c>
      <c r="L3973">
        <v>140.51679999999999</v>
      </c>
      <c r="M3973">
        <v>-0.99814480000000005</v>
      </c>
      <c r="N3973">
        <v>0</v>
      </c>
      <c r="O3973">
        <v>-5.9281859999999999E-2</v>
      </c>
      <c r="P3973">
        <v>-0.99561230000000001</v>
      </c>
      <c r="Q3973">
        <v>7.3699379999999995E-2</v>
      </c>
      <c r="R3973">
        <v>-5.7658389999999997E-2</v>
      </c>
      <c r="S3973">
        <v>-2.9738159999999998</v>
      </c>
      <c r="T3973">
        <v>-0.25547180000000003</v>
      </c>
      <c r="U3973">
        <v>-1.0536190000000001</v>
      </c>
      <c r="V3973">
        <v>1.295481E-3</v>
      </c>
      <c r="W3973">
        <v>8.7539839999999994E-2</v>
      </c>
      <c r="X3973">
        <v>0.99616009999999999</v>
      </c>
      <c r="Y3973">
        <v>-0.27677829999999998</v>
      </c>
      <c r="Z3973">
        <v>-6.598123E-3</v>
      </c>
      <c r="AA3973">
        <v>0.96091119999999997</v>
      </c>
      <c r="AB3973">
        <v>25</v>
      </c>
      <c r="AC3973">
        <v>-12.6881</v>
      </c>
      <c r="AD3973">
        <v>-1.1110429932915999</v>
      </c>
      <c r="AE3973">
        <v>-4.5665999999999896</v>
      </c>
      <c r="AF3973">
        <v>-3.78065582869118</v>
      </c>
      <c r="AG3973">
        <v>-1.1110429932915999</v>
      </c>
      <c r="AH3973">
        <v>12.8492972247077</v>
      </c>
      <c r="AI3973">
        <v>94.741893442015297</v>
      </c>
      <c r="AJ3973">
        <v>106.395494137962</v>
      </c>
      <c r="AK3973">
        <v>13.439948444723999</v>
      </c>
      <c r="AL3973">
        <v>84.977908025661904</v>
      </c>
      <c r="AM3973">
        <v>89.925488330746006</v>
      </c>
      <c r="AN3973">
        <v>0.999999923345125</v>
      </c>
    </row>
    <row r="3974" spans="1:40" x14ac:dyDescent="0.25">
      <c r="A3974" t="str">
        <f>"20190312154637336"</f>
        <v>20190312154637336</v>
      </c>
      <c r="B3974" t="str">
        <f>"1552376797331022"</f>
        <v>1552376797331022</v>
      </c>
      <c r="C3974" t="s">
        <v>40</v>
      </c>
      <c r="D3974">
        <v>4.3665979999999998</v>
      </c>
      <c r="E3974">
        <v>0.39023029999999997</v>
      </c>
      <c r="F3974" t="s">
        <v>42</v>
      </c>
      <c r="G3974">
        <v>-390.35289999999998</v>
      </c>
      <c r="H3974" s="1">
        <v>-4.7926749999999998E-6</v>
      </c>
      <c r="I3974">
        <v>135.8289</v>
      </c>
      <c r="J3974">
        <v>-377.46100000000001</v>
      </c>
      <c r="K3974">
        <v>1.111046</v>
      </c>
      <c r="L3974">
        <v>140.501</v>
      </c>
      <c r="M3974">
        <v>-0.99807270000000003</v>
      </c>
      <c r="N3974">
        <v>0</v>
      </c>
      <c r="O3974">
        <v>-6.048336E-2</v>
      </c>
      <c r="P3974">
        <v>-0.99536340000000001</v>
      </c>
      <c r="Q3974">
        <v>7.5102799999999997E-2</v>
      </c>
      <c r="R3974">
        <v>-6.009697E-2</v>
      </c>
      <c r="S3974">
        <v>-2.9704280000000001</v>
      </c>
      <c r="T3974">
        <v>-0.25126890000000002</v>
      </c>
      <c r="U3974">
        <v>-1.060165</v>
      </c>
      <c r="V3974" s="1">
        <v>4.4778509999999999E-5</v>
      </c>
      <c r="W3974">
        <v>8.8936269999999998E-2</v>
      </c>
      <c r="X3974">
        <v>0.99603730000000001</v>
      </c>
      <c r="Y3974">
        <v>-0.27786870000000002</v>
      </c>
      <c r="Z3974">
        <v>-6.4415150000000001E-3</v>
      </c>
      <c r="AA3974">
        <v>0.96059749999999999</v>
      </c>
      <c r="AB3974">
        <v>25</v>
      </c>
      <c r="AC3974">
        <v>-12.8918999999999</v>
      </c>
      <c r="AD3974">
        <v>-1.111050792675</v>
      </c>
      <c r="AE3974">
        <v>-4.6721000000000004</v>
      </c>
      <c r="AF3974">
        <v>-3.8583933950079401</v>
      </c>
      <c r="AG3974">
        <v>-1.111050792675</v>
      </c>
      <c r="AH3974">
        <v>13.065130622169301</v>
      </c>
      <c r="AI3974">
        <v>94.662567674506207</v>
      </c>
      <c r="AJ3974">
        <v>106.452920620125</v>
      </c>
      <c r="AK3974">
        <v>13.6681846500876</v>
      </c>
      <c r="AL3974">
        <v>84.897585464207694</v>
      </c>
      <c r="AM3974">
        <v>89.997424173136693</v>
      </c>
      <c r="AN3974">
        <v>0.99999998255895794</v>
      </c>
    </row>
    <row r="3975" spans="1:40" x14ac:dyDescent="0.25">
      <c r="A3975" t="str">
        <f>"20190312154637359"</f>
        <v>20190312154637359</v>
      </c>
      <c r="B3975" t="str">
        <f>"1552376797351060"</f>
        <v>1552376797351060</v>
      </c>
      <c r="C3975" t="s">
        <v>40</v>
      </c>
      <c r="D3975">
        <v>4.3958510000000004</v>
      </c>
      <c r="E3975">
        <v>0.3902911</v>
      </c>
      <c r="F3975" t="s">
        <v>42</v>
      </c>
      <c r="G3975">
        <v>-391.01249999999999</v>
      </c>
      <c r="H3975" s="1">
        <v>-4.5441530000000002E-6</v>
      </c>
      <c r="I3975">
        <v>135.63470000000001</v>
      </c>
      <c r="J3975">
        <v>-377.70830000000001</v>
      </c>
      <c r="K3975">
        <v>1.1110500000000001</v>
      </c>
      <c r="L3975">
        <v>140.4846</v>
      </c>
      <c r="M3975">
        <v>-0.99799780000000005</v>
      </c>
      <c r="N3975">
        <v>0</v>
      </c>
      <c r="O3975">
        <v>-6.1707869999999998E-2</v>
      </c>
      <c r="P3975">
        <v>-0.99515310000000001</v>
      </c>
      <c r="Q3975">
        <v>7.6646309999999995E-2</v>
      </c>
      <c r="R3975">
        <v>-6.1606719999999997E-2</v>
      </c>
      <c r="S3975">
        <v>-2.9680179999999998</v>
      </c>
      <c r="T3975">
        <v>-0.24334040000000001</v>
      </c>
      <c r="U3975">
        <v>-1.065796</v>
      </c>
      <c r="V3975">
        <v>-2.5483729999999999E-4</v>
      </c>
      <c r="W3975">
        <v>9.0475470000000002E-2</v>
      </c>
      <c r="X3975">
        <v>0.99589870000000003</v>
      </c>
      <c r="Y3975">
        <v>-0.27859600000000001</v>
      </c>
      <c r="Z3975">
        <v>-6.1740989999999997E-3</v>
      </c>
      <c r="AA3975">
        <v>0.96038849999999998</v>
      </c>
      <c r="AB3975">
        <v>25</v>
      </c>
      <c r="AC3975">
        <v>-13.3041999999999</v>
      </c>
      <c r="AD3975">
        <v>-1.111054544153</v>
      </c>
      <c r="AE3975">
        <v>-4.8498999999999901</v>
      </c>
      <c r="AF3975">
        <v>-3.9950089589679298</v>
      </c>
      <c r="AG3975">
        <v>-1.111054544153</v>
      </c>
      <c r="AH3975">
        <v>13.4950694341693</v>
      </c>
      <c r="AI3975">
        <v>94.513788708814801</v>
      </c>
      <c r="AJ3975">
        <v>106.49058218788799</v>
      </c>
      <c r="AK3975">
        <v>14.117770284834901</v>
      </c>
      <c r="AL3975">
        <v>84.809039137692693</v>
      </c>
      <c r="AM3975">
        <v>90.014661231542703</v>
      </c>
      <c r="AN3975">
        <v>1.00000004813772</v>
      </c>
    </row>
    <row r="3976" spans="1:40" x14ac:dyDescent="0.25">
      <c r="A3976" t="str">
        <f>"20190312154637382"</f>
        <v>20190312154637382</v>
      </c>
      <c r="B3976" t="str">
        <f>"1552376797371546"</f>
        <v>1552376797371546</v>
      </c>
      <c r="C3976" t="s">
        <v>40</v>
      </c>
      <c r="D3976">
        <v>4.3674169999999997</v>
      </c>
      <c r="E3976">
        <v>0.38995220000000003</v>
      </c>
      <c r="F3976" t="s">
        <v>42</v>
      </c>
      <c r="G3976">
        <v>-391.70089999999999</v>
      </c>
      <c r="H3976" s="1">
        <v>-4.2837500000000003E-6</v>
      </c>
      <c r="I3976">
        <v>135.43790000000001</v>
      </c>
      <c r="J3976">
        <v>-377.96210000000002</v>
      </c>
      <c r="K3976">
        <v>1.111048</v>
      </c>
      <c r="L3976">
        <v>140.4675</v>
      </c>
      <c r="M3976">
        <v>-0.99791940000000001</v>
      </c>
      <c r="N3976">
        <v>0</v>
      </c>
      <c r="O3976">
        <v>-6.2963980000000003E-2</v>
      </c>
      <c r="P3976">
        <v>-0.99500599999999995</v>
      </c>
      <c r="Q3976">
        <v>7.7247380000000004E-2</v>
      </c>
      <c r="R3976">
        <v>-6.3214190000000003E-2</v>
      </c>
      <c r="S3976">
        <v>-2.966583</v>
      </c>
      <c r="T3976">
        <v>-0.23555619999999999</v>
      </c>
      <c r="U3976">
        <v>-1.0699459999999901</v>
      </c>
      <c r="V3976">
        <v>-6.138141E-4</v>
      </c>
      <c r="W3976">
        <v>9.1071899999999997E-2</v>
      </c>
      <c r="X3976">
        <v>0.99584410000000001</v>
      </c>
      <c r="Y3976">
        <v>-0.27876780000000001</v>
      </c>
      <c r="Z3976">
        <v>-5.8892719999999897E-3</v>
      </c>
      <c r="AA3976">
        <v>0.96034050000000004</v>
      </c>
      <c r="AB3976">
        <v>25</v>
      </c>
      <c r="AC3976">
        <v>-13.7387999999999</v>
      </c>
      <c r="AD3976">
        <v>-1.1110522837500001</v>
      </c>
      <c r="AE3976">
        <v>-5.0295999999999799</v>
      </c>
      <c r="AF3976">
        <v>-4.1306640027208701</v>
      </c>
      <c r="AG3976">
        <v>-1.1110522837500001</v>
      </c>
      <c r="AH3976">
        <v>13.947811159150399</v>
      </c>
      <c r="AI3976">
        <v>94.367701860501995</v>
      </c>
      <c r="AJ3976">
        <v>106.496729911806</v>
      </c>
      <c r="AK3976">
        <v>14.5889772915006</v>
      </c>
      <c r="AL3976">
        <v>84.774724139481606</v>
      </c>
      <c r="AM3976">
        <v>90.035315721488701</v>
      </c>
      <c r="AN3976">
        <v>0.99999996962108395</v>
      </c>
    </row>
    <row r="3977" spans="1:40" x14ac:dyDescent="0.25">
      <c r="A3977" t="str">
        <f>"20190312154637404"</f>
        <v>20190312154637404</v>
      </c>
      <c r="B3977" t="str">
        <f>"1552376797401801"</f>
        <v>1552376797401801</v>
      </c>
      <c r="C3977" t="s">
        <v>40</v>
      </c>
      <c r="D3977">
        <v>4.5914549999999998</v>
      </c>
      <c r="E3977">
        <v>0.38945999999999997</v>
      </c>
      <c r="F3977" t="s">
        <v>42</v>
      </c>
      <c r="G3977">
        <v>-392.19540000000001</v>
      </c>
      <c r="H3977" s="1">
        <v>-4.0976530000000004E-6</v>
      </c>
      <c r="I3977">
        <v>135.291</v>
      </c>
      <c r="J3977">
        <v>-378.20010000000002</v>
      </c>
      <c r="K3977">
        <v>1.1110469999999999</v>
      </c>
      <c r="L3977">
        <v>140.4511</v>
      </c>
      <c r="M3977">
        <v>-0.99784450000000002</v>
      </c>
      <c r="N3977">
        <v>0</v>
      </c>
      <c r="O3977">
        <v>-6.4142359999999995E-2</v>
      </c>
      <c r="P3977">
        <v>-0.99497780000000002</v>
      </c>
      <c r="Q3977">
        <v>7.7383339999999995E-2</v>
      </c>
      <c r="R3977">
        <v>-6.3494910000000002E-2</v>
      </c>
      <c r="S3977">
        <v>-2.964569</v>
      </c>
      <c r="T3977">
        <v>-0.2314138</v>
      </c>
      <c r="U3977">
        <v>-1.0781559999999999</v>
      </c>
      <c r="V3977">
        <v>2.8213359999999999E-4</v>
      </c>
      <c r="W3977">
        <v>9.1206770000000006E-2</v>
      </c>
      <c r="X3977">
        <v>0.99583200000000005</v>
      </c>
      <c r="Y3977">
        <v>-0.28021279999999998</v>
      </c>
      <c r="Z3977">
        <v>-5.7533369999999999E-3</v>
      </c>
      <c r="AA3977">
        <v>0.95992069999999996</v>
      </c>
      <c r="AB3977">
        <v>25</v>
      </c>
      <c r="AC3977">
        <v>-13.995299999999901</v>
      </c>
      <c r="AD3977">
        <v>-1.1110510976529999</v>
      </c>
      <c r="AE3977">
        <v>-5.1600999999999999</v>
      </c>
      <c r="AF3977">
        <v>-4.2282353950436304</v>
      </c>
      <c r="AG3977">
        <v>-1.1110510976529999</v>
      </c>
      <c r="AH3977">
        <v>14.218600703863199</v>
      </c>
      <c r="AI3977">
        <v>94.283405672602697</v>
      </c>
      <c r="AJ3977">
        <v>106.56108407715099</v>
      </c>
      <c r="AK3977">
        <v>14.8755173043963</v>
      </c>
      <c r="AL3977">
        <v>84.766964854330496</v>
      </c>
      <c r="AM3977">
        <v>89.983767277908001</v>
      </c>
      <c r="AN3977">
        <v>1.0000000633585899</v>
      </c>
    </row>
    <row r="3978" spans="1:40" x14ac:dyDescent="0.25">
      <c r="A3978" t="str">
        <f>"20190312154637426"</f>
        <v>20190312154637426</v>
      </c>
      <c r="B3978" t="str">
        <f>"1552376797421321"</f>
        <v>1552376797421321</v>
      </c>
      <c r="C3978" t="s">
        <v>40</v>
      </c>
      <c r="D3978">
        <v>4.3825949999999896</v>
      </c>
      <c r="E3978">
        <v>0.38914900000000002</v>
      </c>
      <c r="F3978" t="s">
        <v>42</v>
      </c>
      <c r="G3978">
        <v>-392.62790000000001</v>
      </c>
      <c r="H3978" s="1">
        <v>-3.9321859999999901E-6</v>
      </c>
      <c r="I3978">
        <v>135.17789999999999</v>
      </c>
      <c r="J3978">
        <v>-378.45069999999998</v>
      </c>
      <c r="K3978">
        <v>1.1110409999999999</v>
      </c>
      <c r="L3978">
        <v>140.43350000000001</v>
      </c>
      <c r="M3978">
        <v>-0.99776390000000004</v>
      </c>
      <c r="N3978">
        <v>0</v>
      </c>
      <c r="O3978">
        <v>-6.5381659999999994E-2</v>
      </c>
      <c r="P3978">
        <v>-0.99499530000000003</v>
      </c>
      <c r="Q3978">
        <v>7.6952259999999995E-2</v>
      </c>
      <c r="R3978">
        <v>-6.3737379999999996E-2</v>
      </c>
      <c r="S3978">
        <v>-2.9638369999999998</v>
      </c>
      <c r="T3978">
        <v>-0.22823830000000001</v>
      </c>
      <c r="U3978">
        <v>-1.083237</v>
      </c>
      <c r="V3978">
        <v>1.2806530000000001E-3</v>
      </c>
      <c r="W3978">
        <v>9.077607E-2</v>
      </c>
      <c r="X3978">
        <v>0.99587049999999999</v>
      </c>
      <c r="Y3978">
        <v>-0.28056759999999997</v>
      </c>
      <c r="Z3978">
        <v>-5.595928E-3</v>
      </c>
      <c r="AA3978">
        <v>0.9598179</v>
      </c>
      <c r="AB3978">
        <v>25</v>
      </c>
      <c r="AC3978">
        <v>-14.177199999999999</v>
      </c>
      <c r="AD3978">
        <v>-1.1110449321860001</v>
      </c>
      <c r="AE3978">
        <v>-5.25560000000001</v>
      </c>
      <c r="AF3978">
        <v>-4.2941479278025598</v>
      </c>
      <c r="AG3978">
        <v>-1.1110449321860001</v>
      </c>
      <c r="AH3978">
        <v>14.412690108034599</v>
      </c>
      <c r="AI3978">
        <v>94.225255320526102</v>
      </c>
      <c r="AJ3978">
        <v>106.591012491585</v>
      </c>
      <c r="AK3978">
        <v>15.079779952553199</v>
      </c>
      <c r="AL3978">
        <v>84.791744578055997</v>
      </c>
      <c r="AM3978">
        <v>89.926319766000205</v>
      </c>
      <c r="AN3978">
        <v>0.99999999386350003</v>
      </c>
    </row>
    <row r="3979" spans="1:40" x14ac:dyDescent="0.25">
      <c r="A3979" t="str">
        <f>"20190312154637448"</f>
        <v>20190312154637448</v>
      </c>
      <c r="B3979" t="str">
        <f>"1552376797441818"</f>
        <v>1552376797441818</v>
      </c>
      <c r="C3979" t="s">
        <v>40</v>
      </c>
      <c r="D3979">
        <v>4.326632</v>
      </c>
      <c r="E3979">
        <v>0.3889109</v>
      </c>
      <c r="F3979" t="s">
        <v>42</v>
      </c>
      <c r="G3979">
        <v>-392.87689999999998</v>
      </c>
      <c r="H3979" s="1">
        <v>-3.8308120000000001E-6</v>
      </c>
      <c r="I3979">
        <v>135.1473</v>
      </c>
      <c r="J3979">
        <v>-378.6968</v>
      </c>
      <c r="K3979">
        <v>1.1110340000000001</v>
      </c>
      <c r="L3979">
        <v>140.416</v>
      </c>
      <c r="M3979">
        <v>-0.9976834</v>
      </c>
      <c r="N3979">
        <v>0</v>
      </c>
      <c r="O3979">
        <v>-6.6600090000000001E-2</v>
      </c>
      <c r="P3979">
        <v>-0.99498699999999995</v>
      </c>
      <c r="Q3979">
        <v>7.6398369999999993E-2</v>
      </c>
      <c r="R3979">
        <v>-6.4531980000000003E-2</v>
      </c>
      <c r="S3979">
        <v>-2.9631959999999999</v>
      </c>
      <c r="T3979">
        <v>-0.22821350000000001</v>
      </c>
      <c r="U3979">
        <v>-1.0858000000000001</v>
      </c>
      <c r="V3979">
        <v>1.706695E-3</v>
      </c>
      <c r="W3979">
        <v>9.0220460000000002E-2</v>
      </c>
      <c r="X3979">
        <v>0.99592040000000004</v>
      </c>
      <c r="Y3979">
        <v>-0.28019909999999998</v>
      </c>
      <c r="Z3979">
        <v>-5.4918629999999996E-3</v>
      </c>
      <c r="AA3979">
        <v>0.95992619999999895</v>
      </c>
      <c r="AB3979">
        <v>25</v>
      </c>
      <c r="AC3979">
        <v>-14.1800999999999</v>
      </c>
      <c r="AD3979">
        <v>-1.1110378308119999</v>
      </c>
      <c r="AE3979">
        <v>-5.2686999999999902</v>
      </c>
      <c r="AF3979">
        <v>-4.2893749379814299</v>
      </c>
      <c r="AG3979">
        <v>-1.1110378308119999</v>
      </c>
      <c r="AH3979">
        <v>14.421744756191201</v>
      </c>
      <c r="AI3979">
        <v>94.223181234413602</v>
      </c>
      <c r="AJ3979">
        <v>106.563748171059</v>
      </c>
      <c r="AK3979">
        <v>15.0870760663823</v>
      </c>
      <c r="AL3979">
        <v>84.823710111153204</v>
      </c>
      <c r="AM3979">
        <v>89.901813112079495</v>
      </c>
      <c r="AN3979">
        <v>1.0000000436732901</v>
      </c>
    </row>
    <row r="3980" spans="1:40" x14ac:dyDescent="0.25">
      <c r="A3980" t="str">
        <f>"20190312154637471"</f>
        <v>20190312154637471</v>
      </c>
      <c r="B3980" t="str">
        <f>"1552376797461843"</f>
        <v>1552376797461843</v>
      </c>
      <c r="C3980" t="s">
        <v>40</v>
      </c>
      <c r="D3980">
        <v>4.3707799999999999</v>
      </c>
      <c r="E3980">
        <v>0.38869110000000001</v>
      </c>
      <c r="F3980" t="s">
        <v>42</v>
      </c>
      <c r="G3980">
        <v>-393.07299999999998</v>
      </c>
      <c r="H3980" s="1">
        <v>-3.7502199999999998E-6</v>
      </c>
      <c r="I3980">
        <v>135.12729999999999</v>
      </c>
      <c r="J3980">
        <v>-378.94380000000001</v>
      </c>
      <c r="K3980">
        <v>1.11103</v>
      </c>
      <c r="L3980">
        <v>140.3981</v>
      </c>
      <c r="M3980">
        <v>-0.99760119999999997</v>
      </c>
      <c r="N3980">
        <v>0</v>
      </c>
      <c r="O3980">
        <v>-6.7822460000000001E-2</v>
      </c>
      <c r="P3980">
        <v>-0.99492689999999995</v>
      </c>
      <c r="Q3980">
        <v>7.5521190000000002E-2</v>
      </c>
      <c r="R3980">
        <v>-6.6462930000000003E-2</v>
      </c>
      <c r="S3980">
        <v>-2.9620359999999999</v>
      </c>
      <c r="T3980">
        <v>-0.22891639999999999</v>
      </c>
      <c r="U3980">
        <v>-1.089645</v>
      </c>
      <c r="V3980">
        <v>1.000012E-3</v>
      </c>
      <c r="W3980">
        <v>8.9339970000000005E-2</v>
      </c>
      <c r="X3980">
        <v>0.99600069999999996</v>
      </c>
      <c r="Y3980">
        <v>-0.2802422</v>
      </c>
      <c r="Z3980">
        <v>-5.4205669999999899E-3</v>
      </c>
      <c r="AA3980">
        <v>0.95991400000000004</v>
      </c>
      <c r="AB3980">
        <v>25</v>
      </c>
      <c r="AC3980">
        <v>-14.129200000000001</v>
      </c>
      <c r="AD3980">
        <v>-1.1110337502200001</v>
      </c>
      <c r="AE3980">
        <v>-5.2708000000000004</v>
      </c>
      <c r="AF3980">
        <v>-4.2770763948971302</v>
      </c>
      <c r="AG3980">
        <v>-1.1110337502200001</v>
      </c>
      <c r="AH3980">
        <v>14.3761401966914</v>
      </c>
      <c r="AI3980">
        <v>94.236412440475206</v>
      </c>
      <c r="AJ3980">
        <v>106.56838124085</v>
      </c>
      <c r="AK3980">
        <v>15.0399862179737</v>
      </c>
      <c r="AL3980">
        <v>84.874362867074794</v>
      </c>
      <c r="AM3980">
        <v>89.942473486404694</v>
      </c>
      <c r="AN3980">
        <v>1.0000000123320401</v>
      </c>
    </row>
    <row r="3981" spans="1:40" x14ac:dyDescent="0.25">
      <c r="A3981" t="str">
        <f>"20190312154637494"</f>
        <v>20190312154637494</v>
      </c>
      <c r="B3981" t="str">
        <f>"1552376797491123"</f>
        <v>1552376797491123</v>
      </c>
      <c r="C3981" t="s">
        <v>40</v>
      </c>
      <c r="D3981">
        <v>4.3860449999999904</v>
      </c>
      <c r="E3981">
        <v>0.38846009999999997</v>
      </c>
      <c r="F3981" t="s">
        <v>42</v>
      </c>
      <c r="G3981">
        <v>-393.14179999999999</v>
      </c>
      <c r="H3981" s="1">
        <v>-3.7189199999999998E-6</v>
      </c>
      <c r="I3981">
        <v>135.13730000000001</v>
      </c>
      <c r="J3981">
        <v>-379.19409999999999</v>
      </c>
      <c r="K3981">
        <v>1.111029</v>
      </c>
      <c r="L3981">
        <v>140.37960000000001</v>
      </c>
      <c r="M3981">
        <v>-0.99751610000000002</v>
      </c>
      <c r="N3981">
        <v>0</v>
      </c>
      <c r="O3981">
        <v>-6.9062109999999996E-2</v>
      </c>
      <c r="P3981">
        <v>-0.99483410000000005</v>
      </c>
      <c r="Q3981">
        <v>7.5162339999999994E-2</v>
      </c>
      <c r="R3981">
        <v>-6.8233429999999998E-2</v>
      </c>
      <c r="S3981">
        <v>-2.959686</v>
      </c>
      <c r="T3981">
        <v>-0.23160310000000001</v>
      </c>
      <c r="U3981">
        <v>-1.0966340000000001</v>
      </c>
      <c r="V3981">
        <v>4.6759679999999997E-4</v>
      </c>
      <c r="W3981">
        <v>8.8978080000000001E-2</v>
      </c>
      <c r="X3981">
        <v>0.99603350000000002</v>
      </c>
      <c r="Y3981">
        <v>-0.28127799999999997</v>
      </c>
      <c r="Z3981">
        <v>-5.4321650000000001E-3</v>
      </c>
      <c r="AA3981">
        <v>0.95961090000000004</v>
      </c>
      <c r="AB3981">
        <v>25</v>
      </c>
      <c r="AC3981">
        <v>-13.9476999999999</v>
      </c>
      <c r="AD3981">
        <v>-1.11103271892</v>
      </c>
      <c r="AE3981">
        <v>-5.2423000000000002</v>
      </c>
      <c r="AF3981">
        <v>-4.2428412978744401</v>
      </c>
      <c r="AG3981">
        <v>-1.11103271892</v>
      </c>
      <c r="AH3981">
        <v>14.1975347288972</v>
      </c>
      <c r="AI3981">
        <v>94.287947283804499</v>
      </c>
      <c r="AJ3981">
        <v>106.63843476850001</v>
      </c>
      <c r="AK3981">
        <v>14.859545361810399</v>
      </c>
      <c r="AL3981">
        <v>84.895180611083006</v>
      </c>
      <c r="AM3981">
        <v>89.973101987849105</v>
      </c>
      <c r="AN3981">
        <v>1.0000000252447501</v>
      </c>
    </row>
    <row r="3982" spans="1:40" x14ac:dyDescent="0.25">
      <c r="A3982" t="str">
        <f>"20190312154637518"</f>
        <v>20190312154637518</v>
      </c>
      <c r="B3982" t="str">
        <f>"1552376797511620"</f>
        <v>1552376797511620</v>
      </c>
      <c r="C3982" t="s">
        <v>40</v>
      </c>
      <c r="D3982">
        <v>4.3703110000000001</v>
      </c>
      <c r="E3982">
        <v>0.38827279999999997</v>
      </c>
      <c r="F3982" t="s">
        <v>42</v>
      </c>
      <c r="G3982">
        <v>-393.33139999999997</v>
      </c>
      <c r="H3982" s="1">
        <v>-3.6435290000000001E-6</v>
      </c>
      <c r="I3982">
        <v>135.10380000000001</v>
      </c>
      <c r="J3982">
        <v>-379.45330000000001</v>
      </c>
      <c r="K3982">
        <v>1.111027</v>
      </c>
      <c r="L3982">
        <v>140.36009999999999</v>
      </c>
      <c r="M3982">
        <v>-0.99742640000000005</v>
      </c>
      <c r="N3982">
        <v>0</v>
      </c>
      <c r="O3982">
        <v>-7.0346469999999994E-2</v>
      </c>
      <c r="P3982">
        <v>-0.99463520000000005</v>
      </c>
      <c r="Q3982">
        <v>7.5989829999999994E-2</v>
      </c>
      <c r="R3982">
        <v>-7.0190790000000003E-2</v>
      </c>
      <c r="S3982">
        <v>-2.9574889999999998</v>
      </c>
      <c r="T3982">
        <v>-0.23242489999999999</v>
      </c>
      <c r="U3982">
        <v>-1.1036680000000001</v>
      </c>
      <c r="V3982">
        <v>-2.159102E-4</v>
      </c>
      <c r="W3982">
        <v>8.9800649999999996E-2</v>
      </c>
      <c r="X3982">
        <v>0.99595979999999995</v>
      </c>
      <c r="Y3982">
        <v>-0.28227639999999998</v>
      </c>
      <c r="Z3982">
        <v>-5.3942670000000003E-3</v>
      </c>
      <c r="AA3982">
        <v>0.959318</v>
      </c>
      <c r="AB3982">
        <v>25</v>
      </c>
      <c r="AC3982">
        <v>-13.8780999999999</v>
      </c>
      <c r="AD3982">
        <v>-1.1110306435290001</v>
      </c>
      <c r="AE3982">
        <v>-5.25629999999998</v>
      </c>
      <c r="AF3982">
        <v>-4.2431239079639402</v>
      </c>
      <c r="AG3982">
        <v>-1.1110306435290001</v>
      </c>
      <c r="AH3982">
        <v>14.134287134490799</v>
      </c>
      <c r="AI3982">
        <v>94.305454338133103</v>
      </c>
      <c r="AJ3982">
        <v>106.70979721242701</v>
      </c>
      <c r="AK3982">
        <v>14.799208167649599</v>
      </c>
      <c r="AL3982">
        <v>84.847861587783996</v>
      </c>
      <c r="AM3982">
        <v>90.012420926045394</v>
      </c>
      <c r="AN3982">
        <v>1.00000006328683</v>
      </c>
    </row>
    <row r="3983" spans="1:40" x14ac:dyDescent="0.25">
      <c r="A3983" t="str">
        <f>"20190312154637561"</f>
        <v>20190312154637561</v>
      </c>
      <c r="B3983" t="str">
        <f>"1552376797551635"</f>
        <v>1552376797551635</v>
      </c>
      <c r="C3983" t="s">
        <v>40</v>
      </c>
      <c r="D3983">
        <v>4.4082019999999904</v>
      </c>
      <c r="E3983">
        <v>0.3879243</v>
      </c>
      <c r="F3983" t="s">
        <v>42</v>
      </c>
      <c r="G3983">
        <v>-393.791</v>
      </c>
      <c r="H3983" s="1">
        <v>-3.4702700000000001E-6</v>
      </c>
      <c r="I3983">
        <v>134.96899999999999</v>
      </c>
      <c r="J3983">
        <v>-379.92660000000001</v>
      </c>
      <c r="K3983">
        <v>1.111032</v>
      </c>
      <c r="L3983">
        <v>140.32380000000001</v>
      </c>
      <c r="M3983">
        <v>-0.99725839999999999</v>
      </c>
      <c r="N3983">
        <v>0</v>
      </c>
      <c r="O3983">
        <v>-7.2690850000000001E-2</v>
      </c>
      <c r="P3983">
        <v>-0.99433709999999997</v>
      </c>
      <c r="Q3983">
        <v>7.693063E-2</v>
      </c>
      <c r="R3983">
        <v>-7.3320590000000005E-2</v>
      </c>
      <c r="S3983">
        <v>-2.955292</v>
      </c>
      <c r="T3983">
        <v>-0.2290065</v>
      </c>
      <c r="U3983">
        <v>-1.1112059999999999</v>
      </c>
      <c r="V3983">
        <v>-1.0165230000000001E-3</v>
      </c>
      <c r="W3983">
        <v>9.073428E-2</v>
      </c>
      <c r="X3983">
        <v>0.99587460000000005</v>
      </c>
      <c r="Y3983">
        <v>-0.28242319999999999</v>
      </c>
      <c r="Z3983">
        <v>-5.1481820000000003E-3</v>
      </c>
      <c r="AA3983">
        <v>0.95927609999999996</v>
      </c>
      <c r="AB3983">
        <v>25</v>
      </c>
      <c r="AC3983">
        <v>-13.8643999999999</v>
      </c>
      <c r="AD3983">
        <v>-1.11103547027</v>
      </c>
      <c r="AE3983">
        <v>-5.3548000000000098</v>
      </c>
      <c r="AF3983">
        <v>-4.3086422290062902</v>
      </c>
      <c r="AG3983">
        <v>-1.11103547027</v>
      </c>
      <c r="AH3983">
        <v>14.1379918613477</v>
      </c>
      <c r="AI3983">
        <v>94.298938814402007</v>
      </c>
      <c r="AJ3983">
        <v>106.94893091456601</v>
      </c>
      <c r="AK3983">
        <v>14.8216602155531</v>
      </c>
      <c r="AL3983">
        <v>84.794148823089799</v>
      </c>
      <c r="AM3983">
        <v>90.058483726214504</v>
      </c>
      <c r="AN3983">
        <v>0.99999998090564302</v>
      </c>
    </row>
    <row r="3984" spans="1:40" x14ac:dyDescent="0.25">
      <c r="A3984" t="str">
        <f>"20190312154637582"</f>
        <v>20190312154637582</v>
      </c>
      <c r="B3984" t="str">
        <f>"1552376797571156"</f>
        <v>1552376797571156</v>
      </c>
      <c r="C3984" t="s">
        <v>40</v>
      </c>
      <c r="D3984">
        <v>4.4499599999999999</v>
      </c>
      <c r="E3984">
        <v>0.38779710000000001</v>
      </c>
      <c r="F3984" t="s">
        <v>42</v>
      </c>
      <c r="G3984">
        <v>-394.58550000000002</v>
      </c>
      <c r="H3984" s="1">
        <v>-3.1704900000000001E-6</v>
      </c>
      <c r="I3984">
        <v>134.73750000000001</v>
      </c>
      <c r="J3984">
        <v>-380.16910000000001</v>
      </c>
      <c r="K3984">
        <v>1.1110370000000001</v>
      </c>
      <c r="L3984">
        <v>140.3047</v>
      </c>
      <c r="M3984">
        <v>-0.99717</v>
      </c>
      <c r="N3984">
        <v>0</v>
      </c>
      <c r="O3984">
        <v>-7.3892719999999995E-2</v>
      </c>
      <c r="P3984">
        <v>-0.99420450000000005</v>
      </c>
      <c r="Q3984">
        <v>7.7729950000000006E-2</v>
      </c>
      <c r="R3984">
        <v>-7.4266529999999997E-2</v>
      </c>
      <c r="S3984">
        <v>-2.9514469999999999</v>
      </c>
      <c r="T3984">
        <v>-0.22369790000000001</v>
      </c>
      <c r="U3984">
        <v>-1.124725</v>
      </c>
      <c r="V3984">
        <v>-7.6905949999999995E-4</v>
      </c>
      <c r="W3984">
        <v>9.1530139999999996E-2</v>
      </c>
      <c r="X3984">
        <v>0.99580199999999996</v>
      </c>
      <c r="Y3984">
        <v>-0.28554020000000002</v>
      </c>
      <c r="Z3984">
        <v>-5.0583939999999999E-3</v>
      </c>
      <c r="AA3984">
        <v>0.95835340000000002</v>
      </c>
      <c r="AB3984">
        <v>25</v>
      </c>
      <c r="AC3984">
        <v>-14.416399999999999</v>
      </c>
      <c r="AD3984">
        <v>-1.1110401704899999</v>
      </c>
      <c r="AE3984">
        <v>-5.5671999999999802</v>
      </c>
      <c r="AF3984">
        <v>-4.46353775258825</v>
      </c>
      <c r="AG3984">
        <v>-1.1110401704899999</v>
      </c>
      <c r="AH3984">
        <v>14.7123527915388</v>
      </c>
      <c r="AI3984">
        <v>94.133290805550999</v>
      </c>
      <c r="AJ3984">
        <v>106.87711948089</v>
      </c>
      <c r="AK3984">
        <v>15.4146327945859</v>
      </c>
      <c r="AL3984">
        <v>84.748358911816496</v>
      </c>
      <c r="AM3984">
        <v>90.044249614666199</v>
      </c>
      <c r="AN3984">
        <v>0.99999999059246603</v>
      </c>
    </row>
    <row r="3985" spans="1:40" x14ac:dyDescent="0.25">
      <c r="A3985" t="str">
        <f>"20190312154637605"</f>
        <v>20190312154637605</v>
      </c>
      <c r="B3985" t="str">
        <f>"1552376797601412"</f>
        <v>1552376797601412</v>
      </c>
      <c r="C3985" t="s">
        <v>40</v>
      </c>
      <c r="D3985">
        <v>4.4545279999999998</v>
      </c>
      <c r="E3985">
        <v>0.38763979999999998</v>
      </c>
      <c r="F3985" t="s">
        <v>42</v>
      </c>
      <c r="G3985">
        <v>-395.04640000000001</v>
      </c>
      <c r="H3985" s="1">
        <v>-3.0039479999999998E-6</v>
      </c>
      <c r="I3985">
        <v>134.6095</v>
      </c>
      <c r="J3985">
        <v>-380.40609999999998</v>
      </c>
      <c r="K3985">
        <v>1.1110390000000001</v>
      </c>
      <c r="L3985">
        <v>140.28579999999999</v>
      </c>
      <c r="M3985">
        <v>-0.99708220000000003</v>
      </c>
      <c r="N3985">
        <v>0</v>
      </c>
      <c r="O3985">
        <v>-7.5068129999999997E-2</v>
      </c>
      <c r="P3985">
        <v>-0.9941352</v>
      </c>
      <c r="Q3985">
        <v>7.7823710000000004E-2</v>
      </c>
      <c r="R3985">
        <v>-7.5093549999999995E-2</v>
      </c>
      <c r="S3985">
        <v>-2.950348</v>
      </c>
      <c r="T3985">
        <v>-0.22033330000000001</v>
      </c>
      <c r="U3985">
        <v>-1.12941</v>
      </c>
      <c r="V3985">
        <v>-4.2337560000000002E-4</v>
      </c>
      <c r="W3985">
        <v>9.1622729999999999E-2</v>
      </c>
      <c r="X3985">
        <v>0.9957937</v>
      </c>
      <c r="Y3985">
        <v>-0.28587489999999999</v>
      </c>
      <c r="Z3985">
        <v>-4.9110809999999899E-3</v>
      </c>
      <c r="AA3985">
        <v>0.9582543</v>
      </c>
      <c r="AB3985">
        <v>25</v>
      </c>
      <c r="AC3985">
        <v>-14.6403</v>
      </c>
      <c r="AD3985">
        <v>-1.11104200394799</v>
      </c>
      <c r="AE3985">
        <v>-5.6762999999999897</v>
      </c>
      <c r="AF3985">
        <v>-4.5384333306176901</v>
      </c>
      <c r="AG3985">
        <v>-1.11104200394799</v>
      </c>
      <c r="AH3985">
        <v>14.950283528173401</v>
      </c>
      <c r="AI3985">
        <v>94.067535358954302</v>
      </c>
      <c r="AJ3985">
        <v>106.88663111995</v>
      </c>
      <c r="AK3985">
        <v>15.663421369668001</v>
      </c>
      <c r="AL3985">
        <v>84.743031551379403</v>
      </c>
      <c r="AM3985">
        <v>90.024360099453503</v>
      </c>
      <c r="AN3985">
        <v>0.99999999842961995</v>
      </c>
    </row>
    <row r="3986" spans="1:40" x14ac:dyDescent="0.25">
      <c r="A3986" t="str">
        <f>"20190312154637627"</f>
        <v>20190312154637627</v>
      </c>
      <c r="B3986" t="str">
        <f>"1552376797621907"</f>
        <v>1552376797621907</v>
      </c>
      <c r="C3986" t="s">
        <v>40</v>
      </c>
      <c r="D3986">
        <v>4.5471760000000003</v>
      </c>
      <c r="E3986">
        <v>0.3875827</v>
      </c>
      <c r="F3986" t="s">
        <v>42</v>
      </c>
      <c r="G3986">
        <v>-395.25670000000002</v>
      </c>
      <c r="H3986" s="1">
        <v>-2.9401550000000001E-6</v>
      </c>
      <c r="I3986">
        <v>134.58029999999999</v>
      </c>
      <c r="J3986">
        <v>-380.65750000000003</v>
      </c>
      <c r="K3986">
        <v>1.111043</v>
      </c>
      <c r="L3986">
        <v>140.2654</v>
      </c>
      <c r="M3986">
        <v>-0.99698770000000003</v>
      </c>
      <c r="N3986">
        <v>0</v>
      </c>
      <c r="O3986">
        <v>-7.6314460000000001E-2</v>
      </c>
      <c r="P3986">
        <v>-0.99406399999999995</v>
      </c>
      <c r="Q3986">
        <v>7.7949480000000002E-2</v>
      </c>
      <c r="R3986">
        <v>-7.5899910000000001E-2</v>
      </c>
      <c r="S3986">
        <v>-2.9493710000000002</v>
      </c>
      <c r="T3986">
        <v>-0.2206573</v>
      </c>
      <c r="U3986">
        <v>-1.1331180000000001</v>
      </c>
      <c r="V3986" s="1">
        <v>1.3897310000000001E-5</v>
      </c>
      <c r="W3986">
        <v>9.1746179999999997E-2</v>
      </c>
      <c r="X3986">
        <v>0.99578239999999996</v>
      </c>
      <c r="Y3986">
        <v>-0.28583500000000001</v>
      </c>
      <c r="Z3986">
        <v>-4.8282439999999998E-3</v>
      </c>
      <c r="AA3986">
        <v>0.95826670000000003</v>
      </c>
      <c r="AB3986">
        <v>25</v>
      </c>
      <c r="AC3986">
        <v>-14.5991999999999</v>
      </c>
      <c r="AD3986">
        <v>-1.1110459401549999</v>
      </c>
      <c r="AE3986">
        <v>-5.6851000000000003</v>
      </c>
      <c r="AF3986">
        <v>-4.53149185810158</v>
      </c>
      <c r="AG3986">
        <v>-1.1110459401549999</v>
      </c>
      <c r="AH3986">
        <v>14.915503275639299</v>
      </c>
      <c r="AI3986">
        <v>94.076728625272096</v>
      </c>
      <c r="AJ3986">
        <v>106.899351076502</v>
      </c>
      <c r="AK3986">
        <v>15.6282142136196</v>
      </c>
      <c r="AL3986">
        <v>84.735928346007299</v>
      </c>
      <c r="AM3986">
        <v>89.999200370272106</v>
      </c>
      <c r="AN3986">
        <v>0.99999997494374304</v>
      </c>
    </row>
    <row r="3987" spans="1:40" x14ac:dyDescent="0.25">
      <c r="A3987" t="str">
        <f>"20190312154637650"</f>
        <v>20190312154637650</v>
      </c>
      <c r="B3987" t="str">
        <f>"1552376797641428"</f>
        <v>1552376797641428</v>
      </c>
      <c r="C3987" t="s">
        <v>40</v>
      </c>
      <c r="D3987">
        <v>4.4695410000000004</v>
      </c>
      <c r="E3987">
        <v>0.38751079999999999</v>
      </c>
      <c r="F3987" t="s">
        <v>42</v>
      </c>
      <c r="G3987">
        <v>-395.44069999999999</v>
      </c>
      <c r="H3987" s="1">
        <v>-2.879871E-6</v>
      </c>
      <c r="I3987">
        <v>134.57149999999999</v>
      </c>
      <c r="J3987">
        <v>-380.89890000000003</v>
      </c>
      <c r="K3987">
        <v>1.1110359999999999</v>
      </c>
      <c r="L3987">
        <v>140.24549999999999</v>
      </c>
      <c r="M3987">
        <v>-0.99689539999999999</v>
      </c>
      <c r="N3987">
        <v>0</v>
      </c>
      <c r="O3987">
        <v>-7.7511679999999999E-2</v>
      </c>
      <c r="P3987">
        <v>-0.9940156</v>
      </c>
      <c r="Q3987">
        <v>7.8186530000000004E-2</v>
      </c>
      <c r="R3987">
        <v>-7.6286409999999999E-2</v>
      </c>
      <c r="S3987">
        <v>-2.9485779999999999</v>
      </c>
      <c r="T3987">
        <v>-0.2216041</v>
      </c>
      <c r="U3987">
        <v>-1.1356660000000001</v>
      </c>
      <c r="V3987">
        <v>8.2187880000000001E-4</v>
      </c>
      <c r="W3987">
        <v>9.1982170000000002E-2</v>
      </c>
      <c r="X3987">
        <v>0.99576030000000004</v>
      </c>
      <c r="Y3987">
        <v>-0.28549160000000001</v>
      </c>
      <c r="Z3987">
        <v>-4.7510410000000001E-3</v>
      </c>
      <c r="AA3987">
        <v>0.95836940000000004</v>
      </c>
      <c r="AB3987">
        <v>25</v>
      </c>
      <c r="AC3987">
        <v>-14.541799999999901</v>
      </c>
      <c r="AD3987">
        <v>-1.111038879871</v>
      </c>
      <c r="AE3987">
        <v>-5.6740000000000004</v>
      </c>
      <c r="AF3987">
        <v>-4.5068266609049301</v>
      </c>
      <c r="AG3987">
        <v>-1.111038879871</v>
      </c>
      <c r="AH3987">
        <v>14.8625891763783</v>
      </c>
      <c r="AI3987">
        <v>94.091822489244294</v>
      </c>
      <c r="AJ3987">
        <v>106.869032114264</v>
      </c>
      <c r="AK3987">
        <v>15.5705636047584</v>
      </c>
      <c r="AL3987">
        <v>84.7223497515388</v>
      </c>
      <c r="AM3987">
        <v>89.952709325911101</v>
      </c>
      <c r="AN3987">
        <v>0.99999998506938004</v>
      </c>
    </row>
    <row r="3988" spans="1:40" x14ac:dyDescent="0.25">
      <c r="A3988" t="str">
        <f>"20190312154637672"</f>
        <v>20190312154637672</v>
      </c>
      <c r="B3988" t="str">
        <f>"1552376797661923"</f>
        <v>1552376797661923</v>
      </c>
      <c r="C3988" t="s">
        <v>40</v>
      </c>
      <c r="D3988">
        <v>4.5096759999999998</v>
      </c>
      <c r="E3988">
        <v>0.38739170000000001</v>
      </c>
      <c r="F3988" t="s">
        <v>42</v>
      </c>
      <c r="G3988">
        <v>-395.61189999999999</v>
      </c>
      <c r="H3988" s="1">
        <v>-2.8212190000000001E-6</v>
      </c>
      <c r="I3988">
        <v>134.57299999999901</v>
      </c>
      <c r="J3988">
        <v>-381.14359999999999</v>
      </c>
      <c r="K3988">
        <v>1.111038</v>
      </c>
      <c r="L3988">
        <v>140.2251</v>
      </c>
      <c r="M3988">
        <v>-0.99680040000000003</v>
      </c>
      <c r="N3988">
        <v>0</v>
      </c>
      <c r="O3988">
        <v>-7.8724879999999997E-2</v>
      </c>
      <c r="P3988">
        <v>-0.99389349999999999</v>
      </c>
      <c r="Q3988">
        <v>7.8951720000000003E-2</v>
      </c>
      <c r="R3988">
        <v>-7.7089279999999996E-2</v>
      </c>
      <c r="S3988">
        <v>-2.948334</v>
      </c>
      <c r="T3988">
        <v>-0.22264210000000001</v>
      </c>
      <c r="U3988">
        <v>-1.136703</v>
      </c>
      <c r="V3988">
        <v>1.224253E-3</v>
      </c>
      <c r="W3988">
        <v>9.2744690000000005E-2</v>
      </c>
      <c r="X3988">
        <v>0.99568920000000005</v>
      </c>
      <c r="Y3988">
        <v>-0.28464590000000001</v>
      </c>
      <c r="Z3988">
        <v>-4.6550519999999998E-3</v>
      </c>
      <c r="AA3988">
        <v>0.95862139999999996</v>
      </c>
      <c r="AB3988">
        <v>24</v>
      </c>
      <c r="AC3988">
        <v>-14.468299999999999</v>
      </c>
      <c r="AD3988">
        <v>-1.1110408212189999</v>
      </c>
      <c r="AE3988">
        <v>-5.6521000000000097</v>
      </c>
      <c r="AF3988">
        <v>-4.4725483103999402</v>
      </c>
      <c r="AG3988">
        <v>-1.1110408212189999</v>
      </c>
      <c r="AH3988">
        <v>14.7927091956344</v>
      </c>
      <c r="AI3988">
        <v>94.112098634237896</v>
      </c>
      <c r="AJ3988">
        <v>106.822594860461</v>
      </c>
      <c r="AK3988">
        <v>15.493945444653001</v>
      </c>
      <c r="AL3988">
        <v>84.678473252793495</v>
      </c>
      <c r="AM3988">
        <v>89.929551817366203</v>
      </c>
      <c r="AN3988">
        <v>1.0000000296576199</v>
      </c>
    </row>
    <row r="3989" spans="1:40" x14ac:dyDescent="0.25">
      <c r="A3989" t="str">
        <f>"20190312154637707"</f>
        <v>20190312154637707</v>
      </c>
      <c r="B3989" t="str">
        <f>"1552376797701940"</f>
        <v>1552376797701940</v>
      </c>
      <c r="C3989" t="s">
        <v>40</v>
      </c>
      <c r="D3989">
        <v>4.50427</v>
      </c>
      <c r="E3989">
        <v>0.38729350000000001</v>
      </c>
      <c r="F3989" t="s">
        <v>42</v>
      </c>
      <c r="G3989">
        <v>-395.96820000000002</v>
      </c>
      <c r="H3989" s="1">
        <v>-2.7217940000000002E-6</v>
      </c>
      <c r="I3989">
        <v>134.49090000000001</v>
      </c>
      <c r="J3989">
        <v>-381.51420000000002</v>
      </c>
      <c r="K3989">
        <v>1.1110409999999999</v>
      </c>
      <c r="L3989">
        <v>140.1936</v>
      </c>
      <c r="M3989">
        <v>-0.99665340000000002</v>
      </c>
      <c r="N3989">
        <v>0</v>
      </c>
      <c r="O3989">
        <v>-8.056315E-2</v>
      </c>
      <c r="P3989">
        <v>-0.99368069999999997</v>
      </c>
      <c r="Q3989">
        <v>7.9964919999999995E-2</v>
      </c>
      <c r="R3989">
        <v>-7.876735E-2</v>
      </c>
      <c r="S3989">
        <v>-2.94754</v>
      </c>
      <c r="T3989">
        <v>-0.22090489999999999</v>
      </c>
      <c r="U3989">
        <v>-1.140091</v>
      </c>
      <c r="V3989">
        <v>1.371901E-3</v>
      </c>
      <c r="W3989">
        <v>9.3753080000000003E-2</v>
      </c>
      <c r="X3989">
        <v>0.9955946</v>
      </c>
      <c r="Y3989">
        <v>-0.28393750000000001</v>
      </c>
      <c r="Z3989">
        <v>-4.4620110000000001E-3</v>
      </c>
      <c r="AA3989">
        <v>0.95883240000000003</v>
      </c>
      <c r="AB3989">
        <v>24</v>
      </c>
      <c r="AC3989">
        <v>-14.454000000000001</v>
      </c>
      <c r="AD3989">
        <v>-1.1110437217939999</v>
      </c>
      <c r="AE3989">
        <v>-5.7026999999999903</v>
      </c>
      <c r="AF3989">
        <v>-4.49659851412967</v>
      </c>
      <c r="AG3989">
        <v>-1.1110437217939999</v>
      </c>
      <c r="AH3989">
        <v>14.790857797054301</v>
      </c>
      <c r="AI3989">
        <v>94.110729268413493</v>
      </c>
      <c r="AJ3989">
        <v>106.909902091646</v>
      </c>
      <c r="AK3989">
        <v>15.4991383864295</v>
      </c>
      <c r="AL3989">
        <v>84.620444107018798</v>
      </c>
      <c r="AM3989">
        <v>89.921048097831601</v>
      </c>
      <c r="AN3989">
        <v>1.0000000648354901</v>
      </c>
    </row>
    <row r="3990" spans="1:40" x14ac:dyDescent="0.25">
      <c r="A3990" t="str">
        <f>"20190312154637730"</f>
        <v>20190312154637730</v>
      </c>
      <c r="B3990" t="str">
        <f>"1552376797721460"</f>
        <v>1552376797721460</v>
      </c>
      <c r="C3990" t="s">
        <v>40</v>
      </c>
      <c r="D3990">
        <v>4.5511739999999996</v>
      </c>
      <c r="E3990">
        <v>0.38732290000000003</v>
      </c>
      <c r="F3990" t="s">
        <v>42</v>
      </c>
      <c r="G3990">
        <v>-396.4486</v>
      </c>
      <c r="H3990" s="1">
        <v>-2.5868139999999999E-6</v>
      </c>
      <c r="I3990">
        <v>134.38380000000001</v>
      </c>
      <c r="J3990">
        <v>-381.7638</v>
      </c>
      <c r="K3990">
        <v>1.1110409999999999</v>
      </c>
      <c r="L3990">
        <v>140.17189999999999</v>
      </c>
      <c r="M3990">
        <v>-0.99655260000000001</v>
      </c>
      <c r="N3990">
        <v>0</v>
      </c>
      <c r="O3990">
        <v>-8.1801730000000003E-2</v>
      </c>
      <c r="P3990">
        <v>-0.99353250000000004</v>
      </c>
      <c r="Q3990">
        <v>8.050185E-2</v>
      </c>
      <c r="R3990">
        <v>-8.0079670000000006E-2</v>
      </c>
      <c r="S3990">
        <v>-2.945862</v>
      </c>
      <c r="T3990">
        <v>-0.21915670000000001</v>
      </c>
      <c r="U3990">
        <v>-1.1459809999999999</v>
      </c>
      <c r="V3990">
        <v>1.289943E-3</v>
      </c>
      <c r="W3990">
        <v>9.4286200000000001E-2</v>
      </c>
      <c r="X3990">
        <v>0.99554430000000005</v>
      </c>
      <c r="Y3990">
        <v>-0.2846051</v>
      </c>
      <c r="Z3990">
        <v>-4.363731E-3</v>
      </c>
      <c r="AA3990">
        <v>0.95863489999999996</v>
      </c>
      <c r="AB3990">
        <v>24</v>
      </c>
      <c r="AC3990">
        <v>-14.6847999999999</v>
      </c>
      <c r="AD3990">
        <v>-1.1110435868139901</v>
      </c>
      <c r="AE3990">
        <v>-5.7880999999999796</v>
      </c>
      <c r="AF3990">
        <v>-4.5448233430429896</v>
      </c>
      <c r="AG3990">
        <v>-1.1110435868139901</v>
      </c>
      <c r="AH3990">
        <v>15.0346075914628</v>
      </c>
      <c r="AI3990">
        <v>94.046232931263702</v>
      </c>
      <c r="AJ3990">
        <v>106.81958319176699</v>
      </c>
      <c r="AK3990">
        <v>15.7457696699952</v>
      </c>
      <c r="AL3990">
        <v>84.5897623354373</v>
      </c>
      <c r="AM3990">
        <v>89.9257609647793</v>
      </c>
      <c r="AN3990">
        <v>1.0000000023629301</v>
      </c>
    </row>
    <row r="3991" spans="1:40" x14ac:dyDescent="0.25">
      <c r="A3991" t="str">
        <f>"20190312154637751"</f>
        <v>20190312154637751</v>
      </c>
      <c r="B3991" t="str">
        <f>"1552376797741955"</f>
        <v>1552376797741955</v>
      </c>
      <c r="C3991" t="s">
        <v>40</v>
      </c>
      <c r="D3991">
        <v>4.5544039999999999</v>
      </c>
      <c r="E3991">
        <v>0.41729460000000002</v>
      </c>
      <c r="F3991" t="s">
        <v>42</v>
      </c>
      <c r="G3991">
        <v>-396.8143</v>
      </c>
      <c r="H3991" s="1">
        <v>-2.4860710000000001E-6</v>
      </c>
      <c r="I3991">
        <v>134.29470000000001</v>
      </c>
      <c r="J3991">
        <v>-382.00200000000001</v>
      </c>
      <c r="K3991">
        <v>1.1110500000000001</v>
      </c>
      <c r="L3991">
        <v>140.15100000000001</v>
      </c>
      <c r="M3991">
        <v>-0.99645499999999998</v>
      </c>
      <c r="N3991">
        <v>0</v>
      </c>
      <c r="O3991">
        <v>-8.2983689999999999E-2</v>
      </c>
      <c r="P3991">
        <v>-0.99334149999999999</v>
      </c>
      <c r="Q3991">
        <v>8.0560729999999997E-2</v>
      </c>
      <c r="R3991">
        <v>-8.2358310000000004E-2</v>
      </c>
      <c r="S3991">
        <v>-2.9444889999999999</v>
      </c>
      <c r="T3991">
        <v>-0.21736559999999999</v>
      </c>
      <c r="U3991">
        <v>-1.1498109999999999</v>
      </c>
      <c r="V3991">
        <v>1.861493E-4</v>
      </c>
      <c r="W3991">
        <v>9.4340309999999997E-2</v>
      </c>
      <c r="X3991">
        <v>0.99553999999999998</v>
      </c>
      <c r="Y3991">
        <v>-0.28471190000000002</v>
      </c>
      <c r="Z3991">
        <v>-4.2497189999999999E-3</v>
      </c>
      <c r="AA3991">
        <v>0.95860369999999995</v>
      </c>
      <c r="AB3991">
        <v>24</v>
      </c>
      <c r="AC3991">
        <v>-14.8123</v>
      </c>
      <c r="AD3991">
        <v>-1.111052486071</v>
      </c>
      <c r="AE3991">
        <v>-5.8563000000000001</v>
      </c>
      <c r="AF3991">
        <v>-4.58449349839728</v>
      </c>
      <c r="AG3991">
        <v>-1.111052486071</v>
      </c>
      <c r="AH3991">
        <v>15.173395408021999</v>
      </c>
      <c r="AI3991">
        <v>94.009542758320293</v>
      </c>
      <c r="AJ3991">
        <v>106.811680018065</v>
      </c>
      <c r="AK3991">
        <v>15.889743436312401</v>
      </c>
      <c r="AL3991">
        <v>84.586648222080797</v>
      </c>
      <c r="AM3991">
        <v>89.989286649331007</v>
      </c>
      <c r="AN3991">
        <v>1.0000000101712201</v>
      </c>
    </row>
    <row r="3992" spans="1:40" x14ac:dyDescent="0.25">
      <c r="A3992" t="str">
        <f>"20190312154637773"</f>
        <v>20190312154637773</v>
      </c>
      <c r="B3992" t="str">
        <f>"1552376797761476"</f>
        <v>1552376797761476</v>
      </c>
      <c r="C3992" t="s">
        <v>40</v>
      </c>
      <c r="D3992">
        <v>4.5204940000000002</v>
      </c>
      <c r="E3992">
        <v>0.42196070000000002</v>
      </c>
      <c r="F3992" t="s">
        <v>52</v>
      </c>
      <c r="G3992">
        <v>-408.14159999999998</v>
      </c>
      <c r="H3992" s="1">
        <v>-6.2031799999999996E-6</v>
      </c>
      <c r="I3992">
        <v>132.04900000000001</v>
      </c>
      <c r="J3992">
        <v>-382.22859999999997</v>
      </c>
      <c r="K3992">
        <v>1.111051</v>
      </c>
      <c r="L3992">
        <v>140.13079999999999</v>
      </c>
      <c r="M3992">
        <v>-0.99636069999999999</v>
      </c>
      <c r="N3992">
        <v>0</v>
      </c>
      <c r="O3992">
        <v>-8.4108680000000005E-2</v>
      </c>
      <c r="P3992">
        <v>-0.99319880000000005</v>
      </c>
      <c r="Q3992">
        <v>8.0782480000000004E-2</v>
      </c>
      <c r="R3992">
        <v>-8.3848329999999999E-2</v>
      </c>
      <c r="S3992">
        <v>-2.9543759999999999</v>
      </c>
      <c r="T3992">
        <v>-0.12557479999999999</v>
      </c>
      <c r="U3992">
        <v>-0.91571040000000004</v>
      </c>
      <c r="V3992">
        <v>-1.85434E-4</v>
      </c>
      <c r="W3992">
        <v>9.4559149999999995E-2</v>
      </c>
      <c r="X3992">
        <v>0.99551920000000005</v>
      </c>
      <c r="Y3992">
        <v>-0.21455370000000001</v>
      </c>
      <c r="Z3992">
        <v>-9.7558180000000005E-4</v>
      </c>
      <c r="AA3992">
        <v>0.97671169999999996</v>
      </c>
      <c r="AB3992">
        <v>24</v>
      </c>
      <c r="AC3992">
        <v>-25.913</v>
      </c>
      <c r="AD3992">
        <v>-1.1110572031799999</v>
      </c>
      <c r="AE3992">
        <v>-8.0817999999999799</v>
      </c>
      <c r="AF3992">
        <v>-5.8636168490095004</v>
      </c>
      <c r="AG3992">
        <v>-1.1110572031799999</v>
      </c>
      <c r="AH3992">
        <v>26.456650436086001</v>
      </c>
      <c r="AI3992">
        <v>92.347839250718295</v>
      </c>
      <c r="AJ3992">
        <v>102.49652933073</v>
      </c>
      <c r="AK3992">
        <v>27.121408572527599</v>
      </c>
      <c r="AL3992">
        <v>84.574053104353496</v>
      </c>
      <c r="AM3992">
        <v>90.0106724063738</v>
      </c>
      <c r="AN3992">
        <v>0.99999997240156502</v>
      </c>
    </row>
    <row r="3993" spans="1:40" x14ac:dyDescent="0.25">
      <c r="A3993" t="str">
        <f>"20190312154637795"</f>
        <v>20190312154637795</v>
      </c>
      <c r="B3993" t="str">
        <f>"1552376797791731"</f>
        <v>1552376797791731</v>
      </c>
      <c r="C3993" t="s">
        <v>40</v>
      </c>
      <c r="D3993">
        <v>4.5345230000000001</v>
      </c>
      <c r="E3993">
        <v>0.42511840000000001</v>
      </c>
      <c r="F3993" t="s">
        <v>52</v>
      </c>
      <c r="G3993">
        <v>-409.58589999999998</v>
      </c>
      <c r="H3993" s="1">
        <v>-7.0995509999999999E-6</v>
      </c>
      <c r="I3993">
        <v>131.96090000000001</v>
      </c>
      <c r="J3993">
        <v>-382.46929999999998</v>
      </c>
      <c r="K3993">
        <v>1.111056</v>
      </c>
      <c r="L3993">
        <v>140.10910000000001</v>
      </c>
      <c r="M3993">
        <v>-0.99625920000000001</v>
      </c>
      <c r="N3993">
        <v>0</v>
      </c>
      <c r="O3993">
        <v>-8.5303630000000005E-2</v>
      </c>
      <c r="P3993">
        <v>-0.99306050000000001</v>
      </c>
      <c r="Q3993">
        <v>8.1322030000000003E-2</v>
      </c>
      <c r="R3993">
        <v>-8.4958690000000003E-2</v>
      </c>
      <c r="S3993">
        <v>-2.9557799999999999</v>
      </c>
      <c r="T3993">
        <v>-0.1200427</v>
      </c>
      <c r="U3993">
        <v>-0.88270569999999904</v>
      </c>
      <c r="V3993">
        <v>-1.08052E-4</v>
      </c>
      <c r="W3993">
        <v>9.5095559999999996E-2</v>
      </c>
      <c r="X3993">
        <v>0.99546809999999997</v>
      </c>
      <c r="Y3993">
        <v>-0.20327310000000001</v>
      </c>
      <c r="Z3993">
        <v>-6.6217730000000001E-4</v>
      </c>
      <c r="AA3993">
        <v>0.97912189999999999</v>
      </c>
      <c r="AB3993">
        <v>24</v>
      </c>
      <c r="AC3993">
        <v>-27.116599999999998</v>
      </c>
      <c r="AD3993">
        <v>-1.111063099551</v>
      </c>
      <c r="AE3993">
        <v>-8.1481999999999992</v>
      </c>
      <c r="AF3993">
        <v>-5.7962039325117098</v>
      </c>
      <c r="AG3993">
        <v>-1.111063099551</v>
      </c>
      <c r="AH3993">
        <v>27.670271901977902</v>
      </c>
      <c r="AI3993">
        <v>92.250605234461105</v>
      </c>
      <c r="AJ3993">
        <v>101.830914189712</v>
      </c>
      <c r="AK3993">
        <v>28.292656085419701</v>
      </c>
      <c r="AL3993">
        <v>84.543179870687496</v>
      </c>
      <c r="AM3993">
        <v>90.006219107918795</v>
      </c>
      <c r="AN3993">
        <v>0.99999995766227801</v>
      </c>
    </row>
    <row r="3994" spans="1:40" x14ac:dyDescent="0.25">
      <c r="A3994" t="str">
        <f>"20190312154637818"</f>
        <v>20190312154637818</v>
      </c>
      <c r="B3994" t="str">
        <f>"1552376797811252"</f>
        <v>1552376797811252</v>
      </c>
      <c r="C3994" t="s">
        <v>40</v>
      </c>
      <c r="D3994">
        <v>4.4989689999999998</v>
      </c>
      <c r="E3994">
        <v>0.4260314</v>
      </c>
      <c r="F3994" t="s">
        <v>52</v>
      </c>
      <c r="G3994">
        <v>-411.86559999999997</v>
      </c>
      <c r="H3994" s="1">
        <v>-6.9820399999999996E-6</v>
      </c>
      <c r="I3994">
        <v>131.54589999999999</v>
      </c>
      <c r="J3994">
        <v>-382.71379999999999</v>
      </c>
      <c r="K3994">
        <v>1.1110469999999999</v>
      </c>
      <c r="L3994">
        <v>140.08670000000001</v>
      </c>
      <c r="M3994">
        <v>-0.99615450000000005</v>
      </c>
      <c r="N3994">
        <v>0</v>
      </c>
      <c r="O3994">
        <v>-8.6517780000000002E-2</v>
      </c>
      <c r="P3994">
        <v>-0.9929578</v>
      </c>
      <c r="Q3994">
        <v>8.1980639999999994E-2</v>
      </c>
      <c r="R3994">
        <v>-8.5524959999999997E-2</v>
      </c>
      <c r="S3994">
        <v>-2.9563899999999999</v>
      </c>
      <c r="T3994">
        <v>-0.1117399</v>
      </c>
      <c r="U3994">
        <v>-0.86120609999999997</v>
      </c>
      <c r="V3994">
        <v>5.3273600000000002E-4</v>
      </c>
      <c r="W3994">
        <v>9.5751539999999996E-2</v>
      </c>
      <c r="X3994">
        <v>0.99540510000000004</v>
      </c>
      <c r="Y3994">
        <v>-0.19548499999999999</v>
      </c>
      <c r="Z3994">
        <v>-4.279981E-4</v>
      </c>
      <c r="AA3994">
        <v>0.98070659999999998</v>
      </c>
      <c r="AB3994">
        <v>24</v>
      </c>
      <c r="AC3994">
        <v>-29.151799999999898</v>
      </c>
      <c r="AD3994">
        <v>-1.1110539820399901</v>
      </c>
      <c r="AE3994">
        <v>-8.5408000000000097</v>
      </c>
      <c r="AF3994">
        <v>-5.9783811286663298</v>
      </c>
      <c r="AG3994">
        <v>-1.1110539820399901</v>
      </c>
      <c r="AH3994">
        <v>29.741683381473699</v>
      </c>
      <c r="AI3994">
        <v>92.097475742592806</v>
      </c>
      <c r="AJ3994">
        <v>101.365574577915</v>
      </c>
      <c r="AK3994">
        <v>30.356930217570302</v>
      </c>
      <c r="AL3994">
        <v>84.505422795384902</v>
      </c>
      <c r="AM3994">
        <v>89.969335578569599</v>
      </c>
      <c r="AN3994">
        <v>0.99999997716301303</v>
      </c>
    </row>
    <row r="3995" spans="1:40" x14ac:dyDescent="0.25">
      <c r="A3995" t="str">
        <f>"20190312154637840"</f>
        <v>20190312154637840</v>
      </c>
      <c r="B3995" t="str">
        <f>"1552376797831747"</f>
        <v>1552376797831747</v>
      </c>
      <c r="C3995" t="s">
        <v>40</v>
      </c>
      <c r="D3995">
        <v>4.5267210000000002</v>
      </c>
      <c r="E3995">
        <v>0.4267224</v>
      </c>
      <c r="F3995" t="s">
        <v>52</v>
      </c>
      <c r="G3995">
        <v>-411.93040000000002</v>
      </c>
      <c r="H3995" s="1">
        <v>-7.0130069999999996E-6</v>
      </c>
      <c r="I3995">
        <v>131.62970000000001</v>
      </c>
      <c r="J3995">
        <v>-382.94920000000002</v>
      </c>
      <c r="K3995">
        <v>1.111049</v>
      </c>
      <c r="L3995">
        <v>140.06489999999999</v>
      </c>
      <c r="M3995">
        <v>-0.9960523</v>
      </c>
      <c r="N3995">
        <v>0</v>
      </c>
      <c r="O3995">
        <v>-8.7687230000000005E-2</v>
      </c>
      <c r="P3995">
        <v>-0.99281569999999997</v>
      </c>
      <c r="Q3995">
        <v>8.2865030000000006E-2</v>
      </c>
      <c r="R3995">
        <v>-8.6316690000000001E-2</v>
      </c>
      <c r="S3995">
        <v>-2.9567869999999998</v>
      </c>
      <c r="T3995">
        <v>-0.11244120000000001</v>
      </c>
      <c r="U3995">
        <v>-0.85586549999999995</v>
      </c>
      <c r="V3995">
        <v>9.0021419999999897E-4</v>
      </c>
      <c r="W3995">
        <v>9.6632910000000002E-2</v>
      </c>
      <c r="X3995">
        <v>0.99531970000000003</v>
      </c>
      <c r="Y3995">
        <v>-0.19266559999999999</v>
      </c>
      <c r="Z3995">
        <v>-3.3498529999999999E-4</v>
      </c>
      <c r="AA3995">
        <v>0.98126440000000004</v>
      </c>
      <c r="AB3995">
        <v>24</v>
      </c>
      <c r="AC3995">
        <v>-28.981200000000001</v>
      </c>
      <c r="AD3995">
        <v>-1.111056013007</v>
      </c>
      <c r="AE3995">
        <v>-8.4351999999999805</v>
      </c>
      <c r="AF3995">
        <v>-5.8532474267543702</v>
      </c>
      <c r="AG3995">
        <v>-1.111056013007</v>
      </c>
      <c r="AH3995">
        <v>29.569209744326301</v>
      </c>
      <c r="AI3995">
        <v>92.110940404225204</v>
      </c>
      <c r="AJ3995">
        <v>101.19699097172099</v>
      </c>
      <c r="AK3995">
        <v>30.163440052600201</v>
      </c>
      <c r="AL3995">
        <v>84.454688970257806</v>
      </c>
      <c r="AM3995">
        <v>89.948179001929105</v>
      </c>
      <c r="AN3995">
        <v>1.0000000174443799</v>
      </c>
    </row>
    <row r="3996" spans="1:40" x14ac:dyDescent="0.25">
      <c r="A3996" t="str">
        <f>"20190312154637862"</f>
        <v>20190312154637862</v>
      </c>
      <c r="B3996" t="str">
        <f>"1552376797851268"</f>
        <v>1552376797851268</v>
      </c>
      <c r="C3996" t="s">
        <v>40</v>
      </c>
      <c r="D3996">
        <v>4.5506719999999996</v>
      </c>
      <c r="E3996">
        <v>0.42754059999999999</v>
      </c>
      <c r="F3996" t="s">
        <v>52</v>
      </c>
      <c r="G3996">
        <v>-412.26220000000001</v>
      </c>
      <c r="H3996" s="1">
        <v>-6.9830989999999999E-6</v>
      </c>
      <c r="I3996">
        <v>131.60659999999999</v>
      </c>
      <c r="J3996">
        <v>-383.19319999999999</v>
      </c>
      <c r="K3996">
        <v>1.111048</v>
      </c>
      <c r="L3996">
        <v>140.042</v>
      </c>
      <c r="M3996">
        <v>-0.99594470000000002</v>
      </c>
      <c r="N3996">
        <v>0</v>
      </c>
      <c r="O3996">
        <v>-8.8900190000000004E-2</v>
      </c>
      <c r="P3996">
        <v>-0.99272050000000001</v>
      </c>
      <c r="Q3996">
        <v>8.306964E-2</v>
      </c>
      <c r="R3996">
        <v>-8.7209659999999994E-2</v>
      </c>
      <c r="S3996">
        <v>-2.956909</v>
      </c>
      <c r="T3996">
        <v>-0.11207640000000001</v>
      </c>
      <c r="U3996">
        <v>-0.85322569999999998</v>
      </c>
      <c r="V3996">
        <v>1.2161450000000001E-3</v>
      </c>
      <c r="W3996">
        <v>9.6835110000000002E-2</v>
      </c>
      <c r="X3996">
        <v>0.99529970000000001</v>
      </c>
      <c r="Y3996">
        <v>-0.1906535</v>
      </c>
      <c r="Z3996">
        <v>-2.5190459999999999E-4</v>
      </c>
      <c r="AA3996">
        <v>0.98165740000000001</v>
      </c>
      <c r="AB3996">
        <v>24</v>
      </c>
      <c r="AC3996">
        <v>-29.068999999999999</v>
      </c>
      <c r="AD3996">
        <v>-1.111054983099</v>
      </c>
      <c r="AE3996">
        <v>-8.4354000000000102</v>
      </c>
      <c r="AF3996">
        <v>-5.8096796409054798</v>
      </c>
      <c r="AG3996">
        <v>-1.111054983099</v>
      </c>
      <c r="AH3996">
        <v>29.663891370117099</v>
      </c>
      <c r="AI3996">
        <v>92.105044015934695</v>
      </c>
      <c r="AJ3996">
        <v>101.08113100237701</v>
      </c>
      <c r="AK3996">
        <v>30.2478639233174</v>
      </c>
      <c r="AL3996">
        <v>84.443049107945598</v>
      </c>
      <c r="AM3996">
        <v>89.929990995578194</v>
      </c>
      <c r="AN3996">
        <v>1.0000000051787299</v>
      </c>
    </row>
    <row r="3997" spans="1:40" x14ac:dyDescent="0.25">
      <c r="A3997" t="str">
        <f>"20190312154637886"</f>
        <v>20190312154637886</v>
      </c>
      <c r="B3997" t="str">
        <f>"1552376797881524"</f>
        <v>1552376797881524</v>
      </c>
      <c r="C3997" t="s">
        <v>40</v>
      </c>
      <c r="D3997">
        <v>4.5266060000000001</v>
      </c>
      <c r="E3997">
        <v>0.42823679999999997</v>
      </c>
      <c r="F3997" t="s">
        <v>52</v>
      </c>
      <c r="G3997">
        <v>-412.96030000000002</v>
      </c>
      <c r="H3997" s="1">
        <v>-6.8946029999999999E-6</v>
      </c>
      <c r="I3997">
        <v>131.4888</v>
      </c>
      <c r="J3997">
        <v>-383.4409</v>
      </c>
      <c r="K3997">
        <v>1.1110500000000001</v>
      </c>
      <c r="L3997">
        <v>140.01849999999999</v>
      </c>
      <c r="M3997">
        <v>-0.995834</v>
      </c>
      <c r="N3997">
        <v>0</v>
      </c>
      <c r="O3997">
        <v>-9.0133439999999995E-2</v>
      </c>
      <c r="P3997">
        <v>-0.99269130000000005</v>
      </c>
      <c r="Q3997">
        <v>8.3118330000000004E-2</v>
      </c>
      <c r="R3997">
        <v>-8.749527E-2</v>
      </c>
      <c r="S3997">
        <v>-2.956604</v>
      </c>
      <c r="T3997">
        <v>-0.1103551</v>
      </c>
      <c r="U3997">
        <v>-0.84954830000000003</v>
      </c>
      <c r="V3997">
        <v>2.162939E-3</v>
      </c>
      <c r="W3997">
        <v>9.6882560000000006E-2</v>
      </c>
      <c r="X3997">
        <v>0.99529350000000005</v>
      </c>
      <c r="Y3997">
        <v>-0.18834110000000001</v>
      </c>
      <c r="Z3997">
        <v>-1.610909E-4</v>
      </c>
      <c r="AA3997">
        <v>0.98210359999999997</v>
      </c>
      <c r="AB3997">
        <v>24</v>
      </c>
      <c r="AC3997">
        <v>-29.519400000000001</v>
      </c>
      <c r="AD3997">
        <v>-1.1110568946029999</v>
      </c>
      <c r="AE3997">
        <v>-8.5296999999999894</v>
      </c>
      <c r="AF3997">
        <v>-5.8264183741275204</v>
      </c>
      <c r="AG3997">
        <v>-1.1110568946029999</v>
      </c>
      <c r="AH3997">
        <v>30.128716303716502</v>
      </c>
      <c r="AI3997">
        <v>92.073557344901104</v>
      </c>
      <c r="AJ3997">
        <v>100.944996054093</v>
      </c>
      <c r="AK3997">
        <v>30.707021096212699</v>
      </c>
      <c r="AL3997">
        <v>84.440317718027103</v>
      </c>
      <c r="AM3997">
        <v>89.875486898129793</v>
      </c>
      <c r="AN3997">
        <v>1.00000002993976</v>
      </c>
    </row>
    <row r="3998" spans="1:40" x14ac:dyDescent="0.25">
      <c r="A3998" t="str">
        <f>"20190312154637908"</f>
        <v>20190312154637908</v>
      </c>
      <c r="B3998" t="str">
        <f>"1552376797902021"</f>
        <v>1552376797902021</v>
      </c>
      <c r="C3998" t="s">
        <v>40</v>
      </c>
      <c r="D3998">
        <v>4.5449380000000001</v>
      </c>
      <c r="E3998">
        <v>0.42849739999999997</v>
      </c>
      <c r="F3998" t="s">
        <v>52</v>
      </c>
      <c r="G3998">
        <v>-412.78440000000001</v>
      </c>
      <c r="H3998" s="1">
        <v>-6.96319499999999E-6</v>
      </c>
      <c r="I3998">
        <v>131.63210000000001</v>
      </c>
      <c r="J3998">
        <v>-383.67759999999998</v>
      </c>
      <c r="K3998">
        <v>1.1110500000000001</v>
      </c>
      <c r="L3998">
        <v>139.9957</v>
      </c>
      <c r="M3998">
        <v>-0.99572620000000001</v>
      </c>
      <c r="N3998">
        <v>0</v>
      </c>
      <c r="O3998">
        <v>-9.131736E-2</v>
      </c>
      <c r="P3998">
        <v>-0.99268029999999996</v>
      </c>
      <c r="Q3998">
        <v>8.2660499999999998E-2</v>
      </c>
      <c r="R3998">
        <v>-8.8054880000000002E-2</v>
      </c>
      <c r="S3998">
        <v>-2.957001</v>
      </c>
      <c r="T3998">
        <v>-0.1119633</v>
      </c>
      <c r="U3998">
        <v>-0.84510799999999997</v>
      </c>
      <c r="V3998">
        <v>2.7905289999999999E-3</v>
      </c>
      <c r="W3998">
        <v>9.6424099999999999E-2</v>
      </c>
      <c r="X3998">
        <v>0.99533640000000001</v>
      </c>
      <c r="Y3998">
        <v>-0.18577560000000001</v>
      </c>
      <c r="Z3998" s="1">
        <v>-7.2268999999999995E-5</v>
      </c>
      <c r="AA3998">
        <v>0.98259220000000003</v>
      </c>
      <c r="AB3998">
        <v>24</v>
      </c>
      <c r="AC3998">
        <v>-29.1068</v>
      </c>
      <c r="AD3998">
        <v>-1.111056963195</v>
      </c>
      <c r="AE3998">
        <v>-8.3635999999999893</v>
      </c>
      <c r="AF3998">
        <v>-5.6628176930646399</v>
      </c>
      <c r="AG3998">
        <v>-1.111056963195</v>
      </c>
      <c r="AH3998">
        <v>29.708991693022998</v>
      </c>
      <c r="AI3998">
        <v>92.103906006713999</v>
      </c>
      <c r="AJ3998">
        <v>100.791671397618</v>
      </c>
      <c r="AK3998">
        <v>30.264271661754201</v>
      </c>
      <c r="AL3998">
        <v>84.466708778586494</v>
      </c>
      <c r="AM3998">
        <v>89.839365750714606</v>
      </c>
      <c r="AN3998">
        <v>0.99999997163893395</v>
      </c>
    </row>
    <row r="3999" spans="1:40" x14ac:dyDescent="0.25">
      <c r="A3999" t="str">
        <f>"20190312154637932"</f>
        <v>20190312154637932</v>
      </c>
      <c r="B3999" t="str">
        <f>"1552376797921539"</f>
        <v>1552376797921539</v>
      </c>
      <c r="C3999" t="s">
        <v>40</v>
      </c>
      <c r="D3999">
        <v>4.4925899999999999</v>
      </c>
      <c r="E3999">
        <v>0.42876300000000001</v>
      </c>
      <c r="F3999" t="s">
        <v>52</v>
      </c>
      <c r="G3999">
        <v>-411.80200000000002</v>
      </c>
      <c r="H3999" s="1">
        <v>-7.1695480000000002E-6</v>
      </c>
      <c r="I3999">
        <v>131.96209999999999</v>
      </c>
      <c r="J3999">
        <v>-383.9298</v>
      </c>
      <c r="K3999">
        <v>1.111054</v>
      </c>
      <c r="L3999">
        <v>139.971</v>
      </c>
      <c r="M3999">
        <v>-0.99560899999999997</v>
      </c>
      <c r="N3999">
        <v>0</v>
      </c>
      <c r="O3999">
        <v>-9.2584509999999995E-2</v>
      </c>
      <c r="P3999">
        <v>-0.9927433</v>
      </c>
      <c r="Q3999">
        <v>8.1721509999999997E-2</v>
      </c>
      <c r="R3999">
        <v>-8.8217939999999995E-2</v>
      </c>
      <c r="S3999">
        <v>-2.9569399999999999</v>
      </c>
      <c r="T3999">
        <v>-0.1168141</v>
      </c>
      <c r="U3999">
        <v>-0.84463500000000002</v>
      </c>
      <c r="V3999">
        <v>3.9033309999999999E-3</v>
      </c>
      <c r="W3999">
        <v>9.5485730000000005E-2</v>
      </c>
      <c r="X3999">
        <v>0.99542310000000001</v>
      </c>
      <c r="Y3999">
        <v>-0.1843814</v>
      </c>
      <c r="Z3999" s="1">
        <v>1.89757E-7</v>
      </c>
      <c r="AA3999">
        <v>0.98285480000000003</v>
      </c>
      <c r="AB3999">
        <v>24</v>
      </c>
      <c r="AC3999">
        <v>-27.8721999999999</v>
      </c>
      <c r="AD3999">
        <v>-1.1110611695479999</v>
      </c>
      <c r="AE3999">
        <v>-8.0089000000000095</v>
      </c>
      <c r="AF3999">
        <v>-5.3858080918776103</v>
      </c>
      <c r="AG3999">
        <v>-1.1110611695479999</v>
      </c>
      <c r="AH3999">
        <v>28.4522687099156</v>
      </c>
      <c r="AI3999">
        <v>92.197283589928404</v>
      </c>
      <c r="AJ3999">
        <v>100.718851285556</v>
      </c>
      <c r="AK3999">
        <v>28.978836768687799</v>
      </c>
      <c r="AL3999">
        <v>84.520722564878596</v>
      </c>
      <c r="AM3999">
        <v>89.775328454734904</v>
      </c>
      <c r="AN3999">
        <v>0.99999995432006805</v>
      </c>
    </row>
    <row r="4000" spans="1:40" x14ac:dyDescent="0.25">
      <c r="A4000" t="str">
        <f>"20190312154637974"</f>
        <v>20190312154637974</v>
      </c>
      <c r="B4000" t="str">
        <f>"1552376797961556"</f>
        <v>1552376797961556</v>
      </c>
      <c r="C4000" t="s">
        <v>40</v>
      </c>
      <c r="D4000">
        <v>4.404452</v>
      </c>
      <c r="E4000">
        <v>0.4292261</v>
      </c>
      <c r="F4000" t="s">
        <v>52</v>
      </c>
      <c r="G4000">
        <v>-411.03379999999999</v>
      </c>
      <c r="H4000" s="1">
        <v>-7.362616E-6</v>
      </c>
      <c r="I4000">
        <v>132.24940000000001</v>
      </c>
      <c r="J4000">
        <v>-384.3802</v>
      </c>
      <c r="K4000">
        <v>1.111056</v>
      </c>
      <c r="L4000">
        <v>139.92619999999999</v>
      </c>
      <c r="M4000">
        <v>-0.99539330000000004</v>
      </c>
      <c r="N4000">
        <v>0</v>
      </c>
      <c r="O4000">
        <v>-9.4877439999999993E-2</v>
      </c>
      <c r="P4000">
        <v>-0.99282099999999995</v>
      </c>
      <c r="Q4000">
        <v>7.872121E-2</v>
      </c>
      <c r="R4000">
        <v>-9.0054839999999997E-2</v>
      </c>
      <c r="S4000">
        <v>-2.9570620000000001</v>
      </c>
      <c r="T4000">
        <v>-0.12121750000000001</v>
      </c>
      <c r="U4000">
        <v>-0.84243769999999996</v>
      </c>
      <c r="V4000">
        <v>4.3811420000000002E-3</v>
      </c>
      <c r="W4000">
        <v>9.2485460000000005E-2</v>
      </c>
      <c r="X4000">
        <v>0.99570440000000004</v>
      </c>
      <c r="Y4000">
        <v>-0.1814297</v>
      </c>
      <c r="Z4000">
        <v>1.5075059999999999E-4</v>
      </c>
      <c r="AA4000">
        <v>0.9834039</v>
      </c>
      <c r="AB4000">
        <v>24</v>
      </c>
      <c r="AC4000">
        <v>-26.653599999999901</v>
      </c>
      <c r="AD4000">
        <v>-1.111063362616</v>
      </c>
      <c r="AE4000">
        <v>-7.6767999999999796</v>
      </c>
      <c r="AF4000">
        <v>-5.1049057578510304</v>
      </c>
      <c r="AG4000">
        <v>-1.111063362616</v>
      </c>
      <c r="AH4000">
        <v>27.2180931443703</v>
      </c>
      <c r="AI4000">
        <v>92.297542574619698</v>
      </c>
      <c r="AJ4000">
        <v>100.622732632281</v>
      </c>
      <c r="AK4000">
        <v>27.714962006250499</v>
      </c>
      <c r="AL4000">
        <v>84.693390010844396</v>
      </c>
      <c r="AM4000">
        <v>89.747897743433697</v>
      </c>
      <c r="AN4000">
        <v>1.0000000034479899</v>
      </c>
    </row>
    <row r="4001" spans="1:40" x14ac:dyDescent="0.25">
      <c r="A4001" t="str">
        <f>"20190312154637998"</f>
        <v>20190312154637998</v>
      </c>
      <c r="B4001" t="str">
        <f>"1552376797991811"</f>
        <v>1552376797991811</v>
      </c>
      <c r="C4001" t="s">
        <v>40</v>
      </c>
      <c r="D4001">
        <v>4.3605320000000001</v>
      </c>
      <c r="E4001">
        <v>0.42928759999999999</v>
      </c>
      <c r="F4001" t="s">
        <v>52</v>
      </c>
      <c r="G4001">
        <v>-409.53480000000002</v>
      </c>
      <c r="H4001" s="1">
        <v>-7.4101840000000002E-6</v>
      </c>
      <c r="I4001">
        <v>132.74440000000001</v>
      </c>
      <c r="J4001">
        <v>-384.63760000000002</v>
      </c>
      <c r="K4001">
        <v>1.111067</v>
      </c>
      <c r="L4001">
        <v>139.90010000000001</v>
      </c>
      <c r="M4001">
        <v>-0.99526460000000005</v>
      </c>
      <c r="N4001">
        <v>0</v>
      </c>
      <c r="O4001">
        <v>-9.6218100000000001E-2</v>
      </c>
      <c r="P4001">
        <v>-0.99260280000000001</v>
      </c>
      <c r="Q4001">
        <v>7.8427129999999998E-2</v>
      </c>
      <c r="R4001">
        <v>-9.2676620000000001E-2</v>
      </c>
      <c r="S4001">
        <v>-2.955505</v>
      </c>
      <c r="T4001">
        <v>-0.13054299999999999</v>
      </c>
      <c r="U4001">
        <v>-0.84382630000000003</v>
      </c>
      <c r="V4001">
        <v>3.0909459999999998E-3</v>
      </c>
      <c r="W4001">
        <v>9.2186809999999994E-2</v>
      </c>
      <c r="X4001">
        <v>0.99573699999999998</v>
      </c>
      <c r="Y4001">
        <v>-0.18065990000000001</v>
      </c>
      <c r="Z4001">
        <v>2.3649310000000001E-4</v>
      </c>
      <c r="AA4001">
        <v>0.98354560000000002</v>
      </c>
      <c r="AB4001">
        <v>24</v>
      </c>
      <c r="AC4001">
        <v>-24.897200000000002</v>
      </c>
      <c r="AD4001">
        <v>-1.111074410184</v>
      </c>
      <c r="AE4001">
        <v>-7.1556999999999897</v>
      </c>
      <c r="AF4001">
        <v>-4.7180246284443204</v>
      </c>
      <c r="AG4001">
        <v>-1.111074410184</v>
      </c>
      <c r="AH4001">
        <v>25.423467059643801</v>
      </c>
      <c r="AI4001">
        <v>92.460432651403806</v>
      </c>
      <c r="AJ4001">
        <v>100.513210726152</v>
      </c>
      <c r="AK4001">
        <v>25.881401045391002</v>
      </c>
      <c r="AL4001">
        <v>84.710575150602594</v>
      </c>
      <c r="AM4001">
        <v>89.822144209092201</v>
      </c>
      <c r="AN4001">
        <v>1.0000000675270699</v>
      </c>
    </row>
    <row r="4002" spans="1:40" x14ac:dyDescent="0.25">
      <c r="A4002" t="str">
        <f>"20190312154638019"</f>
        <v>20190312154638019</v>
      </c>
      <c r="B4002" t="str">
        <f>"1552376798011333"</f>
        <v>1552376798011333</v>
      </c>
      <c r="C4002" t="s">
        <v>40</v>
      </c>
      <c r="D4002">
        <v>4.3293439999999999</v>
      </c>
      <c r="E4002">
        <v>0.42931180000000002</v>
      </c>
      <c r="F4002" t="s">
        <v>52</v>
      </c>
      <c r="G4002">
        <v>-409.22149999999999</v>
      </c>
      <c r="H4002" s="1">
        <v>-7.2471679999999998E-6</v>
      </c>
      <c r="I4002">
        <v>132.8177</v>
      </c>
      <c r="J4002">
        <v>-384.8623</v>
      </c>
      <c r="K4002">
        <v>1.111081</v>
      </c>
      <c r="L4002">
        <v>139.87700000000001</v>
      </c>
      <c r="M4002">
        <v>-0.99514650000000004</v>
      </c>
      <c r="N4002">
        <v>0</v>
      </c>
      <c r="O4002">
        <v>-9.7432989999999997E-2</v>
      </c>
      <c r="P4002">
        <v>-0.99237470000000005</v>
      </c>
      <c r="Q4002">
        <v>7.7829490000000001E-2</v>
      </c>
      <c r="R4002">
        <v>-9.5578720000000006E-2</v>
      </c>
      <c r="S4002">
        <v>-2.9534609999999999</v>
      </c>
      <c r="T4002">
        <v>-0.1334822</v>
      </c>
      <c r="U4002">
        <v>-0.85087590000000002</v>
      </c>
      <c r="V4002">
        <v>1.393381E-3</v>
      </c>
      <c r="W4002">
        <v>9.1584730000000003E-2</v>
      </c>
      <c r="X4002">
        <v>0.99579629999999997</v>
      </c>
      <c r="Y4002">
        <v>-0.18180450000000001</v>
      </c>
      <c r="Z4002">
        <v>2.696714E-4</v>
      </c>
      <c r="AA4002">
        <v>0.98333470000000001</v>
      </c>
      <c r="AB4002">
        <v>24</v>
      </c>
      <c r="AC4002">
        <v>-24.359199999999898</v>
      </c>
      <c r="AD4002">
        <v>-1.1110882471679999</v>
      </c>
      <c r="AE4002">
        <v>-7.0593000000000004</v>
      </c>
      <c r="AF4002">
        <v>-4.6431788011950097</v>
      </c>
      <c r="AG4002">
        <v>-1.1110882471679999</v>
      </c>
      <c r="AH4002">
        <v>24.883393814533498</v>
      </c>
      <c r="AI4002">
        <v>92.513337260945406</v>
      </c>
      <c r="AJ4002">
        <v>100.569693235844</v>
      </c>
      <c r="AK4002">
        <v>25.337263352659502</v>
      </c>
      <c r="AL4002">
        <v>84.745217927162599</v>
      </c>
      <c r="AM4002">
        <v>89.919828183284096</v>
      </c>
      <c r="AN4002">
        <v>0.99999998768673604</v>
      </c>
    </row>
    <row r="4003" spans="1:40" x14ac:dyDescent="0.25">
      <c r="A4003" t="str">
        <f>"20190312154638041"</f>
        <v>20190312154638041</v>
      </c>
      <c r="B4003" t="str">
        <f>"1552376798031828"</f>
        <v>1552376798031828</v>
      </c>
      <c r="C4003" t="s">
        <v>40</v>
      </c>
      <c r="D4003">
        <v>4.2950549999999996</v>
      </c>
      <c r="E4003">
        <v>0.4293787</v>
      </c>
      <c r="F4003" t="s">
        <v>52</v>
      </c>
      <c r="G4003">
        <v>-409.09879999999998</v>
      </c>
      <c r="H4003" s="1">
        <v>-7.1704180000000001E-6</v>
      </c>
      <c r="I4003">
        <v>132.8168</v>
      </c>
      <c r="J4003">
        <v>-385.09800000000001</v>
      </c>
      <c r="K4003">
        <v>1.1111230000000001</v>
      </c>
      <c r="L4003">
        <v>139.85239999999999</v>
      </c>
      <c r="M4003">
        <v>-0.99501309999999998</v>
      </c>
      <c r="N4003">
        <v>0</v>
      </c>
      <c r="O4003">
        <v>-9.8786609999999997E-2</v>
      </c>
      <c r="P4003">
        <v>-0.99230430000000003</v>
      </c>
      <c r="Q4003">
        <v>7.6584440000000004E-2</v>
      </c>
      <c r="R4003">
        <v>-9.7301200000000004E-2</v>
      </c>
      <c r="S4003">
        <v>-2.9508670000000001</v>
      </c>
      <c r="T4003">
        <v>-0.13527819999999999</v>
      </c>
      <c r="U4003">
        <v>-0.85960389999999998</v>
      </c>
      <c r="V4003">
        <v>1.0208369999999999E-3</v>
      </c>
      <c r="W4003">
        <v>9.0339180000000005E-2</v>
      </c>
      <c r="X4003">
        <v>0.99591050000000003</v>
      </c>
      <c r="Y4003">
        <v>-0.18337729999999999</v>
      </c>
      <c r="Z4003">
        <v>2.9808329999999998E-4</v>
      </c>
      <c r="AA4003">
        <v>0.98304250000000004</v>
      </c>
      <c r="AB4003">
        <v>24</v>
      </c>
      <c r="AC4003">
        <v>-24.000799999999899</v>
      </c>
      <c r="AD4003">
        <v>-1.1111301704180001</v>
      </c>
      <c r="AE4003">
        <v>-7.0355999999999801</v>
      </c>
      <c r="AF4003">
        <v>-4.6208765647452799</v>
      </c>
      <c r="AG4003">
        <v>-1.1111301704180001</v>
      </c>
      <c r="AH4003">
        <v>24.5300558140178</v>
      </c>
      <c r="AI4003">
        <v>92.548768615042505</v>
      </c>
      <c r="AJ4003">
        <v>100.66814032163499</v>
      </c>
      <c r="AK4003">
        <v>24.986211171785399</v>
      </c>
      <c r="AL4003">
        <v>84.816879665965303</v>
      </c>
      <c r="AM4003">
        <v>89.941270193269204</v>
      </c>
      <c r="AN4003">
        <v>0.99999996678075098</v>
      </c>
    </row>
    <row r="4004" spans="1:40" x14ac:dyDescent="0.25">
      <c r="A4004" t="str">
        <f>"20190312154638063"</f>
        <v>20190312154638063</v>
      </c>
      <c r="B4004" t="str">
        <f>"1552376798051348"</f>
        <v>1552376798051348</v>
      </c>
      <c r="C4004" t="s">
        <v>40</v>
      </c>
      <c r="D4004">
        <v>4.2878550000000004</v>
      </c>
      <c r="E4004">
        <v>0.42940810000000001</v>
      </c>
      <c r="F4004" t="s">
        <v>52</v>
      </c>
      <c r="G4004">
        <v>-408.97809999999998</v>
      </c>
      <c r="H4004" s="1">
        <v>-7.1079719999999996E-6</v>
      </c>
      <c r="I4004">
        <v>132.8458</v>
      </c>
      <c r="J4004">
        <v>-385.32810000000001</v>
      </c>
      <c r="K4004">
        <v>1.1111879999999901</v>
      </c>
      <c r="L4004">
        <v>139.828</v>
      </c>
      <c r="M4004">
        <v>-0.9948707</v>
      </c>
      <c r="N4004">
        <v>0</v>
      </c>
      <c r="O4004">
        <v>-0.1002097</v>
      </c>
      <c r="P4004">
        <v>-0.99237600000000004</v>
      </c>
      <c r="Q4004">
        <v>7.4481710000000007E-2</v>
      </c>
      <c r="R4004">
        <v>-9.8195050000000006E-2</v>
      </c>
      <c r="S4004">
        <v>-2.9489749999999999</v>
      </c>
      <c r="T4004">
        <v>-0.13721420000000001</v>
      </c>
      <c r="U4004">
        <v>-0.86524959999999995</v>
      </c>
      <c r="V4004">
        <v>1.554005E-3</v>
      </c>
      <c r="W4004">
        <v>8.8239040000000005E-2</v>
      </c>
      <c r="X4004">
        <v>0.99609809999999999</v>
      </c>
      <c r="Y4004">
        <v>-0.1838728</v>
      </c>
      <c r="Z4004">
        <v>3.5518170000000001E-4</v>
      </c>
      <c r="AA4004">
        <v>0.98294999999999999</v>
      </c>
      <c r="AB4004">
        <v>24</v>
      </c>
      <c r="AC4004">
        <v>-23.649999999999899</v>
      </c>
      <c r="AD4004">
        <v>-1.1111951079719999</v>
      </c>
      <c r="AE4004">
        <v>-6.9821999999999997</v>
      </c>
      <c r="AF4004">
        <v>-4.5675873751062301</v>
      </c>
      <c r="AG4004">
        <v>-1.1111951079719999</v>
      </c>
      <c r="AH4004">
        <v>24.1815788326718</v>
      </c>
      <c r="AI4004">
        <v>92.585359630428201</v>
      </c>
      <c r="AJ4004">
        <v>100.69640965698299</v>
      </c>
      <c r="AK4004">
        <v>24.634251842463801</v>
      </c>
      <c r="AL4004">
        <v>84.937691490676002</v>
      </c>
      <c r="AM4004">
        <v>89.910613366689205</v>
      </c>
      <c r="AN4004">
        <v>0.99999998396763501</v>
      </c>
    </row>
    <row r="4005" spans="1:40" x14ac:dyDescent="0.25">
      <c r="A4005" t="str">
        <f>"20190312154638086"</f>
        <v>20190312154638086</v>
      </c>
      <c r="B4005" t="str">
        <f>"1552376798081604"</f>
        <v>1552376798081604</v>
      </c>
      <c r="C4005" t="s">
        <v>40</v>
      </c>
      <c r="D4005">
        <v>4.2903779999999996</v>
      </c>
      <c r="E4005">
        <v>0.42941509999999999</v>
      </c>
      <c r="F4005" t="s">
        <v>52</v>
      </c>
      <c r="G4005">
        <v>-408.58600000000001</v>
      </c>
      <c r="H4005" s="1">
        <v>-6.9191199999999899E-6</v>
      </c>
      <c r="I4005">
        <v>132.97219999999999</v>
      </c>
      <c r="J4005">
        <v>-385.56810000000002</v>
      </c>
      <c r="K4005">
        <v>1.1112770000000001</v>
      </c>
      <c r="L4005">
        <v>139.80199999999999</v>
      </c>
      <c r="M4005">
        <v>-0.99470619999999998</v>
      </c>
      <c r="N4005">
        <v>0</v>
      </c>
      <c r="O4005">
        <v>-0.1018288</v>
      </c>
      <c r="P4005">
        <v>-0.99249449999999995</v>
      </c>
      <c r="Q4005">
        <v>7.2550740000000002E-2</v>
      </c>
      <c r="R4005">
        <v>-9.8443749999999997E-2</v>
      </c>
      <c r="S4005">
        <v>-2.947632</v>
      </c>
      <c r="T4005">
        <v>-0.14082900000000001</v>
      </c>
      <c r="U4005">
        <v>-0.86888120000000002</v>
      </c>
      <c r="V4005">
        <v>2.9269209999999999E-3</v>
      </c>
      <c r="W4005">
        <v>8.6313780000000007E-2</v>
      </c>
      <c r="X4005">
        <v>0.99626369999999997</v>
      </c>
      <c r="Y4005">
        <v>-0.18350620000000001</v>
      </c>
      <c r="Z4005">
        <v>4.4799549999999998E-4</v>
      </c>
      <c r="AA4005">
        <v>0.98301850000000002</v>
      </c>
      <c r="AB4005">
        <v>24</v>
      </c>
      <c r="AC4005">
        <v>-23.017900000000001</v>
      </c>
      <c r="AD4005">
        <v>-1.1112839191199999</v>
      </c>
      <c r="AE4005">
        <v>-6.8298000000000298</v>
      </c>
      <c r="AF4005">
        <v>-4.4406700080207804</v>
      </c>
      <c r="AG4005">
        <v>-1.1112839191199999</v>
      </c>
      <c r="AH4005">
        <v>23.5433291743064</v>
      </c>
      <c r="AI4005">
        <v>92.655691130037695</v>
      </c>
      <c r="AJ4005">
        <v>100.681463606946</v>
      </c>
      <c r="AK4005">
        <v>23.984220868704</v>
      </c>
      <c r="AL4005">
        <v>85.048423388563506</v>
      </c>
      <c r="AM4005">
        <v>89.831671335828503</v>
      </c>
      <c r="AN4005">
        <v>0.99999999771105896</v>
      </c>
    </row>
    <row r="4006" spans="1:40" x14ac:dyDescent="0.25">
      <c r="A4006" t="str">
        <f>"20190312154638131"</f>
        <v>20190312154638131</v>
      </c>
      <c r="B4006" t="str">
        <f>"1552376798121620"</f>
        <v>1552376798121620</v>
      </c>
      <c r="C4006" t="s">
        <v>40</v>
      </c>
      <c r="D4006">
        <v>4.2451600000000003</v>
      </c>
      <c r="E4006">
        <v>0.4295484</v>
      </c>
      <c r="F4006" t="s">
        <v>52</v>
      </c>
      <c r="G4006">
        <v>-408.27929999999998</v>
      </c>
      <c r="H4006" s="1">
        <v>-6.781446E-6</v>
      </c>
      <c r="I4006">
        <v>133.0941</v>
      </c>
      <c r="J4006">
        <v>-386.03379999999999</v>
      </c>
      <c r="K4006">
        <v>1.1114539999999999</v>
      </c>
      <c r="L4006">
        <v>139.74979999999999</v>
      </c>
      <c r="M4006">
        <v>-0.99433839999999996</v>
      </c>
      <c r="N4006">
        <v>0</v>
      </c>
      <c r="O4006">
        <v>-0.1053598</v>
      </c>
      <c r="P4006">
        <v>-0.99255340000000003</v>
      </c>
      <c r="Q4006">
        <v>7.1699029999999997E-2</v>
      </c>
      <c r="R4006">
        <v>-9.8472379999999998E-2</v>
      </c>
      <c r="S4006">
        <v>-2.94693</v>
      </c>
      <c r="T4006">
        <v>-0.14419650000000001</v>
      </c>
      <c r="U4006">
        <v>-0.87039179999999905</v>
      </c>
      <c r="V4006">
        <v>6.410153E-3</v>
      </c>
      <c r="W4006">
        <v>8.5475280000000001E-2</v>
      </c>
      <c r="X4006">
        <v>0.99631970000000003</v>
      </c>
      <c r="Y4006">
        <v>-0.18054519999999999</v>
      </c>
      <c r="Z4006">
        <v>6.9676989999999995E-4</v>
      </c>
      <c r="AA4006">
        <v>0.98356650000000001</v>
      </c>
      <c r="AB4006">
        <v>24</v>
      </c>
      <c r="AC4006">
        <v>-22.2455</v>
      </c>
      <c r="AD4006">
        <v>-1.111460781446</v>
      </c>
      <c r="AE4006">
        <v>-6.6556999999999897</v>
      </c>
      <c r="AF4006">
        <v>-4.2648719142948002</v>
      </c>
      <c r="AG4006">
        <v>-1.111460781446</v>
      </c>
      <c r="AH4006">
        <v>22.770798310499998</v>
      </c>
      <c r="AI4006">
        <v>92.7467475730095</v>
      </c>
      <c r="AJ4006">
        <v>100.608345187228</v>
      </c>
      <c r="AK4006">
        <v>23.1933984834371</v>
      </c>
      <c r="AL4006">
        <v>85.096644267879896</v>
      </c>
      <c r="AM4006">
        <v>89.6313736992457</v>
      </c>
      <c r="AN4006">
        <v>1.0000000290803199</v>
      </c>
    </row>
    <row r="4007" spans="1:40" x14ac:dyDescent="0.25">
      <c r="A4007" t="str">
        <f>"20190312154638152"</f>
        <v>20190312154638152</v>
      </c>
      <c r="B4007" t="str">
        <f>"1552376798141140"</f>
        <v>1552376798141140</v>
      </c>
      <c r="C4007" t="s">
        <v>40</v>
      </c>
      <c r="D4007">
        <v>4.2743089999999997</v>
      </c>
      <c r="E4007">
        <v>0.42956090000000002</v>
      </c>
      <c r="F4007" t="s">
        <v>52</v>
      </c>
      <c r="G4007">
        <v>-408.77100000000002</v>
      </c>
      <c r="H4007" s="1">
        <v>-7.0630430000000001E-6</v>
      </c>
      <c r="I4007">
        <v>133.03799999999899</v>
      </c>
      <c r="J4007">
        <v>-386.26940000000002</v>
      </c>
      <c r="K4007">
        <v>1.111526</v>
      </c>
      <c r="L4007">
        <v>139.7226</v>
      </c>
      <c r="M4007">
        <v>-0.9941276</v>
      </c>
      <c r="N4007">
        <v>0</v>
      </c>
      <c r="O4007">
        <v>-0.1073318</v>
      </c>
      <c r="P4007">
        <v>-0.99249860000000001</v>
      </c>
      <c r="Q4007">
        <v>7.1812550000000003E-2</v>
      </c>
      <c r="R4007">
        <v>-9.8941909999999994E-2</v>
      </c>
      <c r="S4007">
        <v>-2.9466549999999998</v>
      </c>
      <c r="T4007">
        <v>-0.1440408</v>
      </c>
      <c r="U4007">
        <v>-0.86982729999999997</v>
      </c>
      <c r="V4007">
        <v>7.9002059999999999E-3</v>
      </c>
      <c r="W4007">
        <v>8.5594530000000002E-2</v>
      </c>
      <c r="X4007">
        <v>0.99629869999999998</v>
      </c>
      <c r="Y4007">
        <v>-0.1784502</v>
      </c>
      <c r="Z4007">
        <v>8.3943500000000003E-4</v>
      </c>
      <c r="AA4007">
        <v>0.98394859999999995</v>
      </c>
      <c r="AB4007">
        <v>24</v>
      </c>
      <c r="AC4007">
        <v>-22.5015999999999</v>
      </c>
      <c r="AD4007">
        <v>-1.111533063043</v>
      </c>
      <c r="AE4007">
        <v>-6.6846000000000103</v>
      </c>
      <c r="AF4007">
        <v>-4.2211455117717103</v>
      </c>
      <c r="AG4007">
        <v>-1.111533063043</v>
      </c>
      <c r="AH4007">
        <v>23.037471324659201</v>
      </c>
      <c r="AI4007">
        <v>92.717151639180898</v>
      </c>
      <c r="AJ4007">
        <v>100.383104745555</v>
      </c>
      <c r="AK4007">
        <v>23.4473593442051</v>
      </c>
      <c r="AL4007">
        <v>85.089786314700504</v>
      </c>
      <c r="AM4007">
        <v>89.545679449090798</v>
      </c>
      <c r="AN4007">
        <v>0.99999996822122605</v>
      </c>
    </row>
    <row r="4008" spans="1:40" x14ac:dyDescent="0.25">
      <c r="A4008" t="str">
        <f>"20190312154638175"</f>
        <v>20190312154638175</v>
      </c>
      <c r="B4008" t="str">
        <f>"1552376798171397"</f>
        <v>1552376798171397</v>
      </c>
      <c r="C4008" t="s">
        <v>40</v>
      </c>
      <c r="D4008">
        <v>4.271477</v>
      </c>
      <c r="E4008">
        <v>0.42960090000000001</v>
      </c>
      <c r="F4008" t="s">
        <v>52</v>
      </c>
      <c r="G4008">
        <v>-409.08359999999999</v>
      </c>
      <c r="H4008" s="1">
        <v>-7.2320280000000003E-6</v>
      </c>
      <c r="I4008">
        <v>132.9794</v>
      </c>
      <c r="J4008">
        <v>-386.49979999999999</v>
      </c>
      <c r="K4008">
        <v>1.1115839999999999</v>
      </c>
      <c r="L4008">
        <v>139.69540000000001</v>
      </c>
      <c r="M4008">
        <v>-0.99390489999999998</v>
      </c>
      <c r="N4008">
        <v>0</v>
      </c>
      <c r="O4008">
        <v>-0.10937429999999999</v>
      </c>
      <c r="P4008">
        <v>-0.99239409999999895</v>
      </c>
      <c r="Q4008">
        <v>7.1845539999999999E-2</v>
      </c>
      <c r="R4008">
        <v>-9.9961270000000005E-2</v>
      </c>
      <c r="S4008">
        <v>-2.946259</v>
      </c>
      <c r="T4008">
        <v>-0.1435447</v>
      </c>
      <c r="U4008">
        <v>-0.87083440000000001</v>
      </c>
      <c r="V4008">
        <v>8.9117829999999995E-3</v>
      </c>
      <c r="W4008">
        <v>8.5632539999999993E-2</v>
      </c>
      <c r="X4008">
        <v>0.99628689999999998</v>
      </c>
      <c r="Y4008">
        <v>-0.17677789999999999</v>
      </c>
      <c r="Z4008">
        <v>9.7265190000000003E-4</v>
      </c>
      <c r="AA4008">
        <v>0.98425030000000002</v>
      </c>
      <c r="AB4008">
        <v>24</v>
      </c>
      <c r="AC4008">
        <v>-22.5838</v>
      </c>
      <c r="AD4008">
        <v>-1.1115912320279999</v>
      </c>
      <c r="AE4008">
        <v>-6.7160000000000002</v>
      </c>
      <c r="AF4008">
        <v>-4.1960384793045904</v>
      </c>
      <c r="AG4008">
        <v>-1.1115912320279999</v>
      </c>
      <c r="AH4008">
        <v>23.131426586680298</v>
      </c>
      <c r="AI4008">
        <v>92.707145492660899</v>
      </c>
      <c r="AJ4008">
        <v>100.281645907361</v>
      </c>
      <c r="AK4008">
        <v>23.5351921581683</v>
      </c>
      <c r="AL4008">
        <v>85.087600482612103</v>
      </c>
      <c r="AM4008">
        <v>89.487503111722106</v>
      </c>
      <c r="AN4008">
        <v>0.99999996944734904</v>
      </c>
    </row>
    <row r="4009" spans="1:40" x14ac:dyDescent="0.25">
      <c r="A4009" t="str">
        <f>"20190312154638198"</f>
        <v>20190312154638198</v>
      </c>
      <c r="B4009" t="str">
        <f>"1552376798191893"</f>
        <v>1552376798191893</v>
      </c>
      <c r="C4009" t="s">
        <v>40</v>
      </c>
      <c r="D4009">
        <v>4.2464930000000001</v>
      </c>
      <c r="E4009">
        <v>0.4296024</v>
      </c>
      <c r="F4009" t="s">
        <v>52</v>
      </c>
      <c r="G4009">
        <v>-409.36700000000002</v>
      </c>
      <c r="H4009" s="1">
        <v>-7.3817769999999998E-6</v>
      </c>
      <c r="I4009">
        <v>132.91829999999999</v>
      </c>
      <c r="J4009">
        <v>-386.74419999999998</v>
      </c>
      <c r="K4009">
        <v>1.111658</v>
      </c>
      <c r="L4009">
        <v>139.66589999999999</v>
      </c>
      <c r="M4009">
        <v>-0.9936488</v>
      </c>
      <c r="N4009">
        <v>0</v>
      </c>
      <c r="O4009">
        <v>-0.1116764</v>
      </c>
      <c r="P4009">
        <v>-0.99229880000000004</v>
      </c>
      <c r="Q4009">
        <v>7.086228E-2</v>
      </c>
      <c r="R4009">
        <v>-0.1015949</v>
      </c>
      <c r="S4009">
        <v>-2.9454039999999999</v>
      </c>
      <c r="T4009">
        <v>-0.1431779</v>
      </c>
      <c r="U4009">
        <v>-0.87292479999999995</v>
      </c>
      <c r="V4009">
        <v>9.5761930000000002E-3</v>
      </c>
      <c r="W4009">
        <v>8.4654759999999996E-2</v>
      </c>
      <c r="X4009">
        <v>0.99636429999999998</v>
      </c>
      <c r="Y4009">
        <v>-0.17522209999999999</v>
      </c>
      <c r="Z4009">
        <v>1.1154139999999999E-3</v>
      </c>
      <c r="AA4009">
        <v>0.98452830000000002</v>
      </c>
      <c r="AB4009">
        <v>24</v>
      </c>
      <c r="AC4009">
        <v>-22.622799999999899</v>
      </c>
      <c r="AD4009">
        <v>-1.1116653817769999</v>
      </c>
      <c r="AE4009">
        <v>-6.7476000000000003</v>
      </c>
      <c r="AF4009">
        <v>-4.1694643650897296</v>
      </c>
      <c r="AG4009">
        <v>-1.1116653817769999</v>
      </c>
      <c r="AH4009">
        <v>23.1834714654557</v>
      </c>
      <c r="AI4009">
        <v>92.701990129965594</v>
      </c>
      <c r="AJ4009">
        <v>100.195450208772</v>
      </c>
      <c r="AK4009">
        <v>23.581636546312701</v>
      </c>
      <c r="AL4009">
        <v>85.143827358717999</v>
      </c>
      <c r="AM4009">
        <v>89.449339414106106</v>
      </c>
      <c r="AN4009">
        <v>0.99999997508876004</v>
      </c>
    </row>
    <row r="4010" spans="1:40" x14ac:dyDescent="0.25">
      <c r="A4010" t="str">
        <f>"20190312154638220"</f>
        <v>20190312154638220</v>
      </c>
      <c r="B4010" t="str">
        <f>"1552376798211412"</f>
        <v>1552376798211412</v>
      </c>
      <c r="C4010" t="s">
        <v>40</v>
      </c>
      <c r="D4010">
        <v>4.2504819999999999</v>
      </c>
      <c r="E4010">
        <v>0.42908849999999998</v>
      </c>
      <c r="F4010" t="s">
        <v>52</v>
      </c>
      <c r="G4010">
        <v>-409.01490000000001</v>
      </c>
      <c r="H4010" s="1">
        <v>-7.2119240000000002E-6</v>
      </c>
      <c r="I4010">
        <v>133.03120000000001</v>
      </c>
      <c r="J4010">
        <v>-386.9701</v>
      </c>
      <c r="K4010">
        <v>1.1117300000000001</v>
      </c>
      <c r="L4010">
        <v>139.63800000000001</v>
      </c>
      <c r="M4010">
        <v>-0.99339379999999999</v>
      </c>
      <c r="N4010">
        <v>0</v>
      </c>
      <c r="O4010">
        <v>-0.1139228</v>
      </c>
      <c r="P4010">
        <v>-0.99207219999999996</v>
      </c>
      <c r="Q4010">
        <v>6.9420609999999994E-2</v>
      </c>
      <c r="R4010">
        <v>-0.1047561</v>
      </c>
      <c r="S4010">
        <v>-2.9439700000000002</v>
      </c>
      <c r="T4010">
        <v>-0.14695129999999901</v>
      </c>
      <c r="U4010">
        <v>-0.87704470000000001</v>
      </c>
      <c r="V4010">
        <v>8.6544840000000005E-3</v>
      </c>
      <c r="W4010">
        <v>8.3214099999999999E-2</v>
      </c>
      <c r="X4010">
        <v>0.99649410000000005</v>
      </c>
      <c r="Y4010">
        <v>-0.1743924</v>
      </c>
      <c r="Z4010">
        <v>1.27351E-3</v>
      </c>
      <c r="AA4010">
        <v>0.98467539999999998</v>
      </c>
      <c r="AB4010">
        <v>24</v>
      </c>
      <c r="AC4010">
        <v>-22.044799999999999</v>
      </c>
      <c r="AD4010">
        <v>-1.1117372119240001</v>
      </c>
      <c r="AE4010">
        <v>-6.60679999999999</v>
      </c>
      <c r="AF4010">
        <v>-4.0427002196344599</v>
      </c>
      <c r="AG4010">
        <v>-1.1117372119240001</v>
      </c>
      <c r="AH4010">
        <v>22.601245431115299</v>
      </c>
      <c r="AI4010">
        <v>92.772136426149899</v>
      </c>
      <c r="AJ4010">
        <v>100.141286989325</v>
      </c>
      <c r="AK4010">
        <v>22.986858848736102</v>
      </c>
      <c r="AL4010">
        <v>85.226663477334398</v>
      </c>
      <c r="AM4010">
        <v>89.502402532799394</v>
      </c>
      <c r="AN4010">
        <v>0.99999998893346298</v>
      </c>
    </row>
    <row r="4011" spans="1:40" x14ac:dyDescent="0.25">
      <c r="A4011" t="str">
        <f>"20190312154638242"</f>
        <v>20190312154638242</v>
      </c>
      <c r="B4011" t="str">
        <f>"1552376798231909"</f>
        <v>1552376798231909</v>
      </c>
      <c r="C4011" t="s">
        <v>40</v>
      </c>
      <c r="D4011">
        <v>4.3140650000000003</v>
      </c>
      <c r="E4011">
        <v>0.38019059999999999</v>
      </c>
      <c r="F4011" t="s">
        <v>52</v>
      </c>
      <c r="G4011">
        <v>-408.59649999999999</v>
      </c>
      <c r="H4011" s="1">
        <v>-6.9796439999999996E-6</v>
      </c>
      <c r="I4011">
        <v>133.09569999999999</v>
      </c>
      <c r="J4011">
        <v>-387.20499999999998</v>
      </c>
      <c r="K4011">
        <v>1.1118110000000001</v>
      </c>
      <c r="L4011">
        <v>139.60839999999999</v>
      </c>
      <c r="M4011">
        <v>-0.99311020000000005</v>
      </c>
      <c r="N4011">
        <v>0</v>
      </c>
      <c r="O4011">
        <v>-0.11636879999999999</v>
      </c>
      <c r="P4011">
        <v>-0.99169560000000001</v>
      </c>
      <c r="Q4011">
        <v>6.8833290000000005E-2</v>
      </c>
      <c r="R4011">
        <v>-0.1086372</v>
      </c>
      <c r="S4011">
        <v>-2.940582</v>
      </c>
      <c r="T4011">
        <v>-0.15116470000000001</v>
      </c>
      <c r="U4011">
        <v>-0.88957209999999998</v>
      </c>
      <c r="V4011">
        <v>7.1975299999999997E-3</v>
      </c>
      <c r="W4011">
        <v>8.2626270000000002E-2</v>
      </c>
      <c r="X4011">
        <v>0.99655459999999996</v>
      </c>
      <c r="Y4011">
        <v>-0.17612220000000001</v>
      </c>
      <c r="Z4011">
        <v>1.3881060000000001E-3</v>
      </c>
      <c r="AA4011">
        <v>0.98436729999999995</v>
      </c>
      <c r="AB4011">
        <v>24</v>
      </c>
      <c r="AC4011">
        <v>-21.391500000000001</v>
      </c>
      <c r="AD4011">
        <v>-1.111817979644</v>
      </c>
      <c r="AE4011">
        <v>-6.5126999999999899</v>
      </c>
      <c r="AF4011">
        <v>-3.9690920155522198</v>
      </c>
      <c r="AG4011">
        <v>-1.111817979644</v>
      </c>
      <c r="AH4011">
        <v>21.949822358608898</v>
      </c>
      <c r="AI4011">
        <v>92.853509912494005</v>
      </c>
      <c r="AJ4011">
        <v>100.249791587413</v>
      </c>
      <c r="AK4011">
        <v>22.3334845517278</v>
      </c>
      <c r="AL4011">
        <v>85.2604600400701</v>
      </c>
      <c r="AM4011">
        <v>89.586193348924297</v>
      </c>
      <c r="AN4011">
        <v>0.99999998785668598</v>
      </c>
    </row>
    <row r="4012" spans="1:40" x14ac:dyDescent="0.25">
      <c r="A4012" t="str">
        <f>"20190312154638264"</f>
        <v>20190312154638264</v>
      </c>
      <c r="B4012" t="str">
        <f>"1552376798261188"</f>
        <v>1552376798261188</v>
      </c>
      <c r="C4012" t="s">
        <v>40</v>
      </c>
      <c r="D4012">
        <v>4.3125</v>
      </c>
      <c r="E4012">
        <v>0.37745089999999998</v>
      </c>
      <c r="F4012" t="s">
        <v>52</v>
      </c>
      <c r="G4012">
        <v>-402.59629999999999</v>
      </c>
      <c r="H4012" s="1">
        <v>-3.2125550000000002E-6</v>
      </c>
      <c r="I4012">
        <v>132.7533</v>
      </c>
      <c r="J4012">
        <v>-387.42790000000002</v>
      </c>
      <c r="K4012">
        <v>1.1118760000000001</v>
      </c>
      <c r="L4012">
        <v>139.5795</v>
      </c>
      <c r="M4012">
        <v>-0.99282269999999995</v>
      </c>
      <c r="N4012">
        <v>0</v>
      </c>
      <c r="O4012">
        <v>-0.11879629999999999</v>
      </c>
      <c r="P4012">
        <v>-0.99124719999999999</v>
      </c>
      <c r="Q4012">
        <v>6.8245979999999998E-2</v>
      </c>
      <c r="R4012">
        <v>-0.1130114</v>
      </c>
      <c r="S4012">
        <v>-2.8982540000000001</v>
      </c>
      <c r="T4012">
        <v>-0.20935960000000001</v>
      </c>
      <c r="U4012">
        <v>-1.2908329999999999</v>
      </c>
      <c r="V4012">
        <v>5.226484E-3</v>
      </c>
      <c r="W4012">
        <v>8.2034629999999997E-2</v>
      </c>
      <c r="X4012">
        <v>0.99661580000000005</v>
      </c>
      <c r="Y4012">
        <v>-0.29506320000000003</v>
      </c>
      <c r="Z4012">
        <v>-2.04441E-3</v>
      </c>
      <c r="AA4012">
        <v>0.95547559999999998</v>
      </c>
      <c r="AB4012">
        <v>24</v>
      </c>
      <c r="AC4012">
        <v>-15.168399999999901</v>
      </c>
      <c r="AD4012">
        <v>-1.1118792125550001</v>
      </c>
      <c r="AE4012">
        <v>-6.8262</v>
      </c>
      <c r="AF4012">
        <v>-4.9535964245585697</v>
      </c>
      <c r="AG4012">
        <v>-1.1118792125550001</v>
      </c>
      <c r="AH4012">
        <v>15.801366100192</v>
      </c>
      <c r="AI4012">
        <v>93.841300530841096</v>
      </c>
      <c r="AJ4012">
        <v>107.405772756115</v>
      </c>
      <c r="AK4012">
        <v>16.596914278052001</v>
      </c>
      <c r="AL4012">
        <v>85.294474164335995</v>
      </c>
      <c r="AM4012">
        <v>89.6995304211178</v>
      </c>
      <c r="AN4012">
        <v>1.0000000247319301</v>
      </c>
    </row>
    <row r="4013" spans="1:40" x14ac:dyDescent="0.25">
      <c r="A4013" t="str">
        <f>"20190312154638286"</f>
        <v>20190312154638286</v>
      </c>
      <c r="B4013" t="str">
        <f>"1552376798281683"</f>
        <v>1552376798281683</v>
      </c>
      <c r="C4013" t="s">
        <v>40</v>
      </c>
      <c r="D4013">
        <v>4.3330169999999999</v>
      </c>
      <c r="E4013">
        <v>0.37736700000000001</v>
      </c>
      <c r="F4013" t="s">
        <v>52</v>
      </c>
      <c r="G4013">
        <v>-401.53269999999998</v>
      </c>
      <c r="H4013" s="1">
        <v>-2.7960020000000001E-6</v>
      </c>
      <c r="I4013">
        <v>133.1112</v>
      </c>
      <c r="J4013">
        <v>-387.66039999999998</v>
      </c>
      <c r="K4013">
        <v>1.1119520000000001</v>
      </c>
      <c r="L4013">
        <v>139.54859999999999</v>
      </c>
      <c r="M4013">
        <v>-0.99250260000000001</v>
      </c>
      <c r="N4013">
        <v>0</v>
      </c>
      <c r="O4013">
        <v>-0.1214412</v>
      </c>
      <c r="P4013">
        <v>-0.99063000000000001</v>
      </c>
      <c r="Q4013">
        <v>6.6646109999999995E-2</v>
      </c>
      <c r="R4013">
        <v>-0.11920790000000001</v>
      </c>
      <c r="S4013">
        <v>-2.891022</v>
      </c>
      <c r="T4013">
        <v>-0.22789780000000001</v>
      </c>
      <c r="U4013">
        <v>-1.3257749999999999</v>
      </c>
      <c r="V4013">
        <v>1.6519379999999999E-3</v>
      </c>
      <c r="W4013">
        <v>8.0423969999999997E-2</v>
      </c>
      <c r="X4013">
        <v>0.99675939999999996</v>
      </c>
      <c r="Y4013">
        <v>-0.30289880000000002</v>
      </c>
      <c r="Z4013">
        <v>-2.3252799999999999E-3</v>
      </c>
      <c r="AA4013">
        <v>0.95301990000000003</v>
      </c>
      <c r="AB4013">
        <v>24</v>
      </c>
      <c r="AC4013">
        <v>-13.8722999999999</v>
      </c>
      <c r="AD4013">
        <v>-1.111954796002</v>
      </c>
      <c r="AE4013">
        <v>-6.4373999999999896</v>
      </c>
      <c r="AF4013">
        <v>-4.6801735472079597</v>
      </c>
      <c r="AG4013">
        <v>-1.111954796002</v>
      </c>
      <c r="AH4013">
        <v>14.4749227028031</v>
      </c>
      <c r="AI4013">
        <v>94.180523968675004</v>
      </c>
      <c r="AJ4013">
        <v>107.917564800669</v>
      </c>
      <c r="AK4013">
        <v>15.253322757762</v>
      </c>
      <c r="AL4013">
        <v>85.387064152142898</v>
      </c>
      <c r="AM4013">
        <v>89.905043294539496</v>
      </c>
      <c r="AN4013">
        <v>1.00000002266903</v>
      </c>
    </row>
    <row r="4014" spans="1:40" x14ac:dyDescent="0.25">
      <c r="A4014" t="str">
        <f>"20190312154638309"</f>
        <v>20190312154638309</v>
      </c>
      <c r="B4014" t="str">
        <f>"1552376798301204"</f>
        <v>1552376798301204</v>
      </c>
      <c r="C4014" t="s">
        <v>40</v>
      </c>
      <c r="D4014">
        <v>4.316389</v>
      </c>
      <c r="E4014">
        <v>0.37762129999999999</v>
      </c>
      <c r="F4014" t="s">
        <v>52</v>
      </c>
      <c r="G4014">
        <v>-401.26580000000001</v>
      </c>
      <c r="H4014" s="1">
        <v>-2.6919599999999898E-6</v>
      </c>
      <c r="I4014">
        <v>133.202</v>
      </c>
      <c r="J4014">
        <v>-387.90019999999998</v>
      </c>
      <c r="K4014">
        <v>1.112007</v>
      </c>
      <c r="L4014">
        <v>139.51589999999999</v>
      </c>
      <c r="M4014">
        <v>-0.99215330000000002</v>
      </c>
      <c r="N4014">
        <v>0</v>
      </c>
      <c r="O4014">
        <v>-0.12426280000000001</v>
      </c>
      <c r="P4014">
        <v>-0.98996430000000002</v>
      </c>
      <c r="Q4014">
        <v>6.5610570000000007E-2</v>
      </c>
      <c r="R4014">
        <v>-0.125166</v>
      </c>
      <c r="S4014">
        <v>-2.8824459999999998</v>
      </c>
      <c r="T4014">
        <v>-0.23557980000000001</v>
      </c>
      <c r="U4014">
        <v>-1.344589</v>
      </c>
      <c r="V4014">
        <v>-1.5118579999999901E-3</v>
      </c>
      <c r="W4014">
        <v>7.9377820000000002E-2</v>
      </c>
      <c r="X4014">
        <v>0.99684349999999999</v>
      </c>
      <c r="Y4014">
        <v>-0.30634879999999998</v>
      </c>
      <c r="Z4014">
        <v>-2.3268E-3</v>
      </c>
      <c r="AA4014">
        <v>0.95191650000000005</v>
      </c>
      <c r="AB4014">
        <v>24</v>
      </c>
      <c r="AC4014">
        <v>-13.365600000000001</v>
      </c>
      <c r="AD4014">
        <v>-1.11200969196</v>
      </c>
      <c r="AE4014">
        <v>-6.3138999999999896</v>
      </c>
      <c r="AF4014">
        <v>-4.5780404483095003</v>
      </c>
      <c r="AG4014">
        <v>-1.11200969196</v>
      </c>
      <c r="AH4014">
        <v>13.9675999299435</v>
      </c>
      <c r="AI4014">
        <v>94.326385840447799</v>
      </c>
      <c r="AJ4014">
        <v>108.14714797960001</v>
      </c>
      <c r="AK4014">
        <v>14.7407214105799</v>
      </c>
      <c r="AL4014">
        <v>85.447196483562294</v>
      </c>
      <c r="AM4014">
        <v>90.086897307557294</v>
      </c>
      <c r="AN4014">
        <v>1.0000000437573999</v>
      </c>
    </row>
    <row r="4015" spans="1:40" x14ac:dyDescent="0.25">
      <c r="A4015" t="str">
        <f>"20190312154638332"</f>
        <v>20190312154638332</v>
      </c>
      <c r="B4015" t="str">
        <f>"1552376798321700"</f>
        <v>1552376798321700</v>
      </c>
      <c r="C4015" t="s">
        <v>40</v>
      </c>
      <c r="D4015">
        <v>4.3142180000000003</v>
      </c>
      <c r="E4015">
        <v>0.37791259999999999</v>
      </c>
      <c r="F4015" t="s">
        <v>52</v>
      </c>
      <c r="G4015">
        <v>-400.91820000000001</v>
      </c>
      <c r="H4015" s="1">
        <v>-2.5760239999999998E-6</v>
      </c>
      <c r="I4015">
        <v>133.357</v>
      </c>
      <c r="J4015">
        <v>-388.13580000000002</v>
      </c>
      <c r="K4015">
        <v>1.112055</v>
      </c>
      <c r="L4015">
        <v>139.48310000000001</v>
      </c>
      <c r="M4015">
        <v>-0.99179139999999999</v>
      </c>
      <c r="N4015">
        <v>0</v>
      </c>
      <c r="O4015">
        <v>-0.1271188</v>
      </c>
      <c r="P4015">
        <v>-0.98910750000000003</v>
      </c>
      <c r="Q4015">
        <v>6.5915489999999993E-2</v>
      </c>
      <c r="R4015">
        <v>-0.13161139999999999</v>
      </c>
      <c r="S4015">
        <v>-2.874695</v>
      </c>
      <c r="T4015">
        <v>-0.24555869999999999</v>
      </c>
      <c r="U4015">
        <v>-1.360031</v>
      </c>
      <c r="V4015">
        <v>-5.1499120000000004E-3</v>
      </c>
      <c r="W4015">
        <v>7.9667290000000002E-2</v>
      </c>
      <c r="X4015">
        <v>0.99680820000000003</v>
      </c>
      <c r="Y4015">
        <v>-0.30873529999999999</v>
      </c>
      <c r="Z4015">
        <v>-2.2991040000000002E-3</v>
      </c>
      <c r="AA4015">
        <v>0.95114520000000002</v>
      </c>
      <c r="AB4015">
        <v>23</v>
      </c>
      <c r="AC4015">
        <v>-12.7823999999999</v>
      </c>
      <c r="AD4015">
        <v>-1.1120575760239999</v>
      </c>
      <c r="AE4015">
        <v>-6.1261000000000001</v>
      </c>
      <c r="AF4015">
        <v>-4.42412340311036</v>
      </c>
      <c r="AG4015">
        <v>-1.1120575760239999</v>
      </c>
      <c r="AH4015">
        <v>13.3751743338049</v>
      </c>
      <c r="AI4015">
        <v>94.513410887662005</v>
      </c>
      <c r="AJ4015">
        <v>108.302731567145</v>
      </c>
      <c r="AK4015">
        <v>14.131695878344299</v>
      </c>
      <c r="AL4015">
        <v>85.430558151394393</v>
      </c>
      <c r="AM4015">
        <v>90.296010403218901</v>
      </c>
      <c r="AN4015">
        <v>0.99999999313839505</v>
      </c>
    </row>
    <row r="4016" spans="1:40" x14ac:dyDescent="0.25">
      <c r="A4016" t="str">
        <f>"20190312154638355"</f>
        <v>20190312154638355</v>
      </c>
      <c r="B4016" t="str">
        <f>"1552376798351956"</f>
        <v>1552376798351956</v>
      </c>
      <c r="C4016" t="s">
        <v>40</v>
      </c>
      <c r="D4016">
        <v>4.3341960000000004</v>
      </c>
      <c r="E4016">
        <v>0.37828780000000001</v>
      </c>
      <c r="F4016" t="s">
        <v>52</v>
      </c>
      <c r="G4016">
        <v>-401.05200000000002</v>
      </c>
      <c r="H4016" s="1">
        <v>-2.610474E-6</v>
      </c>
      <c r="I4016">
        <v>133.2782</v>
      </c>
      <c r="J4016">
        <v>-388.37369999999999</v>
      </c>
      <c r="K4016">
        <v>1.1120920000000001</v>
      </c>
      <c r="L4016">
        <v>139.44919999999999</v>
      </c>
      <c r="M4016">
        <v>-0.99140609999999996</v>
      </c>
      <c r="N4016">
        <v>0</v>
      </c>
      <c r="O4016">
        <v>-0.13009000000000001</v>
      </c>
      <c r="P4016">
        <v>-0.98835550000000005</v>
      </c>
      <c r="Q4016">
        <v>6.6488909999999998E-2</v>
      </c>
      <c r="R4016">
        <v>-0.1368685</v>
      </c>
      <c r="S4016">
        <v>-2.8662109999999998</v>
      </c>
      <c r="T4016">
        <v>-0.24677370000000001</v>
      </c>
      <c r="U4016">
        <v>-1.3769229999999999</v>
      </c>
      <c r="V4016">
        <v>-7.4805030000000003E-3</v>
      </c>
      <c r="W4016">
        <v>8.022957E-2</v>
      </c>
      <c r="X4016">
        <v>0.99674830000000003</v>
      </c>
      <c r="Y4016">
        <v>-0.31153130000000001</v>
      </c>
      <c r="Z4016">
        <v>-2.1915709999999998E-3</v>
      </c>
      <c r="AA4016">
        <v>0.95023329999999995</v>
      </c>
      <c r="AB4016">
        <v>23</v>
      </c>
      <c r="AC4016">
        <v>-12.678299999999901</v>
      </c>
      <c r="AD4016">
        <v>-1.1120946104739999</v>
      </c>
      <c r="AE4016">
        <v>-6.1709999999999896</v>
      </c>
      <c r="AF4016">
        <v>-4.4414449636202002</v>
      </c>
      <c r="AG4016">
        <v>-1.1120946104739999</v>
      </c>
      <c r="AH4016">
        <v>13.2907290720755</v>
      </c>
      <c r="AI4016">
        <v>94.537510390383403</v>
      </c>
      <c r="AJ4016">
        <v>108.4783998135</v>
      </c>
      <c r="AK4016">
        <v>14.057263853781199</v>
      </c>
      <c r="AL4016">
        <v>85.398238260944794</v>
      </c>
      <c r="AM4016">
        <v>90.429991407073203</v>
      </c>
      <c r="AN4016">
        <v>0.999999957690203</v>
      </c>
    </row>
    <row r="4017" spans="1:40" x14ac:dyDescent="0.25">
      <c r="A4017" t="str">
        <f>"20190312154638398"</f>
        <v>20190312154638398</v>
      </c>
      <c r="B4017" t="str">
        <f>"1552376798391972"</f>
        <v>1552376798391972</v>
      </c>
      <c r="C4017" t="s">
        <v>40</v>
      </c>
      <c r="D4017">
        <v>4.559577</v>
      </c>
      <c r="E4017">
        <v>0.37891720000000001</v>
      </c>
      <c r="F4017" t="s">
        <v>52</v>
      </c>
      <c r="G4017">
        <v>-401.17669999999998</v>
      </c>
      <c r="H4017" s="1">
        <v>-2.6555010000000001E-6</v>
      </c>
      <c r="I4017">
        <v>133.22909999999999</v>
      </c>
      <c r="J4017">
        <v>-388.81450000000001</v>
      </c>
      <c r="K4017">
        <v>1.112177</v>
      </c>
      <c r="L4017">
        <v>139.38409999999999</v>
      </c>
      <c r="M4017">
        <v>-0.9906353</v>
      </c>
      <c r="N4017">
        <v>0</v>
      </c>
      <c r="O4017">
        <v>-0.13583419999999999</v>
      </c>
      <c r="P4017">
        <v>-0.98722790000000005</v>
      </c>
      <c r="Q4017">
        <v>6.6640190000000002E-2</v>
      </c>
      <c r="R4017">
        <v>-0.14470859999999999</v>
      </c>
      <c r="S4017">
        <v>-2.8596499999999998</v>
      </c>
      <c r="T4017">
        <v>-0.24839539999999999</v>
      </c>
      <c r="U4017">
        <v>-1.389313</v>
      </c>
      <c r="V4017">
        <v>-9.6367499999999995E-3</v>
      </c>
      <c r="W4017">
        <v>8.0371689999999996E-2</v>
      </c>
      <c r="X4017">
        <v>0.9967184</v>
      </c>
      <c r="Y4017">
        <v>-0.31022470000000002</v>
      </c>
      <c r="Z4017">
        <v>-1.694021E-3</v>
      </c>
      <c r="AA4017">
        <v>0.95066170000000005</v>
      </c>
      <c r="AB4017">
        <v>23</v>
      </c>
      <c r="AC4017">
        <v>-12.3621999999999</v>
      </c>
      <c r="AD4017">
        <v>-1.112179655501</v>
      </c>
      <c r="AE4017">
        <v>-6.1550000000000002</v>
      </c>
      <c r="AF4017">
        <v>-4.3900977785946003</v>
      </c>
      <c r="AG4017">
        <v>-1.112179655501</v>
      </c>
      <c r="AH4017">
        <v>12.999424231834199</v>
      </c>
      <c r="AI4017">
        <v>94.634174634689501</v>
      </c>
      <c r="AJ4017">
        <v>108.660585964578</v>
      </c>
      <c r="AK4017">
        <v>13.765715835034801</v>
      </c>
      <c r="AL4017">
        <v>85.390069301377906</v>
      </c>
      <c r="AM4017">
        <v>90.553945727744207</v>
      </c>
      <c r="AN4017">
        <v>1.0000000222012799</v>
      </c>
    </row>
    <row r="4018" spans="1:40" x14ac:dyDescent="0.25">
      <c r="A4018" t="str">
        <f>"20190312154638421"</f>
        <v>20190312154638421</v>
      </c>
      <c r="B4018" t="str">
        <f>"1552376798411492"</f>
        <v>1552376798411492</v>
      </c>
      <c r="C4018" t="s">
        <v>40</v>
      </c>
      <c r="D4018">
        <v>4.3911499999999997</v>
      </c>
      <c r="E4018">
        <v>0.37932949999999999</v>
      </c>
      <c r="F4018" t="s">
        <v>52</v>
      </c>
      <c r="G4018">
        <v>-401.37909999999999</v>
      </c>
      <c r="H4018" s="1">
        <v>-2.7451939999999998E-6</v>
      </c>
      <c r="I4018">
        <v>133.1806</v>
      </c>
      <c r="J4018">
        <v>-389.04419999999999</v>
      </c>
      <c r="K4018">
        <v>1.1122339999999999</v>
      </c>
      <c r="L4018">
        <v>139.34899999999999</v>
      </c>
      <c r="M4018">
        <v>-0.99020350000000001</v>
      </c>
      <c r="N4018">
        <v>0</v>
      </c>
      <c r="O4018">
        <v>-0.13894629999999999</v>
      </c>
      <c r="P4018">
        <v>-0.98685780000000001</v>
      </c>
      <c r="Q4018">
        <v>6.498814E-2</v>
      </c>
      <c r="R4018">
        <v>-0.14794669999999999</v>
      </c>
      <c r="S4018">
        <v>-2.8496090000000001</v>
      </c>
      <c r="T4018">
        <v>-0.25223909999999999</v>
      </c>
      <c r="U4018">
        <v>-1.4069370000000001</v>
      </c>
      <c r="V4018">
        <v>-9.7630370000000005E-3</v>
      </c>
      <c r="W4018">
        <v>7.8720879999999993E-2</v>
      </c>
      <c r="X4018">
        <v>0.99684890000000004</v>
      </c>
      <c r="Y4018">
        <v>-0.31327339999999998</v>
      </c>
      <c r="Z4018">
        <v>-1.5978639999999901E-3</v>
      </c>
      <c r="AA4018">
        <v>0.94966159999999999</v>
      </c>
      <c r="AB4018">
        <v>23</v>
      </c>
      <c r="AC4018">
        <v>-12.334899999999999</v>
      </c>
      <c r="AD4018">
        <v>-1.1122367451939901</v>
      </c>
      <c r="AE4018">
        <v>-6.1683999999999903</v>
      </c>
      <c r="AF4018">
        <v>-4.36610461747693</v>
      </c>
      <c r="AG4018">
        <v>-1.1122367451939901</v>
      </c>
      <c r="AH4018">
        <v>12.987911159789</v>
      </c>
      <c r="AI4018">
        <v>94.640665405237996</v>
      </c>
      <c r="AJ4018">
        <v>108.580935859207</v>
      </c>
      <c r="AK4018">
        <v>13.747209767901399</v>
      </c>
      <c r="AL4018">
        <v>85.484954382760606</v>
      </c>
      <c r="AM4018">
        <v>90.561131111251001</v>
      </c>
      <c r="AN4018">
        <v>1.00000001163532</v>
      </c>
    </row>
    <row r="4019" spans="1:40" x14ac:dyDescent="0.25">
      <c r="A4019" t="str">
        <f>"20190312154638442"</f>
        <v>20190312154638442</v>
      </c>
      <c r="B4019" t="str">
        <f>"1552376798431987"</f>
        <v>1552376798431987</v>
      </c>
      <c r="C4019" t="s">
        <v>40</v>
      </c>
      <c r="D4019">
        <v>4.3960889999999999</v>
      </c>
      <c r="E4019">
        <v>0.3796929</v>
      </c>
      <c r="F4019" t="s">
        <v>52</v>
      </c>
      <c r="G4019">
        <v>-401.42380000000003</v>
      </c>
      <c r="H4019" s="1">
        <v>-2.781332E-6</v>
      </c>
      <c r="I4019">
        <v>133.20070000000001</v>
      </c>
      <c r="J4019">
        <v>-389.27190000000002</v>
      </c>
      <c r="K4019">
        <v>1.1122909999999999</v>
      </c>
      <c r="L4019">
        <v>139.3134</v>
      </c>
      <c r="M4019">
        <v>-0.98975219999999997</v>
      </c>
      <c r="N4019">
        <v>0</v>
      </c>
      <c r="O4019">
        <v>-0.142126</v>
      </c>
      <c r="P4019">
        <v>-0.98647180000000001</v>
      </c>
      <c r="Q4019">
        <v>6.3267740000000003E-2</v>
      </c>
      <c r="R4019">
        <v>-0.15123210000000001</v>
      </c>
      <c r="S4019">
        <v>-2.8450009999999999</v>
      </c>
      <c r="T4019">
        <v>-0.255608</v>
      </c>
      <c r="U4019">
        <v>-1.412979</v>
      </c>
      <c r="V4019">
        <v>-9.8675110000000007E-3</v>
      </c>
      <c r="W4019">
        <v>7.7002360000000006E-2</v>
      </c>
      <c r="X4019">
        <v>0.99698209999999998</v>
      </c>
      <c r="Y4019">
        <v>-0.31245070000000003</v>
      </c>
      <c r="Z4019">
        <v>-1.323227E-3</v>
      </c>
      <c r="AA4019">
        <v>0.94993309999999997</v>
      </c>
      <c r="AB4019">
        <v>23</v>
      </c>
      <c r="AC4019">
        <v>-12.151899999999999</v>
      </c>
      <c r="AD4019">
        <v>-1.112293781332</v>
      </c>
      <c r="AE4019">
        <v>-6.1126999999999896</v>
      </c>
      <c r="AF4019">
        <v>-4.2946542762393296</v>
      </c>
      <c r="AG4019">
        <v>-1.112293781332</v>
      </c>
      <c r="AH4019">
        <v>12.8117103529225</v>
      </c>
      <c r="AI4019">
        <v>94.705792193300098</v>
      </c>
      <c r="AJ4019">
        <v>108.531831078344</v>
      </c>
      <c r="AK4019">
        <v>13.5580667860722</v>
      </c>
      <c r="AL4019">
        <v>85.583718201167301</v>
      </c>
      <c r="AM4019">
        <v>90.567059604105694</v>
      </c>
      <c r="AN4019">
        <v>1.0000000194696499</v>
      </c>
    </row>
    <row r="4020" spans="1:40" x14ac:dyDescent="0.25">
      <c r="A4020" t="str">
        <f>"20190312154638465"</f>
        <v>20190312154638465</v>
      </c>
      <c r="B4020" t="str">
        <f>"1552376798461272"</f>
        <v>1552376798461272</v>
      </c>
      <c r="C4020" t="s">
        <v>40</v>
      </c>
      <c r="D4020">
        <v>4.4095079999999998</v>
      </c>
      <c r="E4020">
        <v>0.38020690000000001</v>
      </c>
      <c r="F4020" t="s">
        <v>52</v>
      </c>
      <c r="G4020">
        <v>-401.47379999999998</v>
      </c>
      <c r="H4020" s="1">
        <v>-2.8162409999999999E-6</v>
      </c>
      <c r="I4020">
        <v>133.21270000000001</v>
      </c>
      <c r="J4020">
        <v>-389.49579999999997</v>
      </c>
      <c r="K4020">
        <v>1.112352</v>
      </c>
      <c r="L4020">
        <v>139.2775</v>
      </c>
      <c r="M4020">
        <v>-0.98928050000000001</v>
      </c>
      <c r="N4020">
        <v>0</v>
      </c>
      <c r="O4020">
        <v>-0.14537310000000001</v>
      </c>
      <c r="P4020">
        <v>-0.98598339999999995</v>
      </c>
      <c r="Q4020">
        <v>6.232186E-2</v>
      </c>
      <c r="R4020">
        <v>-0.15476779999999901</v>
      </c>
      <c r="S4020">
        <v>-2.8400569999999998</v>
      </c>
      <c r="T4020">
        <v>-0.25889109999999999</v>
      </c>
      <c r="U4020">
        <v>-1.4199679999999999</v>
      </c>
      <c r="V4020">
        <v>-1.0168699999999999E-2</v>
      </c>
      <c r="W4020">
        <v>7.6056689999999996E-2</v>
      </c>
      <c r="X4020">
        <v>0.99705169999999999</v>
      </c>
      <c r="Y4020">
        <v>-0.31186219999999998</v>
      </c>
      <c r="Z4020">
        <v>-1.044625E-3</v>
      </c>
      <c r="AA4020">
        <v>0.95012680000000005</v>
      </c>
      <c r="AB4020">
        <v>23</v>
      </c>
      <c r="AC4020">
        <v>-11.978</v>
      </c>
      <c r="AD4020">
        <v>-1.112354816241</v>
      </c>
      <c r="AE4020">
        <v>-6.0647999999999902</v>
      </c>
      <c r="AF4020">
        <v>-4.2298801177767604</v>
      </c>
      <c r="AG4020">
        <v>-1.112354816241</v>
      </c>
      <c r="AH4020">
        <v>12.645670408944</v>
      </c>
      <c r="AI4020">
        <v>94.768587613509098</v>
      </c>
      <c r="AJ4020">
        <v>108.49469454392001</v>
      </c>
      <c r="AK4020">
        <v>13.3806651232149</v>
      </c>
      <c r="AL4020">
        <v>85.638060636977002</v>
      </c>
      <c r="AM4020">
        <v>90.584326162711207</v>
      </c>
      <c r="AN4020">
        <v>1.00000005751316</v>
      </c>
    </row>
    <row r="4021" spans="1:40" x14ac:dyDescent="0.25">
      <c r="A4021" t="str">
        <f>"20190312154638487"</f>
        <v>20190312154638487</v>
      </c>
      <c r="B4021" t="str">
        <f>"1552376798481767"</f>
        <v>1552376798481767</v>
      </c>
      <c r="C4021" t="s">
        <v>40</v>
      </c>
      <c r="D4021">
        <v>4.423521</v>
      </c>
      <c r="E4021">
        <v>0.38060159999999998</v>
      </c>
      <c r="F4021" t="s">
        <v>52</v>
      </c>
      <c r="G4021">
        <v>-401.50400000000002</v>
      </c>
      <c r="H4021" s="1">
        <v>-2.8477529999999998E-6</v>
      </c>
      <c r="I4021">
        <v>133.2397</v>
      </c>
      <c r="J4021">
        <v>-389.72750000000002</v>
      </c>
      <c r="K4021">
        <v>1.1124229999999999</v>
      </c>
      <c r="L4021">
        <v>139.23929999999999</v>
      </c>
      <c r="M4021">
        <v>-0.98876229999999998</v>
      </c>
      <c r="N4021">
        <v>0</v>
      </c>
      <c r="O4021">
        <v>-0.14885619999999999</v>
      </c>
      <c r="P4021">
        <v>-0.98544330000000002</v>
      </c>
      <c r="Q4021">
        <v>6.1803699999999899E-2</v>
      </c>
      <c r="R4021">
        <v>-0.15837279999999901</v>
      </c>
      <c r="S4021">
        <v>-2.8354490000000001</v>
      </c>
      <c r="T4021">
        <v>-0.26265429999999901</v>
      </c>
      <c r="U4021">
        <v>-1.4256740000000001</v>
      </c>
      <c r="V4021">
        <v>-1.0308889999999999E-2</v>
      </c>
      <c r="W4021">
        <v>7.5540350000000006E-2</v>
      </c>
      <c r="X4021">
        <v>0.99708940000000001</v>
      </c>
      <c r="Y4021">
        <v>-0.3106604</v>
      </c>
      <c r="Z4021">
        <v>-7.1263869999999897E-4</v>
      </c>
      <c r="AA4021">
        <v>0.9505207</v>
      </c>
      <c r="AB4021">
        <v>23</v>
      </c>
      <c r="AC4021">
        <v>-11.7765</v>
      </c>
      <c r="AD4021">
        <v>-1.112425847753</v>
      </c>
      <c r="AE4021">
        <v>-5.9995999999999796</v>
      </c>
      <c r="AF4021">
        <v>-4.1501713096786803</v>
      </c>
      <c r="AG4021">
        <v>-1.112425847753</v>
      </c>
      <c r="AH4021">
        <v>12.4502330082775</v>
      </c>
      <c r="AI4021">
        <v>94.845064755131602</v>
      </c>
      <c r="AJ4021">
        <v>108.435336659941</v>
      </c>
      <c r="AK4021">
        <v>13.1707902240842</v>
      </c>
      <c r="AL4021">
        <v>85.667729602925903</v>
      </c>
      <c r="AM4021">
        <v>90.592358963846905</v>
      </c>
      <c r="AN4021">
        <v>0.99999994464175501</v>
      </c>
    </row>
    <row r="4022" spans="1:40" x14ac:dyDescent="0.25">
      <c r="A4022" t="str">
        <f>"20190312154638512"</f>
        <v>20190312154638512</v>
      </c>
      <c r="B4022" t="str">
        <f>"1552376798501287"</f>
        <v>1552376798501287</v>
      </c>
      <c r="C4022" t="s">
        <v>40</v>
      </c>
      <c r="D4022">
        <v>4.4376920000000002</v>
      </c>
      <c r="E4022">
        <v>0.38097449999999999</v>
      </c>
      <c r="F4022" t="s">
        <v>52</v>
      </c>
      <c r="G4022">
        <v>-401.60969999999998</v>
      </c>
      <c r="H4022" s="1">
        <v>-2.8996210000000001E-6</v>
      </c>
      <c r="I4022">
        <v>133.22389999999999</v>
      </c>
      <c r="J4022">
        <v>-389.96839999999997</v>
      </c>
      <c r="K4022">
        <v>1.1124849999999999</v>
      </c>
      <c r="L4022">
        <v>139.1987</v>
      </c>
      <c r="M4022">
        <v>-0.98819429999999997</v>
      </c>
      <c r="N4022">
        <v>0</v>
      </c>
      <c r="O4022">
        <v>-0.1525801</v>
      </c>
      <c r="P4022">
        <v>-0.98481589999999997</v>
      </c>
      <c r="Q4022">
        <v>6.1869729999999998E-2</v>
      </c>
      <c r="R4022">
        <v>-0.16220270000000001</v>
      </c>
      <c r="S4022">
        <v>-2.830597</v>
      </c>
      <c r="T4022">
        <v>-0.26500400000000002</v>
      </c>
      <c r="U4022">
        <v>-1.433014</v>
      </c>
      <c r="V4022">
        <v>-1.044148E-2</v>
      </c>
      <c r="W4022">
        <v>7.5607399999999894E-2</v>
      </c>
      <c r="X4022">
        <v>0.99708300000000005</v>
      </c>
      <c r="Y4022">
        <v>-0.30970310000000001</v>
      </c>
      <c r="Z4022">
        <v>-3.585862E-4</v>
      </c>
      <c r="AA4022">
        <v>0.95083329999999999</v>
      </c>
      <c r="AB4022">
        <v>23</v>
      </c>
      <c r="AC4022">
        <v>-11.641299999999999</v>
      </c>
      <c r="AD4022">
        <v>-1.1124878996209999</v>
      </c>
      <c r="AE4022">
        <v>-5.9748000000000099</v>
      </c>
      <c r="AF4022">
        <v>-4.0987998889231898</v>
      </c>
      <c r="AG4022">
        <v>-1.1124878996209999</v>
      </c>
      <c r="AH4022">
        <v>12.3275814077088</v>
      </c>
      <c r="AI4022">
        <v>94.894550404779096</v>
      </c>
      <c r="AJ4022">
        <v>108.391460150594</v>
      </c>
      <c r="AK4022">
        <v>13.038675286237</v>
      </c>
      <c r="AL4022">
        <v>85.663877170043406</v>
      </c>
      <c r="AM4022">
        <v>90.599981013125102</v>
      </c>
      <c r="AN4022">
        <v>1.0000000061641701</v>
      </c>
    </row>
    <row r="4023" spans="1:40" x14ac:dyDescent="0.25">
      <c r="A4023" t="str">
        <f>"20190312154638555"</f>
        <v>20190312154638555</v>
      </c>
      <c r="B4023" t="str">
        <f>"1552376798552039"</f>
        <v>1552376798552039</v>
      </c>
      <c r="C4023" t="s">
        <v>40</v>
      </c>
      <c r="D4023">
        <v>4.499479</v>
      </c>
      <c r="E4023">
        <v>0.38142779999999998</v>
      </c>
      <c r="F4023" t="s">
        <v>52</v>
      </c>
      <c r="G4023">
        <v>-401.78859999999997</v>
      </c>
      <c r="H4023" s="1">
        <v>-2.972557E-6</v>
      </c>
      <c r="I4023">
        <v>133.16909999999999</v>
      </c>
      <c r="J4023">
        <v>-390.41039999999998</v>
      </c>
      <c r="K4023">
        <v>1.112573</v>
      </c>
      <c r="L4023">
        <v>139.12139999999999</v>
      </c>
      <c r="M4023">
        <v>-0.98707500000000004</v>
      </c>
      <c r="N4023">
        <v>0</v>
      </c>
      <c r="O4023">
        <v>-0.1596612</v>
      </c>
      <c r="P4023">
        <v>-0.98362810000000001</v>
      </c>
      <c r="Q4023">
        <v>6.2058639999999998E-2</v>
      </c>
      <c r="R4023">
        <v>-0.16918759999999999</v>
      </c>
      <c r="S4023">
        <v>-2.8255309999999998</v>
      </c>
      <c r="T4023">
        <v>-0.26593159999999999</v>
      </c>
      <c r="U4023">
        <v>-1.44133</v>
      </c>
      <c r="V4023">
        <v>-1.038713E-2</v>
      </c>
      <c r="W4023">
        <v>7.5799000000000005E-2</v>
      </c>
      <c r="X4023">
        <v>0.99706899999999998</v>
      </c>
      <c r="Y4023">
        <v>-0.30582759999999998</v>
      </c>
      <c r="Z4023">
        <v>4.201168E-4</v>
      </c>
      <c r="AA4023">
        <v>0.95208680000000001</v>
      </c>
      <c r="AB4023">
        <v>23</v>
      </c>
      <c r="AC4023">
        <v>-11.3781999999999</v>
      </c>
      <c r="AD4023">
        <v>-1.1125759725569999</v>
      </c>
      <c r="AE4023">
        <v>-5.9523000000000001</v>
      </c>
      <c r="AF4023">
        <v>-4.0288537159980402</v>
      </c>
      <c r="AG4023">
        <v>-1.1125759725569999</v>
      </c>
      <c r="AH4023">
        <v>12.091881477576999</v>
      </c>
      <c r="AI4023">
        <v>94.988836966511201</v>
      </c>
      <c r="AJ4023">
        <v>108.427385586981</v>
      </c>
      <c r="AK4023">
        <v>12.793869048391601</v>
      </c>
      <c r="AL4023">
        <v>85.652867617303997</v>
      </c>
      <c r="AM4023">
        <v>90.596866597970404</v>
      </c>
      <c r="AN4023">
        <v>0.99999998581581795</v>
      </c>
    </row>
    <row r="4024" spans="1:40" x14ac:dyDescent="0.25">
      <c r="A4024" t="str">
        <f>"20190312154638577"</f>
        <v>20190312154638577</v>
      </c>
      <c r="B4024" t="str">
        <f>"1552376798571559"</f>
        <v>1552376798571559</v>
      </c>
      <c r="C4024" t="s">
        <v>40</v>
      </c>
      <c r="D4024">
        <v>4.4977799999999997</v>
      </c>
      <c r="E4024">
        <v>0.38164569999999998</v>
      </c>
      <c r="F4024" t="s">
        <v>52</v>
      </c>
      <c r="G4024">
        <v>-402.17899999999997</v>
      </c>
      <c r="H4024" s="1">
        <v>-3.1179560000000001E-6</v>
      </c>
      <c r="I4024">
        <v>133.02359999999999</v>
      </c>
      <c r="J4024">
        <v>-390.63749999999999</v>
      </c>
      <c r="K4024">
        <v>1.112601</v>
      </c>
      <c r="L4024">
        <v>139.08019999999999</v>
      </c>
      <c r="M4024">
        <v>-0.98646140000000004</v>
      </c>
      <c r="N4024">
        <v>0</v>
      </c>
      <c r="O4024">
        <v>-0.16340879999999999</v>
      </c>
      <c r="P4024">
        <v>-0.98297380000000001</v>
      </c>
      <c r="Q4024">
        <v>6.0634859999999999E-2</v>
      </c>
      <c r="R4024">
        <v>-0.1734541</v>
      </c>
      <c r="S4024">
        <v>-2.8157960000000002</v>
      </c>
      <c r="T4024">
        <v>-0.26619949999999998</v>
      </c>
      <c r="U4024">
        <v>-1.458969</v>
      </c>
      <c r="V4024">
        <v>-1.0910329999999999E-2</v>
      </c>
      <c r="W4024">
        <v>7.4375380000000005E-2</v>
      </c>
      <c r="X4024">
        <v>0.99717060000000002</v>
      </c>
      <c r="Y4024">
        <v>-0.30825910000000001</v>
      </c>
      <c r="Z4024">
        <v>6.3452029999999996E-4</v>
      </c>
      <c r="AA4024">
        <v>0.95130219999999999</v>
      </c>
      <c r="AB4024">
        <v>23</v>
      </c>
      <c r="AC4024">
        <v>-11.541499999999999</v>
      </c>
      <c r="AD4024">
        <v>-1.112604117956</v>
      </c>
      <c r="AE4024">
        <v>-6.0566000000000004</v>
      </c>
      <c r="AF4024">
        <v>-4.0594320122705501</v>
      </c>
      <c r="AG4024">
        <v>-1.112604117956</v>
      </c>
      <c r="AH4024">
        <v>12.286604928694601</v>
      </c>
      <c r="AI4024">
        <v>94.914363811135203</v>
      </c>
      <c r="AJ4024">
        <v>108.283293345807</v>
      </c>
      <c r="AK4024">
        <v>12.9875916497002</v>
      </c>
      <c r="AL4024">
        <v>85.7346658901903</v>
      </c>
      <c r="AM4024">
        <v>90.626864569925701</v>
      </c>
      <c r="AN4024">
        <v>0.99999996897760601</v>
      </c>
    </row>
    <row r="4025" spans="1:40" x14ac:dyDescent="0.25">
      <c r="A4025" t="str">
        <f>"20190312154638599"</f>
        <v>20190312154638599</v>
      </c>
      <c r="B4025" t="str">
        <f>"1552376798591079"</f>
        <v>1552376798591079</v>
      </c>
      <c r="C4025" t="s">
        <v>40</v>
      </c>
      <c r="D4025">
        <v>4.4969489999999999</v>
      </c>
      <c r="E4025">
        <v>0.38180639999999999</v>
      </c>
      <c r="F4025" t="s">
        <v>52</v>
      </c>
      <c r="G4025">
        <v>-402.03120000000001</v>
      </c>
      <c r="H4025" s="1">
        <v>-3.087213E-6</v>
      </c>
      <c r="I4025">
        <v>133.12450000000001</v>
      </c>
      <c r="J4025">
        <v>-390.85969999999998</v>
      </c>
      <c r="K4025">
        <v>1.112617</v>
      </c>
      <c r="L4025">
        <v>139.03899999999999</v>
      </c>
      <c r="M4025">
        <v>-0.98583719999999997</v>
      </c>
      <c r="N4025">
        <v>0</v>
      </c>
      <c r="O4025">
        <v>-0.16713329999999901</v>
      </c>
      <c r="P4025">
        <v>-0.98215920000000001</v>
      </c>
      <c r="Q4025">
        <v>5.9245249999999999E-2</v>
      </c>
      <c r="R4025">
        <v>-0.17847489999999999</v>
      </c>
      <c r="S4025">
        <v>-2.809723</v>
      </c>
      <c r="T4025">
        <v>-0.27437040000000001</v>
      </c>
      <c r="U4025">
        <v>-1.468704</v>
      </c>
      <c r="V4025">
        <v>-1.2223929999999999E-2</v>
      </c>
      <c r="W4025">
        <v>7.2979669999999996E-2</v>
      </c>
      <c r="X4025">
        <v>0.99725850000000005</v>
      </c>
      <c r="Y4025">
        <v>-0.30808089999999999</v>
      </c>
      <c r="Z4025">
        <v>9.925597999999999E-4</v>
      </c>
      <c r="AA4025">
        <v>0.95135959999999997</v>
      </c>
      <c r="AB4025">
        <v>23</v>
      </c>
      <c r="AC4025">
        <v>-11.1715</v>
      </c>
      <c r="AD4025">
        <v>-1.1126200872130001</v>
      </c>
      <c r="AE4025">
        <v>-5.9144999999999701</v>
      </c>
      <c r="AF4025">
        <v>-3.9335091396607398</v>
      </c>
      <c r="AG4025">
        <v>-1.1126200872130001</v>
      </c>
      <c r="AH4025">
        <v>11.9106615886203</v>
      </c>
      <c r="AI4025">
        <v>95.068971419825999</v>
      </c>
      <c r="AJ4025">
        <v>108.27586327366301</v>
      </c>
      <c r="AK4025">
        <v>12.592627886541401</v>
      </c>
      <c r="AL4025">
        <v>85.814852200957404</v>
      </c>
      <c r="AM4025">
        <v>90.702269797196806</v>
      </c>
      <c r="AN4025">
        <v>0.999999986260101</v>
      </c>
    </row>
    <row r="4026" spans="1:40" x14ac:dyDescent="0.25">
      <c r="A4026" t="str">
        <f>"20190312154638622"</f>
        <v>20190312154638622</v>
      </c>
      <c r="B4026" t="str">
        <f>"1552376798611575"</f>
        <v>1552376798611575</v>
      </c>
      <c r="C4026" t="s">
        <v>40</v>
      </c>
      <c r="D4026">
        <v>4.4965299999999999</v>
      </c>
      <c r="E4026">
        <v>0.3820307</v>
      </c>
      <c r="F4026" t="s">
        <v>52</v>
      </c>
      <c r="G4026">
        <v>-401.92009999999999</v>
      </c>
      <c r="H4026" s="1">
        <v>-3.059811E-6</v>
      </c>
      <c r="I4026">
        <v>133.19229999999999</v>
      </c>
      <c r="J4026">
        <v>-391.08330000000001</v>
      </c>
      <c r="K4026">
        <v>1.112633</v>
      </c>
      <c r="L4026">
        <v>138.9967</v>
      </c>
      <c r="M4026">
        <v>-0.98518570000000005</v>
      </c>
      <c r="N4026">
        <v>0</v>
      </c>
      <c r="O4026">
        <v>-0.17093179999999999</v>
      </c>
      <c r="P4026">
        <v>-0.98113260000000002</v>
      </c>
      <c r="Q4026">
        <v>5.830308E-2</v>
      </c>
      <c r="R4026">
        <v>-0.1843361</v>
      </c>
      <c r="S4026">
        <v>-2.8022770000000001</v>
      </c>
      <c r="T4026">
        <v>-0.28189609999999998</v>
      </c>
      <c r="U4026">
        <v>-1.4813540000000001</v>
      </c>
      <c r="V4026">
        <v>-1.432579E-2</v>
      </c>
      <c r="W4026">
        <v>7.2026610000000005E-2</v>
      </c>
      <c r="X4026">
        <v>0.99729979999999996</v>
      </c>
      <c r="Y4026">
        <v>-0.30879679999999998</v>
      </c>
      <c r="Z4026">
        <v>1.332499E-3</v>
      </c>
      <c r="AA4026">
        <v>0.9511271</v>
      </c>
      <c r="AB4026">
        <v>23</v>
      </c>
      <c r="AC4026">
        <v>-10.836799999999901</v>
      </c>
      <c r="AD4026">
        <v>-1.1126360598109999</v>
      </c>
      <c r="AE4026">
        <v>-5.80440000000001</v>
      </c>
      <c r="AF4026">
        <v>-3.83501378081273</v>
      </c>
      <c r="AG4026">
        <v>-1.1126360598109999</v>
      </c>
      <c r="AH4026">
        <v>11.5747197898477</v>
      </c>
      <c r="AI4026">
        <v>95.213703394659902</v>
      </c>
      <c r="AJ4026">
        <v>108.331412458215</v>
      </c>
      <c r="AK4026">
        <v>12.244158930449601</v>
      </c>
      <c r="AL4026">
        <v>85.869602569762307</v>
      </c>
      <c r="AM4026">
        <v>90.822973048583194</v>
      </c>
      <c r="AN4026">
        <v>0.999999975943627</v>
      </c>
    </row>
    <row r="4027" spans="1:40" x14ac:dyDescent="0.25">
      <c r="A4027" t="str">
        <f>"20190312154638643"</f>
        <v>20190312154638643</v>
      </c>
      <c r="B4027" t="str">
        <f>"1552376798632071"</f>
        <v>1552376798632071</v>
      </c>
      <c r="C4027" t="s">
        <v>40</v>
      </c>
      <c r="D4027">
        <v>4.582846</v>
      </c>
      <c r="E4027">
        <v>0.38225940000000003</v>
      </c>
      <c r="F4027" t="s">
        <v>52</v>
      </c>
      <c r="G4027">
        <v>-401.93470000000002</v>
      </c>
      <c r="H4027" s="1">
        <v>-3.0633789999999998E-6</v>
      </c>
      <c r="I4027">
        <v>133.1833</v>
      </c>
      <c r="J4027">
        <v>-391.29860000000002</v>
      </c>
      <c r="K4027">
        <v>1.1126590000000001</v>
      </c>
      <c r="L4027">
        <v>138.95500000000001</v>
      </c>
      <c r="M4027">
        <v>-0.98453619999999997</v>
      </c>
      <c r="N4027">
        <v>0</v>
      </c>
      <c r="O4027">
        <v>-0.17463409999999999</v>
      </c>
      <c r="P4027">
        <v>-0.98007319999999998</v>
      </c>
      <c r="Q4027">
        <v>5.8044409999999998E-2</v>
      </c>
      <c r="R4027">
        <v>-0.1899672</v>
      </c>
      <c r="S4027">
        <v>-2.7935180000000002</v>
      </c>
      <c r="T4027">
        <v>-0.28643069999999998</v>
      </c>
      <c r="U4027">
        <v>-1.496567</v>
      </c>
      <c r="V4027">
        <v>-1.6305320000000002E-2</v>
      </c>
      <c r="W4027">
        <v>7.1756459999999994E-2</v>
      </c>
      <c r="X4027">
        <v>0.99728890000000003</v>
      </c>
      <c r="Y4027">
        <v>-0.31047590000000003</v>
      </c>
      <c r="Z4027">
        <v>1.616955E-3</v>
      </c>
      <c r="AA4027">
        <v>0.95057990000000003</v>
      </c>
      <c r="AB4027">
        <v>23</v>
      </c>
      <c r="AC4027">
        <v>-10.636100000000001</v>
      </c>
      <c r="AD4027">
        <v>-1.1126620633790001</v>
      </c>
      <c r="AE4027">
        <v>-5.7717000000000098</v>
      </c>
      <c r="AF4027">
        <v>-3.7933187022443602</v>
      </c>
      <c r="AG4027">
        <v>-1.1126620633790001</v>
      </c>
      <c r="AH4027">
        <v>11.384414453744</v>
      </c>
      <c r="AI4027">
        <v>95.297530247525103</v>
      </c>
      <c r="AJ4027">
        <v>108.42821713361199</v>
      </c>
      <c r="AK4027">
        <v>12.0512313104801</v>
      </c>
      <c r="AL4027">
        <v>85.885121285606303</v>
      </c>
      <c r="AM4027">
        <v>90.936682229214895</v>
      </c>
      <c r="AN4027">
        <v>1.00000000153762</v>
      </c>
    </row>
    <row r="4028" spans="1:40" x14ac:dyDescent="0.25">
      <c r="A4028" t="str">
        <f>"20190312154638666"</f>
        <v>20190312154638666</v>
      </c>
      <c r="B4028" t="str">
        <f>"1552376798661351"</f>
        <v>1552376798661351</v>
      </c>
      <c r="C4028" t="s">
        <v>40</v>
      </c>
      <c r="D4028">
        <v>4.5234249999999996</v>
      </c>
      <c r="E4028">
        <v>0.38264860000000001</v>
      </c>
      <c r="F4028" t="s">
        <v>52</v>
      </c>
      <c r="G4028">
        <v>-402.03230000000002</v>
      </c>
      <c r="H4028" s="1">
        <v>-3.0922519999999898E-6</v>
      </c>
      <c r="I4028">
        <v>133.1328</v>
      </c>
      <c r="J4028">
        <v>-391.52760000000001</v>
      </c>
      <c r="K4028">
        <v>1.1126769999999999</v>
      </c>
      <c r="L4028">
        <v>138.90960000000001</v>
      </c>
      <c r="M4028">
        <v>-0.98382150000000002</v>
      </c>
      <c r="N4028">
        <v>0</v>
      </c>
      <c r="O4028">
        <v>-0.17861669999999999</v>
      </c>
      <c r="P4028">
        <v>-0.97897299999999998</v>
      </c>
      <c r="Q4028">
        <v>5.7407600000000003E-2</v>
      </c>
      <c r="R4028">
        <v>-0.19574510000000001</v>
      </c>
      <c r="S4028">
        <v>-2.7852480000000002</v>
      </c>
      <c r="T4028">
        <v>-0.28872100000000001</v>
      </c>
      <c r="U4028">
        <v>-1.5107729999999999</v>
      </c>
      <c r="V4028">
        <v>-1.8147920000000001E-2</v>
      </c>
      <c r="W4028">
        <v>7.1108660000000004E-2</v>
      </c>
      <c r="X4028">
        <v>0.99730350000000001</v>
      </c>
      <c r="Y4028">
        <v>-0.31156009999999901</v>
      </c>
      <c r="Z4028">
        <v>1.950303E-3</v>
      </c>
      <c r="AA4028">
        <v>0.95022450000000003</v>
      </c>
      <c r="AB4028">
        <v>23</v>
      </c>
      <c r="AC4028">
        <v>-10.5047</v>
      </c>
      <c r="AD4028">
        <v>-1.1126800922519999</v>
      </c>
      <c r="AE4028">
        <v>-5.7767999999999997</v>
      </c>
      <c r="AF4028">
        <v>-3.7748713455591201</v>
      </c>
      <c r="AG4028">
        <v>-1.1126800922519999</v>
      </c>
      <c r="AH4028">
        <v>11.2705813651963</v>
      </c>
      <c r="AI4028">
        <v>95.348049752139701</v>
      </c>
      <c r="AJ4028">
        <v>108.51731436349399</v>
      </c>
      <c r="AK4028">
        <v>11.9379108294847</v>
      </c>
      <c r="AL4028">
        <v>85.922332666416096</v>
      </c>
      <c r="AM4028">
        <v>91.042495565326206</v>
      </c>
      <c r="AN4028">
        <v>1.00000002981978</v>
      </c>
    </row>
    <row r="4029" spans="1:40" x14ac:dyDescent="0.25">
      <c r="A4029" t="str">
        <f>"20190312154638688"</f>
        <v>20190312154638688</v>
      </c>
      <c r="B4029" t="str">
        <f>"1552376798681847"</f>
        <v>1552376798681847</v>
      </c>
      <c r="C4029" t="s">
        <v>40</v>
      </c>
      <c r="D4029">
        <v>4.5500309999999997</v>
      </c>
      <c r="E4029">
        <v>0.38292159999999997</v>
      </c>
      <c r="F4029" t="s">
        <v>52</v>
      </c>
      <c r="G4029">
        <v>-402.0641</v>
      </c>
      <c r="H4029" s="1">
        <v>-3.1084749999999999E-6</v>
      </c>
      <c r="I4029">
        <v>133.1292</v>
      </c>
      <c r="J4029">
        <v>-391.75009999999997</v>
      </c>
      <c r="K4029">
        <v>1.1126830000000001</v>
      </c>
      <c r="L4029">
        <v>138.86449999999999</v>
      </c>
      <c r="M4029">
        <v>-0.98310489999999995</v>
      </c>
      <c r="N4029">
        <v>0</v>
      </c>
      <c r="O4029">
        <v>-0.18251899999999999</v>
      </c>
      <c r="P4029">
        <v>-0.97790100000000002</v>
      </c>
      <c r="Q4029">
        <v>5.693434E-2</v>
      </c>
      <c r="R4029">
        <v>-0.2011675</v>
      </c>
      <c r="S4029">
        <v>-2.7770079999999999</v>
      </c>
      <c r="T4029">
        <v>-0.29325679999999998</v>
      </c>
      <c r="U4029">
        <v>-1.5234829999999999</v>
      </c>
      <c r="V4029">
        <v>-1.9713140000000001E-2</v>
      </c>
      <c r="W4029">
        <v>7.0626380000000002E-2</v>
      </c>
      <c r="X4029">
        <v>0.99730799999999997</v>
      </c>
      <c r="Y4029">
        <v>-0.31231550000000002</v>
      </c>
      <c r="Z4029">
        <v>2.3156280000000001E-3</v>
      </c>
      <c r="AA4029">
        <v>0.94997560000000003</v>
      </c>
      <c r="AB4029">
        <v>23</v>
      </c>
      <c r="AC4029">
        <v>-10.314</v>
      </c>
      <c r="AD4029">
        <v>-1.1126861084749999</v>
      </c>
      <c r="AE4029">
        <v>-5.7352999999999899</v>
      </c>
      <c r="AF4029">
        <v>-3.7231630632995798</v>
      </c>
      <c r="AG4029">
        <v>-1.1126861084749999</v>
      </c>
      <c r="AH4029">
        <v>11.0890400319192</v>
      </c>
      <c r="AI4029">
        <v>95.433777418598694</v>
      </c>
      <c r="AJ4029">
        <v>108.559559654642</v>
      </c>
      <c r="AK4029">
        <v>11.7501839305357</v>
      </c>
      <c r="AL4029">
        <v>85.950034683127001</v>
      </c>
      <c r="AM4029">
        <v>91.132381027992594</v>
      </c>
      <c r="AN4029">
        <v>0.99999997015228104</v>
      </c>
    </row>
    <row r="4030" spans="1:40" x14ac:dyDescent="0.25">
      <c r="A4030" t="str">
        <f>"20190312154638712"</f>
        <v>20190312154638712</v>
      </c>
      <c r="B4030" t="str">
        <f>"1552376798701367"</f>
        <v>1552376798701367</v>
      </c>
      <c r="C4030" t="s">
        <v>40</v>
      </c>
      <c r="D4030">
        <v>4.5669879999999896</v>
      </c>
      <c r="E4030">
        <v>0.38304660000000001</v>
      </c>
      <c r="F4030" t="s">
        <v>52</v>
      </c>
      <c r="G4030">
        <v>-402.13819999999998</v>
      </c>
      <c r="H4030" s="1">
        <v>-3.136095E-6</v>
      </c>
      <c r="I4030">
        <v>133.10169999999999</v>
      </c>
      <c r="J4030">
        <v>-391.97550000000001</v>
      </c>
      <c r="K4030">
        <v>1.1126910000000001</v>
      </c>
      <c r="L4030">
        <v>138.81790000000001</v>
      </c>
      <c r="M4030">
        <v>-0.98235700000000004</v>
      </c>
      <c r="N4030">
        <v>0</v>
      </c>
      <c r="O4030">
        <v>-0.18650340000000001</v>
      </c>
      <c r="P4030">
        <v>-0.97684660000000001</v>
      </c>
      <c r="Q4030">
        <v>5.641844E-2</v>
      </c>
      <c r="R4030">
        <v>-0.20636889999999999</v>
      </c>
      <c r="S4030">
        <v>-2.7690730000000001</v>
      </c>
      <c r="T4030">
        <v>-0.29660009999999998</v>
      </c>
      <c r="U4030">
        <v>-1.5361629999999999</v>
      </c>
      <c r="V4030">
        <v>-2.0971259999999999E-2</v>
      </c>
      <c r="W4030">
        <v>7.0103139999999994E-2</v>
      </c>
      <c r="X4030">
        <v>0.99731930000000002</v>
      </c>
      <c r="Y4030">
        <v>-0.31294509999999998</v>
      </c>
      <c r="Z4030">
        <v>2.6949180000000001E-3</v>
      </c>
      <c r="AA4030">
        <v>0.94976740000000004</v>
      </c>
      <c r="AB4030">
        <v>23</v>
      </c>
      <c r="AC4030">
        <v>-10.1626999999999</v>
      </c>
      <c r="AD4030">
        <v>-1.11269413609499</v>
      </c>
      <c r="AE4030">
        <v>-5.7162000000000104</v>
      </c>
      <c r="AF4030">
        <v>-3.6867529778828798</v>
      </c>
      <c r="AG4030">
        <v>-1.11269413609499</v>
      </c>
      <c r="AH4030">
        <v>10.9508222471409</v>
      </c>
      <c r="AI4030">
        <v>95.500474391808496</v>
      </c>
      <c r="AJ4030">
        <v>108.606551871928</v>
      </c>
      <c r="AK4030">
        <v>11.6082187974256</v>
      </c>
      <c r="AL4030">
        <v>85.980088802747701</v>
      </c>
      <c r="AM4030">
        <v>91.204616857365394</v>
      </c>
      <c r="AN4030">
        <v>1.0000000150681601</v>
      </c>
    </row>
    <row r="4031" spans="1:40" x14ac:dyDescent="0.25">
      <c r="A4031" t="str">
        <f>"20190312154638735"</f>
        <v>20190312154638735</v>
      </c>
      <c r="B4031" t="str">
        <f>"1552376798731623"</f>
        <v>1552376798731623</v>
      </c>
      <c r="C4031" t="s">
        <v>40</v>
      </c>
      <c r="D4031">
        <v>4.6025780000000003</v>
      </c>
      <c r="E4031">
        <v>0.38339289999999998</v>
      </c>
      <c r="F4031" t="s">
        <v>52</v>
      </c>
      <c r="G4031">
        <v>-402.22500000000002</v>
      </c>
      <c r="H4031" s="1">
        <v>-3.1660420000000002E-6</v>
      </c>
      <c r="I4031">
        <v>133.06479999999999</v>
      </c>
      <c r="J4031">
        <v>-392.21140000000003</v>
      </c>
      <c r="K4031">
        <v>1.1127020000000001</v>
      </c>
      <c r="L4031">
        <v>138.768</v>
      </c>
      <c r="M4031">
        <v>-0.98154739999999996</v>
      </c>
      <c r="N4031">
        <v>0</v>
      </c>
      <c r="O4031">
        <v>-0.19071759999999999</v>
      </c>
      <c r="P4031">
        <v>-0.97572490000000001</v>
      </c>
      <c r="Q4031">
        <v>5.5849559999999999E-2</v>
      </c>
      <c r="R4031">
        <v>-0.21175910000000001</v>
      </c>
      <c r="S4031">
        <v>-2.761047</v>
      </c>
      <c r="T4031">
        <v>-0.29974060000000002</v>
      </c>
      <c r="U4031">
        <v>-1.5497890000000001</v>
      </c>
      <c r="V4031">
        <v>-2.2190999999999999E-2</v>
      </c>
      <c r="W4031">
        <v>6.9526149999999995E-2</v>
      </c>
      <c r="X4031">
        <v>0.99733329999999998</v>
      </c>
      <c r="Y4031">
        <v>-0.31361450000000002</v>
      </c>
      <c r="Z4031">
        <v>3.1004890000000001E-3</v>
      </c>
      <c r="AA4031">
        <v>0.94954530000000004</v>
      </c>
      <c r="AB4031">
        <v>23</v>
      </c>
      <c r="AC4031">
        <v>-10.013599999999901</v>
      </c>
      <c r="AD4031">
        <v>-1.112705166042</v>
      </c>
      <c r="AE4031">
        <v>-5.7032000000000096</v>
      </c>
      <c r="AF4031">
        <v>-3.65447306653089</v>
      </c>
      <c r="AG4031">
        <v>-1.112705166042</v>
      </c>
      <c r="AH4031">
        <v>10.816722255393801</v>
      </c>
      <c r="AI4031">
        <v>95.566302460962604</v>
      </c>
      <c r="AJ4031">
        <v>108.667746312568</v>
      </c>
      <c r="AK4031">
        <v>11.471476214109</v>
      </c>
      <c r="AL4031">
        <v>86.013228770969405</v>
      </c>
      <c r="AM4031">
        <v>91.274639965714101</v>
      </c>
      <c r="AN4031">
        <v>1.0000000186518501</v>
      </c>
    </row>
    <row r="4032" spans="1:40" x14ac:dyDescent="0.25">
      <c r="A4032" t="str">
        <f>"20190312154638757"</f>
        <v>20190312154638757</v>
      </c>
      <c r="B4032" t="str">
        <f>"1552376798752119"</f>
        <v>1552376798752119</v>
      </c>
      <c r="C4032" t="s">
        <v>40</v>
      </c>
      <c r="D4032">
        <v>4.5693979999999996</v>
      </c>
      <c r="E4032">
        <v>0.3835693</v>
      </c>
      <c r="F4032" t="s">
        <v>52</v>
      </c>
      <c r="G4032">
        <v>-402.30970000000002</v>
      </c>
      <c r="H4032" s="1">
        <v>-3.2005059999999998E-6</v>
      </c>
      <c r="I4032">
        <v>133.03870000000001</v>
      </c>
      <c r="J4032">
        <v>-392.43310000000002</v>
      </c>
      <c r="K4032">
        <v>1.1127119999999999</v>
      </c>
      <c r="L4032">
        <v>138.72020000000001</v>
      </c>
      <c r="M4032">
        <v>-0.98076059999999998</v>
      </c>
      <c r="N4032">
        <v>0</v>
      </c>
      <c r="O4032">
        <v>-0.1947229</v>
      </c>
      <c r="P4032">
        <v>-0.97464819999999996</v>
      </c>
      <c r="Q4032">
        <v>5.4248560000000001E-2</v>
      </c>
      <c r="R4032">
        <v>-0.2170666</v>
      </c>
      <c r="S4032">
        <v>-2.7530209999999999</v>
      </c>
      <c r="T4032">
        <v>-0.30334879999999997</v>
      </c>
      <c r="U4032">
        <v>-1.5619350000000001</v>
      </c>
      <c r="V4032">
        <v>-2.352423E-2</v>
      </c>
      <c r="W4032">
        <v>6.7917320000000003E-2</v>
      </c>
      <c r="X4032">
        <v>0.99741360000000001</v>
      </c>
      <c r="Y4032">
        <v>-0.31409609999999999</v>
      </c>
      <c r="Z4032">
        <v>3.5093519999999999E-3</v>
      </c>
      <c r="AA4032">
        <v>0.94938469999999997</v>
      </c>
      <c r="AB4032">
        <v>23</v>
      </c>
      <c r="AC4032">
        <v>-9.8765999999999892</v>
      </c>
      <c r="AD4032">
        <v>-1.1127152005059999</v>
      </c>
      <c r="AE4032">
        <v>-5.6814999999999998</v>
      </c>
      <c r="AF4032">
        <v>-3.6148664735063298</v>
      </c>
      <c r="AG4032">
        <v>-1.1127152005059999</v>
      </c>
      <c r="AH4032">
        <v>10.6919651366188</v>
      </c>
      <c r="AI4032">
        <v>95.630483599705499</v>
      </c>
      <c r="AJ4032">
        <v>108.679977129996</v>
      </c>
      <c r="AK4032">
        <v>11.3412306749042</v>
      </c>
      <c r="AL4032">
        <v>86.105626396216493</v>
      </c>
      <c r="AM4032">
        <v>91.351083703841496</v>
      </c>
      <c r="AN4032">
        <v>1.0000000206090101</v>
      </c>
    </row>
    <row r="4033" spans="1:40" x14ac:dyDescent="0.25">
      <c r="A4033" t="str">
        <f>"20190312154638781"</f>
        <v>20190312154638781</v>
      </c>
      <c r="B4033" t="str">
        <f>"1552376798771639"</f>
        <v>1552376798771639</v>
      </c>
      <c r="C4033" t="s">
        <v>40</v>
      </c>
      <c r="D4033">
        <v>4.592867</v>
      </c>
      <c r="E4033">
        <v>0.38374560000000002</v>
      </c>
      <c r="F4033" t="s">
        <v>52</v>
      </c>
      <c r="G4033">
        <v>-402.28089999999997</v>
      </c>
      <c r="H4033" s="1">
        <v>-3.2002910000000001E-6</v>
      </c>
      <c r="I4033">
        <v>133.0692</v>
      </c>
      <c r="J4033">
        <v>-392.66239999999999</v>
      </c>
      <c r="K4033">
        <v>1.112733</v>
      </c>
      <c r="L4033">
        <v>138.66970000000001</v>
      </c>
      <c r="M4033">
        <v>-0.9799175</v>
      </c>
      <c r="N4033">
        <v>0</v>
      </c>
      <c r="O4033">
        <v>-0.19892290000000001</v>
      </c>
      <c r="P4033">
        <v>-0.97356609999999999</v>
      </c>
      <c r="Q4033">
        <v>5.2252100000000003E-2</v>
      </c>
      <c r="R4033">
        <v>-0.22234899999999999</v>
      </c>
      <c r="S4033">
        <v>-2.7445680000000001</v>
      </c>
      <c r="T4033">
        <v>-0.31011100000000003</v>
      </c>
      <c r="U4033">
        <v>-1.574905</v>
      </c>
      <c r="V4033">
        <v>-2.4631400000000001E-2</v>
      </c>
      <c r="W4033">
        <v>6.5914799999999996E-2</v>
      </c>
      <c r="X4033">
        <v>0.9975212</v>
      </c>
      <c r="Y4033">
        <v>-0.31465690000000002</v>
      </c>
      <c r="Z4033">
        <v>3.9831429999999998E-3</v>
      </c>
      <c r="AA4033">
        <v>0.94919710000000002</v>
      </c>
      <c r="AB4033">
        <v>23</v>
      </c>
      <c r="AC4033">
        <v>-9.6184999999999796</v>
      </c>
      <c r="AD4033">
        <v>-1.112736200291</v>
      </c>
      <c r="AE4033">
        <v>-5.60050000000001</v>
      </c>
      <c r="AF4033">
        <v>-3.53965161629865</v>
      </c>
      <c r="AG4033">
        <v>-1.112736200291</v>
      </c>
      <c r="AH4033">
        <v>10.4361047881389</v>
      </c>
      <c r="AI4033">
        <v>95.765831373473603</v>
      </c>
      <c r="AJ4033">
        <v>108.735581595185</v>
      </c>
      <c r="AK4033">
        <v>11.076082275119701</v>
      </c>
      <c r="AL4033">
        <v>86.220620046807198</v>
      </c>
      <c r="AM4033">
        <v>91.414494788180406</v>
      </c>
      <c r="AN4033">
        <v>1.00000000558722</v>
      </c>
    </row>
    <row r="4034" spans="1:40" x14ac:dyDescent="0.25">
      <c r="A4034" t="str">
        <f>"20190312154638800"</f>
        <v>20190312154638800</v>
      </c>
      <c r="B4034" t="str">
        <f>"1552376798792136"</f>
        <v>1552376798792136</v>
      </c>
      <c r="C4034" t="s">
        <v>40</v>
      </c>
      <c r="D4034">
        <v>4.5927249999999997</v>
      </c>
      <c r="E4034">
        <v>0.38386579999999998</v>
      </c>
      <c r="F4034" t="s">
        <v>52</v>
      </c>
      <c r="G4034">
        <v>-402.23439999999999</v>
      </c>
      <c r="H4034" s="1">
        <v>-3.1981229999999999E-6</v>
      </c>
      <c r="I4034">
        <v>133.11519999999999</v>
      </c>
      <c r="J4034">
        <v>-392.85140000000001</v>
      </c>
      <c r="K4034">
        <v>1.112757</v>
      </c>
      <c r="L4034">
        <v>138.62710000000001</v>
      </c>
      <c r="M4034">
        <v>-0.9791957</v>
      </c>
      <c r="N4034">
        <v>0</v>
      </c>
      <c r="O4034">
        <v>-0.20244529999999999</v>
      </c>
      <c r="P4034">
        <v>-0.97259709999999999</v>
      </c>
      <c r="Q4034">
        <v>5.0133749999999998E-2</v>
      </c>
      <c r="R4034">
        <v>-0.22702749999999999</v>
      </c>
      <c r="S4034">
        <v>-2.7359619999999998</v>
      </c>
      <c r="T4034">
        <v>-0.31805470000000002</v>
      </c>
      <c r="U4034">
        <v>-1.587631</v>
      </c>
      <c r="V4034">
        <v>-2.581077E-2</v>
      </c>
      <c r="W4034">
        <v>6.3790199999999894E-2</v>
      </c>
      <c r="X4034">
        <v>0.99762949999999995</v>
      </c>
      <c r="Y4034">
        <v>-0.31582329999999997</v>
      </c>
      <c r="Z4034">
        <v>4.3891219999999996E-3</v>
      </c>
      <c r="AA4034">
        <v>0.94880790000000004</v>
      </c>
      <c r="AB4034">
        <v>23</v>
      </c>
      <c r="AC4034">
        <v>-9.3829999999999796</v>
      </c>
      <c r="AD4034">
        <v>-1.112760198123</v>
      </c>
      <c r="AE4034">
        <v>-5.5119000000000202</v>
      </c>
      <c r="AF4034">
        <v>-3.4618224665534001</v>
      </c>
      <c r="AG4034">
        <v>-1.112760198123</v>
      </c>
      <c r="AH4034">
        <v>10.198007271015999</v>
      </c>
      <c r="AI4034">
        <v>95.899124821275393</v>
      </c>
      <c r="AJ4034">
        <v>108.750329808144</v>
      </c>
      <c r="AK4034">
        <v>10.8269017889771</v>
      </c>
      <c r="AL4034">
        <v>86.342607471299701</v>
      </c>
      <c r="AM4034">
        <v>91.482031511795199</v>
      </c>
      <c r="AN4034">
        <v>1.00000000236714</v>
      </c>
    </row>
    <row r="4035" spans="1:40" x14ac:dyDescent="0.25">
      <c r="A4035" t="str">
        <f>"20190312154638823"</f>
        <v>20190312154638823</v>
      </c>
      <c r="B4035" t="str">
        <f>"1552376798811656"</f>
        <v>1552376798811656</v>
      </c>
      <c r="C4035" t="s">
        <v>40</v>
      </c>
      <c r="D4035">
        <v>4.5723599999999998</v>
      </c>
      <c r="E4035">
        <v>0.39136140000000003</v>
      </c>
      <c r="F4035" t="s">
        <v>52</v>
      </c>
      <c r="G4035">
        <v>-402.17570000000001</v>
      </c>
      <c r="H4035" s="1">
        <v>-3.1892019999999999E-6</v>
      </c>
      <c r="I4035">
        <v>133.16149999999999</v>
      </c>
      <c r="J4035">
        <v>-393.07589999999999</v>
      </c>
      <c r="K4035">
        <v>1.1128009999999999</v>
      </c>
      <c r="L4035">
        <v>138.57570000000001</v>
      </c>
      <c r="M4035">
        <v>-0.97830459999999997</v>
      </c>
      <c r="N4035">
        <v>0</v>
      </c>
      <c r="O4035">
        <v>-0.20670930000000001</v>
      </c>
      <c r="P4035">
        <v>-0.97144909999999995</v>
      </c>
      <c r="Q4035">
        <v>4.7122850000000001E-2</v>
      </c>
      <c r="R4035">
        <v>-0.23252210000000001</v>
      </c>
      <c r="S4035">
        <v>-2.7280579999999999</v>
      </c>
      <c r="T4035">
        <v>-0.32556800000000002</v>
      </c>
      <c r="U4035">
        <v>-1.599121</v>
      </c>
      <c r="V4035">
        <v>-2.706269E-2</v>
      </c>
      <c r="W4035">
        <v>6.0771499999999999E-2</v>
      </c>
      <c r="X4035">
        <v>0.99778480000000003</v>
      </c>
      <c r="Y4035">
        <v>-0.31585590000000002</v>
      </c>
      <c r="Z4035">
        <v>4.944665E-3</v>
      </c>
      <c r="AA4035">
        <v>0.94879429999999998</v>
      </c>
      <c r="AB4035">
        <v>23</v>
      </c>
      <c r="AC4035">
        <v>-9.0998000000000108</v>
      </c>
      <c r="AD4035">
        <v>-1.112804189202</v>
      </c>
      <c r="AE4035">
        <v>-5.4142000000000197</v>
      </c>
      <c r="AF4035">
        <v>-3.3787332031398201</v>
      </c>
      <c r="AG4035">
        <v>-1.112804189202</v>
      </c>
      <c r="AH4035">
        <v>9.9130142954251408</v>
      </c>
      <c r="AI4035">
        <v>96.065182840939201</v>
      </c>
      <c r="AJ4035">
        <v>108.821067230301</v>
      </c>
      <c r="AK4035">
        <v>10.531952508571599</v>
      </c>
      <c r="AL4035">
        <v>86.515902848097099</v>
      </c>
      <c r="AM4035">
        <v>91.553639484343506</v>
      </c>
      <c r="AN4035">
        <v>1.0000000357566601</v>
      </c>
    </row>
    <row r="4036" spans="1:40" x14ac:dyDescent="0.25">
      <c r="A4036" t="str">
        <f>"20190312154638844"</f>
        <v>20190312154638844</v>
      </c>
      <c r="B4036" t="str">
        <f>"1552376798841911"</f>
        <v>1552376798841911</v>
      </c>
      <c r="C4036" t="s">
        <v>40</v>
      </c>
      <c r="D4036">
        <v>4.5679749999999997</v>
      </c>
      <c r="E4036">
        <v>0.39189560000000001</v>
      </c>
      <c r="F4036" t="s">
        <v>52</v>
      </c>
      <c r="G4036">
        <v>-401.91269999999997</v>
      </c>
      <c r="H4036" s="1">
        <v>-3.2419470000000001E-6</v>
      </c>
      <c r="I4036">
        <v>133.5437</v>
      </c>
      <c r="J4036">
        <v>-393.28579999999999</v>
      </c>
      <c r="K4036">
        <v>1.1128439999999999</v>
      </c>
      <c r="L4036">
        <v>138.5264</v>
      </c>
      <c r="M4036">
        <v>-0.97743000000000002</v>
      </c>
      <c r="N4036">
        <v>0</v>
      </c>
      <c r="O4036">
        <v>-0.21080499999999999</v>
      </c>
      <c r="P4036">
        <v>-0.97022900000000001</v>
      </c>
      <c r="Q4036">
        <v>4.284926E-2</v>
      </c>
      <c r="R4036">
        <v>-0.23836889999999999</v>
      </c>
      <c r="S4036">
        <v>-2.7324220000000001</v>
      </c>
      <c r="T4036">
        <v>-0.34408939999999999</v>
      </c>
      <c r="U4036">
        <v>-1.5559229999999999</v>
      </c>
      <c r="V4036">
        <v>-2.883411E-2</v>
      </c>
      <c r="W4036">
        <v>5.6488299999999998E-2</v>
      </c>
      <c r="X4036">
        <v>0.99798679999999995</v>
      </c>
      <c r="Y4036">
        <v>-0.29997089999999998</v>
      </c>
      <c r="Z4036">
        <v>6.6285390000000001E-3</v>
      </c>
      <c r="AA4036">
        <v>0.95392529999999998</v>
      </c>
      <c r="AB4036">
        <v>23</v>
      </c>
      <c r="AC4036">
        <v>-8.6268999999999707</v>
      </c>
      <c r="AD4036">
        <v>-1.1128472419469999</v>
      </c>
      <c r="AE4036">
        <v>-4.9826999999999897</v>
      </c>
      <c r="AF4036">
        <v>-3.0143274420607602</v>
      </c>
      <c r="AG4036">
        <v>-1.1128472419469999</v>
      </c>
      <c r="AH4036">
        <v>9.3666041947250207</v>
      </c>
      <c r="AI4036">
        <v>96.452609359399304</v>
      </c>
      <c r="AJ4036">
        <v>107.839030099067</v>
      </c>
      <c r="AK4036">
        <v>9.9024175357591293</v>
      </c>
      <c r="AL4036">
        <v>86.761735058953803</v>
      </c>
      <c r="AM4036">
        <v>91.654945077799098</v>
      </c>
      <c r="AN4036">
        <v>0.99999999345531099</v>
      </c>
    </row>
    <row r="4037" spans="1:40" x14ac:dyDescent="0.25">
      <c r="A4037" t="str">
        <f>"20190312154638867"</f>
        <v>20190312154638867</v>
      </c>
      <c r="B4037" t="str">
        <f>"1552376798861435"</f>
        <v>1552376798861435</v>
      </c>
      <c r="C4037" t="s">
        <v>40</v>
      </c>
      <c r="D4037">
        <v>4.5825709999999997</v>
      </c>
      <c r="E4037">
        <v>0.39230090000000001</v>
      </c>
      <c r="F4037" t="s">
        <v>52</v>
      </c>
      <c r="G4037">
        <v>-401.85579999999999</v>
      </c>
      <c r="H4037" s="1">
        <v>-3.2369739999999998E-6</v>
      </c>
      <c r="I4037">
        <v>133.59559999999999</v>
      </c>
      <c r="J4037">
        <v>-393.5059</v>
      </c>
      <c r="K4037">
        <v>1.112897</v>
      </c>
      <c r="L4037">
        <v>138.4736</v>
      </c>
      <c r="M4037">
        <v>-0.97646520000000003</v>
      </c>
      <c r="N4037">
        <v>0</v>
      </c>
      <c r="O4037">
        <v>-0.21523020000000001</v>
      </c>
      <c r="P4037">
        <v>-0.96888929999999995</v>
      </c>
      <c r="Q4037">
        <v>3.831992E-2</v>
      </c>
      <c r="R4037">
        <v>-0.24451020000000001</v>
      </c>
      <c r="S4037">
        <v>-2.7227779999999999</v>
      </c>
      <c r="T4037">
        <v>-0.35356270000000001</v>
      </c>
      <c r="U4037">
        <v>-1.566589</v>
      </c>
      <c r="V4037">
        <v>-3.0575709999999999E-2</v>
      </c>
      <c r="W4037">
        <v>5.1948349999999997E-2</v>
      </c>
      <c r="X4037">
        <v>0.9981816</v>
      </c>
      <c r="Y4037">
        <v>-0.29991010000000001</v>
      </c>
      <c r="Z4037">
        <v>7.3331780000000001E-3</v>
      </c>
      <c r="AA4037">
        <v>0.95393930000000005</v>
      </c>
      <c r="AB4037">
        <v>23</v>
      </c>
      <c r="AC4037">
        <v>-8.3498999999999892</v>
      </c>
      <c r="AD4037">
        <v>-1.112900236974</v>
      </c>
      <c r="AE4037">
        <v>-4.8780000000000099</v>
      </c>
      <c r="AF4037">
        <v>-2.9275575475921598</v>
      </c>
      <c r="AG4037">
        <v>-1.112900236974</v>
      </c>
      <c r="AH4037">
        <v>9.0838528730139902</v>
      </c>
      <c r="AI4037">
        <v>96.651104948674302</v>
      </c>
      <c r="AJ4037">
        <v>107.86316987754201</v>
      </c>
      <c r="AK4037">
        <v>9.6086171299768797</v>
      </c>
      <c r="AL4037">
        <v>87.022238470968006</v>
      </c>
      <c r="AM4037">
        <v>91.754501919774697</v>
      </c>
      <c r="AN4037">
        <v>1.0000000058441401</v>
      </c>
    </row>
    <row r="4038" spans="1:40" x14ac:dyDescent="0.25">
      <c r="A4038" t="str">
        <f>"20190312154638889"</f>
        <v>20190312154638889</v>
      </c>
      <c r="B4038" t="str">
        <f>"1552376798881927"</f>
        <v>1552376798881927</v>
      </c>
      <c r="C4038" t="s">
        <v>40</v>
      </c>
      <c r="D4038">
        <v>4.538621</v>
      </c>
      <c r="E4038">
        <v>0.39244230000000002</v>
      </c>
      <c r="F4038" t="s">
        <v>52</v>
      </c>
      <c r="G4038">
        <v>-401.87880000000001</v>
      </c>
      <c r="H4038" s="1">
        <v>-3.2509160000000001E-6</v>
      </c>
      <c r="I4038">
        <v>133.59710000000001</v>
      </c>
      <c r="J4038">
        <v>-393.72370000000001</v>
      </c>
      <c r="K4038">
        <v>1.1129549999999999</v>
      </c>
      <c r="L4038">
        <v>138.42019999999999</v>
      </c>
      <c r="M4038">
        <v>-0.975464</v>
      </c>
      <c r="N4038">
        <v>0</v>
      </c>
      <c r="O4038">
        <v>-0.2197231</v>
      </c>
      <c r="P4038">
        <v>-0.96725989999999995</v>
      </c>
      <c r="Q4038">
        <v>3.453407E-2</v>
      </c>
      <c r="R4038">
        <v>-0.25142740000000002</v>
      </c>
      <c r="S4038">
        <v>-2.7119749999999998</v>
      </c>
      <c r="T4038">
        <v>-0.3604696</v>
      </c>
      <c r="U4038">
        <v>-1.5794979999999901</v>
      </c>
      <c r="V4038">
        <v>-3.306601E-2</v>
      </c>
      <c r="W4038">
        <v>4.8145569999999999E-2</v>
      </c>
      <c r="X4038">
        <v>0.99829290000000004</v>
      </c>
      <c r="Y4038">
        <v>-0.30055880000000001</v>
      </c>
      <c r="Z4038">
        <v>7.9753569999999902E-3</v>
      </c>
      <c r="AA4038">
        <v>0.95372990000000002</v>
      </c>
      <c r="AB4038">
        <v>23</v>
      </c>
      <c r="AC4038">
        <v>-8.1550999999999991</v>
      </c>
      <c r="AD4038">
        <v>-1.1129582509160001</v>
      </c>
      <c r="AE4038">
        <v>-4.8230999999999797</v>
      </c>
      <c r="AF4038">
        <v>-2.8735251180471399</v>
      </c>
      <c r="AG4038">
        <v>-1.1129582509160001</v>
      </c>
      <c r="AH4038">
        <v>8.8929072665498907</v>
      </c>
      <c r="AI4038">
        <v>96.791285717706103</v>
      </c>
      <c r="AJ4038">
        <v>107.906967732844</v>
      </c>
      <c r="AK4038">
        <v>9.4116747884627703</v>
      </c>
      <c r="AL4038">
        <v>87.240395308487393</v>
      </c>
      <c r="AM4038">
        <v>91.897088958057395</v>
      </c>
      <c r="AN4038">
        <v>1.0000000355591701</v>
      </c>
    </row>
    <row r="4039" spans="1:40" x14ac:dyDescent="0.25">
      <c r="A4039" t="str">
        <f>"20190312154638913"</f>
        <v>20190312154638913</v>
      </c>
      <c r="B4039" t="str">
        <f>"1552376798901448"</f>
        <v>1552376798901448</v>
      </c>
      <c r="C4039" t="s">
        <v>40</v>
      </c>
      <c r="D4039">
        <v>4.5665389999999997</v>
      </c>
      <c r="E4039">
        <v>0.39075379999999998</v>
      </c>
      <c r="F4039" t="s">
        <v>52</v>
      </c>
      <c r="G4039">
        <v>-401.97680000000003</v>
      </c>
      <c r="H4039" s="1">
        <v>-3.2741519999999999E-6</v>
      </c>
      <c r="I4039">
        <v>133.53559999999999</v>
      </c>
      <c r="J4039">
        <v>-393.94850000000002</v>
      </c>
      <c r="K4039">
        <v>1.1130249999999999</v>
      </c>
      <c r="L4039">
        <v>138.36369999999999</v>
      </c>
      <c r="M4039">
        <v>-0.97437700000000005</v>
      </c>
      <c r="N4039">
        <v>0</v>
      </c>
      <c r="O4039">
        <v>-0.22449340000000001</v>
      </c>
      <c r="P4039">
        <v>-0.96521880000000004</v>
      </c>
      <c r="Q4039">
        <v>3.3782489999999998E-2</v>
      </c>
      <c r="R4039">
        <v>-0.25925189999999998</v>
      </c>
      <c r="S4039">
        <v>-2.6992799999999999</v>
      </c>
      <c r="T4039">
        <v>-0.36400660000000001</v>
      </c>
      <c r="U4039">
        <v>-1.5975649999999999</v>
      </c>
      <c r="V4039">
        <v>-3.6264619999999997E-2</v>
      </c>
      <c r="W4039">
        <v>4.7369700000000001E-2</v>
      </c>
      <c r="X4039">
        <v>0.99821890000000002</v>
      </c>
      <c r="Y4039">
        <v>-0.30258699999999999</v>
      </c>
      <c r="Z4039">
        <v>8.5059980000000007E-3</v>
      </c>
      <c r="AA4039">
        <v>0.95308380000000004</v>
      </c>
      <c r="AB4039">
        <v>23</v>
      </c>
      <c r="AC4039">
        <v>-8.0282999999999998</v>
      </c>
      <c r="AD4039">
        <v>-1.1130282741519999</v>
      </c>
      <c r="AE4039">
        <v>-4.8281000000000001</v>
      </c>
      <c r="AF4039">
        <v>-2.8619700822701599</v>
      </c>
      <c r="AG4039">
        <v>-1.1130282741519999</v>
      </c>
      <c r="AH4039">
        <v>8.7833424015065802</v>
      </c>
      <c r="AI4039">
        <v>96.870197850724594</v>
      </c>
      <c r="AJ4039">
        <v>108.047715561926</v>
      </c>
      <c r="AK4039">
        <v>9.3046659495639403</v>
      </c>
      <c r="AL4039">
        <v>87.284900047515904</v>
      </c>
      <c r="AM4039">
        <v>92.0806020435964</v>
      </c>
      <c r="AN4039">
        <v>0.99999999172952203</v>
      </c>
    </row>
    <row r="4040" spans="1:40" x14ac:dyDescent="0.25">
      <c r="A4040" t="str">
        <f>"20190312154638937"</f>
        <v>20190312154638937</v>
      </c>
      <c r="B4040" t="str">
        <f>"1552376798931704"</f>
        <v>1552376798931704</v>
      </c>
      <c r="C4040" t="s">
        <v>40</v>
      </c>
      <c r="D4040">
        <v>4.5718550000000002</v>
      </c>
      <c r="E4040">
        <v>0.38901229999999998</v>
      </c>
      <c r="F4040" t="s">
        <v>52</v>
      </c>
      <c r="G4040">
        <v>-402.25220000000002</v>
      </c>
      <c r="H4040" s="1">
        <v>-3.3098879999999999E-6</v>
      </c>
      <c r="I4040">
        <v>133.30690000000001</v>
      </c>
      <c r="J4040">
        <v>-394.1823</v>
      </c>
      <c r="K4040">
        <v>1.113105</v>
      </c>
      <c r="L4040">
        <v>138.30369999999999</v>
      </c>
      <c r="M4040">
        <v>-0.97318150000000003</v>
      </c>
      <c r="N4040">
        <v>0</v>
      </c>
      <c r="O4040">
        <v>-0.22961989999999999</v>
      </c>
      <c r="P4040">
        <v>-0.96309350000000005</v>
      </c>
      <c r="Q4040">
        <v>3.3290029999999998E-2</v>
      </c>
      <c r="R4040">
        <v>-0.26710030000000001</v>
      </c>
      <c r="S4040">
        <v>-2.6819760000000001</v>
      </c>
      <c r="T4040">
        <v>-0.35949249999999999</v>
      </c>
      <c r="U4040">
        <v>-1.6333009999999999</v>
      </c>
      <c r="V4040">
        <v>-3.9138489999999998E-2</v>
      </c>
      <c r="W4040">
        <v>4.6853850000000002E-2</v>
      </c>
      <c r="X4040">
        <v>0.99813470000000004</v>
      </c>
      <c r="Y4040">
        <v>-0.3095714</v>
      </c>
      <c r="Z4040">
        <v>8.5804929999999998E-3</v>
      </c>
      <c r="AA4040">
        <v>0.9508375</v>
      </c>
      <c r="AB4040">
        <v>23</v>
      </c>
      <c r="AC4040">
        <v>-8.0699000000000094</v>
      </c>
      <c r="AD4040">
        <v>-1.1131083098879999</v>
      </c>
      <c r="AE4040">
        <v>-4.9967999999999702</v>
      </c>
      <c r="AF4040">
        <v>-2.9692379567403901</v>
      </c>
      <c r="AG4040">
        <v>-1.1131083098879999</v>
      </c>
      <c r="AH4040">
        <v>8.8795889619003692</v>
      </c>
      <c r="AI4040">
        <v>96.779803051780803</v>
      </c>
      <c r="AJ4040">
        <v>108.489374579398</v>
      </c>
      <c r="AK4040">
        <v>9.4288113930437998</v>
      </c>
      <c r="AL4040">
        <v>87.314488931474699</v>
      </c>
      <c r="AM4040">
        <v>92.245510598615297</v>
      </c>
      <c r="AN4040">
        <v>0.99999999200169598</v>
      </c>
    </row>
    <row r="4041" spans="1:40" x14ac:dyDescent="0.25">
      <c r="A4041" t="str">
        <f>"20190312154638958"</f>
        <v>20190312154638958</v>
      </c>
      <c r="B4041" t="str">
        <f>"1552376798951223"</f>
        <v>1552376798951223</v>
      </c>
      <c r="C4041" t="s">
        <v>40</v>
      </c>
      <c r="D4041">
        <v>4.6936239999999998</v>
      </c>
      <c r="E4041">
        <v>0.38850210000000002</v>
      </c>
      <c r="F4041" t="s">
        <v>52</v>
      </c>
      <c r="G4041">
        <v>-402.72179999999997</v>
      </c>
      <c r="H4041" s="1">
        <v>-3.3906070000000002E-6</v>
      </c>
      <c r="I4041">
        <v>132.95410000000001</v>
      </c>
      <c r="J4041">
        <v>-394.38479999999998</v>
      </c>
      <c r="K4041">
        <v>1.113184</v>
      </c>
      <c r="L4041">
        <v>138.25040000000001</v>
      </c>
      <c r="M4041">
        <v>-0.97208570000000005</v>
      </c>
      <c r="N4041">
        <v>0</v>
      </c>
      <c r="O4041">
        <v>-0.23421600000000001</v>
      </c>
      <c r="P4041">
        <v>-0.96130689999999996</v>
      </c>
      <c r="Q4041">
        <v>3.2479790000000001E-2</v>
      </c>
      <c r="R4041">
        <v>-0.27355859999999999</v>
      </c>
      <c r="S4041">
        <v>-2.6641240000000002</v>
      </c>
      <c r="T4041">
        <v>-0.34726099999999999</v>
      </c>
      <c r="U4041">
        <v>-1.66893</v>
      </c>
      <c r="V4041">
        <v>-4.1119929999999999E-2</v>
      </c>
      <c r="W4041">
        <v>4.6026959999999999E-2</v>
      </c>
      <c r="X4041">
        <v>0.99809349999999997</v>
      </c>
      <c r="Y4041">
        <v>-0.31709880000000001</v>
      </c>
      <c r="Z4041">
        <v>8.3711589999999995E-3</v>
      </c>
      <c r="AA4041">
        <v>0.94835559999999997</v>
      </c>
      <c r="AB4041">
        <v>23</v>
      </c>
      <c r="AC4041">
        <v>-8.3369999999999802</v>
      </c>
      <c r="AD4041">
        <v>-1.113187390607</v>
      </c>
      <c r="AE4041">
        <v>-5.2962999999999996</v>
      </c>
      <c r="AF4041">
        <v>-3.1560174030335899</v>
      </c>
      <c r="AG4041">
        <v>-1.113187390607</v>
      </c>
      <c r="AH4041">
        <v>9.2284331632532695</v>
      </c>
      <c r="AI4041">
        <v>96.511328393657706</v>
      </c>
      <c r="AJ4041">
        <v>108.880094658538</v>
      </c>
      <c r="AK4041">
        <v>9.8164968631121194</v>
      </c>
      <c r="AL4041">
        <v>87.361917386878801</v>
      </c>
      <c r="AM4041">
        <v>92.359164589344999</v>
      </c>
      <c r="AN4041">
        <v>0.99999998221614805</v>
      </c>
    </row>
    <row r="4042" spans="1:40" x14ac:dyDescent="0.25">
      <c r="A4042" t="str">
        <f>"20190312154638981"</f>
        <v>20190312154638981</v>
      </c>
      <c r="B4042" t="str">
        <f>"1552376798971719"</f>
        <v>1552376798971719</v>
      </c>
      <c r="C4042" t="s">
        <v>40</v>
      </c>
      <c r="D4042">
        <v>4.5387130000000004</v>
      </c>
      <c r="E4042">
        <v>0.38823340000000001</v>
      </c>
      <c r="F4042" t="s">
        <v>52</v>
      </c>
      <c r="G4042">
        <v>-402.98899999999998</v>
      </c>
      <c r="H4042" s="1">
        <v>-3.4416179999999999E-6</v>
      </c>
      <c r="I4042">
        <v>132.76310000000001</v>
      </c>
      <c r="J4042">
        <v>-394.61</v>
      </c>
      <c r="K4042">
        <v>1.1132850000000001</v>
      </c>
      <c r="L4042">
        <v>138.18979999999999</v>
      </c>
      <c r="M4042">
        <v>-0.97079519999999997</v>
      </c>
      <c r="N4042">
        <v>0</v>
      </c>
      <c r="O4042">
        <v>-0.23950750000000001</v>
      </c>
      <c r="P4042">
        <v>-0.95967639999999999</v>
      </c>
      <c r="Q4042">
        <v>3.1820769999999998E-2</v>
      </c>
      <c r="R4042">
        <v>-0.27930050000000001</v>
      </c>
      <c r="S4042">
        <v>-2.6511840000000002</v>
      </c>
      <c r="T4042">
        <v>-0.343003</v>
      </c>
      <c r="U4042">
        <v>-1.6907810000000001</v>
      </c>
      <c r="V4042">
        <v>-4.1651859999999999E-2</v>
      </c>
      <c r="W4042">
        <v>4.536246E-2</v>
      </c>
      <c r="X4042">
        <v>0.99810189999999999</v>
      </c>
      <c r="Y4042">
        <v>-0.3196157</v>
      </c>
      <c r="Z4042">
        <v>8.7216050000000003E-3</v>
      </c>
      <c r="AA4042">
        <v>0.94750710000000005</v>
      </c>
      <c r="AB4042">
        <v>23</v>
      </c>
      <c r="AC4042">
        <v>-8.3790000000000102</v>
      </c>
      <c r="AD4042">
        <v>-1.113288441618</v>
      </c>
      <c r="AE4042">
        <v>-5.4266999999999799</v>
      </c>
      <c r="AF4042">
        <v>-3.2216287033016799</v>
      </c>
      <c r="AG4042">
        <v>-1.113288441618</v>
      </c>
      <c r="AH4042">
        <v>9.3190390036594799</v>
      </c>
      <c r="AI4042">
        <v>96.441835325770896</v>
      </c>
      <c r="AJ4042">
        <v>109.07047043994</v>
      </c>
      <c r="AK4042">
        <v>9.9228418614782008</v>
      </c>
      <c r="AL4042">
        <v>87.400030333691106</v>
      </c>
      <c r="AM4042">
        <v>92.389627649815296</v>
      </c>
      <c r="AN4042">
        <v>1.00000001650116</v>
      </c>
    </row>
    <row r="4043" spans="1:40" x14ac:dyDescent="0.25">
      <c r="A4043" t="str">
        <f>"20190312154639006"</f>
        <v>20190312154639006</v>
      </c>
      <c r="B4043" t="str">
        <f>"1552376799001975"</f>
        <v>1552376799001975</v>
      </c>
      <c r="C4043" t="s">
        <v>40</v>
      </c>
      <c r="D4043">
        <v>4.5117070000000004</v>
      </c>
      <c r="E4043">
        <v>0.38796269999999999</v>
      </c>
      <c r="F4043" t="s">
        <v>52</v>
      </c>
      <c r="G4043">
        <v>-403.2527</v>
      </c>
      <c r="H4043" s="1">
        <v>-3.5023840000000001E-6</v>
      </c>
      <c r="I4043">
        <v>132.5942</v>
      </c>
      <c r="J4043">
        <v>-394.85050000000001</v>
      </c>
      <c r="K4043">
        <v>1.113426</v>
      </c>
      <c r="L4043">
        <v>138.1233</v>
      </c>
      <c r="M4043">
        <v>-0.9693233</v>
      </c>
      <c r="N4043">
        <v>0</v>
      </c>
      <c r="O4043">
        <v>-0.24539649999999999</v>
      </c>
      <c r="P4043">
        <v>-0.95797460000000001</v>
      </c>
      <c r="Q4043">
        <v>3.2074949999999998E-2</v>
      </c>
      <c r="R4043">
        <v>-0.28505540000000001</v>
      </c>
      <c r="S4043">
        <v>-2.6398929999999998</v>
      </c>
      <c r="T4043">
        <v>-0.34005210000000002</v>
      </c>
      <c r="U4043">
        <v>-1.7091829999999999</v>
      </c>
      <c r="V4043">
        <v>-4.1602350000000003E-2</v>
      </c>
      <c r="W4043">
        <v>4.5615879999999998E-2</v>
      </c>
      <c r="X4043">
        <v>0.99809239999999999</v>
      </c>
      <c r="Y4043">
        <v>-0.3204033</v>
      </c>
      <c r="Z4043">
        <v>9.2620640000000004E-3</v>
      </c>
      <c r="AA4043">
        <v>0.94723590000000002</v>
      </c>
      <c r="AB4043">
        <v>22</v>
      </c>
      <c r="AC4043">
        <v>-8.4021999999999899</v>
      </c>
      <c r="AD4043">
        <v>-1.113429502384</v>
      </c>
      <c r="AE4043">
        <v>-5.5290999999999997</v>
      </c>
      <c r="AF4043">
        <v>-3.2580090007554001</v>
      </c>
      <c r="AG4043">
        <v>-1.113429502384</v>
      </c>
      <c r="AH4043">
        <v>9.3871550729238695</v>
      </c>
      <c r="AI4043">
        <v>96.393602436933904</v>
      </c>
      <c r="AJ4043">
        <v>109.140403296334</v>
      </c>
      <c r="AK4043">
        <v>9.9986513224985796</v>
      </c>
      <c r="AL4043">
        <v>87.385495352054207</v>
      </c>
      <c r="AM4043">
        <v>92.386813167754596</v>
      </c>
      <c r="AN4043">
        <v>1.00000000148572</v>
      </c>
    </row>
    <row r="4044" spans="1:40" x14ac:dyDescent="0.25">
      <c r="A4044" t="str">
        <f>"20190312154639024"</f>
        <v>20190312154639024</v>
      </c>
      <c r="B4044" t="str">
        <f>"1552376799021496"</f>
        <v>1552376799021496</v>
      </c>
      <c r="C4044" t="s">
        <v>40</v>
      </c>
      <c r="D4044">
        <v>4.535228</v>
      </c>
      <c r="E4044">
        <v>0.38774710000000001</v>
      </c>
      <c r="F4044" t="s">
        <v>52</v>
      </c>
      <c r="G4044">
        <v>-403.66390000000001</v>
      </c>
      <c r="H4044" s="1">
        <v>-3.587916E-6</v>
      </c>
      <c r="I4044">
        <v>132.32820000000001</v>
      </c>
      <c r="J4044">
        <v>-395.0213</v>
      </c>
      <c r="K4044">
        <v>1.113532</v>
      </c>
      <c r="L4044">
        <v>138.07499999999999</v>
      </c>
      <c r="M4044">
        <v>-0.96821679999999999</v>
      </c>
      <c r="N4044">
        <v>0</v>
      </c>
      <c r="O4044">
        <v>-0.24972569999999999</v>
      </c>
      <c r="P4044">
        <v>-0.95671200000000001</v>
      </c>
      <c r="Q4044">
        <v>3.3714540000000001E-2</v>
      </c>
      <c r="R4044">
        <v>-0.28907729999999998</v>
      </c>
      <c r="S4044">
        <v>-2.6284480000000001</v>
      </c>
      <c r="T4044">
        <v>-0.33206020000000003</v>
      </c>
      <c r="U4044">
        <v>-1.7282869999999999</v>
      </c>
      <c r="V4044">
        <v>-4.1374080000000001E-2</v>
      </c>
      <c r="W4044">
        <v>4.7256329999999999E-2</v>
      </c>
      <c r="X4044">
        <v>0.99802550000000001</v>
      </c>
      <c r="Y4044">
        <v>-0.32290049999999998</v>
      </c>
      <c r="Z4044">
        <v>9.3799609999999992E-3</v>
      </c>
      <c r="AA4044">
        <v>0.94638639999999996</v>
      </c>
      <c r="AB4044">
        <v>22</v>
      </c>
      <c r="AC4044">
        <v>-8.6426000000000105</v>
      </c>
      <c r="AD4044">
        <v>-1.113535587916</v>
      </c>
      <c r="AE4044">
        <v>-5.7467999999999702</v>
      </c>
      <c r="AF4044">
        <v>-3.3674358423431801</v>
      </c>
      <c r="AG4044">
        <v>-1.113535587916</v>
      </c>
      <c r="AH4044">
        <v>9.6924129787520297</v>
      </c>
      <c r="AI4044">
        <v>96.193730838443699</v>
      </c>
      <c r="AJ4044">
        <v>109.158764933173</v>
      </c>
      <c r="AK4044">
        <v>10.3209716116523</v>
      </c>
      <c r="AL4044">
        <v>87.291402804095199</v>
      </c>
      <c r="AM4044">
        <v>92.373890800653498</v>
      </c>
      <c r="AN4044">
        <v>0.99999993693557998</v>
      </c>
    </row>
    <row r="4045" spans="1:40" x14ac:dyDescent="0.25">
      <c r="A4045" t="str">
        <f>"20190312154639045"</f>
        <v>20190312154639045</v>
      </c>
      <c r="B4045" t="str">
        <f>"1552376799041992"</f>
        <v>1552376799041992</v>
      </c>
      <c r="C4045" t="s">
        <v>40</v>
      </c>
      <c r="D4045">
        <v>4.5114470000000004</v>
      </c>
      <c r="E4045">
        <v>0.38767109999999999</v>
      </c>
      <c r="F4045" t="s">
        <v>52</v>
      </c>
      <c r="G4045">
        <v>-404.09469999999999</v>
      </c>
      <c r="H4045" s="1">
        <v>-3.6471920000000002E-6</v>
      </c>
      <c r="I4045">
        <v>132.04599999999999</v>
      </c>
      <c r="J4045">
        <v>-395.22379999999998</v>
      </c>
      <c r="K4045">
        <v>1.113645</v>
      </c>
      <c r="L4045">
        <v>138.0162</v>
      </c>
      <c r="M4045">
        <v>-0.9668369</v>
      </c>
      <c r="N4045">
        <v>0</v>
      </c>
      <c r="O4045">
        <v>-0.2550152</v>
      </c>
      <c r="P4045">
        <v>-0.95529140000000001</v>
      </c>
      <c r="Q4045">
        <v>3.6090400000000002E-2</v>
      </c>
      <c r="R4045">
        <v>-0.29345549999999998</v>
      </c>
      <c r="S4045">
        <v>-2.6208800000000001</v>
      </c>
      <c r="T4045">
        <v>-0.32164999999999999</v>
      </c>
      <c r="U4045">
        <v>-1.7414860000000001</v>
      </c>
      <c r="V4045">
        <v>-4.0543219999999998E-2</v>
      </c>
      <c r="W4045">
        <v>4.9639629999999997E-2</v>
      </c>
      <c r="X4045">
        <v>0.99794389999999999</v>
      </c>
      <c r="Y4045">
        <v>-0.32234790000000002</v>
      </c>
      <c r="Z4045">
        <v>9.6768080000000003E-3</v>
      </c>
      <c r="AA4045">
        <v>0.94657179999999996</v>
      </c>
      <c r="AB4045">
        <v>22</v>
      </c>
      <c r="AC4045">
        <v>-8.8709000000000007</v>
      </c>
      <c r="AD4045">
        <v>-1.113648647192</v>
      </c>
      <c r="AE4045">
        <v>-5.9702000000000002</v>
      </c>
      <c r="AF4045">
        <v>-3.4726669460322701</v>
      </c>
      <c r="AG4045">
        <v>-1.113648647192</v>
      </c>
      <c r="AH4045">
        <v>9.9918013746940204</v>
      </c>
      <c r="AI4045">
        <v>96.0099052312098</v>
      </c>
      <c r="AJ4045">
        <v>109.164979232379</v>
      </c>
      <c r="AK4045">
        <v>10.636527804636</v>
      </c>
      <c r="AL4045">
        <v>87.154689188609296</v>
      </c>
      <c r="AM4045">
        <v>92.326462058481795</v>
      </c>
      <c r="AN4045">
        <v>0.99999993655085495</v>
      </c>
    </row>
    <row r="4046" spans="1:40" x14ac:dyDescent="0.25">
      <c r="A4046" t="str">
        <f>"20190312154639068"</f>
        <v>20190312154639068</v>
      </c>
      <c r="B4046" t="str">
        <f>"1552376799062017"</f>
        <v>1552376799062017</v>
      </c>
      <c r="C4046" t="s">
        <v>40</v>
      </c>
      <c r="D4046">
        <v>4.5169990000000002</v>
      </c>
      <c r="E4046">
        <v>0.38765359999999999</v>
      </c>
      <c r="F4046" t="s">
        <v>52</v>
      </c>
      <c r="G4046">
        <v>-404.55399999999997</v>
      </c>
      <c r="H4046" s="1">
        <v>-3.7142579999999999E-6</v>
      </c>
      <c r="I4046">
        <v>131.7533</v>
      </c>
      <c r="J4046">
        <v>-395.44420000000002</v>
      </c>
      <c r="K4046">
        <v>1.1137520000000001</v>
      </c>
      <c r="L4046">
        <v>137.95079999999999</v>
      </c>
      <c r="M4046">
        <v>-0.96524980000000005</v>
      </c>
      <c r="N4046">
        <v>0</v>
      </c>
      <c r="O4046">
        <v>-0.2609571</v>
      </c>
      <c r="P4046">
        <v>-0.95384559999999996</v>
      </c>
      <c r="Q4046">
        <v>3.6497099999999998E-2</v>
      </c>
      <c r="R4046">
        <v>-0.29807070000000002</v>
      </c>
      <c r="S4046">
        <v>-2.6132810000000002</v>
      </c>
      <c r="T4046">
        <v>-0.31192049999999999</v>
      </c>
      <c r="U4046">
        <v>-1.7541659999999999</v>
      </c>
      <c r="V4046">
        <v>-3.9249930000000002E-2</v>
      </c>
      <c r="W4046">
        <v>5.0061099999999997E-2</v>
      </c>
      <c r="X4046">
        <v>0.99797460000000004</v>
      </c>
      <c r="Y4046">
        <v>-0.3210211</v>
      </c>
      <c r="Z4046">
        <v>1.006545E-2</v>
      </c>
      <c r="AA4046">
        <v>0.94701860000000004</v>
      </c>
      <c r="AB4046">
        <v>22</v>
      </c>
      <c r="AC4046">
        <v>-9.1097999999999999</v>
      </c>
      <c r="AD4046">
        <v>-1.1137557142579999</v>
      </c>
      <c r="AE4046">
        <v>-6.19749999999999</v>
      </c>
      <c r="AF4046">
        <v>-3.56875287276161</v>
      </c>
      <c r="AG4046">
        <v>-1.1137557142579999</v>
      </c>
      <c r="AH4046">
        <v>10.306215372796199</v>
      </c>
      <c r="AI4046">
        <v>95.830691888555904</v>
      </c>
      <c r="AJ4046">
        <v>109.099532477336</v>
      </c>
      <c r="AK4046">
        <v>10.9633263277323</v>
      </c>
      <c r="AL4046">
        <v>87.1305108169215</v>
      </c>
      <c r="AM4046">
        <v>92.252258612548601</v>
      </c>
      <c r="AN4046">
        <v>0.99999998649168698</v>
      </c>
    </row>
    <row r="4047" spans="1:40" x14ac:dyDescent="0.25">
      <c r="A4047" t="str">
        <f>"20190312154639091"</f>
        <v>20190312154639091</v>
      </c>
      <c r="B4047" t="str">
        <f>"1552376799081538"</f>
        <v>1552376799081538</v>
      </c>
      <c r="C4047" t="s">
        <v>40</v>
      </c>
      <c r="D4047">
        <v>4.484807</v>
      </c>
      <c r="E4047">
        <v>0.38778780000000002</v>
      </c>
      <c r="F4047" t="s">
        <v>52</v>
      </c>
      <c r="G4047">
        <v>-404.87880000000001</v>
      </c>
      <c r="H4047" s="1">
        <v>-3.7640179999999999E-6</v>
      </c>
      <c r="I4047">
        <v>131.5515</v>
      </c>
      <c r="J4047">
        <v>-395.65030000000002</v>
      </c>
      <c r="K4047">
        <v>1.1138479999999999</v>
      </c>
      <c r="L4047">
        <v>137.88810000000001</v>
      </c>
      <c r="M4047">
        <v>-0.96368220000000004</v>
      </c>
      <c r="N4047">
        <v>0</v>
      </c>
      <c r="O4047">
        <v>-0.26668740000000002</v>
      </c>
      <c r="P4047">
        <v>-0.95254419999999995</v>
      </c>
      <c r="Q4047">
        <v>3.5875549999999999E-2</v>
      </c>
      <c r="R4047">
        <v>-0.30227949999999998</v>
      </c>
      <c r="S4047">
        <v>-2.604797</v>
      </c>
      <c r="T4047">
        <v>-0.30749860000000001</v>
      </c>
      <c r="U4047">
        <v>-1.7667849999999901</v>
      </c>
      <c r="V4047">
        <v>-3.7724430000000003E-2</v>
      </c>
      <c r="W4047">
        <v>4.94577E-2</v>
      </c>
      <c r="X4047">
        <v>0.99806349999999999</v>
      </c>
      <c r="Y4047">
        <v>-0.320007599999999</v>
      </c>
      <c r="Z4047">
        <v>1.055858E-2</v>
      </c>
      <c r="AA4047">
        <v>0.94735619999999998</v>
      </c>
      <c r="AB4047">
        <v>22</v>
      </c>
      <c r="AC4047">
        <v>-9.2284999999999897</v>
      </c>
      <c r="AD4047">
        <v>-1.1138517640179999</v>
      </c>
      <c r="AE4047">
        <v>-6.3365999999999998</v>
      </c>
      <c r="AF4047">
        <v>-3.6099592401085498</v>
      </c>
      <c r="AG4047">
        <v>-1.1138517640179999</v>
      </c>
      <c r="AH4047">
        <v>10.4805029703404</v>
      </c>
      <c r="AI4047">
        <v>95.738083795811093</v>
      </c>
      <c r="AJ4047">
        <v>109.006024353116</v>
      </c>
      <c r="AK4047">
        <v>11.1406199997471</v>
      </c>
      <c r="AL4047">
        <v>87.165125934133201</v>
      </c>
      <c r="AM4047">
        <v>92.164613953543295</v>
      </c>
      <c r="AN4047">
        <v>0.99999997337018198</v>
      </c>
    </row>
    <row r="4048" spans="1:40" x14ac:dyDescent="0.25">
      <c r="A4048" t="str">
        <f>"20190312154639114"</f>
        <v>20190312154639114</v>
      </c>
      <c r="B4048" t="str">
        <f>"1552376799111795"</f>
        <v>1552376799111795</v>
      </c>
      <c r="C4048" t="s">
        <v>40</v>
      </c>
      <c r="D4048">
        <v>4.4764599999999897</v>
      </c>
      <c r="E4048">
        <v>0.38791569999999997</v>
      </c>
      <c r="F4048" t="s">
        <v>52</v>
      </c>
      <c r="G4048">
        <v>-405.14940000000001</v>
      </c>
      <c r="H4048" s="1">
        <v>-3.8525199999999997E-6</v>
      </c>
      <c r="I4048">
        <v>131.3861</v>
      </c>
      <c r="J4048">
        <v>-395.86610000000002</v>
      </c>
      <c r="K4048">
        <v>1.113931</v>
      </c>
      <c r="L4048">
        <v>137.82069999999999</v>
      </c>
      <c r="M4048">
        <v>-0.96194990000000002</v>
      </c>
      <c r="N4048">
        <v>0</v>
      </c>
      <c r="O4048">
        <v>-0.27286929999999998</v>
      </c>
      <c r="P4048">
        <v>-0.95104869999999997</v>
      </c>
      <c r="Q4048">
        <v>3.4819139999999998E-2</v>
      </c>
      <c r="R4048">
        <v>-0.3070735</v>
      </c>
      <c r="S4048">
        <v>-2.5968629999999999</v>
      </c>
      <c r="T4048">
        <v>-0.30450630000000001</v>
      </c>
      <c r="U4048">
        <v>-1.777512</v>
      </c>
      <c r="V4048">
        <v>-3.6333230000000001E-2</v>
      </c>
      <c r="W4048">
        <v>4.8420379999999999E-2</v>
      </c>
      <c r="X4048">
        <v>0.998166</v>
      </c>
      <c r="Y4048">
        <v>-0.31797809999999999</v>
      </c>
      <c r="Z4048">
        <v>1.118426E-2</v>
      </c>
      <c r="AA4048">
        <v>0.94803210000000004</v>
      </c>
      <c r="AB4048">
        <v>22</v>
      </c>
      <c r="AC4048">
        <v>-9.2832999999999899</v>
      </c>
      <c r="AD4048">
        <v>-1.1139348525199999</v>
      </c>
      <c r="AE4048">
        <v>-6.4345999999999801</v>
      </c>
      <c r="AF4048">
        <v>-3.62176684970109</v>
      </c>
      <c r="AG4048">
        <v>-1.1139348525199999</v>
      </c>
      <c r="AH4048">
        <v>10.583977517358701</v>
      </c>
      <c r="AI4048">
        <v>95.686681048265896</v>
      </c>
      <c r="AJ4048">
        <v>108.890606072757</v>
      </c>
      <c r="AK4048">
        <v>11.241824854409</v>
      </c>
      <c r="AL4048">
        <v>87.224631372148906</v>
      </c>
      <c r="AM4048">
        <v>92.084645297661794</v>
      </c>
      <c r="AN4048">
        <v>1.0000000001787801</v>
      </c>
    </row>
    <row r="4049" spans="1:40" x14ac:dyDescent="0.25">
      <c r="A4049" t="str">
        <f>"20190312154639138"</f>
        <v>20190312154639138</v>
      </c>
      <c r="B4049" t="str">
        <f>"1552376799131315"</f>
        <v>1552376799131315</v>
      </c>
      <c r="C4049" t="s">
        <v>40</v>
      </c>
      <c r="D4049">
        <v>4.4924109999999997</v>
      </c>
      <c r="E4049">
        <v>0.38808690000000001</v>
      </c>
      <c r="F4049" t="s">
        <v>52</v>
      </c>
      <c r="G4049">
        <v>-405.34030000000001</v>
      </c>
      <c r="H4049" s="1">
        <v>-3.9284420000000003E-6</v>
      </c>
      <c r="I4049">
        <v>131.2697</v>
      </c>
      <c r="J4049">
        <v>-396.0908</v>
      </c>
      <c r="K4049">
        <v>1.1140289999999999</v>
      </c>
      <c r="L4049">
        <v>137.74879999999999</v>
      </c>
      <c r="M4049">
        <v>-0.96004389999999995</v>
      </c>
      <c r="N4049">
        <v>0</v>
      </c>
      <c r="O4049">
        <v>-0.27950049999999999</v>
      </c>
      <c r="P4049">
        <v>-0.9491773</v>
      </c>
      <c r="Q4049">
        <v>3.3459099999999999E-2</v>
      </c>
      <c r="R4049">
        <v>-0.31295820000000002</v>
      </c>
      <c r="S4049">
        <v>-2.5878299999999999</v>
      </c>
      <c r="T4049">
        <v>-0.30426320000000001</v>
      </c>
      <c r="U4049">
        <v>-1.7893680000000001</v>
      </c>
      <c r="V4049">
        <v>-3.561396E-2</v>
      </c>
      <c r="W4049">
        <v>4.7074869999999998E-2</v>
      </c>
      <c r="X4049">
        <v>0.99825629999999999</v>
      </c>
      <c r="Y4049">
        <v>-0.31595820000000002</v>
      </c>
      <c r="Z4049">
        <v>1.1948830000000001E-2</v>
      </c>
      <c r="AA4049">
        <v>0.94869789999999998</v>
      </c>
      <c r="AB4049">
        <v>22</v>
      </c>
      <c r="AC4049">
        <v>-9.24950000000001</v>
      </c>
      <c r="AD4049">
        <v>-1.1140329284420001</v>
      </c>
      <c r="AE4049">
        <v>-6.4790999999999803</v>
      </c>
      <c r="AF4049">
        <v>-3.6002992666989901</v>
      </c>
      <c r="AG4049">
        <v>-1.1140329284420001</v>
      </c>
      <c r="AH4049">
        <v>10.588836631635701</v>
      </c>
      <c r="AI4049">
        <v>95.688356291525693</v>
      </c>
      <c r="AJ4049">
        <v>108.778493084674</v>
      </c>
      <c r="AK4049">
        <v>11.239514464020001</v>
      </c>
      <c r="AL4049">
        <v>87.301811502298307</v>
      </c>
      <c r="AM4049">
        <v>92.043227314533397</v>
      </c>
      <c r="AN4049">
        <v>1.0000000190110401</v>
      </c>
    </row>
    <row r="4050" spans="1:40" x14ac:dyDescent="0.25">
      <c r="A4050" t="str">
        <f>"20190312154639161"</f>
        <v>20190312154639161</v>
      </c>
      <c r="B4050" t="str">
        <f>"1552376799151810"</f>
        <v>1552376799151810</v>
      </c>
      <c r="C4050" t="s">
        <v>40</v>
      </c>
      <c r="D4050">
        <v>4.4682740000000001</v>
      </c>
      <c r="E4050">
        <v>0.38823950000000002</v>
      </c>
      <c r="F4050" t="s">
        <v>52</v>
      </c>
      <c r="G4050">
        <v>-405.43400000000003</v>
      </c>
      <c r="H4050" s="1">
        <v>-3.9639490000000002E-6</v>
      </c>
      <c r="I4050">
        <v>131.2089</v>
      </c>
      <c r="J4050">
        <v>-396.30799999999999</v>
      </c>
      <c r="K4050">
        <v>1.114136</v>
      </c>
      <c r="L4050">
        <v>137.67740000000001</v>
      </c>
      <c r="M4050">
        <v>-0.95809719999999998</v>
      </c>
      <c r="N4050">
        <v>0</v>
      </c>
      <c r="O4050">
        <v>-0.28610190000000002</v>
      </c>
      <c r="P4050">
        <v>-0.94722110000000004</v>
      </c>
      <c r="Q4050">
        <v>3.2964180000000003E-2</v>
      </c>
      <c r="R4050">
        <v>-0.31888230000000001</v>
      </c>
      <c r="S4050">
        <v>-2.5767820000000001</v>
      </c>
      <c r="T4050">
        <v>-0.3072414</v>
      </c>
      <c r="U4050">
        <v>-1.8036350000000001</v>
      </c>
      <c r="V4050">
        <v>-3.4981659999999998E-2</v>
      </c>
      <c r="W4050">
        <v>4.6593309999999999E-2</v>
      </c>
      <c r="X4050">
        <v>0.9983012</v>
      </c>
      <c r="Y4050">
        <v>-0.3148919</v>
      </c>
      <c r="Z4050">
        <v>1.2796449999999999E-2</v>
      </c>
      <c r="AA4050">
        <v>0.94904129999999998</v>
      </c>
      <c r="AB4050">
        <v>22</v>
      </c>
      <c r="AC4050">
        <v>-9.1259999999999692</v>
      </c>
      <c r="AD4050">
        <v>-1.1141399639489999</v>
      </c>
      <c r="AE4050">
        <v>-6.4684999999999997</v>
      </c>
      <c r="AF4050">
        <v>-3.5516026335854902</v>
      </c>
      <c r="AG4050">
        <v>-1.1141399639489999</v>
      </c>
      <c r="AH4050">
        <v>10.491202591916499</v>
      </c>
      <c r="AI4050">
        <v>95.744053812061097</v>
      </c>
      <c r="AJ4050">
        <v>108.702579635634</v>
      </c>
      <c r="AK4050">
        <v>11.131959438966501</v>
      </c>
      <c r="AL4050">
        <v>87.329433035049803</v>
      </c>
      <c r="AM4050">
        <v>92.006891038229</v>
      </c>
      <c r="AN4050">
        <v>0.99999996949727499</v>
      </c>
    </row>
    <row r="4051" spans="1:40" x14ac:dyDescent="0.25">
      <c r="A4051" t="str">
        <f>"20190312154639186"</f>
        <v>20190312154639186</v>
      </c>
      <c r="B4051" t="str">
        <f>"1552376799181598"</f>
        <v>1552376799181598</v>
      </c>
      <c r="C4051" t="s">
        <v>40</v>
      </c>
      <c r="D4051">
        <v>4.4026990000000001</v>
      </c>
      <c r="E4051">
        <v>0.3883084</v>
      </c>
      <c r="F4051" t="s">
        <v>52</v>
      </c>
      <c r="G4051">
        <v>-405.62759999999997</v>
      </c>
      <c r="H4051" s="1">
        <v>-4.0310699999999998E-6</v>
      </c>
      <c r="I4051">
        <v>131.06970000000001</v>
      </c>
      <c r="J4051">
        <v>-396.53449999999998</v>
      </c>
      <c r="K4051">
        <v>1.114263</v>
      </c>
      <c r="L4051">
        <v>137.60079999999999</v>
      </c>
      <c r="M4051">
        <v>-0.95594460000000003</v>
      </c>
      <c r="N4051">
        <v>0</v>
      </c>
      <c r="O4051">
        <v>-0.29321259999999999</v>
      </c>
      <c r="P4051">
        <v>-0.94498159999999998</v>
      </c>
      <c r="Q4051">
        <v>3.2450560000000003E-2</v>
      </c>
      <c r="R4051">
        <v>-0.32551000000000002</v>
      </c>
      <c r="S4051">
        <v>-2.5654910000000002</v>
      </c>
      <c r="T4051">
        <v>-0.30669669999999999</v>
      </c>
      <c r="U4051">
        <v>-1.8189390000000001</v>
      </c>
      <c r="V4051">
        <v>-3.4561649999999999E-2</v>
      </c>
      <c r="W4051">
        <v>4.6092220000000003E-2</v>
      </c>
      <c r="X4051">
        <v>0.99833910000000003</v>
      </c>
      <c r="Y4051">
        <v>-0.31361420000000001</v>
      </c>
      <c r="Z4051">
        <v>1.3565199999999999E-2</v>
      </c>
      <c r="AA4051">
        <v>0.94945360000000001</v>
      </c>
      <c r="AB4051">
        <v>22</v>
      </c>
      <c r="AC4051">
        <v>-9.0930999999999909</v>
      </c>
      <c r="AD4051">
        <v>-1.11426703107</v>
      </c>
      <c r="AE4051">
        <v>-6.5310999999999799</v>
      </c>
      <c r="AF4051">
        <v>-3.54241890893698</v>
      </c>
      <c r="AG4051">
        <v>-1.11426703107</v>
      </c>
      <c r="AH4051">
        <v>10.504486497505001</v>
      </c>
      <c r="AI4051">
        <v>95.739739693062504</v>
      </c>
      <c r="AJ4051">
        <v>108.635605247808</v>
      </c>
      <c r="AK4051">
        <v>11.1415689792411</v>
      </c>
      <c r="AL4051">
        <v>87.358174284468902</v>
      </c>
      <c r="AM4051">
        <v>91.982739283102205</v>
      </c>
      <c r="AN4051">
        <v>0.99999997949203001</v>
      </c>
    </row>
    <row r="4052" spans="1:40" x14ac:dyDescent="0.25">
      <c r="A4052" t="str">
        <f>"20190312154639205"</f>
        <v>20190312154639205</v>
      </c>
      <c r="B4052" t="str">
        <f>"1552376799202093"</f>
        <v>1552376799202093</v>
      </c>
      <c r="C4052" t="s">
        <v>40</v>
      </c>
      <c r="D4052">
        <v>4.4169790000000004</v>
      </c>
      <c r="E4052">
        <v>0.38836579999999998</v>
      </c>
      <c r="F4052" t="s">
        <v>52</v>
      </c>
      <c r="G4052">
        <v>-405.86500000000001</v>
      </c>
      <c r="H4052" s="1">
        <v>-4.1083010000000004E-6</v>
      </c>
      <c r="I4052">
        <v>130.88839999999999</v>
      </c>
      <c r="J4052">
        <v>-396.71809999999999</v>
      </c>
      <c r="K4052">
        <v>1.114363</v>
      </c>
      <c r="L4052">
        <v>137.53720000000001</v>
      </c>
      <c r="M4052">
        <v>-0.95410479999999998</v>
      </c>
      <c r="N4052">
        <v>0</v>
      </c>
      <c r="O4052">
        <v>-0.29914489999999999</v>
      </c>
      <c r="P4052">
        <v>-0.94304100000000002</v>
      </c>
      <c r="Q4052">
        <v>3.1499859999999998E-2</v>
      </c>
      <c r="R4052">
        <v>-0.3311827</v>
      </c>
      <c r="S4052">
        <v>-2.552521</v>
      </c>
      <c r="T4052">
        <v>-0.30482890000000001</v>
      </c>
      <c r="U4052">
        <v>-1.8363039999999999</v>
      </c>
      <c r="V4052">
        <v>-3.4350819999999997E-2</v>
      </c>
      <c r="W4052">
        <v>4.5151440000000001E-2</v>
      </c>
      <c r="X4052">
        <v>0.99838939999999998</v>
      </c>
      <c r="Y4052">
        <v>-0.31428200000000001</v>
      </c>
      <c r="Z4052">
        <v>1.4053889999999999E-2</v>
      </c>
      <c r="AA4052">
        <v>0.94922569999999995</v>
      </c>
      <c r="AB4052">
        <v>22</v>
      </c>
      <c r="AC4052">
        <v>-9.1469000000000094</v>
      </c>
      <c r="AD4052">
        <v>-1.1143671083010001</v>
      </c>
      <c r="AE4052">
        <v>-6.64880000000002</v>
      </c>
      <c r="AF4052">
        <v>-3.5730584797932798</v>
      </c>
      <c r="AG4052">
        <v>-1.1143671083010001</v>
      </c>
      <c r="AH4052">
        <v>10.6140313882124</v>
      </c>
      <c r="AI4052">
        <v>95.682411704080096</v>
      </c>
      <c r="AJ4052">
        <v>108.60505377018001</v>
      </c>
      <c r="AK4052">
        <v>11.254608978638201</v>
      </c>
      <c r="AL4052">
        <v>87.412133280003701</v>
      </c>
      <c r="AM4052">
        <v>91.970554707848606</v>
      </c>
      <c r="AN4052">
        <v>1.0000000127005499</v>
      </c>
    </row>
    <row r="4053" spans="1:40" x14ac:dyDescent="0.25">
      <c r="A4053" t="str">
        <f>"20190312154639226"</f>
        <v>20190312154639226</v>
      </c>
      <c r="B4053" t="str">
        <f>"1552376799221613"</f>
        <v>1552376799221613</v>
      </c>
      <c r="C4053" t="s">
        <v>40</v>
      </c>
      <c r="D4053">
        <v>4.4115630000000001</v>
      </c>
      <c r="E4053">
        <v>0.38841700000000001</v>
      </c>
      <c r="F4053" t="s">
        <v>52</v>
      </c>
      <c r="G4053">
        <v>-405.9984</v>
      </c>
      <c r="H4053" s="1">
        <v>-4.1468709999999999E-6</v>
      </c>
      <c r="I4053">
        <v>130.77610000000001</v>
      </c>
      <c r="J4053">
        <v>-396.9051</v>
      </c>
      <c r="K4053">
        <v>1.114444</v>
      </c>
      <c r="L4053">
        <v>137.4708</v>
      </c>
      <c r="M4053">
        <v>-0.95214399999999999</v>
      </c>
      <c r="N4053">
        <v>0</v>
      </c>
      <c r="O4053">
        <v>-0.30532720000000002</v>
      </c>
      <c r="P4053">
        <v>-0.94110939999999998</v>
      </c>
      <c r="Q4053">
        <v>2.9558299999999999E-2</v>
      </c>
      <c r="R4053">
        <v>-0.33680789999999999</v>
      </c>
      <c r="S4053">
        <v>-2.541229</v>
      </c>
      <c r="T4053">
        <v>-0.30514750000000002</v>
      </c>
      <c r="U4053">
        <v>-1.8513790000000001</v>
      </c>
      <c r="V4053">
        <v>-3.380669E-2</v>
      </c>
      <c r="W4053">
        <v>4.3225E-2</v>
      </c>
      <c r="X4053">
        <v>0.99849319999999997</v>
      </c>
      <c r="Y4053">
        <v>-0.31383759999999999</v>
      </c>
      <c r="Z4053">
        <v>1.472101E-2</v>
      </c>
      <c r="AA4053">
        <v>0.94936259999999995</v>
      </c>
      <c r="AB4053">
        <v>22</v>
      </c>
      <c r="AC4053">
        <v>-9.0932999999999993</v>
      </c>
      <c r="AD4053">
        <v>-1.1144481468709999</v>
      </c>
      <c r="AE4053">
        <v>-6.6946999999999797</v>
      </c>
      <c r="AF4053">
        <v>-3.56353034814008</v>
      </c>
      <c r="AG4053">
        <v>-1.1144481468709999</v>
      </c>
      <c r="AH4053">
        <v>10.600009561151699</v>
      </c>
      <c r="AI4053">
        <v>95.691065163189805</v>
      </c>
      <c r="AJ4053">
        <v>108.581707958178</v>
      </c>
      <c r="AK4053">
        <v>11.238369361730699</v>
      </c>
      <c r="AL4053">
        <v>87.522618019353601</v>
      </c>
      <c r="AM4053">
        <v>91.939162946780598</v>
      </c>
      <c r="AN4053">
        <v>0.99999998167999704</v>
      </c>
    </row>
    <row r="4054" spans="1:40" x14ac:dyDescent="0.25">
      <c r="A4054" t="str">
        <f>"20190312154639247"</f>
        <v>20190312154639247</v>
      </c>
      <c r="B4054" t="str">
        <f>"1552376799241134"</f>
        <v>1552376799241134</v>
      </c>
      <c r="C4054" t="s">
        <v>40</v>
      </c>
      <c r="D4054">
        <v>4.4386020000000004</v>
      </c>
      <c r="E4054">
        <v>0.3885653</v>
      </c>
      <c r="F4054" t="s">
        <v>52</v>
      </c>
      <c r="G4054">
        <v>-406.01190000000003</v>
      </c>
      <c r="H4054" s="1">
        <v>-4.1462859999999996E-6</v>
      </c>
      <c r="I4054">
        <v>130.7551</v>
      </c>
      <c r="J4054">
        <v>-397.10309999999998</v>
      </c>
      <c r="K4054">
        <v>1.1145240000000001</v>
      </c>
      <c r="L4054">
        <v>137.39879999999999</v>
      </c>
      <c r="M4054">
        <v>-0.94997050000000005</v>
      </c>
      <c r="N4054">
        <v>0</v>
      </c>
      <c r="O4054">
        <v>-0.312023299999999</v>
      </c>
      <c r="P4054">
        <v>-0.93889500000000004</v>
      </c>
      <c r="Q4054">
        <v>2.8430839999999999E-2</v>
      </c>
      <c r="R4054">
        <v>-0.34302719999999998</v>
      </c>
      <c r="S4054">
        <v>-2.529785</v>
      </c>
      <c r="T4054">
        <v>-0.3095849</v>
      </c>
      <c r="U4054">
        <v>-1.8655550000000001</v>
      </c>
      <c r="V4054">
        <v>-3.3368809999999999E-2</v>
      </c>
      <c r="W4054">
        <v>4.2111639999999999E-2</v>
      </c>
      <c r="X4054">
        <v>0.99855550000000004</v>
      </c>
      <c r="Y4054">
        <v>-0.31268020000000002</v>
      </c>
      <c r="Z4054">
        <v>1.5688359999999998E-2</v>
      </c>
      <c r="AA4054">
        <v>0.94972889999999999</v>
      </c>
      <c r="AB4054">
        <v>22</v>
      </c>
      <c r="AC4054">
        <v>-8.9088000000000402</v>
      </c>
      <c r="AD4054">
        <v>-1.1145281462859999</v>
      </c>
      <c r="AE4054">
        <v>-6.6436999999999902</v>
      </c>
      <c r="AF4054">
        <v>-3.4967456524579799</v>
      </c>
      <c r="AG4054">
        <v>-1.1145281462859999</v>
      </c>
      <c r="AH4054">
        <v>10.4322037266633</v>
      </c>
      <c r="AI4054">
        <v>95.784127726045398</v>
      </c>
      <c r="AJ4054">
        <v>108.530514655324</v>
      </c>
      <c r="AK4054">
        <v>11.0589455980873</v>
      </c>
      <c r="AL4054">
        <v>87.586466989707006</v>
      </c>
      <c r="AM4054">
        <v>91.913945480320606</v>
      </c>
      <c r="AN4054">
        <v>0.99999997714227695</v>
      </c>
    </row>
    <row r="4055" spans="1:40" x14ac:dyDescent="0.25">
      <c r="A4055" t="str">
        <f>"20190312154639268"</f>
        <v>20190312154639268</v>
      </c>
      <c r="B4055" t="str">
        <f>"1552376799261168"</f>
        <v>1552376799261168</v>
      </c>
      <c r="C4055" t="s">
        <v>40</v>
      </c>
      <c r="D4055">
        <v>4.4192049999999998</v>
      </c>
      <c r="E4055">
        <v>0.38875870000000001</v>
      </c>
      <c r="F4055" t="s">
        <v>52</v>
      </c>
      <c r="G4055">
        <v>-406.07600000000002</v>
      </c>
      <c r="H4055" s="1">
        <v>-4.1630090000000002E-6</v>
      </c>
      <c r="I4055">
        <v>130.69730000000001</v>
      </c>
      <c r="J4055">
        <v>-397.29969999999997</v>
      </c>
      <c r="K4055">
        <v>1.1145910000000001</v>
      </c>
      <c r="L4055">
        <v>137.32560000000001</v>
      </c>
      <c r="M4055">
        <v>-0.94770810000000005</v>
      </c>
      <c r="N4055">
        <v>0</v>
      </c>
      <c r="O4055">
        <v>-0.3188281</v>
      </c>
      <c r="P4055">
        <v>-0.93636730000000001</v>
      </c>
      <c r="Q4055">
        <v>2.741824E-2</v>
      </c>
      <c r="R4055">
        <v>-0.34994920000000002</v>
      </c>
      <c r="S4055">
        <v>-2.5177309999999999</v>
      </c>
      <c r="T4055">
        <v>-0.31272919999999998</v>
      </c>
      <c r="U4055">
        <v>-1.8803859999999999</v>
      </c>
      <c r="V4055">
        <v>-3.3565919999999999E-2</v>
      </c>
      <c r="W4055">
        <v>4.110639E-2</v>
      </c>
      <c r="X4055">
        <v>0.9985908</v>
      </c>
      <c r="Y4055">
        <v>-0.31167159999999999</v>
      </c>
      <c r="Z4055">
        <v>1.6613559999999999E-2</v>
      </c>
      <c r="AA4055">
        <v>0.95004460000000002</v>
      </c>
      <c r="AB4055">
        <v>22</v>
      </c>
      <c r="AC4055">
        <v>-8.7762999999999902</v>
      </c>
      <c r="AD4055">
        <v>-1.1145951630090001</v>
      </c>
      <c r="AE4055">
        <v>-6.6282999999999896</v>
      </c>
      <c r="AF4055">
        <v>-3.4484890418096001</v>
      </c>
      <c r="AG4055">
        <v>-1.1145951630090001</v>
      </c>
      <c r="AH4055">
        <v>10.325640038191301</v>
      </c>
      <c r="AI4055">
        <v>95.845880282581504</v>
      </c>
      <c r="AJ4055">
        <v>108.4679479454</v>
      </c>
      <c r="AK4055">
        <v>10.9431824094814</v>
      </c>
      <c r="AL4055">
        <v>87.644113544037793</v>
      </c>
      <c r="AM4055">
        <v>91.925174692538207</v>
      </c>
      <c r="AN4055">
        <v>0.999999996064459</v>
      </c>
    </row>
    <row r="4056" spans="1:40" x14ac:dyDescent="0.25">
      <c r="A4056" t="str">
        <f>"20190312154639292"</f>
        <v>20190312154639292</v>
      </c>
      <c r="B4056" t="str">
        <f>"1552376799281656"</f>
        <v>1552376799281656</v>
      </c>
      <c r="C4056" t="s">
        <v>40</v>
      </c>
      <c r="D4056">
        <v>4.3948169999999998</v>
      </c>
      <c r="E4056">
        <v>0.38894590000000001</v>
      </c>
      <c r="F4056" t="s">
        <v>52</v>
      </c>
      <c r="G4056">
        <v>-406.15640000000002</v>
      </c>
      <c r="H4056" s="1">
        <v>-4.1793190000000003E-6</v>
      </c>
      <c r="I4056">
        <v>130.6147</v>
      </c>
      <c r="J4056">
        <v>-397.50799999999998</v>
      </c>
      <c r="K4056">
        <v>1.114663</v>
      </c>
      <c r="L4056">
        <v>137.24600000000001</v>
      </c>
      <c r="M4056">
        <v>-0.94519359999999997</v>
      </c>
      <c r="N4056">
        <v>0</v>
      </c>
      <c r="O4056">
        <v>-0.3262063</v>
      </c>
      <c r="P4056">
        <v>-0.93374009999999996</v>
      </c>
      <c r="Q4056">
        <v>2.6644620000000001E-2</v>
      </c>
      <c r="R4056">
        <v>-0.35695850000000001</v>
      </c>
      <c r="S4056">
        <v>-2.5040279999999999</v>
      </c>
      <c r="T4056">
        <v>-0.31512560000000001</v>
      </c>
      <c r="U4056">
        <v>-1.897324</v>
      </c>
      <c r="V4056">
        <v>-3.3258870000000003E-2</v>
      </c>
      <c r="W4056">
        <v>4.0347889999999997E-2</v>
      </c>
      <c r="X4056">
        <v>0.99863199999999996</v>
      </c>
      <c r="Y4056">
        <v>-0.31088379999999999</v>
      </c>
      <c r="Z4056">
        <v>1.756251E-2</v>
      </c>
      <c r="AA4056">
        <v>0.95028570000000001</v>
      </c>
      <c r="AB4056">
        <v>22</v>
      </c>
      <c r="AC4056">
        <v>-8.6483999999999792</v>
      </c>
      <c r="AD4056">
        <v>-1.1146671793189999</v>
      </c>
      <c r="AE4056">
        <v>-6.6313000000000004</v>
      </c>
      <c r="AF4056">
        <v>-3.4113545530076399</v>
      </c>
      <c r="AG4056">
        <v>-1.1146671793189999</v>
      </c>
      <c r="AH4056">
        <v>10.2315743539771</v>
      </c>
      <c r="AI4056">
        <v>95.900609759332696</v>
      </c>
      <c r="AJ4056">
        <v>108.439130677968</v>
      </c>
      <c r="AK4056">
        <v>10.842736581137601</v>
      </c>
      <c r="AL4056">
        <v>87.687608462954401</v>
      </c>
      <c r="AM4056">
        <v>91.907498256768804</v>
      </c>
      <c r="AN4056">
        <v>0.99999998804256396</v>
      </c>
    </row>
    <row r="4057" spans="1:40" x14ac:dyDescent="0.25">
      <c r="A4057" t="str">
        <f>"20190312154639325"</f>
        <v>20190312154639325</v>
      </c>
      <c r="B4057" t="str">
        <f>"1552376799321673"</f>
        <v>1552376799321673</v>
      </c>
      <c r="C4057" t="s">
        <v>40</v>
      </c>
      <c r="D4057">
        <v>4.407324</v>
      </c>
      <c r="E4057">
        <v>0.38926450000000001</v>
      </c>
      <c r="F4057" t="s">
        <v>52</v>
      </c>
      <c r="G4057">
        <v>-406.31639999999999</v>
      </c>
      <c r="H4057" s="1">
        <v>-4.2222659999999997E-6</v>
      </c>
      <c r="I4057">
        <v>130.47290000000001</v>
      </c>
      <c r="J4057">
        <v>-397.80540000000002</v>
      </c>
      <c r="K4057">
        <v>1.114776</v>
      </c>
      <c r="L4057">
        <v>137.12899999999999</v>
      </c>
      <c r="M4057">
        <v>-0.94139300000000004</v>
      </c>
      <c r="N4057">
        <v>0</v>
      </c>
      <c r="O4057">
        <v>-0.33701629999999999</v>
      </c>
      <c r="P4057">
        <v>-0.93003049999999998</v>
      </c>
      <c r="Q4057">
        <v>2.4768399999999999E-2</v>
      </c>
      <c r="R4057">
        <v>-0.3666469</v>
      </c>
      <c r="S4057">
        <v>-2.48996</v>
      </c>
      <c r="T4057">
        <v>-0.31509229999999999</v>
      </c>
      <c r="U4057">
        <v>-1.9145970000000001</v>
      </c>
      <c r="V4057">
        <v>-3.2169780000000002E-2</v>
      </c>
      <c r="W4057">
        <v>3.8501580000000001E-2</v>
      </c>
      <c r="X4057">
        <v>0.99874059999999998</v>
      </c>
      <c r="Y4057">
        <v>-0.30679109999999998</v>
      </c>
      <c r="Z4057">
        <v>1.891402E-2</v>
      </c>
      <c r="AA4057">
        <v>0.95158889999999996</v>
      </c>
      <c r="AB4057">
        <v>22</v>
      </c>
      <c r="AC4057">
        <v>-8.5109999999999602</v>
      </c>
      <c r="AD4057">
        <v>-1.1147802222659999</v>
      </c>
      <c r="AE4057">
        <v>-6.6560999999999799</v>
      </c>
      <c r="AF4057">
        <v>-3.3622071936529698</v>
      </c>
      <c r="AG4057">
        <v>-1.1147802222659999</v>
      </c>
      <c r="AH4057">
        <v>10.1483995226458</v>
      </c>
      <c r="AI4057">
        <v>95.952955570947594</v>
      </c>
      <c r="AJ4057">
        <v>108.330249532748</v>
      </c>
      <c r="AK4057">
        <v>10.748822494963999</v>
      </c>
      <c r="AL4057">
        <v>87.793476642256607</v>
      </c>
      <c r="AM4057">
        <v>91.844879017652502</v>
      </c>
      <c r="AN4057">
        <v>1.00000002624805</v>
      </c>
    </row>
    <row r="4058" spans="1:40" x14ac:dyDescent="0.25">
      <c r="A4058" t="str">
        <f>"20190312154639370"</f>
        <v>20190312154639370</v>
      </c>
      <c r="B4058" t="str">
        <f>"1552376799361688"</f>
        <v>1552376799361688</v>
      </c>
      <c r="C4058" t="s">
        <v>40</v>
      </c>
      <c r="D4058">
        <v>4.4668850000000004</v>
      </c>
      <c r="E4058">
        <v>0.3890074</v>
      </c>
      <c r="F4058" t="s">
        <v>52</v>
      </c>
      <c r="G4058">
        <v>-406.48169999999999</v>
      </c>
      <c r="H4058" s="1">
        <v>-4.263019E-6</v>
      </c>
      <c r="I4058">
        <v>130.31880000000001</v>
      </c>
      <c r="J4058">
        <v>-398.2047</v>
      </c>
      <c r="K4058">
        <v>1.1149309999999999</v>
      </c>
      <c r="L4058">
        <v>136.96449999999999</v>
      </c>
      <c r="M4058">
        <v>-0.93586360000000002</v>
      </c>
      <c r="N4058">
        <v>0</v>
      </c>
      <c r="O4058">
        <v>-0.35207860000000002</v>
      </c>
      <c r="P4058">
        <v>-0.92530369999999995</v>
      </c>
      <c r="Q4058">
        <v>2.3025750000000001E-2</v>
      </c>
      <c r="R4058">
        <v>-0.37852770000000002</v>
      </c>
      <c r="S4058">
        <v>-2.4698790000000002</v>
      </c>
      <c r="T4058">
        <v>-0.31734430000000002</v>
      </c>
      <c r="U4058">
        <v>-1.93866</v>
      </c>
      <c r="V4058">
        <v>-2.891208E-2</v>
      </c>
      <c r="W4058">
        <v>3.6822399999999998E-2</v>
      </c>
      <c r="X4058">
        <v>0.99890350000000006</v>
      </c>
      <c r="Y4058">
        <v>-0.30109780000000003</v>
      </c>
      <c r="Z4058">
        <v>2.094882E-2</v>
      </c>
      <c r="AA4058">
        <v>0.95336310000000002</v>
      </c>
      <c r="AB4058">
        <v>22</v>
      </c>
      <c r="AC4058">
        <v>-8.2769999999999797</v>
      </c>
      <c r="AD4058">
        <v>-1.1149352630189999</v>
      </c>
      <c r="AE4058">
        <v>-6.6456999999999704</v>
      </c>
      <c r="AF4058">
        <v>-3.26957302155708</v>
      </c>
      <c r="AG4058">
        <v>-1.1149352630189999</v>
      </c>
      <c r="AH4058">
        <v>9.97689002065583</v>
      </c>
      <c r="AI4058">
        <v>96.061788982164103</v>
      </c>
      <c r="AJ4058">
        <v>108.144727947636</v>
      </c>
      <c r="AK4058">
        <v>10.558007523594499</v>
      </c>
      <c r="AL4058">
        <v>87.889754828523806</v>
      </c>
      <c r="AM4058">
        <v>91.657895690123894</v>
      </c>
      <c r="AN4058">
        <v>0.99999999991196797</v>
      </c>
    </row>
    <row r="4059" spans="1:40" x14ac:dyDescent="0.25">
      <c r="A4059" t="str">
        <f>"20190312154639392"</f>
        <v>20190312154639392</v>
      </c>
      <c r="B4059" t="str">
        <f>"1552376799381208"</f>
        <v>1552376799381208</v>
      </c>
      <c r="C4059" t="s">
        <v>40</v>
      </c>
      <c r="D4059">
        <v>4.4600569999999999</v>
      </c>
      <c r="E4059">
        <v>0.38888030000000001</v>
      </c>
      <c r="F4059" t="s">
        <v>52</v>
      </c>
      <c r="G4059">
        <v>-406.65309999999999</v>
      </c>
      <c r="H4059" s="1">
        <v>-4.2990190000000001E-6</v>
      </c>
      <c r="I4059">
        <v>130.1455</v>
      </c>
      <c r="J4059">
        <v>-398.40370000000001</v>
      </c>
      <c r="K4059">
        <v>1.115002</v>
      </c>
      <c r="L4059">
        <v>136.87950000000001</v>
      </c>
      <c r="M4059">
        <v>-0.93292589999999997</v>
      </c>
      <c r="N4059">
        <v>0</v>
      </c>
      <c r="O4059">
        <v>-0.3597901</v>
      </c>
      <c r="P4059">
        <v>-0.92260359999999997</v>
      </c>
      <c r="Q4059">
        <v>2.28539E-2</v>
      </c>
      <c r="R4059">
        <v>-0.38507259999999999</v>
      </c>
      <c r="S4059">
        <v>-2.4434200000000001</v>
      </c>
      <c r="T4059">
        <v>-0.32245859999999998</v>
      </c>
      <c r="U4059">
        <v>-1.972183</v>
      </c>
      <c r="V4059">
        <v>-2.774619E-2</v>
      </c>
      <c r="W4059">
        <v>3.6676109999999998E-2</v>
      </c>
      <c r="X4059">
        <v>0.998942</v>
      </c>
      <c r="Y4059">
        <v>-0.30620750000000002</v>
      </c>
      <c r="Z4059">
        <v>2.1856649999999998E-2</v>
      </c>
      <c r="AA4059">
        <v>0.9517139</v>
      </c>
      <c r="AB4059">
        <v>22</v>
      </c>
      <c r="AC4059">
        <v>-8.2493999999999801</v>
      </c>
      <c r="AD4059">
        <v>-1.1150062990189999</v>
      </c>
      <c r="AE4059">
        <v>-6.734</v>
      </c>
      <c r="AF4059">
        <v>-3.2786574815446898</v>
      </c>
      <c r="AG4059">
        <v>-1.1150062990189999</v>
      </c>
      <c r="AH4059">
        <v>10.010174024979399</v>
      </c>
      <c r="AI4059">
        <v>96.042488043813904</v>
      </c>
      <c r="AJ4059">
        <v>108.135303966004</v>
      </c>
      <c r="AK4059">
        <v>10.5922810545469</v>
      </c>
      <c r="AL4059">
        <v>87.898142406876104</v>
      </c>
      <c r="AM4059">
        <v>91.591014247938602</v>
      </c>
      <c r="AN4059">
        <v>1.00000005373412</v>
      </c>
    </row>
    <row r="4060" spans="1:40" x14ac:dyDescent="0.25">
      <c r="A4060" t="str">
        <f>"20190312154639414"</f>
        <v>20190312154639414</v>
      </c>
      <c r="B4060" t="str">
        <f>"1552376799411465"</f>
        <v>1552376799411465</v>
      </c>
      <c r="C4060" t="s">
        <v>40</v>
      </c>
      <c r="D4060">
        <v>4.4464249999999996</v>
      </c>
      <c r="E4060">
        <v>0.38879419999999998</v>
      </c>
      <c r="F4060" t="s">
        <v>52</v>
      </c>
      <c r="G4060">
        <v>-406.80079999999998</v>
      </c>
      <c r="H4060" s="1">
        <v>-4.3308430000000002E-6</v>
      </c>
      <c r="I4060">
        <v>129.99780000000001</v>
      </c>
      <c r="J4060">
        <v>-398.59640000000002</v>
      </c>
      <c r="K4060">
        <v>1.1150599999999999</v>
      </c>
      <c r="L4060">
        <v>136.79509999999999</v>
      </c>
      <c r="M4060">
        <v>-0.92996239999999997</v>
      </c>
      <c r="N4060">
        <v>0</v>
      </c>
      <c r="O4060">
        <v>-0.36738110000000002</v>
      </c>
      <c r="P4060">
        <v>-0.91993659999999999</v>
      </c>
      <c r="Q4060">
        <v>2.285479E-2</v>
      </c>
      <c r="R4060">
        <v>-0.39140039999999998</v>
      </c>
      <c r="S4060">
        <v>-2.4288639999999999</v>
      </c>
      <c r="T4060">
        <v>-0.32251819999999998</v>
      </c>
      <c r="U4060">
        <v>-1.990524</v>
      </c>
      <c r="V4060">
        <v>-2.6471000000000001E-2</v>
      </c>
      <c r="W4060">
        <v>3.67047E-2</v>
      </c>
      <c r="X4060">
        <v>0.99897550000000002</v>
      </c>
      <c r="Y4060">
        <v>-0.30558259999999998</v>
      </c>
      <c r="Z4060">
        <v>2.271536E-2</v>
      </c>
      <c r="AA4060">
        <v>0.95189460000000004</v>
      </c>
      <c r="AB4060">
        <v>22</v>
      </c>
      <c r="AC4060">
        <v>-8.2043999999999606</v>
      </c>
      <c r="AD4060">
        <v>-1.1150643308429999</v>
      </c>
      <c r="AE4060">
        <v>-6.7972999999999697</v>
      </c>
      <c r="AF4060">
        <v>-3.2715897503640501</v>
      </c>
      <c r="AG4060">
        <v>-1.1150643308429999</v>
      </c>
      <c r="AH4060">
        <v>10.018268241122501</v>
      </c>
      <c r="AI4060">
        <v>96.039672064940504</v>
      </c>
      <c r="AJ4060">
        <v>108.08509134398</v>
      </c>
      <c r="AK4060">
        <v>10.5977528989729</v>
      </c>
      <c r="AL4060">
        <v>87.8965031022109</v>
      </c>
      <c r="AM4060">
        <v>91.517876814691903</v>
      </c>
      <c r="AN4060">
        <v>0.99999999922167004</v>
      </c>
    </row>
    <row r="4061" spans="1:40" x14ac:dyDescent="0.25">
      <c r="A4061" t="str">
        <f>"20190312154639436"</f>
        <v>20190312154639436</v>
      </c>
      <c r="B4061" t="str">
        <f>"1552376799431960"</f>
        <v>1552376799431960</v>
      </c>
      <c r="C4061" t="s">
        <v>40</v>
      </c>
      <c r="D4061">
        <v>4.4393370000000001</v>
      </c>
      <c r="E4061">
        <v>0.38876699999999997</v>
      </c>
      <c r="F4061" t="s">
        <v>52</v>
      </c>
      <c r="G4061">
        <v>-406.97030000000001</v>
      </c>
      <c r="H4061" s="1">
        <v>-4.3682010000000002E-6</v>
      </c>
      <c r="I4061">
        <v>129.83009999999999</v>
      </c>
      <c r="J4061">
        <v>-398.78930000000003</v>
      </c>
      <c r="K4061">
        <v>1.1151219999999999</v>
      </c>
      <c r="L4061">
        <v>136.70859999999999</v>
      </c>
      <c r="M4061">
        <v>-0.92686590000000002</v>
      </c>
      <c r="N4061">
        <v>0</v>
      </c>
      <c r="O4061">
        <v>-0.37512400000000001</v>
      </c>
      <c r="P4061">
        <v>-0.91720009999999996</v>
      </c>
      <c r="Q4061">
        <v>2.3727410000000001E-2</v>
      </c>
      <c r="R4061">
        <v>-0.39771980000000001</v>
      </c>
      <c r="S4061">
        <v>-2.414612</v>
      </c>
      <c r="T4061">
        <v>-0.32152619999999998</v>
      </c>
      <c r="U4061">
        <v>-2.0083310000000001</v>
      </c>
      <c r="V4061">
        <v>-2.5035849999999998E-2</v>
      </c>
      <c r="W4061">
        <v>3.7607210000000002E-2</v>
      </c>
      <c r="X4061">
        <v>0.9989789</v>
      </c>
      <c r="Y4061">
        <v>-0.30459140000000001</v>
      </c>
      <c r="Z4061">
        <v>2.3533310000000002E-2</v>
      </c>
      <c r="AA4061">
        <v>0.95219229999999999</v>
      </c>
      <c r="AB4061">
        <v>22</v>
      </c>
      <c r="AC4061">
        <v>-8.1809999999999796</v>
      </c>
      <c r="AD4061">
        <v>-1.115126368201</v>
      </c>
      <c r="AE4061">
        <v>-6.8784999999999998</v>
      </c>
      <c r="AF4061">
        <v>-3.2712837175064</v>
      </c>
      <c r="AG4061">
        <v>-1.115126368201</v>
      </c>
      <c r="AH4061">
        <v>10.054562994771</v>
      </c>
      <c r="AI4061">
        <v>96.020491851550901</v>
      </c>
      <c r="AJ4061">
        <v>108.02246054342</v>
      </c>
      <c r="AK4061">
        <v>10.631981988006601</v>
      </c>
      <c r="AL4061">
        <v>87.844757290478697</v>
      </c>
      <c r="AM4061">
        <v>91.435614246218506</v>
      </c>
      <c r="AN4061">
        <v>0.99999996933720703</v>
      </c>
    </row>
    <row r="4062" spans="1:40" x14ac:dyDescent="0.25">
      <c r="A4062" t="str">
        <f>"20190312154639460"</f>
        <v>20190312154639460</v>
      </c>
      <c r="B4062" t="str">
        <f>"1552376799451483"</f>
        <v>1552376799451483</v>
      </c>
      <c r="C4062" t="s">
        <v>40</v>
      </c>
      <c r="D4062">
        <v>4.4441649999999999</v>
      </c>
      <c r="E4062">
        <v>0.38876460000000002</v>
      </c>
      <c r="F4062" t="s">
        <v>52</v>
      </c>
      <c r="G4062">
        <v>-407.22570000000002</v>
      </c>
      <c r="H4062" s="1">
        <v>-4.4340170000000001E-6</v>
      </c>
      <c r="I4062">
        <v>129.58940000000001</v>
      </c>
      <c r="J4062">
        <v>-398.98919999999998</v>
      </c>
      <c r="K4062">
        <v>1.1151819999999999</v>
      </c>
      <c r="L4062">
        <v>136.61670000000001</v>
      </c>
      <c r="M4062">
        <v>-0.92352190000000001</v>
      </c>
      <c r="N4062">
        <v>0</v>
      </c>
      <c r="O4062">
        <v>-0.38328250000000003</v>
      </c>
      <c r="P4062">
        <v>-0.9143038</v>
      </c>
      <c r="Q4062">
        <v>2.4380140000000002E-2</v>
      </c>
      <c r="R4062">
        <v>-0.40429530000000002</v>
      </c>
      <c r="S4062">
        <v>-2.4006349999999999</v>
      </c>
      <c r="T4062">
        <v>-0.31731720000000002</v>
      </c>
      <c r="U4062">
        <v>-2.0258180000000001</v>
      </c>
      <c r="V4062">
        <v>-2.34199E-2</v>
      </c>
      <c r="W4062">
        <v>3.8293840000000003E-2</v>
      </c>
      <c r="X4062">
        <v>0.99899199999999999</v>
      </c>
      <c r="Y4062">
        <v>-0.3030118</v>
      </c>
      <c r="Z4062">
        <v>2.417617E-2</v>
      </c>
      <c r="AA4062">
        <v>0.95268010000000003</v>
      </c>
      <c r="AB4062">
        <v>22</v>
      </c>
      <c r="AC4062">
        <v>-8.2365000000000297</v>
      </c>
      <c r="AD4062">
        <v>-1.1151864340169999</v>
      </c>
      <c r="AE4062">
        <v>-7.0272999999999897</v>
      </c>
      <c r="AF4062">
        <v>-3.2983031722310501</v>
      </c>
      <c r="AG4062">
        <v>-1.1151864340169999</v>
      </c>
      <c r="AH4062">
        <v>10.1929299847625</v>
      </c>
      <c r="AI4062">
        <v>95.942728436691297</v>
      </c>
      <c r="AJ4062">
        <v>107.930924628627</v>
      </c>
      <c r="AK4062">
        <v>10.771177571316599</v>
      </c>
      <c r="AL4062">
        <v>87.805387912521994</v>
      </c>
      <c r="AM4062">
        <v>91.342969392165301</v>
      </c>
      <c r="AN4062">
        <v>0.99999996298097704</v>
      </c>
    </row>
    <row r="4063" spans="1:40" x14ac:dyDescent="0.25">
      <c r="A4063" t="str">
        <f>"20190312154639481"</f>
        <v>20190312154639481</v>
      </c>
      <c r="B4063" t="str">
        <f>"1552376799471471"</f>
        <v>1552376799471471</v>
      </c>
      <c r="C4063" t="s">
        <v>40</v>
      </c>
      <c r="D4063">
        <v>4.4461130000000004</v>
      </c>
      <c r="E4063">
        <v>0.38876359999999999</v>
      </c>
      <c r="F4063" t="s">
        <v>52</v>
      </c>
      <c r="G4063">
        <v>-407.28429999999997</v>
      </c>
      <c r="H4063">
        <v>2.2400929999999999E-2</v>
      </c>
      <c r="I4063">
        <v>129.512</v>
      </c>
      <c r="J4063">
        <v>-399.17610000000002</v>
      </c>
      <c r="K4063">
        <v>1.115245</v>
      </c>
      <c r="L4063">
        <v>136.52869999999999</v>
      </c>
      <c r="M4063">
        <v>-0.92027219999999998</v>
      </c>
      <c r="N4063">
        <v>0</v>
      </c>
      <c r="O4063">
        <v>-0.39101970000000003</v>
      </c>
      <c r="P4063">
        <v>-0.91126940000000001</v>
      </c>
      <c r="Q4063">
        <v>2.669231E-2</v>
      </c>
      <c r="R4063">
        <v>-0.4109448</v>
      </c>
      <c r="S4063">
        <v>-2.3859560000000002</v>
      </c>
      <c r="T4063">
        <v>-0.31432349999999998</v>
      </c>
      <c r="U4063">
        <v>-2.0435940000000001</v>
      </c>
      <c r="V4063">
        <v>-2.2371740000000001E-2</v>
      </c>
      <c r="W4063">
        <v>4.0631859999999999E-2</v>
      </c>
      <c r="X4063">
        <v>0.99892369999999997</v>
      </c>
      <c r="Y4063">
        <v>-0.30203530000000001</v>
      </c>
      <c r="Z4063">
        <v>2.4816910000000001E-2</v>
      </c>
      <c r="AA4063">
        <v>0.95297370000000003</v>
      </c>
      <c r="AB4063">
        <v>22</v>
      </c>
      <c r="AC4063">
        <v>-8.1081999999999503</v>
      </c>
      <c r="AD4063">
        <v>-1.0928440699999999</v>
      </c>
      <c r="AE4063">
        <v>-7.0166999999999797</v>
      </c>
      <c r="AF4063">
        <v>-3.2533474230689201</v>
      </c>
      <c r="AG4063">
        <v>-1.0928440699999999</v>
      </c>
      <c r="AH4063">
        <v>10.1015250662134</v>
      </c>
      <c r="AI4063">
        <v>95.879429151452698</v>
      </c>
      <c r="AJ4063">
        <v>107.85193157317499</v>
      </c>
      <c r="AK4063">
        <v>10.668616886919301</v>
      </c>
      <c r="AL4063">
        <v>87.671324856061105</v>
      </c>
      <c r="AM4063">
        <v>91.282972903731107</v>
      </c>
      <c r="AN4063">
        <v>1.0000000006096801</v>
      </c>
    </row>
    <row r="4064" spans="1:40" x14ac:dyDescent="0.25">
      <c r="A4064" t="str">
        <f>"20190312154639505"</f>
        <v>20190312154639505</v>
      </c>
      <c r="B4064" t="str">
        <f>"1552376799491967"</f>
        <v>1552376799491967</v>
      </c>
      <c r="C4064" t="s">
        <v>40</v>
      </c>
      <c r="D4064">
        <v>4.4566879999999998</v>
      </c>
      <c r="E4064">
        <v>0.38879540000000001</v>
      </c>
      <c r="F4064" t="s">
        <v>52</v>
      </c>
      <c r="G4064">
        <v>-407.25920000000002</v>
      </c>
      <c r="H4064">
        <v>6.6528959999999998E-2</v>
      </c>
      <c r="I4064">
        <v>129.5017</v>
      </c>
      <c r="J4064">
        <v>-399.37650000000002</v>
      </c>
      <c r="K4064">
        <v>1.1152820000000001</v>
      </c>
      <c r="L4064">
        <v>136.43209999999999</v>
      </c>
      <c r="M4064">
        <v>-0.9166666</v>
      </c>
      <c r="N4064">
        <v>0</v>
      </c>
      <c r="O4064">
        <v>-0.3993987</v>
      </c>
      <c r="P4064">
        <v>-0.90744639999999999</v>
      </c>
      <c r="Q4064">
        <v>2.796626E-2</v>
      </c>
      <c r="R4064">
        <v>-0.41923589999999999</v>
      </c>
      <c r="S4064">
        <v>-2.371429</v>
      </c>
      <c r="T4064">
        <v>-0.30767509999999998</v>
      </c>
      <c r="U4064">
        <v>-2.0616150000000002</v>
      </c>
      <c r="V4064">
        <v>-2.2401979999999998E-2</v>
      </c>
      <c r="W4064">
        <v>4.191727E-2</v>
      </c>
      <c r="X4064">
        <v>0.99886989999999998</v>
      </c>
      <c r="Y4064">
        <v>-0.30038100000000001</v>
      </c>
      <c r="Z4064">
        <v>2.524063E-2</v>
      </c>
      <c r="AA4064">
        <v>0.95348529999999998</v>
      </c>
      <c r="AB4064">
        <v>22</v>
      </c>
      <c r="AC4064">
        <v>-7.8826999999999998</v>
      </c>
      <c r="AD4064">
        <v>-1.04875303999999</v>
      </c>
      <c r="AE4064">
        <v>-6.9303999999999899</v>
      </c>
      <c r="AF4064">
        <v>-3.1731712940547498</v>
      </c>
      <c r="AG4064">
        <v>-1.04875303999999</v>
      </c>
      <c r="AH4064">
        <v>9.8960159275064097</v>
      </c>
      <c r="AI4064">
        <v>95.762565296421798</v>
      </c>
      <c r="AJ4064">
        <v>107.77852051822801</v>
      </c>
      <c r="AK4064">
        <v>10.4450959898788</v>
      </c>
      <c r="AL4064">
        <v>87.597613447846101</v>
      </c>
      <c r="AM4064">
        <v>91.284775696438402</v>
      </c>
      <c r="AN4064">
        <v>0.99999999167909104</v>
      </c>
    </row>
    <row r="4065" spans="1:40" x14ac:dyDescent="0.25">
      <c r="A4065" t="str">
        <f>"20190312154639531"</f>
        <v>20190312154639531</v>
      </c>
      <c r="B4065" t="str">
        <f>"1552376799521247"</f>
        <v>1552376799521247</v>
      </c>
      <c r="C4065" t="s">
        <v>40</v>
      </c>
      <c r="D4065">
        <v>4.4904270000000004</v>
      </c>
      <c r="E4065">
        <v>0.38885550000000002</v>
      </c>
      <c r="F4065" t="s">
        <v>52</v>
      </c>
      <c r="G4065">
        <v>-407.36939999999998</v>
      </c>
      <c r="H4065">
        <v>7.9986909999999994E-2</v>
      </c>
      <c r="I4065">
        <v>129.35720000000001</v>
      </c>
      <c r="J4065">
        <v>-399.59379999999999</v>
      </c>
      <c r="K4065">
        <v>1.1152820000000001</v>
      </c>
      <c r="L4065">
        <v>136.3244</v>
      </c>
      <c r="M4065">
        <v>-0.9126145</v>
      </c>
      <c r="N4065">
        <v>0</v>
      </c>
      <c r="O4065">
        <v>-0.40857310000000002</v>
      </c>
      <c r="P4065">
        <v>-0.90277719999999995</v>
      </c>
      <c r="Q4065">
        <v>2.5884549999999999E-2</v>
      </c>
      <c r="R4065">
        <v>-0.42932920000000002</v>
      </c>
      <c r="S4065">
        <v>-2.3530880000000001</v>
      </c>
      <c r="T4065">
        <v>-0.30478549999999999</v>
      </c>
      <c r="U4065">
        <v>-2.08284</v>
      </c>
      <c r="V4065">
        <v>-2.3471829999999999E-2</v>
      </c>
      <c r="W4065">
        <v>3.9832369999999999E-2</v>
      </c>
      <c r="X4065">
        <v>0.9989306</v>
      </c>
      <c r="Y4065">
        <v>-0.29935820000000002</v>
      </c>
      <c r="Z4065">
        <v>2.599885E-2</v>
      </c>
      <c r="AA4065">
        <v>0.95378660000000004</v>
      </c>
      <c r="AB4065">
        <v>22</v>
      </c>
      <c r="AC4065">
        <v>-7.7755999999999901</v>
      </c>
      <c r="AD4065">
        <v>-1.03529509</v>
      </c>
      <c r="AE4065">
        <v>-6.9671999999999903</v>
      </c>
      <c r="AF4065">
        <v>-3.1508069031193999</v>
      </c>
      <c r="AG4065">
        <v>-1.03529509</v>
      </c>
      <c r="AH4065">
        <v>9.8469175076801605</v>
      </c>
      <c r="AI4065">
        <v>95.7183952116673</v>
      </c>
      <c r="AJ4065">
        <v>107.74358062477999</v>
      </c>
      <c r="AK4065">
        <v>10.3904381268154</v>
      </c>
      <c r="AL4065">
        <v>87.717169248388103</v>
      </c>
      <c r="AM4065">
        <v>91.346028823682701</v>
      </c>
      <c r="AN4065">
        <v>0.99999994405986103</v>
      </c>
    </row>
    <row r="4066" spans="1:40" x14ac:dyDescent="0.25">
      <c r="A4066" t="str">
        <f>"20190312154639553"</f>
        <v>20190312154639553</v>
      </c>
      <c r="B4066" t="str">
        <f>"1552376799541744"</f>
        <v>1552376799541744</v>
      </c>
      <c r="C4066" t="s">
        <v>40</v>
      </c>
      <c r="D4066">
        <v>4.4699650000000002</v>
      </c>
      <c r="E4066">
        <v>0.38891179999999997</v>
      </c>
      <c r="F4066" t="s">
        <v>52</v>
      </c>
      <c r="G4066">
        <v>-407.30079999999998</v>
      </c>
      <c r="H4066">
        <v>7.9986940000000006E-2</v>
      </c>
      <c r="I4066">
        <v>129.352</v>
      </c>
      <c r="J4066">
        <v>-399.7878</v>
      </c>
      <c r="K4066">
        <v>1.115267</v>
      </c>
      <c r="L4066">
        <v>136.226</v>
      </c>
      <c r="M4066">
        <v>-0.90888829999999998</v>
      </c>
      <c r="N4066">
        <v>0</v>
      </c>
      <c r="O4066">
        <v>-0.41679579999999999</v>
      </c>
      <c r="P4066">
        <v>-0.89853179999999999</v>
      </c>
      <c r="Q4066">
        <v>2.3243509999999998E-2</v>
      </c>
      <c r="R4066">
        <v>-0.43829259999999898</v>
      </c>
      <c r="S4066">
        <v>-2.3297119999999998</v>
      </c>
      <c r="T4066">
        <v>-0.31295610000000001</v>
      </c>
      <c r="U4066">
        <v>-2.1076809999999999</v>
      </c>
      <c r="V4066">
        <v>-2.433074E-2</v>
      </c>
      <c r="W4066">
        <v>3.7188359999999997E-2</v>
      </c>
      <c r="X4066">
        <v>0.99901209999999996</v>
      </c>
      <c r="Y4066">
        <v>-0.30114150000000001</v>
      </c>
      <c r="Z4066">
        <v>2.748569E-2</v>
      </c>
      <c r="AA4066">
        <v>0.95318329999999996</v>
      </c>
      <c r="AB4066">
        <v>22</v>
      </c>
      <c r="AC4066">
        <v>-7.5129999999999697</v>
      </c>
      <c r="AD4066">
        <v>-1.0352800600000001</v>
      </c>
      <c r="AE4066">
        <v>-6.8739999999999899</v>
      </c>
      <c r="AF4066">
        <v>-3.0847444946757698</v>
      </c>
      <c r="AG4066">
        <v>-1.0352800600000001</v>
      </c>
      <c r="AH4066">
        <v>9.5953410003321906</v>
      </c>
      <c r="AI4066">
        <v>95.864657526531701</v>
      </c>
      <c r="AJ4066">
        <v>107.82174505121</v>
      </c>
      <c r="AK4066">
        <v>10.1320295258512</v>
      </c>
      <c r="AL4066">
        <v>87.868772637511597</v>
      </c>
      <c r="AM4066">
        <v>91.395151453016794</v>
      </c>
      <c r="AN4066">
        <v>1.0000000674874201</v>
      </c>
    </row>
    <row r="4067" spans="1:40" x14ac:dyDescent="0.25">
      <c r="A4067" t="str">
        <f>"20190312154639577"</f>
        <v>20190312154639577</v>
      </c>
      <c r="B4067" t="str">
        <f>"1552376799571531"</f>
        <v>1552376799571531</v>
      </c>
      <c r="C4067" t="s">
        <v>40</v>
      </c>
      <c r="D4067">
        <v>4.463997</v>
      </c>
      <c r="E4067">
        <v>0.38909919999999998</v>
      </c>
      <c r="F4067" t="s">
        <v>52</v>
      </c>
      <c r="G4067">
        <v>-407.19650000000001</v>
      </c>
      <c r="H4067">
        <v>7.9986940000000006E-2</v>
      </c>
      <c r="I4067">
        <v>129.3896</v>
      </c>
      <c r="J4067">
        <v>-399.98570000000001</v>
      </c>
      <c r="K4067">
        <v>1.1152409999999999</v>
      </c>
      <c r="L4067">
        <v>136.1233</v>
      </c>
      <c r="M4067">
        <v>-0.90498520000000005</v>
      </c>
      <c r="N4067">
        <v>0</v>
      </c>
      <c r="O4067">
        <v>-0.42520390000000002</v>
      </c>
      <c r="P4067">
        <v>-0.89389989999999997</v>
      </c>
      <c r="Q4067">
        <v>2.3045610000000001E-2</v>
      </c>
      <c r="R4067">
        <v>-0.44767400000000002</v>
      </c>
      <c r="S4067">
        <v>-2.3081969999999998</v>
      </c>
      <c r="T4067">
        <v>-0.32254719999999998</v>
      </c>
      <c r="U4067">
        <v>-2.1299290000000002</v>
      </c>
      <c r="V4067">
        <v>-2.5519460000000001E-2</v>
      </c>
      <c r="W4067">
        <v>3.6981559999999997E-2</v>
      </c>
      <c r="X4067">
        <v>0.99899009999999999</v>
      </c>
      <c r="Y4067">
        <v>-0.30174869999999998</v>
      </c>
      <c r="Z4067">
        <v>2.9222450000000001E-2</v>
      </c>
      <c r="AA4067">
        <v>0.9529396</v>
      </c>
      <c r="AB4067">
        <v>22</v>
      </c>
      <c r="AC4067">
        <v>-7.2107999999999999</v>
      </c>
      <c r="AD4067">
        <v>-1.03525406</v>
      </c>
      <c r="AE4067">
        <v>-6.73369999999999</v>
      </c>
      <c r="AF4067">
        <v>-2.9951680698699499</v>
      </c>
      <c r="AG4067">
        <v>-1.03525406</v>
      </c>
      <c r="AH4067">
        <v>9.2875566073713696</v>
      </c>
      <c r="AI4067">
        <v>96.055666235522907</v>
      </c>
      <c r="AJ4067">
        <v>107.87412615801099</v>
      </c>
      <c r="AK4067">
        <v>9.8133322816789708</v>
      </c>
      <c r="AL4067">
        <v>87.880629521467696</v>
      </c>
      <c r="AM4067">
        <v>91.463317233424505</v>
      </c>
      <c r="AN4067">
        <v>1.0000000492583601</v>
      </c>
    </row>
    <row r="4068" spans="1:40" x14ac:dyDescent="0.25">
      <c r="A4068" t="str">
        <f>"20190312154639616"</f>
        <v>20190312154639616</v>
      </c>
      <c r="B4068" t="str">
        <f>"1552376799611547"</f>
        <v>1552376799611547</v>
      </c>
      <c r="C4068" t="s">
        <v>40</v>
      </c>
      <c r="D4068">
        <v>4.4984310000000001</v>
      </c>
      <c r="E4068">
        <v>0.3894109</v>
      </c>
      <c r="F4068" t="s">
        <v>52</v>
      </c>
      <c r="G4068">
        <v>-407.28530000000001</v>
      </c>
      <c r="H4068">
        <v>7.9987020000000006E-2</v>
      </c>
      <c r="I4068">
        <v>129.25200000000001</v>
      </c>
      <c r="J4068">
        <v>-400.31079999999997</v>
      </c>
      <c r="K4068">
        <v>1.1152029999999999</v>
      </c>
      <c r="L4068">
        <v>135.9496</v>
      </c>
      <c r="M4068">
        <v>-0.89837649999999902</v>
      </c>
      <c r="N4068">
        <v>0</v>
      </c>
      <c r="O4068">
        <v>-0.43899440000000001</v>
      </c>
      <c r="P4068">
        <v>-0.88560209999999995</v>
      </c>
      <c r="Q4068">
        <v>2.7078040000000001E-2</v>
      </c>
      <c r="R4068">
        <v>-0.46365430000000002</v>
      </c>
      <c r="S4068">
        <v>-2.28653</v>
      </c>
      <c r="T4068">
        <v>-0.32428430000000003</v>
      </c>
      <c r="U4068">
        <v>-2.152374</v>
      </c>
      <c r="V4068">
        <v>-2.8277799999999999E-2</v>
      </c>
      <c r="W4068">
        <v>4.0982989999999997E-2</v>
      </c>
      <c r="X4068">
        <v>0.99875959999999997</v>
      </c>
      <c r="Y4068">
        <v>-0.29671449999999999</v>
      </c>
      <c r="Z4068">
        <v>3.1157310000000001E-2</v>
      </c>
      <c r="AA4068">
        <v>0.95445780000000002</v>
      </c>
      <c r="AB4068">
        <v>22</v>
      </c>
      <c r="AC4068">
        <v>-6.9745000000000301</v>
      </c>
      <c r="AD4068">
        <v>-1.03521598</v>
      </c>
      <c r="AE4068">
        <v>-6.6975999999999898</v>
      </c>
      <c r="AF4068">
        <v>-2.92201009437365</v>
      </c>
      <c r="AG4068">
        <v>-1.03521598</v>
      </c>
      <c r="AH4068">
        <v>9.1025437471667008</v>
      </c>
      <c r="AI4068">
        <v>96.180232021251101</v>
      </c>
      <c r="AJ4068">
        <v>107.797164051905</v>
      </c>
      <c r="AK4068">
        <v>9.6159304170710609</v>
      </c>
      <c r="AL4068">
        <v>87.651189789783899</v>
      </c>
      <c r="AM4068">
        <v>91.621777526243605</v>
      </c>
      <c r="AN4068">
        <v>0.99999998901716902</v>
      </c>
    </row>
    <row r="4069" spans="1:40" x14ac:dyDescent="0.25">
      <c r="A4069" t="str">
        <f>"20190312154639637"</f>
        <v>20190312154639637</v>
      </c>
      <c r="B4069" t="str">
        <f>"1552376799632043"</f>
        <v>1552376799632043</v>
      </c>
      <c r="C4069" t="s">
        <v>40</v>
      </c>
      <c r="D4069">
        <v>4.4886210000000002</v>
      </c>
      <c r="E4069">
        <v>0.40030850000000001</v>
      </c>
      <c r="F4069" t="s">
        <v>52</v>
      </c>
      <c r="G4069">
        <v>-407.73719999999997</v>
      </c>
      <c r="H4069">
        <v>7.998719E-2</v>
      </c>
      <c r="I4069">
        <v>128.715</v>
      </c>
      <c r="J4069">
        <v>-400.4973</v>
      </c>
      <c r="K4069">
        <v>1.1151759999999999</v>
      </c>
      <c r="L4069">
        <v>135.84710000000001</v>
      </c>
      <c r="M4069">
        <v>-0.89447770000000004</v>
      </c>
      <c r="N4069">
        <v>0</v>
      </c>
      <c r="O4069">
        <v>-0.44688529999999999</v>
      </c>
      <c r="P4069">
        <v>-0.88160559999999999</v>
      </c>
      <c r="Q4069">
        <v>2.8354020000000001E-2</v>
      </c>
      <c r="R4069">
        <v>-0.47113500000000003</v>
      </c>
      <c r="S4069">
        <v>-2.249695</v>
      </c>
      <c r="T4069">
        <v>-0.31359920000000002</v>
      </c>
      <c r="U4069">
        <v>-2.191589</v>
      </c>
      <c r="V4069">
        <v>-2.7971510000000002E-2</v>
      </c>
      <c r="W4069">
        <v>4.2264570000000001E-2</v>
      </c>
      <c r="X4069">
        <v>0.99871480000000001</v>
      </c>
      <c r="Y4069">
        <v>-0.30461290000000002</v>
      </c>
      <c r="Z4069">
        <v>3.0598429999999999E-2</v>
      </c>
      <c r="AA4069">
        <v>0.95198459999999996</v>
      </c>
      <c r="AB4069">
        <v>21</v>
      </c>
      <c r="AC4069">
        <v>-7.2398999999999702</v>
      </c>
      <c r="AD4069">
        <v>-1.03518881</v>
      </c>
      <c r="AE4069">
        <v>-7.1321000000000003</v>
      </c>
      <c r="AF4069">
        <v>-3.1121289801403398</v>
      </c>
      <c r="AG4069">
        <v>-1.03518881</v>
      </c>
      <c r="AH4069">
        <v>9.5649006319943393</v>
      </c>
      <c r="AI4069">
        <v>95.876033244725704</v>
      </c>
      <c r="AJ4069">
        <v>108.02331885327</v>
      </c>
      <c r="AK4069">
        <v>10.11159170266</v>
      </c>
      <c r="AL4069">
        <v>87.577696933838098</v>
      </c>
      <c r="AM4069">
        <v>91.604292453099106</v>
      </c>
      <c r="AN4069">
        <v>0.99999997549400199</v>
      </c>
    </row>
    <row r="4070" spans="1:40" x14ac:dyDescent="0.25">
      <c r="A4070" t="str">
        <f>"20190312154639661"</f>
        <v>20190312154639661</v>
      </c>
      <c r="B4070" t="str">
        <f>"1552376799651563"</f>
        <v>1552376799651563</v>
      </c>
      <c r="C4070" t="s">
        <v>40</v>
      </c>
      <c r="D4070">
        <v>4.4117119999999996</v>
      </c>
      <c r="E4070">
        <v>0.3997752</v>
      </c>
      <c r="F4070" t="s">
        <v>52</v>
      </c>
      <c r="G4070">
        <v>-407.59440000000001</v>
      </c>
      <c r="H4070">
        <v>7.9986970000000004E-2</v>
      </c>
      <c r="I4070">
        <v>129.17660000000001</v>
      </c>
      <c r="J4070">
        <v>-400.68759999999997</v>
      </c>
      <c r="K4070">
        <v>1.1151530000000001</v>
      </c>
      <c r="L4070">
        <v>135.74029999999999</v>
      </c>
      <c r="M4070">
        <v>-0.89042169999999898</v>
      </c>
      <c r="N4070">
        <v>0</v>
      </c>
      <c r="O4070">
        <v>-0.45491290000000001</v>
      </c>
      <c r="P4070">
        <v>-0.87765329999999997</v>
      </c>
      <c r="Q4070">
        <v>2.9179070000000001E-2</v>
      </c>
      <c r="R4070">
        <v>-0.47840690000000002</v>
      </c>
      <c r="S4070">
        <v>-2.2722470000000001</v>
      </c>
      <c r="T4070">
        <v>-0.33143280000000003</v>
      </c>
      <c r="U4070">
        <v>-2.1356510000000002</v>
      </c>
      <c r="V4070">
        <v>-2.726286E-2</v>
      </c>
      <c r="W4070">
        <v>4.3098280000000003E-2</v>
      </c>
      <c r="X4070">
        <v>0.9986988</v>
      </c>
      <c r="Y4070">
        <v>-0.27912189999999998</v>
      </c>
      <c r="Z4070">
        <v>3.4758940000000002E-2</v>
      </c>
      <c r="AA4070">
        <v>0.95962639999999999</v>
      </c>
      <c r="AB4070">
        <v>21</v>
      </c>
      <c r="AC4070">
        <v>-6.9068000000000298</v>
      </c>
      <c r="AD4070">
        <v>-1.0351660300000001</v>
      </c>
      <c r="AE4070">
        <v>-6.5636999999999803</v>
      </c>
      <c r="AF4070">
        <v>-2.6712144811842999</v>
      </c>
      <c r="AG4070">
        <v>-1.0351660300000001</v>
      </c>
      <c r="AH4070">
        <v>9.0302201062205896</v>
      </c>
      <c r="AI4070">
        <v>96.273053416204505</v>
      </c>
      <c r="AJ4070">
        <v>106.478656860944</v>
      </c>
      <c r="AK4070">
        <v>9.4737442799003908</v>
      </c>
      <c r="AL4070">
        <v>87.529885381061206</v>
      </c>
      <c r="AM4070">
        <v>91.563693653780007</v>
      </c>
      <c r="AN4070">
        <v>1.00000000919788</v>
      </c>
    </row>
    <row r="4071" spans="1:40" x14ac:dyDescent="0.25">
      <c r="A4071" t="str">
        <f>"20190312154639683"</f>
        <v>20190312154639683</v>
      </c>
      <c r="B4071" t="str">
        <f>"1552376799671591"</f>
        <v>1552376799671591</v>
      </c>
      <c r="C4071" t="s">
        <v>40</v>
      </c>
      <c r="D4071">
        <v>4.428153</v>
      </c>
      <c r="E4071">
        <v>0.39939219999999998</v>
      </c>
      <c r="F4071" t="s">
        <v>52</v>
      </c>
      <c r="G4071">
        <v>-407.88850000000002</v>
      </c>
      <c r="H4071">
        <v>7.9987119999999995E-2</v>
      </c>
      <c r="I4071">
        <v>128.83609999999999</v>
      </c>
      <c r="J4071">
        <v>-400.86279999999999</v>
      </c>
      <c r="K4071">
        <v>1.1151199999999999</v>
      </c>
      <c r="L4071">
        <v>135.63999999999999</v>
      </c>
      <c r="M4071">
        <v>-0.88662019999999997</v>
      </c>
      <c r="N4071">
        <v>0</v>
      </c>
      <c r="O4071">
        <v>-0.46227790000000002</v>
      </c>
      <c r="P4071">
        <v>-0.87420719999999996</v>
      </c>
      <c r="Q4071">
        <v>3.0528119999999999E-2</v>
      </c>
      <c r="R4071">
        <v>-0.48459200000000002</v>
      </c>
      <c r="S4071">
        <v>-2.2519840000000002</v>
      </c>
      <c r="T4071">
        <v>-0.32373629999999998</v>
      </c>
      <c r="U4071">
        <v>-2.1592099999999999</v>
      </c>
      <c r="V4071">
        <v>-2.6070260000000001E-2</v>
      </c>
      <c r="W4071">
        <v>4.4461199999999999E-2</v>
      </c>
      <c r="X4071">
        <v>0.99867090000000003</v>
      </c>
      <c r="Y4071">
        <v>-0.28070070000000003</v>
      </c>
      <c r="Z4071">
        <v>3.4680759999999998E-2</v>
      </c>
      <c r="AA4071">
        <v>0.95916860000000004</v>
      </c>
      <c r="AB4071">
        <v>21</v>
      </c>
      <c r="AC4071">
        <v>-7.02570000000002</v>
      </c>
      <c r="AD4071">
        <v>-1.0351328799999999</v>
      </c>
      <c r="AE4071">
        <v>-6.8038999999999898</v>
      </c>
      <c r="AF4071">
        <v>-2.7540821628438801</v>
      </c>
      <c r="AG4071">
        <v>-1.0351328799999999</v>
      </c>
      <c r="AH4071">
        <v>9.2715168699968498</v>
      </c>
      <c r="AI4071">
        <v>96.108803269350702</v>
      </c>
      <c r="AJ4071">
        <v>106.54392755324901</v>
      </c>
      <c r="AK4071">
        <v>9.7271523946933307</v>
      </c>
      <c r="AL4071">
        <v>87.451720874543895</v>
      </c>
      <c r="AM4071">
        <v>91.495364189134406</v>
      </c>
      <c r="AN4071">
        <v>1.0000000116343499</v>
      </c>
    </row>
    <row r="4072" spans="1:40" x14ac:dyDescent="0.25">
      <c r="A4072" t="str">
        <f>"20190312154639706"</f>
        <v>20190312154639706</v>
      </c>
      <c r="B4072" t="str">
        <f>"1552376799701848"</f>
        <v>1552376799701848</v>
      </c>
      <c r="C4072" t="s">
        <v>40</v>
      </c>
      <c r="D4072">
        <v>4.4597550000000004</v>
      </c>
      <c r="E4072">
        <v>0.39969349999999998</v>
      </c>
      <c r="F4072" t="s">
        <v>52</v>
      </c>
      <c r="G4072">
        <v>-408.14600000000002</v>
      </c>
      <c r="H4072">
        <v>7.9987180000000005E-2</v>
      </c>
      <c r="I4072">
        <v>128.54150000000001</v>
      </c>
      <c r="J4072">
        <v>-401.0548</v>
      </c>
      <c r="K4072">
        <v>1.1150850000000001</v>
      </c>
      <c r="L4072">
        <v>135.52770000000001</v>
      </c>
      <c r="M4072">
        <v>-0.882382</v>
      </c>
      <c r="N4072">
        <v>0</v>
      </c>
      <c r="O4072">
        <v>-0.4703176</v>
      </c>
      <c r="P4072">
        <v>-0.87047730000000001</v>
      </c>
      <c r="Q4072">
        <v>3.218534E-2</v>
      </c>
      <c r="R4072">
        <v>-0.49115520000000001</v>
      </c>
      <c r="S4072">
        <v>-2.2351679999999998</v>
      </c>
      <c r="T4072">
        <v>-0.31767699999999999</v>
      </c>
      <c r="U4072">
        <v>-2.1784819999999998</v>
      </c>
      <c r="V4072">
        <v>-2.4548799999999999E-2</v>
      </c>
      <c r="W4072">
        <v>4.6134130000000002E-2</v>
      </c>
      <c r="X4072">
        <v>0.99863360000000001</v>
      </c>
      <c r="Y4072">
        <v>-0.27983619999999998</v>
      </c>
      <c r="Z4072">
        <v>3.4939360000000003E-2</v>
      </c>
      <c r="AA4072">
        <v>0.95941180000000004</v>
      </c>
      <c r="AB4072">
        <v>21</v>
      </c>
      <c r="AC4072">
        <v>-7.09119999999995</v>
      </c>
      <c r="AD4072">
        <v>-1.0350978200000001</v>
      </c>
      <c r="AE4072">
        <v>-6.9861999999999904</v>
      </c>
      <c r="AF4072">
        <v>-2.7994003512597798</v>
      </c>
      <c r="AG4072">
        <v>-1.0350978200000001</v>
      </c>
      <c r="AH4072">
        <v>9.4417620412923799</v>
      </c>
      <c r="AI4072">
        <v>96.000167625203105</v>
      </c>
      <c r="AJ4072">
        <v>106.51463227938</v>
      </c>
      <c r="AK4072">
        <v>9.9022694503831694</v>
      </c>
      <c r="AL4072">
        <v>87.355770606168093</v>
      </c>
      <c r="AM4072">
        <v>91.408183555106206</v>
      </c>
      <c r="AN4072">
        <v>1.0000000342906199</v>
      </c>
    </row>
    <row r="4073" spans="1:40" x14ac:dyDescent="0.25">
      <c r="A4073" t="str">
        <f>"20190312154639728"</f>
        <v>20190312154639728</v>
      </c>
      <c r="B4073" t="str">
        <f>"1552376799721367"</f>
        <v>1552376799721367</v>
      </c>
      <c r="C4073" t="s">
        <v>40</v>
      </c>
      <c r="D4073">
        <v>4.4964879999999896</v>
      </c>
      <c r="E4073">
        <v>0.40539530000000001</v>
      </c>
      <c r="F4073" t="s">
        <v>52</v>
      </c>
      <c r="G4073">
        <v>-408.27949999999998</v>
      </c>
      <c r="H4073">
        <v>7.9987210000000003E-2</v>
      </c>
      <c r="I4073">
        <v>128.39080000000001</v>
      </c>
      <c r="J4073">
        <v>-401.22160000000002</v>
      </c>
      <c r="K4073">
        <v>1.115048</v>
      </c>
      <c r="L4073">
        <v>135.42840000000001</v>
      </c>
      <c r="M4073">
        <v>-0.87863899999999995</v>
      </c>
      <c r="N4073">
        <v>0</v>
      </c>
      <c r="O4073">
        <v>-0.47727389999999997</v>
      </c>
      <c r="P4073">
        <v>-0.86751270000000003</v>
      </c>
      <c r="Q4073">
        <v>3.2484819999999998E-2</v>
      </c>
      <c r="R4073">
        <v>-0.49635319999999999</v>
      </c>
      <c r="S4073">
        <v>-2.2204899999999999</v>
      </c>
      <c r="T4073">
        <v>-0.31813380000000002</v>
      </c>
      <c r="U4073">
        <v>-2.193527</v>
      </c>
      <c r="V4073">
        <v>-2.2635590000000001E-2</v>
      </c>
      <c r="W4073">
        <v>4.645374E-2</v>
      </c>
      <c r="X4073">
        <v>0.998664</v>
      </c>
      <c r="Y4073">
        <v>-0.27874710000000003</v>
      </c>
      <c r="Z4073">
        <v>3.5800699999999998E-2</v>
      </c>
      <c r="AA4073">
        <v>0.95969700000000002</v>
      </c>
      <c r="AB4073">
        <v>21</v>
      </c>
      <c r="AC4073">
        <v>-7.0578999999999601</v>
      </c>
      <c r="AD4073">
        <v>-1.03506079</v>
      </c>
      <c r="AE4073">
        <v>-7.0375999999999896</v>
      </c>
      <c r="AF4073">
        <v>-2.7852072598906901</v>
      </c>
      <c r="AG4073">
        <v>-1.03506079</v>
      </c>
      <c r="AH4073">
        <v>9.4591677839231707</v>
      </c>
      <c r="AI4073">
        <v>95.992300945540407</v>
      </c>
      <c r="AJ4073">
        <v>106.406815940356</v>
      </c>
      <c r="AK4073">
        <v>9.91486689189286</v>
      </c>
      <c r="AL4073">
        <v>87.337438696462002</v>
      </c>
      <c r="AM4073">
        <v>91.298436458708295</v>
      </c>
      <c r="AN4073">
        <v>1.0000000523953101</v>
      </c>
    </row>
    <row r="4074" spans="1:40" x14ac:dyDescent="0.25">
      <c r="A4074" t="str">
        <f>"20190312154639755"</f>
        <v>20190312154639755</v>
      </c>
      <c r="B4074" t="str">
        <f>"1552376799741863"</f>
        <v>1552376799741863</v>
      </c>
      <c r="C4074" t="s">
        <v>40</v>
      </c>
      <c r="D4074">
        <v>4.4784769999999998</v>
      </c>
      <c r="E4074">
        <v>0.40602670000000002</v>
      </c>
      <c r="F4074" t="s">
        <v>52</v>
      </c>
      <c r="G4074">
        <v>-407.81630000000001</v>
      </c>
      <c r="H4074">
        <v>7.9987030000000001E-2</v>
      </c>
      <c r="I4074">
        <v>129.01410000000001</v>
      </c>
      <c r="J4074">
        <v>-401.4434</v>
      </c>
      <c r="K4074">
        <v>1.1149739999999999</v>
      </c>
      <c r="L4074">
        <v>135.29349999999999</v>
      </c>
      <c r="M4074">
        <v>-0.87357969999999896</v>
      </c>
      <c r="N4074">
        <v>0</v>
      </c>
      <c r="O4074">
        <v>-0.48647269999999998</v>
      </c>
      <c r="P4074">
        <v>-0.86328839999999996</v>
      </c>
      <c r="Q4074">
        <v>3.0621329999999999E-2</v>
      </c>
      <c r="R4074">
        <v>-0.50378140000000005</v>
      </c>
      <c r="S4074">
        <v>-2.2301639999999998</v>
      </c>
      <c r="T4074">
        <v>-0.35003499999999999</v>
      </c>
      <c r="U4074">
        <v>-2.1691590000000001</v>
      </c>
      <c r="V4074">
        <v>-2.0659150000000001E-2</v>
      </c>
      <c r="W4074">
        <v>4.4609830000000003E-2</v>
      </c>
      <c r="X4074">
        <v>0.99879090000000004</v>
      </c>
      <c r="Y4074">
        <v>-0.2614707</v>
      </c>
      <c r="Z4074">
        <v>4.1496789999999999E-2</v>
      </c>
      <c r="AA4074">
        <v>0.96431900000000004</v>
      </c>
      <c r="AB4074">
        <v>21</v>
      </c>
      <c r="AC4074">
        <v>-6.3729000000000102</v>
      </c>
      <c r="AD4074">
        <v>-1.0349869699999901</v>
      </c>
      <c r="AE4074">
        <v>-6.2793999999999803</v>
      </c>
      <c r="AF4074">
        <v>-2.3540533235540999</v>
      </c>
      <c r="AG4074">
        <v>-1.0349869699999901</v>
      </c>
      <c r="AH4074">
        <v>8.5089956419604693</v>
      </c>
      <c r="AI4074">
        <v>96.686314598426407</v>
      </c>
      <c r="AJ4074">
        <v>105.464353565278</v>
      </c>
      <c r="AK4074">
        <v>8.8890816124675194</v>
      </c>
      <c r="AL4074">
        <v>87.443196642408097</v>
      </c>
      <c r="AM4074">
        <v>91.184946058268693</v>
      </c>
      <c r="AN4074">
        <v>1.00000004966707</v>
      </c>
    </row>
    <row r="4075" spans="1:40" x14ac:dyDescent="0.25">
      <c r="A4075" t="str">
        <f>"20190312154639778"</f>
        <v>20190312154639778</v>
      </c>
      <c r="B4075" t="str">
        <f>"1552376799771650"</f>
        <v>1552376799771650</v>
      </c>
      <c r="C4075" t="s">
        <v>40</v>
      </c>
      <c r="D4075">
        <v>4.4763060000000001</v>
      </c>
      <c r="E4075">
        <v>0.4071803</v>
      </c>
      <c r="F4075" t="s">
        <v>52</v>
      </c>
      <c r="G4075">
        <v>-407.7115</v>
      </c>
      <c r="H4075">
        <v>7.9986989999999994E-2</v>
      </c>
      <c r="I4075">
        <v>129.10720000000001</v>
      </c>
      <c r="J4075">
        <v>-401.62369999999999</v>
      </c>
      <c r="K4075">
        <v>1.114906</v>
      </c>
      <c r="L4075">
        <v>135.18170000000001</v>
      </c>
      <c r="M4075">
        <v>-0.86940930000000005</v>
      </c>
      <c r="N4075">
        <v>0</v>
      </c>
      <c r="O4075">
        <v>-0.49388769999999999</v>
      </c>
      <c r="P4075">
        <v>-0.85983319999999996</v>
      </c>
      <c r="Q4075">
        <v>2.8765720000000002E-2</v>
      </c>
      <c r="R4075">
        <v>-0.50976469999999996</v>
      </c>
      <c r="S4075">
        <v>-2.2132869999999998</v>
      </c>
      <c r="T4075">
        <v>-0.36546000000000001</v>
      </c>
      <c r="U4075">
        <v>-2.184418</v>
      </c>
      <c r="V4075">
        <v>-1.9036609999999999E-2</v>
      </c>
      <c r="W4075">
        <v>4.2768130000000001E-2</v>
      </c>
      <c r="X4075">
        <v>0.9989036</v>
      </c>
      <c r="Y4075">
        <v>-0.26044070000000002</v>
      </c>
      <c r="Z4075">
        <v>4.4315769999999997E-2</v>
      </c>
      <c r="AA4075">
        <v>0.9644722</v>
      </c>
      <c r="AB4075">
        <v>21</v>
      </c>
      <c r="AC4075">
        <v>-6.0878000000000103</v>
      </c>
      <c r="AD4075">
        <v>-1.0349190100000001</v>
      </c>
      <c r="AE4075">
        <v>-6.0744999999999996</v>
      </c>
      <c r="AF4075">
        <v>-2.2422958800770498</v>
      </c>
      <c r="AG4075">
        <v>-1.0349190100000001</v>
      </c>
      <c r="AH4075">
        <v>8.1753594631323399</v>
      </c>
      <c r="AI4075">
        <v>96.960306558234905</v>
      </c>
      <c r="AJ4075">
        <v>105.33761975477</v>
      </c>
      <c r="AK4075">
        <v>8.5402254374517206</v>
      </c>
      <c r="AL4075">
        <v>87.548818904531601</v>
      </c>
      <c r="AM4075">
        <v>91.091782422918001</v>
      </c>
      <c r="AN4075">
        <v>0.99999995377847295</v>
      </c>
    </row>
    <row r="4076" spans="1:40" x14ac:dyDescent="0.25">
      <c r="A4076" t="str">
        <f>"20190312154639816"</f>
        <v>20190312154639816</v>
      </c>
      <c r="B4076" t="str">
        <f>"1552376799811666"</f>
        <v>1552376799811666</v>
      </c>
      <c r="C4076" t="s">
        <v>40</v>
      </c>
      <c r="D4076">
        <v>4.4436070000000001</v>
      </c>
      <c r="E4076">
        <v>0.40696759999999998</v>
      </c>
      <c r="F4076" t="s">
        <v>52</v>
      </c>
      <c r="G4076">
        <v>-407.82310000000001</v>
      </c>
      <c r="H4076">
        <v>7.9987030000000001E-2</v>
      </c>
      <c r="I4076">
        <v>129.00640000000001</v>
      </c>
      <c r="J4076">
        <v>-401.92930000000001</v>
      </c>
      <c r="K4076">
        <v>1.114768</v>
      </c>
      <c r="L4076">
        <v>134.98750000000001</v>
      </c>
      <c r="M4076">
        <v>-0.8622803</v>
      </c>
      <c r="N4076">
        <v>0</v>
      </c>
      <c r="O4076">
        <v>-0.50623209999999996</v>
      </c>
      <c r="P4076">
        <v>-0.85197860000000003</v>
      </c>
      <c r="Q4076">
        <v>3.065006E-2</v>
      </c>
      <c r="R4076">
        <v>-0.52267929999999996</v>
      </c>
      <c r="S4076">
        <v>-2.201355</v>
      </c>
      <c r="T4076">
        <v>-0.36749389999999998</v>
      </c>
      <c r="U4076">
        <v>-2.1928100000000001</v>
      </c>
      <c r="V4076">
        <v>-1.9906159999999999E-2</v>
      </c>
      <c r="W4076">
        <v>4.4626020000000002E-2</v>
      </c>
      <c r="X4076">
        <v>0.99880539999999995</v>
      </c>
      <c r="Y4076">
        <v>-0.25124790000000002</v>
      </c>
      <c r="Z4076">
        <v>4.6650360000000002E-2</v>
      </c>
      <c r="AA4076">
        <v>0.96679789999999999</v>
      </c>
      <c r="AB4076">
        <v>21</v>
      </c>
      <c r="AC4076">
        <v>-5.8937999999999899</v>
      </c>
      <c r="AD4076">
        <v>-1.0347809699999999</v>
      </c>
      <c r="AE4076">
        <v>-5.9810999999999899</v>
      </c>
      <c r="AF4076">
        <v>-2.1414531437931799</v>
      </c>
      <c r="AG4076">
        <v>-1.0347809699999999</v>
      </c>
      <c r="AH4076">
        <v>7.9894232373785998</v>
      </c>
      <c r="AI4076">
        <v>97.1308209529941</v>
      </c>
      <c r="AJ4076">
        <v>105.004641079992</v>
      </c>
      <c r="AK4076">
        <v>8.3359148801377003</v>
      </c>
      <c r="AL4076">
        <v>87.4422679257993</v>
      </c>
      <c r="AM4076">
        <v>91.141751918391705</v>
      </c>
      <c r="AN4076">
        <v>0.99999998196807205</v>
      </c>
    </row>
    <row r="4077" spans="1:40" x14ac:dyDescent="0.25">
      <c r="A4077" t="str">
        <f>"20190312154639838"</f>
        <v>20190312154639838</v>
      </c>
      <c r="B4077" t="str">
        <f>"1552376799832162"</f>
        <v>1552376799832162</v>
      </c>
      <c r="C4077" t="s">
        <v>40</v>
      </c>
      <c r="D4077">
        <v>4.4558419999999996</v>
      </c>
      <c r="E4077">
        <v>0.40650199999999997</v>
      </c>
      <c r="F4077" t="s">
        <v>52</v>
      </c>
      <c r="G4077">
        <v>-408.23050000000001</v>
      </c>
      <c r="H4077">
        <v>7.9987180000000005E-2</v>
      </c>
      <c r="I4077">
        <v>128.51439999999999</v>
      </c>
      <c r="J4077">
        <v>-402.1044</v>
      </c>
      <c r="K4077">
        <v>1.1146640000000001</v>
      </c>
      <c r="L4077">
        <v>134.87370000000001</v>
      </c>
      <c r="M4077">
        <v>-0.85818419999999895</v>
      </c>
      <c r="N4077">
        <v>0</v>
      </c>
      <c r="O4077">
        <v>-0.51314589999999904</v>
      </c>
      <c r="P4077">
        <v>-0.84719129999999998</v>
      </c>
      <c r="Q4077">
        <v>3.2443960000000001E-2</v>
      </c>
      <c r="R4077">
        <v>-0.53029689999999996</v>
      </c>
      <c r="S4077">
        <v>-2.167786</v>
      </c>
      <c r="T4077">
        <v>-0.3559929</v>
      </c>
      <c r="U4077">
        <v>-2.2269130000000001</v>
      </c>
      <c r="V4077">
        <v>-2.0876530000000001E-2</v>
      </c>
      <c r="W4077">
        <v>4.6396590000000001E-2</v>
      </c>
      <c r="X4077">
        <v>0.99870490000000001</v>
      </c>
      <c r="Y4077">
        <v>-0.25826839999999901</v>
      </c>
      <c r="Z4077">
        <v>4.5679200000000003E-2</v>
      </c>
      <c r="AA4077">
        <v>0.96499259999999998</v>
      </c>
      <c r="AB4077">
        <v>21</v>
      </c>
      <c r="AC4077">
        <v>-6.1261000000000001</v>
      </c>
      <c r="AD4077">
        <v>-1.0346768199999901</v>
      </c>
      <c r="AE4077">
        <v>-6.3593000000000099</v>
      </c>
      <c r="AF4077">
        <v>-2.2827572944593002</v>
      </c>
      <c r="AG4077">
        <v>-1.0346768199999901</v>
      </c>
      <c r="AH4077">
        <v>8.4060102543494608</v>
      </c>
      <c r="AI4077">
        <v>96.774174237380294</v>
      </c>
      <c r="AJ4077">
        <v>105.19298487343001</v>
      </c>
      <c r="AK4077">
        <v>8.7716899958605907</v>
      </c>
      <c r="AL4077">
        <v>87.340716479017303</v>
      </c>
      <c r="AM4077">
        <v>91.197513784058401</v>
      </c>
      <c r="AN4077">
        <v>0.99999997517623895</v>
      </c>
    </row>
    <row r="4078" spans="1:40" x14ac:dyDescent="0.25">
      <c r="A4078" t="str">
        <f>"20190312154639861"</f>
        <v>20190312154639861</v>
      </c>
      <c r="B4078" t="str">
        <f>"1552376799851682"</f>
        <v>1552376799851682</v>
      </c>
      <c r="C4078" t="s">
        <v>40</v>
      </c>
      <c r="D4078">
        <v>4.4259519999999997</v>
      </c>
      <c r="E4078">
        <v>0.40672249999999999</v>
      </c>
      <c r="F4078" t="s">
        <v>52</v>
      </c>
      <c r="G4078">
        <v>-408.46530000000001</v>
      </c>
      <c r="H4078">
        <v>7.9987240000000001E-2</v>
      </c>
      <c r="I4078">
        <v>128.20689999999999</v>
      </c>
      <c r="J4078">
        <v>-402.28199999999998</v>
      </c>
      <c r="K4078">
        <v>1.114528</v>
      </c>
      <c r="L4078">
        <v>134.75649999999999</v>
      </c>
      <c r="M4078">
        <v>-0.85404829999999998</v>
      </c>
      <c r="N4078">
        <v>0</v>
      </c>
      <c r="O4078">
        <v>-0.52000069999999998</v>
      </c>
      <c r="P4078">
        <v>-0.84262839999999894</v>
      </c>
      <c r="Q4078">
        <v>3.2805239999999999E-2</v>
      </c>
      <c r="R4078">
        <v>-0.53749569999999902</v>
      </c>
      <c r="S4078">
        <v>-2.1463619999999999</v>
      </c>
      <c r="T4078">
        <v>-0.34913179999999999</v>
      </c>
      <c r="U4078">
        <v>-2.2495880000000001</v>
      </c>
      <c r="V4078">
        <v>-2.138526E-2</v>
      </c>
      <c r="W4078">
        <v>4.6738590000000003E-2</v>
      </c>
      <c r="X4078">
        <v>0.99867819999999996</v>
      </c>
      <c r="Y4078">
        <v>-0.26018180000000002</v>
      </c>
      <c r="Z4078">
        <v>4.5515140000000003E-2</v>
      </c>
      <c r="AA4078">
        <v>0.96448630000000002</v>
      </c>
      <c r="AB4078">
        <v>21</v>
      </c>
      <c r="AC4078">
        <v>-6.1833000000000302</v>
      </c>
      <c r="AD4078">
        <v>-1.0345407600000001</v>
      </c>
      <c r="AE4078">
        <v>-6.5495999999999901</v>
      </c>
      <c r="AF4078">
        <v>-2.34762331615245</v>
      </c>
      <c r="AG4078">
        <v>-1.0345407600000001</v>
      </c>
      <c r="AH4078">
        <v>8.5743920457100895</v>
      </c>
      <c r="AI4078">
        <v>96.637751398638997</v>
      </c>
      <c r="AJ4078">
        <v>105.312029608758</v>
      </c>
      <c r="AK4078">
        <v>8.9499613838373904</v>
      </c>
      <c r="AL4078">
        <v>87.321100070190099</v>
      </c>
      <c r="AM4078">
        <v>91.226719389935397</v>
      </c>
      <c r="AN4078">
        <v>0.99999998614784702</v>
      </c>
    </row>
    <row r="4079" spans="1:40" x14ac:dyDescent="0.25">
      <c r="A4079" t="str">
        <f>"20190312154639885"</f>
        <v>20190312154639885</v>
      </c>
      <c r="B4079" t="str">
        <f>"1552376799881469"</f>
        <v>1552376799881469</v>
      </c>
      <c r="C4079" t="s">
        <v>40</v>
      </c>
      <c r="D4079">
        <v>4.4613829999999997</v>
      </c>
      <c r="E4079">
        <v>0.4072636</v>
      </c>
      <c r="F4079" t="s">
        <v>52</v>
      </c>
      <c r="G4079">
        <v>-408.62009999999998</v>
      </c>
      <c r="H4079">
        <v>7.9987279999999994E-2</v>
      </c>
      <c r="I4079">
        <v>128.0086</v>
      </c>
      <c r="J4079">
        <v>-402.4606</v>
      </c>
      <c r="K4079">
        <v>1.1143449999999999</v>
      </c>
      <c r="L4079">
        <v>134.63679999999999</v>
      </c>
      <c r="M4079">
        <v>-0.84996090000000002</v>
      </c>
      <c r="N4079">
        <v>0</v>
      </c>
      <c r="O4079">
        <v>-0.52665620000000002</v>
      </c>
      <c r="P4079">
        <v>-0.83817849999999905</v>
      </c>
      <c r="Q4079">
        <v>3.226648E-2</v>
      </c>
      <c r="R4079">
        <v>-0.54444119999999996</v>
      </c>
      <c r="S4079">
        <v>-2.128387</v>
      </c>
      <c r="T4079">
        <v>-0.34740729999999997</v>
      </c>
      <c r="U4079">
        <v>-2.266006</v>
      </c>
      <c r="V4079">
        <v>-2.1801549999999999E-2</v>
      </c>
      <c r="W4079">
        <v>4.6179860000000003E-2</v>
      </c>
      <c r="X4079">
        <v>0.99869520000000001</v>
      </c>
      <c r="Y4079">
        <v>-0.26020969999999999</v>
      </c>
      <c r="Z4079">
        <v>4.609692E-2</v>
      </c>
      <c r="AA4079">
        <v>0.96445110000000001</v>
      </c>
      <c r="AB4079">
        <v>21</v>
      </c>
      <c r="AC4079">
        <v>-6.15949999999998</v>
      </c>
      <c r="AD4079">
        <v>-1.03435772</v>
      </c>
      <c r="AE4079">
        <v>-6.6281999999999899</v>
      </c>
      <c r="AF4079">
        <v>-2.3591812581407599</v>
      </c>
      <c r="AG4079">
        <v>-1.03435772</v>
      </c>
      <c r="AH4079">
        <v>8.6144165267529296</v>
      </c>
      <c r="AI4079">
        <v>96.605909524456806</v>
      </c>
      <c r="AJ4079">
        <v>105.315738536993</v>
      </c>
      <c r="AK4079">
        <v>8.9913182680895201</v>
      </c>
      <c r="AL4079">
        <v>87.353147570075194</v>
      </c>
      <c r="AM4079">
        <v>91.250570176989001</v>
      </c>
      <c r="AN4079">
        <v>0.99999999477753099</v>
      </c>
    </row>
    <row r="4080" spans="1:40" x14ac:dyDescent="0.25">
      <c r="A4080" t="str">
        <f>"20190312154639905"</f>
        <v>20190312154639905</v>
      </c>
      <c r="B4080" t="str">
        <f>"1552376799901967"</f>
        <v>1552376799901967</v>
      </c>
      <c r="C4080" t="s">
        <v>40</v>
      </c>
      <c r="D4080">
        <v>4.4762680000000001</v>
      </c>
      <c r="E4080">
        <v>0.4075744</v>
      </c>
      <c r="F4080" t="s">
        <v>52</v>
      </c>
      <c r="G4080">
        <v>-408.74590000000001</v>
      </c>
      <c r="H4080">
        <v>7.9987290000000003E-2</v>
      </c>
      <c r="I4080">
        <v>127.8527</v>
      </c>
      <c r="J4080">
        <v>-402.6232</v>
      </c>
      <c r="K4080">
        <v>1.114144</v>
      </c>
      <c r="L4080">
        <v>134.5265</v>
      </c>
      <c r="M4080">
        <v>-0.84634599999999904</v>
      </c>
      <c r="N4080">
        <v>0</v>
      </c>
      <c r="O4080">
        <v>-0.53244609999999903</v>
      </c>
      <c r="P4080">
        <v>-0.83368220000000004</v>
      </c>
      <c r="Q4080">
        <v>3.209045E-2</v>
      </c>
      <c r="R4080">
        <v>-0.55131129999999995</v>
      </c>
      <c r="S4080">
        <v>-2.1119080000000001</v>
      </c>
      <c r="T4080">
        <v>-0.34755520000000001</v>
      </c>
      <c r="U4080">
        <v>-2.279541</v>
      </c>
      <c r="V4080">
        <v>-2.316468E-2</v>
      </c>
      <c r="W4080">
        <v>4.5973130000000001E-2</v>
      </c>
      <c r="X4080">
        <v>0.99867399999999995</v>
      </c>
      <c r="Y4080">
        <v>-0.2602507</v>
      </c>
      <c r="Z4080">
        <v>4.6831459999999998E-2</v>
      </c>
      <c r="AA4080">
        <v>0.9644047</v>
      </c>
      <c r="AB4080">
        <v>21</v>
      </c>
      <c r="AC4080">
        <v>-6.1227</v>
      </c>
      <c r="AD4080">
        <v>-1.03415671</v>
      </c>
      <c r="AE4080">
        <v>-6.6738</v>
      </c>
      <c r="AF4080">
        <v>-2.3578328401103299</v>
      </c>
      <c r="AG4080">
        <v>-1.03415671</v>
      </c>
      <c r="AH4080">
        <v>8.6237951253814096</v>
      </c>
      <c r="AI4080">
        <v>96.598273931398097</v>
      </c>
      <c r="AJ4080">
        <v>105.291527927236</v>
      </c>
      <c r="AK4080">
        <v>8.9999276756701203</v>
      </c>
      <c r="AL4080">
        <v>87.365004788076106</v>
      </c>
      <c r="AM4080">
        <v>91.328762382893302</v>
      </c>
      <c r="AN4080">
        <v>0.99999994467874798</v>
      </c>
    </row>
    <row r="4081" spans="1:40" x14ac:dyDescent="0.25">
      <c r="A4081" t="str">
        <f>"20190312154639930"</f>
        <v>20190312154639930</v>
      </c>
      <c r="B4081" t="str">
        <f>"1552376799921485"</f>
        <v>1552376799921485</v>
      </c>
      <c r="C4081" t="s">
        <v>40</v>
      </c>
      <c r="D4081">
        <v>4.3681340000000004</v>
      </c>
      <c r="E4081">
        <v>0.40811140000000001</v>
      </c>
      <c r="F4081" t="s">
        <v>52</v>
      </c>
      <c r="G4081">
        <v>-408.8673</v>
      </c>
      <c r="H4081">
        <v>7.9987279999999994E-2</v>
      </c>
      <c r="I4081">
        <v>127.6878</v>
      </c>
      <c r="J4081">
        <v>-402.80529999999999</v>
      </c>
      <c r="K4081">
        <v>1.113923</v>
      </c>
      <c r="L4081">
        <v>134.4014</v>
      </c>
      <c r="M4081">
        <v>-0.84240159999999997</v>
      </c>
      <c r="N4081">
        <v>0</v>
      </c>
      <c r="O4081">
        <v>-0.53866619999999998</v>
      </c>
      <c r="P4081">
        <v>-0.82790019999999998</v>
      </c>
      <c r="Q4081">
        <v>3.2262369999999999E-2</v>
      </c>
      <c r="R4081">
        <v>-0.55994699999999997</v>
      </c>
      <c r="S4081">
        <v>-2.0947269999999998</v>
      </c>
      <c r="T4081">
        <v>-0.3469294</v>
      </c>
      <c r="U4081">
        <v>-2.2942049999999998</v>
      </c>
      <c r="V4081">
        <v>-2.616928E-2</v>
      </c>
      <c r="W4081">
        <v>4.6094599999999999E-2</v>
      </c>
      <c r="X4081">
        <v>0.99859419999999999</v>
      </c>
      <c r="Y4081">
        <v>-0.2601695</v>
      </c>
      <c r="Z4081">
        <v>4.7513189999999997E-2</v>
      </c>
      <c r="AA4081">
        <v>0.96439330000000001</v>
      </c>
      <c r="AB4081">
        <v>21</v>
      </c>
      <c r="AC4081">
        <v>-6.06200000000001</v>
      </c>
      <c r="AD4081">
        <v>-1.0339357199999999</v>
      </c>
      <c r="AE4081">
        <v>-6.7135999999999996</v>
      </c>
      <c r="AF4081">
        <v>-2.35956100518557</v>
      </c>
      <c r="AG4081">
        <v>-1.0339357199999999</v>
      </c>
      <c r="AH4081">
        <v>8.6113807505013398</v>
      </c>
      <c r="AI4081">
        <v>96.6053108767087</v>
      </c>
      <c r="AJ4081">
        <v>105.323234349381</v>
      </c>
      <c r="AK4081">
        <v>8.9884609161073392</v>
      </c>
      <c r="AL4081">
        <v>87.358037723408501</v>
      </c>
      <c r="AM4081">
        <v>91.501156523526802</v>
      </c>
      <c r="AN4081">
        <v>0.99999995981925804</v>
      </c>
    </row>
    <row r="4082" spans="1:40" x14ac:dyDescent="0.25">
      <c r="A4082" t="str">
        <f>"20190312154639955"</f>
        <v>20190312154639955</v>
      </c>
      <c r="B4082" t="str">
        <f>"1552376799941981"</f>
        <v>1552376799941981</v>
      </c>
      <c r="C4082" t="s">
        <v>40</v>
      </c>
      <c r="D4082">
        <v>4.4034719999999998</v>
      </c>
      <c r="E4082">
        <v>0.4086418</v>
      </c>
      <c r="F4082" t="s">
        <v>52</v>
      </c>
      <c r="G4082">
        <v>-408.9402</v>
      </c>
      <c r="H4082">
        <v>7.9987320000000001E-2</v>
      </c>
      <c r="I4082">
        <v>127.5682</v>
      </c>
      <c r="J4082">
        <v>-402.9991</v>
      </c>
      <c r="K4082">
        <v>1.113686</v>
      </c>
      <c r="L4082">
        <v>134.26660000000001</v>
      </c>
      <c r="M4082">
        <v>-0.83834989999999998</v>
      </c>
      <c r="N4082">
        <v>0</v>
      </c>
      <c r="O4082">
        <v>-0.54495159999999998</v>
      </c>
      <c r="P4082">
        <v>-0.82183580000000001</v>
      </c>
      <c r="Q4082">
        <v>3.24804E-2</v>
      </c>
      <c r="R4082">
        <v>-0.56879809999999997</v>
      </c>
      <c r="S4082">
        <v>-2.0744929999999999</v>
      </c>
      <c r="T4082">
        <v>-0.3496245</v>
      </c>
      <c r="U4082">
        <v>-2.310638</v>
      </c>
      <c r="V4082">
        <v>-2.9396370000000002E-2</v>
      </c>
      <c r="W4082">
        <v>4.6262259999999999E-2</v>
      </c>
      <c r="X4082">
        <v>0.99849670000000001</v>
      </c>
      <c r="Y4082">
        <v>-0.26107529999999901</v>
      </c>
      <c r="Z4082">
        <v>4.8619530000000001E-2</v>
      </c>
      <c r="AA4082">
        <v>0.96409330000000004</v>
      </c>
      <c r="AB4082">
        <v>21</v>
      </c>
      <c r="AC4082">
        <v>-5.9410999999999996</v>
      </c>
      <c r="AD4082">
        <v>-1.0336986800000001</v>
      </c>
      <c r="AE4082">
        <v>-6.6984000000000004</v>
      </c>
      <c r="AF4082">
        <v>-2.34694281192193</v>
      </c>
      <c r="AG4082">
        <v>-1.0336986800000001</v>
      </c>
      <c r="AH4082">
        <v>8.5183335355172893</v>
      </c>
      <c r="AI4082">
        <v>96.6727426888461</v>
      </c>
      <c r="AJ4082">
        <v>105.40376880888201</v>
      </c>
      <c r="AK4082">
        <v>8.8959923418236002</v>
      </c>
      <c r="AL4082">
        <v>87.348421364675403</v>
      </c>
      <c r="AM4082">
        <v>91.686336637599396</v>
      </c>
      <c r="AN4082">
        <v>1.00000000159018</v>
      </c>
    </row>
    <row r="4083" spans="1:40" x14ac:dyDescent="0.25">
      <c r="A4083" t="str">
        <f>"20190312154639996"</f>
        <v>20190312154639996</v>
      </c>
      <c r="B4083" t="str">
        <f>"1552376799991757"</f>
        <v>1552376799991757</v>
      </c>
      <c r="C4083" t="s">
        <v>40</v>
      </c>
      <c r="D4083">
        <v>4.3355360000000003</v>
      </c>
      <c r="E4083">
        <v>0.42640919999999999</v>
      </c>
      <c r="F4083" t="s">
        <v>52</v>
      </c>
      <c r="G4083">
        <v>-409.03179999999998</v>
      </c>
      <c r="H4083">
        <v>7.9987349999999999E-2</v>
      </c>
      <c r="I4083">
        <v>127.4252</v>
      </c>
      <c r="J4083">
        <v>-403.3039</v>
      </c>
      <c r="K4083">
        <v>1.11327</v>
      </c>
      <c r="L4083">
        <v>134.05179999999999</v>
      </c>
      <c r="M4083">
        <v>-0.83242129999999903</v>
      </c>
      <c r="N4083">
        <v>0</v>
      </c>
      <c r="O4083">
        <v>-0.55396669999999903</v>
      </c>
      <c r="P4083">
        <v>-0.81242829999999999</v>
      </c>
      <c r="Q4083">
        <v>3.3290899999999998E-2</v>
      </c>
      <c r="R4083">
        <v>-0.58211000000000002</v>
      </c>
      <c r="S4083">
        <v>-2.0529480000000002</v>
      </c>
      <c r="T4083">
        <v>-0.35177619999999998</v>
      </c>
      <c r="U4083">
        <v>-2.328201</v>
      </c>
      <c r="V4083">
        <v>-3.4866750000000002E-2</v>
      </c>
      <c r="W4083">
        <v>4.699627E-2</v>
      </c>
      <c r="X4083">
        <v>0.99828640000000002</v>
      </c>
      <c r="Y4083">
        <v>-0.2593472</v>
      </c>
      <c r="Z4083">
        <v>5.0125099999999999E-2</v>
      </c>
      <c r="AA4083">
        <v>0.96448250000000002</v>
      </c>
      <c r="AB4083">
        <v>21</v>
      </c>
      <c r="AC4083">
        <v>-5.7278999999999698</v>
      </c>
      <c r="AD4083">
        <v>-1.0332826500000001</v>
      </c>
      <c r="AE4083">
        <v>-6.6265999999999803</v>
      </c>
      <c r="AF4083">
        <v>-2.31112394593212</v>
      </c>
      <c r="AG4083">
        <v>-1.0332826500000001</v>
      </c>
      <c r="AH4083">
        <v>8.3239286077136203</v>
      </c>
      <c r="AI4083">
        <v>96.820706893901601</v>
      </c>
      <c r="AJ4083">
        <v>105.51721929589</v>
      </c>
      <c r="AK4083">
        <v>8.7003881749359397</v>
      </c>
      <c r="AL4083">
        <v>87.306319991642795</v>
      </c>
      <c r="AM4083">
        <v>92.000333669278604</v>
      </c>
      <c r="AN4083">
        <v>1.00000003803721</v>
      </c>
    </row>
    <row r="4084" spans="1:40" x14ac:dyDescent="0.25">
      <c r="A4084" t="str">
        <f>"20190312154640021"</f>
        <v>20190312154640021</v>
      </c>
      <c r="B4084" t="str">
        <f>"1552376800011277"</f>
        <v>1552376800011277</v>
      </c>
      <c r="C4084" t="s">
        <v>40</v>
      </c>
      <c r="D4084">
        <v>4.3293140000000001</v>
      </c>
      <c r="E4084">
        <v>0.42918770000000001</v>
      </c>
      <c r="F4084" t="s">
        <v>52</v>
      </c>
      <c r="G4084">
        <v>-411.94600000000003</v>
      </c>
      <c r="H4084" s="1">
        <v>-4.3638989999999996E-6</v>
      </c>
      <c r="I4084">
        <v>124.8186</v>
      </c>
      <c r="J4084">
        <v>-403.49110000000002</v>
      </c>
      <c r="K4084">
        <v>1.113003</v>
      </c>
      <c r="L4084">
        <v>133.91839999999999</v>
      </c>
      <c r="M4084">
        <v>-0.82906569999999902</v>
      </c>
      <c r="N4084">
        <v>0</v>
      </c>
      <c r="O4084">
        <v>-0.55897739999999996</v>
      </c>
      <c r="P4084">
        <v>-0.80718889999999999</v>
      </c>
      <c r="Q4084">
        <v>3.4265150000000001E-2</v>
      </c>
      <c r="R4084">
        <v>-0.58929830000000005</v>
      </c>
      <c r="S4084">
        <v>-2.097839</v>
      </c>
      <c r="T4084">
        <v>-0.27024140000000002</v>
      </c>
      <c r="U4084">
        <v>-2.2413020000000001</v>
      </c>
      <c r="V4084">
        <v>-3.7706299999999998E-2</v>
      </c>
      <c r="W4084">
        <v>4.7930300000000002E-2</v>
      </c>
      <c r="X4084">
        <v>0.99813870000000005</v>
      </c>
      <c r="Y4084">
        <v>-0.2242798</v>
      </c>
      <c r="Z4084">
        <v>4.0814690000000001E-2</v>
      </c>
      <c r="AA4084">
        <v>0.97366969999999997</v>
      </c>
      <c r="AB4084">
        <v>21</v>
      </c>
      <c r="AC4084">
        <v>-8.4548999999999506</v>
      </c>
      <c r="AD4084">
        <v>-1.1130073638989999</v>
      </c>
      <c r="AE4084">
        <v>-9.0997999999999806</v>
      </c>
      <c r="AF4084">
        <v>-2.7960587672273198</v>
      </c>
      <c r="AG4084">
        <v>-1.1130073638989999</v>
      </c>
      <c r="AH4084">
        <v>12.001070805112199</v>
      </c>
      <c r="AI4084">
        <v>95.161138100684795</v>
      </c>
      <c r="AJ4084">
        <v>103.11504479828901</v>
      </c>
      <c r="AK4084">
        <v>12.3726484832957</v>
      </c>
      <c r="AL4084">
        <v>87.252743450604598</v>
      </c>
      <c r="AM4084">
        <v>92.163411800353799</v>
      </c>
      <c r="AN4084">
        <v>0.99999997157773401</v>
      </c>
    </row>
    <row r="4085" spans="1:40" x14ac:dyDescent="0.25">
      <c r="A4085" t="str">
        <f>"20190312154640042"</f>
        <v>20190312154640042</v>
      </c>
      <c r="B4085" t="str">
        <f>"1552376800031774"</f>
        <v>1552376800031774</v>
      </c>
      <c r="C4085" t="s">
        <v>40</v>
      </c>
      <c r="D4085">
        <v>4.3105349999999998</v>
      </c>
      <c r="E4085">
        <v>0.43111080000000002</v>
      </c>
      <c r="F4085" t="s">
        <v>52</v>
      </c>
      <c r="G4085">
        <v>-413.84179999999998</v>
      </c>
      <c r="H4085" s="1">
        <v>-2.8952959999999999E-6</v>
      </c>
      <c r="I4085">
        <v>122.83159999999999</v>
      </c>
      <c r="J4085">
        <v>-403.65499999999997</v>
      </c>
      <c r="K4085">
        <v>1.112757</v>
      </c>
      <c r="L4085">
        <v>133.8006</v>
      </c>
      <c r="M4085">
        <v>-0.82631919999999903</v>
      </c>
      <c r="N4085">
        <v>0</v>
      </c>
      <c r="O4085">
        <v>-0.56303019999999904</v>
      </c>
      <c r="P4085">
        <v>-0.80295839999999996</v>
      </c>
      <c r="Q4085">
        <v>3.4381750000000003E-2</v>
      </c>
      <c r="R4085">
        <v>-0.59504279999999998</v>
      </c>
      <c r="S4085">
        <v>-2.0910030000000002</v>
      </c>
      <c r="T4085">
        <v>-0.22484470000000001</v>
      </c>
      <c r="U4085">
        <v>-2.2397</v>
      </c>
      <c r="V4085">
        <v>-3.9916819999999999E-2</v>
      </c>
      <c r="W4085">
        <v>4.8019359999999997E-2</v>
      </c>
      <c r="X4085">
        <v>0.99804850000000001</v>
      </c>
      <c r="Y4085">
        <v>-0.22047079999999999</v>
      </c>
      <c r="Z4085">
        <v>3.4489180000000001E-2</v>
      </c>
      <c r="AA4085">
        <v>0.97478359999999997</v>
      </c>
      <c r="AB4085">
        <v>21</v>
      </c>
      <c r="AC4085">
        <v>-10.1868</v>
      </c>
      <c r="AD4085">
        <v>-1.1127598952959901</v>
      </c>
      <c r="AE4085">
        <v>-10.968999999999999</v>
      </c>
      <c r="AF4085">
        <v>-3.3104491848783701</v>
      </c>
      <c r="AG4085">
        <v>-1.1127598952959901</v>
      </c>
      <c r="AH4085">
        <v>14.5146370297575</v>
      </c>
      <c r="AI4085">
        <v>94.274637686698497</v>
      </c>
      <c r="AJ4085">
        <v>102.848055211728</v>
      </c>
      <c r="AK4085">
        <v>14.9288980335405</v>
      </c>
      <c r="AL4085">
        <v>87.247634911525495</v>
      </c>
      <c r="AM4085">
        <v>92.290316584120305</v>
      </c>
      <c r="AN4085">
        <v>1.00000000990298</v>
      </c>
    </row>
    <row r="4086" spans="1:40" x14ac:dyDescent="0.25">
      <c r="A4086" t="str">
        <f>"20190312154640082"</f>
        <v>20190312154640082</v>
      </c>
      <c r="B4086" t="str">
        <f>"1552376800071790"</f>
        <v>1552376800071790</v>
      </c>
      <c r="C4086" t="s">
        <v>40</v>
      </c>
      <c r="D4086">
        <v>4.3223089999999997</v>
      </c>
      <c r="E4086">
        <v>0.43397330000000001</v>
      </c>
      <c r="F4086" t="s">
        <v>52</v>
      </c>
      <c r="G4086">
        <v>-414.81229999999999</v>
      </c>
      <c r="H4086" s="1">
        <v>-2.2049479999999999E-6</v>
      </c>
      <c r="I4086">
        <v>121.8048</v>
      </c>
      <c r="J4086">
        <v>-403.95409999999998</v>
      </c>
      <c r="K4086">
        <v>1.112239</v>
      </c>
      <c r="L4086">
        <v>133.58430000000001</v>
      </c>
      <c r="M4086">
        <v>-0.8219128</v>
      </c>
      <c r="N4086">
        <v>0</v>
      </c>
      <c r="O4086">
        <v>-0.56944519999999998</v>
      </c>
      <c r="P4086">
        <v>-0.79729919999999899</v>
      </c>
      <c r="Q4086">
        <v>3.3563709999999997E-2</v>
      </c>
      <c r="R4086">
        <v>-0.60265059999999904</v>
      </c>
      <c r="S4086">
        <v>-2.0843509999999998</v>
      </c>
      <c r="T4086">
        <v>-0.20787949999999999</v>
      </c>
      <c r="U4086">
        <v>-2.2409970000000001</v>
      </c>
      <c r="V4086">
        <v>-4.1555080000000001E-2</v>
      </c>
      <c r="W4086">
        <v>4.717727E-2</v>
      </c>
      <c r="X4086">
        <v>0.99802179999999996</v>
      </c>
      <c r="Y4086">
        <v>-0.21462919999999999</v>
      </c>
      <c r="Z4086">
        <v>3.2569460000000001E-2</v>
      </c>
      <c r="AA4086">
        <v>0.97615240000000003</v>
      </c>
      <c r="AB4086">
        <v>21</v>
      </c>
      <c r="AC4086">
        <v>-10.8582</v>
      </c>
      <c r="AD4086">
        <v>-1.1122412049479999</v>
      </c>
      <c r="AE4086">
        <v>-11.779500000000001</v>
      </c>
      <c r="AF4086">
        <v>-3.4821232756157801</v>
      </c>
      <c r="AG4086">
        <v>-1.1122412049479999</v>
      </c>
      <c r="AH4086">
        <v>15.558777516271199</v>
      </c>
      <c r="AI4086">
        <v>93.990526353271207</v>
      </c>
      <c r="AJ4086">
        <v>102.61516627113301</v>
      </c>
      <c r="AK4086">
        <v>15.982422244622301</v>
      </c>
      <c r="AL4086">
        <v>87.295937881575995</v>
      </c>
      <c r="AM4086">
        <v>92.384272777603599</v>
      </c>
      <c r="AN4086">
        <v>1.0000000163768401</v>
      </c>
    </row>
    <row r="4087" spans="1:40" x14ac:dyDescent="0.25">
      <c r="A4087" t="str">
        <f>"20190312154640106"</f>
        <v>20190312154640106</v>
      </c>
      <c r="B4087" t="str">
        <f>"1552376800102046"</f>
        <v>1552376800102046</v>
      </c>
      <c r="C4087" t="s">
        <v>40</v>
      </c>
      <c r="D4087">
        <v>4.2290029999999996</v>
      </c>
      <c r="E4087">
        <v>0.43571670000000001</v>
      </c>
      <c r="F4087" t="s">
        <v>52</v>
      </c>
      <c r="G4087">
        <v>-415.50369999999998</v>
      </c>
      <c r="H4087" s="1">
        <v>-1.7584289999999999E-6</v>
      </c>
      <c r="I4087">
        <v>121.1173</v>
      </c>
      <c r="J4087">
        <v>-404.13920000000002</v>
      </c>
      <c r="K4087">
        <v>1.1119479999999999</v>
      </c>
      <c r="L4087">
        <v>133.44970000000001</v>
      </c>
      <c r="M4087">
        <v>-0.81954289999999996</v>
      </c>
      <c r="N4087">
        <v>0</v>
      </c>
      <c r="O4087">
        <v>-0.57285169999999996</v>
      </c>
      <c r="P4087">
        <v>-0.79262819999999901</v>
      </c>
      <c r="Q4087">
        <v>3.2875109999999999E-2</v>
      </c>
      <c r="R4087">
        <v>-0.60881869999999905</v>
      </c>
      <c r="S4087">
        <v>-2.076721</v>
      </c>
      <c r="T4087">
        <v>-0.19999049999999999</v>
      </c>
      <c r="U4087">
        <v>-2.2416689999999999</v>
      </c>
      <c r="V4087">
        <v>-4.5104569999999997E-2</v>
      </c>
      <c r="W4087">
        <v>4.6463270000000001E-2</v>
      </c>
      <c r="X4087">
        <v>0.99790109999999999</v>
      </c>
      <c r="Y4087">
        <v>-0.2124714</v>
      </c>
      <c r="Z4087">
        <v>3.1684259999999999E-2</v>
      </c>
      <c r="AA4087">
        <v>0.97665349999999995</v>
      </c>
      <c r="AB4087">
        <v>21</v>
      </c>
      <c r="AC4087">
        <v>-11.3644999999999</v>
      </c>
      <c r="AD4087">
        <v>-1.1119497584289999</v>
      </c>
      <c r="AE4087">
        <v>-12.3324</v>
      </c>
      <c r="AF4087">
        <v>-3.5813551831450399</v>
      </c>
      <c r="AG4087">
        <v>-1.1119497584289999</v>
      </c>
      <c r="AH4087">
        <v>16.3081940407228</v>
      </c>
      <c r="AI4087">
        <v>93.810075708943799</v>
      </c>
      <c r="AJ4087">
        <v>102.385810381509</v>
      </c>
      <c r="AK4087">
        <v>16.733790069287299</v>
      </c>
      <c r="AL4087">
        <v>87.336891755394902</v>
      </c>
      <c r="AM4087">
        <v>92.587975653884996</v>
      </c>
      <c r="AN4087">
        <v>0.99999993153759104</v>
      </c>
    </row>
    <row r="4088" spans="1:40" x14ac:dyDescent="0.25">
      <c r="A4088" t="str">
        <f>"20190312154640130"</f>
        <v>20190312154640130</v>
      </c>
      <c r="B4088" t="str">
        <f>"1552376800121566"</f>
        <v>1552376800121566</v>
      </c>
      <c r="C4088" t="s">
        <v>40</v>
      </c>
      <c r="D4088">
        <v>4.2365919999999999</v>
      </c>
      <c r="E4088">
        <v>0.43671690000000002</v>
      </c>
      <c r="F4088" t="s">
        <v>52</v>
      </c>
      <c r="G4088">
        <v>-415.79250000000002</v>
      </c>
      <c r="H4088" s="1">
        <v>-1.5585040000000001E-6</v>
      </c>
      <c r="I4088">
        <v>120.79510000000001</v>
      </c>
      <c r="J4088">
        <v>-404.31119999999999</v>
      </c>
      <c r="K4088">
        <v>1.1117090000000001</v>
      </c>
      <c r="L4088">
        <v>133.32409999999999</v>
      </c>
      <c r="M4088">
        <v>-0.81756909999999905</v>
      </c>
      <c r="N4088">
        <v>0</v>
      </c>
      <c r="O4088">
        <v>-0.57566600000000001</v>
      </c>
      <c r="P4088">
        <v>-0.78966700000000001</v>
      </c>
      <c r="Q4088">
        <v>3.2315400000000001E-2</v>
      </c>
      <c r="R4088">
        <v>-0.61268469999999997</v>
      </c>
      <c r="S4088">
        <v>-2.068085</v>
      </c>
      <c r="T4088">
        <v>-0.1973348</v>
      </c>
      <c r="U4088">
        <v>-2.2457729999999998</v>
      </c>
      <c r="V4088">
        <v>-4.6508529999999999E-2</v>
      </c>
      <c r="W4088">
        <v>4.5892160000000001E-2</v>
      </c>
      <c r="X4088">
        <v>0.99786319999999995</v>
      </c>
      <c r="Y4088">
        <v>-0.2120224</v>
      </c>
      <c r="Z4088">
        <v>3.1501250000000001E-2</v>
      </c>
      <c r="AA4088">
        <v>0.97675699999999999</v>
      </c>
      <c r="AB4088">
        <v>21</v>
      </c>
      <c r="AC4088">
        <v>-11.481299999999999</v>
      </c>
      <c r="AD4088">
        <v>-1.1117105585039999</v>
      </c>
      <c r="AE4088">
        <v>-12.5289999999999</v>
      </c>
      <c r="AF4088">
        <v>-3.61878686518713</v>
      </c>
      <c r="AG4088">
        <v>-1.1117105585039999</v>
      </c>
      <c r="AH4088">
        <v>16.530107337877901</v>
      </c>
      <c r="AI4088">
        <v>93.758803595920696</v>
      </c>
      <c r="AJ4088">
        <v>102.348434578267</v>
      </c>
      <c r="AK4088">
        <v>16.9580649645915</v>
      </c>
      <c r="AL4088">
        <v>87.369649206046404</v>
      </c>
      <c r="AM4088">
        <v>92.668517524489403</v>
      </c>
      <c r="AN4088">
        <v>1.00000004981323</v>
      </c>
    </row>
    <row r="4089" spans="1:40" x14ac:dyDescent="0.25">
      <c r="A4089" t="str">
        <f>"20190312154640154"</f>
        <v>20190312154640154</v>
      </c>
      <c r="B4089" t="str">
        <f>"1552376800142062"</f>
        <v>1552376800142062</v>
      </c>
      <c r="C4089" t="s">
        <v>40</v>
      </c>
      <c r="D4089">
        <v>4.2140909999999998</v>
      </c>
      <c r="E4089">
        <v>0.43763580000000002</v>
      </c>
      <c r="F4089" t="s">
        <v>52</v>
      </c>
      <c r="G4089">
        <v>-415.99869999999999</v>
      </c>
      <c r="H4089" s="1">
        <v>-1.4192070000000001E-6</v>
      </c>
      <c r="I4089">
        <v>120.5741</v>
      </c>
      <c r="J4089">
        <v>-404.49549999999999</v>
      </c>
      <c r="K4089">
        <v>1.1115109999999999</v>
      </c>
      <c r="L4089">
        <v>133.1893</v>
      </c>
      <c r="M4089">
        <v>-0.81565900000000002</v>
      </c>
      <c r="N4089">
        <v>0</v>
      </c>
      <c r="O4089">
        <v>-0.57836960000000004</v>
      </c>
      <c r="P4089">
        <v>-0.78704830000000003</v>
      </c>
      <c r="Q4089">
        <v>3.1508790000000002E-2</v>
      </c>
      <c r="R4089">
        <v>-0.61608619999999903</v>
      </c>
      <c r="S4089">
        <v>-2.06189</v>
      </c>
      <c r="T4089">
        <v>-0.19612569999999999</v>
      </c>
      <c r="U4089">
        <v>-2.2493439999999998</v>
      </c>
      <c r="V4089">
        <v>-4.7467629999999997E-2</v>
      </c>
      <c r="W4089">
        <v>4.507332E-2</v>
      </c>
      <c r="X4089">
        <v>0.9978553</v>
      </c>
      <c r="Y4089">
        <v>-0.21101909999999999</v>
      </c>
      <c r="Z4089">
        <v>3.1538530000000002E-2</v>
      </c>
      <c r="AA4089">
        <v>0.97697299999999998</v>
      </c>
      <c r="AB4089">
        <v>21</v>
      </c>
      <c r="AC4089">
        <v>-11.5031999999999</v>
      </c>
      <c r="AD4089">
        <v>-1.1115124192070001</v>
      </c>
      <c r="AE4089">
        <v>-12.6152</v>
      </c>
      <c r="AF4089">
        <v>-3.6215928601989198</v>
      </c>
      <c r="AG4089">
        <v>-1.1115124192070001</v>
      </c>
      <c r="AH4089">
        <v>16.6101068290162</v>
      </c>
      <c r="AI4089">
        <v>93.740775396890896</v>
      </c>
      <c r="AJ4089">
        <v>102.30001281583</v>
      </c>
      <c r="AK4089">
        <v>17.036638270927298</v>
      </c>
      <c r="AL4089">
        <v>87.416613728838797</v>
      </c>
      <c r="AM4089">
        <v>92.723487266105494</v>
      </c>
      <c r="AN4089">
        <v>0.99999998990586403</v>
      </c>
    </row>
    <row r="4090" spans="1:40" x14ac:dyDescent="0.25">
      <c r="A4090" t="str">
        <f>"20190312154640180"</f>
        <v>20190312154640180</v>
      </c>
      <c r="B4090" t="str">
        <f>"1552376800171341"</f>
        <v>1552376800171341</v>
      </c>
      <c r="C4090" t="s">
        <v>40</v>
      </c>
      <c r="D4090">
        <v>4.2142489999999997</v>
      </c>
      <c r="E4090">
        <v>0.43886730000000002</v>
      </c>
      <c r="F4090" t="s">
        <v>52</v>
      </c>
      <c r="G4090">
        <v>-416.2242</v>
      </c>
      <c r="H4090" s="1">
        <v>-1.2706189999999901E-6</v>
      </c>
      <c r="I4090">
        <v>120.3421</v>
      </c>
      <c r="J4090">
        <v>-404.68349999999998</v>
      </c>
      <c r="K4090">
        <v>1.1113519999999999</v>
      </c>
      <c r="L4090">
        <v>133.05119999999999</v>
      </c>
      <c r="M4090">
        <v>-0.81390629999999997</v>
      </c>
      <c r="N4090">
        <v>0</v>
      </c>
      <c r="O4090">
        <v>-0.58083419999999997</v>
      </c>
      <c r="P4090">
        <v>-0.78529199999999999</v>
      </c>
      <c r="Q4090">
        <v>3.1083159999999999E-2</v>
      </c>
      <c r="R4090">
        <v>-0.61834469999999997</v>
      </c>
      <c r="S4090">
        <v>-2.0563349999999998</v>
      </c>
      <c r="T4090">
        <v>-0.19487489999999999</v>
      </c>
      <c r="U4090">
        <v>-2.2524109999999999</v>
      </c>
      <c r="V4090">
        <v>-4.7287740000000002E-2</v>
      </c>
      <c r="W4090">
        <v>4.4637929999999999E-2</v>
      </c>
      <c r="X4090">
        <v>0.99788339999999998</v>
      </c>
      <c r="Y4090">
        <v>-0.21003630000000001</v>
      </c>
      <c r="Z4090">
        <v>3.1548670000000001E-2</v>
      </c>
      <c r="AA4090">
        <v>0.97718439999999995</v>
      </c>
      <c r="AB4090">
        <v>21</v>
      </c>
      <c r="AC4090">
        <v>-11.540699999999999</v>
      </c>
      <c r="AD4090">
        <v>-1.1113532706189999</v>
      </c>
      <c r="AE4090">
        <v>-12.7090999999999</v>
      </c>
      <c r="AF4090">
        <v>-3.6259298559413899</v>
      </c>
      <c r="AG4090">
        <v>-1.1113532706189999</v>
      </c>
      <c r="AH4090">
        <v>16.706491020605402</v>
      </c>
      <c r="AI4090">
        <v>93.719492593986303</v>
      </c>
      <c r="AJ4090">
        <v>102.245398594509</v>
      </c>
      <c r="AK4090">
        <v>17.131529868458699</v>
      </c>
      <c r="AL4090">
        <v>87.441584841114405</v>
      </c>
      <c r="AM4090">
        <v>92.7131051201454</v>
      </c>
      <c r="AN4090">
        <v>0.99999997757227499</v>
      </c>
    </row>
    <row r="4091" spans="1:40" x14ac:dyDescent="0.25">
      <c r="A4091" t="str">
        <f>"20190312154640203"</f>
        <v>20190312154640203</v>
      </c>
      <c r="B4091" t="str">
        <f>"1552376800191837"</f>
        <v>1552376800191837</v>
      </c>
      <c r="C4091" t="s">
        <v>40</v>
      </c>
      <c r="D4091">
        <v>4.2306869999999996</v>
      </c>
      <c r="E4091">
        <v>0.45078410000000002</v>
      </c>
      <c r="F4091" t="s">
        <v>52</v>
      </c>
      <c r="G4091">
        <v>-416.56790000000001</v>
      </c>
      <c r="H4091" s="1">
        <v>-1.0640319999999999E-6</v>
      </c>
      <c r="I4091">
        <v>120.0407</v>
      </c>
      <c r="J4091">
        <v>-404.85879999999997</v>
      </c>
      <c r="K4091">
        <v>1.1112120000000001</v>
      </c>
      <c r="L4091">
        <v>132.9222</v>
      </c>
      <c r="M4091">
        <v>-0.81243750000000003</v>
      </c>
      <c r="N4091">
        <v>0</v>
      </c>
      <c r="O4091">
        <v>-0.5828875</v>
      </c>
      <c r="P4091">
        <v>-0.78405069999999999</v>
      </c>
      <c r="Q4091">
        <v>3.093396E-2</v>
      </c>
      <c r="R4091">
        <v>-0.61992559999999997</v>
      </c>
      <c r="S4091">
        <v>-2.0557249999999998</v>
      </c>
      <c r="T4091">
        <v>-0.1922383</v>
      </c>
      <c r="U4091">
        <v>-2.2505190000000002</v>
      </c>
      <c r="V4091">
        <v>-4.67599E-2</v>
      </c>
      <c r="W4091">
        <v>4.4481680000000003E-2</v>
      </c>
      <c r="X4091">
        <v>0.99791529999999995</v>
      </c>
      <c r="Y4091">
        <v>-0.2072948</v>
      </c>
      <c r="Z4091">
        <v>3.1353020000000002E-2</v>
      </c>
      <c r="AA4091">
        <v>0.97777599999999998</v>
      </c>
      <c r="AB4091">
        <v>21</v>
      </c>
      <c r="AC4091">
        <v>-11.709099999999999</v>
      </c>
      <c r="AD4091">
        <v>-1.1112130640319999</v>
      </c>
      <c r="AE4091">
        <v>-12.881500000000001</v>
      </c>
      <c r="AF4091">
        <v>-3.62589232160592</v>
      </c>
      <c r="AG4091">
        <v>-1.1112130640319999</v>
      </c>
      <c r="AH4091">
        <v>16.953890226368699</v>
      </c>
      <c r="AI4091">
        <v>93.667289665334906</v>
      </c>
      <c r="AJ4091">
        <v>102.07186523619301</v>
      </c>
      <c r="AK4091">
        <v>17.3728605419291</v>
      </c>
      <c r="AL4091">
        <v>87.450546334229003</v>
      </c>
      <c r="AM4091">
        <v>92.682779483432995</v>
      </c>
      <c r="AN4091">
        <v>1.00000002703886</v>
      </c>
    </row>
    <row r="4092" spans="1:40" x14ac:dyDescent="0.25">
      <c r="A4092" t="str">
        <f>"20190312154640225"</f>
        <v>20190312154640225</v>
      </c>
      <c r="B4092" t="str">
        <f>"1552376800211358"</f>
        <v>1552376800211358</v>
      </c>
      <c r="C4092" t="s">
        <v>40</v>
      </c>
      <c r="D4092">
        <v>4.2112639999999999</v>
      </c>
      <c r="E4092">
        <v>0.45248250000000001</v>
      </c>
      <c r="F4092" t="s">
        <v>42</v>
      </c>
      <c r="G4092">
        <v>-418.16989999999998</v>
      </c>
      <c r="H4092" s="1">
        <v>-4.4159889999999996E-6</v>
      </c>
      <c r="I4092">
        <v>119.1698</v>
      </c>
      <c r="J4092">
        <v>-405.01240000000001</v>
      </c>
      <c r="K4092">
        <v>1.1111009999999999</v>
      </c>
      <c r="L4092">
        <v>132.80879999999999</v>
      </c>
      <c r="M4092">
        <v>-0.81127289999999996</v>
      </c>
      <c r="N4092">
        <v>0</v>
      </c>
      <c r="O4092">
        <v>-0.58450809999999997</v>
      </c>
      <c r="P4092">
        <v>-0.78341939999999999</v>
      </c>
      <c r="Q4092">
        <v>3.1321189999999999E-2</v>
      </c>
      <c r="R4092">
        <v>-0.62070389999999998</v>
      </c>
      <c r="S4092">
        <v>-2.109772</v>
      </c>
      <c r="T4092">
        <v>-0.17612529999999901</v>
      </c>
      <c r="U4092">
        <v>-2.1797179999999998</v>
      </c>
      <c r="V4092">
        <v>-4.575601E-2</v>
      </c>
      <c r="W4092">
        <v>4.4865149999999999E-2</v>
      </c>
      <c r="X4092">
        <v>0.99794470000000002</v>
      </c>
      <c r="Y4092">
        <v>-0.17694089999999901</v>
      </c>
      <c r="Z4092">
        <v>2.9704499999999998E-2</v>
      </c>
      <c r="AA4092">
        <v>0.98377309999999996</v>
      </c>
      <c r="AB4092">
        <v>21</v>
      </c>
      <c r="AC4092">
        <v>-13.157499999999899</v>
      </c>
      <c r="AD4092">
        <v>-1.1111054159889999</v>
      </c>
      <c r="AE4092">
        <v>-13.6389999999999</v>
      </c>
      <c r="AF4092">
        <v>-3.3630400700195202</v>
      </c>
      <c r="AG4092">
        <v>-1.1111054159889999</v>
      </c>
      <c r="AH4092">
        <v>18.5842850693254</v>
      </c>
      <c r="AI4092">
        <v>93.366935105941593</v>
      </c>
      <c r="AJ4092">
        <v>100.257325661012</v>
      </c>
      <c r="AK4092">
        <v>18.918780227486799</v>
      </c>
      <c r="AL4092">
        <v>87.428553247868606</v>
      </c>
      <c r="AM4092">
        <v>92.6251870207048</v>
      </c>
      <c r="AN4092">
        <v>1.0000000591968601</v>
      </c>
    </row>
    <row r="4093" spans="1:40" x14ac:dyDescent="0.25">
      <c r="A4093" t="str">
        <f>"20190312154640263"</f>
        <v>20190312154640263</v>
      </c>
      <c r="B4093" t="str">
        <f>"1552376800251374"</f>
        <v>1552376800251374</v>
      </c>
      <c r="C4093" t="s">
        <v>40</v>
      </c>
      <c r="D4093">
        <v>4.1590980000000002</v>
      </c>
      <c r="E4093">
        <v>0.45377990000000001</v>
      </c>
      <c r="F4093" t="s">
        <v>42</v>
      </c>
      <c r="G4093">
        <v>-418.02789999999999</v>
      </c>
      <c r="H4093" s="1">
        <v>-4.561927E-6</v>
      </c>
      <c r="I4093">
        <v>119.4513</v>
      </c>
      <c r="J4093">
        <v>-405.29989999999998</v>
      </c>
      <c r="K4093">
        <v>1.11091299999999</v>
      </c>
      <c r="L4093">
        <v>132.59610000000001</v>
      </c>
      <c r="M4093">
        <v>-0.80930690000000005</v>
      </c>
      <c r="N4093">
        <v>0</v>
      </c>
      <c r="O4093">
        <v>-0.58722790000000002</v>
      </c>
      <c r="P4093">
        <v>-0.78251110000000001</v>
      </c>
      <c r="Q4093">
        <v>3.1977560000000002E-2</v>
      </c>
      <c r="R4093">
        <v>-0.62181560000000002</v>
      </c>
      <c r="S4093">
        <v>-2.116028</v>
      </c>
      <c r="T4093">
        <v>-0.1806403</v>
      </c>
      <c r="U4093">
        <v>-2.1716160000000002</v>
      </c>
      <c r="V4093">
        <v>-4.3818839999999998E-2</v>
      </c>
      <c r="W4093">
        <v>4.5516319999999999E-2</v>
      </c>
      <c r="X4093">
        <v>0.9980021</v>
      </c>
      <c r="Y4093">
        <v>-0.17038449999999999</v>
      </c>
      <c r="Z4093">
        <v>3.0812490000000001E-2</v>
      </c>
      <c r="AA4093">
        <v>0.98489579999999999</v>
      </c>
      <c r="AB4093">
        <v>21</v>
      </c>
      <c r="AC4093">
        <v>-12.728</v>
      </c>
      <c r="AD4093">
        <v>-1.11091756192699</v>
      </c>
      <c r="AE4093">
        <v>-13.1448</v>
      </c>
      <c r="AF4093">
        <v>-3.1526129274507602</v>
      </c>
      <c r="AG4093">
        <v>-1.11091756192699</v>
      </c>
      <c r="AH4093">
        <v>17.955335938107801</v>
      </c>
      <c r="AI4093">
        <v>93.487232987547898</v>
      </c>
      <c r="AJ4093">
        <v>99.958532973525095</v>
      </c>
      <c r="AK4093">
        <v>18.263822019227799</v>
      </c>
      <c r="AL4093">
        <v>87.391205670260305</v>
      </c>
      <c r="AM4093">
        <v>92.514045948927404</v>
      </c>
      <c r="AN4093">
        <v>1.00000000886484</v>
      </c>
    </row>
    <row r="4094" spans="1:40" x14ac:dyDescent="0.25">
      <c r="A4094" t="str">
        <f>"20190312154640287"</f>
        <v>20190312154640287</v>
      </c>
      <c r="B4094" t="str">
        <f>"1552376800281630"</f>
        <v>1552376800281630</v>
      </c>
      <c r="C4094" t="s">
        <v>40</v>
      </c>
      <c r="D4094">
        <v>4.1584779999999997</v>
      </c>
      <c r="E4094">
        <v>0.4533179</v>
      </c>
      <c r="F4094" t="s">
        <v>42</v>
      </c>
      <c r="G4094">
        <v>-418.21179999999998</v>
      </c>
      <c r="H4094" s="1">
        <v>-4.5013499999999997E-6</v>
      </c>
      <c r="I4094">
        <v>119.3861</v>
      </c>
      <c r="J4094">
        <v>-405.47460000000001</v>
      </c>
      <c r="K4094">
        <v>1.11086</v>
      </c>
      <c r="L4094">
        <v>132.4665</v>
      </c>
      <c r="M4094">
        <v>-0.80821540000000003</v>
      </c>
      <c r="N4094">
        <v>0</v>
      </c>
      <c r="O4094">
        <v>-0.58872939999999996</v>
      </c>
      <c r="P4094">
        <v>-0.78242959999999995</v>
      </c>
      <c r="Q4094">
        <v>3.228234E-2</v>
      </c>
      <c r="R4094">
        <v>-0.62190190000000001</v>
      </c>
      <c r="S4094">
        <v>-2.118744</v>
      </c>
      <c r="T4094">
        <v>-0.1822935</v>
      </c>
      <c r="U4094">
        <v>-2.1676639999999998</v>
      </c>
      <c r="V4094">
        <v>-4.2075990000000001E-2</v>
      </c>
      <c r="W4094">
        <v>4.5816889999999999E-2</v>
      </c>
      <c r="X4094">
        <v>0.99806329999999999</v>
      </c>
      <c r="Y4094">
        <v>-0.1670421</v>
      </c>
      <c r="Z4094">
        <v>3.1282009999999999E-2</v>
      </c>
      <c r="AA4094">
        <v>0.98545340000000003</v>
      </c>
      <c r="AB4094">
        <v>21</v>
      </c>
      <c r="AC4094">
        <v>-12.7371999999999</v>
      </c>
      <c r="AD4094">
        <v>-1.11086450135</v>
      </c>
      <c r="AE4094">
        <v>-13.0803999999999</v>
      </c>
      <c r="AF4094">
        <v>-3.0619661709249599</v>
      </c>
      <c r="AG4094">
        <v>-1.11086450135</v>
      </c>
      <c r="AH4094">
        <v>17.9305072210506</v>
      </c>
      <c r="AI4094">
        <v>93.494702940642</v>
      </c>
      <c r="AJ4094">
        <v>99.690835987300204</v>
      </c>
      <c r="AK4094">
        <v>18.223960765333</v>
      </c>
      <c r="AL4094">
        <v>87.373966173669302</v>
      </c>
      <c r="AM4094">
        <v>92.414025212115902</v>
      </c>
      <c r="AN4094">
        <v>0.99999996357531995</v>
      </c>
    </row>
    <row r="4095" spans="1:40" x14ac:dyDescent="0.25">
      <c r="A4095" t="str">
        <f>"20190312154640308"</f>
        <v>20190312154640308</v>
      </c>
      <c r="B4095" t="str">
        <f>"1552376800302125"</f>
        <v>1552376800302125</v>
      </c>
      <c r="C4095" t="s">
        <v>40</v>
      </c>
      <c r="D4095">
        <v>4.129759</v>
      </c>
      <c r="E4095">
        <v>0.42952050000000003</v>
      </c>
      <c r="F4095" t="s">
        <v>42</v>
      </c>
      <c r="G4095">
        <v>-418.35629999999998</v>
      </c>
      <c r="H4095" s="1">
        <v>-4.4176940000000003E-6</v>
      </c>
      <c r="I4095">
        <v>119.2509</v>
      </c>
      <c r="J4095">
        <v>-405.63760000000002</v>
      </c>
      <c r="K4095">
        <v>1.1108279999999999</v>
      </c>
      <c r="L4095">
        <v>132.34530000000001</v>
      </c>
      <c r="M4095">
        <v>-0.80725939999999996</v>
      </c>
      <c r="N4095">
        <v>0</v>
      </c>
      <c r="O4095">
        <v>-0.5900398</v>
      </c>
      <c r="P4095">
        <v>-0.78266480000000005</v>
      </c>
      <c r="Q4095">
        <v>3.2810140000000002E-2</v>
      </c>
      <c r="R4095">
        <v>-0.62157830000000003</v>
      </c>
      <c r="S4095">
        <v>-2.1161500000000002</v>
      </c>
      <c r="T4095">
        <v>-0.18248819999999999</v>
      </c>
      <c r="U4095">
        <v>-2.1710050000000001</v>
      </c>
      <c r="V4095">
        <v>-4.0052780000000003E-2</v>
      </c>
      <c r="W4095">
        <v>4.6339430000000001E-2</v>
      </c>
      <c r="X4095">
        <v>0.99812250000000002</v>
      </c>
      <c r="Y4095">
        <v>-0.16680790000000001</v>
      </c>
      <c r="Z4095">
        <v>3.1398740000000001E-2</v>
      </c>
      <c r="AA4095">
        <v>0.98548939999999996</v>
      </c>
      <c r="AB4095">
        <v>21</v>
      </c>
      <c r="AC4095">
        <v>-12.718699999999901</v>
      </c>
      <c r="AD4095">
        <v>-1.1108324176940001</v>
      </c>
      <c r="AE4095">
        <v>-13.0944</v>
      </c>
      <c r="AF4095">
        <v>-3.05500965589186</v>
      </c>
      <c r="AG4095">
        <v>-1.1108324176940001</v>
      </c>
      <c r="AH4095">
        <v>17.928784128655799</v>
      </c>
      <c r="AI4095">
        <v>93.495152028677595</v>
      </c>
      <c r="AJ4095">
        <v>99.670147117371897</v>
      </c>
      <c r="AK4095">
        <v>18.221095822966699</v>
      </c>
      <c r="AL4095">
        <v>87.343995221709903</v>
      </c>
      <c r="AM4095">
        <v>92.297939045207897</v>
      </c>
      <c r="AN4095">
        <v>1.00000004648235</v>
      </c>
    </row>
    <row r="4096" spans="1:40" x14ac:dyDescent="0.25">
      <c r="A4096" t="str">
        <f>"20190312154640331"</f>
        <v>20190312154640331</v>
      </c>
      <c r="B4096" t="str">
        <f>"1552376800321646"</f>
        <v>1552376800321646</v>
      </c>
      <c r="C4096" t="s">
        <v>40</v>
      </c>
      <c r="D4096">
        <v>4.1130550000000001</v>
      </c>
      <c r="E4096">
        <v>0.4254617</v>
      </c>
      <c r="F4096" t="s">
        <v>42</v>
      </c>
      <c r="G4096">
        <v>-421.64</v>
      </c>
      <c r="H4096" s="1">
        <v>-2.239939E-6</v>
      </c>
      <c r="I4096">
        <v>113.7933</v>
      </c>
      <c r="J4096">
        <v>-405.80329999999998</v>
      </c>
      <c r="K4096">
        <v>1.1108229999999999</v>
      </c>
      <c r="L4096">
        <v>132.2218</v>
      </c>
      <c r="M4096">
        <v>-0.80632839999999995</v>
      </c>
      <c r="N4096">
        <v>0</v>
      </c>
      <c r="O4096">
        <v>-0.59131119999999904</v>
      </c>
      <c r="P4096">
        <v>-0.7833618</v>
      </c>
      <c r="Q4096">
        <v>3.2240600000000001E-2</v>
      </c>
      <c r="R4096">
        <v>-0.62072890000000003</v>
      </c>
      <c r="S4096">
        <v>-1.9986569999999999</v>
      </c>
      <c r="T4096">
        <v>-0.13874049999999999</v>
      </c>
      <c r="U4096">
        <v>-2.3171080000000002</v>
      </c>
      <c r="V4096">
        <v>-3.7380259999999998E-2</v>
      </c>
      <c r="W4096">
        <v>4.5765930000000003E-2</v>
      </c>
      <c r="X4096">
        <v>0.99825260000000005</v>
      </c>
      <c r="Y4096">
        <v>-0.22463949999999999</v>
      </c>
      <c r="Z4096">
        <v>2.2636659999999999E-2</v>
      </c>
      <c r="AA4096">
        <v>0.97417900000000002</v>
      </c>
      <c r="AB4096">
        <v>21</v>
      </c>
      <c r="AC4096">
        <v>-15.8367</v>
      </c>
      <c r="AD4096">
        <v>-1.110825239939</v>
      </c>
      <c r="AE4096">
        <v>-18.4285</v>
      </c>
      <c r="AF4096">
        <v>-5.48405334648709</v>
      </c>
      <c r="AG4096">
        <v>-1.110825239939</v>
      </c>
      <c r="AH4096">
        <v>23.6193921958291</v>
      </c>
      <c r="AI4096">
        <v>92.622976723635801</v>
      </c>
      <c r="AJ4096">
        <v>103.07157395656</v>
      </c>
      <c r="AK4096">
        <v>24.273122203812001</v>
      </c>
      <c r="AL4096">
        <v>87.376889203913706</v>
      </c>
      <c r="AM4096">
        <v>92.144478206873899</v>
      </c>
      <c r="AN4096">
        <v>1.00000002879659</v>
      </c>
    </row>
    <row r="4097" spans="1:40" x14ac:dyDescent="0.25">
      <c r="A4097" t="str">
        <f>"20190312154640357"</f>
        <v>20190312154640357</v>
      </c>
      <c r="B4097" t="str">
        <f>"1552376800351902"</f>
        <v>1552376800351902</v>
      </c>
      <c r="C4097" t="s">
        <v>40</v>
      </c>
      <c r="D4097">
        <v>4.1453300000000004</v>
      </c>
      <c r="E4097">
        <v>0.42268679999999997</v>
      </c>
      <c r="F4097" t="s">
        <v>42</v>
      </c>
      <c r="G4097">
        <v>-421.83069999999998</v>
      </c>
      <c r="H4097" s="1">
        <v>-2.0695729999999999E-6</v>
      </c>
      <c r="I4097">
        <v>113.2779</v>
      </c>
      <c r="J4097">
        <v>-405.98829999999998</v>
      </c>
      <c r="K4097">
        <v>1.1108340000000001</v>
      </c>
      <c r="L4097">
        <v>132.08359999999999</v>
      </c>
      <c r="M4097">
        <v>-0.80530590000000002</v>
      </c>
      <c r="N4097">
        <v>0</v>
      </c>
      <c r="O4097">
        <v>-0.59270369999999895</v>
      </c>
      <c r="P4097">
        <v>-0.78457180000000004</v>
      </c>
      <c r="Q4097">
        <v>3.1844049999999999E-2</v>
      </c>
      <c r="R4097">
        <v>-0.61922029999999995</v>
      </c>
      <c r="S4097">
        <v>-1.9804079999999999</v>
      </c>
      <c r="T4097">
        <v>-0.13725809999999999</v>
      </c>
      <c r="U4097">
        <v>-2.3407900000000001</v>
      </c>
      <c r="V4097">
        <v>-3.3722549999999997E-2</v>
      </c>
      <c r="W4097">
        <v>4.5366280000000002E-2</v>
      </c>
      <c r="X4097">
        <v>0.99840099999999998</v>
      </c>
      <c r="Y4097">
        <v>-0.2322437</v>
      </c>
      <c r="Z4097">
        <v>2.2275119999999999E-2</v>
      </c>
      <c r="AA4097">
        <v>0.97240249999999995</v>
      </c>
      <c r="AB4097">
        <v>21</v>
      </c>
      <c r="AC4097">
        <v>-15.8423999999999</v>
      </c>
      <c r="AD4097">
        <v>-1.110836069573</v>
      </c>
      <c r="AE4097">
        <v>-18.805699999999899</v>
      </c>
      <c r="AF4097">
        <v>-5.7433025776761504</v>
      </c>
      <c r="AG4097">
        <v>-1.110836069573</v>
      </c>
      <c r="AH4097">
        <v>23.857704972855199</v>
      </c>
      <c r="AI4097">
        <v>92.591878509138496</v>
      </c>
      <c r="AJ4097">
        <v>103.535359260577</v>
      </c>
      <c r="AK4097">
        <v>24.564396346012799</v>
      </c>
      <c r="AL4097">
        <v>87.399811021695001</v>
      </c>
      <c r="AM4097">
        <v>91.934518815579594</v>
      </c>
      <c r="AN4097">
        <v>0.99999993327026804</v>
      </c>
    </row>
    <row r="4098" spans="1:40" x14ac:dyDescent="0.25">
      <c r="A4098" t="str">
        <f>"20190312154640397"</f>
        <v>20190312154640397</v>
      </c>
      <c r="B4098" t="str">
        <f>"1552376800391918"</f>
        <v>1552376800391918</v>
      </c>
      <c r="C4098" t="s">
        <v>40</v>
      </c>
      <c r="D4098">
        <v>4.2789129999999904</v>
      </c>
      <c r="E4098">
        <v>0.4210991</v>
      </c>
      <c r="F4098" t="s">
        <v>42</v>
      </c>
      <c r="G4098">
        <v>-422.04669999999999</v>
      </c>
      <c r="H4098" s="1">
        <v>-1.9651079999999998E-6</v>
      </c>
      <c r="I4098">
        <v>112.9004</v>
      </c>
      <c r="J4098">
        <v>-406.28339999999997</v>
      </c>
      <c r="K4098">
        <v>1.1108819999999999</v>
      </c>
      <c r="L4098">
        <v>131.86199999999999</v>
      </c>
      <c r="M4098">
        <v>-0.80364389999999997</v>
      </c>
      <c r="N4098">
        <v>0</v>
      </c>
      <c r="O4098">
        <v>-0.59495559999999903</v>
      </c>
      <c r="P4098">
        <v>-0.78713359999999899</v>
      </c>
      <c r="Q4098">
        <v>3.0679910000000001E-2</v>
      </c>
      <c r="R4098">
        <v>-0.61601919999999899</v>
      </c>
      <c r="S4098">
        <v>-1.9710080000000001</v>
      </c>
      <c r="T4098">
        <v>-0.13634360000000001</v>
      </c>
      <c r="U4098">
        <v>-2.3545379999999998</v>
      </c>
      <c r="V4098">
        <v>-2.6833449999999998E-2</v>
      </c>
      <c r="W4098">
        <v>4.4200629999999998E-2</v>
      </c>
      <c r="X4098">
        <v>0.99866220000000006</v>
      </c>
      <c r="Y4098">
        <v>-0.23460110000000001</v>
      </c>
      <c r="Z4098">
        <v>2.2159519999999999E-2</v>
      </c>
      <c r="AA4098">
        <v>0.97183909999999996</v>
      </c>
      <c r="AB4098">
        <v>21</v>
      </c>
      <c r="AC4098">
        <v>-15.763299999999999</v>
      </c>
      <c r="AD4098">
        <v>-1.110883965108</v>
      </c>
      <c r="AE4098">
        <v>-18.961599999999901</v>
      </c>
      <c r="AF4098">
        <v>-5.8485802267713698</v>
      </c>
      <c r="AG4098">
        <v>-1.110883965108</v>
      </c>
      <c r="AH4098">
        <v>23.903083027153201</v>
      </c>
      <c r="AI4098">
        <v>92.584739712553201</v>
      </c>
      <c r="AJ4098">
        <v>103.748943883536</v>
      </c>
      <c r="AK4098">
        <v>24.6332566270864</v>
      </c>
      <c r="AL4098">
        <v>87.466664995746996</v>
      </c>
      <c r="AM4098">
        <v>91.539132653469494</v>
      </c>
      <c r="AN4098">
        <v>0.99999995972006805</v>
      </c>
    </row>
    <row r="4099" spans="1:40" x14ac:dyDescent="0.25">
      <c r="A4099" t="str">
        <f>"20190312154640426"</f>
        <v>20190312154640426</v>
      </c>
      <c r="B4099" t="str">
        <f>"1552376800422174"</f>
        <v>1552376800422174</v>
      </c>
      <c r="C4099" t="s">
        <v>40</v>
      </c>
      <c r="D4099">
        <v>4.1487679999999996</v>
      </c>
      <c r="E4099">
        <v>0.42058210000000001</v>
      </c>
      <c r="F4099" t="s">
        <v>42</v>
      </c>
      <c r="G4099">
        <v>-421.68639999999999</v>
      </c>
      <c r="H4099" s="1">
        <v>-2.110633E-6</v>
      </c>
      <c r="I4099">
        <v>113.4631</v>
      </c>
      <c r="J4099">
        <v>-406.48660000000001</v>
      </c>
      <c r="K4099">
        <v>1.110927</v>
      </c>
      <c r="L4099">
        <v>131.70859999999999</v>
      </c>
      <c r="M4099">
        <v>-0.80245040000000001</v>
      </c>
      <c r="N4099">
        <v>0</v>
      </c>
      <c r="O4099">
        <v>-0.59656469999999995</v>
      </c>
      <c r="P4099">
        <v>-0.78681190000000001</v>
      </c>
      <c r="Q4099">
        <v>3.0348679999999999E-2</v>
      </c>
      <c r="R4099">
        <v>-0.61644670000000001</v>
      </c>
      <c r="S4099">
        <v>-1.9726870000000001</v>
      </c>
      <c r="T4099">
        <v>-0.14227239999999999</v>
      </c>
      <c r="U4099">
        <v>-2.3563689999999999</v>
      </c>
      <c r="V4099">
        <v>-2.537091E-2</v>
      </c>
      <c r="W4099">
        <v>4.3862400000000003E-2</v>
      </c>
      <c r="X4099">
        <v>0.99871540000000003</v>
      </c>
      <c r="Y4099">
        <v>-0.2326416</v>
      </c>
      <c r="Z4099">
        <v>2.322198E-2</v>
      </c>
      <c r="AA4099">
        <v>0.97228530000000002</v>
      </c>
      <c r="AB4099">
        <v>20</v>
      </c>
      <c r="AC4099">
        <v>-15.1997999999999</v>
      </c>
      <c r="AD4099">
        <v>-1.1109291106329999</v>
      </c>
      <c r="AE4099">
        <v>-18.2455</v>
      </c>
      <c r="AF4099">
        <v>-5.5617852885038497</v>
      </c>
      <c r="AG4099">
        <v>-1.1109291106329999</v>
      </c>
      <c r="AH4099">
        <v>23.033421088143701</v>
      </c>
      <c r="AI4099">
        <v>92.684275251029604</v>
      </c>
      <c r="AJ4099">
        <v>103.575121276354</v>
      </c>
      <c r="AK4099">
        <v>23.721427151586202</v>
      </c>
      <c r="AL4099">
        <v>87.486063117308902</v>
      </c>
      <c r="AM4099">
        <v>91.455202841339798</v>
      </c>
      <c r="AN4099">
        <v>1.00000002170257</v>
      </c>
    </row>
    <row r="4100" spans="1:40" x14ac:dyDescent="0.25">
      <c r="A4100" t="str">
        <f>"20190312154640443"</f>
        <v>20190312154640443</v>
      </c>
      <c r="B4100" t="str">
        <f>"1552376800431934"</f>
        <v>1552376800431934</v>
      </c>
      <c r="C4100" t="s">
        <v>40</v>
      </c>
      <c r="D4100">
        <v>4.1555989999999996</v>
      </c>
      <c r="E4100">
        <v>0.42044490000000001</v>
      </c>
      <c r="F4100" t="s">
        <v>42</v>
      </c>
      <c r="G4100">
        <v>-421.22739999999999</v>
      </c>
      <c r="H4100" s="1">
        <v>-2.2333759999999998E-6</v>
      </c>
      <c r="I4100">
        <v>114.0339</v>
      </c>
      <c r="J4100">
        <v>-406.62169999999998</v>
      </c>
      <c r="K4100">
        <v>1.1109659999999999</v>
      </c>
      <c r="L4100">
        <v>131.6061</v>
      </c>
      <c r="M4100">
        <v>-0.80161979999999999</v>
      </c>
      <c r="N4100">
        <v>0</v>
      </c>
      <c r="O4100">
        <v>-0.59768019999999999</v>
      </c>
      <c r="P4100">
        <v>-0.78589059999999999</v>
      </c>
      <c r="Q4100">
        <v>2.9237369999999999E-2</v>
      </c>
      <c r="R4100">
        <v>-0.61767439999999996</v>
      </c>
      <c r="S4100">
        <v>-1.968933</v>
      </c>
      <c r="T4100">
        <v>-0.148387299999999</v>
      </c>
      <c r="U4100">
        <v>-2.3608090000000002</v>
      </c>
      <c r="V4100">
        <v>-2.551834E-2</v>
      </c>
      <c r="W4100">
        <v>4.2745270000000002E-2</v>
      </c>
      <c r="X4100">
        <v>0.99875999999999998</v>
      </c>
      <c r="Y4100">
        <v>-0.23312469999999999</v>
      </c>
      <c r="Z4100">
        <v>2.42594E-2</v>
      </c>
      <c r="AA4100">
        <v>0.97214420000000001</v>
      </c>
      <c r="AB4100">
        <v>20</v>
      </c>
      <c r="AC4100">
        <v>-14.605700000000001</v>
      </c>
      <c r="AD4100">
        <v>-1.11096823337599</v>
      </c>
      <c r="AE4100">
        <v>-17.572199999999899</v>
      </c>
      <c r="AF4100">
        <v>-5.3445444813032497</v>
      </c>
      <c r="AG4100">
        <v>-1.11096823337599</v>
      </c>
      <c r="AH4100">
        <v>22.1604321816781</v>
      </c>
      <c r="AI4100">
        <v>92.790138594431596</v>
      </c>
      <c r="AJ4100">
        <v>103.55937774092099</v>
      </c>
      <c r="AK4100">
        <v>22.822864864143501</v>
      </c>
      <c r="AL4100">
        <v>87.550129852905002</v>
      </c>
      <c r="AM4100">
        <v>91.463590005099604</v>
      </c>
      <c r="AN4100">
        <v>0.99999994069186204</v>
      </c>
    </row>
    <row r="4101" spans="1:40" x14ac:dyDescent="0.25">
      <c r="A4101" t="str">
        <f>"20190312154640467"</f>
        <v>20190312154640467</v>
      </c>
      <c r="B4101" t="str">
        <f>"1552376800461214"</f>
        <v>1552376800461214</v>
      </c>
      <c r="C4101" t="s">
        <v>40</v>
      </c>
      <c r="D4101">
        <v>4.1651540000000002</v>
      </c>
      <c r="E4101">
        <v>0.42021589999999998</v>
      </c>
      <c r="F4101" t="s">
        <v>42</v>
      </c>
      <c r="G4101">
        <v>-420.96179999999998</v>
      </c>
      <c r="H4101" s="1">
        <v>-2.2969430000000001E-6</v>
      </c>
      <c r="I4101">
        <v>114.3468</v>
      </c>
      <c r="J4101">
        <v>-406.78390000000002</v>
      </c>
      <c r="K4101">
        <v>1.111027</v>
      </c>
      <c r="L4101">
        <v>131.48259999999999</v>
      </c>
      <c r="M4101">
        <v>-0.80057389999999995</v>
      </c>
      <c r="N4101">
        <v>0</v>
      </c>
      <c r="O4101">
        <v>-0.59908019999999995</v>
      </c>
      <c r="P4101">
        <v>-0.7836071</v>
      </c>
      <c r="Q4101">
        <v>2.6953649999999999E-2</v>
      </c>
      <c r="R4101">
        <v>-0.6206718</v>
      </c>
      <c r="S4101">
        <v>-1.964569</v>
      </c>
      <c r="T4101">
        <v>-0.15220149999999999</v>
      </c>
      <c r="U4101">
        <v>-2.3645019999999999</v>
      </c>
      <c r="V4101">
        <v>-2.7541639999999999E-2</v>
      </c>
      <c r="W4101">
        <v>4.0449850000000002E-2</v>
      </c>
      <c r="X4101">
        <v>0.99880190000000002</v>
      </c>
      <c r="Y4101">
        <v>-0.23324929999999999</v>
      </c>
      <c r="Z4101">
        <v>2.4954339999999998E-2</v>
      </c>
      <c r="AA4101">
        <v>0.97209670000000004</v>
      </c>
      <c r="AB4101">
        <v>20</v>
      </c>
      <c r="AC4101">
        <v>-14.1778999999999</v>
      </c>
      <c r="AD4101">
        <v>-1.111029296943</v>
      </c>
      <c r="AE4101">
        <v>-17.1357999999999</v>
      </c>
      <c r="AF4101">
        <v>-5.21224964223308</v>
      </c>
      <c r="AG4101">
        <v>-1.111029296943</v>
      </c>
      <c r="AH4101">
        <v>21.564354431091299</v>
      </c>
      <c r="AI4101">
        <v>92.866946272305</v>
      </c>
      <c r="AJ4101">
        <v>103.588160105068</v>
      </c>
      <c r="AK4101">
        <v>22.213133828016002</v>
      </c>
      <c r="AL4101">
        <v>87.681761802511204</v>
      </c>
      <c r="AM4101">
        <v>91.579512373164107</v>
      </c>
      <c r="AN4101">
        <v>0.99999998387125999</v>
      </c>
    </row>
    <row r="4102" spans="1:40" x14ac:dyDescent="0.25">
      <c r="A4102" t="str">
        <f>"20190312154640488"</f>
        <v>20190312154640488</v>
      </c>
      <c r="B4102" t="str">
        <f>"1552376800481710"</f>
        <v>1552376800481710</v>
      </c>
      <c r="C4102" t="s">
        <v>40</v>
      </c>
      <c r="D4102">
        <v>4.1515550000000001</v>
      </c>
      <c r="E4102">
        <v>0.41991590000000001</v>
      </c>
      <c r="F4102" t="s">
        <v>42</v>
      </c>
      <c r="G4102">
        <v>-419.88400000000001</v>
      </c>
      <c r="H4102" s="1">
        <v>-2.5704349999999999E-6</v>
      </c>
      <c r="I4102">
        <v>115.5766</v>
      </c>
      <c r="J4102">
        <v>-406.94290000000001</v>
      </c>
      <c r="K4102">
        <v>1.1110990000000001</v>
      </c>
      <c r="L4102">
        <v>131.36099999999999</v>
      </c>
      <c r="M4102">
        <v>-0.79948450000000004</v>
      </c>
      <c r="N4102">
        <v>0</v>
      </c>
      <c r="O4102">
        <v>-0.600533599999999</v>
      </c>
      <c r="P4102">
        <v>-0.78071769999999996</v>
      </c>
      <c r="Q4102">
        <v>2.496816E-2</v>
      </c>
      <c r="R4102">
        <v>-0.62438490000000002</v>
      </c>
      <c r="S4102">
        <v>-1.9544980000000001</v>
      </c>
      <c r="T4102">
        <v>-0.165762299999999</v>
      </c>
      <c r="U4102">
        <v>-2.373138</v>
      </c>
      <c r="V4102">
        <v>-3.0432959999999998E-2</v>
      </c>
      <c r="W4102">
        <v>3.8449659999999997E-2</v>
      </c>
      <c r="X4102">
        <v>0.99879700000000005</v>
      </c>
      <c r="Y4102">
        <v>-0.235733</v>
      </c>
      <c r="Z4102">
        <v>2.7200720000000001E-2</v>
      </c>
      <c r="AA4102">
        <v>0.97143710000000005</v>
      </c>
      <c r="AB4102">
        <v>20</v>
      </c>
      <c r="AC4102">
        <v>-12.9411</v>
      </c>
      <c r="AD4102">
        <v>-1.111101570435</v>
      </c>
      <c r="AE4102">
        <v>-15.7843999999999</v>
      </c>
      <c r="AF4102">
        <v>-4.8339394964843301</v>
      </c>
      <c r="AG4102">
        <v>-1.111101570435</v>
      </c>
      <c r="AH4102">
        <v>19.7685158704316</v>
      </c>
      <c r="AI4102">
        <v>93.125077050966496</v>
      </c>
      <c r="AJ4102">
        <v>103.740741494283</v>
      </c>
      <c r="AK4102">
        <v>20.381259467339099</v>
      </c>
      <c r="AL4102">
        <v>87.796453572989293</v>
      </c>
      <c r="AM4102">
        <v>91.745240381255201</v>
      </c>
      <c r="AN4102">
        <v>0.99999999430873798</v>
      </c>
    </row>
    <row r="4103" spans="1:40" x14ac:dyDescent="0.25">
      <c r="A4103" t="str">
        <f>"20190312154640532"</f>
        <v>20190312154640532</v>
      </c>
      <c r="B4103" t="str">
        <f>"1552376800521726"</f>
        <v>1552376800521726</v>
      </c>
      <c r="C4103" t="s">
        <v>40</v>
      </c>
      <c r="D4103">
        <v>4.0945739999999997</v>
      </c>
      <c r="E4103">
        <v>0.4196821</v>
      </c>
      <c r="F4103" t="s">
        <v>42</v>
      </c>
      <c r="G4103">
        <v>-419.62299999999999</v>
      </c>
      <c r="H4103" s="1">
        <v>-2.7069709999999999E-6</v>
      </c>
      <c r="I4103">
        <v>115.7869</v>
      </c>
      <c r="J4103">
        <v>-407.24849999999998</v>
      </c>
      <c r="K4103">
        <v>1.111286</v>
      </c>
      <c r="L4103">
        <v>131.12549999999999</v>
      </c>
      <c r="M4103">
        <v>-0.79713679999999998</v>
      </c>
      <c r="N4103">
        <v>0</v>
      </c>
      <c r="O4103">
        <v>-0.60364649999999997</v>
      </c>
      <c r="P4103">
        <v>-0.77490199999999998</v>
      </c>
      <c r="Q4103">
        <v>2.5756319999999999E-2</v>
      </c>
      <c r="R4103">
        <v>-0.63155660000000002</v>
      </c>
      <c r="S4103">
        <v>-1.9412229999999999</v>
      </c>
      <c r="T4103">
        <v>-0.17010129999999901</v>
      </c>
      <c r="U4103">
        <v>-2.384277</v>
      </c>
      <c r="V4103">
        <v>-3.5785119999999997E-2</v>
      </c>
      <c r="W4103">
        <v>3.9204389999999999E-2</v>
      </c>
      <c r="X4103">
        <v>0.99859019999999998</v>
      </c>
      <c r="Y4103">
        <v>-0.23743919999999999</v>
      </c>
      <c r="Z4103">
        <v>2.8057579999999999E-2</v>
      </c>
      <c r="AA4103">
        <v>0.9709972</v>
      </c>
      <c r="AB4103">
        <v>20</v>
      </c>
      <c r="AC4103">
        <v>-12.374499999999999</v>
      </c>
      <c r="AD4103">
        <v>-1.111288706971</v>
      </c>
      <c r="AE4103">
        <v>-15.3385999999999</v>
      </c>
      <c r="AF4103">
        <v>-4.7424969264127004</v>
      </c>
      <c r="AG4103">
        <v>-1.111288706971</v>
      </c>
      <c r="AH4103">
        <v>19.0644021222646</v>
      </c>
      <c r="AI4103">
        <v>93.237617425936406</v>
      </c>
      <c r="AJ4103">
        <v>103.96945904685001</v>
      </c>
      <c r="AK4103">
        <v>19.6768307399002</v>
      </c>
      <c r="AL4103">
        <v>87.753178048735805</v>
      </c>
      <c r="AM4103">
        <v>92.052352751943999</v>
      </c>
      <c r="AN4103">
        <v>0.99999997327236201</v>
      </c>
    </row>
    <row r="4104" spans="1:40" x14ac:dyDescent="0.25">
      <c r="A4104" t="str">
        <f>"20190312154640560"</f>
        <v>20190312154640560</v>
      </c>
      <c r="B4104" t="str">
        <f>"1552376800551982"</f>
        <v>1552376800551982</v>
      </c>
      <c r="C4104" t="s">
        <v>40</v>
      </c>
      <c r="D4104">
        <v>4.1352089999999997</v>
      </c>
      <c r="E4104">
        <v>0.4197282</v>
      </c>
      <c r="F4104" t="s">
        <v>42</v>
      </c>
      <c r="G4104">
        <v>-420.1884</v>
      </c>
      <c r="H4104" s="1">
        <v>-2.3287989999999998E-6</v>
      </c>
      <c r="I4104">
        <v>114.9008</v>
      </c>
      <c r="J4104">
        <v>-407.45030000000003</v>
      </c>
      <c r="K4104">
        <v>1.111445</v>
      </c>
      <c r="L4104">
        <v>130.9684</v>
      </c>
      <c r="M4104">
        <v>-0.79536669999999998</v>
      </c>
      <c r="N4104">
        <v>0</v>
      </c>
      <c r="O4104">
        <v>-0.60597690000000004</v>
      </c>
      <c r="P4104">
        <v>-0.77228520000000001</v>
      </c>
      <c r="Q4104">
        <v>2.723598E-2</v>
      </c>
      <c r="R4104">
        <v>-0.63469229999999999</v>
      </c>
      <c r="S4104">
        <v>-1.9174500000000001</v>
      </c>
      <c r="T4104">
        <v>-0.1646724</v>
      </c>
      <c r="U4104">
        <v>-2.4042050000000001</v>
      </c>
      <c r="V4104">
        <v>-3.6960489999999999E-2</v>
      </c>
      <c r="W4104">
        <v>4.0668059999999999E-2</v>
      </c>
      <c r="X4104">
        <v>0.99848890000000001</v>
      </c>
      <c r="Y4104">
        <v>-0.2443563</v>
      </c>
      <c r="Z4104">
        <v>2.7140750000000002E-2</v>
      </c>
      <c r="AA4104">
        <v>0.96930559999999999</v>
      </c>
      <c r="AB4104">
        <v>20</v>
      </c>
      <c r="AC4104">
        <v>-12.7380999999999</v>
      </c>
      <c r="AD4104">
        <v>-1.1114473287989901</v>
      </c>
      <c r="AE4104">
        <v>-16.067599999999999</v>
      </c>
      <c r="AF4104">
        <v>-5.0462776262432296</v>
      </c>
      <c r="AG4104">
        <v>-1.1114473287989901</v>
      </c>
      <c r="AH4104">
        <v>19.811669783549998</v>
      </c>
      <c r="AI4104">
        <v>93.111810340188498</v>
      </c>
      <c r="AJ4104">
        <v>104.290077691734</v>
      </c>
      <c r="AK4104">
        <v>20.474435099856699</v>
      </c>
      <c r="AL4104">
        <v>87.669249092687295</v>
      </c>
      <c r="AM4104">
        <v>92.119917060605303</v>
      </c>
      <c r="AN4104">
        <v>1.0000000261741999</v>
      </c>
    </row>
    <row r="4105" spans="1:40" x14ac:dyDescent="0.25">
      <c r="A4105" t="str">
        <f>"20190312154640588"</f>
        <v>20190312154640588</v>
      </c>
      <c r="B4105" t="str">
        <f>"1552376800581262"</f>
        <v>1552376800581262</v>
      </c>
      <c r="C4105" t="s">
        <v>40</v>
      </c>
      <c r="D4105">
        <v>4.2117209999999998</v>
      </c>
      <c r="E4105">
        <v>0.41970059999999898</v>
      </c>
      <c r="F4105" t="s">
        <v>42</v>
      </c>
      <c r="G4105">
        <v>-420.78489999999999</v>
      </c>
      <c r="H4105" s="1">
        <v>-2.1508799999999999E-6</v>
      </c>
      <c r="I4105">
        <v>114.116</v>
      </c>
      <c r="J4105">
        <v>-407.63920000000002</v>
      </c>
      <c r="K4105">
        <v>1.1116079999999999</v>
      </c>
      <c r="L4105">
        <v>130.82</v>
      </c>
      <c r="M4105">
        <v>-0.79350449999999995</v>
      </c>
      <c r="N4105">
        <v>0</v>
      </c>
      <c r="O4105">
        <v>-0.60841259999999997</v>
      </c>
      <c r="P4105">
        <v>-0.77032299999999998</v>
      </c>
      <c r="Q4105">
        <v>2.7889609999999999E-2</v>
      </c>
      <c r="R4105">
        <v>-0.63704340000000004</v>
      </c>
      <c r="S4105">
        <v>-1.9082030000000001</v>
      </c>
      <c r="T4105">
        <v>-0.159049</v>
      </c>
      <c r="U4105">
        <v>-2.411591</v>
      </c>
      <c r="V4105">
        <v>-3.6975220000000003E-2</v>
      </c>
      <c r="W4105">
        <v>4.1310300000000001E-2</v>
      </c>
      <c r="X4105">
        <v>0.99846199999999996</v>
      </c>
      <c r="Y4105">
        <v>-0.24509120000000001</v>
      </c>
      <c r="Z4105">
        <v>2.6337409999999999E-2</v>
      </c>
      <c r="AA4105">
        <v>0.96914219999999895</v>
      </c>
      <c r="AB4105">
        <v>20</v>
      </c>
      <c r="AC4105">
        <v>-13.1456999999999</v>
      </c>
      <c r="AD4105">
        <v>-1.11161015088</v>
      </c>
      <c r="AE4105">
        <v>-16.703999999999901</v>
      </c>
      <c r="AF4105">
        <v>-5.2428370599093999</v>
      </c>
      <c r="AG4105">
        <v>-1.11161015088</v>
      </c>
      <c r="AH4105">
        <v>20.539825972483701</v>
      </c>
      <c r="AI4105">
        <v>93.001750792269505</v>
      </c>
      <c r="AJ4105">
        <v>104.31912216533701</v>
      </c>
      <c r="AK4105">
        <v>21.227516777621801</v>
      </c>
      <c r="AL4105">
        <v>87.632420525205603</v>
      </c>
      <c r="AM4105">
        <v>92.120818231819598</v>
      </c>
      <c r="AN4105">
        <v>1.0000000366120601</v>
      </c>
    </row>
    <row r="4106" spans="1:40" x14ac:dyDescent="0.25">
      <c r="A4106" t="str">
        <f>"20190312154640620"</f>
        <v>20190312154640620</v>
      </c>
      <c r="B4106" t="str">
        <f>"1552376800611522"</f>
        <v>1552376800611522</v>
      </c>
      <c r="C4106" t="s">
        <v>40</v>
      </c>
      <c r="D4106">
        <v>4.0324309999999999</v>
      </c>
      <c r="E4106">
        <v>0.4198962</v>
      </c>
      <c r="F4106" t="s">
        <v>42</v>
      </c>
      <c r="G4106">
        <v>-421.01299999999998</v>
      </c>
      <c r="H4106" s="1">
        <v>-2.0785340000000002E-6</v>
      </c>
      <c r="I4106">
        <v>113.80589999999999</v>
      </c>
      <c r="J4106">
        <v>-407.87540000000001</v>
      </c>
      <c r="K4106">
        <v>1.111829</v>
      </c>
      <c r="L4106">
        <v>130.63239999999999</v>
      </c>
      <c r="M4106">
        <v>-0.79082719999999995</v>
      </c>
      <c r="N4106">
        <v>0</v>
      </c>
      <c r="O4106">
        <v>-0.61188909999999996</v>
      </c>
      <c r="P4106">
        <v>-0.7681403</v>
      </c>
      <c r="Q4106">
        <v>2.5022889999999999E-2</v>
      </c>
      <c r="R4106">
        <v>-0.63979280000000005</v>
      </c>
      <c r="S4106">
        <v>-1.900604</v>
      </c>
      <c r="T4106">
        <v>-0.15797510000000001</v>
      </c>
      <c r="U4106">
        <v>-2.4179379999999999</v>
      </c>
      <c r="V4106">
        <v>-3.6113310000000003E-2</v>
      </c>
      <c r="W4106">
        <v>3.84363E-2</v>
      </c>
      <c r="X4106">
        <v>0.9986083</v>
      </c>
      <c r="Y4106">
        <v>-0.24395500000000001</v>
      </c>
      <c r="Z4106">
        <v>2.637712E-2</v>
      </c>
      <c r="AA4106">
        <v>0.96942779999999995</v>
      </c>
      <c r="AB4106">
        <v>20</v>
      </c>
      <c r="AC4106">
        <v>-13.137600000000001</v>
      </c>
      <c r="AD4106">
        <v>-1.111831078534</v>
      </c>
      <c r="AE4106">
        <v>-16.8264999999999</v>
      </c>
      <c r="AF4106">
        <v>-5.25433209653995</v>
      </c>
      <c r="AG4106">
        <v>-1.111831078534</v>
      </c>
      <c r="AH4106">
        <v>20.6314642392195</v>
      </c>
      <c r="AI4106">
        <v>92.989446947867506</v>
      </c>
      <c r="AJ4106">
        <v>104.288102628001</v>
      </c>
      <c r="AK4106">
        <v>21.319040568987099</v>
      </c>
      <c r="AL4106">
        <v>87.797219686380103</v>
      </c>
      <c r="AM4106">
        <v>92.071121320663906</v>
      </c>
      <c r="AN4106">
        <v>1.0000000285728601</v>
      </c>
    </row>
    <row r="4107" spans="1:40" x14ac:dyDescent="0.25">
      <c r="A4107" t="str">
        <f>"20190312154640644"</f>
        <v>20190312154640644</v>
      </c>
      <c r="B4107" t="str">
        <f>"1552376800632014"</f>
        <v>1552376800632014</v>
      </c>
      <c r="C4107" t="s">
        <v>40</v>
      </c>
      <c r="D4107">
        <v>4.0770839999999904</v>
      </c>
      <c r="E4107">
        <v>0.4200258</v>
      </c>
      <c r="F4107" t="s">
        <v>42</v>
      </c>
      <c r="G4107">
        <v>-420.33460000000002</v>
      </c>
      <c r="H4107" s="1">
        <v>-2.275875E-6</v>
      </c>
      <c r="I4107">
        <v>114.6867</v>
      </c>
      <c r="J4107">
        <v>-408.0403</v>
      </c>
      <c r="K4107">
        <v>1.11199</v>
      </c>
      <c r="L4107">
        <v>130.4999</v>
      </c>
      <c r="M4107">
        <v>-0.78874330000000004</v>
      </c>
      <c r="N4107">
        <v>0</v>
      </c>
      <c r="O4107">
        <v>-0.61457289999999998</v>
      </c>
      <c r="P4107">
        <v>-0.76588400000000001</v>
      </c>
      <c r="Q4107">
        <v>2.4561860000000001E-2</v>
      </c>
      <c r="R4107">
        <v>-0.64250980000000002</v>
      </c>
      <c r="S4107">
        <v>-1.8930659999999999</v>
      </c>
      <c r="T4107">
        <v>-0.168933</v>
      </c>
      <c r="U4107">
        <v>-2.422806</v>
      </c>
      <c r="V4107">
        <v>-3.6261109999999999E-2</v>
      </c>
      <c r="W4107">
        <v>3.7969349999999999E-2</v>
      </c>
      <c r="X4107">
        <v>0.99862079999999998</v>
      </c>
      <c r="Y4107">
        <v>-0.2435263</v>
      </c>
      <c r="Z4107">
        <v>2.8381630000000001E-2</v>
      </c>
      <c r="AA4107">
        <v>0.96947899999999998</v>
      </c>
      <c r="AB4107">
        <v>20</v>
      </c>
      <c r="AC4107">
        <v>-12.2943</v>
      </c>
      <c r="AD4107">
        <v>-1.111992275875</v>
      </c>
      <c r="AE4107">
        <v>-15.813199999999901</v>
      </c>
      <c r="AF4107">
        <v>-4.9021562179017302</v>
      </c>
      <c r="AG4107">
        <v>-1.111992275875</v>
      </c>
      <c r="AH4107">
        <v>19.3575386784443</v>
      </c>
      <c r="AI4107">
        <v>93.1873387207972</v>
      </c>
      <c r="AJ4107">
        <v>104.210976017034</v>
      </c>
      <c r="AK4107">
        <v>19.999549147263</v>
      </c>
      <c r="AL4107">
        <v>87.823993478161</v>
      </c>
      <c r="AM4107">
        <v>92.079564309510801</v>
      </c>
      <c r="AN4107">
        <v>1.00000002091524</v>
      </c>
    </row>
    <row r="4108" spans="1:40" x14ac:dyDescent="0.25">
      <c r="A4108" t="str">
        <f>"20190312154640689"</f>
        <v>20190312154640689</v>
      </c>
      <c r="B4108" t="str">
        <f>"1552376800681790"</f>
        <v>1552376800681790</v>
      </c>
      <c r="C4108" t="s">
        <v>40</v>
      </c>
      <c r="D4108">
        <v>4.073016</v>
      </c>
      <c r="E4108">
        <v>0.42050070000000001</v>
      </c>
      <c r="F4108" t="s">
        <v>42</v>
      </c>
      <c r="G4108">
        <v>-420.22890000000001</v>
      </c>
      <c r="H4108" s="1">
        <v>-2.3006730000000002E-6</v>
      </c>
      <c r="I4108">
        <v>114.81010000000001</v>
      </c>
      <c r="J4108">
        <v>-408.34649999999999</v>
      </c>
      <c r="K4108">
        <v>1.112266</v>
      </c>
      <c r="L4108">
        <v>130.2501</v>
      </c>
      <c r="M4108">
        <v>-0.78432919999999995</v>
      </c>
      <c r="N4108">
        <v>0</v>
      </c>
      <c r="O4108">
        <v>-0.62019590000000002</v>
      </c>
      <c r="P4108">
        <v>-0.761185</v>
      </c>
      <c r="Q4108">
        <v>2.3828849999999999E-2</v>
      </c>
      <c r="R4108">
        <v>-0.64809700000000003</v>
      </c>
      <c r="S4108">
        <v>-1.8859250000000001</v>
      </c>
      <c r="T4108">
        <v>-0.1720576</v>
      </c>
      <c r="U4108">
        <v>-2.427673</v>
      </c>
      <c r="V4108">
        <v>-3.6437829999999997E-2</v>
      </c>
      <c r="W4108">
        <v>3.722839E-2</v>
      </c>
      <c r="X4108">
        <v>0.99864229999999998</v>
      </c>
      <c r="Y4108">
        <v>-0.2393335</v>
      </c>
      <c r="Z4108">
        <v>2.9351490000000001E-2</v>
      </c>
      <c r="AA4108">
        <v>0.97049370000000001</v>
      </c>
      <c r="AB4108">
        <v>20</v>
      </c>
      <c r="AC4108">
        <v>-11.882400000000001</v>
      </c>
      <c r="AD4108">
        <v>-1.1122683006730001</v>
      </c>
      <c r="AE4108">
        <v>-15.4399999999999</v>
      </c>
      <c r="AF4108">
        <v>-4.7256632186211602</v>
      </c>
      <c r="AG4108">
        <v>-1.1122683006730001</v>
      </c>
      <c r="AH4108">
        <v>18.8358939062494</v>
      </c>
      <c r="AI4108">
        <v>93.278057589111398</v>
      </c>
      <c r="AJ4108">
        <v>104.08401470059199</v>
      </c>
      <c r="AK4108">
        <v>19.451476367514999</v>
      </c>
      <c r="AL4108">
        <v>87.8664774735892</v>
      </c>
      <c r="AM4108">
        <v>92.0896452380765</v>
      </c>
      <c r="AN4108">
        <v>1.0000000559131901</v>
      </c>
    </row>
    <row r="4109" spans="1:40" x14ac:dyDescent="0.25">
      <c r="A4109" t="str">
        <f>"20190312154640712"</f>
        <v>20190312154640712</v>
      </c>
      <c r="B4109" t="str">
        <f>"1552376800701310"</f>
        <v>1552376800701310</v>
      </c>
      <c r="C4109" t="s">
        <v>40</v>
      </c>
      <c r="D4109">
        <v>4.076562</v>
      </c>
      <c r="E4109">
        <v>0.40627340000000001</v>
      </c>
      <c r="F4109" t="s">
        <v>42</v>
      </c>
      <c r="G4109">
        <v>-420.21289999999999</v>
      </c>
      <c r="H4109" s="1">
        <v>-2.2855419999999999E-6</v>
      </c>
      <c r="I4109">
        <v>114.7847</v>
      </c>
      <c r="J4109">
        <v>-408.5052</v>
      </c>
      <c r="K4109">
        <v>1.1123780000000001</v>
      </c>
      <c r="L4109">
        <v>130.11850000000001</v>
      </c>
      <c r="M4109">
        <v>-0.78180190000000005</v>
      </c>
      <c r="N4109">
        <v>0</v>
      </c>
      <c r="O4109">
        <v>-0.6233786</v>
      </c>
      <c r="P4109">
        <v>-0.7576465</v>
      </c>
      <c r="Q4109">
        <v>2.280399E-2</v>
      </c>
      <c r="R4109">
        <v>-0.65226709999999999</v>
      </c>
      <c r="S4109">
        <v>-1.870789</v>
      </c>
      <c r="T4109">
        <v>-0.175352799999999</v>
      </c>
      <c r="U4109">
        <v>-2.4381710000000001</v>
      </c>
      <c r="V4109">
        <v>-3.7847329999999998E-2</v>
      </c>
      <c r="W4109">
        <v>3.6194829999999997E-2</v>
      </c>
      <c r="X4109">
        <v>0.99862779999999995</v>
      </c>
      <c r="Y4109">
        <v>-0.2412125</v>
      </c>
      <c r="Z4109">
        <v>3.0076510000000001E-2</v>
      </c>
      <c r="AA4109">
        <v>0.97000620000000004</v>
      </c>
      <c r="AB4109">
        <v>20</v>
      </c>
      <c r="AC4109">
        <v>-11.7076999999999</v>
      </c>
      <c r="AD4109">
        <v>-1.112380285542</v>
      </c>
      <c r="AE4109">
        <v>-15.3338</v>
      </c>
      <c r="AF4109">
        <v>-4.6745570982071403</v>
      </c>
      <c r="AG4109">
        <v>-1.112380285542</v>
      </c>
      <c r="AH4109">
        <v>18.651586654978299</v>
      </c>
      <c r="AI4109">
        <v>93.310914185091605</v>
      </c>
      <c r="AJ4109">
        <v>104.06995113641</v>
      </c>
      <c r="AK4109">
        <v>19.260596011344699</v>
      </c>
      <c r="AL4109">
        <v>87.925735896749501</v>
      </c>
      <c r="AM4109">
        <v>92.1704331922043</v>
      </c>
      <c r="AN4109">
        <v>0.99999998451984795</v>
      </c>
    </row>
    <row r="4110" spans="1:40" x14ac:dyDescent="0.25">
      <c r="A4110" t="str">
        <f>"20190312154640733"</f>
        <v>20190312154640733</v>
      </c>
      <c r="B4110" t="str">
        <f>"1552376800721806"</f>
        <v>1552376800721806</v>
      </c>
      <c r="C4110" t="s">
        <v>40</v>
      </c>
      <c r="D4110">
        <v>4.1175889999999997</v>
      </c>
      <c r="E4110">
        <v>0.40589439999999999</v>
      </c>
      <c r="F4110" t="s">
        <v>42</v>
      </c>
      <c r="G4110">
        <v>-420.2978</v>
      </c>
      <c r="H4110" s="1">
        <v>-1.7002390000000001E-6</v>
      </c>
      <c r="I4110">
        <v>113.3677</v>
      </c>
      <c r="J4110">
        <v>-408.64909999999998</v>
      </c>
      <c r="K4110">
        <v>1.1124700000000001</v>
      </c>
      <c r="L4110">
        <v>129.99809999999999</v>
      </c>
      <c r="M4110">
        <v>-0.77938019999999997</v>
      </c>
      <c r="N4110">
        <v>0</v>
      </c>
      <c r="O4110">
        <v>-0.6264033</v>
      </c>
      <c r="P4110">
        <v>-0.75431139999999997</v>
      </c>
      <c r="Q4110">
        <v>2.3236400000000001E-2</v>
      </c>
      <c r="R4110">
        <v>-0.65610579999999996</v>
      </c>
      <c r="S4110">
        <v>-1.7836000000000001</v>
      </c>
      <c r="T4110">
        <v>-0.16824500000000001</v>
      </c>
      <c r="U4110">
        <v>-2.5335239999999999</v>
      </c>
      <c r="V4110">
        <v>-3.9067619999999997E-2</v>
      </c>
      <c r="W4110">
        <v>3.6619400000000003E-2</v>
      </c>
      <c r="X4110">
        <v>0.99856529999999999</v>
      </c>
      <c r="Y4110">
        <v>-0.27705210000000002</v>
      </c>
      <c r="Z4110">
        <v>2.8007799999999999E-2</v>
      </c>
      <c r="AA4110">
        <v>0.96044660000000004</v>
      </c>
      <c r="AB4110">
        <v>20</v>
      </c>
      <c r="AC4110">
        <v>-11.6487</v>
      </c>
      <c r="AD4110">
        <v>-1.1124717002390001</v>
      </c>
      <c r="AE4110">
        <v>-16.630399999999899</v>
      </c>
      <c r="AF4110">
        <v>-5.64818995495152</v>
      </c>
      <c r="AG4110">
        <v>-1.1124717002390001</v>
      </c>
      <c r="AH4110">
        <v>19.439554538854001</v>
      </c>
      <c r="AI4110">
        <v>93.145501469933194</v>
      </c>
      <c r="AJ4110">
        <v>106.20129721957299</v>
      </c>
      <c r="AK4110">
        <v>20.274020906572201</v>
      </c>
      <c r="AL4110">
        <v>87.901393635361501</v>
      </c>
      <c r="AM4110">
        <v>92.240483123207994</v>
      </c>
      <c r="AN4110">
        <v>0.99999995887645599</v>
      </c>
    </row>
    <row r="4111" spans="1:40" x14ac:dyDescent="0.25">
      <c r="A4111" t="str">
        <f>"20190312154640757"</f>
        <v>20190312154640757</v>
      </c>
      <c r="B4111" t="str">
        <f>"1552376800752063"</f>
        <v>1552376800752063</v>
      </c>
      <c r="C4111" t="s">
        <v>40</v>
      </c>
      <c r="D4111">
        <v>4.1184729999999998</v>
      </c>
      <c r="E4111">
        <v>0.40630470000000002</v>
      </c>
      <c r="F4111" t="s">
        <v>42</v>
      </c>
      <c r="G4111">
        <v>-418.15660000000003</v>
      </c>
      <c r="H4111" s="1">
        <v>-3.1932519999999999E-6</v>
      </c>
      <c r="I4111">
        <v>116.3141</v>
      </c>
      <c r="J4111">
        <v>-408.81700000000001</v>
      </c>
      <c r="K4111">
        <v>1.1126</v>
      </c>
      <c r="L4111">
        <v>129.8562</v>
      </c>
      <c r="M4111">
        <v>-0.77637159999999905</v>
      </c>
      <c r="N4111">
        <v>0</v>
      </c>
      <c r="O4111">
        <v>-0.63012809999999997</v>
      </c>
      <c r="P4111">
        <v>-0.75035109999999905</v>
      </c>
      <c r="Q4111">
        <v>2.4825549999999998E-2</v>
      </c>
      <c r="R4111">
        <v>-0.66057339999999998</v>
      </c>
      <c r="S4111">
        <v>-1.7689509999999999</v>
      </c>
      <c r="T4111">
        <v>-0.20698540000000001</v>
      </c>
      <c r="U4111">
        <v>-2.5460210000000001</v>
      </c>
      <c r="V4111">
        <v>-4.0268459999999999E-2</v>
      </c>
      <c r="W4111">
        <v>3.8199490000000003E-2</v>
      </c>
      <c r="X4111">
        <v>0.99845839999999997</v>
      </c>
      <c r="Y4111">
        <v>-0.27855849999999999</v>
      </c>
      <c r="Z4111">
        <v>3.4653000000000003E-2</v>
      </c>
      <c r="AA4111">
        <v>0.95979389999999998</v>
      </c>
      <c r="AB4111">
        <v>20</v>
      </c>
      <c r="AC4111">
        <v>-9.3396000000000701</v>
      </c>
      <c r="AD4111">
        <v>-1.112603193252</v>
      </c>
      <c r="AE4111">
        <v>-13.5421</v>
      </c>
      <c r="AF4111">
        <v>-4.6079092673398598</v>
      </c>
      <c r="AG4111">
        <v>-1.112603193252</v>
      </c>
      <c r="AH4111">
        <v>15.713843751533201</v>
      </c>
      <c r="AI4111">
        <v>93.886877456225605</v>
      </c>
      <c r="AJ4111">
        <v>106.343186137942</v>
      </c>
      <c r="AK4111">
        <v>16.413275088454199</v>
      </c>
      <c r="AL4111">
        <v>87.810797728249298</v>
      </c>
      <c r="AM4111">
        <v>92.309523446225</v>
      </c>
      <c r="AN4111">
        <v>0.99999996321879503</v>
      </c>
    </row>
    <row r="4112" spans="1:40" x14ac:dyDescent="0.25">
      <c r="A4112" t="str">
        <f>"20190312154640783"</f>
        <v>20190312154640783</v>
      </c>
      <c r="B4112" t="str">
        <f>"1552376800771582"</f>
        <v>1552376800771582</v>
      </c>
      <c r="C4112" t="s">
        <v>40</v>
      </c>
      <c r="D4112">
        <v>4.1204269999999896</v>
      </c>
      <c r="E4112">
        <v>0.40645700000000001</v>
      </c>
      <c r="F4112" t="s">
        <v>42</v>
      </c>
      <c r="G4112">
        <v>-417.92039999999997</v>
      </c>
      <c r="H4112" s="1">
        <v>-3.3635090000000001E-6</v>
      </c>
      <c r="I4112">
        <v>116.6133</v>
      </c>
      <c r="J4112">
        <v>-408.98469999999998</v>
      </c>
      <c r="K4112">
        <v>1.1127479999999901</v>
      </c>
      <c r="L4112">
        <v>129.71250000000001</v>
      </c>
      <c r="M4112">
        <v>-0.77315069999999997</v>
      </c>
      <c r="N4112">
        <v>0</v>
      </c>
      <c r="O4112">
        <v>-0.63407550000000001</v>
      </c>
      <c r="P4112">
        <v>-0.74664900000000001</v>
      </c>
      <c r="Q4112">
        <v>2.6401870000000001E-2</v>
      </c>
      <c r="R4112">
        <v>-0.66469400000000001</v>
      </c>
      <c r="S4112">
        <v>-1.756165</v>
      </c>
      <c r="T4112">
        <v>-0.2146353</v>
      </c>
      <c r="U4112">
        <v>-2.5547179999999998</v>
      </c>
      <c r="V4112">
        <v>-4.0734909999999999E-2</v>
      </c>
      <c r="W4112">
        <v>3.9772340000000003E-2</v>
      </c>
      <c r="X4112">
        <v>0.99837810000000005</v>
      </c>
      <c r="Y4112">
        <v>-0.2784952</v>
      </c>
      <c r="Z4112">
        <v>3.6236810000000001E-2</v>
      </c>
      <c r="AA4112">
        <v>0.95975379999999999</v>
      </c>
      <c r="AB4112">
        <v>20</v>
      </c>
      <c r="AC4112">
        <v>-8.93569999999999</v>
      </c>
      <c r="AD4112">
        <v>-1.1127513635089901</v>
      </c>
      <c r="AE4112">
        <v>-13.0992</v>
      </c>
      <c r="AF4112">
        <v>-4.4402961804767704</v>
      </c>
      <c r="AG4112">
        <v>-1.1127513635089901</v>
      </c>
      <c r="AH4112">
        <v>15.1413766699671</v>
      </c>
      <c r="AI4112">
        <v>94.033873763615603</v>
      </c>
      <c r="AJ4112">
        <v>106.34407987078001</v>
      </c>
      <c r="AK4112">
        <v>15.818208913438101</v>
      </c>
      <c r="AL4112">
        <v>87.720611572321104</v>
      </c>
      <c r="AM4112">
        <v>92.3364340516666</v>
      </c>
      <c r="AN4112">
        <v>1.00000000124069</v>
      </c>
    </row>
    <row r="4113" spans="1:40" x14ac:dyDescent="0.25">
      <c r="A4113" t="str">
        <f>"20190312154640822"</f>
        <v>20190312154640822</v>
      </c>
      <c r="B4113" t="str">
        <f>"1552376800811602"</f>
        <v>1552376800811602</v>
      </c>
      <c r="C4113" t="s">
        <v>40</v>
      </c>
      <c r="D4113">
        <v>4.1476189999999997</v>
      </c>
      <c r="E4113">
        <v>0.40580769999999999</v>
      </c>
      <c r="F4113" t="s">
        <v>42</v>
      </c>
      <c r="G4113">
        <v>-418.10469999999998</v>
      </c>
      <c r="H4113" s="1">
        <v>-3.1938889999999999E-6</v>
      </c>
      <c r="I4113">
        <v>116.2941</v>
      </c>
      <c r="J4113">
        <v>-409.24059999999997</v>
      </c>
      <c r="K4113">
        <v>1.1130169999999999</v>
      </c>
      <c r="L4113">
        <v>129.48920000000001</v>
      </c>
      <c r="M4113">
        <v>-0.76774609999999999</v>
      </c>
      <c r="N4113">
        <v>0</v>
      </c>
      <c r="O4113">
        <v>-0.64060850000000003</v>
      </c>
      <c r="P4113">
        <v>-0.74169929999999995</v>
      </c>
      <c r="Q4113">
        <v>2.7454949999999999E-2</v>
      </c>
      <c r="R4113">
        <v>-0.67017099999999996</v>
      </c>
      <c r="S4113">
        <v>-1.74276699999999</v>
      </c>
      <c r="T4113">
        <v>-0.21263779999999999</v>
      </c>
      <c r="U4113">
        <v>-2.5641479999999999</v>
      </c>
      <c r="V4113">
        <v>-3.9673460000000001E-2</v>
      </c>
      <c r="W4113">
        <v>4.083577E-2</v>
      </c>
      <c r="X4113">
        <v>0.99837790000000004</v>
      </c>
      <c r="Y4113">
        <v>-0.27542470000000002</v>
      </c>
      <c r="Z4113">
        <v>3.6483340000000003E-2</v>
      </c>
      <c r="AA4113">
        <v>0.96063010000000004</v>
      </c>
      <c r="AB4113">
        <v>20</v>
      </c>
      <c r="AC4113">
        <v>-8.8641000000000005</v>
      </c>
      <c r="AD4113">
        <v>-1.1130201938890001</v>
      </c>
      <c r="AE4113">
        <v>-13.1951</v>
      </c>
      <c r="AF4113">
        <v>-4.4307619245127698</v>
      </c>
      <c r="AG4113">
        <v>-1.1130201938890001</v>
      </c>
      <c r="AH4113">
        <v>15.185247962734</v>
      </c>
      <c r="AI4113">
        <v>94.024820687165899</v>
      </c>
      <c r="AJ4113">
        <v>106.26622467906</v>
      </c>
      <c r="AK4113">
        <v>15.8575603695346</v>
      </c>
      <c r="AL4113">
        <v>87.659631937952199</v>
      </c>
      <c r="AM4113">
        <v>92.275617731342706</v>
      </c>
      <c r="AN4113">
        <v>0.99999998737413698</v>
      </c>
    </row>
    <row r="4114" spans="1:40" x14ac:dyDescent="0.25">
      <c r="A4114" t="str">
        <f>"20190312154640847"</f>
        <v>20190312154640847</v>
      </c>
      <c r="B4114" t="str">
        <f>"1552376800841854"</f>
        <v>1552376800841854</v>
      </c>
      <c r="C4114" t="s">
        <v>40</v>
      </c>
      <c r="D4114">
        <v>4.1059380000000001</v>
      </c>
      <c r="E4114">
        <v>0.40548070000000003</v>
      </c>
      <c r="F4114" t="s">
        <v>42</v>
      </c>
      <c r="G4114">
        <v>-418.77030000000002</v>
      </c>
      <c r="H4114" s="1">
        <v>-2.601801E-6</v>
      </c>
      <c r="I4114">
        <v>115.1892</v>
      </c>
      <c r="J4114">
        <v>-409.40449999999998</v>
      </c>
      <c r="K4114">
        <v>1.1131759999999999</v>
      </c>
      <c r="L4114">
        <v>129.34350000000001</v>
      </c>
      <c r="M4114">
        <v>-0.76397599999999999</v>
      </c>
      <c r="N4114">
        <v>0</v>
      </c>
      <c r="O4114">
        <v>-0.64509949999999905</v>
      </c>
      <c r="P4114">
        <v>-0.73850340000000003</v>
      </c>
      <c r="Q4114">
        <v>2.7761330000000001E-2</v>
      </c>
      <c r="R4114">
        <v>-0.67367829999999995</v>
      </c>
      <c r="S4114">
        <v>-1.720032</v>
      </c>
      <c r="T4114">
        <v>-0.2008915</v>
      </c>
      <c r="U4114">
        <v>-2.5810550000000001</v>
      </c>
      <c r="V4114">
        <v>-3.8574650000000002E-2</v>
      </c>
      <c r="W4114">
        <v>4.1154509999999998E-2</v>
      </c>
      <c r="X4114">
        <v>0.99840790000000001</v>
      </c>
      <c r="Y4114">
        <v>-0.27849879999999999</v>
      </c>
      <c r="Z4114">
        <v>3.4703360000000003E-2</v>
      </c>
      <c r="AA4114">
        <v>0.95980940000000003</v>
      </c>
      <c r="AB4114">
        <v>20</v>
      </c>
      <c r="AC4114">
        <v>-9.3658000000000303</v>
      </c>
      <c r="AD4114">
        <v>-1.1131786018009999</v>
      </c>
      <c r="AE4114">
        <v>-14.154299999999999</v>
      </c>
      <c r="AF4114">
        <v>-4.7516791070417197</v>
      </c>
      <c r="AG4114">
        <v>-1.1131786018009999</v>
      </c>
      <c r="AH4114">
        <v>16.2179385570848</v>
      </c>
      <c r="AI4114">
        <v>93.768612296973103</v>
      </c>
      <c r="AJ4114">
        <v>106.33000897981501</v>
      </c>
      <c r="AK4114">
        <v>16.9363264014716</v>
      </c>
      <c r="AL4114">
        <v>87.641354183227605</v>
      </c>
      <c r="AM4114">
        <v>92.212588544007303</v>
      </c>
      <c r="AN4114">
        <v>1.00000001604918</v>
      </c>
    </row>
    <row r="4115" spans="1:40" x14ac:dyDescent="0.25">
      <c r="A4115" t="str">
        <f>"20190312154640867"</f>
        <v>20190312154640867</v>
      </c>
      <c r="B4115" t="str">
        <f>"1552376800861374"</f>
        <v>1552376800861374</v>
      </c>
      <c r="C4115" t="s">
        <v>40</v>
      </c>
      <c r="D4115">
        <v>4.2613820000000002</v>
      </c>
      <c r="E4115">
        <v>0.40561930000000002</v>
      </c>
      <c r="F4115" t="s">
        <v>42</v>
      </c>
      <c r="G4115">
        <v>-419.3458</v>
      </c>
      <c r="H4115" s="1">
        <v>-2.0949649999999999E-6</v>
      </c>
      <c r="I4115">
        <v>114.2457</v>
      </c>
      <c r="J4115">
        <v>-409.5369</v>
      </c>
      <c r="K4115">
        <v>1.1132930000000001</v>
      </c>
      <c r="L4115">
        <v>129.22409999999999</v>
      </c>
      <c r="M4115">
        <v>-0.76073740000000001</v>
      </c>
      <c r="N4115">
        <v>0</v>
      </c>
      <c r="O4115">
        <v>-0.64891509999999997</v>
      </c>
      <c r="P4115">
        <v>-0.7359561</v>
      </c>
      <c r="Q4115">
        <v>2.6666470000000001E-2</v>
      </c>
      <c r="R4115">
        <v>-0.6765042</v>
      </c>
      <c r="S4115">
        <v>-1.7059629999999999</v>
      </c>
      <c r="T4115">
        <v>-0.19102569999999999</v>
      </c>
      <c r="U4115">
        <v>-2.5908509999999998</v>
      </c>
      <c r="V4115">
        <v>-3.7381310000000001E-2</v>
      </c>
      <c r="W4115">
        <v>4.0073930000000001E-2</v>
      </c>
      <c r="X4115">
        <v>0.99849719999999997</v>
      </c>
      <c r="Y4115">
        <v>-0.27895399999999998</v>
      </c>
      <c r="Z4115">
        <v>3.3251160000000002E-2</v>
      </c>
      <c r="AA4115">
        <v>0.95972869999999999</v>
      </c>
      <c r="AB4115">
        <v>20</v>
      </c>
      <c r="AC4115">
        <v>-9.8088999999999906</v>
      </c>
      <c r="AD4115">
        <v>-1.113295094965</v>
      </c>
      <c r="AE4115">
        <v>-14.978399999999899</v>
      </c>
      <c r="AF4115">
        <v>-5.0105853811426897</v>
      </c>
      <c r="AG4115">
        <v>-1.113295094965</v>
      </c>
      <c r="AH4115">
        <v>17.117139667634</v>
      </c>
      <c r="AI4115">
        <v>93.571793410430402</v>
      </c>
      <c r="AJ4115">
        <v>106.315982387594</v>
      </c>
      <c r="AK4115">
        <v>17.8701388419755</v>
      </c>
      <c r="AL4115">
        <v>87.703317879773493</v>
      </c>
      <c r="AM4115">
        <v>92.144013535122795</v>
      </c>
      <c r="AN4115">
        <v>0.9999999703054</v>
      </c>
    </row>
    <row r="4116" spans="1:40" x14ac:dyDescent="0.25">
      <c r="A4116" t="str">
        <f>"20190312154640891"</f>
        <v>20190312154640891</v>
      </c>
      <c r="B4116" t="str">
        <f>"1552376800881870"</f>
        <v>1552376800881870</v>
      </c>
      <c r="C4116" t="s">
        <v>40</v>
      </c>
      <c r="D4116">
        <v>4.1571889999999998</v>
      </c>
      <c r="E4116">
        <v>0.4055993</v>
      </c>
      <c r="F4116" t="s">
        <v>42</v>
      </c>
      <c r="G4116">
        <v>-419.58260000000001</v>
      </c>
      <c r="H4116" s="1">
        <v>-1.8839399999999999E-6</v>
      </c>
      <c r="I4116">
        <v>113.85169999999999</v>
      </c>
      <c r="J4116">
        <v>-409.69170000000003</v>
      </c>
      <c r="K4116">
        <v>1.1134040000000001</v>
      </c>
      <c r="L4116">
        <v>129.08250000000001</v>
      </c>
      <c r="M4116">
        <v>-0.75673040000000003</v>
      </c>
      <c r="N4116">
        <v>0</v>
      </c>
      <c r="O4116">
        <v>-0.65358289999999997</v>
      </c>
      <c r="P4116">
        <v>-0.73221650000000005</v>
      </c>
      <c r="Q4116">
        <v>2.5137070000000001E-2</v>
      </c>
      <c r="R4116">
        <v>-0.68060769999999904</v>
      </c>
      <c r="S4116">
        <v>-1.696625</v>
      </c>
      <c r="T4116">
        <v>-0.18802540000000001</v>
      </c>
      <c r="U4116">
        <v>-2.5962679999999998</v>
      </c>
      <c r="V4116">
        <v>-3.6783589999999998E-2</v>
      </c>
      <c r="W4116">
        <v>3.8558290000000002E-2</v>
      </c>
      <c r="X4116">
        <v>0.99857910000000005</v>
      </c>
      <c r="Y4116">
        <v>-0.27637489999999998</v>
      </c>
      <c r="Z4116">
        <v>3.3116239999999998E-2</v>
      </c>
      <c r="AA4116">
        <v>0.96047910000000003</v>
      </c>
      <c r="AB4116">
        <v>20</v>
      </c>
      <c r="AC4116">
        <v>-9.8908999999999807</v>
      </c>
      <c r="AD4116">
        <v>-1.1134058839399901</v>
      </c>
      <c r="AE4116">
        <v>-15.2308</v>
      </c>
      <c r="AF4116">
        <v>-5.0426092718921103</v>
      </c>
      <c r="AG4116">
        <v>-1.1134058839399901</v>
      </c>
      <c r="AH4116">
        <v>17.375667673403498</v>
      </c>
      <c r="AI4116">
        <v>93.521503419238002</v>
      </c>
      <c r="AJ4116">
        <v>106.183308065861</v>
      </c>
      <c r="AK4116">
        <v>18.126814613382098</v>
      </c>
      <c r="AL4116">
        <v>87.790224918582297</v>
      </c>
      <c r="AM4116">
        <v>92.109589521044398</v>
      </c>
      <c r="AN4116">
        <v>0.99999999658891103</v>
      </c>
    </row>
    <row r="4117" spans="1:40" x14ac:dyDescent="0.25">
      <c r="A4117" t="str">
        <f>"20190312154640913"</f>
        <v>20190312154640913</v>
      </c>
      <c r="B4117" t="str">
        <f>"1552376800901391"</f>
        <v>1552376800901391</v>
      </c>
      <c r="C4117" t="s">
        <v>40</v>
      </c>
      <c r="D4117">
        <v>4.1136540000000004</v>
      </c>
      <c r="E4117">
        <v>0.40571980000000002</v>
      </c>
      <c r="F4117" t="s">
        <v>42</v>
      </c>
      <c r="G4117">
        <v>-419.57859999999999</v>
      </c>
      <c r="H4117" s="1">
        <v>-1.8454200000000001E-6</v>
      </c>
      <c r="I4117">
        <v>113.7603</v>
      </c>
      <c r="J4117">
        <v>-409.83210000000003</v>
      </c>
      <c r="K4117">
        <v>1.113499</v>
      </c>
      <c r="L4117">
        <v>128.95240000000001</v>
      </c>
      <c r="M4117">
        <v>-0.75290269999999904</v>
      </c>
      <c r="N4117">
        <v>0</v>
      </c>
      <c r="O4117">
        <v>-0.65798849999999998</v>
      </c>
      <c r="P4117">
        <v>-0.72866580000000003</v>
      </c>
      <c r="Q4117">
        <v>2.4611399999999999E-2</v>
      </c>
      <c r="R4117">
        <v>-0.68442720000000001</v>
      </c>
      <c r="S4117">
        <v>-1.6814579999999999</v>
      </c>
      <c r="T4117">
        <v>-0.18935660000000001</v>
      </c>
      <c r="U4117">
        <v>-2.6058500000000002</v>
      </c>
      <c r="V4117">
        <v>-3.6169090000000001E-2</v>
      </c>
      <c r="W4117">
        <v>3.8047490000000003E-2</v>
      </c>
      <c r="X4117">
        <v>0.99862119999999999</v>
      </c>
      <c r="Y4117">
        <v>-0.27633210000000002</v>
      </c>
      <c r="Z4117">
        <v>3.3654860000000002E-2</v>
      </c>
      <c r="AA4117">
        <v>0.96047280000000002</v>
      </c>
      <c r="AB4117">
        <v>20</v>
      </c>
      <c r="AC4117">
        <v>-9.7464999999999602</v>
      </c>
      <c r="AD4117">
        <v>-1.1135008454199999</v>
      </c>
      <c r="AE4117">
        <v>-15.1921</v>
      </c>
      <c r="AF4117">
        <v>-5.0065088591714897</v>
      </c>
      <c r="AG4117">
        <v>-1.1135008454199999</v>
      </c>
      <c r="AH4117">
        <v>17.270302543180598</v>
      </c>
      <c r="AI4117">
        <v>93.543537114908602</v>
      </c>
      <c r="AJ4117">
        <v>106.16640905817999</v>
      </c>
      <c r="AK4117">
        <v>18.015780999521098</v>
      </c>
      <c r="AL4117">
        <v>87.819513229167995</v>
      </c>
      <c r="AM4117">
        <v>92.074290774512505</v>
      </c>
      <c r="AN4117">
        <v>1.0000000578280801</v>
      </c>
    </row>
    <row r="4118" spans="1:40" x14ac:dyDescent="0.25">
      <c r="A4118" t="str">
        <f>"20190312154640956"</f>
        <v>20190312154640956</v>
      </c>
      <c r="B4118" t="str">
        <f>"1552376800952143"</f>
        <v>1552376800952143</v>
      </c>
      <c r="C4118" t="s">
        <v>40</v>
      </c>
      <c r="D4118">
        <v>4.1450480000000001</v>
      </c>
      <c r="E4118">
        <v>0.40627930000000001</v>
      </c>
      <c r="F4118" t="s">
        <v>42</v>
      </c>
      <c r="G4118">
        <v>-419.58760000000001</v>
      </c>
      <c r="H4118" s="1">
        <v>-1.805978E-6</v>
      </c>
      <c r="I4118">
        <v>113.672</v>
      </c>
      <c r="J4118">
        <v>-410.09739999999999</v>
      </c>
      <c r="K4118">
        <v>1.1136820000000001</v>
      </c>
      <c r="L4118">
        <v>128.7012</v>
      </c>
      <c r="M4118">
        <v>-0.74514130000000001</v>
      </c>
      <c r="N4118">
        <v>0</v>
      </c>
      <c r="O4118">
        <v>-0.66676429999999998</v>
      </c>
      <c r="P4118">
        <v>-0.72125340000000004</v>
      </c>
      <c r="Q4118">
        <v>2.7332169999999999E-2</v>
      </c>
      <c r="R4118">
        <v>-0.69213199999999997</v>
      </c>
      <c r="S4118">
        <v>-1.6686099999999999</v>
      </c>
      <c r="T4118">
        <v>-0.19045599999999999</v>
      </c>
      <c r="U4118">
        <v>-2.6135860000000002</v>
      </c>
      <c r="V4118">
        <v>-3.5185750000000002E-2</v>
      </c>
      <c r="W4118">
        <v>4.0794789999999997E-2</v>
      </c>
      <c r="X4118">
        <v>0.99854779999999999</v>
      </c>
      <c r="Y4118">
        <v>-0.26972960000000001</v>
      </c>
      <c r="Z4118">
        <v>3.4619339999999998E-2</v>
      </c>
      <c r="AA4118">
        <v>0.96231359999999999</v>
      </c>
      <c r="AB4118">
        <v>20</v>
      </c>
      <c r="AC4118">
        <v>-9.4902000000000104</v>
      </c>
      <c r="AD4118">
        <v>-1.1136838059780001</v>
      </c>
      <c r="AE4118">
        <v>-15.0291999999999</v>
      </c>
      <c r="AF4118">
        <v>-4.8525636759844097</v>
      </c>
      <c r="AG4118">
        <v>-1.1136838059780001</v>
      </c>
      <c r="AH4118">
        <v>17.027252338562199</v>
      </c>
      <c r="AI4118">
        <v>93.599245713124304</v>
      </c>
      <c r="AJ4118">
        <v>105.906919411468</v>
      </c>
      <c r="AK4118">
        <v>17.740208230183001</v>
      </c>
      <c r="AL4118">
        <v>87.661981860869901</v>
      </c>
      <c r="AM4118">
        <v>92.018091887684506</v>
      </c>
      <c r="AN4118">
        <v>0.99999998038952298</v>
      </c>
    </row>
    <row r="4119" spans="1:40" x14ac:dyDescent="0.25">
      <c r="A4119" t="str">
        <f>"20190312154640982"</f>
        <v>20190312154640982</v>
      </c>
      <c r="B4119" t="str">
        <f>"1552376800971662"</f>
        <v>1552376800971662</v>
      </c>
      <c r="C4119" t="s">
        <v>40</v>
      </c>
      <c r="D4119">
        <v>4.2066109999999997</v>
      </c>
      <c r="E4119">
        <v>0.40673789999999999</v>
      </c>
      <c r="F4119" t="s">
        <v>42</v>
      </c>
      <c r="G4119">
        <v>-420.2688</v>
      </c>
      <c r="H4119" s="1">
        <v>-1.293349E-6</v>
      </c>
      <c r="I4119">
        <v>112.4372</v>
      </c>
      <c r="J4119">
        <v>-410.26249999999999</v>
      </c>
      <c r="K4119">
        <v>1.113802</v>
      </c>
      <c r="L4119">
        <v>128.54130000000001</v>
      </c>
      <c r="M4119">
        <v>-0.73998169999999996</v>
      </c>
      <c r="N4119">
        <v>0</v>
      </c>
      <c r="O4119">
        <v>-0.67248540000000001</v>
      </c>
      <c r="P4119">
        <v>-0.71577239999999998</v>
      </c>
      <c r="Q4119">
        <v>2.8618060000000001E-2</v>
      </c>
      <c r="R4119">
        <v>-0.69774709999999995</v>
      </c>
      <c r="S4119">
        <v>-1.6438900000000001</v>
      </c>
      <c r="T4119">
        <v>-0.17999119999999999</v>
      </c>
      <c r="U4119">
        <v>-2.628555</v>
      </c>
      <c r="V4119">
        <v>-3.5351939999999998E-2</v>
      </c>
      <c r="W4119">
        <v>4.2091160000000002E-2</v>
      </c>
      <c r="X4119">
        <v>0.99848809999999999</v>
      </c>
      <c r="Y4119">
        <v>-0.27123509999999901</v>
      </c>
      <c r="Z4119">
        <v>3.3066289999999998E-2</v>
      </c>
      <c r="AA4119">
        <v>0.96194500000000005</v>
      </c>
      <c r="AB4119">
        <v>20</v>
      </c>
      <c r="AC4119">
        <v>-10.0063</v>
      </c>
      <c r="AD4119">
        <v>-1.1138032933490001</v>
      </c>
      <c r="AE4119">
        <v>-16.104099999999999</v>
      </c>
      <c r="AF4119">
        <v>-5.1702995695772804</v>
      </c>
      <c r="AG4119">
        <v>-1.1138032933490001</v>
      </c>
      <c r="AH4119">
        <v>18.173270159844801</v>
      </c>
      <c r="AI4119">
        <v>93.373610046533202</v>
      </c>
      <c r="AJ4119">
        <v>105.881064945745</v>
      </c>
      <c r="AK4119">
        <v>18.927237086224501</v>
      </c>
      <c r="AL4119">
        <v>87.5876413967068</v>
      </c>
      <c r="AM4119">
        <v>92.027736970707807</v>
      </c>
      <c r="AN4119">
        <v>0.99999995562675803</v>
      </c>
    </row>
    <row r="4120" spans="1:40" x14ac:dyDescent="0.25">
      <c r="A4120" t="str">
        <f>"20190312154641010"</f>
        <v>20190312154641010</v>
      </c>
      <c r="B4120" t="str">
        <f>"1552376801001918"</f>
        <v>1552376801001918</v>
      </c>
      <c r="C4120" t="s">
        <v>40</v>
      </c>
      <c r="D4120">
        <v>4.190868</v>
      </c>
      <c r="E4120">
        <v>0.40665780000000001</v>
      </c>
      <c r="F4120" t="s">
        <v>42</v>
      </c>
      <c r="G4120">
        <v>-420.4246</v>
      </c>
      <c r="H4120" s="1">
        <v>-1.1645659999999999E-6</v>
      </c>
      <c r="I4120">
        <v>112.04040000000001</v>
      </c>
      <c r="J4120">
        <v>-410.43430000000001</v>
      </c>
      <c r="K4120">
        <v>1.113912</v>
      </c>
      <c r="L4120">
        <v>128.3715</v>
      </c>
      <c r="M4120">
        <v>-0.73432799999999998</v>
      </c>
      <c r="N4120">
        <v>0</v>
      </c>
      <c r="O4120">
        <v>-0.67865419999999999</v>
      </c>
      <c r="P4120">
        <v>-0.70910909999999905</v>
      </c>
      <c r="Q4120">
        <v>3.036084E-2</v>
      </c>
      <c r="R4120">
        <v>-0.70444510000000005</v>
      </c>
      <c r="S4120">
        <v>-1.6254879999999901</v>
      </c>
      <c r="T4120">
        <v>-0.1781595</v>
      </c>
      <c r="U4120">
        <v>-2.6394199999999999</v>
      </c>
      <c r="V4120">
        <v>-3.6458049999999999E-2</v>
      </c>
      <c r="W4120">
        <v>4.3835239999999998E-2</v>
      </c>
      <c r="X4120">
        <v>0.99837330000000002</v>
      </c>
      <c r="Y4120">
        <v>-0.26980870000000001</v>
      </c>
      <c r="Z4120">
        <v>3.3166180000000003E-2</v>
      </c>
      <c r="AA4120">
        <v>0.96234260000000005</v>
      </c>
      <c r="AB4120">
        <v>20</v>
      </c>
      <c r="AC4120">
        <v>-9.9902999999999906</v>
      </c>
      <c r="AD4120">
        <v>-1.1139131645659901</v>
      </c>
      <c r="AE4120">
        <v>-16.3310999999999</v>
      </c>
      <c r="AF4120">
        <v>-5.1953339362194804</v>
      </c>
      <c r="AG4120">
        <v>-1.1139131645659901</v>
      </c>
      <c r="AH4120">
        <v>18.358931528712699</v>
      </c>
      <c r="AI4120">
        <v>93.341224179829894</v>
      </c>
      <c r="AJ4120">
        <v>105.800808943928</v>
      </c>
      <c r="AK4120">
        <v>19.1123694010709</v>
      </c>
      <c r="AL4120">
        <v>87.487620668802904</v>
      </c>
      <c r="AM4120">
        <v>92.091366632964494</v>
      </c>
      <c r="AN4120">
        <v>0.99999998191427497</v>
      </c>
    </row>
    <row r="4121" spans="1:40" x14ac:dyDescent="0.25">
      <c r="A4121" t="str">
        <f>"20190312154641030"</f>
        <v>20190312154641030</v>
      </c>
      <c r="B4121" t="str">
        <f>"1552376801021438"</f>
        <v>1552376801021438</v>
      </c>
      <c r="C4121" t="s">
        <v>40</v>
      </c>
      <c r="D4121">
        <v>4.2055490000000004</v>
      </c>
      <c r="E4121">
        <v>0.3814381</v>
      </c>
      <c r="F4121" t="s">
        <v>42</v>
      </c>
      <c r="G4121">
        <v>-420.72480000000002</v>
      </c>
      <c r="H4121" s="1">
        <v>-9.2633909999999999E-7</v>
      </c>
      <c r="I4121">
        <v>111.2989</v>
      </c>
      <c r="J4121">
        <v>-410.55680000000001</v>
      </c>
      <c r="K4121">
        <v>1.1139790000000001</v>
      </c>
      <c r="L4121">
        <v>128.24860000000001</v>
      </c>
      <c r="M4121">
        <v>-0.73013329999999999</v>
      </c>
      <c r="N4121">
        <v>0</v>
      </c>
      <c r="O4121">
        <v>-0.68316449999999995</v>
      </c>
      <c r="P4121">
        <v>-0.70362650000000004</v>
      </c>
      <c r="Q4121">
        <v>3.2291239999999999E-2</v>
      </c>
      <c r="R4121">
        <v>-0.70983580000000002</v>
      </c>
      <c r="S4121">
        <v>-1.600403</v>
      </c>
      <c r="T4121">
        <v>-0.1732389</v>
      </c>
      <c r="U4121">
        <v>-2.6551819999999999</v>
      </c>
      <c r="V4121">
        <v>-3.8010960000000003E-2</v>
      </c>
      <c r="W4121">
        <v>4.5758300000000002E-2</v>
      </c>
      <c r="X4121">
        <v>0.99822909999999998</v>
      </c>
      <c r="Y4121">
        <v>-0.27305220000000002</v>
      </c>
      <c r="Z4121">
        <v>3.2461900000000002E-2</v>
      </c>
      <c r="AA4121">
        <v>0.96145139999999996</v>
      </c>
      <c r="AB4121">
        <v>20</v>
      </c>
      <c r="AC4121">
        <v>-10.167999999999999</v>
      </c>
      <c r="AD4121">
        <v>-1.1139799263390999</v>
      </c>
      <c r="AE4121">
        <v>-16.9497</v>
      </c>
      <c r="AF4121">
        <v>-5.4124520023617002</v>
      </c>
      <c r="AG4121">
        <v>-1.1139799263390999</v>
      </c>
      <c r="AH4121">
        <v>18.945072979203601</v>
      </c>
      <c r="AI4121">
        <v>93.235968495781506</v>
      </c>
      <c r="AJ4121">
        <v>105.94420479530299</v>
      </c>
      <c r="AK4121">
        <v>19.734522495908099</v>
      </c>
      <c r="AL4121">
        <v>87.377326742026796</v>
      </c>
      <c r="AM4121">
        <v>92.180677650216495</v>
      </c>
      <c r="AN4121">
        <v>0.99999999559290997</v>
      </c>
    </row>
    <row r="4122" spans="1:40" x14ac:dyDescent="0.25">
      <c r="A4122" t="str">
        <f>"20190312154641049"</f>
        <v>20190312154641049</v>
      </c>
      <c r="B4122" t="str">
        <f>"1552376801041934"</f>
        <v>1552376801041934</v>
      </c>
      <c r="C4122" t="s">
        <v>40</v>
      </c>
      <c r="D4122">
        <v>4.2488159999999997</v>
      </c>
      <c r="E4122">
        <v>0.37065189999999998</v>
      </c>
      <c r="F4122" t="s">
        <v>42</v>
      </c>
      <c r="G4122">
        <v>-417.48090000000002</v>
      </c>
      <c r="H4122" s="1">
        <v>-2.6174780000000002E-6</v>
      </c>
      <c r="I4122">
        <v>114.6926</v>
      </c>
      <c r="J4122">
        <v>-410.67630000000003</v>
      </c>
      <c r="K4122">
        <v>1.1140219999999901</v>
      </c>
      <c r="L4122">
        <v>128.12690000000001</v>
      </c>
      <c r="M4122">
        <v>-0.72591819999999996</v>
      </c>
      <c r="N4122">
        <v>0</v>
      </c>
      <c r="O4122">
        <v>-0.68764169999999902</v>
      </c>
      <c r="P4122">
        <v>-0.69800669999999898</v>
      </c>
      <c r="Q4122">
        <v>3.4333009999999997E-2</v>
      </c>
      <c r="R4122">
        <v>-0.71526809999999996</v>
      </c>
      <c r="S4122">
        <v>-1.436707</v>
      </c>
      <c r="T4122">
        <v>-0.2311425</v>
      </c>
      <c r="U4122">
        <v>-2.8127589999999998</v>
      </c>
      <c r="V4122">
        <v>-3.9699760000000001E-2</v>
      </c>
      <c r="W4122">
        <v>4.7792170000000002E-2</v>
      </c>
      <c r="X4122">
        <v>0.99806799999999996</v>
      </c>
      <c r="Y4122">
        <v>-0.33418829999999999</v>
      </c>
      <c r="Z4122">
        <v>4.1104340000000003E-2</v>
      </c>
      <c r="AA4122">
        <v>0.94160960000000005</v>
      </c>
      <c r="AB4122">
        <v>20</v>
      </c>
      <c r="AC4122">
        <v>-6.80459999999999</v>
      </c>
      <c r="AD4122">
        <v>-1.11402461747799</v>
      </c>
      <c r="AE4122">
        <v>-13.4343</v>
      </c>
      <c r="AF4122">
        <v>-5.0459488535378698</v>
      </c>
      <c r="AG4122">
        <v>-1.11402461747799</v>
      </c>
      <c r="AH4122">
        <v>14.1017560291286</v>
      </c>
      <c r="AI4122">
        <v>94.253861453983603</v>
      </c>
      <c r="AJ4122">
        <v>109.68843600294301</v>
      </c>
      <c r="AK4122">
        <v>15.018727435636199</v>
      </c>
      <c r="AL4122">
        <v>87.260666731163994</v>
      </c>
      <c r="AM4122">
        <v>92.277830979729799</v>
      </c>
      <c r="AN4122">
        <v>0.999999947540681</v>
      </c>
    </row>
    <row r="4123" spans="1:40" x14ac:dyDescent="0.25">
      <c r="A4123" t="str">
        <f>"20190312154641090"</f>
        <v>20190312154641090</v>
      </c>
      <c r="B4123" t="str">
        <f>"1552376801081950"</f>
        <v>1552376801081950</v>
      </c>
      <c r="C4123" t="s">
        <v>40</v>
      </c>
      <c r="D4123">
        <v>4.31595</v>
      </c>
      <c r="E4123">
        <v>0.36450060000000001</v>
      </c>
      <c r="F4123" t="s">
        <v>42</v>
      </c>
      <c r="G4123">
        <v>-418.19659999999999</v>
      </c>
      <c r="H4123" s="1">
        <v>-1.382252E-6</v>
      </c>
      <c r="I4123">
        <v>112.1092</v>
      </c>
      <c r="J4123">
        <v>-410.91329999999999</v>
      </c>
      <c r="K4123">
        <v>1.114045</v>
      </c>
      <c r="L4123">
        <v>127.88079999999999</v>
      </c>
      <c r="M4123">
        <v>-0.71726420000000002</v>
      </c>
      <c r="N4123">
        <v>0</v>
      </c>
      <c r="O4123">
        <v>-0.69666329999999999</v>
      </c>
      <c r="P4123">
        <v>-0.68445710000000004</v>
      </c>
      <c r="Q4123">
        <v>3.8224660000000001E-2</v>
      </c>
      <c r="R4123">
        <v>-0.72805050000000004</v>
      </c>
      <c r="S4123">
        <v>-1.3535459999999999</v>
      </c>
      <c r="T4123">
        <v>-0.20050689999999999</v>
      </c>
      <c r="U4123">
        <v>-2.8829500000000001</v>
      </c>
      <c r="V4123">
        <v>-4.5858999999999997E-2</v>
      </c>
      <c r="W4123">
        <v>5.163835E-2</v>
      </c>
      <c r="X4123">
        <v>0.99761239999999995</v>
      </c>
      <c r="Y4123">
        <v>-0.3535469</v>
      </c>
      <c r="Z4123">
        <v>3.5559750000000001E-2</v>
      </c>
      <c r="AA4123">
        <v>0.93474069999999998</v>
      </c>
      <c r="AB4123">
        <v>20</v>
      </c>
      <c r="AC4123">
        <v>-7.2832999999999899</v>
      </c>
      <c r="AD4123">
        <v>-1.1140463822519999</v>
      </c>
      <c r="AE4123">
        <v>-15.7715999999999</v>
      </c>
      <c r="AF4123">
        <v>-6.2134436413005103</v>
      </c>
      <c r="AG4123">
        <v>-1.1140463822519999</v>
      </c>
      <c r="AH4123">
        <v>16.146701622193799</v>
      </c>
      <c r="AI4123">
        <v>93.684315342470299</v>
      </c>
      <c r="AJ4123">
        <v>111.04732111348299</v>
      </c>
      <c r="AK4123">
        <v>17.336780396070701</v>
      </c>
      <c r="AL4123">
        <v>87.040024116924002</v>
      </c>
      <c r="AM4123">
        <v>92.631962804391193</v>
      </c>
      <c r="AN4123">
        <v>1.0000000338527399</v>
      </c>
    </row>
    <row r="4124" spans="1:40" x14ac:dyDescent="0.25">
      <c r="A4124" t="str">
        <f>"20190312154641112"</f>
        <v>20190312154641112</v>
      </c>
      <c r="B4124" t="str">
        <f>"1552376801101471"</f>
        <v>1552376801101471</v>
      </c>
      <c r="C4124" t="s">
        <v>40</v>
      </c>
      <c r="D4124">
        <v>4.2834390000000004</v>
      </c>
      <c r="E4124">
        <v>0.36374699999999999</v>
      </c>
      <c r="F4124" t="s">
        <v>42</v>
      </c>
      <c r="G4124">
        <v>-418.33589999999998</v>
      </c>
      <c r="H4124" s="1">
        <v>-7.726429E-7</v>
      </c>
      <c r="I4124">
        <v>110.6174</v>
      </c>
      <c r="J4124">
        <v>-411.0478</v>
      </c>
      <c r="K4124">
        <v>1.114023</v>
      </c>
      <c r="L4124">
        <v>127.7381</v>
      </c>
      <c r="M4124">
        <v>-0.71221919999999905</v>
      </c>
      <c r="N4124">
        <v>0</v>
      </c>
      <c r="O4124">
        <v>-0.70182009999999995</v>
      </c>
      <c r="P4124">
        <v>-0.67629459999999997</v>
      </c>
      <c r="Q4124">
        <v>3.9449619999999998E-2</v>
      </c>
      <c r="R4124">
        <v>-0.73557430000000001</v>
      </c>
      <c r="S4124">
        <v>-1.2647710000000001</v>
      </c>
      <c r="T4124">
        <v>-0.18982599999999999</v>
      </c>
      <c r="U4124">
        <v>-2.9415589999999998</v>
      </c>
      <c r="V4124">
        <v>-4.9751959999999998E-2</v>
      </c>
      <c r="W4124">
        <v>5.283214E-2</v>
      </c>
      <c r="X4124">
        <v>0.99736329999999995</v>
      </c>
      <c r="Y4124">
        <v>-0.37736710000000001</v>
      </c>
      <c r="Z4124">
        <v>3.3292629999999997E-2</v>
      </c>
      <c r="AA4124">
        <v>0.92546510000000004</v>
      </c>
      <c r="AB4124">
        <v>19</v>
      </c>
      <c r="AC4124">
        <v>-7.2880999999999796</v>
      </c>
      <c r="AD4124">
        <v>-1.1140237726428901</v>
      </c>
      <c r="AE4124">
        <v>-17.120699999999999</v>
      </c>
      <c r="AF4124">
        <v>-7.0541521081023104</v>
      </c>
      <c r="AG4124">
        <v>-1.1140237726428901</v>
      </c>
      <c r="AH4124">
        <v>17.1465708528048</v>
      </c>
      <c r="AI4124">
        <v>93.438459011792204</v>
      </c>
      <c r="AJ4124">
        <v>112.36241703085599</v>
      </c>
      <c r="AK4124">
        <v>18.5743641328717</v>
      </c>
      <c r="AL4124">
        <v>86.971531446070401</v>
      </c>
      <c r="AM4124">
        <v>92.855746177205901</v>
      </c>
      <c r="AN4124">
        <v>1.0000000223638501</v>
      </c>
    </row>
    <row r="4125" spans="1:40" x14ac:dyDescent="0.25">
      <c r="A4125" t="str">
        <f>"20190312154641135"</f>
        <v>20190312154641135</v>
      </c>
      <c r="B4125" t="str">
        <f>"1552376801131726"</f>
        <v>1552376801131726</v>
      </c>
      <c r="C4125" t="s">
        <v>40</v>
      </c>
      <c r="D4125">
        <v>4.2611670000000004</v>
      </c>
      <c r="E4125">
        <v>0.36374450000000003</v>
      </c>
      <c r="F4125" t="s">
        <v>42</v>
      </c>
      <c r="G4125">
        <v>-418.19319999999999</v>
      </c>
      <c r="H4125" s="1">
        <v>-7.802515E-7</v>
      </c>
      <c r="I4125">
        <v>110.5282</v>
      </c>
      <c r="J4125">
        <v>-411.17880000000002</v>
      </c>
      <c r="K4125">
        <v>1.113988</v>
      </c>
      <c r="L4125">
        <v>127.5972</v>
      </c>
      <c r="M4125">
        <v>-0.70723309999999995</v>
      </c>
      <c r="N4125">
        <v>0</v>
      </c>
      <c r="O4125">
        <v>-0.70684440000000004</v>
      </c>
      <c r="P4125">
        <v>-0.66816660000000005</v>
      </c>
      <c r="Q4125">
        <v>4.1379970000000002E-2</v>
      </c>
      <c r="R4125">
        <v>-0.74286049999999904</v>
      </c>
      <c r="S4125">
        <v>-1.228607</v>
      </c>
      <c r="T4125">
        <v>-0.1915491</v>
      </c>
      <c r="U4125">
        <v>-2.9591370000000001</v>
      </c>
      <c r="V4125">
        <v>-5.359688E-2</v>
      </c>
      <c r="W4125">
        <v>5.473103E-2</v>
      </c>
      <c r="X4125">
        <v>0.99706159999999999</v>
      </c>
      <c r="Y4125">
        <v>-0.38241199999999997</v>
      </c>
      <c r="Z4125">
        <v>3.3810319999999998E-2</v>
      </c>
      <c r="AA4125">
        <v>0.92337320000000001</v>
      </c>
      <c r="AB4125">
        <v>19</v>
      </c>
      <c r="AC4125">
        <v>-7.0143999999999602</v>
      </c>
      <c r="AD4125">
        <v>-1.1139887802515001</v>
      </c>
      <c r="AE4125">
        <v>-17.068999999999999</v>
      </c>
      <c r="AF4125">
        <v>-7.0885260966197903</v>
      </c>
      <c r="AG4125">
        <v>-1.1139887802515001</v>
      </c>
      <c r="AH4125">
        <v>16.9657574185367</v>
      </c>
      <c r="AI4125">
        <v>93.467053380908396</v>
      </c>
      <c r="AJ4125">
        <v>112.67584100762799</v>
      </c>
      <c r="AK4125">
        <v>18.4207789740179</v>
      </c>
      <c r="AL4125">
        <v>86.8625752036086</v>
      </c>
      <c r="AM4125">
        <v>93.076963638142402</v>
      </c>
      <c r="AN4125">
        <v>0.99999997269257701</v>
      </c>
    </row>
    <row r="4126" spans="1:40" x14ac:dyDescent="0.25">
      <c r="A4126" t="str">
        <f>"20190312154641156"</f>
        <v>20190312154641156</v>
      </c>
      <c r="B4126" t="str">
        <f>"1552376801152222"</f>
        <v>1552376801152222</v>
      </c>
      <c r="C4126" t="s">
        <v>40</v>
      </c>
      <c r="D4126">
        <v>4.2826919999999999</v>
      </c>
      <c r="E4126">
        <v>0.3641894</v>
      </c>
      <c r="F4126" t="s">
        <v>42</v>
      </c>
      <c r="G4126">
        <v>-418.1662</v>
      </c>
      <c r="H4126" s="1">
        <v>-6.8807000000000005E-7</v>
      </c>
      <c r="I4126">
        <v>110.2362</v>
      </c>
      <c r="J4126">
        <v>-411.3023</v>
      </c>
      <c r="K4126">
        <v>1.1139570000000001</v>
      </c>
      <c r="L4126">
        <v>127.46250000000001</v>
      </c>
      <c r="M4126">
        <v>-0.70248189999999999</v>
      </c>
      <c r="N4126">
        <v>0</v>
      </c>
      <c r="O4126">
        <v>-0.71156619999999904</v>
      </c>
      <c r="P4126">
        <v>-0.66027840000000004</v>
      </c>
      <c r="Q4126">
        <v>4.3957450000000002E-2</v>
      </c>
      <c r="R4126">
        <v>-0.74973310000000004</v>
      </c>
      <c r="S4126">
        <v>-1.1965030000000001</v>
      </c>
      <c r="T4126">
        <v>-0.1907575</v>
      </c>
      <c r="U4126">
        <v>-2.9728699999999999</v>
      </c>
      <c r="V4126">
        <v>-5.7370839999999999E-2</v>
      </c>
      <c r="W4126">
        <v>5.7276670000000002E-2</v>
      </c>
      <c r="X4126">
        <v>0.99670859999999994</v>
      </c>
      <c r="Y4126">
        <v>-0.38627850000000002</v>
      </c>
      <c r="Z4126">
        <v>3.391077E-2</v>
      </c>
      <c r="AA4126">
        <v>0.92175870000000004</v>
      </c>
      <c r="AB4126">
        <v>19</v>
      </c>
      <c r="AC4126">
        <v>-6.8639000000000001</v>
      </c>
      <c r="AD4126">
        <v>-1.11395768807</v>
      </c>
      <c r="AE4126">
        <v>-17.226299999999998</v>
      </c>
      <c r="AF4126">
        <v>-7.1917868525510098</v>
      </c>
      <c r="AG4126">
        <v>-1.11395768807</v>
      </c>
      <c r="AH4126">
        <v>17.019644628815499</v>
      </c>
      <c r="AI4126">
        <v>93.450169994149604</v>
      </c>
      <c r="AJ4126">
        <v>112.906877140718</v>
      </c>
      <c r="AK4126">
        <v>18.5102945183081</v>
      </c>
      <c r="AL4126">
        <v>86.716491655019894</v>
      </c>
      <c r="AM4126">
        <v>93.294326879021</v>
      </c>
      <c r="AN4126">
        <v>1.0000000317612701</v>
      </c>
    </row>
    <row r="4127" spans="1:40" x14ac:dyDescent="0.25">
      <c r="A4127" t="str">
        <f>"20190312154641184"</f>
        <v>20190312154641184</v>
      </c>
      <c r="B4127" t="str">
        <f>"1552376801181462"</f>
        <v>1552376801181462</v>
      </c>
      <c r="C4127" t="s">
        <v>40</v>
      </c>
      <c r="D4127">
        <v>4.257619</v>
      </c>
      <c r="E4127">
        <v>0.3654616</v>
      </c>
      <c r="F4127" t="s">
        <v>42</v>
      </c>
      <c r="G4127">
        <v>-418.27289999999999</v>
      </c>
      <c r="H4127" s="1">
        <v>-4.646117E-7</v>
      </c>
      <c r="I4127">
        <v>109.66289999999999</v>
      </c>
      <c r="J4127">
        <v>-411.46069999999997</v>
      </c>
      <c r="K4127">
        <v>1.113904</v>
      </c>
      <c r="L4127">
        <v>127.28740000000001</v>
      </c>
      <c r="M4127">
        <v>-0.69633040000000002</v>
      </c>
      <c r="N4127">
        <v>0</v>
      </c>
      <c r="O4127">
        <v>-0.71758719999999998</v>
      </c>
      <c r="P4127">
        <v>-0.65113929999999998</v>
      </c>
      <c r="Q4127">
        <v>4.6205019999999999E-2</v>
      </c>
      <c r="R4127">
        <v>-0.75755069999999902</v>
      </c>
      <c r="S4127">
        <v>-1.1683349999999999</v>
      </c>
      <c r="T4127">
        <v>-0.18671099999999999</v>
      </c>
      <c r="U4127">
        <v>-2.9833980000000002</v>
      </c>
      <c r="V4127">
        <v>-6.0796389999999999E-2</v>
      </c>
      <c r="W4127">
        <v>5.9497309999999998E-2</v>
      </c>
      <c r="X4127">
        <v>0.99637540000000002</v>
      </c>
      <c r="Y4127">
        <v>-0.38698120000000003</v>
      </c>
      <c r="Z4127">
        <v>3.3605660000000002E-2</v>
      </c>
      <c r="AA4127">
        <v>0.92147509999999999</v>
      </c>
      <c r="AB4127">
        <v>19</v>
      </c>
      <c r="AC4127">
        <v>-6.8122000000000096</v>
      </c>
      <c r="AD4127">
        <v>-1.11390446461169</v>
      </c>
      <c r="AE4127">
        <v>-17.624500000000001</v>
      </c>
      <c r="AF4127">
        <v>-7.3592630999672499</v>
      </c>
      <c r="AG4127">
        <v>-1.11390446461169</v>
      </c>
      <c r="AH4127">
        <v>17.332098141898001</v>
      </c>
      <c r="AI4127">
        <v>93.385475208022498</v>
      </c>
      <c r="AJ4127">
        <v>113.006229082388</v>
      </c>
      <c r="AK4127">
        <v>18.862692345770899</v>
      </c>
      <c r="AL4127">
        <v>86.589040913672804</v>
      </c>
      <c r="AM4127">
        <v>93.491719238641494</v>
      </c>
      <c r="AN4127">
        <v>1.00000003432971</v>
      </c>
    </row>
    <row r="4128" spans="1:40" x14ac:dyDescent="0.25">
      <c r="A4128" t="str">
        <f>"20190312154641224"</f>
        <v>20190312154641224</v>
      </c>
      <c r="B4128" t="str">
        <f>"1552376801211718"</f>
        <v>1552376801211718</v>
      </c>
      <c r="C4128" t="s">
        <v>40</v>
      </c>
      <c r="D4128">
        <v>4.2974579999999998</v>
      </c>
      <c r="E4128">
        <v>0.36695030000000001</v>
      </c>
      <c r="F4128" t="s">
        <v>42</v>
      </c>
      <c r="G4128">
        <v>-418.34350000000001</v>
      </c>
      <c r="H4128" s="1">
        <v>-4.8394120000000001E-6</v>
      </c>
      <c r="I4128">
        <v>109.2473</v>
      </c>
      <c r="J4128">
        <v>-411.68310000000002</v>
      </c>
      <c r="K4128">
        <v>1.113828</v>
      </c>
      <c r="L4128">
        <v>127.0361</v>
      </c>
      <c r="M4128">
        <v>-0.68758509999999995</v>
      </c>
      <c r="N4128">
        <v>0</v>
      </c>
      <c r="O4128">
        <v>-0.72597140000000004</v>
      </c>
      <c r="P4128">
        <v>-0.63806649999999998</v>
      </c>
      <c r="Q4128">
        <v>4.7929069999999997E-2</v>
      </c>
      <c r="R4128">
        <v>-0.76848799999999995</v>
      </c>
      <c r="S4128">
        <v>-1.141022</v>
      </c>
      <c r="T4128">
        <v>-0.1846621</v>
      </c>
      <c r="U4128">
        <v>-2.9906619999999999</v>
      </c>
      <c r="V4128">
        <v>-6.57272E-2</v>
      </c>
      <c r="W4128">
        <v>6.1178419999999997E-2</v>
      </c>
      <c r="X4128">
        <v>0.99596039999999997</v>
      </c>
      <c r="Y4128">
        <v>-0.38389499999999999</v>
      </c>
      <c r="Z4128">
        <v>3.3922769999999998E-2</v>
      </c>
      <c r="AA4128">
        <v>0.9227535</v>
      </c>
      <c r="AB4128">
        <v>19</v>
      </c>
      <c r="AC4128">
        <v>-6.6603999999999797</v>
      </c>
      <c r="AD4128">
        <v>-1.1138328394120001</v>
      </c>
      <c r="AE4128">
        <v>-17.788799999999998</v>
      </c>
      <c r="AF4128">
        <v>-7.37141826792078</v>
      </c>
      <c r="AG4128">
        <v>-1.1138328394120001</v>
      </c>
      <c r="AH4128">
        <v>17.435481593884202</v>
      </c>
      <c r="AI4128">
        <v>93.3674277999949</v>
      </c>
      <c r="AJ4128">
        <v>112.917795733956</v>
      </c>
      <c r="AK4128">
        <v>18.962448399019198</v>
      </c>
      <c r="AL4128">
        <v>86.492544430643505</v>
      </c>
      <c r="AM4128">
        <v>93.775690636020599</v>
      </c>
      <c r="AN4128">
        <v>0.99999999113084803</v>
      </c>
    </row>
    <row r="4129" spans="1:40" x14ac:dyDescent="0.25">
      <c r="A4129" t="str">
        <f>"20190312154641249"</f>
        <v>20190312154641249</v>
      </c>
      <c r="B4129" t="str">
        <f>"1552376801241974"</f>
        <v>1552376801241974</v>
      </c>
      <c r="C4129" t="s">
        <v>40</v>
      </c>
      <c r="D4129">
        <v>4.296519</v>
      </c>
      <c r="E4129">
        <v>0.37977729999999998</v>
      </c>
      <c r="F4129" t="s">
        <v>42</v>
      </c>
      <c r="G4129">
        <v>-418.26170000000002</v>
      </c>
      <c r="H4129" s="1">
        <v>-4.776472E-6</v>
      </c>
      <c r="I4129">
        <v>109.0835</v>
      </c>
      <c r="J4129">
        <v>-411.82530000000003</v>
      </c>
      <c r="K4129">
        <v>1.11378</v>
      </c>
      <c r="L4129">
        <v>126.8723</v>
      </c>
      <c r="M4129">
        <v>-0.68192079999999999</v>
      </c>
      <c r="N4129">
        <v>0</v>
      </c>
      <c r="O4129">
        <v>-0.73129460000000002</v>
      </c>
      <c r="P4129">
        <v>-0.63093599999999905</v>
      </c>
      <c r="Q4129">
        <v>4.7275909999999997E-2</v>
      </c>
      <c r="R4129">
        <v>-0.77439329999999995</v>
      </c>
      <c r="S4129">
        <v>-1.1000669999999999</v>
      </c>
      <c r="T4129">
        <v>-0.1862549</v>
      </c>
      <c r="U4129">
        <v>-3.0020449999999999</v>
      </c>
      <c r="V4129">
        <v>-6.7207329999999996E-2</v>
      </c>
      <c r="W4129">
        <v>6.0513530000000003E-2</v>
      </c>
      <c r="X4129">
        <v>0.99590219999999896</v>
      </c>
      <c r="Y4129">
        <v>-0.38893050000000001</v>
      </c>
      <c r="Z4129">
        <v>3.4516449999999997E-2</v>
      </c>
      <c r="AA4129">
        <v>0.92062029999999995</v>
      </c>
      <c r="AB4129">
        <v>19</v>
      </c>
      <c r="AC4129">
        <v>-6.4363999999999901</v>
      </c>
      <c r="AD4129">
        <v>-1.1137847764719999</v>
      </c>
      <c r="AE4129">
        <v>-17.788799999999899</v>
      </c>
      <c r="AF4129">
        <v>-7.3987148739876298</v>
      </c>
      <c r="AG4129">
        <v>-1.1137847764719999</v>
      </c>
      <c r="AH4129">
        <v>17.339535073823001</v>
      </c>
      <c r="AI4129">
        <v>93.381118427955499</v>
      </c>
      <c r="AJ4129">
        <v>113.1077615855</v>
      </c>
      <c r="AK4129">
        <v>18.884940425937401</v>
      </c>
      <c r="AL4129">
        <v>86.530710402869403</v>
      </c>
      <c r="AM4129">
        <v>93.860687156152395</v>
      </c>
      <c r="AN4129">
        <v>0.99999995224181304</v>
      </c>
    </row>
    <row r="4130" spans="1:40" x14ac:dyDescent="0.25">
      <c r="A4130" t="str">
        <f>"20190312154641269"</f>
        <v>20190312154641269</v>
      </c>
      <c r="B4130" t="str">
        <f>"1552376801261495"</f>
        <v>1552376801261495</v>
      </c>
      <c r="C4130" t="s">
        <v>40</v>
      </c>
      <c r="D4130">
        <v>4.2834879999999904</v>
      </c>
      <c r="E4130">
        <v>0.38135809999999998</v>
      </c>
      <c r="F4130" t="s">
        <v>42</v>
      </c>
      <c r="G4130">
        <v>-417.99880000000002</v>
      </c>
      <c r="H4130" s="1">
        <v>-1.0213329999999999E-6</v>
      </c>
      <c r="I4130">
        <v>111.08459999999999</v>
      </c>
      <c r="J4130">
        <v>-411.93610000000001</v>
      </c>
      <c r="K4130">
        <v>1.113748</v>
      </c>
      <c r="L4130">
        <v>126.7428</v>
      </c>
      <c r="M4130">
        <v>-0.67745230000000001</v>
      </c>
      <c r="N4130">
        <v>0</v>
      </c>
      <c r="O4130">
        <v>-0.73543619999999899</v>
      </c>
      <c r="P4130">
        <v>-0.62620419999999999</v>
      </c>
      <c r="Q4130">
        <v>4.673969E-2</v>
      </c>
      <c r="R4130">
        <v>-0.77825710000000003</v>
      </c>
      <c r="S4130">
        <v>-1.1526179999999999</v>
      </c>
      <c r="T4130">
        <v>-0.20794609999999999</v>
      </c>
      <c r="U4130">
        <v>-2.9476010000000001</v>
      </c>
      <c r="V4130">
        <v>-6.7222329999999997E-2</v>
      </c>
      <c r="W4130">
        <v>5.9978530000000002E-2</v>
      </c>
      <c r="X4130">
        <v>0.99593359999999997</v>
      </c>
      <c r="Y4130">
        <v>-0.36346050000000002</v>
      </c>
      <c r="Z4130">
        <v>3.9880279999999997E-2</v>
      </c>
      <c r="AA4130">
        <v>0.93075560000000002</v>
      </c>
      <c r="AB4130">
        <v>19</v>
      </c>
      <c r="AC4130">
        <v>-6.0627000000000004</v>
      </c>
      <c r="AD4130">
        <v>-1.1137490213329999</v>
      </c>
      <c r="AE4130">
        <v>-15.658200000000001</v>
      </c>
      <c r="AF4130">
        <v>-6.12260712462923</v>
      </c>
      <c r="AG4130">
        <v>-1.1137490213329999</v>
      </c>
      <c r="AH4130">
        <v>15.5558556163673</v>
      </c>
      <c r="AI4130">
        <v>93.811538528385498</v>
      </c>
      <c r="AJ4130">
        <v>111.484032350367</v>
      </c>
      <c r="AK4130">
        <v>16.754444151995799</v>
      </c>
      <c r="AL4130">
        <v>86.5614195945967</v>
      </c>
      <c r="AM4130">
        <v>93.861424836741406</v>
      </c>
      <c r="AN4130">
        <v>1.0000000006602701</v>
      </c>
    </row>
    <row r="4131" spans="1:40" x14ac:dyDescent="0.25">
      <c r="A4131" t="str">
        <f>"20190312154641293"</f>
        <v>20190312154641293</v>
      </c>
      <c r="B4131" t="str">
        <f>"1552376801281802"</f>
        <v>1552376801281802</v>
      </c>
      <c r="C4131" t="s">
        <v>40</v>
      </c>
      <c r="D4131">
        <v>4.2928819999999996</v>
      </c>
      <c r="E4131">
        <v>0.38258150000000002</v>
      </c>
      <c r="F4131" t="s">
        <v>42</v>
      </c>
      <c r="G4131">
        <v>-417.99630000000002</v>
      </c>
      <c r="H4131" s="1">
        <v>-1.042009E-6</v>
      </c>
      <c r="I4131">
        <v>111.1434</v>
      </c>
      <c r="J4131">
        <v>-412.06529999999998</v>
      </c>
      <c r="K4131">
        <v>1.113712</v>
      </c>
      <c r="L4131">
        <v>126.5899</v>
      </c>
      <c r="M4131">
        <v>-0.67218719999999998</v>
      </c>
      <c r="N4131">
        <v>0</v>
      </c>
      <c r="O4131">
        <v>-0.74025169999999996</v>
      </c>
      <c r="P4131">
        <v>-0.62121610000000005</v>
      </c>
      <c r="Q4131">
        <v>4.4884479999999997E-2</v>
      </c>
      <c r="R4131">
        <v>-0.78235279999999996</v>
      </c>
      <c r="S4131">
        <v>-1.1446529999999999</v>
      </c>
      <c r="T4131">
        <v>-0.21036550000000001</v>
      </c>
      <c r="U4131">
        <v>-2.9464109999999999</v>
      </c>
      <c r="V4131">
        <v>-6.653481E-2</v>
      </c>
      <c r="W4131">
        <v>5.8131160000000001E-2</v>
      </c>
      <c r="X4131">
        <v>0.99608929999999996</v>
      </c>
      <c r="Y4131">
        <v>-0.35888229999999999</v>
      </c>
      <c r="Z4131">
        <v>4.0892449999999997E-2</v>
      </c>
      <c r="AA4131">
        <v>0.93248660000000005</v>
      </c>
      <c r="AB4131">
        <v>19</v>
      </c>
      <c r="AC4131">
        <v>-5.93100000000004</v>
      </c>
      <c r="AD4131">
        <v>-1.113713042009</v>
      </c>
      <c r="AE4131">
        <v>-15.4465</v>
      </c>
      <c r="AF4131">
        <v>-5.9660514873265198</v>
      </c>
      <c r="AG4131">
        <v>-1.113713042009</v>
      </c>
      <c r="AH4131">
        <v>15.3529605275293</v>
      </c>
      <c r="AI4131">
        <v>93.868163110634498</v>
      </c>
      <c r="AJ4131">
        <v>111.23577307181</v>
      </c>
      <c r="AK4131">
        <v>16.509013418410099</v>
      </c>
      <c r="AL4131">
        <v>86.667451174956</v>
      </c>
      <c r="AM4131">
        <v>93.821453903739595</v>
      </c>
      <c r="AN4131">
        <v>1.0000000031395799</v>
      </c>
    </row>
    <row r="4132" spans="1:40" x14ac:dyDescent="0.25">
      <c r="A4132" t="str">
        <f>"20190312154641314"</f>
        <v>20190312154641314</v>
      </c>
      <c r="B4132" t="str">
        <f>"1552376801312058"</f>
        <v>1552376801312058</v>
      </c>
      <c r="C4132" t="s">
        <v>40</v>
      </c>
      <c r="D4132">
        <v>4.1970210000000003</v>
      </c>
      <c r="E4132">
        <v>0.3887544</v>
      </c>
      <c r="F4132" t="s">
        <v>42</v>
      </c>
      <c r="G4132">
        <v>-417.79989999999998</v>
      </c>
      <c r="H4132" s="1">
        <v>-1.2736979999999999E-6</v>
      </c>
      <c r="I4132">
        <v>111.6707</v>
      </c>
      <c r="J4132">
        <v>-412.18200000000002</v>
      </c>
      <c r="K4132">
        <v>1.1136790000000001</v>
      </c>
      <c r="L4132">
        <v>126.4499</v>
      </c>
      <c r="M4132">
        <v>-0.667371099999999</v>
      </c>
      <c r="N4132">
        <v>0</v>
      </c>
      <c r="O4132">
        <v>-0.74459640000000005</v>
      </c>
      <c r="P4132">
        <v>-0.61699059999999994</v>
      </c>
      <c r="Q4132">
        <v>4.2348459999999997E-2</v>
      </c>
      <c r="R4132">
        <v>-0.78583049999999999</v>
      </c>
      <c r="S4132">
        <v>-1.132965</v>
      </c>
      <c r="T4132">
        <v>-0.22003300000000001</v>
      </c>
      <c r="U4132">
        <v>-2.94754</v>
      </c>
      <c r="V4132">
        <v>-6.5510199999999894E-2</v>
      </c>
      <c r="W4132">
        <v>5.5606580000000003E-2</v>
      </c>
      <c r="X4132">
        <v>0.99630129999999995</v>
      </c>
      <c r="Y4132">
        <v>-0.35620410000000002</v>
      </c>
      <c r="Z4132">
        <v>4.3240050000000002E-2</v>
      </c>
      <c r="AA4132">
        <v>0.93340710000000005</v>
      </c>
      <c r="AB4132">
        <v>19</v>
      </c>
      <c r="AC4132">
        <v>-5.6179000000000103</v>
      </c>
      <c r="AD4132">
        <v>-1.113680273698</v>
      </c>
      <c r="AE4132">
        <v>-14.779199999999999</v>
      </c>
      <c r="AF4132">
        <v>-5.6526431169161198</v>
      </c>
      <c r="AG4132">
        <v>-1.113680273698</v>
      </c>
      <c r="AH4132">
        <v>14.6823346468473</v>
      </c>
      <c r="AI4132">
        <v>94.049032668476102</v>
      </c>
      <c r="AJ4132">
        <v>111.056516213064</v>
      </c>
      <c r="AK4132">
        <v>15.7722417126183</v>
      </c>
      <c r="AL4132">
        <v>86.812333385442997</v>
      </c>
      <c r="AM4132">
        <v>93.761977017853894</v>
      </c>
      <c r="AN4132">
        <v>0.99999997921251205</v>
      </c>
    </row>
    <row r="4133" spans="1:40" x14ac:dyDescent="0.25">
      <c r="A4133" t="str">
        <f>"20190312154641357"</f>
        <v>20190312154641357</v>
      </c>
      <c r="B4133" t="str">
        <f>"1552376801352077"</f>
        <v>1552376801352077</v>
      </c>
      <c r="C4133" t="s">
        <v>40</v>
      </c>
      <c r="D4133">
        <v>4.249187</v>
      </c>
      <c r="E4133">
        <v>0.39387909999999998</v>
      </c>
      <c r="F4133" t="s">
        <v>42</v>
      </c>
      <c r="G4133">
        <v>-418.27080000000001</v>
      </c>
      <c r="H4133" s="1">
        <v>-9.3214290000000002E-7</v>
      </c>
      <c r="I4133">
        <v>111.0351</v>
      </c>
      <c r="J4133">
        <v>-412.41129999999998</v>
      </c>
      <c r="K4133">
        <v>1.1136280000000001</v>
      </c>
      <c r="L4133">
        <v>126.16930000000001</v>
      </c>
      <c r="M4133">
        <v>-0.65772419999999998</v>
      </c>
      <c r="N4133">
        <v>0</v>
      </c>
      <c r="O4133">
        <v>-0.75313160000000001</v>
      </c>
      <c r="P4133">
        <v>-0.610396099999999</v>
      </c>
      <c r="Q4133">
        <v>3.9300000000000002E-2</v>
      </c>
      <c r="R4133">
        <v>-0.79112079999999996</v>
      </c>
      <c r="S4133">
        <v>-1.1544190000000001</v>
      </c>
      <c r="T4133">
        <v>-0.2111517</v>
      </c>
      <c r="U4133">
        <v>-2.9226070000000002</v>
      </c>
      <c r="V4133">
        <v>-6.1078060000000003E-2</v>
      </c>
      <c r="W4133">
        <v>5.2598329999999999E-2</v>
      </c>
      <c r="X4133">
        <v>0.99674609999999997</v>
      </c>
      <c r="Y4133">
        <v>-0.33547559999999998</v>
      </c>
      <c r="Z4133">
        <v>4.2898310000000002E-2</v>
      </c>
      <c r="AA4133">
        <v>0.94107169999999896</v>
      </c>
      <c r="AB4133">
        <v>19</v>
      </c>
      <c r="AC4133">
        <v>-5.8595000000000201</v>
      </c>
      <c r="AD4133">
        <v>-1.1136289321429</v>
      </c>
      <c r="AE4133">
        <v>-15.1342</v>
      </c>
      <c r="AF4133">
        <v>-5.5157141922596402</v>
      </c>
      <c r="AG4133">
        <v>-1.1136289321429</v>
      </c>
      <c r="AH4133">
        <v>15.1819536783524</v>
      </c>
      <c r="AI4133">
        <v>93.943910823810398</v>
      </c>
      <c r="AJ4133">
        <v>109.96645136876</v>
      </c>
      <c r="AK4133">
        <v>16.191201003657401</v>
      </c>
      <c r="AL4133">
        <v>86.984946208418606</v>
      </c>
      <c r="AM4133">
        <v>93.506554739197796</v>
      </c>
      <c r="AN4133">
        <v>0.99999995079867998</v>
      </c>
    </row>
    <row r="4134" spans="1:40" x14ac:dyDescent="0.25">
      <c r="A4134" t="str">
        <f>"20190312154641383"</f>
        <v>20190312154641383</v>
      </c>
      <c r="B4134" t="str">
        <f>"1552376801372101"</f>
        <v>1552376801372101</v>
      </c>
      <c r="C4134" t="s">
        <v>40</v>
      </c>
      <c r="D4134">
        <v>4.2803180000000003</v>
      </c>
      <c r="E4134">
        <v>0.39359889999999997</v>
      </c>
      <c r="F4134" t="s">
        <v>42</v>
      </c>
      <c r="G4134">
        <v>-419.64519999999999</v>
      </c>
      <c r="H4134" s="1">
        <v>-4.0548679999999999E-6</v>
      </c>
      <c r="I4134">
        <v>108.0761</v>
      </c>
      <c r="J4134">
        <v>-412.5462</v>
      </c>
      <c r="K4134">
        <v>1.113605</v>
      </c>
      <c r="L4134">
        <v>126.00109999999999</v>
      </c>
      <c r="M4134">
        <v>-0.65193809999999996</v>
      </c>
      <c r="N4134">
        <v>0</v>
      </c>
      <c r="O4134">
        <v>-0.75814589999999904</v>
      </c>
      <c r="P4134">
        <v>-0.60608459999999997</v>
      </c>
      <c r="Q4134">
        <v>3.8904359999999999E-2</v>
      </c>
      <c r="R4134">
        <v>-0.79444859999999995</v>
      </c>
      <c r="S4134">
        <v>-1.1614070000000001</v>
      </c>
      <c r="T4134">
        <v>-0.17879400000000001</v>
      </c>
      <c r="U4134">
        <v>-2.9048769999999999</v>
      </c>
      <c r="V4134">
        <v>-5.887233E-2</v>
      </c>
      <c r="W4134">
        <v>5.2221209999999997E-2</v>
      </c>
      <c r="X4134">
        <v>0.99689870000000003</v>
      </c>
      <c r="Y4134">
        <v>-0.32422450000000003</v>
      </c>
      <c r="Z4134">
        <v>3.7075360000000002E-2</v>
      </c>
      <c r="AA4134">
        <v>0.94525340000000002</v>
      </c>
      <c r="AB4134">
        <v>19</v>
      </c>
      <c r="AC4134">
        <v>-7.0989999999999798</v>
      </c>
      <c r="AD4134">
        <v>-1.113609054868</v>
      </c>
      <c r="AE4134">
        <v>-17.924999999999901</v>
      </c>
      <c r="AF4134">
        <v>-6.2835522961697796</v>
      </c>
      <c r="AG4134">
        <v>-1.113609054868</v>
      </c>
      <c r="AH4134">
        <v>18.1590336682663</v>
      </c>
      <c r="AI4134">
        <v>93.316800194026399</v>
      </c>
      <c r="AJ4134">
        <v>109.087104092155</v>
      </c>
      <c r="AK4134">
        <v>19.247692286375901</v>
      </c>
      <c r="AL4134">
        <v>87.006583514149199</v>
      </c>
      <c r="AM4134">
        <v>93.379704375003996</v>
      </c>
      <c r="AN4134">
        <v>1.00000001203759</v>
      </c>
    </row>
    <row r="4135" spans="1:40" x14ac:dyDescent="0.25">
      <c r="A4135" t="str">
        <f>"20190312154641410"</f>
        <v>20190312154641410</v>
      </c>
      <c r="B4135" t="str">
        <f>"1552376801401382"</f>
        <v>1552376801401382</v>
      </c>
      <c r="C4135" t="s">
        <v>40</v>
      </c>
      <c r="D4135">
        <v>4.2819029999999998</v>
      </c>
      <c r="E4135">
        <v>0.39426499999999998</v>
      </c>
      <c r="F4135" t="s">
        <v>42</v>
      </c>
      <c r="G4135">
        <v>-418.88670000000002</v>
      </c>
      <c r="H4135" s="1">
        <v>-3.6108720000000002E-7</v>
      </c>
      <c r="I4135">
        <v>109.8387</v>
      </c>
      <c r="J4135">
        <v>-412.68009999999998</v>
      </c>
      <c r="K4135">
        <v>1.113583</v>
      </c>
      <c r="L4135">
        <v>125.83110000000001</v>
      </c>
      <c r="M4135">
        <v>-0.64610249999999902</v>
      </c>
      <c r="N4135">
        <v>0</v>
      </c>
      <c r="O4135">
        <v>-0.76312519999999995</v>
      </c>
      <c r="P4135">
        <v>-0.60173880000000002</v>
      </c>
      <c r="Q4135">
        <v>3.7913769999999999E-2</v>
      </c>
      <c r="R4135">
        <v>-0.79779270000000002</v>
      </c>
      <c r="S4135">
        <v>-1.1431579999999999</v>
      </c>
      <c r="T4135">
        <v>-0.20077420000000001</v>
      </c>
      <c r="U4135">
        <v>-2.9139400000000002</v>
      </c>
      <c r="V4135">
        <v>-5.6685069999999997E-2</v>
      </c>
      <c r="W4135">
        <v>5.1248330000000002E-2</v>
      </c>
      <c r="X4135">
        <v>0.99707590000000001</v>
      </c>
      <c r="Y4135">
        <v>-0.32318190000000002</v>
      </c>
      <c r="Z4135">
        <v>4.2000469999999998E-2</v>
      </c>
      <c r="AA4135">
        <v>0.94540440000000003</v>
      </c>
      <c r="AB4135">
        <v>19</v>
      </c>
      <c r="AC4135">
        <v>-6.2066000000000301</v>
      </c>
      <c r="AD4135">
        <v>-1.1135833610871999</v>
      </c>
      <c r="AE4135">
        <v>-15.9924</v>
      </c>
      <c r="AF4135">
        <v>-5.5733669091505798</v>
      </c>
      <c r="AG4135">
        <v>-1.1135833610871999</v>
      </c>
      <c r="AH4135">
        <v>16.147810249208199</v>
      </c>
      <c r="AI4135">
        <v>93.729736142233705</v>
      </c>
      <c r="AJ4135">
        <v>109.041956341115</v>
      </c>
      <c r="AK4135">
        <v>17.118827718349699</v>
      </c>
      <c r="AL4135">
        <v>87.0624000547039</v>
      </c>
      <c r="AM4135">
        <v>93.253837531754797</v>
      </c>
      <c r="AN4135">
        <v>0.999999969424751</v>
      </c>
    </row>
    <row r="4136" spans="1:40" x14ac:dyDescent="0.25">
      <c r="A4136" t="str">
        <f>"20190312154641430"</f>
        <v>20190312154641430</v>
      </c>
      <c r="B4136" t="str">
        <f>"1552376801421878"</f>
        <v>1552376801421878</v>
      </c>
      <c r="C4136" t="s">
        <v>40</v>
      </c>
      <c r="D4136">
        <v>4.2903580000000003</v>
      </c>
      <c r="E4136">
        <v>0.39471580000000001</v>
      </c>
      <c r="F4136" t="s">
        <v>42</v>
      </c>
      <c r="G4136">
        <v>-418.78750000000002</v>
      </c>
      <c r="H4136" s="1">
        <v>-4.6738349999999998E-7</v>
      </c>
      <c r="I4136">
        <v>110.0735</v>
      </c>
      <c r="J4136">
        <v>-412.79140000000001</v>
      </c>
      <c r="K4136">
        <v>1.113551</v>
      </c>
      <c r="L4136">
        <v>125.6878</v>
      </c>
      <c r="M4136">
        <v>-0.64118649999999999</v>
      </c>
      <c r="N4136">
        <v>0</v>
      </c>
      <c r="O4136">
        <v>-0.76726059999999996</v>
      </c>
      <c r="P4136">
        <v>-0.59815879999999999</v>
      </c>
      <c r="Q4136">
        <v>3.6555770000000001E-2</v>
      </c>
      <c r="R4136">
        <v>-0.80054369999999997</v>
      </c>
      <c r="S4136">
        <v>-1.1307370000000001</v>
      </c>
      <c r="T4136">
        <v>-0.2061684</v>
      </c>
      <c r="U4136">
        <v>-2.9173580000000001</v>
      </c>
      <c r="V4136">
        <v>-5.4772189999999998E-2</v>
      </c>
      <c r="W4136">
        <v>4.9906319999999997E-2</v>
      </c>
      <c r="X4136">
        <v>0.99725090000000005</v>
      </c>
      <c r="Y4136">
        <v>-0.32099830000000001</v>
      </c>
      <c r="Z4136">
        <v>4.3518609999999999E-2</v>
      </c>
      <c r="AA4136">
        <v>0.94607940000000001</v>
      </c>
      <c r="AB4136">
        <v>19</v>
      </c>
      <c r="AC4136">
        <v>-5.99610000000001</v>
      </c>
      <c r="AD4136">
        <v>-1.1135514673835001</v>
      </c>
      <c r="AE4136">
        <v>-15.6143</v>
      </c>
      <c r="AF4136">
        <v>-5.38774358498409</v>
      </c>
      <c r="AG4136">
        <v>-1.1135514673835001</v>
      </c>
      <c r="AH4136">
        <v>15.756528693699799</v>
      </c>
      <c r="AI4136">
        <v>93.825736388783795</v>
      </c>
      <c r="AJ4136">
        <v>108.877467432191</v>
      </c>
      <c r="AK4136">
        <v>16.689397061710601</v>
      </c>
      <c r="AL4136">
        <v>87.139390182652207</v>
      </c>
      <c r="AM4136">
        <v>93.143707854284798</v>
      </c>
      <c r="AN4136">
        <v>0.99999999556207397</v>
      </c>
    </row>
    <row r="4137" spans="1:40" x14ac:dyDescent="0.25">
      <c r="A4137" t="str">
        <f>"20190312154641450"</f>
        <v>20190312154641450</v>
      </c>
      <c r="B4137" t="str">
        <f>"1552376801442374"</f>
        <v>1552376801442374</v>
      </c>
      <c r="C4137" t="s">
        <v>40</v>
      </c>
      <c r="D4137">
        <v>4.3786290000000001</v>
      </c>
      <c r="E4137">
        <v>0.39490740000000002</v>
      </c>
      <c r="F4137" t="s">
        <v>42</v>
      </c>
      <c r="G4137">
        <v>-418.78719999999998</v>
      </c>
      <c r="H4137" s="1">
        <v>-4.6230099999999998E-7</v>
      </c>
      <c r="I4137">
        <v>110.0583</v>
      </c>
      <c r="J4137">
        <v>-412.89030000000002</v>
      </c>
      <c r="K4137">
        <v>1.1135360000000001</v>
      </c>
      <c r="L4137">
        <v>125.55889999999999</v>
      </c>
      <c r="M4137">
        <v>-0.63676899999999903</v>
      </c>
      <c r="N4137">
        <v>0</v>
      </c>
      <c r="O4137">
        <v>-0.77093049999999996</v>
      </c>
      <c r="P4137">
        <v>-0.59517419999999899</v>
      </c>
      <c r="Q4137">
        <v>3.7431979999999997E-2</v>
      </c>
      <c r="R4137">
        <v>-0.8027244</v>
      </c>
      <c r="S4137">
        <v>-1.1201479999999999</v>
      </c>
      <c r="T4137">
        <v>-0.208037</v>
      </c>
      <c r="U4137">
        <v>-2.9199519999999999</v>
      </c>
      <c r="V4137">
        <v>-5.2735400000000002E-2</v>
      </c>
      <c r="W4137">
        <v>5.0797830000000002E-2</v>
      </c>
      <c r="X4137">
        <v>0.99731570000000003</v>
      </c>
      <c r="Y4137">
        <v>-0.31884109999999899</v>
      </c>
      <c r="Z4137">
        <v>4.4272300000000001E-2</v>
      </c>
      <c r="AA4137">
        <v>0.94677359999999999</v>
      </c>
      <c r="AB4137">
        <v>19</v>
      </c>
      <c r="AC4137">
        <v>-5.8968999999999596</v>
      </c>
      <c r="AD4137">
        <v>-1.113536462301</v>
      </c>
      <c r="AE4137">
        <v>-15.500599999999899</v>
      </c>
      <c r="AF4137">
        <v>-5.3008136143872902</v>
      </c>
      <c r="AG4137">
        <v>-1.113536462301</v>
      </c>
      <c r="AH4137">
        <v>15.635860964930201</v>
      </c>
      <c r="AI4137">
        <v>93.8585471945714</v>
      </c>
      <c r="AJ4137">
        <v>108.72750270714</v>
      </c>
      <c r="AK4137">
        <v>16.547469188428099</v>
      </c>
      <c r="AL4137">
        <v>87.088245626890995</v>
      </c>
      <c r="AM4137">
        <v>93.026829418173094</v>
      </c>
      <c r="AN4137">
        <v>1.0000000237061699</v>
      </c>
    </row>
    <row r="4138" spans="1:40" x14ac:dyDescent="0.25">
      <c r="A4138" t="str">
        <f>"20190312154641472"</f>
        <v>20190312154641472</v>
      </c>
      <c r="B4138" t="str">
        <f>"1552376801461894"</f>
        <v>1552376801461894</v>
      </c>
      <c r="C4138" t="s">
        <v>40</v>
      </c>
      <c r="D4138">
        <v>4.384442</v>
      </c>
      <c r="E4138">
        <v>0.39533790000000002</v>
      </c>
      <c r="F4138" t="s">
        <v>42</v>
      </c>
      <c r="G4138">
        <v>-418.90750000000003</v>
      </c>
      <c r="H4138" s="1">
        <v>-3.1248409999999899E-7</v>
      </c>
      <c r="I4138">
        <v>109.71210000000001</v>
      </c>
      <c r="J4138">
        <v>-412.9991</v>
      </c>
      <c r="K4138">
        <v>1.1135299999999999</v>
      </c>
      <c r="L4138">
        <v>125.4153</v>
      </c>
      <c r="M4138">
        <v>-0.63185570000000002</v>
      </c>
      <c r="N4138">
        <v>0</v>
      </c>
      <c r="O4138">
        <v>-0.77496290000000001</v>
      </c>
      <c r="P4138">
        <v>-0.59095089999999995</v>
      </c>
      <c r="Q4138">
        <v>3.9140630000000003E-2</v>
      </c>
      <c r="R4138">
        <v>-0.80575759999999996</v>
      </c>
      <c r="S4138">
        <v>-1.110168</v>
      </c>
      <c r="T4138">
        <v>-0.2054464</v>
      </c>
      <c r="U4138">
        <v>-2.9237060000000001</v>
      </c>
      <c r="V4138">
        <v>-5.1592770000000003E-2</v>
      </c>
      <c r="W4138">
        <v>5.2513110000000002E-2</v>
      </c>
      <c r="X4138">
        <v>0.99728660000000002</v>
      </c>
      <c r="Y4138">
        <v>-0.31603819999999999</v>
      </c>
      <c r="Z4138">
        <v>4.4103410000000003E-2</v>
      </c>
      <c r="AA4138">
        <v>0.94772080000000003</v>
      </c>
      <c r="AB4138">
        <v>19</v>
      </c>
      <c r="AC4138">
        <v>-5.9084000000000199</v>
      </c>
      <c r="AD4138">
        <v>-1.1135303124840901</v>
      </c>
      <c r="AE4138">
        <v>-15.703199999999899</v>
      </c>
      <c r="AF4138">
        <v>-5.3204401941082198</v>
      </c>
      <c r="AG4138">
        <v>-1.1135303124840901</v>
      </c>
      <c r="AH4138">
        <v>15.834424110607699</v>
      </c>
      <c r="AI4138">
        <v>93.813751994235403</v>
      </c>
      <c r="AJ4138">
        <v>108.572588112758</v>
      </c>
      <c r="AK4138">
        <v>16.7414461899352</v>
      </c>
      <c r="AL4138">
        <v>86.989835865346393</v>
      </c>
      <c r="AM4138">
        <v>92.961450693077495</v>
      </c>
      <c r="AN4138">
        <v>1.0000000015888499</v>
      </c>
    </row>
    <row r="4139" spans="1:40" x14ac:dyDescent="0.25">
      <c r="A4139" t="str">
        <f>"20190312154641494"</f>
        <v>20190312154641494</v>
      </c>
      <c r="B4139" t="str">
        <f>"1552376801491679"</f>
        <v>1552376801491679</v>
      </c>
      <c r="C4139" t="s">
        <v>40</v>
      </c>
      <c r="D4139">
        <v>4.3939539999999999</v>
      </c>
      <c r="E4139">
        <v>0.3956443</v>
      </c>
      <c r="F4139" t="s">
        <v>42</v>
      </c>
      <c r="G4139">
        <v>-419.1404</v>
      </c>
      <c r="H4139" s="1">
        <v>-4.5913679999999997E-6</v>
      </c>
      <c r="I4139">
        <v>109.02160000000001</v>
      </c>
      <c r="J4139">
        <v>-413.11349999999999</v>
      </c>
      <c r="K4139">
        <v>1.113521</v>
      </c>
      <c r="L4139">
        <v>125.2623</v>
      </c>
      <c r="M4139">
        <v>-0.62663519999999995</v>
      </c>
      <c r="N4139">
        <v>0</v>
      </c>
      <c r="O4139">
        <v>-0.77919019999999894</v>
      </c>
      <c r="P4139">
        <v>-0.58603660000000002</v>
      </c>
      <c r="Q4139">
        <v>3.9615530000000003E-2</v>
      </c>
      <c r="R4139">
        <v>-0.80931560000000002</v>
      </c>
      <c r="S4139">
        <v>-1.0969850000000001</v>
      </c>
      <c r="T4139">
        <v>-0.1989051</v>
      </c>
      <c r="U4139">
        <v>-2.9283139999999999</v>
      </c>
      <c r="V4139">
        <v>-5.0947590000000001E-2</v>
      </c>
      <c r="W4139">
        <v>5.2991179999999999E-2</v>
      </c>
      <c r="X4139">
        <v>0.99729449999999997</v>
      </c>
      <c r="Y4139">
        <v>-0.31387510000000002</v>
      </c>
      <c r="Z4139">
        <v>4.3077079999999997E-2</v>
      </c>
      <c r="AA4139">
        <v>0.94848659999999996</v>
      </c>
      <c r="AB4139">
        <v>19</v>
      </c>
      <c r="AC4139">
        <v>-6.0269000000000101</v>
      </c>
      <c r="AD4139">
        <v>-1.113525591368</v>
      </c>
      <c r="AE4139">
        <v>-16.240699999999901</v>
      </c>
      <c r="AF4139">
        <v>-5.4588603834320297</v>
      </c>
      <c r="AG4139">
        <v>-1.113525591368</v>
      </c>
      <c r="AH4139">
        <v>16.365210383061498</v>
      </c>
      <c r="AI4139">
        <v>93.693093313167594</v>
      </c>
      <c r="AJ4139">
        <v>108.446890955359</v>
      </c>
      <c r="AK4139">
        <v>17.287544846226702</v>
      </c>
      <c r="AL4139">
        <v>86.962406338591293</v>
      </c>
      <c r="AM4139">
        <v>92.924458608047601</v>
      </c>
      <c r="AN4139">
        <v>1.00000002090742</v>
      </c>
    </row>
    <row r="4140" spans="1:40" x14ac:dyDescent="0.25">
      <c r="A4140" t="str">
        <f>"20190312154641518"</f>
        <v>20190312154641518</v>
      </c>
      <c r="B4140" t="str">
        <f>"1552376801512175"</f>
        <v>1552376801512175</v>
      </c>
      <c r="C4140" t="s">
        <v>40</v>
      </c>
      <c r="D4140">
        <v>4.3911709999999999</v>
      </c>
      <c r="E4140">
        <v>0.39591710000000002</v>
      </c>
      <c r="F4140" t="s">
        <v>42</v>
      </c>
      <c r="G4140">
        <v>-419.43389999999999</v>
      </c>
      <c r="H4140" s="1">
        <v>-4.1102580000000004E-6</v>
      </c>
      <c r="I4140">
        <v>108.114</v>
      </c>
      <c r="J4140">
        <v>-413.22570000000002</v>
      </c>
      <c r="K4140">
        <v>1.1135120000000001</v>
      </c>
      <c r="L4140">
        <v>125.11020000000001</v>
      </c>
      <c r="M4140">
        <v>-0.6214558</v>
      </c>
      <c r="N4140">
        <v>0</v>
      </c>
      <c r="O4140">
        <v>-0.78332749999999995</v>
      </c>
      <c r="P4140">
        <v>-0.58075480000000002</v>
      </c>
      <c r="Q4140">
        <v>3.9611849999999997E-2</v>
      </c>
      <c r="R4140">
        <v>-0.81311429999999996</v>
      </c>
      <c r="S4140">
        <v>-1.0811459999999999</v>
      </c>
      <c r="T4140">
        <v>-0.1904738</v>
      </c>
      <c r="U4140">
        <v>-2.9333040000000001</v>
      </c>
      <c r="V4140">
        <v>-5.082681E-2</v>
      </c>
      <c r="W4140">
        <v>5.2985940000000002E-2</v>
      </c>
      <c r="X4140">
        <v>0.99730090000000005</v>
      </c>
      <c r="Y4140">
        <v>-0.31258469999999999</v>
      </c>
      <c r="Z4140">
        <v>4.159641E-2</v>
      </c>
      <c r="AA4140">
        <v>0.94897869999999995</v>
      </c>
      <c r="AB4140">
        <v>19</v>
      </c>
      <c r="AC4140">
        <v>-6.2081999999999704</v>
      </c>
      <c r="AD4140">
        <v>-1.113516110258</v>
      </c>
      <c r="AE4140">
        <v>-16.996200000000002</v>
      </c>
      <c r="AF4140">
        <v>-5.67837272365737</v>
      </c>
      <c r="AG4140">
        <v>-1.113516110258</v>
      </c>
      <c r="AH4140">
        <v>17.108559981136501</v>
      </c>
      <c r="AI4140">
        <v>93.534773315260495</v>
      </c>
      <c r="AJ4140">
        <v>108.36113120404799</v>
      </c>
      <c r="AK4140">
        <v>18.060638403576</v>
      </c>
      <c r="AL4140">
        <v>86.962706865867503</v>
      </c>
      <c r="AM4140">
        <v>92.917518979217306</v>
      </c>
      <c r="AN4140">
        <v>0.99999997979663402</v>
      </c>
    </row>
    <row r="4141" spans="1:40" x14ac:dyDescent="0.25">
      <c r="A4141" t="str">
        <f>"20190312154641543"</f>
        <v>20190312154641543</v>
      </c>
      <c r="B4141" t="str">
        <f>"1552376801531695"</f>
        <v>1552376801531695</v>
      </c>
      <c r="C4141" t="s">
        <v>40</v>
      </c>
      <c r="D4141">
        <v>4.391356</v>
      </c>
      <c r="E4141">
        <v>0.39623989999999998</v>
      </c>
      <c r="F4141" t="s">
        <v>42</v>
      </c>
      <c r="G4141">
        <v>-419.46879999999999</v>
      </c>
      <c r="H4141" s="1">
        <v>-3.9835269999999997E-6</v>
      </c>
      <c r="I4141">
        <v>107.85899999999999</v>
      </c>
      <c r="J4141">
        <v>-413.35</v>
      </c>
      <c r="K4141">
        <v>1.113478</v>
      </c>
      <c r="L4141">
        <v>124.9393</v>
      </c>
      <c r="M4141">
        <v>-0.61565579999999998</v>
      </c>
      <c r="N4141">
        <v>0</v>
      </c>
      <c r="O4141">
        <v>-0.78789439999999999</v>
      </c>
      <c r="P4141">
        <v>-0.57451980000000002</v>
      </c>
      <c r="Q4141">
        <v>3.8187499999999999E-2</v>
      </c>
      <c r="R4141">
        <v>-0.81759959999999998</v>
      </c>
      <c r="S4141">
        <v>-1.0636289999999999</v>
      </c>
      <c r="T4141">
        <v>-0.1897103</v>
      </c>
      <c r="U4141">
        <v>-2.9391020000000001</v>
      </c>
      <c r="V4141">
        <v>-5.1117389999999999E-2</v>
      </c>
      <c r="W4141">
        <v>5.155738E-2</v>
      </c>
      <c r="X4141">
        <v>0.99736089999999999</v>
      </c>
      <c r="Y4141">
        <v>-0.31117209999999901</v>
      </c>
      <c r="Z4141">
        <v>4.1798929999999998E-2</v>
      </c>
      <c r="AA4141">
        <v>0.94943390000000005</v>
      </c>
      <c r="AB4141">
        <v>19</v>
      </c>
      <c r="AC4141">
        <v>-6.1187999999999603</v>
      </c>
      <c r="AD4141">
        <v>-1.113481983527</v>
      </c>
      <c r="AE4141">
        <v>-17.080300000000001</v>
      </c>
      <c r="AF4141">
        <v>-5.6737892534713197</v>
      </c>
      <c r="AG4141">
        <v>-1.113481983527</v>
      </c>
      <c r="AH4141">
        <v>17.161548075405701</v>
      </c>
      <c r="AI4141">
        <v>93.525134831103401</v>
      </c>
      <c r="AJ4141">
        <v>108.29443195029</v>
      </c>
      <c r="AK4141">
        <v>18.109402501598598</v>
      </c>
      <c r="AL4141">
        <v>87.044669319405699</v>
      </c>
      <c r="AM4141">
        <v>92.933993342832693</v>
      </c>
      <c r="AN4141">
        <v>0.99999995792084195</v>
      </c>
    </row>
    <row r="4142" spans="1:40" x14ac:dyDescent="0.25">
      <c r="A4142" t="str">
        <f>"20190312154641564"</f>
        <v>20190312154641564</v>
      </c>
      <c r="B4142" t="str">
        <f>"1552376801552191"</f>
        <v>1552376801552191</v>
      </c>
      <c r="C4142" t="s">
        <v>40</v>
      </c>
      <c r="D4142">
        <v>4.4633469999999997</v>
      </c>
      <c r="E4142">
        <v>0.39657110000000001</v>
      </c>
      <c r="F4142" t="s">
        <v>42</v>
      </c>
      <c r="G4142">
        <v>-419.34449999999998</v>
      </c>
      <c r="H4142" s="1">
        <v>-4.0750519999999997E-6</v>
      </c>
      <c r="I4142">
        <v>108.0059</v>
      </c>
      <c r="J4142">
        <v>-413.4538</v>
      </c>
      <c r="K4142">
        <v>1.1134360000000001</v>
      </c>
      <c r="L4142">
        <v>124.7946</v>
      </c>
      <c r="M4142">
        <v>-0.61076580000000003</v>
      </c>
      <c r="N4142">
        <v>0</v>
      </c>
      <c r="O4142">
        <v>-0.79169140000000005</v>
      </c>
      <c r="P4142">
        <v>-0.56916509999999998</v>
      </c>
      <c r="Q4142">
        <v>3.3857390000000001E-2</v>
      </c>
      <c r="R4142">
        <v>-0.82152639999999999</v>
      </c>
      <c r="S4142">
        <v>-1.0427550000000001</v>
      </c>
      <c r="T4142">
        <v>-0.1936949</v>
      </c>
      <c r="U4142">
        <v>-2.9456329999999999</v>
      </c>
      <c r="V4142">
        <v>-5.1538399999999998E-2</v>
      </c>
      <c r="W4142">
        <v>4.7223950000000001E-2</v>
      </c>
      <c r="X4142">
        <v>0.99755380000000005</v>
      </c>
      <c r="Y4142">
        <v>-0.31194379999999999</v>
      </c>
      <c r="Z4142">
        <v>4.2953440000000002E-2</v>
      </c>
      <c r="AA4142">
        <v>0.94912909999999995</v>
      </c>
      <c r="AB4142">
        <v>19</v>
      </c>
      <c r="AC4142">
        <v>-5.8906999999999803</v>
      </c>
      <c r="AD4142">
        <v>-1.1134400750519999</v>
      </c>
      <c r="AE4142">
        <v>-16.788699999999999</v>
      </c>
      <c r="AF4142">
        <v>-5.56906786542406</v>
      </c>
      <c r="AG4142">
        <v>-1.1134400750519999</v>
      </c>
      <c r="AH4142">
        <v>16.825019159171401</v>
      </c>
      <c r="AI4142">
        <v>93.594909881591306</v>
      </c>
      <c r="AJ4142">
        <v>108.314502218927</v>
      </c>
      <c r="AK4142">
        <v>17.757689472364198</v>
      </c>
      <c r="AL4142">
        <v>87.293260139710796</v>
      </c>
      <c r="AM4142">
        <v>92.9575443760654</v>
      </c>
      <c r="AN4142">
        <v>0.99999994601129905</v>
      </c>
    </row>
    <row r="4143" spans="1:40" x14ac:dyDescent="0.25">
      <c r="A4143" t="str">
        <f>"20190312154641604"</f>
        <v>20190312154641604</v>
      </c>
      <c r="B4143" t="str">
        <f>"1552376801591738"</f>
        <v>1552376801591738</v>
      </c>
      <c r="C4143" t="s">
        <v>40</v>
      </c>
      <c r="D4143">
        <v>4.5041419999999999</v>
      </c>
      <c r="E4143">
        <v>0.39636090000000002</v>
      </c>
      <c r="F4143" t="s">
        <v>42</v>
      </c>
      <c r="G4143">
        <v>-418.9819</v>
      </c>
      <c r="H4143" s="1">
        <v>-4.5505029999999998E-6</v>
      </c>
      <c r="I4143">
        <v>108.87569999999999</v>
      </c>
      <c r="J4143">
        <v>-413.64299999999997</v>
      </c>
      <c r="K4143">
        <v>1.1133489999999999</v>
      </c>
      <c r="L4143">
        <v>124.5258</v>
      </c>
      <c r="M4143">
        <v>-0.60172959999999998</v>
      </c>
      <c r="N4143">
        <v>0</v>
      </c>
      <c r="O4143">
        <v>-0.79858090000000004</v>
      </c>
      <c r="P4143">
        <v>-0.5586892</v>
      </c>
      <c r="Q4143">
        <v>2.6162999999999999E-2</v>
      </c>
      <c r="R4143">
        <v>-0.82896449999999999</v>
      </c>
      <c r="S4143">
        <v>-1.024567</v>
      </c>
      <c r="T4143">
        <v>-0.2063624</v>
      </c>
      <c r="U4143">
        <v>-2.9503780000000002</v>
      </c>
      <c r="V4143">
        <v>-5.2969780000000001E-2</v>
      </c>
      <c r="W4143">
        <v>3.9515990000000001E-2</v>
      </c>
      <c r="X4143">
        <v>0.99781390000000003</v>
      </c>
      <c r="Y4143">
        <v>-0.30689070000000002</v>
      </c>
      <c r="Z4143">
        <v>4.643241E-2</v>
      </c>
      <c r="AA4143">
        <v>0.95061150000000005</v>
      </c>
      <c r="AB4143">
        <v>19</v>
      </c>
      <c r="AC4143">
        <v>-5.3388999999999598</v>
      </c>
      <c r="AD4143">
        <v>-1.1133535505029999</v>
      </c>
      <c r="AE4143">
        <v>-15.6501</v>
      </c>
      <c r="AF4143">
        <v>-5.1308147306572804</v>
      </c>
      <c r="AG4143">
        <v>-1.1133535505029999</v>
      </c>
      <c r="AH4143">
        <v>15.6410315493012</v>
      </c>
      <c r="AI4143">
        <v>93.869336500941102</v>
      </c>
      <c r="AJ4143">
        <v>108.161330600757</v>
      </c>
      <c r="AK4143">
        <v>16.498687337330299</v>
      </c>
      <c r="AL4143">
        <v>87.735310773806205</v>
      </c>
      <c r="AM4143">
        <v>93.038741708314802</v>
      </c>
      <c r="AN4143">
        <v>0.99999994504606704</v>
      </c>
    </row>
    <row r="4144" spans="1:40" x14ac:dyDescent="0.25">
      <c r="A4144" t="str">
        <f>"20190312154641630"</f>
        <v>20190312154641630</v>
      </c>
      <c r="B4144" t="str">
        <f>"1552376801621994"</f>
        <v>1552376801621994</v>
      </c>
      <c r="C4144" t="s">
        <v>40</v>
      </c>
      <c r="D4144">
        <v>4.5315240000000001</v>
      </c>
      <c r="E4144">
        <v>0.39615739999999999</v>
      </c>
      <c r="F4144" t="s">
        <v>42</v>
      </c>
      <c r="G4144">
        <v>-418.44510000000002</v>
      </c>
      <c r="H4144" s="1">
        <v>-5.5591610000000001E-7</v>
      </c>
      <c r="I4144">
        <v>110.0659</v>
      </c>
      <c r="J4144">
        <v>-413.76830000000001</v>
      </c>
      <c r="K4144">
        <v>1.1133219999999999</v>
      </c>
      <c r="L4144">
        <v>124.34399999999999</v>
      </c>
      <c r="M4144">
        <v>-0.59564849999999903</v>
      </c>
      <c r="N4144">
        <v>0</v>
      </c>
      <c r="O4144">
        <v>-0.80312729999999999</v>
      </c>
      <c r="P4144">
        <v>-0.55189869999999996</v>
      </c>
      <c r="Q4144">
        <v>2.633657E-2</v>
      </c>
      <c r="R4144">
        <v>-0.8334954</v>
      </c>
      <c r="S4144">
        <v>-0.98400880000000002</v>
      </c>
      <c r="T4144">
        <v>-0.2281369</v>
      </c>
      <c r="U4144">
        <v>-2.9629819999999998</v>
      </c>
      <c r="V4144">
        <v>-5.3539440000000001E-2</v>
      </c>
      <c r="W4144">
        <v>3.9670850000000001E-2</v>
      </c>
      <c r="X4144">
        <v>0.99777740000000004</v>
      </c>
      <c r="Y4144">
        <v>-0.31266919999999998</v>
      </c>
      <c r="Z4144">
        <v>5.1594319999999999E-2</v>
      </c>
      <c r="AA4144">
        <v>0.94845979999999996</v>
      </c>
      <c r="AB4144">
        <v>19</v>
      </c>
      <c r="AC4144">
        <v>-4.6768000000000098</v>
      </c>
      <c r="AD4144">
        <v>-1.1133225559161</v>
      </c>
      <c r="AE4144">
        <v>-14.278099999999901</v>
      </c>
      <c r="AF4144">
        <v>-4.7231785714675798</v>
      </c>
      <c r="AG4144">
        <v>-1.1133225559161</v>
      </c>
      <c r="AH4144">
        <v>14.1763703704338</v>
      </c>
      <c r="AI4144">
        <v>94.261073924795298</v>
      </c>
      <c r="AJ4144">
        <v>108.426661458544</v>
      </c>
      <c r="AK4144">
        <v>14.9839040243588</v>
      </c>
      <c r="AL4144">
        <v>87.726431097287701</v>
      </c>
      <c r="AM4144">
        <v>93.071471557747898</v>
      </c>
      <c r="AN4144">
        <v>0.99999999396299799</v>
      </c>
    </row>
    <row r="4145" spans="1:40" x14ac:dyDescent="0.25">
      <c r="A4145" t="str">
        <f>"20190312154641655"</f>
        <v>20190312154641655</v>
      </c>
      <c r="B4145" t="str">
        <f>"1552376801641514"</f>
        <v>1552376801641514</v>
      </c>
      <c r="C4145" t="s">
        <v>40</v>
      </c>
      <c r="D4145">
        <v>4.519863</v>
      </c>
      <c r="E4145">
        <v>0.3961132</v>
      </c>
      <c r="F4145" t="s">
        <v>42</v>
      </c>
      <c r="G4145">
        <v>-418.38459999999998</v>
      </c>
      <c r="H4145" s="1">
        <v>-5.5996439999999997E-7</v>
      </c>
      <c r="I4145">
        <v>110.0305</v>
      </c>
      <c r="J4145">
        <v>-413.88069999999999</v>
      </c>
      <c r="K4145">
        <v>1.1133120000000001</v>
      </c>
      <c r="L4145">
        <v>124.17870000000001</v>
      </c>
      <c r="M4145">
        <v>-0.59012919999999902</v>
      </c>
      <c r="N4145">
        <v>0</v>
      </c>
      <c r="O4145">
        <v>-0.80719200000000002</v>
      </c>
      <c r="P4145">
        <v>-0.54633549999999997</v>
      </c>
      <c r="Q4145">
        <v>2.7931910000000001E-2</v>
      </c>
      <c r="R4145">
        <v>-0.83710059999999997</v>
      </c>
      <c r="S4145">
        <v>-0.95849609999999996</v>
      </c>
      <c r="T4145">
        <v>-0.23116039999999999</v>
      </c>
      <c r="U4145">
        <v>-2.971924</v>
      </c>
      <c r="V4145">
        <v>-5.3324820000000002E-2</v>
      </c>
      <c r="W4145">
        <v>4.1232159999999997E-2</v>
      </c>
      <c r="X4145">
        <v>0.99772559999999999</v>
      </c>
      <c r="Y4145">
        <v>-0.3143823</v>
      </c>
      <c r="Z4145">
        <v>5.2590320000000003E-2</v>
      </c>
      <c r="AA4145">
        <v>0.94783859999999998</v>
      </c>
      <c r="AB4145">
        <v>19</v>
      </c>
      <c r="AC4145">
        <v>-4.5038999999999803</v>
      </c>
      <c r="AD4145">
        <v>-1.1133125599644</v>
      </c>
      <c r="AE4145">
        <v>-14.148199999999999</v>
      </c>
      <c r="AF4145">
        <v>-4.6878422046258601</v>
      </c>
      <c r="AG4145">
        <v>-1.1133125599644</v>
      </c>
      <c r="AH4145">
        <v>14.0008083467261</v>
      </c>
      <c r="AI4145">
        <v>94.312130812249706</v>
      </c>
      <c r="AJ4145">
        <v>108.51191325377199</v>
      </c>
      <c r="AK4145">
        <v>14.806686454213899</v>
      </c>
      <c r="AL4145">
        <v>87.636901348916297</v>
      </c>
      <c r="AM4145">
        <v>93.059341112389504</v>
      </c>
      <c r="AN4145">
        <v>1.00000000017082</v>
      </c>
    </row>
    <row r="4146" spans="1:40" x14ac:dyDescent="0.25">
      <c r="A4146" t="str">
        <f>"20190312154641676"</f>
        <v>20190312154641676</v>
      </c>
      <c r="B4146" t="str">
        <f>"1552376801672277"</f>
        <v>1552376801672277</v>
      </c>
      <c r="C4146" t="s">
        <v>40</v>
      </c>
      <c r="D4146">
        <v>4.573639</v>
      </c>
      <c r="E4146">
        <v>0.39644620000000003</v>
      </c>
      <c r="F4146" t="s">
        <v>42</v>
      </c>
      <c r="G4146">
        <v>-418.47829999999999</v>
      </c>
      <c r="H4146" s="1">
        <v>-4.9761039999999998E-6</v>
      </c>
      <c r="I4146">
        <v>109.58710000000001</v>
      </c>
      <c r="J4146">
        <v>-413.97840000000002</v>
      </c>
      <c r="K4146">
        <v>1.1132949999999999</v>
      </c>
      <c r="L4146">
        <v>124.0331</v>
      </c>
      <c r="M4146">
        <v>-0.58527399999999996</v>
      </c>
      <c r="N4146">
        <v>0</v>
      </c>
      <c r="O4146">
        <v>-0.81072069999999996</v>
      </c>
      <c r="P4146">
        <v>-0.54259309999999905</v>
      </c>
      <c r="Q4146">
        <v>2.9756069999999999E-2</v>
      </c>
      <c r="R4146">
        <v>-0.83946869999999996</v>
      </c>
      <c r="S4146">
        <v>-0.93856810000000002</v>
      </c>
      <c r="T4146">
        <v>-0.22727610000000001</v>
      </c>
      <c r="U4146">
        <v>-2.97879</v>
      </c>
      <c r="V4146">
        <v>-5.176472E-2</v>
      </c>
      <c r="W4146">
        <v>4.2993469999999999E-2</v>
      </c>
      <c r="X4146">
        <v>0.99773339999999999</v>
      </c>
      <c r="Y4146">
        <v>-0.31506679999999998</v>
      </c>
      <c r="Z4146">
        <v>5.1999469999999999E-2</v>
      </c>
      <c r="AA4146">
        <v>0.94764389999999998</v>
      </c>
      <c r="AB4146">
        <v>19</v>
      </c>
      <c r="AC4146">
        <v>-4.4998999999999603</v>
      </c>
      <c r="AD4146">
        <v>-1.1132999761040001</v>
      </c>
      <c r="AE4146">
        <v>-14.4459999999999</v>
      </c>
      <c r="AF4146">
        <v>-4.7812685999284801</v>
      </c>
      <c r="AG4146">
        <v>-1.1132999761040001</v>
      </c>
      <c r="AH4146">
        <v>14.2694288301659</v>
      </c>
      <c r="AI4146">
        <v>94.230895299040498</v>
      </c>
      <c r="AJ4146">
        <v>108.524495425624</v>
      </c>
      <c r="AK4146">
        <v>15.090280494431701</v>
      </c>
      <c r="AL4146">
        <v>87.535896053725807</v>
      </c>
      <c r="AM4146">
        <v>92.969974840138093</v>
      </c>
      <c r="AN4146">
        <v>0.99999998108743904</v>
      </c>
    </row>
    <row r="4147" spans="1:40" x14ac:dyDescent="0.25">
      <c r="A4147" t="str">
        <f>"20190312154641695"</f>
        <v>20190312154641695</v>
      </c>
      <c r="B4147" t="str">
        <f>"1552376801691797"</f>
        <v>1552376801691797</v>
      </c>
      <c r="C4147" t="s">
        <v>40</v>
      </c>
      <c r="D4147">
        <v>4.5827330000000002</v>
      </c>
      <c r="E4147">
        <v>0.39660689999999998</v>
      </c>
      <c r="F4147" t="s">
        <v>42</v>
      </c>
      <c r="G4147">
        <v>-418.613</v>
      </c>
      <c r="H4147" s="1">
        <v>-4.7352549999999996E-6</v>
      </c>
      <c r="I4147">
        <v>109.1281</v>
      </c>
      <c r="J4147">
        <v>-414.06650000000002</v>
      </c>
      <c r="K4147">
        <v>1.113264</v>
      </c>
      <c r="L4147">
        <v>123.9</v>
      </c>
      <c r="M4147">
        <v>-0.58084269999999905</v>
      </c>
      <c r="N4147">
        <v>0</v>
      </c>
      <c r="O4147">
        <v>-0.81390299999999904</v>
      </c>
      <c r="P4147">
        <v>-0.53947480000000003</v>
      </c>
      <c r="Q4147">
        <v>3.015963E-2</v>
      </c>
      <c r="R4147">
        <v>-0.84146149999999997</v>
      </c>
      <c r="S4147">
        <v>-0.92730710000000005</v>
      </c>
      <c r="T4147">
        <v>-0.22275249999999999</v>
      </c>
      <c r="U4147">
        <v>-2.9822389999999999</v>
      </c>
      <c r="V4147">
        <v>-5.00151E-2</v>
      </c>
      <c r="W4147">
        <v>4.3302649999999998E-2</v>
      </c>
      <c r="X4147">
        <v>0.99780930000000001</v>
      </c>
      <c r="Y4147">
        <v>-0.31344809999999901</v>
      </c>
      <c r="Z4147">
        <v>5.1283460000000003E-2</v>
      </c>
      <c r="AA4147">
        <v>0.94821949999999999</v>
      </c>
      <c r="AB4147">
        <v>19</v>
      </c>
      <c r="AC4147">
        <v>-4.5465000000000302</v>
      </c>
      <c r="AD4147">
        <v>-1.1132687352549999</v>
      </c>
      <c r="AE4147">
        <v>-14.7719</v>
      </c>
      <c r="AF4147">
        <v>-4.8549995242678596</v>
      </c>
      <c r="AG4147">
        <v>-1.1132687352549999</v>
      </c>
      <c r="AH4147">
        <v>14.5893486756007</v>
      </c>
      <c r="AI4147">
        <v>94.141171928912698</v>
      </c>
      <c r="AJ4147">
        <v>108.40625547415</v>
      </c>
      <c r="AK4147">
        <v>15.4162084325488</v>
      </c>
      <c r="AL4147">
        <v>87.518164913764295</v>
      </c>
      <c r="AM4147">
        <v>92.869544072119496</v>
      </c>
      <c r="AN4147">
        <v>1.0000000144457599</v>
      </c>
    </row>
    <row r="4148" spans="1:40" x14ac:dyDescent="0.25">
      <c r="A4148" t="str">
        <f>"20190312154641738"</f>
        <v>20190312154641738</v>
      </c>
      <c r="B4148" t="str">
        <f>"1552376801731812"</f>
        <v>1552376801731812</v>
      </c>
      <c r="C4148" t="s">
        <v>40</v>
      </c>
      <c r="D4148">
        <v>4.6171089999999904</v>
      </c>
      <c r="E4148">
        <v>0.40406809999999999</v>
      </c>
      <c r="F4148" t="s">
        <v>42</v>
      </c>
      <c r="G4148">
        <v>-418.66520000000003</v>
      </c>
      <c r="H4148" s="1">
        <v>-4.633533E-6</v>
      </c>
      <c r="I4148">
        <v>108.9325</v>
      </c>
      <c r="J4148">
        <v>-414.25819999999999</v>
      </c>
      <c r="K4148">
        <v>1.113194</v>
      </c>
      <c r="L4148">
        <v>123.6053</v>
      </c>
      <c r="M4148">
        <v>-0.5710615</v>
      </c>
      <c r="N4148">
        <v>0</v>
      </c>
      <c r="O4148">
        <v>-0.82080059999999999</v>
      </c>
      <c r="P4148">
        <v>-0.53202740000000004</v>
      </c>
      <c r="Q4148">
        <v>2.9572459999999998E-2</v>
      </c>
      <c r="R4148">
        <v>-0.84621080000000004</v>
      </c>
      <c r="S4148">
        <v>-0.91717530000000003</v>
      </c>
      <c r="T4148">
        <v>-0.22203519999999999</v>
      </c>
      <c r="U4148">
        <v>-2.9851839999999998</v>
      </c>
      <c r="V4148">
        <v>-4.6879219999999999E-2</v>
      </c>
      <c r="W4148">
        <v>4.2433230000000002E-2</v>
      </c>
      <c r="X4148">
        <v>0.99799890000000002</v>
      </c>
      <c r="Y4148">
        <v>-0.30528240000000001</v>
      </c>
      <c r="Z4148">
        <v>5.1900349999999998E-2</v>
      </c>
      <c r="AA4148">
        <v>0.95084639999999998</v>
      </c>
      <c r="AB4148">
        <v>19</v>
      </c>
      <c r="AC4148">
        <v>-4.4070000000000302</v>
      </c>
      <c r="AD4148">
        <v>-1.113198633533</v>
      </c>
      <c r="AE4148">
        <v>-14.672799999999899</v>
      </c>
      <c r="AF4148">
        <v>-4.73720896265064</v>
      </c>
      <c r="AG4148">
        <v>-1.113198633533</v>
      </c>
      <c r="AH4148">
        <v>14.4849103686742</v>
      </c>
      <c r="AI4148">
        <v>94.177757987952106</v>
      </c>
      <c r="AJ4148">
        <v>108.110043409319</v>
      </c>
      <c r="AK4148">
        <v>15.2804773597568</v>
      </c>
      <c r="AL4148">
        <v>87.568024864329104</v>
      </c>
      <c r="AM4148">
        <v>92.689390278679397</v>
      </c>
      <c r="AN4148">
        <v>1.0000000223386201</v>
      </c>
    </row>
    <row r="4149" spans="1:40" x14ac:dyDescent="0.25">
      <c r="A4149" t="str">
        <f>"20190312154641759"</f>
        <v>20190312154641759</v>
      </c>
      <c r="B4149" t="str">
        <f>"1552376801752309"</f>
        <v>1552376801752309</v>
      </c>
      <c r="C4149" t="s">
        <v>40</v>
      </c>
      <c r="D4149">
        <v>4.5616820000000002</v>
      </c>
      <c r="E4149">
        <v>0.4043523</v>
      </c>
      <c r="F4149" t="s">
        <v>42</v>
      </c>
      <c r="G4149">
        <v>-418.21339999999998</v>
      </c>
      <c r="H4149" s="1">
        <v>-9.8330120000000009E-7</v>
      </c>
      <c r="I4149">
        <v>111.1407</v>
      </c>
      <c r="J4149">
        <v>-414.35329999999999</v>
      </c>
      <c r="K4149">
        <v>1.113157</v>
      </c>
      <c r="L4149">
        <v>123.45610000000001</v>
      </c>
      <c r="M4149">
        <v>-0.56612320000000005</v>
      </c>
      <c r="N4149">
        <v>0</v>
      </c>
      <c r="O4149">
        <v>-0.82421679999999997</v>
      </c>
      <c r="P4149">
        <v>-0.52830959999999905</v>
      </c>
      <c r="Q4149">
        <v>3.0355529999999999E-2</v>
      </c>
      <c r="R4149">
        <v>-0.84850899999999996</v>
      </c>
      <c r="S4149">
        <v>-0.94030760000000002</v>
      </c>
      <c r="T4149">
        <v>-0.264648299999999</v>
      </c>
      <c r="U4149">
        <v>-2.9633029999999998</v>
      </c>
      <c r="V4149">
        <v>-4.5251369999999999E-2</v>
      </c>
      <c r="W4149">
        <v>4.3069219999999998E-2</v>
      </c>
      <c r="X4149">
        <v>0.99804680000000001</v>
      </c>
      <c r="Y4149">
        <v>-0.29101630000000001</v>
      </c>
      <c r="Z4149">
        <v>6.2803369999999997E-2</v>
      </c>
      <c r="AA4149">
        <v>0.95465449999999996</v>
      </c>
      <c r="AB4149">
        <v>19</v>
      </c>
      <c r="AC4149">
        <v>-3.8600999999999801</v>
      </c>
      <c r="AD4149">
        <v>-1.1131579833012</v>
      </c>
      <c r="AE4149">
        <v>-12.3154</v>
      </c>
      <c r="AF4149">
        <v>-3.7628071123225899</v>
      </c>
      <c r="AG4149">
        <v>-1.1131579833012</v>
      </c>
      <c r="AH4149">
        <v>12.245810399647</v>
      </c>
      <c r="AI4149">
        <v>94.966050278948202</v>
      </c>
      <c r="AJ4149">
        <v>107.080780534263</v>
      </c>
      <c r="AK4149">
        <v>12.8591488989138</v>
      </c>
      <c r="AL4149">
        <v>87.531551994240402</v>
      </c>
      <c r="AM4149">
        <v>92.5960086094411</v>
      </c>
      <c r="AN4149">
        <v>1.0000000295942599</v>
      </c>
    </row>
    <row r="4150" spans="1:40" x14ac:dyDescent="0.25">
      <c r="A4150" t="str">
        <f>"20190312154641784"</f>
        <v>20190312154641784</v>
      </c>
      <c r="B4150" t="str">
        <f>"1552376801771373"</f>
        <v>1552376801771373</v>
      </c>
      <c r="C4150" t="s">
        <v>40</v>
      </c>
      <c r="D4150">
        <v>4.6210889999999996</v>
      </c>
      <c r="E4150">
        <v>0.40484510000000001</v>
      </c>
      <c r="F4150" t="s">
        <v>42</v>
      </c>
      <c r="G4150">
        <v>-418.28890000000001</v>
      </c>
      <c r="H4150" s="1">
        <v>-8.7970400000000003E-7</v>
      </c>
      <c r="I4150">
        <v>110.8952</v>
      </c>
      <c r="J4150">
        <v>-414.45909999999998</v>
      </c>
      <c r="K4150">
        <v>1.1131120000000001</v>
      </c>
      <c r="L4150">
        <v>123.2881</v>
      </c>
      <c r="M4150">
        <v>-0.56056280000000003</v>
      </c>
      <c r="N4150">
        <v>0</v>
      </c>
      <c r="O4150">
        <v>-0.82801159999999996</v>
      </c>
      <c r="P4150">
        <v>-0.52308060000000001</v>
      </c>
      <c r="Q4150">
        <v>3.0915950000000001E-2</v>
      </c>
      <c r="R4150">
        <v>-0.85172239999999999</v>
      </c>
      <c r="S4150">
        <v>-0.92941280000000004</v>
      </c>
      <c r="T4150">
        <v>-0.2628779</v>
      </c>
      <c r="U4150">
        <v>-2.9663240000000002</v>
      </c>
      <c r="V4150">
        <v>-4.4660980000000003E-2</v>
      </c>
      <c r="W4150">
        <v>4.344986E-2</v>
      </c>
      <c r="X4150">
        <v>0.99805690000000002</v>
      </c>
      <c r="Y4150">
        <v>-0.28804279999999999</v>
      </c>
      <c r="Z4150">
        <v>6.2857609999999994E-2</v>
      </c>
      <c r="AA4150">
        <v>0.95555230000000002</v>
      </c>
      <c r="AB4150">
        <v>19</v>
      </c>
      <c r="AC4150">
        <v>-3.8298000000000298</v>
      </c>
      <c r="AD4150">
        <v>-1.113112879704</v>
      </c>
      <c r="AE4150">
        <v>-12.3928999999999</v>
      </c>
      <c r="AF4150">
        <v>-3.7485886004785498</v>
      </c>
      <c r="AG4150">
        <v>-1.113112879704</v>
      </c>
      <c r="AH4150">
        <v>12.3186236200927</v>
      </c>
      <c r="AI4150">
        <v>94.9407253517915</v>
      </c>
      <c r="AJ4150">
        <v>106.925138909811</v>
      </c>
      <c r="AK4150">
        <v>12.924373279664501</v>
      </c>
      <c r="AL4150">
        <v>87.509722506301799</v>
      </c>
      <c r="AM4150">
        <v>92.562158290292501</v>
      </c>
      <c r="AN4150">
        <v>1.0000000345530899</v>
      </c>
    </row>
    <row r="4151" spans="1:40" x14ac:dyDescent="0.25">
      <c r="A4151" t="str">
        <f>"20190312154641808"</f>
        <v>20190312154641808</v>
      </c>
      <c r="B4151" t="str">
        <f>"1552376801801615"</f>
        <v>1552376801801615</v>
      </c>
      <c r="C4151" t="s">
        <v>40</v>
      </c>
      <c r="D4151">
        <v>4.6369920000000002</v>
      </c>
      <c r="E4151">
        <v>0.40577170000000001</v>
      </c>
      <c r="F4151" t="s">
        <v>42</v>
      </c>
      <c r="G4151">
        <v>-418.3322</v>
      </c>
      <c r="H4151" s="1">
        <v>-8.0454199999999998E-7</v>
      </c>
      <c r="I4151">
        <v>110.70820000000001</v>
      </c>
      <c r="J4151">
        <v>-414.56529999999998</v>
      </c>
      <c r="K4151">
        <v>1.1130599999999999</v>
      </c>
      <c r="L4151">
        <v>123.11669999999999</v>
      </c>
      <c r="M4151">
        <v>-0.55491659999999998</v>
      </c>
      <c r="N4151">
        <v>0</v>
      </c>
      <c r="O4151">
        <v>-0.83180959999999904</v>
      </c>
      <c r="P4151">
        <v>-0.51769480000000001</v>
      </c>
      <c r="Q4151">
        <v>2.8819270000000001E-2</v>
      </c>
      <c r="R4151">
        <v>-0.85508039999999996</v>
      </c>
      <c r="S4151">
        <v>-0.91445920000000003</v>
      </c>
      <c r="T4151">
        <v>-0.26281549999999998</v>
      </c>
      <c r="U4151">
        <v>-2.970215</v>
      </c>
      <c r="V4151">
        <v>-4.4189850000000003E-2</v>
      </c>
      <c r="W4151">
        <v>4.1148320000000002E-2</v>
      </c>
      <c r="X4151">
        <v>0.99817540000000005</v>
      </c>
      <c r="Y4151">
        <v>-0.2862769</v>
      </c>
      <c r="Z4151">
        <v>6.3290689999999997E-2</v>
      </c>
      <c r="AA4151">
        <v>0.95605430000000002</v>
      </c>
      <c r="AB4151">
        <v>19</v>
      </c>
      <c r="AC4151">
        <v>-3.7669000000000201</v>
      </c>
      <c r="AD4151">
        <v>-1.1130608045419901</v>
      </c>
      <c r="AE4151">
        <v>-12.408499999999901</v>
      </c>
      <c r="AF4151">
        <v>-3.7251949535737299</v>
      </c>
      <c r="AG4151">
        <v>-1.1130608045419901</v>
      </c>
      <c r="AH4151">
        <v>12.3220386981322</v>
      </c>
      <c r="AI4151">
        <v>94.941840386157097</v>
      </c>
      <c r="AJ4151">
        <v>106.82110075183</v>
      </c>
      <c r="AK4151">
        <v>12.9208598581908</v>
      </c>
      <c r="AL4151">
        <v>87.641709173268097</v>
      </c>
      <c r="AM4151">
        <v>92.534864884004705</v>
      </c>
      <c r="AN4151">
        <v>1.0000000281235</v>
      </c>
    </row>
    <row r="4152" spans="1:40" x14ac:dyDescent="0.25">
      <c r="A4152" t="str">
        <f>"20190312154641830"</f>
        <v>20190312154641830</v>
      </c>
      <c r="B4152" t="str">
        <f>"1552376801822110"</f>
        <v>1552376801822110</v>
      </c>
      <c r="C4152" t="s">
        <v>40</v>
      </c>
      <c r="D4152">
        <v>4.6702539999999999</v>
      </c>
      <c r="E4152">
        <v>0.40616609999999997</v>
      </c>
      <c r="F4152" t="s">
        <v>42</v>
      </c>
      <c r="G4152">
        <v>-418.31990000000002</v>
      </c>
      <c r="H4152" s="1">
        <v>-8.1868379999999999E-7</v>
      </c>
      <c r="I4152">
        <v>110.7402</v>
      </c>
      <c r="J4152">
        <v>-414.66609999999997</v>
      </c>
      <c r="K4152">
        <v>1.11302099999999</v>
      </c>
      <c r="L4152">
        <v>122.9517</v>
      </c>
      <c r="M4152">
        <v>-0.54950549999999998</v>
      </c>
      <c r="N4152">
        <v>0</v>
      </c>
      <c r="O4152">
        <v>-0.83539719999999995</v>
      </c>
      <c r="P4152">
        <v>-0.51222590000000001</v>
      </c>
      <c r="Q4152">
        <v>2.7960260000000001E-2</v>
      </c>
      <c r="R4152">
        <v>-0.85839589999999999</v>
      </c>
      <c r="S4152">
        <v>-0.90148930000000005</v>
      </c>
      <c r="T4152">
        <v>-0.26724890000000001</v>
      </c>
      <c r="U4152">
        <v>-2.9716339999999999</v>
      </c>
      <c r="V4152">
        <v>-4.4087990000000001E-2</v>
      </c>
      <c r="W4152">
        <v>4.0079650000000001E-2</v>
      </c>
      <c r="X4152">
        <v>0.99822339999999998</v>
      </c>
      <c r="Y4152">
        <v>-0.2840297</v>
      </c>
      <c r="Z4152">
        <v>6.4832899999999999E-2</v>
      </c>
      <c r="AA4152">
        <v>0.9566211</v>
      </c>
      <c r="AB4152">
        <v>19</v>
      </c>
      <c r="AC4152">
        <v>-3.6538000000000399</v>
      </c>
      <c r="AD4152">
        <v>-1.1130218186837999</v>
      </c>
      <c r="AE4152">
        <v>-12.211499999999999</v>
      </c>
      <c r="AF4152">
        <v>-3.63051391536567</v>
      </c>
      <c r="AG4152">
        <v>-1.1130218186837999</v>
      </c>
      <c r="AH4152">
        <v>12.1177874342509</v>
      </c>
      <c r="AI4152">
        <v>95.028289881560895</v>
      </c>
      <c r="AJ4152">
        <v>106.678323547909</v>
      </c>
      <c r="AK4152">
        <v>12.6988275506134</v>
      </c>
      <c r="AL4152">
        <v>87.702990050905498</v>
      </c>
      <c r="AM4152">
        <v>92.528908026622105</v>
      </c>
      <c r="AN4152">
        <v>1.00000004275696</v>
      </c>
    </row>
    <row r="4153" spans="1:40" x14ac:dyDescent="0.25">
      <c r="A4153" t="str">
        <f>"20190312154641872"</f>
        <v>20190312154641872</v>
      </c>
      <c r="B4153" t="str">
        <f>"1552376801862131"</f>
        <v>1552376801862131</v>
      </c>
      <c r="C4153" t="s">
        <v>40</v>
      </c>
      <c r="D4153">
        <v>4.6565729999999999</v>
      </c>
      <c r="E4153">
        <v>0.40674739999999998</v>
      </c>
      <c r="F4153" t="s">
        <v>42</v>
      </c>
      <c r="G4153">
        <v>-418.34219999999999</v>
      </c>
      <c r="H4153" s="1">
        <v>-7.6033899999999996E-7</v>
      </c>
      <c r="I4153">
        <v>110.58620000000001</v>
      </c>
      <c r="J4153">
        <v>-414.84219999999999</v>
      </c>
      <c r="K4153">
        <v>1.1129690000000001</v>
      </c>
      <c r="L4153">
        <v>122.658</v>
      </c>
      <c r="M4153">
        <v>-0.539919699999999</v>
      </c>
      <c r="N4153">
        <v>0</v>
      </c>
      <c r="O4153">
        <v>-0.84162990000000004</v>
      </c>
      <c r="P4153">
        <v>-0.50260099999999996</v>
      </c>
      <c r="Q4153">
        <v>2.8394429999999998E-2</v>
      </c>
      <c r="R4153">
        <v>-0.86405219999999905</v>
      </c>
      <c r="S4153">
        <v>-0.88464359999999997</v>
      </c>
      <c r="T4153">
        <v>-0.26784590000000003</v>
      </c>
      <c r="U4153">
        <v>-2.9757389999999999</v>
      </c>
      <c r="V4153">
        <v>-4.3821819999999997E-2</v>
      </c>
      <c r="W4153">
        <v>4.0136350000000001E-2</v>
      </c>
      <c r="X4153">
        <v>0.99823280000000003</v>
      </c>
      <c r="Y4153">
        <v>-0.27841179999999999</v>
      </c>
      <c r="Z4153">
        <v>6.5788630000000001E-2</v>
      </c>
      <c r="AA4153">
        <v>0.958206</v>
      </c>
      <c r="AB4153">
        <v>19</v>
      </c>
      <c r="AC4153">
        <v>-3.5</v>
      </c>
      <c r="AD4153">
        <v>-1.1129697603389901</v>
      </c>
      <c r="AE4153">
        <v>-12.0717999999999</v>
      </c>
      <c r="AF4153">
        <v>-3.5445656791537798</v>
      </c>
      <c r="AG4153">
        <v>-1.1129697603389901</v>
      </c>
      <c r="AH4153">
        <v>11.9568324471479</v>
      </c>
      <c r="AI4153">
        <v>95.0997654412092</v>
      </c>
      <c r="AJ4153">
        <v>106.512292573735</v>
      </c>
      <c r="AK4153">
        <v>12.520722411683399</v>
      </c>
      <c r="AL4153">
        <v>87.699738667515007</v>
      </c>
      <c r="AM4153">
        <v>92.513636391687498</v>
      </c>
      <c r="AN4153">
        <v>1.00000000074763</v>
      </c>
    </row>
    <row r="4154" spans="1:40" x14ac:dyDescent="0.25">
      <c r="A4154" t="str">
        <f>"20190312154641893"</f>
        <v>20190312154641893</v>
      </c>
      <c r="B4154" t="str">
        <f>"1552376801882153"</f>
        <v>1552376801882153</v>
      </c>
      <c r="C4154" t="s">
        <v>40</v>
      </c>
      <c r="D4154">
        <v>4.6255139999999999</v>
      </c>
      <c r="E4154">
        <v>0.41134359999999998</v>
      </c>
      <c r="F4154" t="s">
        <v>42</v>
      </c>
      <c r="G4154">
        <v>-418.4058</v>
      </c>
      <c r="H4154" s="1">
        <v>-6.2312599999999999E-7</v>
      </c>
      <c r="I4154">
        <v>110.23269999999999</v>
      </c>
      <c r="J4154">
        <v>-414.93349999999998</v>
      </c>
      <c r="K4154">
        <v>1.112943</v>
      </c>
      <c r="L4154">
        <v>122.5027</v>
      </c>
      <c r="M4154">
        <v>-0.53486339999999999</v>
      </c>
      <c r="N4154">
        <v>0</v>
      </c>
      <c r="O4154">
        <v>-0.84485529999999998</v>
      </c>
      <c r="P4154">
        <v>-0.49685560000000001</v>
      </c>
      <c r="Q4154">
        <v>2.8705709999999999E-2</v>
      </c>
      <c r="R4154">
        <v>-0.86735859999999998</v>
      </c>
      <c r="S4154">
        <v>-0.85556030000000005</v>
      </c>
      <c r="T4154">
        <v>-0.26720440000000001</v>
      </c>
      <c r="U4154">
        <v>-2.9831089999999998</v>
      </c>
      <c r="V4154">
        <v>-4.4455689999999999E-2</v>
      </c>
      <c r="W4154">
        <v>4.021686E-2</v>
      </c>
      <c r="X4154">
        <v>0.99820149999999996</v>
      </c>
      <c r="Y4154">
        <v>-0.28190349999999997</v>
      </c>
      <c r="Z4154">
        <v>6.5907140000000003E-2</v>
      </c>
      <c r="AA4154">
        <v>0.95717640000000004</v>
      </c>
      <c r="AB4154">
        <v>19</v>
      </c>
      <c r="AC4154">
        <v>-3.4723000000000099</v>
      </c>
      <c r="AD4154">
        <v>-1.1129436231259999</v>
      </c>
      <c r="AE4154">
        <v>-12.27</v>
      </c>
      <c r="AF4154">
        <v>-3.6020007027941099</v>
      </c>
      <c r="AG4154">
        <v>-1.1129436231259999</v>
      </c>
      <c r="AH4154">
        <v>12.132027518654001</v>
      </c>
      <c r="AI4154">
        <v>95.0257657940667</v>
      </c>
      <c r="AJ4154">
        <v>106.53616174362701</v>
      </c>
      <c r="AK4154">
        <v>12.704296292379301</v>
      </c>
      <c r="AL4154">
        <v>87.695121984543604</v>
      </c>
      <c r="AM4154">
        <v>92.550027619188199</v>
      </c>
      <c r="AN4154">
        <v>0.99999996940194202</v>
      </c>
    </row>
    <row r="4155" spans="1:40" x14ac:dyDescent="0.25">
      <c r="A4155" t="str">
        <f>"20190312154641916"</f>
        <v>20190312154641916</v>
      </c>
      <c r="B4155" t="str">
        <f>"1552376801911436"</f>
        <v>1552376801911436</v>
      </c>
      <c r="C4155" t="s">
        <v>40</v>
      </c>
      <c r="D4155">
        <v>4.6589219999999996</v>
      </c>
      <c r="E4155">
        <v>0.4117151</v>
      </c>
      <c r="F4155" t="s">
        <v>42</v>
      </c>
      <c r="G4155">
        <v>-419.23820000000001</v>
      </c>
      <c r="H4155" s="1">
        <v>-3.992396E-6</v>
      </c>
      <c r="I4155">
        <v>107.7912</v>
      </c>
      <c r="J4155">
        <v>-415.02589999999998</v>
      </c>
      <c r="K4155">
        <v>1.11291299999999</v>
      </c>
      <c r="L4155">
        <v>122.3433</v>
      </c>
      <c r="M4155">
        <v>-0.52967949999999997</v>
      </c>
      <c r="N4155">
        <v>0</v>
      </c>
      <c r="O4155">
        <v>-0.8481187</v>
      </c>
      <c r="P4155">
        <v>-0.49144729999999998</v>
      </c>
      <c r="Q4155">
        <v>2.9538769999999999E-2</v>
      </c>
      <c r="R4155">
        <v>-0.87040649999999997</v>
      </c>
      <c r="S4155">
        <v>-0.86865230000000004</v>
      </c>
      <c r="T4155">
        <v>-0.22458120000000001</v>
      </c>
      <c r="U4155">
        <v>-2.9686279999999998</v>
      </c>
      <c r="V4155">
        <v>-4.4544630000000002E-2</v>
      </c>
      <c r="W4155">
        <v>4.0780980000000001E-2</v>
      </c>
      <c r="X4155">
        <v>0.99817469999999997</v>
      </c>
      <c r="Y4155">
        <v>-0.2706925</v>
      </c>
      <c r="Z4155">
        <v>5.6148249999999997E-2</v>
      </c>
      <c r="AA4155">
        <v>0.96102699999999996</v>
      </c>
      <c r="AB4155">
        <v>19</v>
      </c>
      <c r="AC4155">
        <v>-4.2123000000000204</v>
      </c>
      <c r="AD4155">
        <v>-1.1129169923959901</v>
      </c>
      <c r="AE4155">
        <v>-14.5520999999999</v>
      </c>
      <c r="AF4155">
        <v>-4.1134969999503701</v>
      </c>
      <c r="AG4155">
        <v>-1.1129169923959901</v>
      </c>
      <c r="AH4155">
        <v>14.4958259232979</v>
      </c>
      <c r="AI4155">
        <v>94.224127023151894</v>
      </c>
      <c r="AJ4155">
        <v>105.842411498998</v>
      </c>
      <c r="AK4155">
        <v>15.109216094791901</v>
      </c>
      <c r="AL4155">
        <v>87.662773872046699</v>
      </c>
      <c r="AM4155">
        <v>92.555191073140307</v>
      </c>
      <c r="AN4155">
        <v>1.00000002205584</v>
      </c>
    </row>
    <row r="4156" spans="1:40" x14ac:dyDescent="0.25">
      <c r="A4156" t="str">
        <f>"20190312154641939"</f>
        <v>20190312154641939</v>
      </c>
      <c r="B4156" t="str">
        <f>"1552376801931930"</f>
        <v>1552376801931930</v>
      </c>
      <c r="C4156" t="s">
        <v>40</v>
      </c>
      <c r="D4156">
        <v>4.6348320000000003</v>
      </c>
      <c r="E4156">
        <v>0.4120317</v>
      </c>
      <c r="F4156" t="s">
        <v>42</v>
      </c>
      <c r="G4156">
        <v>-419.00409999999999</v>
      </c>
      <c r="H4156" s="1">
        <v>-4.3523029999999997E-6</v>
      </c>
      <c r="I4156">
        <v>108.46469999999999</v>
      </c>
      <c r="J4156">
        <v>-415.12439999999998</v>
      </c>
      <c r="K4156">
        <v>1.1128750000000001</v>
      </c>
      <c r="L4156">
        <v>122.1711</v>
      </c>
      <c r="M4156">
        <v>-0.52407360000000003</v>
      </c>
      <c r="N4156">
        <v>0</v>
      </c>
      <c r="O4156">
        <v>-0.85159899999999999</v>
      </c>
      <c r="P4156">
        <v>-0.48574919999999999</v>
      </c>
      <c r="Q4156">
        <v>3.0744899999999999E-2</v>
      </c>
      <c r="R4156">
        <v>-0.87355759999999905</v>
      </c>
      <c r="S4156">
        <v>-0.852356</v>
      </c>
      <c r="T4156">
        <v>-0.23844650000000001</v>
      </c>
      <c r="U4156">
        <v>-2.973541</v>
      </c>
      <c r="V4156">
        <v>-4.4466449999999998E-2</v>
      </c>
      <c r="W4156">
        <v>4.1624750000000002E-2</v>
      </c>
      <c r="X4156">
        <v>0.99814329999999996</v>
      </c>
      <c r="Y4156">
        <v>-0.26969300000000002</v>
      </c>
      <c r="Z4156">
        <v>5.9941189999999998E-2</v>
      </c>
      <c r="AA4156">
        <v>0.96107889999999996</v>
      </c>
      <c r="AB4156">
        <v>19</v>
      </c>
      <c r="AC4156">
        <v>-3.8797000000000099</v>
      </c>
      <c r="AD4156">
        <v>-1.1128793523029901</v>
      </c>
      <c r="AE4156">
        <v>-13.7064</v>
      </c>
      <c r="AF4156">
        <v>-3.8559236644337198</v>
      </c>
      <c r="AG4156">
        <v>-1.1128793523029901</v>
      </c>
      <c r="AH4156">
        <v>13.623318947103201</v>
      </c>
      <c r="AI4156">
        <v>94.494295668386002</v>
      </c>
      <c r="AJ4156">
        <v>105.803554995038</v>
      </c>
      <c r="AK4156">
        <v>14.2021641623107</v>
      </c>
      <c r="AL4156">
        <v>87.614388189430699</v>
      </c>
      <c r="AM4156">
        <v>92.550792536872095</v>
      </c>
      <c r="AN4156">
        <v>0.99999996616152598</v>
      </c>
    </row>
    <row r="4157" spans="1:40" x14ac:dyDescent="0.25">
      <c r="A4157" t="str">
        <f>"20190312154641960"</f>
        <v>20190312154641960</v>
      </c>
      <c r="B4157" t="str">
        <f>"1552376801951450"</f>
        <v>1552376801951450</v>
      </c>
      <c r="C4157" t="s">
        <v>40</v>
      </c>
      <c r="D4157">
        <v>4.6752019999999996</v>
      </c>
      <c r="E4157">
        <v>0.41257250000000001</v>
      </c>
      <c r="F4157" t="s">
        <v>42</v>
      </c>
      <c r="G4157">
        <v>-418.94929999999999</v>
      </c>
      <c r="H4157" s="1">
        <v>-4.3892159999999999E-6</v>
      </c>
      <c r="I4157">
        <v>108.5222</v>
      </c>
      <c r="J4157">
        <v>-415.21199999999999</v>
      </c>
      <c r="K4157">
        <v>1.1128359999999999</v>
      </c>
      <c r="L4157">
        <v>122.0158</v>
      </c>
      <c r="M4157">
        <v>-0.51901900000000001</v>
      </c>
      <c r="N4157">
        <v>0</v>
      </c>
      <c r="O4157">
        <v>-0.85469379999999995</v>
      </c>
      <c r="P4157">
        <v>-0.48103390000000001</v>
      </c>
      <c r="Q4157">
        <v>3.1526800000000001E-2</v>
      </c>
      <c r="R4157">
        <v>-0.87613529999999995</v>
      </c>
      <c r="S4157">
        <v>-0.83471679999999904</v>
      </c>
      <c r="T4157">
        <v>-0.24286749999999999</v>
      </c>
      <c r="U4157">
        <v>-2.9786380000000001</v>
      </c>
      <c r="V4157">
        <v>-4.3920729999999998E-2</v>
      </c>
      <c r="W4157">
        <v>4.2031600000000002E-2</v>
      </c>
      <c r="X4157">
        <v>0.99815050000000005</v>
      </c>
      <c r="Y4157">
        <v>-0.26971299999999998</v>
      </c>
      <c r="Z4157">
        <v>6.1340260000000001E-2</v>
      </c>
      <c r="AA4157">
        <v>0.96098510000000004</v>
      </c>
      <c r="AB4157">
        <v>19</v>
      </c>
      <c r="AC4157">
        <v>-3.7372999999999998</v>
      </c>
      <c r="AD4157">
        <v>-1.1128403892159999</v>
      </c>
      <c r="AE4157">
        <v>-13.493600000000001</v>
      </c>
      <c r="AF4157">
        <v>-3.78549900303305</v>
      </c>
      <c r="AG4157">
        <v>-1.1128403892159999</v>
      </c>
      <c r="AH4157">
        <v>13.3888421879085</v>
      </c>
      <c r="AI4157">
        <v>94.572874772548502</v>
      </c>
      <c r="AJ4157">
        <v>105.787473214926</v>
      </c>
      <c r="AK4157">
        <v>13.958134243750299</v>
      </c>
      <c r="AL4157">
        <v>87.591057191554199</v>
      </c>
      <c r="AM4157">
        <v>92.519510060684098</v>
      </c>
      <c r="AN4157">
        <v>1.0000000532862701</v>
      </c>
    </row>
    <row r="4158" spans="1:40" x14ac:dyDescent="0.25">
      <c r="A4158" t="str">
        <f>"20190312154641984"</f>
        <v>20190312154641984</v>
      </c>
      <c r="B4158" t="str">
        <f>"1552376801971488"</f>
        <v>1552376801971488</v>
      </c>
      <c r="C4158" t="s">
        <v>40</v>
      </c>
      <c r="D4158">
        <v>4.6654369999999998</v>
      </c>
      <c r="E4158">
        <v>0.41211609999999999</v>
      </c>
      <c r="F4158" t="s">
        <v>42</v>
      </c>
      <c r="G4158">
        <v>-418.96859999999998</v>
      </c>
      <c r="H4158" s="1">
        <v>-4.3271870000000001E-6</v>
      </c>
      <c r="I4158">
        <v>108.39830000000001</v>
      </c>
      <c r="J4158">
        <v>-415.30840000000001</v>
      </c>
      <c r="K4158">
        <v>1.1127990000000001</v>
      </c>
      <c r="L4158">
        <v>121.8425</v>
      </c>
      <c r="M4158">
        <v>-0.51338419999999996</v>
      </c>
      <c r="N4158">
        <v>0</v>
      </c>
      <c r="O4158">
        <v>-0.85809579999999996</v>
      </c>
      <c r="P4158">
        <v>-0.4759603</v>
      </c>
      <c r="Q4158">
        <v>3.2254230000000002E-2</v>
      </c>
      <c r="R4158">
        <v>-0.87887530000000003</v>
      </c>
      <c r="S4158">
        <v>-0.82244869999999903</v>
      </c>
      <c r="T4158">
        <v>-0.24363850000000001</v>
      </c>
      <c r="U4158">
        <v>-2.9813390000000002</v>
      </c>
      <c r="V4158">
        <v>-4.3112009999999999E-2</v>
      </c>
      <c r="W4158">
        <v>4.2326500000000003E-2</v>
      </c>
      <c r="X4158">
        <v>0.99817319999999998</v>
      </c>
      <c r="Y4158">
        <v>-0.267279299999999</v>
      </c>
      <c r="Z4158">
        <v>6.1926700000000001E-2</v>
      </c>
      <c r="AA4158">
        <v>0.96162720000000002</v>
      </c>
      <c r="AB4158">
        <v>19</v>
      </c>
      <c r="AC4158">
        <v>-3.6601999999999699</v>
      </c>
      <c r="AD4158">
        <v>-1.1128033271869999</v>
      </c>
      <c r="AE4158">
        <v>-13.444199999999899</v>
      </c>
      <c r="AF4158">
        <v>-3.7376012009794399</v>
      </c>
      <c r="AG4158">
        <v>-1.1128033271869999</v>
      </c>
      <c r="AH4158">
        <v>13.3311945583295</v>
      </c>
      <c r="AI4158">
        <v>94.595240775275201</v>
      </c>
      <c r="AJ4158">
        <v>105.66164054163499</v>
      </c>
      <c r="AK4158">
        <v>13.8898791331889</v>
      </c>
      <c r="AL4158">
        <v>87.574145384611001</v>
      </c>
      <c r="AM4158">
        <v>92.473119855739199</v>
      </c>
      <c r="AN4158">
        <v>0.99999995760336402</v>
      </c>
    </row>
    <row r="4159" spans="1:40" x14ac:dyDescent="0.25">
      <c r="A4159" t="str">
        <f>"20190312154642012"</f>
        <v>20190312154642012</v>
      </c>
      <c r="B4159" t="str">
        <f>"1552376802001734"</f>
        <v>1552376802001734</v>
      </c>
      <c r="C4159" t="s">
        <v>40</v>
      </c>
      <c r="D4159">
        <v>4.6704949999999998</v>
      </c>
      <c r="E4159">
        <v>0.4115144</v>
      </c>
      <c r="F4159" t="s">
        <v>42</v>
      </c>
      <c r="G4159">
        <v>-419.06040000000002</v>
      </c>
      <c r="H4159" s="1">
        <v>-4.0620950000000001E-6</v>
      </c>
      <c r="I4159">
        <v>107.8719</v>
      </c>
      <c r="J4159">
        <v>-415.42469999999997</v>
      </c>
      <c r="K4159">
        <v>1.112765</v>
      </c>
      <c r="L4159">
        <v>121.62949999999999</v>
      </c>
      <c r="M4159">
        <v>-0.50647330000000002</v>
      </c>
      <c r="N4159">
        <v>0</v>
      </c>
      <c r="O4159">
        <v>-0.86219889999999999</v>
      </c>
      <c r="P4159">
        <v>-0.47000799999999998</v>
      </c>
      <c r="Q4159">
        <v>3.3068300000000002E-2</v>
      </c>
      <c r="R4159">
        <v>-0.88204280000000002</v>
      </c>
      <c r="S4159">
        <v>-0.80236819999999998</v>
      </c>
      <c r="T4159">
        <v>-0.23797499999999999</v>
      </c>
      <c r="U4159">
        <v>-2.987625</v>
      </c>
      <c r="V4159">
        <v>-4.1826790000000003E-2</v>
      </c>
      <c r="W4159">
        <v>4.2635689999999997E-2</v>
      </c>
      <c r="X4159">
        <v>0.99821479999999996</v>
      </c>
      <c r="Y4159">
        <v>-0.26605020000000001</v>
      </c>
      <c r="Z4159">
        <v>6.0890760000000002E-2</v>
      </c>
      <c r="AA4159">
        <v>0.9620341</v>
      </c>
      <c r="AB4159">
        <v>19</v>
      </c>
      <c r="AC4159">
        <v>-3.6357000000000399</v>
      </c>
      <c r="AD4159">
        <v>-1.1127690620949999</v>
      </c>
      <c r="AE4159">
        <v>-13.757599999999901</v>
      </c>
      <c r="AF4159">
        <v>-3.8100490850162401</v>
      </c>
      <c r="AG4159">
        <v>-1.1127690620949999</v>
      </c>
      <c r="AH4159">
        <v>13.620551411867201</v>
      </c>
      <c r="AI4159">
        <v>94.498626995760404</v>
      </c>
      <c r="AJ4159">
        <v>105.62779194916</v>
      </c>
      <c r="AK4159">
        <v>14.1871121014499</v>
      </c>
      <c r="AL4159">
        <v>87.5564142836283</v>
      </c>
      <c r="AM4159">
        <v>92.3993808423605</v>
      </c>
      <c r="AN4159">
        <v>1.0000000346812501</v>
      </c>
    </row>
    <row r="4160" spans="1:40" x14ac:dyDescent="0.25">
      <c r="A4160" t="str">
        <f>"20190312154642034"</f>
        <v>20190312154642034</v>
      </c>
      <c r="B4160" t="str">
        <f>"1552376802022229"</f>
        <v>1552376802022229</v>
      </c>
      <c r="C4160" t="s">
        <v>40</v>
      </c>
      <c r="D4160">
        <v>4.6420560000000002</v>
      </c>
      <c r="E4160">
        <v>0.4114583</v>
      </c>
      <c r="F4160" t="s">
        <v>42</v>
      </c>
      <c r="G4160">
        <v>-419.27190000000002</v>
      </c>
      <c r="H4160" s="1">
        <v>-3.526431E-6</v>
      </c>
      <c r="I4160">
        <v>106.8181</v>
      </c>
      <c r="J4160">
        <v>-415.5172</v>
      </c>
      <c r="K4160">
        <v>1.11276</v>
      </c>
      <c r="L4160">
        <v>121.4575</v>
      </c>
      <c r="M4160">
        <v>-0.50089419999999996</v>
      </c>
      <c r="N4160">
        <v>0</v>
      </c>
      <c r="O4160">
        <v>-0.86545649999999996</v>
      </c>
      <c r="P4160">
        <v>-0.46592529999999999</v>
      </c>
      <c r="Q4160">
        <v>3.3574189999999997E-2</v>
      </c>
      <c r="R4160">
        <v>-0.88418730000000001</v>
      </c>
      <c r="S4160">
        <v>-0.77795409999999998</v>
      </c>
      <c r="T4160">
        <v>-0.22501959999999999</v>
      </c>
      <c r="U4160">
        <v>-2.9951020000000002</v>
      </c>
      <c r="V4160">
        <v>-3.998633E-2</v>
      </c>
      <c r="W4160">
        <v>4.2764320000000001E-2</v>
      </c>
      <c r="X4160">
        <v>0.99828470000000002</v>
      </c>
      <c r="Y4160">
        <v>-0.26770240000000001</v>
      </c>
      <c r="Z4160">
        <v>5.783228E-2</v>
      </c>
      <c r="AA4160">
        <v>0.96176450000000002</v>
      </c>
      <c r="AB4160">
        <v>19</v>
      </c>
      <c r="AC4160">
        <v>-3.7547000000000099</v>
      </c>
      <c r="AD4160">
        <v>-1.1127635264309901</v>
      </c>
      <c r="AE4160">
        <v>-14.639399999999901</v>
      </c>
      <c r="AF4160">
        <v>-4.0614272998430403</v>
      </c>
      <c r="AG4160">
        <v>-1.1127635264309901</v>
      </c>
      <c r="AH4160">
        <v>14.472668064448699</v>
      </c>
      <c r="AI4160">
        <v>94.233745155149904</v>
      </c>
      <c r="AJ4160">
        <v>105.675575341411</v>
      </c>
      <c r="AK4160">
        <v>15.0728748180757</v>
      </c>
      <c r="AL4160">
        <v>87.549037558748395</v>
      </c>
      <c r="AM4160">
        <v>92.293758352074903</v>
      </c>
      <c r="AN4160">
        <v>1.00000001795301</v>
      </c>
    </row>
    <row r="4161" spans="1:40" x14ac:dyDescent="0.25">
      <c r="A4161" t="str">
        <f>"20190312154642057"</f>
        <v>20190312154642057</v>
      </c>
      <c r="B4161" t="str">
        <f>"1552376802051508"</f>
        <v>1552376802051508</v>
      </c>
      <c r="C4161" t="s">
        <v>40</v>
      </c>
      <c r="D4161">
        <v>4.669346</v>
      </c>
      <c r="E4161">
        <v>0.41115020000000002</v>
      </c>
      <c r="F4161" t="s">
        <v>42</v>
      </c>
      <c r="G4161">
        <v>-419.40269999999998</v>
      </c>
      <c r="H4161" s="1">
        <v>-3.2154149999999999E-6</v>
      </c>
      <c r="I4161">
        <v>106.2092</v>
      </c>
      <c r="J4161">
        <v>-415.60640000000001</v>
      </c>
      <c r="K4161">
        <v>1.1127560000000001</v>
      </c>
      <c r="L4161">
        <v>121.289</v>
      </c>
      <c r="M4161">
        <v>-0.49543090000000001</v>
      </c>
      <c r="N4161">
        <v>0</v>
      </c>
      <c r="O4161">
        <v>-0.86859909999999996</v>
      </c>
      <c r="P4161">
        <v>-0.46229049999999999</v>
      </c>
      <c r="Q4161">
        <v>3.365928E-2</v>
      </c>
      <c r="R4161">
        <v>-0.88608940000000003</v>
      </c>
      <c r="S4161">
        <v>-0.76409910000000003</v>
      </c>
      <c r="T4161">
        <v>-0.2188281</v>
      </c>
      <c r="U4161">
        <v>-2.9986109999999999</v>
      </c>
      <c r="V4161">
        <v>-3.7792220000000001E-2</v>
      </c>
      <c r="W4161">
        <v>4.2498010000000003E-2</v>
      </c>
      <c r="X4161">
        <v>0.99838150000000003</v>
      </c>
      <c r="Y4161">
        <v>-0.26605000000000001</v>
      </c>
      <c r="Z4161">
        <v>5.6553480000000003E-2</v>
      </c>
      <c r="AA4161">
        <v>0.96229889999999996</v>
      </c>
      <c r="AB4161">
        <v>19</v>
      </c>
      <c r="AC4161">
        <v>-3.7962999999999698</v>
      </c>
      <c r="AD4161">
        <v>-1.1127592154149999</v>
      </c>
      <c r="AE4161">
        <v>-15.079800000000001</v>
      </c>
      <c r="AF4161">
        <v>-4.1524478779285898</v>
      </c>
      <c r="AG4161">
        <v>-1.1127592154149999</v>
      </c>
      <c r="AH4161">
        <v>14.9034178896647</v>
      </c>
      <c r="AI4161">
        <v>94.1139180568086</v>
      </c>
      <c r="AJ4161">
        <v>105.56910575855601</v>
      </c>
      <c r="AK4161">
        <v>15.5110580311074</v>
      </c>
      <c r="AL4161">
        <v>87.564309780062601</v>
      </c>
      <c r="AM4161">
        <v>92.167809966898602</v>
      </c>
      <c r="AN4161">
        <v>0.99999997614436897</v>
      </c>
    </row>
    <row r="4162" spans="1:40" x14ac:dyDescent="0.25">
      <c r="A4162" t="str">
        <f>"20190312154642079"</f>
        <v>20190312154642079</v>
      </c>
      <c r="B4162" t="str">
        <f>"1552376802071546"</f>
        <v>1552376802071546</v>
      </c>
      <c r="C4162" t="s">
        <v>40</v>
      </c>
      <c r="D4162">
        <v>4.6662019999999904</v>
      </c>
      <c r="E4162">
        <v>0.41118519999999997</v>
      </c>
      <c r="F4162" t="s">
        <v>42</v>
      </c>
      <c r="G4162">
        <v>-419.4932</v>
      </c>
      <c r="H4162" s="1">
        <v>-2.974008E-6</v>
      </c>
      <c r="I4162">
        <v>105.7325</v>
      </c>
      <c r="J4162">
        <v>-415.69659999999999</v>
      </c>
      <c r="K4162">
        <v>1.112751</v>
      </c>
      <c r="L4162">
        <v>121.11620000000001</v>
      </c>
      <c r="M4162">
        <v>-0.48983310000000002</v>
      </c>
      <c r="N4162">
        <v>0</v>
      </c>
      <c r="O4162">
        <v>-0.8717722</v>
      </c>
      <c r="P4162">
        <v>-0.45810790000000001</v>
      </c>
      <c r="Q4162">
        <v>3.380553E-2</v>
      </c>
      <c r="R4162">
        <v>-0.88825390000000004</v>
      </c>
      <c r="S4162">
        <v>-0.75015259999999995</v>
      </c>
      <c r="T4162">
        <v>-0.21476480000000001</v>
      </c>
      <c r="U4162">
        <v>-3.0024259999999998</v>
      </c>
      <c r="V4162">
        <v>-3.6073899999999999E-2</v>
      </c>
      <c r="W4162">
        <v>4.228792E-2</v>
      </c>
      <c r="X4162">
        <v>0.99845399999999995</v>
      </c>
      <c r="Y4162">
        <v>-0.26432939999999999</v>
      </c>
      <c r="Z4162">
        <v>5.5805380000000002E-2</v>
      </c>
      <c r="AA4162">
        <v>0.96281649999999996</v>
      </c>
      <c r="AB4162">
        <v>20</v>
      </c>
      <c r="AC4162">
        <v>-3.79660000000001</v>
      </c>
      <c r="AD4162">
        <v>-1.1127539740079999</v>
      </c>
      <c r="AE4162">
        <v>-15.383699999999999</v>
      </c>
      <c r="AF4162">
        <v>-4.2050989135262302</v>
      </c>
      <c r="AG4162">
        <v>-1.1127539740079999</v>
      </c>
      <c r="AH4162">
        <v>15.1964238412</v>
      </c>
      <c r="AI4162">
        <v>94.036820251275202</v>
      </c>
      <c r="AJ4162">
        <v>105.46763653697001</v>
      </c>
      <c r="AK4162">
        <v>15.806719325673001</v>
      </c>
      <c r="AL4162">
        <v>87.576357920887602</v>
      </c>
      <c r="AM4162">
        <v>92.069182539186599</v>
      </c>
      <c r="AN4162">
        <v>0.99999999227756797</v>
      </c>
    </row>
    <row r="4163" spans="1:40" x14ac:dyDescent="0.25">
      <c r="A4163" t="str">
        <f>"20190312154642118"</f>
        <v>20190312154642118</v>
      </c>
      <c r="B4163" t="str">
        <f>"1552376802111555"</f>
        <v>1552376802111555</v>
      </c>
      <c r="C4163" t="s">
        <v>40</v>
      </c>
      <c r="D4163">
        <v>4.6740649999999997</v>
      </c>
      <c r="E4163">
        <v>0.4116146</v>
      </c>
      <c r="F4163" t="s">
        <v>42</v>
      </c>
      <c r="G4163">
        <v>-419.57089999999999</v>
      </c>
      <c r="H4163" s="1">
        <v>-2.7580699999999999E-6</v>
      </c>
      <c r="I4163">
        <v>105.3048</v>
      </c>
      <c r="J4163">
        <v>-415.84969999999998</v>
      </c>
      <c r="K4163">
        <v>1.112744</v>
      </c>
      <c r="L4163">
        <v>120.8164</v>
      </c>
      <c r="M4163">
        <v>-0.48013549999999999</v>
      </c>
      <c r="N4163">
        <v>0</v>
      </c>
      <c r="O4163">
        <v>-0.8771563</v>
      </c>
      <c r="P4163">
        <v>-0.4508721</v>
      </c>
      <c r="Q4163">
        <v>3.580817E-2</v>
      </c>
      <c r="R4163">
        <v>-0.89187019999999995</v>
      </c>
      <c r="S4163">
        <v>-0.73648069999999999</v>
      </c>
      <c r="T4163">
        <v>-0.21152750000000001</v>
      </c>
      <c r="U4163">
        <v>-3.005646</v>
      </c>
      <c r="V4163">
        <v>-3.3096059999999997E-2</v>
      </c>
      <c r="W4163">
        <v>4.3728530000000002E-2</v>
      </c>
      <c r="X4163">
        <v>0.99849509999999997</v>
      </c>
      <c r="Y4163">
        <v>-0.25798989999999999</v>
      </c>
      <c r="Z4163">
        <v>5.5535460000000002E-2</v>
      </c>
      <c r="AA4163">
        <v>0.96455009999999997</v>
      </c>
      <c r="AB4163">
        <v>20</v>
      </c>
      <c r="AC4163">
        <v>-3.7212000000000001</v>
      </c>
      <c r="AD4163">
        <v>-1.1127467580699999</v>
      </c>
      <c r="AE4163">
        <v>-15.5116</v>
      </c>
      <c r="AF4163">
        <v>-4.1634756295882198</v>
      </c>
      <c r="AG4163">
        <v>-1.1127467580699999</v>
      </c>
      <c r="AH4163">
        <v>15.3187493939195</v>
      </c>
      <c r="AI4163">
        <v>94.009683538681699</v>
      </c>
      <c r="AJ4163">
        <v>105.20509754925099</v>
      </c>
      <c r="AK4163">
        <v>15.913416278709001</v>
      </c>
      <c r="AL4163">
        <v>87.493740612997598</v>
      </c>
      <c r="AM4163">
        <v>91.898427511637394</v>
      </c>
      <c r="AN4163">
        <v>0.99999999912374704</v>
      </c>
    </row>
    <row r="4164" spans="1:40" x14ac:dyDescent="0.25">
      <c r="A4164" t="str">
        <f>"20190312154642139"</f>
        <v>20190312154642139</v>
      </c>
      <c r="B4164" t="str">
        <f>"1552376802132048"</f>
        <v>1552376802132048</v>
      </c>
      <c r="C4164" t="s">
        <v>40</v>
      </c>
      <c r="D4164">
        <v>4.7173559999999997</v>
      </c>
      <c r="E4164">
        <v>0.41201009999999999</v>
      </c>
      <c r="F4164" t="s">
        <v>42</v>
      </c>
      <c r="G4164">
        <v>-419.81760000000003</v>
      </c>
      <c r="H4164" s="1">
        <v>-2.149803E-6</v>
      </c>
      <c r="I4164">
        <v>104.11060000000001</v>
      </c>
      <c r="J4164">
        <v>-415.93680000000001</v>
      </c>
      <c r="K4164">
        <v>1.112749</v>
      </c>
      <c r="L4164">
        <v>120.6421</v>
      </c>
      <c r="M4164">
        <v>-0.47450759999999997</v>
      </c>
      <c r="N4164">
        <v>0</v>
      </c>
      <c r="O4164">
        <v>-0.88021609999999995</v>
      </c>
      <c r="P4164">
        <v>-0.4456619</v>
      </c>
      <c r="Q4164">
        <v>3.6701409999999997E-2</v>
      </c>
      <c r="R4164">
        <v>-0.89444880000000004</v>
      </c>
      <c r="S4164">
        <v>-0.71499630000000003</v>
      </c>
      <c r="T4164">
        <v>-0.2005123</v>
      </c>
      <c r="U4164">
        <v>-3.0103149999999999</v>
      </c>
      <c r="V4164">
        <v>-3.2515750000000003E-2</v>
      </c>
      <c r="W4164">
        <v>4.433401E-2</v>
      </c>
      <c r="X4164">
        <v>0.99848749999999997</v>
      </c>
      <c r="Y4164">
        <v>-0.25861479999999998</v>
      </c>
      <c r="Z4164">
        <v>5.289841E-2</v>
      </c>
      <c r="AA4164">
        <v>0.96453109999999997</v>
      </c>
      <c r="AB4164">
        <v>20</v>
      </c>
      <c r="AC4164">
        <v>-3.8808000000000198</v>
      </c>
      <c r="AD4164">
        <v>-1.1127511498030001</v>
      </c>
      <c r="AE4164">
        <v>-16.531499999999902</v>
      </c>
      <c r="AF4164">
        <v>-4.4095820892772597</v>
      </c>
      <c r="AG4164">
        <v>-1.1127511498030001</v>
      </c>
      <c r="AH4164">
        <v>16.323177287190699</v>
      </c>
      <c r="AI4164">
        <v>93.765260115082</v>
      </c>
      <c r="AJ4164">
        <v>105.117178747232</v>
      </c>
      <c r="AK4164">
        <v>16.944873740235401</v>
      </c>
      <c r="AL4164">
        <v>87.459015572063294</v>
      </c>
      <c r="AM4164">
        <v>91.8651781802469</v>
      </c>
      <c r="AN4164">
        <v>1.0000000330484899</v>
      </c>
    </row>
    <row r="4165" spans="1:40" x14ac:dyDescent="0.25">
      <c r="A4165" t="str">
        <f>"20190312154642162"</f>
        <v>20190312154642162</v>
      </c>
      <c r="B4165" t="str">
        <f>"1552376802151568"</f>
        <v>1552376802151568</v>
      </c>
      <c r="C4165" t="s">
        <v>40</v>
      </c>
      <c r="D4165">
        <v>4.7089369999999997</v>
      </c>
      <c r="E4165">
        <v>0.41242780000000001</v>
      </c>
      <c r="F4165" t="s">
        <v>42</v>
      </c>
      <c r="G4165">
        <v>-419.91699999999997</v>
      </c>
      <c r="H4165" s="1">
        <v>-1.8446080000000001E-6</v>
      </c>
      <c r="I4165">
        <v>103.50230000000001</v>
      </c>
      <c r="J4165">
        <v>-416.02609999999999</v>
      </c>
      <c r="K4165">
        <v>1.1127640000000001</v>
      </c>
      <c r="L4165">
        <v>120.46080000000001</v>
      </c>
      <c r="M4165">
        <v>-0.46866150000000001</v>
      </c>
      <c r="N4165">
        <v>0</v>
      </c>
      <c r="O4165">
        <v>-0.88334469999999998</v>
      </c>
      <c r="P4165">
        <v>-0.44076080000000001</v>
      </c>
      <c r="Q4165">
        <v>3.673191E-2</v>
      </c>
      <c r="R4165">
        <v>-0.89687260000000002</v>
      </c>
      <c r="S4165">
        <v>-0.6997681</v>
      </c>
      <c r="T4165">
        <v>-0.195635</v>
      </c>
      <c r="U4165">
        <v>-3.013382</v>
      </c>
      <c r="V4165">
        <v>-3.1360020000000002E-2</v>
      </c>
      <c r="W4165">
        <v>4.4113920000000001E-2</v>
      </c>
      <c r="X4165">
        <v>0.99853420000000004</v>
      </c>
      <c r="Y4165">
        <v>-0.25703559999999998</v>
      </c>
      <c r="Z4165">
        <v>5.1894940000000001E-2</v>
      </c>
      <c r="AA4165">
        <v>0.96500750000000002</v>
      </c>
      <c r="AB4165">
        <v>20</v>
      </c>
      <c r="AC4165">
        <v>-3.8908999999999798</v>
      </c>
      <c r="AD4165">
        <v>-1.11276584460799</v>
      </c>
      <c r="AE4165">
        <v>-16.958500000000001</v>
      </c>
      <c r="AF4165">
        <v>-4.4925464454670401</v>
      </c>
      <c r="AG4165">
        <v>-1.11276584460799</v>
      </c>
      <c r="AH4165">
        <v>16.7357541724054</v>
      </c>
      <c r="AI4165">
        <v>93.674308834957202</v>
      </c>
      <c r="AJ4165">
        <v>105.026236119526</v>
      </c>
      <c r="AK4165">
        <v>17.363947970112999</v>
      </c>
      <c r="AL4165">
        <v>87.471638112835393</v>
      </c>
      <c r="AM4165">
        <v>91.798843134051495</v>
      </c>
      <c r="AN4165">
        <v>1.0000000186808999</v>
      </c>
    </row>
    <row r="4166" spans="1:40" x14ac:dyDescent="0.25">
      <c r="A4166" t="str">
        <f>"20190312154642185"</f>
        <v>20190312154642185</v>
      </c>
      <c r="B4166" t="str">
        <f>"1552376802171614"</f>
        <v>1552376802171614</v>
      </c>
      <c r="C4166" t="s">
        <v>40</v>
      </c>
      <c r="D4166">
        <v>4.7113189999999996</v>
      </c>
      <c r="E4166">
        <v>0.41262969999999999</v>
      </c>
      <c r="F4166" t="s">
        <v>42</v>
      </c>
      <c r="G4166">
        <v>-419.91789999999997</v>
      </c>
      <c r="H4166" s="1">
        <v>-1.7749959999999901E-6</v>
      </c>
      <c r="I4166">
        <v>103.3554</v>
      </c>
      <c r="J4166">
        <v>-416.11380000000003</v>
      </c>
      <c r="K4166">
        <v>1.1127800000000001</v>
      </c>
      <c r="L4166">
        <v>120.2794</v>
      </c>
      <c r="M4166">
        <v>-0.46282760000000001</v>
      </c>
      <c r="N4166">
        <v>0</v>
      </c>
      <c r="O4166">
        <v>-0.88641719999999902</v>
      </c>
      <c r="P4166">
        <v>-0.43660270000000001</v>
      </c>
      <c r="Q4166">
        <v>3.5650729999999999E-2</v>
      </c>
      <c r="R4166">
        <v>-0.89894799999999997</v>
      </c>
      <c r="S4166">
        <v>-0.68615719999999902</v>
      </c>
      <c r="T4166">
        <v>-0.19618769999999999</v>
      </c>
      <c r="U4166">
        <v>-3.0157929999999999</v>
      </c>
      <c r="V4166">
        <v>-2.9412770000000001E-2</v>
      </c>
      <c r="W4166">
        <v>4.2835789999999999E-2</v>
      </c>
      <c r="X4166">
        <v>0.99864909999999996</v>
      </c>
      <c r="Y4166">
        <v>-0.25497399999999998</v>
      </c>
      <c r="Z4166">
        <v>5.2327020000000002E-2</v>
      </c>
      <c r="AA4166">
        <v>0.96553100000000003</v>
      </c>
      <c r="AB4166">
        <v>20</v>
      </c>
      <c r="AC4166">
        <v>-3.8040999999999401</v>
      </c>
      <c r="AD4166">
        <v>-1.1127817749959901</v>
      </c>
      <c r="AE4166">
        <v>-16.9239999999999</v>
      </c>
      <c r="AF4166">
        <v>-4.4427142929557597</v>
      </c>
      <c r="AG4166">
        <v>-1.1127817749959901</v>
      </c>
      <c r="AH4166">
        <v>16.694127124706199</v>
      </c>
      <c r="AI4166">
        <v>93.6856207452539</v>
      </c>
      <c r="AJ4166">
        <v>104.902405513525</v>
      </c>
      <c r="AK4166">
        <v>17.310975536446499</v>
      </c>
      <c r="AL4166">
        <v>87.544938879764402</v>
      </c>
      <c r="AM4166">
        <v>91.687019547636595</v>
      </c>
      <c r="AN4166">
        <v>1.0000000204374</v>
      </c>
    </row>
    <row r="4167" spans="1:40" x14ac:dyDescent="0.25">
      <c r="A4167" t="str">
        <f>"20190312154642211"</f>
        <v>20190312154642211</v>
      </c>
      <c r="B4167" t="str">
        <f>"1552376802201850"</f>
        <v>1552376802201850</v>
      </c>
      <c r="C4167" t="s">
        <v>40</v>
      </c>
      <c r="D4167">
        <v>4.7184330000000001</v>
      </c>
      <c r="E4167">
        <v>0.41286230000000002</v>
      </c>
      <c r="F4167" t="s">
        <v>42</v>
      </c>
      <c r="G4167">
        <v>-419.84690000000001</v>
      </c>
      <c r="H4167" s="1">
        <v>-1.8743040000000001E-6</v>
      </c>
      <c r="I4167">
        <v>103.53879999999999</v>
      </c>
      <c r="J4167">
        <v>-416.21719999999999</v>
      </c>
      <c r="K4167">
        <v>1.112806</v>
      </c>
      <c r="L4167">
        <v>120.0616</v>
      </c>
      <c r="M4167">
        <v>-0.45585530000000002</v>
      </c>
      <c r="N4167">
        <v>0</v>
      </c>
      <c r="O4167">
        <v>-0.890024699999999</v>
      </c>
      <c r="P4167">
        <v>-0.43090729999999999</v>
      </c>
      <c r="Q4167">
        <v>3.512643E-2</v>
      </c>
      <c r="R4167">
        <v>-0.90171290000000004</v>
      </c>
      <c r="S4167">
        <v>-0.67306519999999903</v>
      </c>
      <c r="T4167">
        <v>-0.20063410000000001</v>
      </c>
      <c r="U4167">
        <v>-3.0183110000000002</v>
      </c>
      <c r="V4167">
        <v>-2.7896420000000002E-2</v>
      </c>
      <c r="W4167">
        <v>4.2129279999999998E-2</v>
      </c>
      <c r="X4167">
        <v>0.99872260000000002</v>
      </c>
      <c r="Y4167">
        <v>-0.25155939999999999</v>
      </c>
      <c r="Z4167">
        <v>5.3860409999999997E-2</v>
      </c>
      <c r="AA4167">
        <v>0.96634200000000003</v>
      </c>
      <c r="AB4167">
        <v>20</v>
      </c>
      <c r="AC4167">
        <v>-3.6297000000000099</v>
      </c>
      <c r="AD4167">
        <v>-1.112807874304</v>
      </c>
      <c r="AE4167">
        <v>-16.5228</v>
      </c>
      <c r="AF4167">
        <v>-4.2830615285302001</v>
      </c>
      <c r="AG4167">
        <v>-1.112807874304</v>
      </c>
      <c r="AH4167">
        <v>16.2902524983535</v>
      </c>
      <c r="AI4167">
        <v>93.779806110777599</v>
      </c>
      <c r="AJ4167">
        <v>104.73090775902401</v>
      </c>
      <c r="AK4167">
        <v>16.880618587077901</v>
      </c>
      <c r="AL4167">
        <v>87.585455350832603</v>
      </c>
      <c r="AM4167">
        <v>91.599975454647804</v>
      </c>
      <c r="AN4167">
        <v>0.99999995911644601</v>
      </c>
    </row>
    <row r="4168" spans="1:40" x14ac:dyDescent="0.25">
      <c r="A4168" t="str">
        <f>"20190312154642251"</f>
        <v>20190312154642251</v>
      </c>
      <c r="B4168" t="str">
        <f>"1552376802241867"</f>
        <v>1552376802241867</v>
      </c>
      <c r="C4168" t="s">
        <v>40</v>
      </c>
      <c r="D4168">
        <v>4.7471430000000003</v>
      </c>
      <c r="E4168">
        <v>0.41166710000000001</v>
      </c>
      <c r="F4168" t="s">
        <v>42</v>
      </c>
      <c r="G4168">
        <v>-419.81259999999997</v>
      </c>
      <c r="H4168" s="1">
        <v>-1.8590130000000001E-6</v>
      </c>
      <c r="I4168">
        <v>103.4936</v>
      </c>
      <c r="J4168">
        <v>-416.3691</v>
      </c>
      <c r="K4168">
        <v>1.1128559999999901</v>
      </c>
      <c r="L4168">
        <v>119.73399999999999</v>
      </c>
      <c r="M4168">
        <v>-0.44540800000000003</v>
      </c>
      <c r="N4168">
        <v>0</v>
      </c>
      <c r="O4168">
        <v>-0.89529999999999998</v>
      </c>
      <c r="P4168">
        <v>-0.42080610000000002</v>
      </c>
      <c r="Q4168">
        <v>3.448267E-2</v>
      </c>
      <c r="R4168">
        <v>-0.9064953</v>
      </c>
      <c r="S4168">
        <v>-0.65570069999999903</v>
      </c>
      <c r="T4168">
        <v>-0.20294519999999999</v>
      </c>
      <c r="U4168">
        <v>-3.0215450000000001</v>
      </c>
      <c r="V4168">
        <v>-2.7373990000000001E-2</v>
      </c>
      <c r="W4168">
        <v>4.1298870000000001E-2</v>
      </c>
      <c r="X4168">
        <v>0.99877179999999999</v>
      </c>
      <c r="Y4168">
        <v>-0.24575710000000001</v>
      </c>
      <c r="Z4168">
        <v>5.5009759999999998E-2</v>
      </c>
      <c r="AA4168">
        <v>0.96776930000000005</v>
      </c>
      <c r="AB4168">
        <v>20</v>
      </c>
      <c r="AC4168">
        <v>-3.44349999999997</v>
      </c>
      <c r="AD4168">
        <v>-1.1128578590129901</v>
      </c>
      <c r="AE4168">
        <v>-16.240399999999902</v>
      </c>
      <c r="AF4168">
        <v>-4.1321734983211398</v>
      </c>
      <c r="AG4168">
        <v>-1.1128578590129901</v>
      </c>
      <c r="AH4168">
        <v>16.0022847414258</v>
      </c>
      <c r="AI4168">
        <v>93.852194967802703</v>
      </c>
      <c r="AJ4168">
        <v>104.478859369491</v>
      </c>
      <c r="AK4168">
        <v>16.564613710565801</v>
      </c>
      <c r="AL4168">
        <v>87.633075936512697</v>
      </c>
      <c r="AM4168">
        <v>91.569949764525305</v>
      </c>
      <c r="AN4168">
        <v>1.00000002023351</v>
      </c>
    </row>
    <row r="4169" spans="1:40" x14ac:dyDescent="0.25">
      <c r="A4169" t="str">
        <f>"20190312154642274"</f>
        <v>20190312154642274</v>
      </c>
      <c r="B4169" t="str">
        <f>"1552376802261386"</f>
        <v>1552376802261386</v>
      </c>
      <c r="C4169" t="s">
        <v>40</v>
      </c>
      <c r="D4169">
        <v>4.7482790000000001</v>
      </c>
      <c r="E4169">
        <v>0.41115049999999997</v>
      </c>
      <c r="F4169" t="s">
        <v>42</v>
      </c>
      <c r="G4169">
        <v>-419.57749999999999</v>
      </c>
      <c r="H4169" s="1">
        <v>-2.069338E-6</v>
      </c>
      <c r="I4169">
        <v>103.8503</v>
      </c>
      <c r="J4169">
        <v>-416.45460000000003</v>
      </c>
      <c r="K4169">
        <v>1.1128910000000001</v>
      </c>
      <c r="L4169">
        <v>119.54519999999999</v>
      </c>
      <c r="M4169">
        <v>-0.43942900000000001</v>
      </c>
      <c r="N4169">
        <v>0</v>
      </c>
      <c r="O4169">
        <v>-0.8982502</v>
      </c>
      <c r="P4169">
        <v>-0.41415879999999999</v>
      </c>
      <c r="Q4169">
        <v>3.5376629999999999E-2</v>
      </c>
      <c r="R4169">
        <v>-0.90951720000000003</v>
      </c>
      <c r="S4169">
        <v>-0.61267090000000002</v>
      </c>
      <c r="T4169">
        <v>-0.21250930000000001</v>
      </c>
      <c r="U4169">
        <v>-3.033112</v>
      </c>
      <c r="V4169">
        <v>-2.8020699999999999E-2</v>
      </c>
      <c r="W4169">
        <v>4.2144040000000001E-2</v>
      </c>
      <c r="X4169">
        <v>0.99871860000000001</v>
      </c>
      <c r="Y4169">
        <v>-0.25323509999999999</v>
      </c>
      <c r="Z4169">
        <v>5.7679609999999999E-2</v>
      </c>
      <c r="AA4169">
        <v>0.96568370000000003</v>
      </c>
      <c r="AB4169">
        <v>21</v>
      </c>
      <c r="AC4169">
        <v>-3.1228999999999498</v>
      </c>
      <c r="AD4169">
        <v>-1.1128930693379999</v>
      </c>
      <c r="AE4169">
        <v>-15.694899999999899</v>
      </c>
      <c r="AF4169">
        <v>-4.0720540569794297</v>
      </c>
      <c r="AG4169">
        <v>-1.1128930693379999</v>
      </c>
      <c r="AH4169">
        <v>15.396154043173</v>
      </c>
      <c r="AI4169">
        <v>93.997386573785406</v>
      </c>
      <c r="AJ4169">
        <v>104.814660243521</v>
      </c>
      <c r="AK4169">
        <v>15.964388950030401</v>
      </c>
      <c r="AL4169">
        <v>87.584609159232897</v>
      </c>
      <c r="AM4169">
        <v>91.607106131887406</v>
      </c>
      <c r="AN4169">
        <v>1.00000006086098</v>
      </c>
    </row>
    <row r="4170" spans="1:40" x14ac:dyDescent="0.25">
      <c r="A4170" t="str">
        <f>"20190312154642296"</f>
        <v>20190312154642296</v>
      </c>
      <c r="B4170" t="str">
        <f>"1552376802291643"</f>
        <v>1552376802291643</v>
      </c>
      <c r="C4170" t="s">
        <v>40</v>
      </c>
      <c r="D4170">
        <v>4.7355470000000004</v>
      </c>
      <c r="E4170">
        <v>0.4107209</v>
      </c>
      <c r="F4170" t="s">
        <v>42</v>
      </c>
      <c r="G4170">
        <v>-419.49889999999999</v>
      </c>
      <c r="H4170" s="1">
        <v>-2.0513059999999999E-6</v>
      </c>
      <c r="I4170">
        <v>103.78270000000001</v>
      </c>
      <c r="J4170">
        <v>-416.53829999999999</v>
      </c>
      <c r="K4170">
        <v>1.112916</v>
      </c>
      <c r="L4170">
        <v>119.3569</v>
      </c>
      <c r="M4170">
        <v>-0.43350440000000001</v>
      </c>
      <c r="N4170">
        <v>0</v>
      </c>
      <c r="O4170">
        <v>-0.90112429999999999</v>
      </c>
      <c r="P4170">
        <v>-0.40788580000000002</v>
      </c>
      <c r="Q4170">
        <v>3.5757079999999997E-2</v>
      </c>
      <c r="R4170">
        <v>-0.9123329</v>
      </c>
      <c r="S4170">
        <v>-0.58703609999999995</v>
      </c>
      <c r="T4170">
        <v>-0.21459700000000001</v>
      </c>
      <c r="U4170">
        <v>-3.039444</v>
      </c>
      <c r="V4170">
        <v>-2.8319779999999999E-2</v>
      </c>
      <c r="W4170">
        <v>4.252707E-2</v>
      </c>
      <c r="X4170">
        <v>0.99869390000000002</v>
      </c>
      <c r="Y4170">
        <v>-0.25510119999999997</v>
      </c>
      <c r="Z4170">
        <v>5.8442260000000003E-2</v>
      </c>
      <c r="AA4170">
        <v>0.96514650000000002</v>
      </c>
      <c r="AB4170">
        <v>21</v>
      </c>
      <c r="AC4170">
        <v>-2.9605999999999901</v>
      </c>
      <c r="AD4170">
        <v>-1.112918051306</v>
      </c>
      <c r="AE4170">
        <v>-15.5741999999999</v>
      </c>
      <c r="AF4170">
        <v>-4.0636884274429601</v>
      </c>
      <c r="AG4170">
        <v>-1.112918051306</v>
      </c>
      <c r="AH4170">
        <v>15.242975890553501</v>
      </c>
      <c r="AI4170">
        <v>94.035410190041503</v>
      </c>
      <c r="AJ4170">
        <v>104.927538847715</v>
      </c>
      <c r="AK4170">
        <v>15.8145649394554</v>
      </c>
      <c r="AL4170">
        <v>87.562643398536693</v>
      </c>
      <c r="AM4170">
        <v>91.624290649643299</v>
      </c>
      <c r="AN4170">
        <v>1.00000003375962</v>
      </c>
    </row>
    <row r="4171" spans="1:40" x14ac:dyDescent="0.25">
      <c r="A4171" t="str">
        <f>"20190312154642318"</f>
        <v>20190312154642318</v>
      </c>
      <c r="B4171" t="str">
        <f>"1552376802312138"</f>
        <v>1552376802312138</v>
      </c>
      <c r="C4171" t="s">
        <v>40</v>
      </c>
      <c r="D4171">
        <v>4.698143</v>
      </c>
      <c r="E4171">
        <v>0.41046270000000001</v>
      </c>
      <c r="F4171" t="s">
        <v>42</v>
      </c>
      <c r="G4171">
        <v>-419.4264</v>
      </c>
      <c r="H4171" s="1">
        <v>-2.0382529999999998E-6</v>
      </c>
      <c r="I4171">
        <v>103.72790000000001</v>
      </c>
      <c r="J4171">
        <v>-416.61930000000001</v>
      </c>
      <c r="K4171">
        <v>1.112938</v>
      </c>
      <c r="L4171">
        <v>119.1718</v>
      </c>
      <c r="M4171">
        <v>-0.42772450000000001</v>
      </c>
      <c r="N4171">
        <v>0</v>
      </c>
      <c r="O4171">
        <v>-0.90388139999999995</v>
      </c>
      <c r="P4171">
        <v>-0.40146219999999999</v>
      </c>
      <c r="Q4171">
        <v>3.5610019999999999E-2</v>
      </c>
      <c r="R4171">
        <v>-0.91518319999999997</v>
      </c>
      <c r="S4171">
        <v>-0.56271359999999904</v>
      </c>
      <c r="T4171">
        <v>-0.21684310000000001</v>
      </c>
      <c r="U4171">
        <v>-3.0451969999999999</v>
      </c>
      <c r="V4171">
        <v>-2.894706E-2</v>
      </c>
      <c r="W4171">
        <v>4.2437040000000002E-2</v>
      </c>
      <c r="X4171">
        <v>0.99867969999999895</v>
      </c>
      <c r="Y4171">
        <v>-0.25669920000000002</v>
      </c>
      <c r="Z4171">
        <v>5.924919E-2</v>
      </c>
      <c r="AA4171">
        <v>0.96467349999999996</v>
      </c>
      <c r="AB4171">
        <v>21</v>
      </c>
      <c r="AC4171">
        <v>-2.8070999999999899</v>
      </c>
      <c r="AD4171">
        <v>-1.1129400382529999</v>
      </c>
      <c r="AE4171">
        <v>-15.443899999999999</v>
      </c>
      <c r="AF4171">
        <v>-4.0482004548122097</v>
      </c>
      <c r="AG4171">
        <v>-1.1129400382529999</v>
      </c>
      <c r="AH4171">
        <v>15.084668219161999</v>
      </c>
      <c r="AI4171">
        <v>94.075902155304107</v>
      </c>
      <c r="AJ4171">
        <v>105.022238088724</v>
      </c>
      <c r="AK4171">
        <v>15.6580259845641</v>
      </c>
      <c r="AL4171">
        <v>87.5678062892691</v>
      </c>
      <c r="AM4171">
        <v>91.660272183700499</v>
      </c>
      <c r="AN4171">
        <v>0.99999998891934705</v>
      </c>
    </row>
    <row r="4172" spans="1:40" x14ac:dyDescent="0.25">
      <c r="A4172" t="str">
        <f>"20190312154642341"</f>
        <v>20190312154642341</v>
      </c>
      <c r="B4172" t="str">
        <f>"1552376802331659"</f>
        <v>1552376802331659</v>
      </c>
      <c r="C4172" t="s">
        <v>40</v>
      </c>
      <c r="D4172">
        <v>4.7295439999999997</v>
      </c>
      <c r="E4172">
        <v>0.41036869999999998</v>
      </c>
      <c r="F4172" t="s">
        <v>42</v>
      </c>
      <c r="G4172">
        <v>-419.35899999999998</v>
      </c>
      <c r="H4172" s="1">
        <v>-2.0184410000000001E-6</v>
      </c>
      <c r="I4172">
        <v>103.66070000000001</v>
      </c>
      <c r="J4172">
        <v>-416.70460000000003</v>
      </c>
      <c r="K4172">
        <v>1.112957</v>
      </c>
      <c r="L4172">
        <v>118.9734</v>
      </c>
      <c r="M4172">
        <v>-0.42158820000000002</v>
      </c>
      <c r="N4172">
        <v>0</v>
      </c>
      <c r="O4172">
        <v>-0.90675879999999998</v>
      </c>
      <c r="P4172">
        <v>-0.39490720000000001</v>
      </c>
      <c r="Q4172">
        <v>3.5434010000000002E-2</v>
      </c>
      <c r="R4172">
        <v>-0.91803760000000001</v>
      </c>
      <c r="S4172">
        <v>-0.53875729999999999</v>
      </c>
      <c r="T4172">
        <v>-0.21885789999999999</v>
      </c>
      <c r="U4172">
        <v>-3.0502319999999998</v>
      </c>
      <c r="V4172">
        <v>-2.932191E-2</v>
      </c>
      <c r="W4172">
        <v>4.2376999999999998E-2</v>
      </c>
      <c r="X4172">
        <v>0.99867139999999999</v>
      </c>
      <c r="Y4172">
        <v>-0.25777739999999999</v>
      </c>
      <c r="Z4172">
        <v>6.0025929999999998E-2</v>
      </c>
      <c r="AA4172">
        <v>0.96433789999999997</v>
      </c>
      <c r="AB4172">
        <v>21</v>
      </c>
      <c r="AC4172">
        <v>-2.6543999999999999</v>
      </c>
      <c r="AD4172">
        <v>-1.1129590184410001</v>
      </c>
      <c r="AE4172">
        <v>-15.3126999999999</v>
      </c>
      <c r="AF4172">
        <v>-4.0281991441699603</v>
      </c>
      <c r="AG4172">
        <v>-1.1129590184410001</v>
      </c>
      <c r="AH4172">
        <v>14.927819841725301</v>
      </c>
      <c r="AI4172">
        <v>94.117127611506604</v>
      </c>
      <c r="AJ4172">
        <v>105.101303098364</v>
      </c>
      <c r="AK4172">
        <v>15.501769942455899</v>
      </c>
      <c r="AL4172">
        <v>87.571249634138994</v>
      </c>
      <c r="AM4172">
        <v>91.681773582366901</v>
      </c>
      <c r="AN4172">
        <v>1.0000000748565001</v>
      </c>
    </row>
    <row r="4173" spans="1:40" x14ac:dyDescent="0.25">
      <c r="A4173" t="str">
        <f>"20190312154642362"</f>
        <v>20190312154642362</v>
      </c>
      <c r="B4173" t="str">
        <f>"1552376802352154"</f>
        <v>1552376802352154</v>
      </c>
      <c r="C4173" t="s">
        <v>40</v>
      </c>
      <c r="D4173">
        <v>4.6939640000000002</v>
      </c>
      <c r="E4173">
        <v>0.41030820000000001</v>
      </c>
      <c r="F4173" t="s">
        <v>42</v>
      </c>
      <c r="G4173">
        <v>-419.30799999999999</v>
      </c>
      <c r="H4173" s="1">
        <v>-1.9824490000000002E-6</v>
      </c>
      <c r="I4173">
        <v>103.5654</v>
      </c>
      <c r="J4173">
        <v>-416.78199999999998</v>
      </c>
      <c r="K4173">
        <v>1.1129639999999901</v>
      </c>
      <c r="L4173">
        <v>118.79040000000001</v>
      </c>
      <c r="M4173">
        <v>-0.4159813</v>
      </c>
      <c r="N4173">
        <v>0</v>
      </c>
      <c r="O4173">
        <v>-0.90934349999999997</v>
      </c>
      <c r="P4173">
        <v>-0.38921070000000002</v>
      </c>
      <c r="Q4173">
        <v>3.3980879999999998E-2</v>
      </c>
      <c r="R4173">
        <v>-0.9205217</v>
      </c>
      <c r="S4173">
        <v>-0.51608279999999995</v>
      </c>
      <c r="T4173">
        <v>-0.22062390000000001</v>
      </c>
      <c r="U4173">
        <v>-3.0543520000000002</v>
      </c>
      <c r="V4173">
        <v>-2.935401E-2</v>
      </c>
      <c r="W4173">
        <v>4.1059699999999998E-2</v>
      </c>
      <c r="X4173">
        <v>0.99872539999999999</v>
      </c>
      <c r="Y4173">
        <v>-0.2589921</v>
      </c>
      <c r="Z4173">
        <v>6.0720830000000003E-2</v>
      </c>
      <c r="AA4173">
        <v>0.96396890000000002</v>
      </c>
      <c r="AB4173">
        <v>21</v>
      </c>
      <c r="AC4173">
        <v>-2.5260000000000602</v>
      </c>
      <c r="AD4173">
        <v>-1.1129659824489999</v>
      </c>
      <c r="AE4173">
        <v>-15.225</v>
      </c>
      <c r="AF4173">
        <v>-4.0155391685120501</v>
      </c>
      <c r="AG4173">
        <v>-1.1129659824489999</v>
      </c>
      <c r="AH4173">
        <v>14.8188580008558</v>
      </c>
      <c r="AI4173">
        <v>94.146144664728396</v>
      </c>
      <c r="AJ4173">
        <v>105.16162682532099</v>
      </c>
      <c r="AK4173">
        <v>15.3935636076079</v>
      </c>
      <c r="AL4173">
        <v>87.646790931883004</v>
      </c>
      <c r="AM4173">
        <v>91.683522656936802</v>
      </c>
      <c r="AN4173">
        <v>0.99999999073616497</v>
      </c>
    </row>
    <row r="4174" spans="1:40" x14ac:dyDescent="0.25">
      <c r="A4174" t="str">
        <f>"20190312154642385"</f>
        <v>20190312154642385</v>
      </c>
      <c r="B4174" t="str">
        <f>"1552376802381435"</f>
        <v>1552376802381435</v>
      </c>
      <c r="C4174" t="s">
        <v>40</v>
      </c>
      <c r="D4174">
        <v>4.7129890000000003</v>
      </c>
      <c r="E4174">
        <v>0.41033439999999999</v>
      </c>
      <c r="F4174" t="s">
        <v>42</v>
      </c>
      <c r="G4174">
        <v>-419.22809999999998</v>
      </c>
      <c r="H4174" s="1">
        <v>-2.0668409999999999E-6</v>
      </c>
      <c r="I4174">
        <v>103.7139</v>
      </c>
      <c r="J4174">
        <v>-416.86040000000003</v>
      </c>
      <c r="K4174">
        <v>1.1129610000000001</v>
      </c>
      <c r="L4174">
        <v>118.6015</v>
      </c>
      <c r="M4174">
        <v>-0.41025159999999999</v>
      </c>
      <c r="N4174">
        <v>0</v>
      </c>
      <c r="O4174">
        <v>-0.91194180000000002</v>
      </c>
      <c r="P4174">
        <v>-0.38365379999999999</v>
      </c>
      <c r="Q4174">
        <v>3.1660500000000001E-2</v>
      </c>
      <c r="R4174">
        <v>-0.92293440000000004</v>
      </c>
      <c r="S4174">
        <v>-0.49609379999999997</v>
      </c>
      <c r="T4174">
        <v>-0.22571620000000001</v>
      </c>
      <c r="U4174">
        <v>-3.0576020000000002</v>
      </c>
      <c r="V4174">
        <v>-2.910507E-2</v>
      </c>
      <c r="W4174">
        <v>3.8901829999999998E-2</v>
      </c>
      <c r="X4174">
        <v>0.99881909999999896</v>
      </c>
      <c r="Y4174">
        <v>-0.25923309999999999</v>
      </c>
      <c r="Z4174">
        <v>6.2356370000000001E-2</v>
      </c>
      <c r="AA4174">
        <v>0.96379970000000004</v>
      </c>
      <c r="AB4174">
        <v>21</v>
      </c>
      <c r="AC4174">
        <v>-2.36769999999995</v>
      </c>
      <c r="AD4174">
        <v>-1.112963066841</v>
      </c>
      <c r="AE4174">
        <v>-14.887600000000001</v>
      </c>
      <c r="AF4174">
        <v>-3.9271608881091198</v>
      </c>
      <c r="AG4174">
        <v>-1.112963066841</v>
      </c>
      <c r="AH4174">
        <v>14.4695120959114</v>
      </c>
      <c r="AI4174">
        <v>94.245410392965297</v>
      </c>
      <c r="AJ4174">
        <v>105.184811576673</v>
      </c>
      <c r="AK4174">
        <v>15.0342296019109</v>
      </c>
      <c r="AL4174">
        <v>87.770526812584194</v>
      </c>
      <c r="AM4174">
        <v>91.669096959428501</v>
      </c>
      <c r="AN4174">
        <v>1.0000000260009301</v>
      </c>
    </row>
    <row r="4175" spans="1:40" x14ac:dyDescent="0.25">
      <c r="A4175" t="str">
        <f>"20190312154642409"</f>
        <v>20190312154642409</v>
      </c>
      <c r="B4175" t="str">
        <f>"1552376802401931"</f>
        <v>1552376802401931</v>
      </c>
      <c r="C4175" t="s">
        <v>40</v>
      </c>
      <c r="D4175">
        <v>4.7197259999999996</v>
      </c>
      <c r="E4175">
        <v>0.41041420000000001</v>
      </c>
      <c r="F4175" t="s">
        <v>42</v>
      </c>
      <c r="G4175">
        <v>-419.1293</v>
      </c>
      <c r="H4175" s="1">
        <v>-2.2449919999999999E-6</v>
      </c>
      <c r="I4175">
        <v>104.05370000000001</v>
      </c>
      <c r="J4175">
        <v>-416.94380000000001</v>
      </c>
      <c r="K4175">
        <v>1.1129560000000001</v>
      </c>
      <c r="L4175">
        <v>118.39700000000001</v>
      </c>
      <c r="M4175">
        <v>-0.40411370000000002</v>
      </c>
      <c r="N4175">
        <v>0</v>
      </c>
      <c r="O4175">
        <v>-0.9146765</v>
      </c>
      <c r="P4175">
        <v>-0.3780965</v>
      </c>
      <c r="Q4175">
        <v>2.9201089999999999E-2</v>
      </c>
      <c r="R4175">
        <v>-0.92530570000000001</v>
      </c>
      <c r="S4175">
        <v>-0.47726439999999998</v>
      </c>
      <c r="T4175">
        <v>-0.23411370000000001</v>
      </c>
      <c r="U4175">
        <v>-3.0601500000000001</v>
      </c>
      <c r="V4175">
        <v>-2.8411180000000001E-2</v>
      </c>
      <c r="W4175">
        <v>3.6640850000000003E-2</v>
      </c>
      <c r="X4175">
        <v>0.99892460000000005</v>
      </c>
      <c r="Y4175">
        <v>-0.2586791</v>
      </c>
      <c r="Z4175">
        <v>6.4949080000000006E-2</v>
      </c>
      <c r="AA4175">
        <v>0.96377729999999995</v>
      </c>
      <c r="AB4175">
        <v>21</v>
      </c>
      <c r="AC4175">
        <v>-2.18549999999999</v>
      </c>
      <c r="AD4175">
        <v>-1.1129582449919999</v>
      </c>
      <c r="AE4175">
        <v>-14.343299999999999</v>
      </c>
      <c r="AF4175">
        <v>-3.77519636271668</v>
      </c>
      <c r="AG4175">
        <v>-1.1129582449919999</v>
      </c>
      <c r="AH4175">
        <v>13.921167380260201</v>
      </c>
      <c r="AI4175">
        <v>94.412217551137402</v>
      </c>
      <c r="AJ4175">
        <v>105.172779364034</v>
      </c>
      <c r="AK4175">
        <v>14.4668477859341</v>
      </c>
      <c r="AL4175">
        <v>87.9001640106286</v>
      </c>
      <c r="AM4175">
        <v>91.629153971486204</v>
      </c>
      <c r="AN4175">
        <v>1.00000005176143</v>
      </c>
    </row>
    <row r="4176" spans="1:40" x14ac:dyDescent="0.25">
      <c r="A4176" t="str">
        <f>"20190312154642434"</f>
        <v>20190312154642434</v>
      </c>
      <c r="B4176" t="str">
        <f>"1552376802421451"</f>
        <v>1552376802421451</v>
      </c>
      <c r="C4176" t="s">
        <v>40</v>
      </c>
      <c r="D4176">
        <v>4.6806199999999896</v>
      </c>
      <c r="E4176">
        <v>0.41054679999999999</v>
      </c>
      <c r="F4176" t="s">
        <v>42</v>
      </c>
      <c r="G4176">
        <v>-419.04939999999999</v>
      </c>
      <c r="H4176" s="1">
        <v>-2.3924600000000001E-6</v>
      </c>
      <c r="I4176">
        <v>104.3357</v>
      </c>
      <c r="J4176">
        <v>-417.03120000000001</v>
      </c>
      <c r="K4176">
        <v>1.1129579999999999</v>
      </c>
      <c r="L4176">
        <v>118.1788</v>
      </c>
      <c r="M4176">
        <v>-0.39762019999999998</v>
      </c>
      <c r="N4176">
        <v>0</v>
      </c>
      <c r="O4176">
        <v>-0.91751629999999995</v>
      </c>
      <c r="P4176">
        <v>-0.37344680000000002</v>
      </c>
      <c r="Q4176">
        <v>2.6299469999999998E-2</v>
      </c>
      <c r="R4176">
        <v>-0.92727890000000002</v>
      </c>
      <c r="S4176">
        <v>-0.45858759999999998</v>
      </c>
      <c r="T4176">
        <v>-0.24239740000000001</v>
      </c>
      <c r="U4176">
        <v>-3.0624850000000001</v>
      </c>
      <c r="V4176">
        <v>-2.6355409999999999E-2</v>
      </c>
      <c r="W4176">
        <v>3.3968890000000002E-2</v>
      </c>
      <c r="X4176">
        <v>0.99907539999999995</v>
      </c>
      <c r="Y4176">
        <v>-0.25771339999999998</v>
      </c>
      <c r="Z4176">
        <v>6.7549109999999996E-2</v>
      </c>
      <c r="AA4176">
        <v>0.96385730000000003</v>
      </c>
      <c r="AB4176">
        <v>21</v>
      </c>
      <c r="AC4176">
        <v>-2.0181999999999798</v>
      </c>
      <c r="AD4176">
        <v>-1.11296039245999</v>
      </c>
      <c r="AE4176">
        <v>-13.8430999999999</v>
      </c>
      <c r="AF4176">
        <v>-3.6297044203708801</v>
      </c>
      <c r="AG4176">
        <v>-1.11296039245999</v>
      </c>
      <c r="AH4176">
        <v>13.4192308337814</v>
      </c>
      <c r="AI4176">
        <v>94.577376994969001</v>
      </c>
      <c r="AJ4176">
        <v>105.135487272039</v>
      </c>
      <c r="AK4176">
        <v>13.945938160796301</v>
      </c>
      <c r="AL4176">
        <v>88.053351621659203</v>
      </c>
      <c r="AM4176">
        <v>91.511100791249007</v>
      </c>
      <c r="AN4176">
        <v>1.00000007400462</v>
      </c>
    </row>
    <row r="4177" spans="1:40" x14ac:dyDescent="0.25">
      <c r="A4177" t="str">
        <f>"20190312154642460"</f>
        <v>20190312154642460</v>
      </c>
      <c r="B4177" t="str">
        <f>"1552376802451707"</f>
        <v>1552376802451707</v>
      </c>
      <c r="C4177" t="s">
        <v>40</v>
      </c>
      <c r="D4177">
        <v>4.6585489999999998</v>
      </c>
      <c r="E4177">
        <v>0.41052880000000003</v>
      </c>
      <c r="F4177" t="s">
        <v>42</v>
      </c>
      <c r="G4177">
        <v>-418.99220000000003</v>
      </c>
      <c r="H4177" s="1">
        <v>-2.5396729999999999E-6</v>
      </c>
      <c r="I4177">
        <v>104.62569999999999</v>
      </c>
      <c r="J4177">
        <v>-417.12130000000002</v>
      </c>
      <c r="K4177">
        <v>1.1129690000000001</v>
      </c>
      <c r="L4177">
        <v>117.9494</v>
      </c>
      <c r="M4177">
        <v>-0.39084029999999997</v>
      </c>
      <c r="N4177">
        <v>0</v>
      </c>
      <c r="O4177">
        <v>-0.92042270000000004</v>
      </c>
      <c r="P4177">
        <v>-0.36895270000000002</v>
      </c>
      <c r="Q4177">
        <v>2.421982E-2</v>
      </c>
      <c r="R4177">
        <v>-0.92913290000000004</v>
      </c>
      <c r="S4177">
        <v>-0.44332890000000003</v>
      </c>
      <c r="T4177">
        <v>-0.25159989999999999</v>
      </c>
      <c r="U4177">
        <v>-3.0638730000000001</v>
      </c>
      <c r="V4177">
        <v>-2.382805E-2</v>
      </c>
      <c r="W4177">
        <v>3.2148370000000002E-2</v>
      </c>
      <c r="X4177">
        <v>0.99919899999999995</v>
      </c>
      <c r="Y4177">
        <v>-0.25537599999999999</v>
      </c>
      <c r="Z4177">
        <v>7.0463159999999997E-2</v>
      </c>
      <c r="AA4177">
        <v>0.96427070000000004</v>
      </c>
      <c r="AB4177">
        <v>21</v>
      </c>
      <c r="AC4177">
        <v>-1.8709</v>
      </c>
      <c r="AD4177">
        <v>-1.112971539673</v>
      </c>
      <c r="AE4177">
        <v>-13.323700000000001</v>
      </c>
      <c r="AF4177">
        <v>-3.4618459721754</v>
      </c>
      <c r="AG4177">
        <v>-1.112971539673</v>
      </c>
      <c r="AH4177">
        <v>12.9067679358131</v>
      </c>
      <c r="AI4177">
        <v>94.761046344121894</v>
      </c>
      <c r="AJ4177">
        <v>105.01444543783499</v>
      </c>
      <c r="AK4177">
        <v>13.4092409081246</v>
      </c>
      <c r="AL4177">
        <v>88.157716589405396</v>
      </c>
      <c r="AM4177">
        <v>91.3660822199693</v>
      </c>
      <c r="AN4177">
        <v>0.99999996763072896</v>
      </c>
    </row>
    <row r="4178" spans="1:40" x14ac:dyDescent="0.25">
      <c r="A4178" t="str">
        <f>"20190312154642497"</f>
        <v>20190312154642497</v>
      </c>
      <c r="B4178" t="str">
        <f>"1552376802491723"</f>
        <v>1552376802491723</v>
      </c>
      <c r="C4178" t="s">
        <v>40</v>
      </c>
      <c r="D4178">
        <v>4.7259449999999896</v>
      </c>
      <c r="E4178">
        <v>0.41024119999999997</v>
      </c>
      <c r="F4178" t="s">
        <v>42</v>
      </c>
      <c r="G4178">
        <v>-418.97309999999999</v>
      </c>
      <c r="H4178" s="1">
        <v>-2.566265E-6</v>
      </c>
      <c r="I4178">
        <v>104.6748</v>
      </c>
      <c r="J4178">
        <v>-417.24560000000002</v>
      </c>
      <c r="K4178">
        <v>1.1129899999999999</v>
      </c>
      <c r="L4178">
        <v>117.62430000000001</v>
      </c>
      <c r="M4178">
        <v>-0.38131660000000001</v>
      </c>
      <c r="N4178">
        <v>0</v>
      </c>
      <c r="O4178">
        <v>-0.92440529999999999</v>
      </c>
      <c r="P4178">
        <v>-0.36446139999999999</v>
      </c>
      <c r="Q4178">
        <v>2.1607769999999998E-2</v>
      </c>
      <c r="R4178">
        <v>-0.93096769999999995</v>
      </c>
      <c r="S4178">
        <v>-0.42767329999999998</v>
      </c>
      <c r="T4178">
        <v>-0.2570347</v>
      </c>
      <c r="U4178">
        <v>-3.0656889999999999</v>
      </c>
      <c r="V4178">
        <v>-1.8342109999999998E-2</v>
      </c>
      <c r="W4178">
        <v>2.9951209999999999E-2</v>
      </c>
      <c r="X4178">
        <v>0.99938300000000002</v>
      </c>
      <c r="Y4178">
        <v>-0.25031920000000002</v>
      </c>
      <c r="Z4178">
        <v>7.2500179999999997E-2</v>
      </c>
      <c r="AA4178">
        <v>0.965445</v>
      </c>
      <c r="AB4178">
        <v>21</v>
      </c>
      <c r="AC4178">
        <v>-1.7274999999999601</v>
      </c>
      <c r="AD4178">
        <v>-1.112992566265</v>
      </c>
      <c r="AE4178">
        <v>-12.9495</v>
      </c>
      <c r="AF4178">
        <v>-3.3169954671150301</v>
      </c>
      <c r="AG4178">
        <v>-1.112992566265</v>
      </c>
      <c r="AH4178">
        <v>12.5387621649332</v>
      </c>
      <c r="AI4178">
        <v>94.904667415479395</v>
      </c>
      <c r="AJ4178">
        <v>104.817560550199</v>
      </c>
      <c r="AK4178">
        <v>13.017748192762999</v>
      </c>
      <c r="AL4178">
        <v>88.283665301394905</v>
      </c>
      <c r="AM4178">
        <v>91.051456261815105</v>
      </c>
      <c r="AN4178">
        <v>0.99999994433435602</v>
      </c>
    </row>
    <row r="4179" spans="1:40" x14ac:dyDescent="0.25">
      <c r="A4179" t="str">
        <f>"20190312154642521"</f>
        <v>20190312154642521</v>
      </c>
      <c r="B4179" t="str">
        <f>"1552376802512218"</f>
        <v>1552376802512218</v>
      </c>
      <c r="C4179" t="s">
        <v>40</v>
      </c>
      <c r="D4179">
        <v>4.7181639999999998</v>
      </c>
      <c r="E4179">
        <v>0.41004689999999999</v>
      </c>
      <c r="F4179" t="s">
        <v>42</v>
      </c>
      <c r="G4179">
        <v>-418.96820000000002</v>
      </c>
      <c r="H4179" s="1">
        <v>-2.576692E-6</v>
      </c>
      <c r="I4179">
        <v>104.69499999999999</v>
      </c>
      <c r="J4179">
        <v>-417.32569999999998</v>
      </c>
      <c r="K4179">
        <v>1.1130139999999999</v>
      </c>
      <c r="L4179">
        <v>117.40949999999999</v>
      </c>
      <c r="M4179">
        <v>-0.37504880000000002</v>
      </c>
      <c r="N4179">
        <v>0</v>
      </c>
      <c r="O4179">
        <v>-0.92696400000000001</v>
      </c>
      <c r="P4179">
        <v>-0.36070419999999997</v>
      </c>
      <c r="Q4179">
        <v>2.090564E-2</v>
      </c>
      <c r="R4179">
        <v>-0.93244579999999999</v>
      </c>
      <c r="S4179">
        <v>-0.4088135</v>
      </c>
      <c r="T4179">
        <v>-0.26414690000000002</v>
      </c>
      <c r="U4179">
        <v>-3.0685120000000001</v>
      </c>
      <c r="V4179">
        <v>-1.560785E-2</v>
      </c>
      <c r="W4179">
        <v>2.9506040000000001E-2</v>
      </c>
      <c r="X4179">
        <v>0.99944279999999996</v>
      </c>
      <c r="Y4179">
        <v>-0.24973319999999999</v>
      </c>
      <c r="Z4179">
        <v>7.4781520000000004E-2</v>
      </c>
      <c r="AA4179">
        <v>0.96542269999999997</v>
      </c>
      <c r="AB4179">
        <v>21</v>
      </c>
      <c r="AC4179">
        <v>-1.64250000000004</v>
      </c>
      <c r="AD4179">
        <v>-1.1130165766919999</v>
      </c>
      <c r="AE4179">
        <v>-12.714499999999999</v>
      </c>
      <c r="AF4179">
        <v>-3.2218590037705099</v>
      </c>
      <c r="AG4179">
        <v>-1.1130165766919999</v>
      </c>
      <c r="AH4179">
        <v>12.309592284072201</v>
      </c>
      <c r="AI4179">
        <v>94.999058426198999</v>
      </c>
      <c r="AJ4179">
        <v>104.66732475182199</v>
      </c>
      <c r="AK4179">
        <v>12.7728322442698</v>
      </c>
      <c r="AL4179">
        <v>88.309183141009498</v>
      </c>
      <c r="AM4179">
        <v>90.894689767340196</v>
      </c>
      <c r="AN4179">
        <v>1.00000006092497</v>
      </c>
    </row>
    <row r="4180" spans="1:40" x14ac:dyDescent="0.25">
      <c r="A4180" t="str">
        <f>"20190312154642545"</f>
        <v>20190312154642545</v>
      </c>
      <c r="B4180" t="str">
        <f>"1552376802541500"</f>
        <v>1552376802541500</v>
      </c>
      <c r="C4180" t="s">
        <v>40</v>
      </c>
      <c r="D4180">
        <v>4.7165710000000001</v>
      </c>
      <c r="E4180">
        <v>0.4098194</v>
      </c>
      <c r="F4180" t="s">
        <v>42</v>
      </c>
      <c r="G4180">
        <v>-418.97770000000003</v>
      </c>
      <c r="H4180" s="1">
        <v>-2.5040859999999999E-6</v>
      </c>
      <c r="I4180">
        <v>104.545</v>
      </c>
      <c r="J4180">
        <v>-417.39909999999998</v>
      </c>
      <c r="K4180">
        <v>1.1130359999999999</v>
      </c>
      <c r="L4180">
        <v>117.20869999999999</v>
      </c>
      <c r="M4180">
        <v>-0.36919800000000003</v>
      </c>
      <c r="N4180">
        <v>0</v>
      </c>
      <c r="O4180">
        <v>-0.92930809999999997</v>
      </c>
      <c r="P4180">
        <v>-0.35725610000000002</v>
      </c>
      <c r="Q4180">
        <v>2.1330100000000001E-2</v>
      </c>
      <c r="R4180">
        <v>-0.93376329999999996</v>
      </c>
      <c r="S4180">
        <v>-0.39431759999999999</v>
      </c>
      <c r="T4180">
        <v>-0.26567380000000002</v>
      </c>
      <c r="U4180">
        <v>-3.0707399999999998</v>
      </c>
      <c r="V4180">
        <v>-1.300261E-2</v>
      </c>
      <c r="W4180">
        <v>3.0154730000000001E-2</v>
      </c>
      <c r="X4180">
        <v>0.99946060000000003</v>
      </c>
      <c r="Y4180">
        <v>-0.24820809999999999</v>
      </c>
      <c r="Z4180">
        <v>7.5491669999999997E-2</v>
      </c>
      <c r="AA4180">
        <v>0.96576070000000003</v>
      </c>
      <c r="AB4180">
        <v>21</v>
      </c>
      <c r="AC4180">
        <v>-1.57860000000005</v>
      </c>
      <c r="AD4180">
        <v>-1.113038504086</v>
      </c>
      <c r="AE4180">
        <v>-12.663699999999899</v>
      </c>
      <c r="AF4180">
        <v>-3.1843117013688</v>
      </c>
      <c r="AG4180">
        <v>-1.113038504086</v>
      </c>
      <c r="AH4180">
        <v>12.2585363063735</v>
      </c>
      <c r="AI4180">
        <v>95.022277519747504</v>
      </c>
      <c r="AJ4180">
        <v>104.561485393615</v>
      </c>
      <c r="AK4180">
        <v>12.714181377411901</v>
      </c>
      <c r="AL4180">
        <v>88.271999175077895</v>
      </c>
      <c r="AM4180">
        <v>90.745354694027398</v>
      </c>
      <c r="AN4180">
        <v>0.99999993328027004</v>
      </c>
    </row>
    <row r="4181" spans="1:40" x14ac:dyDescent="0.25">
      <c r="A4181" t="str">
        <f>"20190312154642567"</f>
        <v>20190312154642567</v>
      </c>
      <c r="B4181" t="str">
        <f>"1552376802561996"</f>
        <v>1552376802561996</v>
      </c>
      <c r="C4181" t="s">
        <v>40</v>
      </c>
      <c r="D4181">
        <v>4.6730710000000002</v>
      </c>
      <c r="E4181">
        <v>0.4097325</v>
      </c>
      <c r="F4181" t="s">
        <v>42</v>
      </c>
      <c r="G4181">
        <v>-419.00310000000002</v>
      </c>
      <c r="H4181" s="1">
        <v>-2.370921E-6</v>
      </c>
      <c r="I4181">
        <v>104.2728</v>
      </c>
      <c r="J4181">
        <v>-417.47269999999997</v>
      </c>
      <c r="K4181">
        <v>1.113056</v>
      </c>
      <c r="L4181">
        <v>117.0031</v>
      </c>
      <c r="M4181">
        <v>-0.3632263</v>
      </c>
      <c r="N4181">
        <v>0</v>
      </c>
      <c r="O4181">
        <v>-0.93165620000000005</v>
      </c>
      <c r="P4181">
        <v>-0.35291729999999999</v>
      </c>
      <c r="Q4181">
        <v>2.2369790000000001E-2</v>
      </c>
      <c r="R4181">
        <v>-0.93538730000000003</v>
      </c>
      <c r="S4181">
        <v>-0.38104250000000001</v>
      </c>
      <c r="T4181">
        <v>-0.26441409999999999</v>
      </c>
      <c r="U4181">
        <v>-3.0730590000000002</v>
      </c>
      <c r="V4181">
        <v>-1.123071E-2</v>
      </c>
      <c r="W4181">
        <v>3.1411069999999999E-2</v>
      </c>
      <c r="X4181">
        <v>0.99944350000000004</v>
      </c>
      <c r="Y4181">
        <v>-0.24618860000000001</v>
      </c>
      <c r="Z4181">
        <v>7.5417059999999994E-2</v>
      </c>
      <c r="AA4181">
        <v>0.96628329999999996</v>
      </c>
      <c r="AB4181">
        <v>21</v>
      </c>
      <c r="AC4181">
        <v>-1.53040000000004</v>
      </c>
      <c r="AD4181">
        <v>-1.113058370921</v>
      </c>
      <c r="AE4181">
        <v>-12.7303</v>
      </c>
      <c r="AF4181">
        <v>-3.17438505597244</v>
      </c>
      <c r="AG4181">
        <v>-1.113058370921</v>
      </c>
      <c r="AH4181">
        <v>12.3237929727911</v>
      </c>
      <c r="AI4181">
        <v>94.998536364388599</v>
      </c>
      <c r="AJ4181">
        <v>104.444361606762</v>
      </c>
      <c r="AK4181">
        <v>12.774642564740301</v>
      </c>
      <c r="AL4181">
        <v>88.199982261194904</v>
      </c>
      <c r="AM4181">
        <v>90.643803479015006</v>
      </c>
      <c r="AN4181">
        <v>1.0000000469289401</v>
      </c>
    </row>
    <row r="4182" spans="1:40" x14ac:dyDescent="0.25">
      <c r="A4182" t="str">
        <f>"20190312154642587"</f>
        <v>20190312154642587</v>
      </c>
      <c r="B4182" t="str">
        <f>"1552376802581515"</f>
        <v>1552376802581515</v>
      </c>
      <c r="C4182" t="s">
        <v>40</v>
      </c>
      <c r="D4182">
        <v>4.7108879999999997</v>
      </c>
      <c r="E4182">
        <v>0.40963709999999998</v>
      </c>
      <c r="F4182" t="s">
        <v>42</v>
      </c>
      <c r="G4182">
        <v>-419.03269999999998</v>
      </c>
      <c r="H4182" s="1">
        <v>-2.1843640000000001E-6</v>
      </c>
      <c r="I4182">
        <v>103.8892</v>
      </c>
      <c r="J4182">
        <v>-417.53320000000002</v>
      </c>
      <c r="K4182">
        <v>1.113081</v>
      </c>
      <c r="L4182">
        <v>116.8313</v>
      </c>
      <c r="M4182">
        <v>-0.35824250000000002</v>
      </c>
      <c r="N4182">
        <v>0</v>
      </c>
      <c r="O4182">
        <v>-0.93358229999999998</v>
      </c>
      <c r="P4182">
        <v>-0.34935240000000001</v>
      </c>
      <c r="Q4182">
        <v>2.3951449999999999E-2</v>
      </c>
      <c r="R4182">
        <v>-0.93668549999999995</v>
      </c>
      <c r="S4182">
        <v>-0.36584470000000002</v>
      </c>
      <c r="T4182">
        <v>-0.26103209999999999</v>
      </c>
      <c r="U4182">
        <v>-3.0754389999999998</v>
      </c>
      <c r="V4182">
        <v>-9.6979700000000002E-3</v>
      </c>
      <c r="W4182">
        <v>3.3172069999999998E-2</v>
      </c>
      <c r="X4182">
        <v>0.99940260000000003</v>
      </c>
      <c r="Y4182">
        <v>-0.2457992</v>
      </c>
      <c r="Z4182">
        <v>7.4666270000000007E-2</v>
      </c>
      <c r="AA4182">
        <v>0.96644070000000004</v>
      </c>
      <c r="AB4182">
        <v>21</v>
      </c>
      <c r="AC4182">
        <v>-1.4994999999999501</v>
      </c>
      <c r="AD4182">
        <v>-1.1130831843639999</v>
      </c>
      <c r="AE4182">
        <v>-12.9420999999999</v>
      </c>
      <c r="AF4182">
        <v>-3.2131908238034201</v>
      </c>
      <c r="AG4182">
        <v>-1.1130831843639999</v>
      </c>
      <c r="AH4182">
        <v>12.5287994733249</v>
      </c>
      <c r="AI4182">
        <v>94.918578045972296</v>
      </c>
      <c r="AJ4182">
        <v>104.384304450546</v>
      </c>
      <c r="AK4182">
        <v>12.9820786351136</v>
      </c>
      <c r="AL4182">
        <v>88.099031643343096</v>
      </c>
      <c r="AM4182">
        <v>90.555967446121201</v>
      </c>
      <c r="AN4182">
        <v>0.99999999686848295</v>
      </c>
    </row>
    <row r="4183" spans="1:40" x14ac:dyDescent="0.25">
      <c r="A4183" t="str">
        <f>"20190312154642612"</f>
        <v>20190312154642612</v>
      </c>
      <c r="B4183" t="str">
        <f>"1552376802602012"</f>
        <v>1552376802602012</v>
      </c>
      <c r="C4183" t="s">
        <v>40</v>
      </c>
      <c r="D4183">
        <v>4.6733310000000001</v>
      </c>
      <c r="E4183">
        <v>0.40960170000000001</v>
      </c>
      <c r="F4183" t="s">
        <v>42</v>
      </c>
      <c r="G4183">
        <v>-419.06700000000001</v>
      </c>
      <c r="H4183" s="1">
        <v>-1.9809590000000001E-6</v>
      </c>
      <c r="I4183">
        <v>103.4718</v>
      </c>
      <c r="J4183">
        <v>-417.6123</v>
      </c>
      <c r="K4183">
        <v>1.1131070000000001</v>
      </c>
      <c r="L4183">
        <v>116.6019</v>
      </c>
      <c r="M4183">
        <v>-0.35160069999999999</v>
      </c>
      <c r="N4183">
        <v>0</v>
      </c>
      <c r="O4183">
        <v>-0.93610170000000004</v>
      </c>
      <c r="P4183">
        <v>-0.34374179999999999</v>
      </c>
      <c r="Q4183">
        <v>2.5297090000000001E-2</v>
      </c>
      <c r="R4183">
        <v>-0.93872359999999999</v>
      </c>
      <c r="S4183">
        <v>-0.35333249999999999</v>
      </c>
      <c r="T4183">
        <v>-0.25641350000000002</v>
      </c>
      <c r="U4183">
        <v>-3.0775450000000002</v>
      </c>
      <c r="V4183">
        <v>-8.578558E-3</v>
      </c>
      <c r="W4183">
        <v>3.4752829999999998E-2</v>
      </c>
      <c r="X4183">
        <v>0.99935909999999994</v>
      </c>
      <c r="Y4183">
        <v>-0.24285699999999999</v>
      </c>
      <c r="Z4183">
        <v>7.3659409999999995E-2</v>
      </c>
      <c r="AA4183">
        <v>0.9672615</v>
      </c>
      <c r="AB4183">
        <v>21</v>
      </c>
      <c r="AC4183">
        <v>-1.4546999999999399</v>
      </c>
      <c r="AD4183">
        <v>-1.113108980959</v>
      </c>
      <c r="AE4183">
        <v>-13.130100000000001</v>
      </c>
      <c r="AF4183">
        <v>-3.2320062637281701</v>
      </c>
      <c r="AG4183">
        <v>-1.113108980959</v>
      </c>
      <c r="AH4183">
        <v>12.712904179479001</v>
      </c>
      <c r="AI4183">
        <v>94.850386779029705</v>
      </c>
      <c r="AJ4183">
        <v>104.264139688038</v>
      </c>
      <c r="AK4183">
        <v>13.164452467493099</v>
      </c>
      <c r="AL4183">
        <v>88.008408445515997</v>
      </c>
      <c r="AM4183">
        <v>90.491818301983301</v>
      </c>
      <c r="AN4183">
        <v>0.99999998080158803</v>
      </c>
    </row>
    <row r="4184" spans="1:40" x14ac:dyDescent="0.25">
      <c r="A4184" t="str">
        <f>"20190312154642637"</f>
        <v>20190312154642637</v>
      </c>
      <c r="B4184" t="str">
        <f>"1552376802632267"</f>
        <v>1552376802632267</v>
      </c>
      <c r="C4184" t="s">
        <v>40</v>
      </c>
      <c r="D4184">
        <v>4.6326159999999996</v>
      </c>
      <c r="E4184">
        <v>0.40964729999999999</v>
      </c>
      <c r="F4184" t="s">
        <v>42</v>
      </c>
      <c r="G4184">
        <v>-419.0865</v>
      </c>
      <c r="H4184" s="1">
        <v>-1.7677959999999999E-6</v>
      </c>
      <c r="I4184">
        <v>103.0282</v>
      </c>
      <c r="J4184">
        <v>-417.68459999999999</v>
      </c>
      <c r="K4184">
        <v>1.1131150000000001</v>
      </c>
      <c r="L4184">
        <v>116.3877</v>
      </c>
      <c r="M4184">
        <v>-0.34542240000000002</v>
      </c>
      <c r="N4184">
        <v>0</v>
      </c>
      <c r="O4184">
        <v>-0.93839680000000003</v>
      </c>
      <c r="P4184">
        <v>-0.33845720000000001</v>
      </c>
      <c r="Q4184">
        <v>2.5426319999999999E-2</v>
      </c>
      <c r="R4184">
        <v>-0.94063850000000004</v>
      </c>
      <c r="S4184">
        <v>-0.33453369999999999</v>
      </c>
      <c r="T4184">
        <v>-0.25258449999999999</v>
      </c>
      <c r="U4184">
        <v>-3.0801090000000002</v>
      </c>
      <c r="V4184">
        <v>-7.6130069999999998E-3</v>
      </c>
      <c r="W4184">
        <v>3.5107369999999999E-2</v>
      </c>
      <c r="X4184">
        <v>0.99935450000000003</v>
      </c>
      <c r="Y4184">
        <v>-0.2423776</v>
      </c>
      <c r="Z4184">
        <v>7.2810910000000006E-2</v>
      </c>
      <c r="AA4184">
        <v>0.96744600000000003</v>
      </c>
      <c r="AB4184">
        <v>21</v>
      </c>
      <c r="AC4184">
        <v>-1.4019000000000099</v>
      </c>
      <c r="AD4184">
        <v>-1.1131167677960001</v>
      </c>
      <c r="AE4184">
        <v>-13.359499999999899</v>
      </c>
      <c r="AF4184">
        <v>-3.2767879339653598</v>
      </c>
      <c r="AG4184">
        <v>-1.1131167677960001</v>
      </c>
      <c r="AH4184">
        <v>12.9325735665462</v>
      </c>
      <c r="AI4184">
        <v>94.769384118965107</v>
      </c>
      <c r="AJ4184">
        <v>104.218084756591</v>
      </c>
      <c r="AK4184">
        <v>13.387599753393401</v>
      </c>
      <c r="AL4184">
        <v>87.988082335528802</v>
      </c>
      <c r="AM4184">
        <v>90.436466472072098</v>
      </c>
      <c r="AN4184">
        <v>0.99999995098707295</v>
      </c>
    </row>
    <row r="4185" spans="1:40" x14ac:dyDescent="0.25">
      <c r="A4185" t="str">
        <f>"20190312154642656"</f>
        <v>20190312154642656</v>
      </c>
      <c r="B4185" t="str">
        <f>"1552376802651787"</f>
        <v>1552376802651787</v>
      </c>
      <c r="C4185" t="s">
        <v>40</v>
      </c>
      <c r="D4185">
        <v>4.722607</v>
      </c>
      <c r="E4185">
        <v>0.40966190000000002</v>
      </c>
      <c r="F4185" t="s">
        <v>42</v>
      </c>
      <c r="G4185">
        <v>-419.08139999999997</v>
      </c>
      <c r="H4185" s="1">
        <v>-1.665019E-6</v>
      </c>
      <c r="I4185">
        <v>102.80889999999999</v>
      </c>
      <c r="J4185">
        <v>-417.74279999999999</v>
      </c>
      <c r="K4185">
        <v>1.113127</v>
      </c>
      <c r="L4185">
        <v>116.2116</v>
      </c>
      <c r="M4185">
        <v>-0.34036670000000002</v>
      </c>
      <c r="N4185">
        <v>0</v>
      </c>
      <c r="O4185">
        <v>-0.94024030000000003</v>
      </c>
      <c r="P4185">
        <v>-0.33433879999999999</v>
      </c>
      <c r="Q4185">
        <v>2.4976169999999999E-2</v>
      </c>
      <c r="R4185">
        <v>-0.94212220000000002</v>
      </c>
      <c r="S4185">
        <v>-0.31704710000000003</v>
      </c>
      <c r="T4185">
        <v>-0.25265090000000001</v>
      </c>
      <c r="U4185">
        <v>-3.082077</v>
      </c>
      <c r="V4185">
        <v>-6.6075839999999997E-3</v>
      </c>
      <c r="W4185">
        <v>3.485767E-2</v>
      </c>
      <c r="X4185">
        <v>0.99937050000000005</v>
      </c>
      <c r="Y4185">
        <v>-0.24265210000000001</v>
      </c>
      <c r="Z4185">
        <v>7.3023370000000004E-2</v>
      </c>
      <c r="AA4185">
        <v>0.96736120000000003</v>
      </c>
      <c r="AB4185">
        <v>21</v>
      </c>
      <c r="AC4185">
        <v>-1.33859999999998</v>
      </c>
      <c r="AD4185">
        <v>-1.113128665019</v>
      </c>
      <c r="AE4185">
        <v>-13.402699999999999</v>
      </c>
      <c r="AF4185">
        <v>-3.2809823032398402</v>
      </c>
      <c r="AG4185">
        <v>-1.113128665019</v>
      </c>
      <c r="AH4185">
        <v>12.969441741224401</v>
      </c>
      <c r="AI4185">
        <v>94.756386124279601</v>
      </c>
      <c r="AJ4185">
        <v>104.196715869691</v>
      </c>
      <c r="AK4185">
        <v>13.424243717173599</v>
      </c>
      <c r="AL4185">
        <v>88.002398066045799</v>
      </c>
      <c r="AM4185">
        <v>90.378819626415293</v>
      </c>
      <c r="AN4185">
        <v>1.0000000567971901</v>
      </c>
    </row>
    <row r="4186" spans="1:40" x14ac:dyDescent="0.25">
      <c r="A4186" t="str">
        <f>"20190312154642682"</f>
        <v>20190312154642682</v>
      </c>
      <c r="B4186" t="str">
        <f>"1552376802672283"</f>
        <v>1552376802672283</v>
      </c>
      <c r="C4186" t="s">
        <v>40</v>
      </c>
      <c r="D4186">
        <v>4.7271489999999998</v>
      </c>
      <c r="E4186">
        <v>0.4096957</v>
      </c>
      <c r="F4186" t="s">
        <v>42</v>
      </c>
      <c r="G4186">
        <v>-419.06990000000002</v>
      </c>
      <c r="H4186" s="1">
        <v>-1.626452E-6</v>
      </c>
      <c r="I4186">
        <v>102.7229</v>
      </c>
      <c r="J4186">
        <v>-417.81700000000001</v>
      </c>
      <c r="K4186">
        <v>1.113138</v>
      </c>
      <c r="L4186">
        <v>115.98309999999999</v>
      </c>
      <c r="M4186">
        <v>-0.33385510000000002</v>
      </c>
      <c r="N4186">
        <v>0</v>
      </c>
      <c r="O4186">
        <v>-0.94256930000000005</v>
      </c>
      <c r="P4186">
        <v>-0.32997949999999998</v>
      </c>
      <c r="Q4186">
        <v>2.4625250000000001E-2</v>
      </c>
      <c r="R4186">
        <v>-0.94366740000000005</v>
      </c>
      <c r="S4186">
        <v>-0.30334470000000002</v>
      </c>
      <c r="T4186">
        <v>-0.25445129999999999</v>
      </c>
      <c r="U4186">
        <v>-3.0833889999999999</v>
      </c>
      <c r="V4186">
        <v>-4.3159089999999997E-3</v>
      </c>
      <c r="W4186">
        <v>3.4804290000000002E-2</v>
      </c>
      <c r="X4186">
        <v>0.99938479999999996</v>
      </c>
      <c r="Y4186">
        <v>-0.24024529999999999</v>
      </c>
      <c r="Z4186">
        <v>7.3832430000000004E-2</v>
      </c>
      <c r="AA4186">
        <v>0.96790030000000005</v>
      </c>
      <c r="AB4186">
        <v>21</v>
      </c>
      <c r="AC4186">
        <v>-1.2529000000000601</v>
      </c>
      <c r="AD4186">
        <v>-1.1131396264519999</v>
      </c>
      <c r="AE4186">
        <v>-13.2601999999999</v>
      </c>
      <c r="AF4186">
        <v>-3.2236928632666202</v>
      </c>
      <c r="AG4186">
        <v>-1.1131396264519999</v>
      </c>
      <c r="AH4186">
        <v>12.828017411489199</v>
      </c>
      <c r="AI4186">
        <v>94.810529274364399</v>
      </c>
      <c r="AJ4186">
        <v>104.106375850085</v>
      </c>
      <c r="AK4186">
        <v>13.2736319903079</v>
      </c>
      <c r="AL4186">
        <v>88.005458202466698</v>
      </c>
      <c r="AM4186">
        <v>90.247434054631</v>
      </c>
      <c r="AN4186">
        <v>0.999999972071969</v>
      </c>
    </row>
    <row r="4187" spans="1:40" x14ac:dyDescent="0.25">
      <c r="A4187" t="str">
        <f>"20190312154642699"</f>
        <v>20190312154642699</v>
      </c>
      <c r="B4187" t="str">
        <f>"1552376802691803"</f>
        <v>1552376802691803</v>
      </c>
      <c r="C4187" t="s">
        <v>40</v>
      </c>
      <c r="D4187">
        <v>4.7346360000000001</v>
      </c>
      <c r="E4187">
        <v>0.40976390000000001</v>
      </c>
      <c r="F4187" t="s">
        <v>42</v>
      </c>
      <c r="G4187">
        <v>-419.07119999999998</v>
      </c>
      <c r="H4187" s="1">
        <v>-1.5714070000000001E-6</v>
      </c>
      <c r="I4187">
        <v>102.607</v>
      </c>
      <c r="J4187">
        <v>-417.8689</v>
      </c>
      <c r="K4187">
        <v>1.1131500000000001</v>
      </c>
      <c r="L4187">
        <v>115.8197</v>
      </c>
      <c r="M4187">
        <v>-0.32924819999999999</v>
      </c>
      <c r="N4187">
        <v>0</v>
      </c>
      <c r="O4187">
        <v>-0.94418559999999996</v>
      </c>
      <c r="P4187">
        <v>-0.3279242</v>
      </c>
      <c r="Q4187">
        <v>2.6250140000000002E-2</v>
      </c>
      <c r="R4187">
        <v>-0.9443395</v>
      </c>
      <c r="S4187">
        <v>-0.28924559999999999</v>
      </c>
      <c r="T4187">
        <v>-0.25669969999999998</v>
      </c>
      <c r="U4187">
        <v>-3.084641</v>
      </c>
      <c r="V4187">
        <v>-1.60997299999999E-3</v>
      </c>
      <c r="W4187">
        <v>3.667898E-2</v>
      </c>
      <c r="X4187">
        <v>0.99932580000000004</v>
      </c>
      <c r="Y4187">
        <v>-0.2399329</v>
      </c>
      <c r="Z4187">
        <v>7.4667189999999994E-2</v>
      </c>
      <c r="AA4187">
        <v>0.96791369999999999</v>
      </c>
      <c r="AB4187">
        <v>21</v>
      </c>
      <c r="AC4187">
        <v>-1.2022999999999699</v>
      </c>
      <c r="AD4187">
        <v>-1.1131515714069999</v>
      </c>
      <c r="AE4187">
        <v>-13.2126999999999</v>
      </c>
      <c r="AF4187">
        <v>-3.19276328183674</v>
      </c>
      <c r="AG4187">
        <v>-1.1131515714069999</v>
      </c>
      <c r="AH4187">
        <v>12.7818207272827</v>
      </c>
      <c r="AI4187">
        <v>94.829597801347603</v>
      </c>
      <c r="AJ4187">
        <v>104.02488600292</v>
      </c>
      <c r="AK4187">
        <v>13.2214895113661</v>
      </c>
      <c r="AL4187">
        <v>87.897977738110498</v>
      </c>
      <c r="AM4187">
        <v>90.092306811474998</v>
      </c>
      <c r="AN4187">
        <v>0.99999999706626996</v>
      </c>
    </row>
    <row r="4188" spans="1:40" x14ac:dyDescent="0.25">
      <c r="A4188" t="str">
        <f>"20190312154642723"</f>
        <v>20190312154642723</v>
      </c>
      <c r="B4188" t="str">
        <f>"1552376802711323"</f>
        <v>1552376802711323</v>
      </c>
      <c r="C4188" t="s">
        <v>40</v>
      </c>
      <c r="D4188">
        <v>4.7224620000000002</v>
      </c>
      <c r="E4188">
        <v>0.40984169999999998</v>
      </c>
      <c r="F4188" t="s">
        <v>42</v>
      </c>
      <c r="G4188">
        <v>-419.12150000000003</v>
      </c>
      <c r="H4188" s="1">
        <v>-1.3494730000000001E-6</v>
      </c>
      <c r="I4188">
        <v>102.1564</v>
      </c>
      <c r="J4188">
        <v>-417.93439999999998</v>
      </c>
      <c r="K4188">
        <v>1.113151</v>
      </c>
      <c r="L4188">
        <v>115.6097</v>
      </c>
      <c r="M4188">
        <v>-0.3233914</v>
      </c>
      <c r="N4188">
        <v>0</v>
      </c>
      <c r="O4188">
        <v>-0.94620409999999999</v>
      </c>
      <c r="P4188">
        <v>-0.32400069999999997</v>
      </c>
      <c r="Q4188">
        <v>2.874896E-2</v>
      </c>
      <c r="R4188">
        <v>-0.94562020000000002</v>
      </c>
      <c r="S4188">
        <v>-0.28286739999999999</v>
      </c>
      <c r="T4188">
        <v>-0.25138260000000001</v>
      </c>
      <c r="U4188">
        <v>-3.0855869999999999</v>
      </c>
      <c r="V4188">
        <v>4.3742910000000001E-4</v>
      </c>
      <c r="W4188">
        <v>3.9516950000000002E-2</v>
      </c>
      <c r="X4188">
        <v>0.99921879999999996</v>
      </c>
      <c r="Y4188">
        <v>-0.2359194</v>
      </c>
      <c r="Z4188">
        <v>7.3397809999999994E-2</v>
      </c>
      <c r="AA4188">
        <v>0.96899679999999999</v>
      </c>
      <c r="AB4188">
        <v>21</v>
      </c>
      <c r="AC4188">
        <v>-1.18710000000004</v>
      </c>
      <c r="AD4188">
        <v>-1.113152349473</v>
      </c>
      <c r="AE4188">
        <v>-13.4533</v>
      </c>
      <c r="AF4188">
        <v>-3.2058510954774699</v>
      </c>
      <c r="AG4188">
        <v>-1.113152349473</v>
      </c>
      <c r="AH4188">
        <v>13.0257366770076</v>
      </c>
      <c r="AI4188">
        <v>94.743628768820798</v>
      </c>
      <c r="AJ4188">
        <v>103.826643272025</v>
      </c>
      <c r="AK4188">
        <v>13.460549965668299</v>
      </c>
      <c r="AL4188">
        <v>87.735255841132499</v>
      </c>
      <c r="AM4188">
        <v>89.974917565937304</v>
      </c>
      <c r="AN4188">
        <v>0.99999999547747997</v>
      </c>
    </row>
    <row r="4189" spans="1:40" x14ac:dyDescent="0.25">
      <c r="A4189" t="str">
        <f>"20190312154642744"</f>
        <v>20190312154642744</v>
      </c>
      <c r="B4189" t="str">
        <f>"1552376802741579"</f>
        <v>1552376802741579</v>
      </c>
      <c r="C4189" t="s">
        <v>40</v>
      </c>
      <c r="D4189">
        <v>4.7508059999999999</v>
      </c>
      <c r="E4189">
        <v>0.40979749999999998</v>
      </c>
      <c r="F4189" t="s">
        <v>42</v>
      </c>
      <c r="G4189">
        <v>-419.16680000000002</v>
      </c>
      <c r="H4189" s="1">
        <v>-1.0730989999999999E-6</v>
      </c>
      <c r="I4189">
        <v>101.5887</v>
      </c>
      <c r="J4189">
        <v>-417.99270000000001</v>
      </c>
      <c r="K4189">
        <v>1.11313</v>
      </c>
      <c r="L4189">
        <v>115.4194</v>
      </c>
      <c r="M4189">
        <v>-0.31815870000000002</v>
      </c>
      <c r="N4189">
        <v>0</v>
      </c>
      <c r="O4189">
        <v>-0.94797290000000001</v>
      </c>
      <c r="P4189">
        <v>-0.31840289999999999</v>
      </c>
      <c r="Q4189">
        <v>2.865144E-2</v>
      </c>
      <c r="R4189">
        <v>-0.94752259999999999</v>
      </c>
      <c r="S4189">
        <v>-0.27133180000000001</v>
      </c>
      <c r="T4189">
        <v>-0.24508240000000001</v>
      </c>
      <c r="U4189">
        <v>-3.0870060000000001</v>
      </c>
      <c r="V4189" s="1">
        <v>5.0684669999999997E-5</v>
      </c>
      <c r="W4189">
        <v>3.9720400000000003E-2</v>
      </c>
      <c r="X4189">
        <v>0.99921079999999995</v>
      </c>
      <c r="Y4189">
        <v>-0.2341732</v>
      </c>
      <c r="Z4189">
        <v>7.1772340000000004E-2</v>
      </c>
      <c r="AA4189">
        <v>0.96954200000000001</v>
      </c>
      <c r="AB4189">
        <v>21</v>
      </c>
      <c r="AC4189">
        <v>-1.1741000000000099</v>
      </c>
      <c r="AD4189">
        <v>-1.1131310730990001</v>
      </c>
      <c r="AE4189">
        <v>-13.830699999999901</v>
      </c>
      <c r="AF4189">
        <v>-3.2665363436776</v>
      </c>
      <c r="AG4189">
        <v>-1.1131310730990001</v>
      </c>
      <c r="AH4189">
        <v>13.399331859957901</v>
      </c>
      <c r="AI4189">
        <v>94.614336035269801</v>
      </c>
      <c r="AJ4189">
        <v>103.700530069991</v>
      </c>
      <c r="AK4189">
        <v>13.8365969357985</v>
      </c>
      <c r="AL4189">
        <v>87.723589792367207</v>
      </c>
      <c r="AM4189">
        <v>89.997093688664506</v>
      </c>
      <c r="AN4189">
        <v>0.99999996779086697</v>
      </c>
    </row>
    <row r="4190" spans="1:40" x14ac:dyDescent="0.25">
      <c r="A4190" t="str">
        <f>"20190312154642765"</f>
        <v>20190312154642765</v>
      </c>
      <c r="B4190" t="str">
        <f>"1552376802762074"</f>
        <v>1552376802762074</v>
      </c>
      <c r="C4190" t="s">
        <v>40</v>
      </c>
      <c r="D4190">
        <v>4.7673249999999996</v>
      </c>
      <c r="E4190">
        <v>0.40941660000000002</v>
      </c>
      <c r="F4190" t="s">
        <v>42</v>
      </c>
      <c r="G4190">
        <v>-419.12900000000002</v>
      </c>
      <c r="H4190" s="1">
        <v>-1.0763720000000001E-6</v>
      </c>
      <c r="I4190">
        <v>101.5814</v>
      </c>
      <c r="J4190">
        <v>-418.0489</v>
      </c>
      <c r="K4190">
        <v>1.1130850000000001</v>
      </c>
      <c r="L4190">
        <v>115.2321</v>
      </c>
      <c r="M4190">
        <v>-0.31309039999999999</v>
      </c>
      <c r="N4190">
        <v>0</v>
      </c>
      <c r="O4190">
        <v>-0.94965549999999999</v>
      </c>
      <c r="P4190">
        <v>-0.31241859999999999</v>
      </c>
      <c r="Q4190">
        <v>2.6135470000000001E-2</v>
      </c>
      <c r="R4190">
        <v>-0.94958520000000002</v>
      </c>
      <c r="S4190">
        <v>-0.25360110000000002</v>
      </c>
      <c r="T4190">
        <v>-0.24843609999999999</v>
      </c>
      <c r="U4190">
        <v>-3.0884399999999999</v>
      </c>
      <c r="V4190">
        <v>-9.1613899999999995E-4</v>
      </c>
      <c r="W4190">
        <v>3.7477610000000001E-2</v>
      </c>
      <c r="X4190">
        <v>0.99929699999999999</v>
      </c>
      <c r="Y4190">
        <v>-0.2345527</v>
      </c>
      <c r="Z4190">
        <v>7.2927679999999995E-2</v>
      </c>
      <c r="AA4190">
        <v>0.969364</v>
      </c>
      <c r="AB4190">
        <v>21</v>
      </c>
      <c r="AC4190">
        <v>-1.0801000000000101</v>
      </c>
      <c r="AD4190">
        <v>-1.1130860763720001</v>
      </c>
      <c r="AE4190">
        <v>-13.650700000000001</v>
      </c>
      <c r="AF4190">
        <v>-3.2270666310585501</v>
      </c>
      <c r="AG4190">
        <v>-1.1130860763720001</v>
      </c>
      <c r="AH4190">
        <v>13.2151689710865</v>
      </c>
      <c r="AI4190">
        <v>94.677728010594706</v>
      </c>
      <c r="AJ4190">
        <v>103.722733980011</v>
      </c>
      <c r="AK4190">
        <v>13.6489417387969</v>
      </c>
      <c r="AL4190">
        <v>87.852188025742805</v>
      </c>
      <c r="AM4190">
        <v>90.052527810491995</v>
      </c>
      <c r="AN4190">
        <v>0.999999952385488</v>
      </c>
    </row>
    <row r="4191" spans="1:40" x14ac:dyDescent="0.25">
      <c r="A4191" t="str">
        <f>"20190312154642787"</f>
        <v>20190312154642787</v>
      </c>
      <c r="B4191" t="str">
        <f>"1552376802781595"</f>
        <v>1552376802781595</v>
      </c>
      <c r="C4191" t="s">
        <v>40</v>
      </c>
      <c r="D4191">
        <v>4.6749780000000003</v>
      </c>
      <c r="E4191">
        <v>0.40902769999999999</v>
      </c>
      <c r="F4191" t="s">
        <v>42</v>
      </c>
      <c r="G4191">
        <v>-419.0446</v>
      </c>
      <c r="H4191" s="1">
        <v>-1.2737810000000001E-6</v>
      </c>
      <c r="I4191">
        <v>101.9674</v>
      </c>
      <c r="J4191">
        <v>-418.10930000000002</v>
      </c>
      <c r="K4191">
        <v>1.1130439999999999</v>
      </c>
      <c r="L4191">
        <v>115.027</v>
      </c>
      <c r="M4191">
        <v>-0.30762859999999997</v>
      </c>
      <c r="N4191">
        <v>0</v>
      </c>
      <c r="O4191">
        <v>-0.95143560000000005</v>
      </c>
      <c r="P4191">
        <v>-0.3059924</v>
      </c>
      <c r="Q4191">
        <v>2.3728240000000001E-2</v>
      </c>
      <c r="R4191">
        <v>-0.95173830000000004</v>
      </c>
      <c r="S4191">
        <v>-0.23196410000000001</v>
      </c>
      <c r="T4191">
        <v>-0.25929999999999997</v>
      </c>
      <c r="U4191">
        <v>-3.0900880000000002</v>
      </c>
      <c r="V4191">
        <v>-1.9274260000000001E-3</v>
      </c>
      <c r="W4191">
        <v>3.5338019999999998E-2</v>
      </c>
      <c r="X4191">
        <v>0.99937359999999997</v>
      </c>
      <c r="Y4191">
        <v>-0.23577390000000001</v>
      </c>
      <c r="Z4191">
        <v>7.6283130000000005E-2</v>
      </c>
      <c r="AA4191">
        <v>0.96880940000000004</v>
      </c>
      <c r="AB4191">
        <v>21</v>
      </c>
      <c r="AC4191">
        <v>-0.93529999999998303</v>
      </c>
      <c r="AD4191">
        <v>-1.1130452737809999</v>
      </c>
      <c r="AE4191">
        <v>-13.0596</v>
      </c>
      <c r="AF4191">
        <v>-3.1053978091766199</v>
      </c>
      <c r="AG4191">
        <v>-1.1130452737809999</v>
      </c>
      <c r="AH4191">
        <v>12.6227297252223</v>
      </c>
      <c r="AI4191">
        <v>94.893999487037703</v>
      </c>
      <c r="AJ4191">
        <v>103.82122249083299</v>
      </c>
      <c r="AK4191">
        <v>13.046672796185799</v>
      </c>
      <c r="AL4191">
        <v>87.974859041367694</v>
      </c>
      <c r="AM4191">
        <v>90.110502456939301</v>
      </c>
      <c r="AN4191">
        <v>1.0000000415027299</v>
      </c>
    </row>
    <row r="4192" spans="1:40" x14ac:dyDescent="0.25">
      <c r="A4192" t="str">
        <f>"20190312154642810"</f>
        <v>20190312154642810</v>
      </c>
      <c r="B4192" t="str">
        <f>"1552376802802091"</f>
        <v>1552376802802091</v>
      </c>
      <c r="C4192" t="s">
        <v>40</v>
      </c>
      <c r="D4192">
        <v>4.7252159999999996</v>
      </c>
      <c r="E4192">
        <v>0.40870099999999998</v>
      </c>
      <c r="F4192" t="s">
        <v>42</v>
      </c>
      <c r="G4192">
        <v>-418.98219999999998</v>
      </c>
      <c r="H4192" s="1">
        <v>-1.32934E-6</v>
      </c>
      <c r="I4192">
        <v>102.0615</v>
      </c>
      <c r="J4192">
        <v>-418.16820000000001</v>
      </c>
      <c r="K4192">
        <v>1.113003</v>
      </c>
      <c r="L4192">
        <v>114.8231</v>
      </c>
      <c r="M4192">
        <v>-0.3022957</v>
      </c>
      <c r="N4192">
        <v>0</v>
      </c>
      <c r="O4192">
        <v>-0.95314030000000005</v>
      </c>
      <c r="P4192">
        <v>-0.29958479999999998</v>
      </c>
      <c r="Q4192">
        <v>2.1478319999999999E-2</v>
      </c>
      <c r="R4192">
        <v>-0.95382820000000001</v>
      </c>
      <c r="S4192">
        <v>-0.2081604</v>
      </c>
      <c r="T4192">
        <v>-0.26542379999999999</v>
      </c>
      <c r="U4192">
        <v>-3.0918429999999999</v>
      </c>
      <c r="V4192">
        <v>-3.0489290000000001E-3</v>
      </c>
      <c r="W4192">
        <v>3.333506E-2</v>
      </c>
      <c r="X4192">
        <v>0.99943959999999998</v>
      </c>
      <c r="Y4192">
        <v>-0.2378034</v>
      </c>
      <c r="Z4192">
        <v>7.8242989999999998E-2</v>
      </c>
      <c r="AA4192">
        <v>0.96815680000000004</v>
      </c>
      <c r="AB4192">
        <v>21</v>
      </c>
      <c r="AC4192">
        <v>-0.81399999999996397</v>
      </c>
      <c r="AD4192">
        <v>-1.11300432934</v>
      </c>
      <c r="AE4192">
        <v>-12.7616</v>
      </c>
      <c r="AF4192">
        <v>-3.0589640604694401</v>
      </c>
      <c r="AG4192">
        <v>-1.11300432934</v>
      </c>
      <c r="AH4192">
        <v>12.317227128173</v>
      </c>
      <c r="AI4192">
        <v>95.011880055665699</v>
      </c>
      <c r="AJ4192">
        <v>103.947147458996</v>
      </c>
      <c r="AK4192">
        <v>12.740099053279501</v>
      </c>
      <c r="AL4192">
        <v>88.089687877196198</v>
      </c>
      <c r="AM4192">
        <v>90.174788173116397</v>
      </c>
      <c r="AN4192">
        <v>1.0000000181207001</v>
      </c>
    </row>
    <row r="4193" spans="1:40" x14ac:dyDescent="0.25">
      <c r="A4193" t="str">
        <f>"20190312154642836"</f>
        <v>20190312154642836</v>
      </c>
      <c r="B4193" t="str">
        <f>"1552376802831371"</f>
        <v>1552376802831371</v>
      </c>
      <c r="C4193" t="s">
        <v>40</v>
      </c>
      <c r="D4193">
        <v>4.741098</v>
      </c>
      <c r="E4193">
        <v>0.40828300000000001</v>
      </c>
      <c r="F4193" t="s">
        <v>42</v>
      </c>
      <c r="G4193">
        <v>-418.92439999999999</v>
      </c>
      <c r="H4193" s="1">
        <v>-1.3847839999999901E-6</v>
      </c>
      <c r="I4193">
        <v>102.1571</v>
      </c>
      <c r="J4193">
        <v>-418.23289999999997</v>
      </c>
      <c r="K4193">
        <v>1.1129469999999999</v>
      </c>
      <c r="L4193">
        <v>114.5943</v>
      </c>
      <c r="M4193">
        <v>-0.2964445</v>
      </c>
      <c r="N4193">
        <v>0</v>
      </c>
      <c r="O4193">
        <v>-0.95497290000000001</v>
      </c>
      <c r="P4193">
        <v>-0.29245949999999998</v>
      </c>
      <c r="Q4193">
        <v>2.1911300000000002E-2</v>
      </c>
      <c r="R4193">
        <v>-0.95602710000000002</v>
      </c>
      <c r="S4193">
        <v>-0.18469240000000001</v>
      </c>
      <c r="T4193">
        <v>-0.27182289999999998</v>
      </c>
      <c r="U4193">
        <v>-3.0933380000000001</v>
      </c>
      <c r="V4193">
        <v>-4.373689E-3</v>
      </c>
      <c r="W4193">
        <v>3.4024649999999997E-2</v>
      </c>
      <c r="X4193">
        <v>0.99941139999999995</v>
      </c>
      <c r="Y4193">
        <v>-0.2392031</v>
      </c>
      <c r="Z4193">
        <v>8.0318120000000007E-2</v>
      </c>
      <c r="AA4193">
        <v>0.96764190000000005</v>
      </c>
      <c r="AB4193">
        <v>21</v>
      </c>
      <c r="AC4193">
        <v>-0.69150000000001899</v>
      </c>
      <c r="AD4193">
        <v>-1.1129483847839901</v>
      </c>
      <c r="AE4193">
        <v>-12.437200000000001</v>
      </c>
      <c r="AF4193">
        <v>-3.0028274134208099</v>
      </c>
      <c r="AG4193">
        <v>-1.1129483847839901</v>
      </c>
      <c r="AH4193">
        <v>11.9873761591482</v>
      </c>
      <c r="AI4193">
        <v>95.146215061151494</v>
      </c>
      <c r="AJ4193">
        <v>104.063156625182</v>
      </c>
      <c r="AK4193">
        <v>12.4077723126635</v>
      </c>
      <c r="AL4193">
        <v>88.050154770612295</v>
      </c>
      <c r="AM4193">
        <v>90.250739906364004</v>
      </c>
      <c r="AN4193">
        <v>0.99999997620652503</v>
      </c>
    </row>
    <row r="4194" spans="1:40" x14ac:dyDescent="0.25">
      <c r="A4194" t="str">
        <f>"20190312154642877"</f>
        <v>20190312154642877</v>
      </c>
      <c r="B4194" t="str">
        <f>"1552376802871387"</f>
        <v>1552376802871387</v>
      </c>
      <c r="C4194" t="s">
        <v>40</v>
      </c>
      <c r="D4194">
        <v>4.745762</v>
      </c>
      <c r="E4194">
        <v>0.40791240000000001</v>
      </c>
      <c r="F4194" t="s">
        <v>42</v>
      </c>
      <c r="G4194">
        <v>-418.88819999999998</v>
      </c>
      <c r="H4194" s="1">
        <v>-1.2121640000000001E-6</v>
      </c>
      <c r="I4194">
        <v>101.7784</v>
      </c>
      <c r="J4194">
        <v>-418.33600000000001</v>
      </c>
      <c r="K4194">
        <v>1.112824</v>
      </c>
      <c r="L4194">
        <v>114.2201</v>
      </c>
      <c r="M4194">
        <v>-0.2872113</v>
      </c>
      <c r="N4194">
        <v>0</v>
      </c>
      <c r="O4194">
        <v>-0.95778560000000001</v>
      </c>
      <c r="P4194">
        <v>-0.28072509999999901</v>
      </c>
      <c r="Q4194">
        <v>2.6482240000000001E-2</v>
      </c>
      <c r="R4194">
        <v>-0.95942289999999997</v>
      </c>
      <c r="S4194">
        <v>-0.15829470000000001</v>
      </c>
      <c r="T4194">
        <v>-0.2688354</v>
      </c>
      <c r="U4194">
        <v>-3.0957180000000002</v>
      </c>
      <c r="V4194">
        <v>-6.9577409999999999E-3</v>
      </c>
      <c r="W4194">
        <v>3.8942810000000001E-2</v>
      </c>
      <c r="X4194">
        <v>0.99921720000000003</v>
      </c>
      <c r="Y4194">
        <v>-0.23809820000000001</v>
      </c>
      <c r="Z4194">
        <v>7.9772430000000005E-2</v>
      </c>
      <c r="AA4194">
        <v>0.96795949999999997</v>
      </c>
      <c r="AB4194">
        <v>21</v>
      </c>
      <c r="AC4194">
        <v>-0.55219999999997005</v>
      </c>
      <c r="AD4194">
        <v>-1.1128252121639901</v>
      </c>
      <c r="AE4194">
        <v>-12.4416999999999</v>
      </c>
      <c r="AF4194">
        <v>-3.02062798747437</v>
      </c>
      <c r="AG4194">
        <v>-1.1128252121639901</v>
      </c>
      <c r="AH4194">
        <v>11.980368137682801</v>
      </c>
      <c r="AI4194">
        <v>95.146666782158306</v>
      </c>
      <c r="AJ4194">
        <v>104.151126863751</v>
      </c>
      <c r="AK4194">
        <v>12.405313140181001</v>
      </c>
      <c r="AL4194">
        <v>87.768176954339907</v>
      </c>
      <c r="AM4194">
        <v>90.398955053474793</v>
      </c>
      <c r="AN4194">
        <v>0.99999998269317902</v>
      </c>
    </row>
    <row r="4195" spans="1:40" x14ac:dyDescent="0.25">
      <c r="A4195" t="str">
        <f>"20190312154642899"</f>
        <v>20190312154642899</v>
      </c>
      <c r="B4195" t="str">
        <f>"1552376802891883"</f>
        <v>1552376802891883</v>
      </c>
      <c r="C4195" t="s">
        <v>40</v>
      </c>
      <c r="D4195">
        <v>4.7499779999999996</v>
      </c>
      <c r="E4195">
        <v>0.40784209999999999</v>
      </c>
      <c r="F4195" t="s">
        <v>42</v>
      </c>
      <c r="G4195">
        <v>-418.85419999999999</v>
      </c>
      <c r="H4195" s="1">
        <v>-7.5994630000000005E-7</v>
      </c>
      <c r="I4195">
        <v>100.80889999999999</v>
      </c>
      <c r="J4195">
        <v>-418.3897</v>
      </c>
      <c r="K4195">
        <v>1.1127370000000001</v>
      </c>
      <c r="L4195">
        <v>114.0204</v>
      </c>
      <c r="M4195">
        <v>-0.28246599999999999</v>
      </c>
      <c r="N4195">
        <v>0</v>
      </c>
      <c r="O4195">
        <v>-0.95919390000000004</v>
      </c>
      <c r="P4195">
        <v>-0.27609939999999999</v>
      </c>
      <c r="Q4195">
        <v>2.8321820000000001E-2</v>
      </c>
      <c r="R4195">
        <v>-0.96071209999999996</v>
      </c>
      <c r="S4195">
        <v>-0.119751</v>
      </c>
      <c r="T4195">
        <v>-0.25714310000000001</v>
      </c>
      <c r="U4195">
        <v>-3.098938</v>
      </c>
      <c r="V4195">
        <v>-6.8142569999999998E-3</v>
      </c>
      <c r="W4195">
        <v>4.0942489999999998E-2</v>
      </c>
      <c r="X4195">
        <v>0.99913830000000003</v>
      </c>
      <c r="Y4195">
        <v>-0.24533930000000001</v>
      </c>
      <c r="Z4195">
        <v>7.6365249999999996E-2</v>
      </c>
      <c r="AA4195">
        <v>0.96642479999999997</v>
      </c>
      <c r="AB4195">
        <v>21</v>
      </c>
      <c r="AC4195">
        <v>-0.46449999999998598</v>
      </c>
      <c r="AD4195">
        <v>-1.1127377599463</v>
      </c>
      <c r="AE4195">
        <v>-13.211499999999999</v>
      </c>
      <c r="AF4195">
        <v>-3.2633955341827701</v>
      </c>
      <c r="AG4195">
        <v>-1.1127377599463</v>
      </c>
      <c r="AH4195">
        <v>12.714536678137099</v>
      </c>
      <c r="AI4195">
        <v>94.845339390096498</v>
      </c>
      <c r="AJ4195">
        <v>104.395169302676</v>
      </c>
      <c r="AK4195">
        <v>13.173738219451099</v>
      </c>
      <c r="AL4195">
        <v>87.653512319200104</v>
      </c>
      <c r="AM4195">
        <v>90.390758830182307</v>
      </c>
      <c r="AN4195">
        <v>1.00000003205637</v>
      </c>
    </row>
    <row r="4196" spans="1:40" x14ac:dyDescent="0.25">
      <c r="A4196" t="str">
        <f>"20190312154642922"</f>
        <v>20190312154642922</v>
      </c>
      <c r="B4196" t="str">
        <f>"1552376802911403"</f>
        <v>1552376802911403</v>
      </c>
      <c r="C4196" t="s">
        <v>40</v>
      </c>
      <c r="D4196">
        <v>4.8309139999999999</v>
      </c>
      <c r="E4196">
        <v>0.40782950000000001</v>
      </c>
      <c r="F4196" t="s">
        <v>42</v>
      </c>
      <c r="G4196">
        <v>-418.85489999999999</v>
      </c>
      <c r="H4196" s="1">
        <v>-5.8764429999999997E-7</v>
      </c>
      <c r="I4196">
        <v>100.3813</v>
      </c>
      <c r="J4196">
        <v>-418.44400000000002</v>
      </c>
      <c r="K4196">
        <v>1.112638</v>
      </c>
      <c r="L4196">
        <v>113.815</v>
      </c>
      <c r="M4196">
        <v>-0.27773490000000001</v>
      </c>
      <c r="N4196">
        <v>0</v>
      </c>
      <c r="O4196">
        <v>-0.96057239999999999</v>
      </c>
      <c r="P4196">
        <v>-0.27228790000000003</v>
      </c>
      <c r="Q4196">
        <v>2.9248819999999998E-2</v>
      </c>
      <c r="R4196">
        <v>-0.96177140000000005</v>
      </c>
      <c r="S4196">
        <v>-0.105712899999999</v>
      </c>
      <c r="T4196">
        <v>-0.25289070000000002</v>
      </c>
      <c r="U4196">
        <v>-3.0997469999999998</v>
      </c>
      <c r="V4196">
        <v>-5.8387459999999997E-3</v>
      </c>
      <c r="W4196">
        <v>4.2020170000000003E-2</v>
      </c>
      <c r="X4196">
        <v>0.99909970000000003</v>
      </c>
      <c r="Y4196">
        <v>-0.24493980000000001</v>
      </c>
      <c r="Z4196">
        <v>7.5267959999999995E-2</v>
      </c>
      <c r="AA4196">
        <v>0.96661220000000003</v>
      </c>
      <c r="AB4196">
        <v>21</v>
      </c>
      <c r="AC4196">
        <v>-0.41089999999996901</v>
      </c>
      <c r="AD4196">
        <v>-1.1126385876442999</v>
      </c>
      <c r="AE4196">
        <v>-13.4337</v>
      </c>
      <c r="AF4196">
        <v>-3.3138701949584601</v>
      </c>
      <c r="AG4196">
        <v>-1.1126385876442999</v>
      </c>
      <c r="AH4196">
        <v>12.9306106600734</v>
      </c>
      <c r="AI4196">
        <v>94.764765610231507</v>
      </c>
      <c r="AJ4196">
        <v>104.374446912335</v>
      </c>
      <c r="AK4196">
        <v>13.394789745948</v>
      </c>
      <c r="AL4196">
        <v>87.591712528367395</v>
      </c>
      <c r="AM4196">
        <v>90.334833145408496</v>
      </c>
      <c r="AN4196">
        <v>0.99999999809088502</v>
      </c>
    </row>
    <row r="4197" spans="1:40" x14ac:dyDescent="0.25">
      <c r="A4197" t="str">
        <f>"20190312154642946"</f>
        <v>20190312154642946</v>
      </c>
      <c r="B4197" t="str">
        <f>"1552376802941660"</f>
        <v>1552376802941660</v>
      </c>
      <c r="C4197" t="s">
        <v>40</v>
      </c>
      <c r="D4197">
        <v>4.7505249999999997</v>
      </c>
      <c r="E4197">
        <v>0.40784959999999998</v>
      </c>
      <c r="F4197" t="s">
        <v>42</v>
      </c>
      <c r="G4197">
        <v>-418.86540000000002</v>
      </c>
      <c r="H4197" s="1">
        <v>-4.4989309999999998E-7</v>
      </c>
      <c r="I4197">
        <v>100.0299</v>
      </c>
      <c r="J4197">
        <v>-418.49900000000002</v>
      </c>
      <c r="K4197">
        <v>1.1125179999999999</v>
      </c>
      <c r="L4197">
        <v>113.6035</v>
      </c>
      <c r="M4197">
        <v>-0.27306540000000001</v>
      </c>
      <c r="N4197">
        <v>0</v>
      </c>
      <c r="O4197">
        <v>-0.9619086</v>
      </c>
      <c r="P4197">
        <v>-0.26845659999999999</v>
      </c>
      <c r="Q4197">
        <v>2.7296609999999999E-2</v>
      </c>
      <c r="R4197">
        <v>-0.96290500000000001</v>
      </c>
      <c r="S4197">
        <v>-9.4757079999999994E-2</v>
      </c>
      <c r="T4197">
        <v>-0.25021310000000002</v>
      </c>
      <c r="U4197">
        <v>-3.1000369999999999</v>
      </c>
      <c r="V4197">
        <v>-4.9549030000000001E-3</v>
      </c>
      <c r="W4197">
        <v>4.0202099999999998E-2</v>
      </c>
      <c r="X4197">
        <v>0.99917929999999999</v>
      </c>
      <c r="Y4197">
        <v>-0.2436449</v>
      </c>
      <c r="Z4197">
        <v>7.4646580000000004E-2</v>
      </c>
      <c r="AA4197">
        <v>0.96698759999999995</v>
      </c>
      <c r="AB4197">
        <v>21</v>
      </c>
      <c r="AC4197">
        <v>-0.36639999999999801</v>
      </c>
      <c r="AD4197">
        <v>-1.1125184498931</v>
      </c>
      <c r="AE4197">
        <v>-13.573600000000001</v>
      </c>
      <c r="AF4197">
        <v>-3.33195058225555</v>
      </c>
      <c r="AG4197">
        <v>-1.1125184498931</v>
      </c>
      <c r="AH4197">
        <v>13.0699763154712</v>
      </c>
      <c r="AI4197">
        <v>94.715201679569205</v>
      </c>
      <c r="AJ4197">
        <v>104.30187453459401</v>
      </c>
      <c r="AK4197">
        <v>13.533804818709401</v>
      </c>
      <c r="AL4197">
        <v>87.695968463858904</v>
      </c>
      <c r="AM4197">
        <v>90.284125884818195</v>
      </c>
      <c r="AN4197">
        <v>1.0000000167283101</v>
      </c>
    </row>
    <row r="4198" spans="1:40" x14ac:dyDescent="0.25">
      <c r="A4198" t="str">
        <f>"20190312154642967"</f>
        <v>20190312154642967</v>
      </c>
      <c r="B4198" t="str">
        <f>"1552376802962157"</f>
        <v>1552376802962157</v>
      </c>
      <c r="C4198" t="s">
        <v>40</v>
      </c>
      <c r="D4198">
        <v>4.7593259999999997</v>
      </c>
      <c r="E4198">
        <v>0.40791450000000001</v>
      </c>
      <c r="F4198" t="s">
        <v>42</v>
      </c>
      <c r="G4198">
        <v>-418.8605</v>
      </c>
      <c r="H4198" s="1">
        <v>-4.9128840000000002E-7</v>
      </c>
      <c r="I4198">
        <v>100.1343</v>
      </c>
      <c r="J4198">
        <v>-418.54759999999999</v>
      </c>
      <c r="K4198">
        <v>1.1123989999999999</v>
      </c>
      <c r="L4198">
        <v>113.4139</v>
      </c>
      <c r="M4198">
        <v>-0.269051599999999</v>
      </c>
      <c r="N4198">
        <v>0</v>
      </c>
      <c r="O4198">
        <v>-0.96303749999999999</v>
      </c>
      <c r="P4198">
        <v>-0.26580340000000002</v>
      </c>
      <c r="Q4198">
        <v>2.558069E-2</v>
      </c>
      <c r="R4198">
        <v>-0.96368790000000004</v>
      </c>
      <c r="S4198">
        <v>-8.3190920000000002E-2</v>
      </c>
      <c r="T4198">
        <v>-0.25601990000000002</v>
      </c>
      <c r="U4198">
        <v>-3.0996250000000001</v>
      </c>
      <c r="V4198">
        <v>-3.5315020000000002E-3</v>
      </c>
      <c r="W4198">
        <v>3.8592120000000001E-2</v>
      </c>
      <c r="X4198">
        <v>0.99924880000000005</v>
      </c>
      <c r="Y4198">
        <v>-0.24320539999999999</v>
      </c>
      <c r="Z4198">
        <v>7.6524540000000002E-2</v>
      </c>
      <c r="AA4198">
        <v>0.96695149999999996</v>
      </c>
      <c r="AB4198">
        <v>21</v>
      </c>
      <c r="AC4198">
        <v>-0.312900000000013</v>
      </c>
      <c r="AD4198">
        <v>-1.1123994912884001</v>
      </c>
      <c r="AE4198">
        <v>-13.2796</v>
      </c>
      <c r="AF4198">
        <v>-3.2490553524300201</v>
      </c>
      <c r="AG4198">
        <v>-1.1123994912884001</v>
      </c>
      <c r="AH4198">
        <v>12.784375230989999</v>
      </c>
      <c r="AI4198">
        <v>94.820439507979202</v>
      </c>
      <c r="AJ4198">
        <v>104.259420506357</v>
      </c>
      <c r="AK4198">
        <v>13.237599607108701</v>
      </c>
      <c r="AL4198">
        <v>87.788285152346404</v>
      </c>
      <c r="AM4198">
        <v>90.2024914290824</v>
      </c>
      <c r="AN4198">
        <v>0.99999999376695503</v>
      </c>
    </row>
    <row r="4199" spans="1:40" x14ac:dyDescent="0.25">
      <c r="A4199" t="str">
        <f>"20190312154642991"</f>
        <v>20190312154642991</v>
      </c>
      <c r="B4199" t="str">
        <f>"1552376802981688"</f>
        <v>1552376802981688</v>
      </c>
      <c r="C4199" t="s">
        <v>40</v>
      </c>
      <c r="D4199">
        <v>4.6440849999999996</v>
      </c>
      <c r="E4199">
        <v>0.40790199999999999</v>
      </c>
      <c r="F4199" t="s">
        <v>42</v>
      </c>
      <c r="G4199">
        <v>-418.86829999999998</v>
      </c>
      <c r="H4199" s="1">
        <v>-5.3555310000000002E-7</v>
      </c>
      <c r="I4199">
        <v>100.25490000000001</v>
      </c>
      <c r="J4199">
        <v>-418.6028</v>
      </c>
      <c r="K4199">
        <v>1.112279</v>
      </c>
      <c r="L4199">
        <v>113.1955</v>
      </c>
      <c r="M4199">
        <v>-0.26459569999999999</v>
      </c>
      <c r="N4199">
        <v>0</v>
      </c>
      <c r="O4199">
        <v>-0.96427010000000002</v>
      </c>
      <c r="P4199">
        <v>-0.26188679999999998</v>
      </c>
      <c r="Q4199">
        <v>2.3628980000000001E-2</v>
      </c>
      <c r="R4199">
        <v>-0.96480960000000004</v>
      </c>
      <c r="S4199">
        <v>-7.5531009999999996E-2</v>
      </c>
      <c r="T4199">
        <v>-0.26199149999999999</v>
      </c>
      <c r="U4199">
        <v>-3.0991819999999999</v>
      </c>
      <c r="V4199">
        <v>-2.9618399999999999E-3</v>
      </c>
      <c r="W4199">
        <v>3.6738529999999998E-2</v>
      </c>
      <c r="X4199">
        <v>0.99932049999999994</v>
      </c>
      <c r="Y4199">
        <v>-0.24110819999999999</v>
      </c>
      <c r="Z4199">
        <v>7.8487639999999997E-2</v>
      </c>
      <c r="AA4199">
        <v>0.96731929999999999</v>
      </c>
      <c r="AB4199">
        <v>21</v>
      </c>
      <c r="AC4199">
        <v>-0.26549999999997398</v>
      </c>
      <c r="AD4199">
        <v>-1.1122795355531001</v>
      </c>
      <c r="AE4199">
        <v>-12.9405999999999</v>
      </c>
      <c r="AF4199">
        <v>-3.1450608327840901</v>
      </c>
      <c r="AG4199">
        <v>-1.1122795355531001</v>
      </c>
      <c r="AH4199">
        <v>12.457568805521699</v>
      </c>
      <c r="AI4199">
        <v>94.947715979529605</v>
      </c>
      <c r="AJ4199">
        <v>104.168922569774</v>
      </c>
      <c r="AK4199">
        <v>12.896495413538901</v>
      </c>
      <c r="AL4199">
        <v>87.894563430762901</v>
      </c>
      <c r="AM4199">
        <v>90.169815824539697</v>
      </c>
      <c r="AN4199">
        <v>0.999999976901498</v>
      </c>
    </row>
    <row r="4200" spans="1:40" x14ac:dyDescent="0.25">
      <c r="A4200" t="str">
        <f>"20190312154643013"</f>
        <v>20190312154643013</v>
      </c>
      <c r="B4200" t="str">
        <f>"1552376803002171"</f>
        <v>1552376803002171</v>
      </c>
      <c r="C4200" t="s">
        <v>40</v>
      </c>
      <c r="D4200">
        <v>4.6303650000000003</v>
      </c>
      <c r="E4200">
        <v>0.40791040000000001</v>
      </c>
      <c r="F4200" t="s">
        <v>42</v>
      </c>
      <c r="G4200">
        <v>-418.86900000000003</v>
      </c>
      <c r="H4200" s="1">
        <v>-5.6080059999999899E-7</v>
      </c>
      <c r="I4200">
        <v>100.3212</v>
      </c>
      <c r="J4200">
        <v>-418.65460000000002</v>
      </c>
      <c r="K4200">
        <v>1.112185</v>
      </c>
      <c r="L4200">
        <v>112.9873</v>
      </c>
      <c r="M4200">
        <v>-0.26049899999999998</v>
      </c>
      <c r="N4200">
        <v>0</v>
      </c>
      <c r="O4200">
        <v>-0.96538380000000001</v>
      </c>
      <c r="P4200">
        <v>-0.2575886</v>
      </c>
      <c r="Q4200">
        <v>2.2470919999999998E-2</v>
      </c>
      <c r="R4200">
        <v>-0.96599360000000001</v>
      </c>
      <c r="S4200">
        <v>-6.4086909999999997E-2</v>
      </c>
      <c r="T4200">
        <v>-0.2677042</v>
      </c>
      <c r="U4200">
        <v>-3.0985870000000002</v>
      </c>
      <c r="V4200">
        <v>-3.16067E-3</v>
      </c>
      <c r="W4200">
        <v>3.5656350000000003E-2</v>
      </c>
      <c r="X4200">
        <v>0.99935909999999994</v>
      </c>
      <c r="Y4200">
        <v>-0.24055660000000001</v>
      </c>
      <c r="Z4200">
        <v>8.0354010000000003E-2</v>
      </c>
      <c r="AA4200">
        <v>0.96730329999999998</v>
      </c>
      <c r="AB4200">
        <v>21</v>
      </c>
      <c r="AC4200">
        <v>-0.214400000000011</v>
      </c>
      <c r="AD4200">
        <v>-1.1121855608005999</v>
      </c>
      <c r="AE4200">
        <v>-12.6661</v>
      </c>
      <c r="AF4200">
        <v>-3.0691407091993401</v>
      </c>
      <c r="AG4200">
        <v>-1.1121855608005999</v>
      </c>
      <c r="AH4200">
        <v>12.1906042026552</v>
      </c>
      <c r="AI4200">
        <v>95.055919978982601</v>
      </c>
      <c r="AJ4200">
        <v>104.131264005017</v>
      </c>
      <c r="AK4200">
        <v>12.620119343346699</v>
      </c>
      <c r="AL4200">
        <v>87.956608465186903</v>
      </c>
      <c r="AM4200">
        <v>90.181208584215199</v>
      </c>
      <c r="AN4200">
        <v>0.99999998794149003</v>
      </c>
    </row>
    <row r="4201" spans="1:40" x14ac:dyDescent="0.25">
      <c r="A4201" t="str">
        <f>"20190312154643036"</f>
        <v>20190312154643036</v>
      </c>
      <c r="B4201" t="str">
        <f>"1552376803032427"</f>
        <v>1552376803032427</v>
      </c>
      <c r="C4201" t="s">
        <v>40</v>
      </c>
      <c r="D4201">
        <v>4.6534019999999998</v>
      </c>
      <c r="E4201">
        <v>0.40400340000000001</v>
      </c>
      <c r="F4201" t="s">
        <v>42</v>
      </c>
      <c r="G4201">
        <v>-418.86419999999998</v>
      </c>
      <c r="H4201" s="1">
        <v>-5.7348519999999999E-7</v>
      </c>
      <c r="I4201">
        <v>100.3509</v>
      </c>
      <c r="J4201">
        <v>-418.70359999999999</v>
      </c>
      <c r="K4201">
        <v>1.112087</v>
      </c>
      <c r="L4201">
        <v>112.7873</v>
      </c>
      <c r="M4201">
        <v>-0.25671709999999998</v>
      </c>
      <c r="N4201">
        <v>0</v>
      </c>
      <c r="O4201">
        <v>-0.96639560000000002</v>
      </c>
      <c r="P4201">
        <v>-0.2534593</v>
      </c>
      <c r="Q4201">
        <v>2.2064810000000001E-2</v>
      </c>
      <c r="R4201">
        <v>-0.96709449999999997</v>
      </c>
      <c r="S4201">
        <v>-5.1391600000000003E-2</v>
      </c>
      <c r="T4201">
        <v>-0.2726922</v>
      </c>
      <c r="U4201">
        <v>-3.0982669999999999</v>
      </c>
      <c r="V4201">
        <v>-3.510488E-3</v>
      </c>
      <c r="W4201">
        <v>3.5310859999999999E-2</v>
      </c>
      <c r="X4201">
        <v>0.99937019999999999</v>
      </c>
      <c r="Y4201">
        <v>-0.2407183</v>
      </c>
      <c r="Z4201">
        <v>8.1981689999999996E-2</v>
      </c>
      <c r="AA4201">
        <v>0.9671265</v>
      </c>
      <c r="AB4201">
        <v>21</v>
      </c>
      <c r="AC4201">
        <v>-0.160599999999988</v>
      </c>
      <c r="AD4201">
        <v>-1.1120875734852</v>
      </c>
      <c r="AE4201">
        <v>-12.436400000000001</v>
      </c>
      <c r="AF4201">
        <v>-3.0136068875592801</v>
      </c>
      <c r="AG4201">
        <v>-1.1120875734852</v>
      </c>
      <c r="AH4201">
        <v>11.965111084020499</v>
      </c>
      <c r="AI4201">
        <v>95.150118697764</v>
      </c>
      <c r="AJ4201">
        <v>104.136834067148</v>
      </c>
      <c r="AK4201">
        <v>12.3888033520915</v>
      </c>
      <c r="AL4201">
        <v>87.976416059188793</v>
      </c>
      <c r="AM4201">
        <v>90.201262074014394</v>
      </c>
      <c r="AN4201">
        <v>0.99999998850398797</v>
      </c>
    </row>
    <row r="4202" spans="1:40" x14ac:dyDescent="0.25">
      <c r="A4202" t="str">
        <f>"20190312154643060"</f>
        <v>20190312154643060</v>
      </c>
      <c r="B4202" t="str">
        <f>"1552376803051947"</f>
        <v>1552376803051947</v>
      </c>
      <c r="C4202" t="s">
        <v>40</v>
      </c>
      <c r="D4202">
        <v>4.639106</v>
      </c>
      <c r="E4202">
        <v>0.40404479999999998</v>
      </c>
      <c r="F4202" t="s">
        <v>42</v>
      </c>
      <c r="G4202">
        <v>-418.91680000000002</v>
      </c>
      <c r="H4202" s="1">
        <v>-3.8033460000000001E-6</v>
      </c>
      <c r="I4202">
        <v>68.050569999999993</v>
      </c>
      <c r="J4202">
        <v>-418.75569999999999</v>
      </c>
      <c r="K4202">
        <v>1.11199</v>
      </c>
      <c r="L4202">
        <v>112.5722</v>
      </c>
      <c r="M4202">
        <v>-0.25282379999999999</v>
      </c>
      <c r="N4202">
        <v>0</v>
      </c>
      <c r="O4202">
        <v>-0.96742079999999997</v>
      </c>
      <c r="P4202">
        <v>-0.24864629999999999</v>
      </c>
      <c r="Q4202">
        <v>2.1855759999999998E-2</v>
      </c>
      <c r="R4202">
        <v>-0.96834779999999998</v>
      </c>
      <c r="S4202">
        <v>-1.4770510000000001E-2</v>
      </c>
      <c r="T4202">
        <v>-7.7060459999999997E-2</v>
      </c>
      <c r="U4202">
        <v>-3.0999599999999998</v>
      </c>
      <c r="V4202">
        <v>-4.4488119999999999E-3</v>
      </c>
      <c r="W4202">
        <v>3.5154079999999997E-2</v>
      </c>
      <c r="X4202">
        <v>0.99937200000000004</v>
      </c>
      <c r="Y4202">
        <v>-0.2482336</v>
      </c>
      <c r="Z4202">
        <v>2.3250940000000001E-2</v>
      </c>
      <c r="AA4202">
        <v>0.96842110000000003</v>
      </c>
      <c r="AB4202">
        <v>21</v>
      </c>
      <c r="AC4202">
        <v>-0.16110000000003299</v>
      </c>
      <c r="AD4202">
        <v>-1.111993803346</v>
      </c>
      <c r="AE4202">
        <v>-44.521630000000002</v>
      </c>
      <c r="AF4202">
        <v>-11.094338536742001</v>
      </c>
      <c r="AG4202">
        <v>-1.111993803346</v>
      </c>
      <c r="AH4202">
        <v>43.088819840449403</v>
      </c>
      <c r="AI4202">
        <v>91.431632473892705</v>
      </c>
      <c r="AJ4202">
        <v>104.438677467514</v>
      </c>
      <c r="AK4202">
        <v>44.508058517859702</v>
      </c>
      <c r="AL4202">
        <v>87.985404490914107</v>
      </c>
      <c r="AM4202">
        <v>90.255056643282998</v>
      </c>
      <c r="AN4202">
        <v>0.99999999782642801</v>
      </c>
    </row>
    <row r="4203" spans="1:40" x14ac:dyDescent="0.25">
      <c r="A4203" t="str">
        <f>"20190312154643085"</f>
        <v>20190312154643085</v>
      </c>
      <c r="B4203" t="str">
        <f>"1552376803071468"</f>
        <v>1552376803071468</v>
      </c>
      <c r="C4203" t="s">
        <v>40</v>
      </c>
      <c r="D4203">
        <v>4.6454519999999997</v>
      </c>
      <c r="E4203">
        <v>0.40586630000000001</v>
      </c>
      <c r="F4203" t="s">
        <v>42</v>
      </c>
      <c r="G4203">
        <v>-418.74700000000001</v>
      </c>
      <c r="H4203" s="1">
        <v>-3.4566320000000001E-6</v>
      </c>
      <c r="I4203">
        <v>77.172159999999906</v>
      </c>
      <c r="J4203">
        <v>-418.80709999999999</v>
      </c>
      <c r="K4203">
        <v>1.111882</v>
      </c>
      <c r="L4203">
        <v>112.3573</v>
      </c>
      <c r="M4203">
        <v>-0.24911839999999999</v>
      </c>
      <c r="N4203">
        <v>0</v>
      </c>
      <c r="O4203">
        <v>-0.96838089999999999</v>
      </c>
      <c r="P4203">
        <v>-0.2436633</v>
      </c>
      <c r="Q4203">
        <v>2.1133849999999999E-2</v>
      </c>
      <c r="R4203">
        <v>-0.96962969999999904</v>
      </c>
      <c r="S4203">
        <v>7.6293949999999998E-4</v>
      </c>
      <c r="T4203">
        <v>-9.7391370000000005E-2</v>
      </c>
      <c r="U4203">
        <v>-3.1004330000000002</v>
      </c>
      <c r="V4203">
        <v>-5.7541809999999997E-3</v>
      </c>
      <c r="W4203">
        <v>3.4472139999999998E-2</v>
      </c>
      <c r="X4203">
        <v>0.99938910000000003</v>
      </c>
      <c r="Y4203">
        <v>-0.24937690000000001</v>
      </c>
      <c r="Z4203">
        <v>2.941593E-2</v>
      </c>
      <c r="AA4203">
        <v>0.96795960000000003</v>
      </c>
      <c r="AB4203">
        <v>21</v>
      </c>
      <c r="AC4203">
        <v>6.0100000000034001E-2</v>
      </c>
      <c r="AD4203">
        <v>-1.111885456632</v>
      </c>
      <c r="AE4203">
        <v>-35.185139999999997</v>
      </c>
      <c r="AF4203">
        <v>-8.8154495907399504</v>
      </c>
      <c r="AG4203">
        <v>-1.111885456632</v>
      </c>
      <c r="AH4203">
        <v>34.026705065721998</v>
      </c>
      <c r="AI4203">
        <v>91.811804995597001</v>
      </c>
      <c r="AJ4203">
        <v>104.524532259528</v>
      </c>
      <c r="AK4203">
        <v>35.167671210718197</v>
      </c>
      <c r="AL4203">
        <v>88.024500490447807</v>
      </c>
      <c r="AM4203">
        <v>90.329888171413202</v>
      </c>
      <c r="AN4203">
        <v>1.00000000611698</v>
      </c>
    </row>
    <row r="4204" spans="1:40" x14ac:dyDescent="0.25">
      <c r="A4204" t="str">
        <f>"20190312154643123"</f>
        <v>20190312154643123</v>
      </c>
      <c r="B4204" t="str">
        <f>"1552376803111484"</f>
        <v>1552376803111484</v>
      </c>
      <c r="C4204" t="s">
        <v>40</v>
      </c>
      <c r="D4204">
        <v>4.6403650000000001</v>
      </c>
      <c r="E4204">
        <v>0.40763670000000002</v>
      </c>
      <c r="F4204" t="s">
        <v>42</v>
      </c>
      <c r="G4204">
        <v>-418.77879999999999</v>
      </c>
      <c r="H4204" s="1">
        <v>-2.137235E-6</v>
      </c>
      <c r="I4204">
        <v>74.109759999999994</v>
      </c>
      <c r="J4204">
        <v>-418.89010000000002</v>
      </c>
      <c r="K4204">
        <v>1.111699</v>
      </c>
      <c r="L4204">
        <v>112.0038</v>
      </c>
      <c r="M4204">
        <v>-0.24343020000000001</v>
      </c>
      <c r="N4204">
        <v>0</v>
      </c>
      <c r="O4204">
        <v>-0.96982579999999996</v>
      </c>
      <c r="P4204">
        <v>-0.23755799999999999</v>
      </c>
      <c r="Q4204">
        <v>1.8011579999999999E-2</v>
      </c>
      <c r="R4204">
        <v>-0.97120669999999998</v>
      </c>
      <c r="S4204">
        <v>2.2888180000000002E-3</v>
      </c>
      <c r="T4204">
        <v>-9.0017440000000004E-2</v>
      </c>
      <c r="U4204">
        <v>-3.0964969999999998</v>
      </c>
      <c r="V4204">
        <v>-6.1622489999999999E-3</v>
      </c>
      <c r="W4204">
        <v>3.1407740000000003E-2</v>
      </c>
      <c r="X4204">
        <v>0.99948760000000003</v>
      </c>
      <c r="Y4204">
        <v>-0.2441671</v>
      </c>
      <c r="Z4204">
        <v>2.7307430000000001E-2</v>
      </c>
      <c r="AA4204">
        <v>0.9693486</v>
      </c>
      <c r="AB4204">
        <v>21</v>
      </c>
      <c r="AC4204">
        <v>0.111300000000028</v>
      </c>
      <c r="AD4204">
        <v>-1.1117011372350001</v>
      </c>
      <c r="AE4204">
        <v>-37.894039999999997</v>
      </c>
      <c r="AF4204">
        <v>-9.3253078775909302</v>
      </c>
      <c r="AG4204">
        <v>-1.1117011372350001</v>
      </c>
      <c r="AH4204">
        <v>36.695241063559799</v>
      </c>
      <c r="AI4204">
        <v>91.681848054279499</v>
      </c>
      <c r="AJ4204">
        <v>104.258659391065</v>
      </c>
      <c r="AK4204">
        <v>37.877935043282797</v>
      </c>
      <c r="AL4204">
        <v>88.200172959597893</v>
      </c>
      <c r="AM4204">
        <v>90.3532473904</v>
      </c>
      <c r="AN4204">
        <v>0.99999994099920098</v>
      </c>
    </row>
    <row r="4205" spans="1:40" x14ac:dyDescent="0.25">
      <c r="A4205" t="str">
        <f>"20190312154643145"</f>
        <v>20190312154643145</v>
      </c>
      <c r="B4205" t="str">
        <f>"1552376803141739"</f>
        <v>1552376803141739</v>
      </c>
      <c r="C4205" t="s">
        <v>40</v>
      </c>
      <c r="D4205">
        <v>4.5820410000000003</v>
      </c>
      <c r="E4205">
        <v>0.40876400000000002</v>
      </c>
      <c r="F4205" t="s">
        <v>42</v>
      </c>
      <c r="G4205">
        <v>-418.79750000000001</v>
      </c>
      <c r="H4205" s="1">
        <v>-2.4664659999999999E-6</v>
      </c>
      <c r="I4205">
        <v>74.884929999999997</v>
      </c>
      <c r="J4205">
        <v>-418.93680000000001</v>
      </c>
      <c r="K4205">
        <v>1.111621</v>
      </c>
      <c r="L4205">
        <v>111.80200000000001</v>
      </c>
      <c r="M4205">
        <v>-0.24038129999999999</v>
      </c>
      <c r="N4205">
        <v>0</v>
      </c>
      <c r="O4205">
        <v>-0.97058540000000004</v>
      </c>
      <c r="P4205">
        <v>-0.23346239999999999</v>
      </c>
      <c r="Q4205">
        <v>1.880457E-2</v>
      </c>
      <c r="R4205">
        <v>-0.9721841</v>
      </c>
      <c r="S4205">
        <v>7.7209469999999997E-3</v>
      </c>
      <c r="T4205">
        <v>-9.2621560000000006E-2</v>
      </c>
      <c r="U4205">
        <v>-3.0925600000000002</v>
      </c>
      <c r="V4205">
        <v>-7.2267669999999899E-3</v>
      </c>
      <c r="W4205">
        <v>3.2223189999999999E-2</v>
      </c>
      <c r="X4205">
        <v>0.99945459999999997</v>
      </c>
      <c r="Y4205">
        <v>-0.24282300000000001</v>
      </c>
      <c r="Z4205">
        <v>2.8171499999999999E-2</v>
      </c>
      <c r="AA4205">
        <v>0.96966149999999995</v>
      </c>
      <c r="AB4205">
        <v>21</v>
      </c>
      <c r="AC4205">
        <v>0.13929999999999099</v>
      </c>
      <c r="AD4205">
        <v>-1.1116234664659901</v>
      </c>
      <c r="AE4205">
        <v>-36.917070000000002</v>
      </c>
      <c r="AF4205">
        <v>-9.0020284636089496</v>
      </c>
      <c r="AG4205">
        <v>-1.1116234664659901</v>
      </c>
      <c r="AH4205">
        <v>35.768490170422403</v>
      </c>
      <c r="AI4205">
        <v>91.726283693709803</v>
      </c>
      <c r="AJ4205">
        <v>104.126523429149</v>
      </c>
      <c r="AK4205">
        <v>36.900638372017703</v>
      </c>
      <c r="AL4205">
        <v>88.153427609867805</v>
      </c>
      <c r="AM4205">
        <v>90.414281982063201</v>
      </c>
      <c r="AN4205">
        <v>1.0000000287980999</v>
      </c>
    </row>
    <row r="4206" spans="1:40" x14ac:dyDescent="0.25">
      <c r="A4206" t="str">
        <f>"20190312154643168"</f>
        <v>20190312154643168</v>
      </c>
      <c r="B4206" t="str">
        <f>"1552376803162239"</f>
        <v>1552376803162239</v>
      </c>
      <c r="C4206" t="s">
        <v>40</v>
      </c>
      <c r="D4206">
        <v>4.7253020000000001</v>
      </c>
      <c r="E4206">
        <v>0.45831440000000001</v>
      </c>
      <c r="F4206" t="s">
        <v>42</v>
      </c>
      <c r="G4206">
        <v>-418.79820000000001</v>
      </c>
      <c r="H4206" s="1">
        <v>-2.507917E-6</v>
      </c>
      <c r="I4206">
        <v>74.981890000000007</v>
      </c>
      <c r="J4206">
        <v>-418.98250000000002</v>
      </c>
      <c r="K4206">
        <v>1.1115349999999999</v>
      </c>
      <c r="L4206">
        <v>111.60250000000001</v>
      </c>
      <c r="M4206">
        <v>-0.23752970000000001</v>
      </c>
      <c r="N4206">
        <v>0</v>
      </c>
      <c r="O4206">
        <v>-0.97128700000000001</v>
      </c>
      <c r="P4206">
        <v>-0.22910130000000001</v>
      </c>
      <c r="Q4206">
        <v>1.8407409999999999E-2</v>
      </c>
      <c r="R4206">
        <v>-0.97322869999999995</v>
      </c>
      <c r="S4206">
        <v>1.1627200000000001E-2</v>
      </c>
      <c r="T4206">
        <v>-9.3302369999999996E-2</v>
      </c>
      <c r="U4206">
        <v>-3.0904389999999999</v>
      </c>
      <c r="V4206">
        <v>-8.7666859999999992E-3</v>
      </c>
      <c r="W4206">
        <v>3.184145E-2</v>
      </c>
      <c r="X4206">
        <v>0.99945450000000002</v>
      </c>
      <c r="Y4206">
        <v>-0.241201</v>
      </c>
      <c r="Z4206">
        <v>2.843559E-2</v>
      </c>
      <c r="AA4206">
        <v>0.97005850000000005</v>
      </c>
      <c r="AB4206">
        <v>21</v>
      </c>
      <c r="AC4206">
        <v>0.18430000000000701</v>
      </c>
      <c r="AD4206">
        <v>-1.111537507917</v>
      </c>
      <c r="AE4206">
        <v>-36.620609999999999</v>
      </c>
      <c r="AF4206">
        <v>-8.8701233716115908</v>
      </c>
      <c r="AG4206">
        <v>-1.111537507917</v>
      </c>
      <c r="AH4206">
        <v>35.495863616845597</v>
      </c>
      <c r="AI4206">
        <v>91.740131378647007</v>
      </c>
      <c r="AJ4206">
        <v>104.030405730353</v>
      </c>
      <c r="AK4206">
        <v>36.604247542666698</v>
      </c>
      <c r="AL4206">
        <v>88.175310905107906</v>
      </c>
      <c r="AM4206">
        <v>90.502555370713694</v>
      </c>
      <c r="AN4206">
        <v>1.0000000151458801</v>
      </c>
    </row>
    <row r="4207" spans="1:40" x14ac:dyDescent="0.25">
      <c r="A4207" t="str">
        <f>"20190312154643190"</f>
        <v>20190312154643190</v>
      </c>
      <c r="B4207" t="str">
        <f>"1552376803181756"</f>
        <v>1552376803181756</v>
      </c>
      <c r="C4207" t="s">
        <v>40</v>
      </c>
      <c r="D4207">
        <v>4.5406300000000002</v>
      </c>
      <c r="E4207">
        <v>0.51718869999999995</v>
      </c>
      <c r="F4207" t="s">
        <v>42</v>
      </c>
      <c r="G4207">
        <v>-420.84800000000001</v>
      </c>
      <c r="H4207" s="1">
        <v>-2.955104E-6</v>
      </c>
      <c r="I4207">
        <v>95.951599999999999</v>
      </c>
      <c r="J4207">
        <v>-419.02800000000002</v>
      </c>
      <c r="K4207">
        <v>1.11145</v>
      </c>
      <c r="L4207">
        <v>111.40219999999999</v>
      </c>
      <c r="M4207">
        <v>-0.23480409999999999</v>
      </c>
      <c r="N4207">
        <v>0</v>
      </c>
      <c r="O4207">
        <v>-0.97194950000000002</v>
      </c>
      <c r="P4207">
        <v>-0.22637389999999999</v>
      </c>
      <c r="Q4207">
        <v>1.526276E-2</v>
      </c>
      <c r="R4207">
        <v>-0.97392140000000005</v>
      </c>
      <c r="S4207">
        <v>-0.35784909999999998</v>
      </c>
      <c r="T4207">
        <v>-0.21322630000000001</v>
      </c>
      <c r="U4207">
        <v>-3.0023040000000001</v>
      </c>
      <c r="V4207">
        <v>-8.7584599999999992E-3</v>
      </c>
      <c r="W4207">
        <v>2.871578E-2</v>
      </c>
      <c r="X4207">
        <v>0.99954929999999997</v>
      </c>
      <c r="Y4207">
        <v>-0.1184055</v>
      </c>
      <c r="Z4207">
        <v>6.7402020000000007E-2</v>
      </c>
      <c r="AA4207">
        <v>0.99067510000000003</v>
      </c>
      <c r="AB4207">
        <v>21</v>
      </c>
      <c r="AC4207">
        <v>-1.8199999999999901</v>
      </c>
      <c r="AD4207">
        <v>-1.111452955104</v>
      </c>
      <c r="AE4207">
        <v>-15.4505999999999</v>
      </c>
      <c r="AF4207">
        <v>-1.8496440826678999</v>
      </c>
      <c r="AG4207">
        <v>-1.111452955104</v>
      </c>
      <c r="AH4207">
        <v>15.3675108279364</v>
      </c>
      <c r="AI4207">
        <v>94.107165845194302</v>
      </c>
      <c r="AJ4207">
        <v>96.863144734792201</v>
      </c>
      <c r="AK4207">
        <v>15.51827632022</v>
      </c>
      <c r="AL4207">
        <v>88.354480889959305</v>
      </c>
      <c r="AM4207">
        <v>90.502036218062102</v>
      </c>
      <c r="AN4207">
        <v>1.00000005488653</v>
      </c>
    </row>
    <row r="4208" spans="1:40" x14ac:dyDescent="0.25">
      <c r="A4208" t="str">
        <f>"20190312154643212"</f>
        <v>20190312154643212</v>
      </c>
      <c r="B4208" t="str">
        <f>"1552376803202252"</f>
        <v>1552376803202252</v>
      </c>
      <c r="C4208" t="s">
        <v>40</v>
      </c>
      <c r="D4208">
        <v>4.5818059999999896</v>
      </c>
      <c r="E4208">
        <v>0.53386809999999996</v>
      </c>
      <c r="F4208" t="s">
        <v>41</v>
      </c>
      <c r="G4208">
        <v>-419.25229999999999</v>
      </c>
      <c r="H4208">
        <v>1.0086459999999999</v>
      </c>
      <c r="I4208">
        <v>110.5955</v>
      </c>
      <c r="J4208">
        <v>-419.07330000000002</v>
      </c>
      <c r="K4208">
        <v>1.1113710000000001</v>
      </c>
      <c r="L4208">
        <v>111.2002</v>
      </c>
      <c r="M4208">
        <v>-0.23216909999999999</v>
      </c>
      <c r="N4208">
        <v>0</v>
      </c>
      <c r="O4208">
        <v>-0.97258180000000005</v>
      </c>
      <c r="P4208">
        <v>-0.22477220000000001</v>
      </c>
      <c r="Q4208">
        <v>1.178947E-2</v>
      </c>
      <c r="R4208">
        <v>-0.97434030000000005</v>
      </c>
      <c r="S4208">
        <v>-0.80514529999999995</v>
      </c>
      <c r="T4208">
        <v>-0.36968669999999998</v>
      </c>
      <c r="U4208">
        <v>-2.8990019999999999</v>
      </c>
      <c r="V4208">
        <v>-7.6882019999999999E-3</v>
      </c>
      <c r="W4208">
        <v>2.52614E-2</v>
      </c>
      <c r="X4208">
        <v>0.99965130000000002</v>
      </c>
      <c r="Y4208">
        <v>3.4607899999999997E-2</v>
      </c>
      <c r="Z4208">
        <v>0.1191371</v>
      </c>
      <c r="AA4208">
        <v>0.99227449999999995</v>
      </c>
      <c r="AB4208">
        <v>21</v>
      </c>
      <c r="AC4208">
        <v>-0.17899999999997299</v>
      </c>
      <c r="AD4208">
        <v>-0.102724999999999</v>
      </c>
      <c r="AE4208">
        <v>-0.60469999999999402</v>
      </c>
      <c r="AF4208">
        <v>3.2831426808962699E-2</v>
      </c>
      <c r="AG4208">
        <v>-0.102724999999999</v>
      </c>
      <c r="AH4208">
        <v>0.61345867893596595</v>
      </c>
      <c r="AI4208">
        <v>99.492770165348006</v>
      </c>
      <c r="AJ4208">
        <v>86.936534827297805</v>
      </c>
      <c r="AK4208">
        <v>0.622865859534115</v>
      </c>
      <c r="AL4208">
        <v>88.552474391073702</v>
      </c>
      <c r="AM4208">
        <v>90.440646495208298</v>
      </c>
      <c r="AN4208">
        <v>0.99999998418582103</v>
      </c>
    </row>
    <row r="4209" spans="1:40" x14ac:dyDescent="0.25">
      <c r="A4209" t="str">
        <f>"20190312154643235"</f>
        <v>20190312154643235</v>
      </c>
      <c r="B4209" t="str">
        <f>"1552376803221772"</f>
        <v>1552376803221772</v>
      </c>
      <c r="C4209" t="s">
        <v>40</v>
      </c>
      <c r="D4209">
        <v>4.5874180000000004</v>
      </c>
      <c r="E4209">
        <v>0.54352509999999998</v>
      </c>
      <c r="F4209" t="s">
        <v>41</v>
      </c>
      <c r="G4209">
        <v>-419.32010000000002</v>
      </c>
      <c r="H4209">
        <v>0.98013280000000003</v>
      </c>
      <c r="I4209">
        <v>110.4374</v>
      </c>
      <c r="J4209">
        <v>-419.11849999999998</v>
      </c>
      <c r="K4209">
        <v>1.11131</v>
      </c>
      <c r="L4209">
        <v>110.997</v>
      </c>
      <c r="M4209">
        <v>-0.2296222</v>
      </c>
      <c r="N4209">
        <v>0</v>
      </c>
      <c r="O4209">
        <v>-0.97318610000000005</v>
      </c>
      <c r="P4209">
        <v>-0.22346379999999999</v>
      </c>
      <c r="Q4209">
        <v>1.105284E-2</v>
      </c>
      <c r="R4209">
        <v>-0.9746496</v>
      </c>
      <c r="S4209">
        <v>-0.92752080000000003</v>
      </c>
      <c r="T4209">
        <v>-0.4942859</v>
      </c>
      <c r="U4209">
        <v>-2.8710170000000002</v>
      </c>
      <c r="V4209">
        <v>-6.4089269999999896E-3</v>
      </c>
      <c r="W4209">
        <v>2.454112E-2</v>
      </c>
      <c r="X4209">
        <v>0.99967830000000002</v>
      </c>
      <c r="Y4209">
        <v>7.6674140000000002E-2</v>
      </c>
      <c r="Z4209">
        <v>0.15884119999999999</v>
      </c>
      <c r="AA4209">
        <v>0.98432240000000004</v>
      </c>
      <c r="AB4209">
        <v>21</v>
      </c>
      <c r="AC4209">
        <v>-0.201600000000041</v>
      </c>
      <c r="AD4209">
        <v>-0.13117719999999899</v>
      </c>
      <c r="AE4209">
        <v>-0.55960000000001697</v>
      </c>
      <c r="AF4209">
        <v>6.4563735372320505E-2</v>
      </c>
      <c r="AG4209">
        <v>-0.13117719999999899</v>
      </c>
      <c r="AH4209">
        <v>0.56353226165172499</v>
      </c>
      <c r="AI4209">
        <v>103.021521821862</v>
      </c>
      <c r="AJ4209">
        <v>83.464136035853599</v>
      </c>
      <c r="AK4209">
        <v>0.58218943965634995</v>
      </c>
      <c r="AL4209">
        <v>88.593756251007903</v>
      </c>
      <c r="AM4209">
        <v>90.367317603707207</v>
      </c>
      <c r="AN4209">
        <v>1.0000000222035099</v>
      </c>
    </row>
    <row r="4210" spans="1:40" x14ac:dyDescent="0.25">
      <c r="A4210" t="str">
        <f>"20190312154643279"</f>
        <v>20190312154643279</v>
      </c>
      <c r="B4210" t="str">
        <f>"1552376803271547"</f>
        <v>1552376803271547</v>
      </c>
      <c r="C4210" t="s">
        <v>40</v>
      </c>
      <c r="D4210">
        <v>4.5716570000000001</v>
      </c>
      <c r="E4210">
        <v>0.55425809999999998</v>
      </c>
      <c r="F4210" t="s">
        <v>41</v>
      </c>
      <c r="G4210">
        <v>-419.3707</v>
      </c>
      <c r="H4210">
        <v>0.9525962</v>
      </c>
      <c r="I4210">
        <v>110.2744</v>
      </c>
      <c r="J4210">
        <v>-419.20510000000002</v>
      </c>
      <c r="K4210">
        <v>1.111218</v>
      </c>
      <c r="L4210">
        <v>110.6024</v>
      </c>
      <c r="M4210">
        <v>-0.2249391</v>
      </c>
      <c r="N4210">
        <v>0</v>
      </c>
      <c r="O4210">
        <v>-0.9742788</v>
      </c>
      <c r="P4210">
        <v>-0.21949879999999999</v>
      </c>
      <c r="Q4210">
        <v>1.289525E-2</v>
      </c>
      <c r="R4210">
        <v>-0.9755277</v>
      </c>
      <c r="S4210">
        <v>-0.99502559999999995</v>
      </c>
      <c r="T4210">
        <v>-0.62804349999999998</v>
      </c>
      <c r="U4210">
        <v>-2.85704</v>
      </c>
      <c r="V4210">
        <v>-5.6602629999999996E-3</v>
      </c>
      <c r="W4210">
        <v>2.640209E-2</v>
      </c>
      <c r="X4210">
        <v>0.99963539999999995</v>
      </c>
      <c r="Y4210">
        <v>0.1011773</v>
      </c>
      <c r="Z4210">
        <v>0.20050080000000001</v>
      </c>
      <c r="AA4210">
        <v>0.97445510000000002</v>
      </c>
      <c r="AB4210">
        <v>21</v>
      </c>
      <c r="AC4210">
        <v>-0.16559999999998301</v>
      </c>
      <c r="AD4210">
        <v>-0.15862180000000001</v>
      </c>
      <c r="AE4210">
        <v>-0.32800000000000201</v>
      </c>
      <c r="AF4210">
        <v>7.3812394979075699E-2</v>
      </c>
      <c r="AG4210">
        <v>-0.15862180000000001</v>
      </c>
      <c r="AH4210">
        <v>0.300789001700837</v>
      </c>
      <c r="AI4210">
        <v>117.119572254752</v>
      </c>
      <c r="AJ4210">
        <v>76.212301052004605</v>
      </c>
      <c r="AK4210">
        <v>0.34797006858632701</v>
      </c>
      <c r="AL4210">
        <v>88.487095902855998</v>
      </c>
      <c r="AM4210">
        <v>90.324423999895899</v>
      </c>
      <c r="AN4210">
        <v>1.0000000209333699</v>
      </c>
    </row>
    <row r="4211" spans="1:40" x14ac:dyDescent="0.25">
      <c r="A4211" t="str">
        <f>"20190312154643301"</f>
        <v>20190312154643301</v>
      </c>
      <c r="B4211" t="str">
        <f>"1552376803292044"</f>
        <v>1552376803292044</v>
      </c>
      <c r="C4211" t="s">
        <v>40</v>
      </c>
      <c r="D4211">
        <v>4.5926999999999998</v>
      </c>
      <c r="E4211">
        <v>0.55674140000000005</v>
      </c>
      <c r="F4211" t="s">
        <v>41</v>
      </c>
      <c r="G4211">
        <v>-419.45859999999999</v>
      </c>
      <c r="H4211">
        <v>0.93781899999999996</v>
      </c>
      <c r="I4211">
        <v>109.92529999999999</v>
      </c>
      <c r="J4211">
        <v>-419.24900000000002</v>
      </c>
      <c r="K4211">
        <v>1.111181</v>
      </c>
      <c r="L4211">
        <v>110.3997</v>
      </c>
      <c r="M4211">
        <v>-0.22263659999999999</v>
      </c>
      <c r="N4211">
        <v>0</v>
      </c>
      <c r="O4211">
        <v>-0.97480750000000005</v>
      </c>
      <c r="P4211">
        <v>-0.21918029999999999</v>
      </c>
      <c r="Q4211">
        <v>1.3430569999999999E-2</v>
      </c>
      <c r="R4211">
        <v>-0.97559200000000001</v>
      </c>
      <c r="S4211">
        <v>-1.063965</v>
      </c>
      <c r="T4211">
        <v>-0.72895840000000001</v>
      </c>
      <c r="U4211">
        <v>-2.8455050000000002</v>
      </c>
      <c r="V4211">
        <v>-3.621511E-3</v>
      </c>
      <c r="W4211">
        <v>2.694883E-2</v>
      </c>
      <c r="X4211">
        <v>0.99963029999999997</v>
      </c>
      <c r="Y4211">
        <v>0.12319629999999999</v>
      </c>
      <c r="Z4211">
        <v>0.2308915</v>
      </c>
      <c r="AA4211">
        <v>0.96514860000000002</v>
      </c>
      <c r="AB4211">
        <v>21</v>
      </c>
      <c r="AC4211">
        <v>-0.20959999999996601</v>
      </c>
      <c r="AD4211">
        <v>-0.17336199999999899</v>
      </c>
      <c r="AE4211">
        <v>-0.47440000000000199</v>
      </c>
      <c r="AF4211">
        <v>8.8789329039570694E-2</v>
      </c>
      <c r="AG4211">
        <v>-0.17336199999999899</v>
      </c>
      <c r="AH4211">
        <v>0.45798825055217302</v>
      </c>
      <c r="AI4211">
        <v>110.385585371679</v>
      </c>
      <c r="AJ4211">
        <v>79.028279590066404</v>
      </c>
      <c r="AK4211">
        <v>0.497685810164543</v>
      </c>
      <c r="AL4211">
        <v>88.455758895535695</v>
      </c>
      <c r="AM4211">
        <v>90.207573127748901</v>
      </c>
      <c r="AN4211">
        <v>1.00000004572919</v>
      </c>
    </row>
    <row r="4212" spans="1:40" x14ac:dyDescent="0.25">
      <c r="A4212" t="str">
        <f>"20190312154643324"</f>
        <v>20190312154643324</v>
      </c>
      <c r="B4212" t="str">
        <f>"1552376803311564"</f>
        <v>1552376803311564</v>
      </c>
      <c r="C4212" t="s">
        <v>40</v>
      </c>
      <c r="D4212">
        <v>4.5973160000000002</v>
      </c>
      <c r="E4212">
        <v>0.55852760000000001</v>
      </c>
      <c r="F4212" t="s">
        <v>41</v>
      </c>
      <c r="G4212">
        <v>-419.49810000000002</v>
      </c>
      <c r="H4212">
        <v>0.94019850000000005</v>
      </c>
      <c r="I4212">
        <v>109.7452</v>
      </c>
      <c r="J4212">
        <v>-419.29090000000002</v>
      </c>
      <c r="K4212">
        <v>1.111154</v>
      </c>
      <c r="L4212">
        <v>110.2045</v>
      </c>
      <c r="M4212">
        <v>-0.2204815</v>
      </c>
      <c r="N4212">
        <v>0</v>
      </c>
      <c r="O4212">
        <v>-0.97529730000000003</v>
      </c>
      <c r="P4212">
        <v>-0.22038140000000001</v>
      </c>
      <c r="Q4212">
        <v>1.2875040000000001E-2</v>
      </c>
      <c r="R4212">
        <v>-0.97532890000000005</v>
      </c>
      <c r="S4212">
        <v>-1.081604</v>
      </c>
      <c r="T4212">
        <v>-0.74257150000000005</v>
      </c>
      <c r="U4212">
        <v>-2.842285</v>
      </c>
      <c r="V4212">
        <v>-1.7857680000000001E-4</v>
      </c>
      <c r="W4212">
        <v>2.6408290000000001E-2</v>
      </c>
      <c r="X4212">
        <v>0.99965130000000002</v>
      </c>
      <c r="Y4212">
        <v>0.13063279999999999</v>
      </c>
      <c r="Z4212">
        <v>0.23501630000000001</v>
      </c>
      <c r="AA4212">
        <v>0.9631731</v>
      </c>
      <c r="AB4212">
        <v>21</v>
      </c>
      <c r="AC4212">
        <v>-0.2072</v>
      </c>
      <c r="AD4212">
        <v>-0.17095550000000001</v>
      </c>
      <c r="AE4212">
        <v>-0.45929999999999799</v>
      </c>
      <c r="AF4212">
        <v>9.0415680374428695E-2</v>
      </c>
      <c r="AG4212">
        <v>-0.17095550000000001</v>
      </c>
      <c r="AH4212">
        <v>0.44272026592095598</v>
      </c>
      <c r="AI4212">
        <v>110.72355797187301</v>
      </c>
      <c r="AJ4212">
        <v>78.457352774595407</v>
      </c>
      <c r="AK4212">
        <v>0.48311697558142502</v>
      </c>
      <c r="AL4212">
        <v>88.486740627916106</v>
      </c>
      <c r="AM4212">
        <v>90.010235265887303</v>
      </c>
      <c r="AN4212">
        <v>1.0000000756310401</v>
      </c>
    </row>
    <row r="4213" spans="1:40" x14ac:dyDescent="0.25">
      <c r="A4213" t="str">
        <f>"20190312154643345"</f>
        <v>20190312154643345</v>
      </c>
      <c r="B4213" t="str">
        <f>"1552376803341820"</f>
        <v>1552376803341820</v>
      </c>
      <c r="C4213" t="s">
        <v>40</v>
      </c>
      <c r="D4213">
        <v>4.6307</v>
      </c>
      <c r="E4213">
        <v>0.56031399999999998</v>
      </c>
      <c r="F4213" t="s">
        <v>41</v>
      </c>
      <c r="G4213">
        <v>-419.59859999999998</v>
      </c>
      <c r="H4213">
        <v>0.9004683</v>
      </c>
      <c r="I4213">
        <v>109.41030000000001</v>
      </c>
      <c r="J4213">
        <v>-419.33300000000003</v>
      </c>
      <c r="K4213">
        <v>1.111129</v>
      </c>
      <c r="L4213">
        <v>110.006</v>
      </c>
      <c r="M4213">
        <v>-0.21835309999999999</v>
      </c>
      <c r="N4213">
        <v>0</v>
      </c>
      <c r="O4213">
        <v>-0.97577619999999998</v>
      </c>
      <c r="P4213">
        <v>-0.221777</v>
      </c>
      <c r="Q4213">
        <v>1.299875E-2</v>
      </c>
      <c r="R4213">
        <v>-0.97501119999999997</v>
      </c>
      <c r="S4213">
        <v>-1.0989690000000001</v>
      </c>
      <c r="T4213">
        <v>-0.75275439999999905</v>
      </c>
      <c r="U4213">
        <v>-2.8375089999999998</v>
      </c>
      <c r="V4213">
        <v>3.4358660000000001E-3</v>
      </c>
      <c r="W4213">
        <v>2.6545099999999999E-2</v>
      </c>
      <c r="X4213">
        <v>0.99964169999999997</v>
      </c>
      <c r="Y4213">
        <v>0.13818429999999901</v>
      </c>
      <c r="Z4213">
        <v>0.2382117</v>
      </c>
      <c r="AA4213">
        <v>0.96133259999999998</v>
      </c>
      <c r="AB4213">
        <v>21</v>
      </c>
      <c r="AC4213">
        <v>-0.26559999999994899</v>
      </c>
      <c r="AD4213">
        <v>-0.21066069999999901</v>
      </c>
      <c r="AE4213">
        <v>-0.59569999999999301</v>
      </c>
      <c r="AF4213">
        <v>0.116909057816883</v>
      </c>
      <c r="AG4213">
        <v>-0.21066069999999901</v>
      </c>
      <c r="AH4213">
        <v>0.578928994788935</v>
      </c>
      <c r="AI4213">
        <v>109.630301836924</v>
      </c>
      <c r="AJ4213">
        <v>78.583215852993206</v>
      </c>
      <c r="AK4213">
        <v>0.62706015607072996</v>
      </c>
      <c r="AL4213">
        <v>88.478899110548696</v>
      </c>
      <c r="AM4213">
        <v>89.803069594271093</v>
      </c>
      <c r="AN4213">
        <v>0.999999987944034</v>
      </c>
    </row>
    <row r="4214" spans="1:40" x14ac:dyDescent="0.25">
      <c r="A4214" t="str">
        <f>"20190312154643369"</f>
        <v>20190312154643369</v>
      </c>
      <c r="B4214" t="str">
        <f>"1552376803362316"</f>
        <v>1552376803362316</v>
      </c>
      <c r="C4214" t="s">
        <v>40</v>
      </c>
      <c r="D4214">
        <v>4.5879760000000003</v>
      </c>
      <c r="E4214">
        <v>0.56148619999999905</v>
      </c>
      <c r="F4214" t="s">
        <v>41</v>
      </c>
      <c r="G4214">
        <v>-419.63850000000002</v>
      </c>
      <c r="H4214">
        <v>0.90085099999999996</v>
      </c>
      <c r="I4214">
        <v>109.23180000000001</v>
      </c>
      <c r="J4214">
        <v>-419.37569999999999</v>
      </c>
      <c r="K4214">
        <v>1.11111</v>
      </c>
      <c r="L4214">
        <v>109.8034</v>
      </c>
      <c r="M4214">
        <v>-0.21622820000000001</v>
      </c>
      <c r="N4214">
        <v>0</v>
      </c>
      <c r="O4214">
        <v>-0.97624900000000003</v>
      </c>
      <c r="P4214">
        <v>-0.22308159999999999</v>
      </c>
      <c r="Q4214">
        <v>1.379698E-2</v>
      </c>
      <c r="R4214">
        <v>-0.97470250000000003</v>
      </c>
      <c r="S4214">
        <v>-1.116638</v>
      </c>
      <c r="T4214">
        <v>-0.76969790000000005</v>
      </c>
      <c r="U4214">
        <v>-2.8331599999999999</v>
      </c>
      <c r="V4214">
        <v>6.9526639999999999E-3</v>
      </c>
      <c r="W4214">
        <v>2.7354E-2</v>
      </c>
      <c r="X4214">
        <v>0.99960159999999998</v>
      </c>
      <c r="Y4214">
        <v>0.14555979999999999</v>
      </c>
      <c r="Z4214">
        <v>0.2433633</v>
      </c>
      <c r="AA4214">
        <v>0.95895079999999999</v>
      </c>
      <c r="AB4214">
        <v>20</v>
      </c>
      <c r="AC4214">
        <v>-0.26280000000002601</v>
      </c>
      <c r="AD4214">
        <v>-0.210259</v>
      </c>
      <c r="AE4214">
        <v>-0.57159999999998901</v>
      </c>
      <c r="AF4214">
        <v>0.119613805025198</v>
      </c>
      <c r="AG4214">
        <v>-0.210259</v>
      </c>
      <c r="AH4214">
        <v>0.553122567972123</v>
      </c>
      <c r="AI4214">
        <v>110.382177493029</v>
      </c>
      <c r="AJ4214">
        <v>77.797578190577397</v>
      </c>
      <c r="AK4214">
        <v>0.60370595875283695</v>
      </c>
      <c r="AL4214">
        <v>88.432535684786004</v>
      </c>
      <c r="AM4214">
        <v>89.601489353535598</v>
      </c>
      <c r="AN4214">
        <v>0.99999996978762795</v>
      </c>
    </row>
    <row r="4215" spans="1:40" x14ac:dyDescent="0.25">
      <c r="A4215" t="str">
        <f>"20190312154643390"</f>
        <v>20190312154643390</v>
      </c>
      <c r="B4215" t="str">
        <f>"1552376803381835"</f>
        <v>1552376803381835</v>
      </c>
      <c r="C4215" t="s">
        <v>40</v>
      </c>
      <c r="D4215">
        <v>4.6122690000000004</v>
      </c>
      <c r="E4215">
        <v>0.56255169999999999</v>
      </c>
      <c r="F4215" t="s">
        <v>41</v>
      </c>
      <c r="G4215">
        <v>-419.67540000000002</v>
      </c>
      <c r="H4215">
        <v>0.90479149999999997</v>
      </c>
      <c r="I4215">
        <v>109.0514</v>
      </c>
      <c r="J4215">
        <v>-419.41660000000002</v>
      </c>
      <c r="K4215">
        <v>1.111097</v>
      </c>
      <c r="L4215">
        <v>109.607</v>
      </c>
      <c r="M4215">
        <v>-0.2141991</v>
      </c>
      <c r="N4215">
        <v>0</v>
      </c>
      <c r="O4215">
        <v>-0.97669629999999996</v>
      </c>
      <c r="P4215">
        <v>-0.22306909999999999</v>
      </c>
      <c r="Q4215">
        <v>1.382604E-2</v>
      </c>
      <c r="R4215">
        <v>-0.97470500000000004</v>
      </c>
      <c r="S4215">
        <v>-1.1289979999999999</v>
      </c>
      <c r="T4215">
        <v>-0.77637159999999905</v>
      </c>
      <c r="U4215">
        <v>-2.83046</v>
      </c>
      <c r="V4215">
        <v>9.0187459999999994E-3</v>
      </c>
      <c r="W4215">
        <v>2.7389739999999999E-2</v>
      </c>
      <c r="X4215">
        <v>0.99958409999999998</v>
      </c>
      <c r="Y4215">
        <v>0.15135109999999999</v>
      </c>
      <c r="Z4215">
        <v>0.2454228</v>
      </c>
      <c r="AA4215">
        <v>0.9575283</v>
      </c>
      <c r="AB4215">
        <v>20</v>
      </c>
      <c r="AC4215">
        <v>-0.25880000000000702</v>
      </c>
      <c r="AD4215">
        <v>-0.206305499999999</v>
      </c>
      <c r="AE4215">
        <v>-0.55560000000001197</v>
      </c>
      <c r="AF4215">
        <v>0.12015867204950501</v>
      </c>
      <c r="AG4215">
        <v>-0.206305499999999</v>
      </c>
      <c r="AH4215">
        <v>0.53727102344963595</v>
      </c>
      <c r="AI4215">
        <v>110.542508368865</v>
      </c>
      <c r="AJ4215">
        <v>77.393462285481107</v>
      </c>
      <c r="AK4215">
        <v>0.587928752858346</v>
      </c>
      <c r="AL4215">
        <v>88.430487141718899</v>
      </c>
      <c r="AM4215">
        <v>89.483062944609301</v>
      </c>
      <c r="AN4215">
        <v>0.99999995430474398</v>
      </c>
    </row>
    <row r="4216" spans="1:40" x14ac:dyDescent="0.25">
      <c r="A4216" t="str">
        <f>"20190312154643413"</f>
        <v>20190312154643413</v>
      </c>
      <c r="B4216" t="str">
        <f>"1552376803402331"</f>
        <v>1552376803402331</v>
      </c>
      <c r="C4216" t="s">
        <v>40</v>
      </c>
      <c r="D4216">
        <v>4.5978599999999998</v>
      </c>
      <c r="E4216">
        <v>0.56341649999999999</v>
      </c>
      <c r="F4216" t="s">
        <v>41</v>
      </c>
      <c r="G4216">
        <v>-419.7124</v>
      </c>
      <c r="H4216">
        <v>0.90628660000000005</v>
      </c>
      <c r="I4216">
        <v>108.8724</v>
      </c>
      <c r="J4216">
        <v>-419.45800000000003</v>
      </c>
      <c r="K4216">
        <v>1.1110850000000001</v>
      </c>
      <c r="L4216">
        <v>109.40689999999999</v>
      </c>
      <c r="M4216">
        <v>-0.21215829999999999</v>
      </c>
      <c r="N4216">
        <v>0</v>
      </c>
      <c r="O4216">
        <v>-0.9771415</v>
      </c>
      <c r="P4216">
        <v>-0.2215405</v>
      </c>
      <c r="Q4216">
        <v>1.372809E-2</v>
      </c>
      <c r="R4216">
        <v>-0.9750548</v>
      </c>
      <c r="S4216">
        <v>-1.1374820000000001</v>
      </c>
      <c r="T4216">
        <v>-0.7889159</v>
      </c>
      <c r="U4216">
        <v>-2.828735</v>
      </c>
      <c r="V4216">
        <v>9.5403480000000006E-3</v>
      </c>
      <c r="W4216">
        <v>2.7294410000000002E-2</v>
      </c>
      <c r="X4216">
        <v>0.99958190000000002</v>
      </c>
      <c r="Y4216">
        <v>0.15572459999999999</v>
      </c>
      <c r="Z4216">
        <v>0.24921869999999999</v>
      </c>
      <c r="AA4216">
        <v>0.9558451</v>
      </c>
      <c r="AB4216">
        <v>20</v>
      </c>
      <c r="AC4216">
        <v>-0.25439999999997498</v>
      </c>
      <c r="AD4216">
        <v>-0.20479839999999999</v>
      </c>
      <c r="AE4216">
        <v>-0.53449999999999398</v>
      </c>
      <c r="AF4216">
        <v>0.12074586752309401</v>
      </c>
      <c r="AG4216">
        <v>-0.20479839999999999</v>
      </c>
      <c r="AH4216">
        <v>0.51470077205128595</v>
      </c>
      <c r="AI4216">
        <v>111.175425464355</v>
      </c>
      <c r="AJ4216">
        <v>76.797479157084695</v>
      </c>
      <c r="AK4216">
        <v>0.56695576010536697</v>
      </c>
      <c r="AL4216">
        <v>88.435951245618298</v>
      </c>
      <c r="AM4216">
        <v>89.453166290490103</v>
      </c>
      <c r="AN4216">
        <v>0.99999998893240905</v>
      </c>
    </row>
    <row r="4217" spans="1:40" x14ac:dyDescent="0.25">
      <c r="A4217" t="str">
        <f>"20190312154643436"</f>
        <v>20190312154643436</v>
      </c>
      <c r="B4217" t="str">
        <f>"1552376803431613"</f>
        <v>1552376803431613</v>
      </c>
      <c r="C4217" t="s">
        <v>40</v>
      </c>
      <c r="D4217">
        <v>4.5736530000000002</v>
      </c>
      <c r="E4217">
        <v>0.56411540000000004</v>
      </c>
      <c r="F4217" t="s">
        <v>41</v>
      </c>
      <c r="G4217">
        <v>-419.74579999999997</v>
      </c>
      <c r="H4217">
        <v>0.90906019999999998</v>
      </c>
      <c r="I4217">
        <v>108.6925</v>
      </c>
      <c r="J4217">
        <v>-419.49930000000001</v>
      </c>
      <c r="K4217">
        <v>1.111089</v>
      </c>
      <c r="L4217">
        <v>109.2045</v>
      </c>
      <c r="M4217">
        <v>-0.2101161</v>
      </c>
      <c r="N4217">
        <v>0</v>
      </c>
      <c r="O4217">
        <v>-0.97758279999999997</v>
      </c>
      <c r="P4217">
        <v>-0.21915570000000001</v>
      </c>
      <c r="Q4217">
        <v>1.448232E-2</v>
      </c>
      <c r="R4217">
        <v>-0.97558270000000002</v>
      </c>
      <c r="S4217">
        <v>-1.139526</v>
      </c>
      <c r="T4217">
        <v>-0.800073699999999</v>
      </c>
      <c r="U4217">
        <v>-2.8291019999999998</v>
      </c>
      <c r="V4217">
        <v>9.1856630000000002E-3</v>
      </c>
      <c r="W4217">
        <v>2.8048480000000001E-2</v>
      </c>
      <c r="X4217">
        <v>0.99956429999999996</v>
      </c>
      <c r="Y4217">
        <v>0.15801119999999999</v>
      </c>
      <c r="Z4217">
        <v>0.25256980000000001</v>
      </c>
      <c r="AA4217">
        <v>0.95458940000000003</v>
      </c>
      <c r="AB4217">
        <v>20</v>
      </c>
      <c r="AC4217">
        <v>-0.24649999999996899</v>
      </c>
      <c r="AD4217">
        <v>-0.20202880000000001</v>
      </c>
      <c r="AE4217">
        <v>-0.51200000000000001</v>
      </c>
      <c r="AF4217">
        <v>0.11843645741325701</v>
      </c>
      <c r="AG4217">
        <v>-0.20202880000000001</v>
      </c>
      <c r="AH4217">
        <v>0.49038187819328299</v>
      </c>
      <c r="AI4217">
        <v>111.824531800663</v>
      </c>
      <c r="AJ4217">
        <v>76.422012087514801</v>
      </c>
      <c r="AK4217">
        <v>0.54343096795675405</v>
      </c>
      <c r="AL4217">
        <v>88.392729589033607</v>
      </c>
      <c r="AM4217">
        <v>89.473485690368506</v>
      </c>
      <c r="AN4217">
        <v>0.99999994173477302</v>
      </c>
    </row>
    <row r="4218" spans="1:40" x14ac:dyDescent="0.25">
      <c r="A4218" t="str">
        <f>"20190312154643458"</f>
        <v>20190312154643458</v>
      </c>
      <c r="B4218" t="str">
        <f>"1552376803452107"</f>
        <v>1552376803452107</v>
      </c>
      <c r="C4218" t="s">
        <v>40</v>
      </c>
      <c r="D4218">
        <v>4.5382360000000004</v>
      </c>
      <c r="E4218">
        <v>0.564303</v>
      </c>
      <c r="F4218" t="s">
        <v>41</v>
      </c>
      <c r="G4218">
        <v>-419.77870000000001</v>
      </c>
      <c r="H4218">
        <v>0.9136398</v>
      </c>
      <c r="I4218">
        <v>108.5119</v>
      </c>
      <c r="J4218">
        <v>-419.54039999999998</v>
      </c>
      <c r="K4218">
        <v>1.111097</v>
      </c>
      <c r="L4218">
        <v>109.0016</v>
      </c>
      <c r="M4218">
        <v>-0.2080813</v>
      </c>
      <c r="N4218">
        <v>0</v>
      </c>
      <c r="O4218">
        <v>-0.9780179</v>
      </c>
      <c r="P4218">
        <v>-0.2158774</v>
      </c>
      <c r="Q4218">
        <v>1.5582220000000001E-2</v>
      </c>
      <c r="R4218">
        <v>-0.97629630000000001</v>
      </c>
      <c r="S4218">
        <v>-1.139923</v>
      </c>
      <c r="T4218">
        <v>-0.80736300000000005</v>
      </c>
      <c r="U4218">
        <v>-2.830994</v>
      </c>
      <c r="V4218">
        <v>7.9084989999999994E-3</v>
      </c>
      <c r="W4218">
        <v>2.9145709999999998E-2</v>
      </c>
      <c r="X4218">
        <v>0.99954390000000004</v>
      </c>
      <c r="Y4218">
        <v>0.15975010000000001</v>
      </c>
      <c r="Z4218">
        <v>0.25469039999999998</v>
      </c>
      <c r="AA4218">
        <v>0.95373620000000003</v>
      </c>
      <c r="AB4218">
        <v>20</v>
      </c>
      <c r="AC4218">
        <v>-0.23830000000003701</v>
      </c>
      <c r="AD4218">
        <v>-0.197457199999999</v>
      </c>
      <c r="AE4218">
        <v>-0.48969999999999902</v>
      </c>
      <c r="AF4218">
        <v>0.11593566415301</v>
      </c>
      <c r="AG4218">
        <v>-0.197457199999999</v>
      </c>
      <c r="AH4218">
        <v>0.46715814663491401</v>
      </c>
      <c r="AI4218">
        <v>112.30506436460099</v>
      </c>
      <c r="AJ4218">
        <v>76.062363858882406</v>
      </c>
      <c r="AK4218">
        <v>0.520256819293902</v>
      </c>
      <c r="AL4218">
        <v>88.329837330341306</v>
      </c>
      <c r="AM4218">
        <v>89.546679080388202</v>
      </c>
      <c r="AN4218">
        <v>1.0000000123975199</v>
      </c>
    </row>
    <row r="4219" spans="1:40" x14ac:dyDescent="0.25">
      <c r="A4219" t="str">
        <f>"20190312154643484"</f>
        <v>20190312154643484</v>
      </c>
      <c r="B4219" t="str">
        <f>"1552376803471628"</f>
        <v>1552376803471628</v>
      </c>
      <c r="C4219" t="s">
        <v>40</v>
      </c>
      <c r="D4219">
        <v>4.466539</v>
      </c>
      <c r="E4219">
        <v>0.56442819999999905</v>
      </c>
      <c r="F4219" t="s">
        <v>41</v>
      </c>
      <c r="G4219">
        <v>-419.80840000000001</v>
      </c>
      <c r="H4219">
        <v>0.91983990000000004</v>
      </c>
      <c r="I4219">
        <v>108.33029999999999</v>
      </c>
      <c r="J4219">
        <v>-419.58429999999998</v>
      </c>
      <c r="K4219">
        <v>1.1111070000000001</v>
      </c>
      <c r="L4219">
        <v>108.78230000000001</v>
      </c>
      <c r="M4219">
        <v>-0.20588600000000001</v>
      </c>
      <c r="N4219">
        <v>0</v>
      </c>
      <c r="O4219">
        <v>-0.97848230000000003</v>
      </c>
      <c r="P4219">
        <v>-0.2124257</v>
      </c>
      <c r="Q4219">
        <v>1.578763E-2</v>
      </c>
      <c r="R4219">
        <v>-0.97704979999999997</v>
      </c>
      <c r="S4219">
        <v>-1.1318969999999999</v>
      </c>
      <c r="T4219">
        <v>-0.8077915</v>
      </c>
      <c r="U4219">
        <v>-2.8354490000000001</v>
      </c>
      <c r="V4219">
        <v>6.6184989999999999E-3</v>
      </c>
      <c r="W4219">
        <v>2.9348280000000001E-2</v>
      </c>
      <c r="X4219">
        <v>0.99954739999999997</v>
      </c>
      <c r="Y4219">
        <v>0.159111</v>
      </c>
      <c r="Z4219">
        <v>0.25477870000000002</v>
      </c>
      <c r="AA4219">
        <v>0.95381950000000004</v>
      </c>
      <c r="AB4219">
        <v>20</v>
      </c>
      <c r="AC4219">
        <v>-0.224100000000021</v>
      </c>
      <c r="AD4219">
        <v>-0.1912671</v>
      </c>
      <c r="AE4219">
        <v>-0.452000000000012</v>
      </c>
      <c r="AF4219">
        <v>0.11036597279619299</v>
      </c>
      <c r="AG4219">
        <v>-0.1912671</v>
      </c>
      <c r="AH4219">
        <v>0.42707405437719898</v>
      </c>
      <c r="AI4219">
        <v>113.442028216355</v>
      </c>
      <c r="AJ4219">
        <v>75.510423463077998</v>
      </c>
      <c r="AK4219">
        <v>0.48078685445406999</v>
      </c>
      <c r="AL4219">
        <v>88.318226046500101</v>
      </c>
      <c r="AM4219">
        <v>89.620621775942496</v>
      </c>
      <c r="AN4219">
        <v>1.00000006545736</v>
      </c>
    </row>
    <row r="4220" spans="1:40" x14ac:dyDescent="0.25">
      <c r="A4220" t="str">
        <f>"20190312154643504"</f>
        <v>20190312154643504</v>
      </c>
      <c r="B4220" t="str">
        <f>"1552376803492123"</f>
        <v>1552376803492123</v>
      </c>
      <c r="C4220" t="s">
        <v>40</v>
      </c>
      <c r="D4220">
        <v>4.4135400000000002</v>
      </c>
      <c r="E4220">
        <v>0.56437190000000004</v>
      </c>
      <c r="F4220" t="s">
        <v>41</v>
      </c>
      <c r="G4220">
        <v>-419.83550000000002</v>
      </c>
      <c r="H4220">
        <v>0.92921379999999998</v>
      </c>
      <c r="I4220">
        <v>108.14709999999999</v>
      </c>
      <c r="J4220">
        <v>-419.61970000000002</v>
      </c>
      <c r="K4220">
        <v>1.1111169999999999</v>
      </c>
      <c r="L4220">
        <v>108.6037</v>
      </c>
      <c r="M4220">
        <v>-0.20409669999999999</v>
      </c>
      <c r="N4220">
        <v>0</v>
      </c>
      <c r="O4220">
        <v>-0.97885730000000004</v>
      </c>
      <c r="P4220">
        <v>-0.21040980000000001</v>
      </c>
      <c r="Q4220">
        <v>1.6092180000000001E-2</v>
      </c>
      <c r="R4220">
        <v>-0.97748109999999999</v>
      </c>
      <c r="S4220">
        <v>-1.1214599999999999</v>
      </c>
      <c r="T4220">
        <v>-0.81340979999999996</v>
      </c>
      <c r="U4220">
        <v>-2.839798</v>
      </c>
      <c r="V4220">
        <v>6.3839509999999997E-3</v>
      </c>
      <c r="W4220">
        <v>2.9652359999999999E-2</v>
      </c>
      <c r="X4220">
        <v>0.99953990000000004</v>
      </c>
      <c r="Y4220">
        <v>0.15722059999999999</v>
      </c>
      <c r="Z4220">
        <v>0.2564263</v>
      </c>
      <c r="AA4220">
        <v>0.95369139999999997</v>
      </c>
      <c r="AB4220">
        <v>20</v>
      </c>
      <c r="AC4220">
        <v>-0.21580000000000099</v>
      </c>
      <c r="AD4220">
        <v>-0.18190319999999899</v>
      </c>
      <c r="AE4220">
        <v>-0.456600000000008</v>
      </c>
      <c r="AF4220">
        <v>0.104500503946486</v>
      </c>
      <c r="AG4220">
        <v>-0.18190319999999899</v>
      </c>
      <c r="AH4220">
        <v>0.434647210112518</v>
      </c>
      <c r="AI4220">
        <v>112.142006896688</v>
      </c>
      <c r="AJ4220">
        <v>76.481188559927304</v>
      </c>
      <c r="AK4220">
        <v>0.482625451829786</v>
      </c>
      <c r="AL4220">
        <v>88.300795874225699</v>
      </c>
      <c r="AM4220">
        <v>89.634063157005698</v>
      </c>
      <c r="AN4220">
        <v>1.0000000144879699</v>
      </c>
    </row>
    <row r="4221" spans="1:40" x14ac:dyDescent="0.25">
      <c r="A4221" t="str">
        <f>"20190312154643548"</f>
        <v>20190312154643548</v>
      </c>
      <c r="B4221" t="str">
        <f>"1552376803541900"</f>
        <v>1552376803541900</v>
      </c>
      <c r="C4221" t="s">
        <v>40</v>
      </c>
      <c r="D4221">
        <v>4.27942</v>
      </c>
      <c r="E4221">
        <v>0.56397449999999905</v>
      </c>
      <c r="F4221" t="s">
        <v>41</v>
      </c>
      <c r="G4221">
        <v>-419.92860000000002</v>
      </c>
      <c r="H4221">
        <v>0.88513759999999997</v>
      </c>
      <c r="I4221">
        <v>107.81570000000001</v>
      </c>
      <c r="J4221">
        <v>-419.69580000000002</v>
      </c>
      <c r="K4221">
        <v>1.111135</v>
      </c>
      <c r="L4221">
        <v>108.2135</v>
      </c>
      <c r="M4221">
        <v>-0.2001686</v>
      </c>
      <c r="N4221">
        <v>0</v>
      </c>
      <c r="O4221">
        <v>-0.97966799999999998</v>
      </c>
      <c r="P4221">
        <v>-0.20720549999999999</v>
      </c>
      <c r="Q4221">
        <v>1.6164600000000001E-2</v>
      </c>
      <c r="R4221">
        <v>-0.97816400000000003</v>
      </c>
      <c r="S4221">
        <v>-1.1133420000000001</v>
      </c>
      <c r="T4221">
        <v>-0.81540509999999999</v>
      </c>
      <c r="U4221">
        <v>-2.8428650000000002</v>
      </c>
      <c r="V4221">
        <v>7.1174489999999997E-3</v>
      </c>
      <c r="W4221">
        <v>2.9726240000000001E-2</v>
      </c>
      <c r="X4221">
        <v>0.9995328</v>
      </c>
      <c r="Y4221">
        <v>0.1583995</v>
      </c>
      <c r="Z4221">
        <v>0.25717630000000002</v>
      </c>
      <c r="AA4221">
        <v>0.95329430000000004</v>
      </c>
      <c r="AB4221">
        <v>20</v>
      </c>
      <c r="AC4221">
        <v>-0.23279999999999701</v>
      </c>
      <c r="AD4221">
        <v>-0.22599739999999999</v>
      </c>
      <c r="AE4221">
        <v>-0.397799999999989</v>
      </c>
      <c r="AF4221">
        <v>0.119679889071755</v>
      </c>
      <c r="AG4221">
        <v>-0.22599739999999999</v>
      </c>
      <c r="AH4221">
        <v>0.35177714804661298</v>
      </c>
      <c r="AI4221">
        <v>121.308358030338</v>
      </c>
      <c r="AJ4221">
        <v>71.210921487825402</v>
      </c>
      <c r="AK4221">
        <v>0.43490833809297802</v>
      </c>
      <c r="AL4221">
        <v>88.296561077664094</v>
      </c>
      <c r="AM4221">
        <v>89.592016493853606</v>
      </c>
      <c r="AN4221">
        <v>1.0000000628503201</v>
      </c>
    </row>
    <row r="4222" spans="1:40" x14ac:dyDescent="0.25">
      <c r="A4222" t="str">
        <f>"20190312154643570"</f>
        <v>20190312154643570</v>
      </c>
      <c r="B4222" t="str">
        <f>"1552376803561420"</f>
        <v>1552376803561420</v>
      </c>
      <c r="C4222" t="s">
        <v>40</v>
      </c>
      <c r="D4222">
        <v>4.2837670000000001</v>
      </c>
      <c r="E4222">
        <v>0.5637588</v>
      </c>
      <c r="F4222" t="s">
        <v>41</v>
      </c>
      <c r="G4222">
        <v>-419.98869999999999</v>
      </c>
      <c r="H4222">
        <v>0.89384629999999998</v>
      </c>
      <c r="I4222">
        <v>107.4564</v>
      </c>
      <c r="J4222">
        <v>-419.73329999999999</v>
      </c>
      <c r="K4222">
        <v>1.1111390000000001</v>
      </c>
      <c r="L4222">
        <v>108.018</v>
      </c>
      <c r="M4222">
        <v>-0.19818810000000001</v>
      </c>
      <c r="N4222">
        <v>0</v>
      </c>
      <c r="O4222">
        <v>-0.98007049999999996</v>
      </c>
      <c r="P4222">
        <v>-0.20637920000000001</v>
      </c>
      <c r="Q4222">
        <v>1.65555999999999E-2</v>
      </c>
      <c r="R4222">
        <v>-0.97833230000000004</v>
      </c>
      <c r="S4222">
        <v>-1.0997920000000001</v>
      </c>
      <c r="T4222">
        <v>-0.81757209999999902</v>
      </c>
      <c r="U4222">
        <v>-2.8475190000000001</v>
      </c>
      <c r="V4222">
        <v>8.2934280000000003E-3</v>
      </c>
      <c r="W4222">
        <v>3.0119460000000001E-2</v>
      </c>
      <c r="X4222">
        <v>0.99951190000000001</v>
      </c>
      <c r="Y4222">
        <v>0.155857299999999</v>
      </c>
      <c r="Z4222">
        <v>0.25785200000000003</v>
      </c>
      <c r="AA4222">
        <v>0.95353069999999895</v>
      </c>
      <c r="AB4222">
        <v>20</v>
      </c>
      <c r="AC4222">
        <v>-0.25540000000000801</v>
      </c>
      <c r="AD4222">
        <v>-0.21729269999999901</v>
      </c>
      <c r="AE4222">
        <v>-0.561599999999984</v>
      </c>
      <c r="AF4222">
        <v>0.123678121826176</v>
      </c>
      <c r="AG4222">
        <v>-0.21729269999999901</v>
      </c>
      <c r="AH4222">
        <v>0.534745145583716</v>
      </c>
      <c r="AI4222">
        <v>111.598480870351</v>
      </c>
      <c r="AJ4222">
        <v>76.977370767224201</v>
      </c>
      <c r="AK4222">
        <v>0.59030904280477503</v>
      </c>
      <c r="AL4222">
        <v>88.274021031789303</v>
      </c>
      <c r="AM4222">
        <v>89.524600439978997</v>
      </c>
      <c r="AN4222">
        <v>1.0000000005301399</v>
      </c>
    </row>
    <row r="4223" spans="1:40" x14ac:dyDescent="0.25">
      <c r="A4223" t="str">
        <f>"20190312154643592"</f>
        <v>20190312154643592</v>
      </c>
      <c r="B4223" t="str">
        <f>"1552376803581459"</f>
        <v>1552376803581459</v>
      </c>
      <c r="C4223" t="s">
        <v>40</v>
      </c>
      <c r="D4223">
        <v>4.2906199999999997</v>
      </c>
      <c r="E4223">
        <v>0.53344199999999997</v>
      </c>
      <c r="F4223" t="s">
        <v>41</v>
      </c>
      <c r="G4223">
        <v>-420.01819999999998</v>
      </c>
      <c r="H4223">
        <v>0.89832160000000005</v>
      </c>
      <c r="I4223">
        <v>107.277</v>
      </c>
      <c r="J4223">
        <v>-419.77</v>
      </c>
      <c r="K4223">
        <v>1.1111409999999999</v>
      </c>
      <c r="L4223">
        <v>107.8246</v>
      </c>
      <c r="M4223">
        <v>-0.1962199</v>
      </c>
      <c r="N4223">
        <v>0</v>
      </c>
      <c r="O4223">
        <v>-0.98046639999999996</v>
      </c>
      <c r="P4223">
        <v>-0.20518890000000001</v>
      </c>
      <c r="Q4223">
        <v>1.6154979999999999E-2</v>
      </c>
      <c r="R4223">
        <v>-0.97858889999999998</v>
      </c>
      <c r="S4223">
        <v>-1.0959779999999999</v>
      </c>
      <c r="T4223">
        <v>-0.81826829999999995</v>
      </c>
      <c r="U4223">
        <v>-2.849091</v>
      </c>
      <c r="V4223">
        <v>9.0840250000000008E-3</v>
      </c>
      <c r="W4223">
        <v>2.9720050000000001E-2</v>
      </c>
      <c r="X4223">
        <v>0.99951699999999999</v>
      </c>
      <c r="Y4223">
        <v>0.15652639999999901</v>
      </c>
      <c r="Z4223">
        <v>0.25812590000000002</v>
      </c>
      <c r="AA4223">
        <v>0.95334700000000006</v>
      </c>
      <c r="AB4223">
        <v>20</v>
      </c>
      <c r="AC4223">
        <v>-0.24819999999999701</v>
      </c>
      <c r="AD4223">
        <v>-0.21281939999999899</v>
      </c>
      <c r="AE4223">
        <v>-0.54760000000000197</v>
      </c>
      <c r="AF4223">
        <v>0.120780410516359</v>
      </c>
      <c r="AG4223">
        <v>-0.21281939999999899</v>
      </c>
      <c r="AH4223">
        <v>0.52044684882563197</v>
      </c>
      <c r="AI4223">
        <v>111.71892218726001</v>
      </c>
      <c r="AJ4223">
        <v>76.934610701248801</v>
      </c>
      <c r="AK4223">
        <v>0.57510427492185401</v>
      </c>
      <c r="AL4223">
        <v>88.296915817322002</v>
      </c>
      <c r="AM4223">
        <v>89.479286531515896</v>
      </c>
      <c r="AN4223">
        <v>1.0000000170856</v>
      </c>
    </row>
    <row r="4224" spans="1:40" x14ac:dyDescent="0.25">
      <c r="A4224" t="str">
        <f>"20190312154643614"</f>
        <v>20190312154643614</v>
      </c>
      <c r="B4224" t="str">
        <f>"1552376803611702"</f>
        <v>1552376803611702</v>
      </c>
      <c r="C4224" t="s">
        <v>40</v>
      </c>
      <c r="D4224">
        <v>4.2779540000000003</v>
      </c>
      <c r="E4224">
        <v>0.46365689999999998</v>
      </c>
      <c r="F4224" t="s">
        <v>41</v>
      </c>
      <c r="G4224">
        <v>-419.9957</v>
      </c>
      <c r="H4224">
        <v>0.95022960000000001</v>
      </c>
      <c r="I4224">
        <v>107.06699999999999</v>
      </c>
      <c r="J4224">
        <v>-419.80770000000001</v>
      </c>
      <c r="K4224">
        <v>1.111145</v>
      </c>
      <c r="L4224">
        <v>107.62350000000001</v>
      </c>
      <c r="M4224">
        <v>-0.19415840000000001</v>
      </c>
      <c r="N4224">
        <v>0</v>
      </c>
      <c r="O4224">
        <v>-0.98087670000000005</v>
      </c>
      <c r="P4224">
        <v>-0.2036144</v>
      </c>
      <c r="Q4224">
        <v>1.486084E-2</v>
      </c>
      <c r="R4224">
        <v>-0.97893839999999999</v>
      </c>
      <c r="S4224">
        <v>-0.86105350000000003</v>
      </c>
      <c r="T4224">
        <v>-0.61525209999999997</v>
      </c>
      <c r="U4224">
        <v>-2.895248</v>
      </c>
      <c r="V4224">
        <v>9.5763610000000002E-3</v>
      </c>
      <c r="W4224">
        <v>2.842741E-2</v>
      </c>
      <c r="X4224">
        <v>0.99955000000000005</v>
      </c>
      <c r="Y4224">
        <v>8.7794990000000003E-2</v>
      </c>
      <c r="Z4224">
        <v>0.1975876</v>
      </c>
      <c r="AA4224">
        <v>0.97634580000000004</v>
      </c>
      <c r="AB4224">
        <v>20</v>
      </c>
      <c r="AC4224">
        <v>-0.18799999999998801</v>
      </c>
      <c r="AD4224">
        <v>-0.16091539999999999</v>
      </c>
      <c r="AE4224">
        <v>-0.556499999999999</v>
      </c>
      <c r="AF4224">
        <v>7.10319718570597E-2</v>
      </c>
      <c r="AG4224">
        <v>-0.16091539999999999</v>
      </c>
      <c r="AH4224">
        <v>0.54175616788053604</v>
      </c>
      <c r="AI4224">
        <v>106.409958691201</v>
      </c>
      <c r="AJ4224">
        <v>82.5303141171824</v>
      </c>
      <c r="AK4224">
        <v>0.56959551650242601</v>
      </c>
      <c r="AL4224">
        <v>88.371009953512001</v>
      </c>
      <c r="AM4224">
        <v>89.451084706602501</v>
      </c>
      <c r="AN4224">
        <v>1.0000000134146501</v>
      </c>
    </row>
    <row r="4225" spans="1:40" x14ac:dyDescent="0.25">
      <c r="A4225" t="str">
        <f>"20190312154643638"</f>
        <v>20190312154643638</v>
      </c>
      <c r="B4225" t="str">
        <f>"1552376803632199"</f>
        <v>1552376803632199</v>
      </c>
      <c r="C4225" t="s">
        <v>40</v>
      </c>
      <c r="D4225">
        <v>4.327375</v>
      </c>
      <c r="E4225">
        <v>0.4522273</v>
      </c>
      <c r="F4225" t="s">
        <v>42</v>
      </c>
      <c r="G4225">
        <v>-421.74930000000001</v>
      </c>
      <c r="H4225" s="1">
        <v>-4.5751410000000001E-6</v>
      </c>
      <c r="I4225">
        <v>89.519239999999996</v>
      </c>
      <c r="J4225">
        <v>-419.84469999999999</v>
      </c>
      <c r="K4225">
        <v>1.1111489999999999</v>
      </c>
      <c r="L4225">
        <v>107.4234</v>
      </c>
      <c r="M4225">
        <v>-0.19208990000000001</v>
      </c>
      <c r="N4225">
        <v>0</v>
      </c>
      <c r="O4225">
        <v>-0.98128389999999999</v>
      </c>
      <c r="P4225">
        <v>-0.20148959999999999</v>
      </c>
      <c r="Q4225">
        <v>1.443503E-2</v>
      </c>
      <c r="R4225">
        <v>-0.97938429999999999</v>
      </c>
      <c r="S4225">
        <v>-0.32177729999999999</v>
      </c>
      <c r="T4225">
        <v>-0.18414939999999999</v>
      </c>
      <c r="U4225">
        <v>-3.000397</v>
      </c>
      <c r="V4225">
        <v>9.5139709999999995E-3</v>
      </c>
      <c r="W4225">
        <v>2.8001290000000002E-2</v>
      </c>
      <c r="X4225">
        <v>0.99956259999999997</v>
      </c>
      <c r="Y4225">
        <v>-8.6555220000000002E-2</v>
      </c>
      <c r="Z4225">
        <v>5.9271440000000002E-2</v>
      </c>
      <c r="AA4225">
        <v>0.99448230000000004</v>
      </c>
      <c r="AB4225">
        <v>20</v>
      </c>
      <c r="AC4225">
        <v>-1.9046000000000101</v>
      </c>
      <c r="AD4225">
        <v>-1.111153575141</v>
      </c>
      <c r="AE4225">
        <v>-17.904160000000001</v>
      </c>
      <c r="AF4225">
        <v>-1.5644408187888701</v>
      </c>
      <c r="AG4225">
        <v>-1.111153575141</v>
      </c>
      <c r="AH4225">
        <v>17.868510910935299</v>
      </c>
      <c r="AI4225">
        <v>93.544831023855807</v>
      </c>
      <c r="AJ4225">
        <v>95.003655269098402</v>
      </c>
      <c r="AK4225">
        <v>17.9712498039857</v>
      </c>
      <c r="AL4225">
        <v>88.395434516248898</v>
      </c>
      <c r="AM4225">
        <v>89.454667547383707</v>
      </c>
      <c r="AN4225">
        <v>0.99999998960230596</v>
      </c>
    </row>
    <row r="4226" spans="1:40" x14ac:dyDescent="0.25">
      <c r="A4226" t="str">
        <f>"20190312154643661"</f>
        <v>20190312154643661</v>
      </c>
      <c r="B4226" t="str">
        <f>"1552376803651718"</f>
        <v>1552376803651718</v>
      </c>
      <c r="C4226" t="s">
        <v>40</v>
      </c>
      <c r="D4226">
        <v>4.329599</v>
      </c>
      <c r="E4226">
        <v>0.44895499999999999</v>
      </c>
      <c r="F4226" t="s">
        <v>42</v>
      </c>
      <c r="G4226">
        <v>-421.7817</v>
      </c>
      <c r="H4226" s="1">
        <v>-1.368419E-6</v>
      </c>
      <c r="I4226">
        <v>81.673869999999994</v>
      </c>
      <c r="J4226">
        <v>-419.88240000000002</v>
      </c>
      <c r="K4226">
        <v>1.111159</v>
      </c>
      <c r="L4226">
        <v>107.2176</v>
      </c>
      <c r="M4226">
        <v>-0.18994459999999999</v>
      </c>
      <c r="N4226">
        <v>0</v>
      </c>
      <c r="O4226">
        <v>-0.98170170000000001</v>
      </c>
      <c r="P4226">
        <v>-0.19884160000000001</v>
      </c>
      <c r="Q4226">
        <v>1.360946E-2</v>
      </c>
      <c r="R4226">
        <v>-0.97993730000000001</v>
      </c>
      <c r="S4226">
        <v>-0.2270508</v>
      </c>
      <c r="T4226">
        <v>-0.13024910000000001</v>
      </c>
      <c r="U4226">
        <v>-3.0183559999999998</v>
      </c>
      <c r="V4226">
        <v>8.9959540000000005E-3</v>
      </c>
      <c r="W4226">
        <v>2.7173820000000001E-2</v>
      </c>
      <c r="X4226">
        <v>0.99959019999999998</v>
      </c>
      <c r="Y4226">
        <v>-0.1158472</v>
      </c>
      <c r="Z4226">
        <v>4.173404E-2</v>
      </c>
      <c r="AA4226">
        <v>0.99238990000000005</v>
      </c>
      <c r="AB4226">
        <v>20</v>
      </c>
      <c r="AC4226">
        <v>-1.89929999999998</v>
      </c>
      <c r="AD4226">
        <v>-1.1111603684189999</v>
      </c>
      <c r="AE4226">
        <v>-25.54373</v>
      </c>
      <c r="AF4226">
        <v>-2.98200888786047</v>
      </c>
      <c r="AG4226">
        <v>-1.1111603684189999</v>
      </c>
      <c r="AH4226">
        <v>25.391626654024599</v>
      </c>
      <c r="AI4226">
        <v>92.488634542402593</v>
      </c>
      <c r="AJ4226">
        <v>96.698171067459697</v>
      </c>
      <c r="AK4226">
        <v>25.590266870609199</v>
      </c>
      <c r="AL4226">
        <v>88.442863055889106</v>
      </c>
      <c r="AM4226">
        <v>89.484372413753405</v>
      </c>
      <c r="AN4226">
        <v>0.9999999558089</v>
      </c>
    </row>
    <row r="4227" spans="1:40" x14ac:dyDescent="0.25">
      <c r="A4227" t="str">
        <f>"20190312154643685"</f>
        <v>20190312154643685</v>
      </c>
      <c r="B4227" t="str">
        <f>"1552376803681523"</f>
        <v>1552376803681523</v>
      </c>
      <c r="C4227" t="s">
        <v>40</v>
      </c>
      <c r="D4227">
        <v>4.3093050000000002</v>
      </c>
      <c r="E4227">
        <v>0.44666129999999998</v>
      </c>
      <c r="F4227" t="s">
        <v>42</v>
      </c>
      <c r="G4227">
        <v>-421.69450000000001</v>
      </c>
      <c r="H4227" s="1">
        <v>-4.3735520000000003E-6</v>
      </c>
      <c r="I4227">
        <v>78.955380000000005</v>
      </c>
      <c r="J4227">
        <v>-419.92090000000002</v>
      </c>
      <c r="K4227">
        <v>1.1111679999999999</v>
      </c>
      <c r="L4227">
        <v>107.0046</v>
      </c>
      <c r="M4227">
        <v>-0.18770339999999999</v>
      </c>
      <c r="N4227">
        <v>0</v>
      </c>
      <c r="O4227">
        <v>-0.98213260000000002</v>
      </c>
      <c r="P4227">
        <v>-0.19702140000000001</v>
      </c>
      <c r="Q4227">
        <v>1.3796579999999999E-2</v>
      </c>
      <c r="R4227">
        <v>-0.98030229999999996</v>
      </c>
      <c r="S4227">
        <v>-0.1938782</v>
      </c>
      <c r="T4227">
        <v>-0.11888219999999999</v>
      </c>
      <c r="U4227">
        <v>-3.0237430000000001</v>
      </c>
      <c r="V4227">
        <v>9.4203740000000005E-3</v>
      </c>
      <c r="W4227">
        <v>2.7361139999999999E-2</v>
      </c>
      <c r="X4227">
        <v>0.99958119999999995</v>
      </c>
      <c r="Y4227">
        <v>-0.1245328</v>
      </c>
      <c r="Z4227">
        <v>3.8048829999999999E-2</v>
      </c>
      <c r="AA4227">
        <v>0.99148570000000003</v>
      </c>
      <c r="AB4227">
        <v>20</v>
      </c>
      <c r="AC4227">
        <v>-1.7735999999999801</v>
      </c>
      <c r="AD4227">
        <v>-1.1111723735519901</v>
      </c>
      <c r="AE4227">
        <v>-28.049219999999899</v>
      </c>
      <c r="AF4227">
        <v>-3.5178471977594898</v>
      </c>
      <c r="AG4227">
        <v>-1.1111723735519901</v>
      </c>
      <c r="AH4227">
        <v>27.8399985712879</v>
      </c>
      <c r="AI4227">
        <v>92.267609578725498</v>
      </c>
      <c r="AJ4227">
        <v>97.201696489635395</v>
      </c>
      <c r="AK4227">
        <v>28.0833664897897</v>
      </c>
      <c r="AL4227">
        <v>88.432126448551102</v>
      </c>
      <c r="AM4227">
        <v>89.460042172913703</v>
      </c>
      <c r="AN4227">
        <v>0.99999997541091901</v>
      </c>
    </row>
    <row r="4228" spans="1:40" x14ac:dyDescent="0.25">
      <c r="A4228" t="str">
        <f>"20190312154643726"</f>
        <v>20190312154643726</v>
      </c>
      <c r="B4228" t="str">
        <f>"1552376803721522"</f>
        <v>1552376803721522</v>
      </c>
      <c r="C4228" t="s">
        <v>40</v>
      </c>
      <c r="D4228">
        <v>4.2630589999999904</v>
      </c>
      <c r="E4228">
        <v>0.44653809999999999</v>
      </c>
      <c r="F4228" t="s">
        <v>42</v>
      </c>
      <c r="G4228">
        <v>-421.50540000000001</v>
      </c>
      <c r="H4228" s="1">
        <v>-4.2908410000000001E-6</v>
      </c>
      <c r="I4228">
        <v>78.810919999999996</v>
      </c>
      <c r="J4228">
        <v>-419.98399999999998</v>
      </c>
      <c r="K4228">
        <v>1.1111819999999999</v>
      </c>
      <c r="L4228">
        <v>106.6481</v>
      </c>
      <c r="M4228">
        <v>-0.18391170000000001</v>
      </c>
      <c r="N4228">
        <v>0</v>
      </c>
      <c r="O4228">
        <v>-0.9828498</v>
      </c>
      <c r="P4228">
        <v>-0.1935817</v>
      </c>
      <c r="Q4228">
        <v>1.355773E-2</v>
      </c>
      <c r="R4228">
        <v>-0.9809911</v>
      </c>
      <c r="S4228">
        <v>-0.17016600000000001</v>
      </c>
      <c r="T4228">
        <v>-0.1193303</v>
      </c>
      <c r="U4228">
        <v>-3.0277560000000001</v>
      </c>
      <c r="V4228">
        <v>9.7711570000000008E-3</v>
      </c>
      <c r="W4228">
        <v>2.712138E-2</v>
      </c>
      <c r="X4228">
        <v>0.99958440000000004</v>
      </c>
      <c r="Y4228">
        <v>-0.12852359999999999</v>
      </c>
      <c r="Z4228">
        <v>3.8182439999999998E-2</v>
      </c>
      <c r="AA4228">
        <v>0.99097109999999999</v>
      </c>
      <c r="AB4228">
        <v>20</v>
      </c>
      <c r="AC4228">
        <v>-1.5213999999999701</v>
      </c>
      <c r="AD4228">
        <v>-1.111186290841</v>
      </c>
      <c r="AE4228">
        <v>-27.83718</v>
      </c>
      <c r="AF4228">
        <v>-3.61885754338988</v>
      </c>
      <c r="AG4228">
        <v>-1.111186290841</v>
      </c>
      <c r="AH4228">
        <v>27.598252131041502</v>
      </c>
      <c r="AI4228">
        <v>92.286101229175998</v>
      </c>
      <c r="AJ4228">
        <v>97.4703644779798</v>
      </c>
      <c r="AK4228">
        <v>27.856675781234902</v>
      </c>
      <c r="AL4228">
        <v>88.4458688367787</v>
      </c>
      <c r="AM4228">
        <v>89.439939012586194</v>
      </c>
      <c r="AN4228">
        <v>1.00000000874279</v>
      </c>
    </row>
    <row r="4229" spans="1:40" x14ac:dyDescent="0.25">
      <c r="A4229" t="str">
        <f>"20190312154643748"</f>
        <v>20190312154643748</v>
      </c>
      <c r="B4229" t="str">
        <f>"1552376803742017"</f>
        <v>1552376803742017</v>
      </c>
      <c r="C4229" t="s">
        <v>40</v>
      </c>
      <c r="D4229">
        <v>4.168736</v>
      </c>
      <c r="E4229">
        <v>0.44621060000000001</v>
      </c>
      <c r="F4229" t="s">
        <v>42</v>
      </c>
      <c r="G4229">
        <v>-421.5498</v>
      </c>
      <c r="H4229" s="1">
        <v>-3.4571170000000002E-6</v>
      </c>
      <c r="I4229">
        <v>76.686499999999995</v>
      </c>
      <c r="J4229">
        <v>-420.01839999999999</v>
      </c>
      <c r="K4229">
        <v>1.1111879999999901</v>
      </c>
      <c r="L4229">
        <v>106.4503</v>
      </c>
      <c r="M4229">
        <v>-0.18178820000000001</v>
      </c>
      <c r="N4229">
        <v>0</v>
      </c>
      <c r="O4229">
        <v>-0.98324469999999997</v>
      </c>
      <c r="P4229">
        <v>-0.19180120000000001</v>
      </c>
      <c r="Q4229">
        <v>1.391038E-2</v>
      </c>
      <c r="R4229">
        <v>-0.98133539999999997</v>
      </c>
      <c r="S4229">
        <v>-0.15826419999999999</v>
      </c>
      <c r="T4229">
        <v>-0.1123161</v>
      </c>
      <c r="U4229">
        <v>-3.0284580000000001</v>
      </c>
      <c r="V4229">
        <v>1.0116460000000001E-2</v>
      </c>
      <c r="W4229">
        <v>2.747411E-2</v>
      </c>
      <c r="X4229">
        <v>0.99957130000000005</v>
      </c>
      <c r="Y4229">
        <v>-0.13027279999999999</v>
      </c>
      <c r="Z4229">
        <v>3.5954300000000002E-2</v>
      </c>
      <c r="AA4229">
        <v>0.99082610000000004</v>
      </c>
      <c r="AB4229">
        <v>20</v>
      </c>
      <c r="AC4229">
        <v>-1.5314000000000101</v>
      </c>
      <c r="AD4229">
        <v>-1.1111914571169901</v>
      </c>
      <c r="AE4229">
        <v>-29.7638</v>
      </c>
      <c r="AF4229">
        <v>-3.89990253233317</v>
      </c>
      <c r="AG4229">
        <v>-1.1111914571169901</v>
      </c>
      <c r="AH4229">
        <v>29.505175538296399</v>
      </c>
      <c r="AI4229">
        <v>92.138211603306601</v>
      </c>
      <c r="AJ4229">
        <v>97.529531942172</v>
      </c>
      <c r="AK4229">
        <v>29.782534643004301</v>
      </c>
      <c r="AL4229">
        <v>88.425651311878894</v>
      </c>
      <c r="AM4229">
        <v>89.420140742132801</v>
      </c>
      <c r="AN4229">
        <v>0.99999997663345597</v>
      </c>
    </row>
    <row r="4230" spans="1:40" x14ac:dyDescent="0.25">
      <c r="A4230" t="str">
        <f>"20190312154643771"</f>
        <v>20190312154643771</v>
      </c>
      <c r="B4230" t="str">
        <f>"1552376803761538"</f>
        <v>1552376803761538</v>
      </c>
      <c r="C4230" t="s">
        <v>40</v>
      </c>
      <c r="D4230">
        <v>4.1281990000000004</v>
      </c>
      <c r="E4230">
        <v>0.44612220000000002</v>
      </c>
      <c r="F4230" t="s">
        <v>42</v>
      </c>
      <c r="G4230">
        <v>-421.54340000000002</v>
      </c>
      <c r="H4230" s="1">
        <v>-3.0166449999999998E-6</v>
      </c>
      <c r="I4230">
        <v>75.663700000000006</v>
      </c>
      <c r="J4230">
        <v>-420.05290000000002</v>
      </c>
      <c r="K4230">
        <v>1.1111899999999999</v>
      </c>
      <c r="L4230">
        <v>106.2495</v>
      </c>
      <c r="M4230">
        <v>-0.179622799999999</v>
      </c>
      <c r="N4230">
        <v>0</v>
      </c>
      <c r="O4230">
        <v>-0.98364249999999998</v>
      </c>
      <c r="P4230">
        <v>-0.19036069999999999</v>
      </c>
      <c r="Q4230">
        <v>1.409373E-2</v>
      </c>
      <c r="R4230">
        <v>-0.98161319999999996</v>
      </c>
      <c r="S4230">
        <v>-0.15005489999999999</v>
      </c>
      <c r="T4230">
        <v>-0.1093369</v>
      </c>
      <c r="U4230">
        <v>-3.0292819999999998</v>
      </c>
      <c r="V4230">
        <v>1.085036E-2</v>
      </c>
      <c r="W4230">
        <v>2.7657620000000001E-2</v>
      </c>
      <c r="X4230">
        <v>0.99955859999999996</v>
      </c>
      <c r="Y4230">
        <v>-0.13078029999999999</v>
      </c>
      <c r="Z4230">
        <v>3.5014919999999998E-2</v>
      </c>
      <c r="AA4230">
        <v>0.99079289999999998</v>
      </c>
      <c r="AB4230">
        <v>20</v>
      </c>
      <c r="AC4230">
        <v>-1.4904999999999899</v>
      </c>
      <c r="AD4230">
        <v>-1.1111930166449999</v>
      </c>
      <c r="AE4230">
        <v>-30.5857999999999</v>
      </c>
      <c r="AF4230">
        <v>-4.0228594765198897</v>
      </c>
      <c r="AG4230">
        <v>-1.1111930166449999</v>
      </c>
      <c r="AH4230">
        <v>30.316080267224599</v>
      </c>
      <c r="AI4230">
        <v>92.080931090303395</v>
      </c>
      <c r="AJ4230">
        <v>97.558830222798207</v>
      </c>
      <c r="AK4230">
        <v>30.602007631148499</v>
      </c>
      <c r="AL4230">
        <v>88.4151330578418</v>
      </c>
      <c r="AM4230">
        <v>89.378070062607193</v>
      </c>
      <c r="AN4230">
        <v>1.0000000345450699</v>
      </c>
    </row>
    <row r="4231" spans="1:40" x14ac:dyDescent="0.25">
      <c r="A4231" t="str">
        <f>"20190312154643793"</f>
        <v>20190312154643793</v>
      </c>
      <c r="B4231" t="str">
        <f>"1552376803781578"</f>
        <v>1552376803781578</v>
      </c>
      <c r="C4231" t="s">
        <v>40</v>
      </c>
      <c r="D4231">
        <v>4.0869970000000002</v>
      </c>
      <c r="E4231">
        <v>0.44635999999999998</v>
      </c>
      <c r="F4231" t="s">
        <v>42</v>
      </c>
      <c r="G4231">
        <v>-421.57100000000003</v>
      </c>
      <c r="H4231" s="1">
        <v>-2.4968890000000001E-6</v>
      </c>
      <c r="I4231">
        <v>74.435069999999996</v>
      </c>
      <c r="J4231">
        <v>-420.0847</v>
      </c>
      <c r="K4231">
        <v>1.1111839999999999</v>
      </c>
      <c r="L4231">
        <v>106.06180000000001</v>
      </c>
      <c r="M4231">
        <v>-0.1775901</v>
      </c>
      <c r="N4231">
        <v>0</v>
      </c>
      <c r="O4231">
        <v>-0.98401170000000004</v>
      </c>
      <c r="P4231">
        <v>-0.18902340000000001</v>
      </c>
      <c r="Q4231">
        <v>1.4347789999999999E-2</v>
      </c>
      <c r="R4231">
        <v>-0.98186799999999996</v>
      </c>
      <c r="S4231">
        <v>-0.14456179999999999</v>
      </c>
      <c r="T4231">
        <v>-0.1058185</v>
      </c>
      <c r="U4231">
        <v>-3.0296780000000001</v>
      </c>
      <c r="V4231">
        <v>1.1554129999999999E-2</v>
      </c>
      <c r="W4231">
        <v>2.791215E-2</v>
      </c>
      <c r="X4231">
        <v>0.99954359999999998</v>
      </c>
      <c r="Y4231">
        <v>-0.13052859999999999</v>
      </c>
      <c r="Z4231">
        <v>3.3906409999999998E-2</v>
      </c>
      <c r="AA4231">
        <v>0.99086459999999998</v>
      </c>
      <c r="AB4231">
        <v>20</v>
      </c>
      <c r="AC4231">
        <v>-1.48629999999997</v>
      </c>
      <c r="AD4231">
        <v>-1.111186496889</v>
      </c>
      <c r="AE4231">
        <v>-31.626729999999998</v>
      </c>
      <c r="AF4231">
        <v>-4.1493263902317601</v>
      </c>
      <c r="AG4231">
        <v>-1.111186496889</v>
      </c>
      <c r="AH4231">
        <v>31.349279303391999</v>
      </c>
      <c r="AI4231">
        <v>92.012482861287907</v>
      </c>
      <c r="AJ4231">
        <v>97.539727268729607</v>
      </c>
      <c r="AK4231">
        <v>31.642202163655199</v>
      </c>
      <c r="AL4231">
        <v>88.400543871261604</v>
      </c>
      <c r="AM4231">
        <v>89.337724335655295</v>
      </c>
      <c r="AN4231">
        <v>0.99999999716931898</v>
      </c>
    </row>
    <row r="4232" spans="1:40" x14ac:dyDescent="0.25">
      <c r="A4232" t="str">
        <f>"20190312154643814"</f>
        <v>20190312154643814</v>
      </c>
      <c r="B4232" t="str">
        <f>"1552376803811821"</f>
        <v>1552376803811821</v>
      </c>
      <c r="C4232" t="s">
        <v>40</v>
      </c>
      <c r="D4232">
        <v>4.0453780000000004</v>
      </c>
      <c r="E4232">
        <v>0.44641229999999998</v>
      </c>
      <c r="F4232" t="s">
        <v>42</v>
      </c>
      <c r="G4232">
        <v>-421.62920000000003</v>
      </c>
      <c r="H4232" s="1">
        <v>-2.010972E-6</v>
      </c>
      <c r="I4232">
        <v>73.266269999999906</v>
      </c>
      <c r="J4232">
        <v>-420.11709999999999</v>
      </c>
      <c r="K4232">
        <v>1.1111869999999999</v>
      </c>
      <c r="L4232">
        <v>105.8681</v>
      </c>
      <c r="M4232">
        <v>-0.17548050000000001</v>
      </c>
      <c r="N4232">
        <v>0</v>
      </c>
      <c r="O4232">
        <v>-0.98438999999999999</v>
      </c>
      <c r="P4232">
        <v>-0.1866321</v>
      </c>
      <c r="Q4232">
        <v>1.511415E-2</v>
      </c>
      <c r="R4232">
        <v>-0.98231360000000001</v>
      </c>
      <c r="S4232">
        <v>-0.14266970000000001</v>
      </c>
      <c r="T4232">
        <v>-0.10264379999999999</v>
      </c>
      <c r="U4232">
        <v>-3.0294340000000002</v>
      </c>
      <c r="V4232">
        <v>1.1262380000000001E-2</v>
      </c>
      <c r="W4232">
        <v>2.8676219999999999E-2</v>
      </c>
      <c r="X4232">
        <v>0.99952529999999995</v>
      </c>
      <c r="Y4232">
        <v>-0.12901550000000001</v>
      </c>
      <c r="Z4232">
        <v>3.2915989999999999E-2</v>
      </c>
      <c r="AA4232">
        <v>0.99109610000000004</v>
      </c>
      <c r="AB4232">
        <v>20</v>
      </c>
      <c r="AC4232">
        <v>-1.51210000000003</v>
      </c>
      <c r="AD4232">
        <v>-1.111189010972</v>
      </c>
      <c r="AE4232">
        <v>-32.60183</v>
      </c>
      <c r="AF4232">
        <v>-4.2279753986721396</v>
      </c>
      <c r="AG4232">
        <v>-1.111189010972</v>
      </c>
      <c r="AH4232">
        <v>32.323749706093203</v>
      </c>
      <c r="AI4232">
        <v>91.952257037745198</v>
      </c>
      <c r="AJ4232">
        <v>97.452032798266998</v>
      </c>
      <c r="AK4232">
        <v>32.618021277386603</v>
      </c>
      <c r="AL4232">
        <v>88.356748348006107</v>
      </c>
      <c r="AM4232">
        <v>89.354434015381798</v>
      </c>
      <c r="AN4232">
        <v>0.99999999606842105</v>
      </c>
    </row>
    <row r="4233" spans="1:40" x14ac:dyDescent="0.25">
      <c r="A4233" t="str">
        <f>"20190312154643838"</f>
        <v>20190312154643838</v>
      </c>
      <c r="B4233" t="str">
        <f>"1552376803832318"</f>
        <v>1552376803832318</v>
      </c>
      <c r="C4233" t="s">
        <v>40</v>
      </c>
      <c r="D4233">
        <v>3.9763220000000001</v>
      </c>
      <c r="E4233">
        <v>0.44635599999999998</v>
      </c>
      <c r="F4233" t="s">
        <v>42</v>
      </c>
      <c r="G4233">
        <v>-421.72160000000002</v>
      </c>
      <c r="H4233" s="1">
        <v>-6.2417789999999997E-7</v>
      </c>
      <c r="I4233">
        <v>69.976309999999998</v>
      </c>
      <c r="J4233">
        <v>-420.14980000000003</v>
      </c>
      <c r="K4233">
        <v>1.111194</v>
      </c>
      <c r="L4233">
        <v>105.6696</v>
      </c>
      <c r="M4233">
        <v>-0.17330409999999999</v>
      </c>
      <c r="N4233">
        <v>0</v>
      </c>
      <c r="O4233">
        <v>-0.98477570000000003</v>
      </c>
      <c r="P4233">
        <v>-0.18307409999999999</v>
      </c>
      <c r="Q4233">
        <v>1.602522E-2</v>
      </c>
      <c r="R4233">
        <v>-0.98296890000000003</v>
      </c>
      <c r="S4233">
        <v>-0.135437</v>
      </c>
      <c r="T4233">
        <v>-9.3797450000000004E-2</v>
      </c>
      <c r="U4233">
        <v>-3.0296940000000001</v>
      </c>
      <c r="V4233">
        <v>9.8517750000000001E-3</v>
      </c>
      <c r="W4233">
        <v>2.958183E-2</v>
      </c>
      <c r="X4233">
        <v>0.99951380000000001</v>
      </c>
      <c r="Y4233">
        <v>-0.1291844</v>
      </c>
      <c r="Z4233">
        <v>3.0098449999999999E-2</v>
      </c>
      <c r="AA4233">
        <v>0.99116369999999998</v>
      </c>
      <c r="AB4233">
        <v>20</v>
      </c>
      <c r="AC4233">
        <v>-1.5717999999999901</v>
      </c>
      <c r="AD4233">
        <v>-1.1111946241779</v>
      </c>
      <c r="AE4233">
        <v>-35.693289999999998</v>
      </c>
      <c r="AF4233">
        <v>-4.6338639613863801</v>
      </c>
      <c r="AG4233">
        <v>-1.1111946241779</v>
      </c>
      <c r="AH4233">
        <v>35.391282579453801</v>
      </c>
      <c r="AI4233">
        <v>91.783138800843602</v>
      </c>
      <c r="AJ4233">
        <v>97.459438044211595</v>
      </c>
      <c r="AK4233">
        <v>35.7106473103497</v>
      </c>
      <c r="AL4233">
        <v>88.304838676249901</v>
      </c>
      <c r="AM4233">
        <v>89.435278582792293</v>
      </c>
      <c r="AN4233">
        <v>0.99999998926361899</v>
      </c>
    </row>
    <row r="4234" spans="1:40" x14ac:dyDescent="0.25">
      <c r="A4234" t="str">
        <f>"20190312154643861"</f>
        <v>20190312154643861</v>
      </c>
      <c r="B4234" t="str">
        <f>"1552376803851836"</f>
        <v>1552376803851836</v>
      </c>
      <c r="C4234" t="s">
        <v>40</v>
      </c>
      <c r="D4234">
        <v>3.9358149999999998</v>
      </c>
      <c r="E4234">
        <v>0.4463724</v>
      </c>
      <c r="F4234" t="s">
        <v>42</v>
      </c>
      <c r="G4234">
        <v>-421.70350000000002</v>
      </c>
      <c r="H4234" s="1">
        <v>-3.9400999999999998E-6</v>
      </c>
      <c r="I4234">
        <v>67.717039999999997</v>
      </c>
      <c r="J4234">
        <v>-420.18259999999998</v>
      </c>
      <c r="K4234">
        <v>1.1112109999999999</v>
      </c>
      <c r="L4234">
        <v>105.4678</v>
      </c>
      <c r="M4234">
        <v>-0.17106740000000001</v>
      </c>
      <c r="N4234">
        <v>0</v>
      </c>
      <c r="O4234">
        <v>-0.98516649999999995</v>
      </c>
      <c r="P4234">
        <v>-0.17933550000000001</v>
      </c>
      <c r="Q4234">
        <v>1.7068429999999999E-2</v>
      </c>
      <c r="R4234">
        <v>-0.98363999999999996</v>
      </c>
      <c r="S4234">
        <v>-0.124054</v>
      </c>
      <c r="T4234">
        <v>-8.8723899999999994E-2</v>
      </c>
      <c r="U4234">
        <v>-3.0303339999999999</v>
      </c>
      <c r="V4234">
        <v>8.3200329999999992E-3</v>
      </c>
      <c r="W4234">
        <v>3.061943E-2</v>
      </c>
      <c r="X4234">
        <v>0.99949650000000001</v>
      </c>
      <c r="Y4234">
        <v>-0.13065639999999901</v>
      </c>
      <c r="Z4234">
        <v>2.8482339999999998E-2</v>
      </c>
      <c r="AA4234">
        <v>0.99101850000000002</v>
      </c>
      <c r="AB4234">
        <v>20</v>
      </c>
      <c r="AC4234">
        <v>-1.5209000000000299</v>
      </c>
      <c r="AD4234">
        <v>-1.1112149401</v>
      </c>
      <c r="AE4234">
        <v>-37.75076</v>
      </c>
      <c r="AF4234">
        <v>-4.9557513124913104</v>
      </c>
      <c r="AG4234">
        <v>-1.1112149401</v>
      </c>
      <c r="AH4234">
        <v>37.422014240548897</v>
      </c>
      <c r="AI4234">
        <v>91.686137395123197</v>
      </c>
      <c r="AJ4234">
        <v>97.543714965775706</v>
      </c>
      <c r="AK4234">
        <v>37.765082014133199</v>
      </c>
      <c r="AL4234">
        <v>88.245361663096801</v>
      </c>
      <c r="AM4234">
        <v>89.523068098696001</v>
      </c>
      <c r="AN4234">
        <v>1.00000001297744</v>
      </c>
    </row>
    <row r="4235" spans="1:40" x14ac:dyDescent="0.25">
      <c r="A4235" t="str">
        <f>"20190312154643885"</f>
        <v>20190312154643885</v>
      </c>
      <c r="B4235" t="str">
        <f>"1552376803881640"</f>
        <v>1552376803881640</v>
      </c>
      <c r="C4235" t="s">
        <v>40</v>
      </c>
      <c r="D4235">
        <v>3.8528929999999999</v>
      </c>
      <c r="E4235">
        <v>0.44667010000000001</v>
      </c>
      <c r="F4235" t="s">
        <v>42</v>
      </c>
      <c r="G4235">
        <v>-421.69720000000001</v>
      </c>
      <c r="H4235" s="1">
        <v>-2.5879159999999998E-6</v>
      </c>
      <c r="I4235">
        <v>64.568939999999998</v>
      </c>
      <c r="J4235">
        <v>-420.21559999999999</v>
      </c>
      <c r="K4235">
        <v>1.1112420000000001</v>
      </c>
      <c r="L4235">
        <v>105.2611</v>
      </c>
      <c r="M4235">
        <v>-0.1687371</v>
      </c>
      <c r="N4235">
        <v>0</v>
      </c>
      <c r="O4235">
        <v>-0.98556820000000001</v>
      </c>
      <c r="P4235">
        <v>-0.17522929999999901</v>
      </c>
      <c r="Q4235">
        <v>1.8543819999999999E-2</v>
      </c>
      <c r="R4235">
        <v>-0.98435309999999998</v>
      </c>
      <c r="S4235">
        <v>-0.1122437</v>
      </c>
      <c r="T4235">
        <v>-8.2347630000000005E-2</v>
      </c>
      <c r="U4235">
        <v>-3.030853</v>
      </c>
      <c r="V4235">
        <v>6.5111530000000004E-3</v>
      </c>
      <c r="W4235">
        <v>3.2088319999999997E-2</v>
      </c>
      <c r="X4235">
        <v>0.99946389999999996</v>
      </c>
      <c r="Y4235">
        <v>-0.13217219999999999</v>
      </c>
      <c r="Z4235">
        <v>2.6447990000000001E-2</v>
      </c>
      <c r="AA4235">
        <v>0.99087389999999997</v>
      </c>
      <c r="AB4235">
        <v>20</v>
      </c>
      <c r="AC4235">
        <v>-1.48160000000001</v>
      </c>
      <c r="AD4235">
        <v>-1.111244587916</v>
      </c>
      <c r="AE4235">
        <v>-40.692160000000001</v>
      </c>
      <c r="AF4235">
        <v>-5.4025306116949698</v>
      </c>
      <c r="AG4235">
        <v>-1.111244587916</v>
      </c>
      <c r="AH4235">
        <v>40.328559536409699</v>
      </c>
      <c r="AI4235">
        <v>91.564405220384003</v>
      </c>
      <c r="AJ4235">
        <v>97.630081637561105</v>
      </c>
      <c r="AK4235">
        <v>40.703991399200902</v>
      </c>
      <c r="AL4235">
        <v>88.161159167976294</v>
      </c>
      <c r="AM4235">
        <v>89.626743588092495</v>
      </c>
      <c r="AN4235">
        <v>1.0000000713985</v>
      </c>
    </row>
    <row r="4236" spans="1:40" x14ac:dyDescent="0.25">
      <c r="A4236" t="str">
        <f>"20190312154643906"</f>
        <v>20190312154643906</v>
      </c>
      <c r="B4236" t="str">
        <f>"1552376803902119"</f>
        <v>1552376803902119</v>
      </c>
      <c r="C4236" t="s">
        <v>40</v>
      </c>
      <c r="D4236">
        <v>3.8639920000000001</v>
      </c>
      <c r="E4236">
        <v>0.44670219999999999</v>
      </c>
      <c r="F4236" t="s">
        <v>42</v>
      </c>
      <c r="G4236">
        <v>-421.73579999999998</v>
      </c>
      <c r="H4236" s="1">
        <v>-6.5679189999999995E-7</v>
      </c>
      <c r="I4236">
        <v>60.043500000000002</v>
      </c>
      <c r="J4236">
        <v>-420.24369999999999</v>
      </c>
      <c r="K4236">
        <v>1.1112770000000001</v>
      </c>
      <c r="L4236">
        <v>105.08240000000001</v>
      </c>
      <c r="M4236">
        <v>-0.16667660000000001</v>
      </c>
      <c r="N4236">
        <v>0</v>
      </c>
      <c r="O4236">
        <v>-0.98591890000000004</v>
      </c>
      <c r="P4236">
        <v>-0.17238439999999999</v>
      </c>
      <c r="Q4236">
        <v>1.9829039999999999E-2</v>
      </c>
      <c r="R4236">
        <v>-0.98483030000000005</v>
      </c>
      <c r="S4236">
        <v>-0.10189819999999999</v>
      </c>
      <c r="T4236">
        <v>-7.4486849999999993E-2</v>
      </c>
      <c r="U4236">
        <v>-3.030945</v>
      </c>
      <c r="V4236">
        <v>5.7106569999999897E-3</v>
      </c>
      <c r="W4236">
        <v>3.3370799999999999E-2</v>
      </c>
      <c r="X4236">
        <v>0.9994267</v>
      </c>
      <c r="Y4236">
        <v>-0.13347699999999901</v>
      </c>
      <c r="Z4236">
        <v>2.3936309999999999E-2</v>
      </c>
      <c r="AA4236">
        <v>0.99076280000000005</v>
      </c>
      <c r="AB4236">
        <v>20</v>
      </c>
      <c r="AC4236">
        <v>-1.49209999999999</v>
      </c>
      <c r="AD4236">
        <v>-1.1112776567919</v>
      </c>
      <c r="AE4236">
        <v>-45.038899999999998</v>
      </c>
      <c r="AF4236">
        <v>-6.0327243285607297</v>
      </c>
      <c r="AG4236">
        <v>-1.1112776567919</v>
      </c>
      <c r="AH4236">
        <v>44.630342681870097</v>
      </c>
      <c r="AI4236">
        <v>91.4134978397461</v>
      </c>
      <c r="AJ4236">
        <v>97.698065072495694</v>
      </c>
      <c r="AK4236">
        <v>45.049929952842902</v>
      </c>
      <c r="AL4236">
        <v>88.087638904195998</v>
      </c>
      <c r="AM4236">
        <v>89.672619329127798</v>
      </c>
      <c r="AN4236">
        <v>0.99999997528444995</v>
      </c>
    </row>
    <row r="4237" spans="1:40" x14ac:dyDescent="0.25">
      <c r="A4237" t="str">
        <f>"20190312154643927"</f>
        <v>20190312154643927</v>
      </c>
      <c r="B4237" t="str">
        <f>"1552376803921642"</f>
        <v>1552376803921642</v>
      </c>
      <c r="C4237" t="s">
        <v>40</v>
      </c>
      <c r="D4237">
        <v>3.8333189999999999</v>
      </c>
      <c r="E4237">
        <v>0.44706620000000002</v>
      </c>
      <c r="F4237" t="s">
        <v>42</v>
      </c>
      <c r="G4237">
        <v>-421.74180000000001</v>
      </c>
      <c r="H4237" s="1">
        <v>-3.3810349999999998E-6</v>
      </c>
      <c r="I4237">
        <v>56.390059999999998</v>
      </c>
      <c r="J4237">
        <v>-420.27350000000001</v>
      </c>
      <c r="K4237">
        <v>1.111316</v>
      </c>
      <c r="L4237">
        <v>104.8903</v>
      </c>
      <c r="M4237">
        <v>-0.16441500000000001</v>
      </c>
      <c r="N4237">
        <v>0</v>
      </c>
      <c r="O4237">
        <v>-0.98629860000000003</v>
      </c>
      <c r="P4237">
        <v>-0.17134250000000001</v>
      </c>
      <c r="Q4237">
        <v>2.1100879999999999E-2</v>
      </c>
      <c r="R4237">
        <v>-0.98498560000000002</v>
      </c>
      <c r="S4237">
        <v>-9.3261720000000006E-2</v>
      </c>
      <c r="T4237">
        <v>-6.9181320000000004E-2</v>
      </c>
      <c r="U4237">
        <v>-3.0312809999999999</v>
      </c>
      <c r="V4237">
        <v>6.9440680000000003E-3</v>
      </c>
      <c r="W4237">
        <v>3.4645599999999999E-2</v>
      </c>
      <c r="X4237">
        <v>0.99937549999999997</v>
      </c>
      <c r="Y4237">
        <v>-0.13402649999999999</v>
      </c>
      <c r="Z4237">
        <v>2.2242950000000001E-2</v>
      </c>
      <c r="AA4237">
        <v>0.9907281</v>
      </c>
      <c r="AB4237">
        <v>20</v>
      </c>
      <c r="AC4237">
        <v>-1.4682999999999899</v>
      </c>
      <c r="AD4237">
        <v>-1.1113193810349999</v>
      </c>
      <c r="AE4237">
        <v>-48.500239999999998</v>
      </c>
      <c r="AF4237">
        <v>-6.5231594501437202</v>
      </c>
      <c r="AG4237">
        <v>-1.1113193810349999</v>
      </c>
      <c r="AH4237">
        <v>48.0563154681412</v>
      </c>
      <c r="AI4237">
        <v>91.312715027723499</v>
      </c>
      <c r="AJ4237">
        <v>97.730078032862593</v>
      </c>
      <c r="AK4237">
        <v>48.509752590094401</v>
      </c>
      <c r="AL4237">
        <v>88.014555940420493</v>
      </c>
      <c r="AM4237">
        <v>89.601891995348694</v>
      </c>
      <c r="AN4237">
        <v>0.99999996383999801</v>
      </c>
    </row>
    <row r="4238" spans="1:40" x14ac:dyDescent="0.25">
      <c r="A4238" t="str">
        <f>"20190312154643949"</f>
        <v>20190312154643949</v>
      </c>
      <c r="B4238" t="str">
        <f>"1552376803942135"</f>
        <v>1552376803942135</v>
      </c>
      <c r="C4238" t="s">
        <v>40</v>
      </c>
      <c r="D4238">
        <v>3.8641079999999999</v>
      </c>
      <c r="E4238">
        <v>0.447467</v>
      </c>
      <c r="F4238" t="s">
        <v>42</v>
      </c>
      <c r="G4238">
        <v>-421.89210000000003</v>
      </c>
      <c r="H4238" s="1">
        <v>-1.5414880000000001E-6</v>
      </c>
      <c r="I4238">
        <v>52.008800000000001</v>
      </c>
      <c r="J4238">
        <v>-420.30220000000003</v>
      </c>
      <c r="K4238">
        <v>1.111356</v>
      </c>
      <c r="L4238">
        <v>104.7011</v>
      </c>
      <c r="M4238">
        <v>-0.1621319</v>
      </c>
      <c r="N4238">
        <v>0</v>
      </c>
      <c r="O4238">
        <v>-0.98667629999999995</v>
      </c>
      <c r="P4238">
        <v>-0.17086699999999999</v>
      </c>
      <c r="Q4238">
        <v>2.2224339999999999E-2</v>
      </c>
      <c r="R4238">
        <v>-0.98504349999999996</v>
      </c>
      <c r="S4238">
        <v>-9.2773439999999999E-2</v>
      </c>
      <c r="T4238">
        <v>-6.3696030000000001E-2</v>
      </c>
      <c r="U4238">
        <v>-3.030945</v>
      </c>
      <c r="V4238">
        <v>8.7730669999999903E-3</v>
      </c>
      <c r="W4238">
        <v>3.5774529999999999E-2</v>
      </c>
      <c r="X4238">
        <v>0.99932140000000003</v>
      </c>
      <c r="Y4238">
        <v>-0.13188759999999999</v>
      </c>
      <c r="Z4238">
        <v>2.0497359999999999E-2</v>
      </c>
      <c r="AA4238">
        <v>0.99105270000000001</v>
      </c>
      <c r="AB4238">
        <v>20</v>
      </c>
      <c r="AC4238">
        <v>-1.5899000000000001</v>
      </c>
      <c r="AD4238">
        <v>-1.1113575414879999</v>
      </c>
      <c r="AE4238">
        <v>-52.692300000000003</v>
      </c>
      <c r="AF4238">
        <v>-6.9719261104349703</v>
      </c>
      <c r="AG4238">
        <v>-1.1113575414879999</v>
      </c>
      <c r="AH4238">
        <v>52.229588570926602</v>
      </c>
      <c r="AI4238">
        <v>91.208259623893596</v>
      </c>
      <c r="AJ4238">
        <v>97.603245378066703</v>
      </c>
      <c r="AK4238">
        <v>52.704580366061698</v>
      </c>
      <c r="AL4238">
        <v>87.949832997145805</v>
      </c>
      <c r="AM4238">
        <v>89.497011872715007</v>
      </c>
      <c r="AN4238">
        <v>1.0000000220996299</v>
      </c>
    </row>
    <row r="4239" spans="1:40" x14ac:dyDescent="0.25">
      <c r="A4239" t="str">
        <f>"20190312154643972"</f>
        <v>20190312154643972</v>
      </c>
      <c r="B4239" t="str">
        <f>"1552376803961655"</f>
        <v>1552376803961655</v>
      </c>
      <c r="C4239" t="s">
        <v>40</v>
      </c>
      <c r="D4239">
        <v>3.8263590000000001</v>
      </c>
      <c r="E4239">
        <v>0.44783879999999998</v>
      </c>
      <c r="F4239" t="s">
        <v>42</v>
      </c>
      <c r="G4239">
        <v>-422.03579999999999</v>
      </c>
      <c r="H4239" s="1">
        <v>-4.4200129999999998E-6</v>
      </c>
      <c r="I4239">
        <v>48.914020000000001</v>
      </c>
      <c r="J4239">
        <v>-420.3313</v>
      </c>
      <c r="K4239">
        <v>1.1113959999999901</v>
      </c>
      <c r="L4239">
        <v>104.5064</v>
      </c>
      <c r="M4239">
        <v>-0.15971089999999999</v>
      </c>
      <c r="N4239">
        <v>0</v>
      </c>
      <c r="O4239">
        <v>-0.98707129999999998</v>
      </c>
      <c r="P4239">
        <v>-0.17118729999999999</v>
      </c>
      <c r="Q4239">
        <v>2.2948699999999999E-2</v>
      </c>
      <c r="R4239">
        <v>-0.98497159999999995</v>
      </c>
      <c r="S4239">
        <v>-9.4177250000000004E-2</v>
      </c>
      <c r="T4239">
        <v>-6.0373540000000003E-2</v>
      </c>
      <c r="U4239">
        <v>-3.0305789999999999</v>
      </c>
      <c r="V4239">
        <v>1.154765E-2</v>
      </c>
      <c r="W4239">
        <v>3.6507419999999999E-2</v>
      </c>
      <c r="X4239">
        <v>0.99926669999999995</v>
      </c>
      <c r="Y4239">
        <v>-0.1289923</v>
      </c>
      <c r="Z4239">
        <v>1.9446399999999999E-2</v>
      </c>
      <c r="AA4239">
        <v>0.99145490000000003</v>
      </c>
      <c r="AB4239">
        <v>20</v>
      </c>
      <c r="AC4239">
        <v>-1.7044999999999899</v>
      </c>
      <c r="AD4239">
        <v>-1.1114004200130001</v>
      </c>
      <c r="AE4239">
        <v>-55.592379999999999</v>
      </c>
      <c r="AF4239">
        <v>-7.1940307993742403</v>
      </c>
      <c r="AG4239">
        <v>-1.1114004200130001</v>
      </c>
      <c r="AH4239">
        <v>55.128894531519897</v>
      </c>
      <c r="AI4239">
        <v>91.145221312732701</v>
      </c>
      <c r="AJ4239">
        <v>97.434785824625195</v>
      </c>
      <c r="AK4239">
        <v>55.607412296414203</v>
      </c>
      <c r="AL4239">
        <v>87.907814077388807</v>
      </c>
      <c r="AM4239">
        <v>89.337912332771097</v>
      </c>
      <c r="AN4239">
        <v>1.0000000388322301</v>
      </c>
    </row>
    <row r="4240" spans="1:40" x14ac:dyDescent="0.25">
      <c r="A4240" t="str">
        <f>"20190312154643995"</f>
        <v>20190312154643995</v>
      </c>
      <c r="B4240" t="str">
        <f>"1552376803991441"</f>
        <v>1552376803991441</v>
      </c>
      <c r="C4240" t="s">
        <v>40</v>
      </c>
      <c r="D4240">
        <v>3.768262</v>
      </c>
      <c r="E4240">
        <v>0.44847350000000002</v>
      </c>
      <c r="F4240" t="s">
        <v>42</v>
      </c>
      <c r="G4240">
        <v>-422.15789999999998</v>
      </c>
      <c r="H4240" s="1">
        <v>-4.1629660000000001E-6</v>
      </c>
      <c r="I4240">
        <v>48.095059999999997</v>
      </c>
      <c r="J4240">
        <v>-420.36070000000001</v>
      </c>
      <c r="K4240">
        <v>1.1114379999999999</v>
      </c>
      <c r="L4240">
        <v>104.30540000000001</v>
      </c>
      <c r="M4240">
        <v>-0.15712779999999901</v>
      </c>
      <c r="N4240">
        <v>0</v>
      </c>
      <c r="O4240">
        <v>-0.98748579999999997</v>
      </c>
      <c r="P4240">
        <v>-0.1712555</v>
      </c>
      <c r="Q4240">
        <v>2.2726920000000001E-2</v>
      </c>
      <c r="R4240">
        <v>-0.98496470000000003</v>
      </c>
      <c r="S4240">
        <v>-9.8114010000000001E-2</v>
      </c>
      <c r="T4240">
        <v>-5.9698580000000001E-2</v>
      </c>
      <c r="U4240">
        <v>-3.0301209999999998</v>
      </c>
      <c r="V4240">
        <v>1.4228380000000001E-2</v>
      </c>
      <c r="W4240">
        <v>3.6296330000000002E-2</v>
      </c>
      <c r="X4240">
        <v>0.99923980000000001</v>
      </c>
      <c r="Y4240">
        <v>-0.1251052</v>
      </c>
      <c r="Z4240">
        <v>1.924872E-2</v>
      </c>
      <c r="AA4240">
        <v>0.99195670000000002</v>
      </c>
      <c r="AB4240">
        <v>20</v>
      </c>
      <c r="AC4240">
        <v>-1.7971999999999699</v>
      </c>
      <c r="AD4240">
        <v>-1.1114421629659901</v>
      </c>
      <c r="AE4240">
        <v>-56.210340000000002</v>
      </c>
      <c r="AF4240">
        <v>-7.0553865793125299</v>
      </c>
      <c r="AG4240">
        <v>-1.1114421629659901</v>
      </c>
      <c r="AH4240">
        <v>55.772615236052502</v>
      </c>
      <c r="AI4240">
        <v>91.132620543380099</v>
      </c>
      <c r="AJ4240">
        <v>97.209774556595903</v>
      </c>
      <c r="AK4240">
        <v>56.228092567095999</v>
      </c>
      <c r="AL4240">
        <v>87.919916633662595</v>
      </c>
      <c r="AM4240">
        <v>89.184208802565195</v>
      </c>
      <c r="AN4240">
        <v>1.0000000241364599</v>
      </c>
    </row>
    <row r="4241" spans="1:40" x14ac:dyDescent="0.25">
      <c r="A4241" t="str">
        <f>"20190312154644016"</f>
        <v>20190312154644016</v>
      </c>
      <c r="B4241" t="str">
        <f>"1552376804011937"</f>
        <v>1552376804011937</v>
      </c>
      <c r="C4241" t="s">
        <v>40</v>
      </c>
      <c r="D4241">
        <v>3.7956810000000001</v>
      </c>
      <c r="E4241">
        <v>0.44890229999999998</v>
      </c>
      <c r="F4241" t="s">
        <v>42</v>
      </c>
      <c r="G4241">
        <v>-422.13209999999998</v>
      </c>
      <c r="H4241" s="1">
        <v>-1.702131E-6</v>
      </c>
      <c r="I4241">
        <v>52.234389999999998</v>
      </c>
      <c r="J4241">
        <v>-420.38679999999999</v>
      </c>
      <c r="K4241">
        <v>1.111477</v>
      </c>
      <c r="L4241">
        <v>104.123</v>
      </c>
      <c r="M4241">
        <v>-0.15470510000000001</v>
      </c>
      <c r="N4241">
        <v>0</v>
      </c>
      <c r="O4241">
        <v>-0.98786810000000003</v>
      </c>
      <c r="P4241">
        <v>-0.1713112</v>
      </c>
      <c r="Q4241">
        <v>2.1407639999999999E-2</v>
      </c>
      <c r="R4241">
        <v>-0.98498430000000003</v>
      </c>
      <c r="S4241">
        <v>-0.10305789999999999</v>
      </c>
      <c r="T4241">
        <v>-6.4660670000000003E-2</v>
      </c>
      <c r="U4241">
        <v>-3.0293580000000002</v>
      </c>
      <c r="V4241">
        <v>1.6732779999999999E-2</v>
      </c>
      <c r="W4241">
        <v>3.498776E-2</v>
      </c>
      <c r="X4241">
        <v>0.99924769999999896</v>
      </c>
      <c r="Y4241">
        <v>-0.1210466</v>
      </c>
      <c r="Z4241">
        <v>2.0870260000000002E-2</v>
      </c>
      <c r="AA4241">
        <v>0.99242739999999996</v>
      </c>
      <c r="AB4241">
        <v>20</v>
      </c>
      <c r="AC4241">
        <v>-1.7452999999999801</v>
      </c>
      <c r="AD4241">
        <v>-1.111478702131</v>
      </c>
      <c r="AE4241">
        <v>-51.8886099999999</v>
      </c>
      <c r="AF4241">
        <v>-6.3009952138888101</v>
      </c>
      <c r="AG4241">
        <v>-1.111478702131</v>
      </c>
      <c r="AH4241">
        <v>51.510215558537801</v>
      </c>
      <c r="AI4241">
        <v>91.226983758683104</v>
      </c>
      <c r="AJ4241">
        <v>96.974067601922201</v>
      </c>
      <c r="AK4241">
        <v>51.906071248725503</v>
      </c>
      <c r="AL4241">
        <v>87.994939890734003</v>
      </c>
      <c r="AM4241">
        <v>89.040650203149497</v>
      </c>
      <c r="AN4241">
        <v>1.00000004761581</v>
      </c>
    </row>
    <row r="4242" spans="1:40" x14ac:dyDescent="0.25">
      <c r="A4242" t="str">
        <f>"20190312154644039"</f>
        <v>20190312154644039</v>
      </c>
      <c r="B4242" t="str">
        <f>"1552376804031457"</f>
        <v>1552376804031457</v>
      </c>
      <c r="C4242" t="s">
        <v>40</v>
      </c>
      <c r="D4242">
        <v>3.7583630000000001</v>
      </c>
      <c r="E4242">
        <v>0.44925349999999997</v>
      </c>
      <c r="F4242" t="s">
        <v>42</v>
      </c>
      <c r="G4242">
        <v>-422.0455</v>
      </c>
      <c r="H4242" s="1">
        <v>-3.668848E-6</v>
      </c>
      <c r="I4242">
        <v>56.872590000000002</v>
      </c>
      <c r="J4242">
        <v>-420.4144</v>
      </c>
      <c r="K4242">
        <v>1.1115200000000001</v>
      </c>
      <c r="L4242">
        <v>103.92659999999999</v>
      </c>
      <c r="M4242">
        <v>-0.1520205</v>
      </c>
      <c r="N4242">
        <v>0</v>
      </c>
      <c r="O4242">
        <v>-0.98828479999999996</v>
      </c>
      <c r="P4242">
        <v>-0.17056060000000001</v>
      </c>
      <c r="Q4242">
        <v>2.0054430000000002E-2</v>
      </c>
      <c r="R4242">
        <v>-0.9851432</v>
      </c>
      <c r="S4242">
        <v>-0.10632320000000001</v>
      </c>
      <c r="T4242">
        <v>-7.1246619999999997E-2</v>
      </c>
      <c r="U4242">
        <v>-3.028778</v>
      </c>
      <c r="V4242">
        <v>1.8683430000000001E-2</v>
      </c>
      <c r="W4242">
        <v>3.3644340000000002E-2</v>
      </c>
      <c r="X4242">
        <v>0.99925920000000001</v>
      </c>
      <c r="Y4242">
        <v>-0.1172752</v>
      </c>
      <c r="Z4242">
        <v>2.3018839999999999E-2</v>
      </c>
      <c r="AA4242">
        <v>0.99283270000000001</v>
      </c>
      <c r="AB4242">
        <v>20</v>
      </c>
      <c r="AC4242">
        <v>-1.6311</v>
      </c>
      <c r="AD4242">
        <v>-1.1115236688479999</v>
      </c>
      <c r="AE4242">
        <v>-47.054009999999899</v>
      </c>
      <c r="AF4242">
        <v>-5.53860275880663</v>
      </c>
      <c r="AG4242">
        <v>-1.1115236688479999</v>
      </c>
      <c r="AH4242">
        <v>46.7289558867962</v>
      </c>
      <c r="AI4242">
        <v>91.353147576952395</v>
      </c>
      <c r="AJ4242">
        <v>96.759511745905499</v>
      </c>
      <c r="AK4242">
        <v>47.069171690783101</v>
      </c>
      <c r="AL4242">
        <v>88.071957420519794</v>
      </c>
      <c r="AM4242">
        <v>88.928849522368907</v>
      </c>
      <c r="AN4242">
        <v>0.99999998047761995</v>
      </c>
    </row>
    <row r="4243" spans="1:40" x14ac:dyDescent="0.25">
      <c r="A4243" t="str">
        <f>"20190312154644062"</f>
        <v>20190312154644062</v>
      </c>
      <c r="B4243" t="str">
        <f>"1552376804051953"</f>
        <v>1552376804051953</v>
      </c>
      <c r="C4243" t="s">
        <v>40</v>
      </c>
      <c r="D4243">
        <v>3.7394569999999998</v>
      </c>
      <c r="E4243">
        <v>0.4494901</v>
      </c>
      <c r="F4243" t="s">
        <v>42</v>
      </c>
      <c r="G4243">
        <v>-421.93880000000001</v>
      </c>
      <c r="H4243" s="1">
        <v>-9.5210939999999996E-7</v>
      </c>
      <c r="I4243">
        <v>60.606000000000002</v>
      </c>
      <c r="J4243">
        <v>-420.44189999999998</v>
      </c>
      <c r="K4243">
        <v>1.111564</v>
      </c>
      <c r="L4243">
        <v>103.7256</v>
      </c>
      <c r="M4243">
        <v>-0.14919869999999999</v>
      </c>
      <c r="N4243">
        <v>0</v>
      </c>
      <c r="O4243">
        <v>-0.98871469999999995</v>
      </c>
      <c r="P4243">
        <v>-0.1688877</v>
      </c>
      <c r="Q4243">
        <v>1.8920880000000001E-2</v>
      </c>
      <c r="R4243">
        <v>-0.98545369999999999</v>
      </c>
      <c r="S4243">
        <v>-0.10656740000000001</v>
      </c>
      <c r="T4243">
        <v>-7.7702279999999999E-2</v>
      </c>
      <c r="U4243">
        <v>-3.028381</v>
      </c>
      <c r="V4243">
        <v>1.983714E-2</v>
      </c>
      <c r="W4243">
        <v>3.251772E-2</v>
      </c>
      <c r="X4243">
        <v>0.99927429999999995</v>
      </c>
      <c r="Y4243">
        <v>-0.114357</v>
      </c>
      <c r="Z4243">
        <v>2.5127400000000001E-2</v>
      </c>
      <c r="AA4243">
        <v>0.9931219</v>
      </c>
      <c r="AB4243">
        <v>20</v>
      </c>
      <c r="AC4243">
        <v>-1.4969000000000301</v>
      </c>
      <c r="AD4243">
        <v>-1.1115649521094</v>
      </c>
      <c r="AE4243">
        <v>-43.119599999999998</v>
      </c>
      <c r="AF4243">
        <v>-4.9505486307548496</v>
      </c>
      <c r="AG4243">
        <v>-1.1115649521094</v>
      </c>
      <c r="AH4243">
        <v>42.8318104551253</v>
      </c>
      <c r="AI4243">
        <v>91.476771138174996</v>
      </c>
      <c r="AJ4243">
        <v>96.593055373463102</v>
      </c>
      <c r="AK4243">
        <v>43.131282096084398</v>
      </c>
      <c r="AL4243">
        <v>88.136543420442095</v>
      </c>
      <c r="AM4243">
        <v>88.862739558394694</v>
      </c>
      <c r="AN4243">
        <v>1.0000000204389301</v>
      </c>
    </row>
    <row r="4244" spans="1:40" x14ac:dyDescent="0.25">
      <c r="A4244" t="str">
        <f>"20190312154644087"</f>
        <v>20190312154644087</v>
      </c>
      <c r="B4244" t="str">
        <f>"1552376804081753"</f>
        <v>1552376804081753</v>
      </c>
      <c r="C4244" t="s">
        <v>40</v>
      </c>
      <c r="D4244">
        <v>3.807042</v>
      </c>
      <c r="E4244">
        <v>0.44990239999999998</v>
      </c>
      <c r="F4244" t="s">
        <v>42</v>
      </c>
      <c r="G4244">
        <v>-421.83760000000001</v>
      </c>
      <c r="H4244" s="1">
        <v>-1.877194E-6</v>
      </c>
      <c r="I4244">
        <v>62.825180000000003</v>
      </c>
      <c r="J4244">
        <v>-420.46949999999998</v>
      </c>
      <c r="K4244">
        <v>1.1115900000000001</v>
      </c>
      <c r="L4244">
        <v>103.5189</v>
      </c>
      <c r="M4244">
        <v>-0.14622829999999901</v>
      </c>
      <c r="N4244">
        <v>0</v>
      </c>
      <c r="O4244">
        <v>-0.98915839999999999</v>
      </c>
      <c r="P4244">
        <v>-0.1661435</v>
      </c>
      <c r="Q4244">
        <v>1.923219E-2</v>
      </c>
      <c r="R4244">
        <v>-0.98591419999999996</v>
      </c>
      <c r="S4244">
        <v>-0.10333249999999999</v>
      </c>
      <c r="T4244">
        <v>-8.2297560000000006E-2</v>
      </c>
      <c r="U4244">
        <v>-3.028168</v>
      </c>
      <c r="V4244">
        <v>2.0053930000000001E-2</v>
      </c>
      <c r="W4244">
        <v>3.2831800000000001E-2</v>
      </c>
      <c r="X4244">
        <v>0.99925969999999997</v>
      </c>
      <c r="Y4244">
        <v>-0.1124314</v>
      </c>
      <c r="Z4244">
        <v>2.6635760000000001E-2</v>
      </c>
      <c r="AA4244">
        <v>0.99330240000000003</v>
      </c>
      <c r="AB4244">
        <v>20</v>
      </c>
      <c r="AC4244">
        <v>-1.3681000000000201</v>
      </c>
      <c r="AD4244">
        <v>-1.1115918771940001</v>
      </c>
      <c r="AE4244">
        <v>-40.693719999999999</v>
      </c>
      <c r="AF4244">
        <v>-4.5943022260249204</v>
      </c>
      <c r="AG4244">
        <v>-1.1115918771940001</v>
      </c>
      <c r="AH4244">
        <v>40.426160084882802</v>
      </c>
      <c r="AI4244">
        <v>91.564987437692395</v>
      </c>
      <c r="AJ4244">
        <v>96.483661924344702</v>
      </c>
      <c r="AK4244">
        <v>40.701568380764797</v>
      </c>
      <c r="AL4244">
        <v>88.118538342970595</v>
      </c>
      <c r="AM4244">
        <v>88.850297542727304</v>
      </c>
      <c r="AN4244">
        <v>1.00000001762188</v>
      </c>
    </row>
    <row r="4245" spans="1:40" x14ac:dyDescent="0.25">
      <c r="A4245" t="str">
        <f>"20190312154644128"</f>
        <v>20190312154644128</v>
      </c>
      <c r="B4245" t="str">
        <f>"1552376804121755"</f>
        <v>1552376804121755</v>
      </c>
      <c r="C4245" t="s">
        <v>40</v>
      </c>
      <c r="D4245">
        <v>3.7902480000000001</v>
      </c>
      <c r="E4245">
        <v>0.4503239</v>
      </c>
      <c r="F4245" t="s">
        <v>42</v>
      </c>
      <c r="G4245">
        <v>-421.76100000000002</v>
      </c>
      <c r="H4245" s="1">
        <v>-2.257486E-6</v>
      </c>
      <c r="I4245">
        <v>63.759120000000003</v>
      </c>
      <c r="J4245">
        <v>-420.51549999999997</v>
      </c>
      <c r="K4245">
        <v>1.111591</v>
      </c>
      <c r="L4245">
        <v>103.16240000000001</v>
      </c>
      <c r="M4245">
        <v>-0.14101749999999999</v>
      </c>
      <c r="N4245">
        <v>0</v>
      </c>
      <c r="O4245">
        <v>-0.98991450000000003</v>
      </c>
      <c r="P4245">
        <v>-0.15822700000000001</v>
      </c>
      <c r="Q4245">
        <v>1.8417139999999999E-2</v>
      </c>
      <c r="R4245">
        <v>-0.98723079999999996</v>
      </c>
      <c r="S4245">
        <v>-9.8358150000000005E-2</v>
      </c>
      <c r="T4245">
        <v>-8.4653740000000005E-2</v>
      </c>
      <c r="U4245">
        <v>-3.0279240000000001</v>
      </c>
      <c r="V4245">
        <v>1.729665E-2</v>
      </c>
      <c r="W4245">
        <v>3.2007290000000001E-2</v>
      </c>
      <c r="X4245">
        <v>0.99933799999999995</v>
      </c>
      <c r="Y4245">
        <v>-0.1088262</v>
      </c>
      <c r="Z4245">
        <v>2.7437949999999999E-2</v>
      </c>
      <c r="AA4245">
        <v>0.99368199999999995</v>
      </c>
      <c r="AB4245">
        <v>20</v>
      </c>
      <c r="AC4245">
        <v>-1.2454999999999901</v>
      </c>
      <c r="AD4245">
        <v>-1.1115932574859999</v>
      </c>
      <c r="AE4245">
        <v>-39.403280000000002</v>
      </c>
      <c r="AF4245">
        <v>-4.3205748792963803</v>
      </c>
      <c r="AG4245">
        <v>-1.1115932574859999</v>
      </c>
      <c r="AH4245">
        <v>39.1539786310137</v>
      </c>
      <c r="AI4245">
        <v>91.616401409837707</v>
      </c>
      <c r="AJ4245">
        <v>96.297015134402798</v>
      </c>
      <c r="AK4245">
        <v>39.407322282738001</v>
      </c>
      <c r="AL4245">
        <v>88.165804172089395</v>
      </c>
      <c r="AM4245">
        <v>89.008417470523099</v>
      </c>
      <c r="AN4245">
        <v>1.0000000394791799</v>
      </c>
    </row>
    <row r="4246" spans="1:40" x14ac:dyDescent="0.25">
      <c r="A4246" t="str">
        <f>"20190312154644150"</f>
        <v>20190312154644150</v>
      </c>
      <c r="B4246" t="str">
        <f>"1552376804142252"</f>
        <v>1552376804142252</v>
      </c>
      <c r="C4246" t="s">
        <v>40</v>
      </c>
      <c r="D4246">
        <v>3.7946</v>
      </c>
      <c r="E4246">
        <v>0.4505383</v>
      </c>
      <c r="F4246" t="s">
        <v>42</v>
      </c>
      <c r="G4246">
        <v>-421.46129999999999</v>
      </c>
      <c r="H4246" s="1">
        <v>-3.304821E-6</v>
      </c>
      <c r="I4246">
        <v>66.386359999999996</v>
      </c>
      <c r="J4246">
        <v>-420.53899999999999</v>
      </c>
      <c r="K4246">
        <v>1.1115790000000001</v>
      </c>
      <c r="L4246">
        <v>102.97369999999999</v>
      </c>
      <c r="M4246">
        <v>-0.13824589999999901</v>
      </c>
      <c r="N4246">
        <v>0</v>
      </c>
      <c r="O4246">
        <v>-0.99030580000000001</v>
      </c>
      <c r="P4246">
        <v>-0.15294639999999901</v>
      </c>
      <c r="Q4246">
        <v>1.8061819999999999E-2</v>
      </c>
      <c r="R4246">
        <v>-0.98806970000000005</v>
      </c>
      <c r="S4246">
        <v>-7.7880859999999996E-2</v>
      </c>
      <c r="T4246">
        <v>-9.1525910000000002E-2</v>
      </c>
      <c r="U4246">
        <v>-3.0280459999999998</v>
      </c>
      <c r="V4246">
        <v>1.475134E-2</v>
      </c>
      <c r="W4246">
        <v>3.164223E-2</v>
      </c>
      <c r="X4246">
        <v>0.99939040000000001</v>
      </c>
      <c r="Y4246">
        <v>-0.1127597</v>
      </c>
      <c r="Z4246">
        <v>2.9676129999999998E-2</v>
      </c>
      <c r="AA4246">
        <v>0.99317900000000003</v>
      </c>
      <c r="AB4246">
        <v>19</v>
      </c>
      <c r="AC4246">
        <v>-0.922300000000007</v>
      </c>
      <c r="AD4246">
        <v>-1.1115823048209901</v>
      </c>
      <c r="AE4246">
        <v>-36.587339999999998</v>
      </c>
      <c r="AF4246">
        <v>-4.1412488290371003</v>
      </c>
      <c r="AG4246">
        <v>-1.1115823048209901</v>
      </c>
      <c r="AH4246">
        <v>36.329964608601799</v>
      </c>
      <c r="AI4246">
        <v>91.741254207340802</v>
      </c>
      <c r="AJ4246">
        <v>96.503070485958901</v>
      </c>
      <c r="AK4246">
        <v>36.582125219110097</v>
      </c>
      <c r="AL4246">
        <v>88.186731101272002</v>
      </c>
      <c r="AM4246">
        <v>89.1543563432393</v>
      </c>
      <c r="AN4246">
        <v>1.00000000218166</v>
      </c>
    </row>
    <row r="4247" spans="1:40" x14ac:dyDescent="0.25">
      <c r="A4247" t="str">
        <f>"20190312154644173"</f>
        <v>20190312154644173</v>
      </c>
      <c r="B4247" t="str">
        <f>"1552376804161771"</f>
        <v>1552376804161771</v>
      </c>
      <c r="C4247" t="s">
        <v>40</v>
      </c>
      <c r="D4247">
        <v>3.7905250000000001</v>
      </c>
      <c r="E4247">
        <v>0.45079069999999999</v>
      </c>
      <c r="F4247" t="s">
        <v>42</v>
      </c>
      <c r="G4247">
        <v>-421.28179999999998</v>
      </c>
      <c r="H4247" s="1">
        <v>-3.588206E-6</v>
      </c>
      <c r="I4247">
        <v>67.15831</v>
      </c>
      <c r="J4247">
        <v>-420.56299999999999</v>
      </c>
      <c r="K4247">
        <v>1.1115569999999999</v>
      </c>
      <c r="L4247">
        <v>102.7762</v>
      </c>
      <c r="M4247">
        <v>-0.1353539</v>
      </c>
      <c r="N4247">
        <v>0</v>
      </c>
      <c r="O4247">
        <v>-0.99070510000000001</v>
      </c>
      <c r="P4247">
        <v>-0.1475842</v>
      </c>
      <c r="Q4247">
        <v>1.7797529999999999E-2</v>
      </c>
      <c r="R4247">
        <v>-0.98888949999999998</v>
      </c>
      <c r="S4247">
        <v>-6.2805180000000002E-2</v>
      </c>
      <c r="T4247">
        <v>-9.3985440000000003E-2</v>
      </c>
      <c r="U4247">
        <v>-3.0282290000000001</v>
      </c>
      <c r="V4247">
        <v>1.2248770000000001E-2</v>
      </c>
      <c r="W4247">
        <v>3.1366749999999999E-2</v>
      </c>
      <c r="X4247">
        <v>0.99943289999999996</v>
      </c>
      <c r="Y4247">
        <v>-0.1148021</v>
      </c>
      <c r="Z4247">
        <v>3.048766E-2</v>
      </c>
      <c r="AA4247">
        <v>0.99292049999999998</v>
      </c>
      <c r="AB4247">
        <v>19</v>
      </c>
      <c r="AC4247">
        <v>-0.71879999999993005</v>
      </c>
      <c r="AD4247">
        <v>-1.111560588206</v>
      </c>
      <c r="AE4247">
        <v>-35.617890000000003</v>
      </c>
      <c r="AF4247">
        <v>-4.1052803018018604</v>
      </c>
      <c r="AG4247">
        <v>-1.111560588206</v>
      </c>
      <c r="AH4247">
        <v>35.352933473619501</v>
      </c>
      <c r="AI4247">
        <v>91.788877545206503</v>
      </c>
      <c r="AJ4247">
        <v>96.623678190673004</v>
      </c>
      <c r="AK4247">
        <v>35.6078474284501</v>
      </c>
      <c r="AL4247">
        <v>88.202522801782607</v>
      </c>
      <c r="AM4247">
        <v>89.2978341108861</v>
      </c>
      <c r="AN4247">
        <v>1.00000001348724</v>
      </c>
    </row>
    <row r="4248" spans="1:40" x14ac:dyDescent="0.25">
      <c r="A4248" t="str">
        <f>"20190312154644195"</f>
        <v>20190312154644195</v>
      </c>
      <c r="B4248" t="str">
        <f>"1552376804191559"</f>
        <v>1552376804191559</v>
      </c>
      <c r="C4248" t="s">
        <v>40</v>
      </c>
      <c r="D4248">
        <v>3.810657</v>
      </c>
      <c r="E4248">
        <v>0.45118279999999999</v>
      </c>
      <c r="F4248" t="s">
        <v>42</v>
      </c>
      <c r="G4248">
        <v>-421.12689999999998</v>
      </c>
      <c r="H4248" s="1">
        <v>-3.654865E-6</v>
      </c>
      <c r="I4248">
        <v>67.409769999999995</v>
      </c>
      <c r="J4248">
        <v>-420.58510000000001</v>
      </c>
      <c r="K4248">
        <v>1.11155</v>
      </c>
      <c r="L4248">
        <v>102.59050000000001</v>
      </c>
      <c r="M4248">
        <v>-0.13264919999999999</v>
      </c>
      <c r="N4248">
        <v>0</v>
      </c>
      <c r="O4248">
        <v>-0.99107089999999998</v>
      </c>
      <c r="P4248">
        <v>-0.14274779999999901</v>
      </c>
      <c r="Q4248">
        <v>1.888223E-2</v>
      </c>
      <c r="R4248">
        <v>-0.98957930000000005</v>
      </c>
      <c r="S4248">
        <v>-4.8278809999999998E-2</v>
      </c>
      <c r="T4248">
        <v>-9.5176700000000003E-2</v>
      </c>
      <c r="U4248">
        <v>-3.0282290000000001</v>
      </c>
      <c r="V4248">
        <v>1.009001E-2</v>
      </c>
      <c r="W4248">
        <v>3.2441949999999997E-2</v>
      </c>
      <c r="X4248">
        <v>0.9994227</v>
      </c>
      <c r="Y4248">
        <v>-0.11685189999999999</v>
      </c>
      <c r="Z4248">
        <v>3.0888479999999999E-2</v>
      </c>
      <c r="AA4248">
        <v>0.99266889999999997</v>
      </c>
      <c r="AB4248">
        <v>19</v>
      </c>
      <c r="AC4248">
        <v>-0.54179999999996598</v>
      </c>
      <c r="AD4248">
        <v>-1.111553654865</v>
      </c>
      <c r="AE4248">
        <v>-35.180729999999997</v>
      </c>
      <c r="AF4248">
        <v>-4.1259927903977598</v>
      </c>
      <c r="AG4248">
        <v>-1.111553654865</v>
      </c>
      <c r="AH4248">
        <v>34.906820042592898</v>
      </c>
      <c r="AI4248">
        <v>91.811278538190194</v>
      </c>
      <c r="AJ4248">
        <v>96.741094270945297</v>
      </c>
      <c r="AK4248">
        <v>35.167391906708502</v>
      </c>
      <c r="AL4248">
        <v>88.140886995450799</v>
      </c>
      <c r="AM4248">
        <v>89.421570724973705</v>
      </c>
      <c r="AN4248">
        <v>1.0000000108484399</v>
      </c>
    </row>
    <row r="4249" spans="1:40" x14ac:dyDescent="0.25">
      <c r="A4249" t="str">
        <f>"20190312154644217"</f>
        <v>20190312154644217</v>
      </c>
      <c r="B4249" t="str">
        <f>"1552376804212058"</f>
        <v>1552376804212058</v>
      </c>
      <c r="C4249" t="s">
        <v>40</v>
      </c>
      <c r="D4249">
        <v>3.8099539999999998</v>
      </c>
      <c r="E4249">
        <v>0.45143660000000002</v>
      </c>
      <c r="F4249" t="s">
        <v>42</v>
      </c>
      <c r="G4249">
        <v>-421.02100000000002</v>
      </c>
      <c r="H4249" s="1">
        <v>-3.2458649999999998E-6</v>
      </c>
      <c r="I4249">
        <v>66.522059999999996</v>
      </c>
      <c r="J4249">
        <v>-420.60770000000002</v>
      </c>
      <c r="K4249">
        <v>1.1115429999999999</v>
      </c>
      <c r="L4249">
        <v>102.3961</v>
      </c>
      <c r="M4249">
        <v>-0.1298377</v>
      </c>
      <c r="N4249">
        <v>0</v>
      </c>
      <c r="O4249">
        <v>-0.99144319999999997</v>
      </c>
      <c r="P4249">
        <v>-0.13837339999999901</v>
      </c>
      <c r="Q4249">
        <v>2.0787730000000001E-2</v>
      </c>
      <c r="R4249">
        <v>-0.99016210000000004</v>
      </c>
      <c r="S4249">
        <v>-3.6590579999999998E-2</v>
      </c>
      <c r="T4249">
        <v>-9.3319890000000003E-2</v>
      </c>
      <c r="U4249">
        <v>-3.0281069999999999</v>
      </c>
      <c r="V4249">
        <v>8.5072280000000004E-3</v>
      </c>
      <c r="W4249">
        <v>3.4338699999999903E-2</v>
      </c>
      <c r="X4249">
        <v>0.99937399999999998</v>
      </c>
      <c r="Y4249">
        <v>-0.117865</v>
      </c>
      <c r="Z4249">
        <v>3.030381E-2</v>
      </c>
      <c r="AA4249">
        <v>0.99256710000000004</v>
      </c>
      <c r="AB4249">
        <v>19</v>
      </c>
      <c r="AC4249">
        <v>-0.413299999999935</v>
      </c>
      <c r="AD4249">
        <v>-1.1115462458649901</v>
      </c>
      <c r="AE4249">
        <v>-35.874040000000001</v>
      </c>
      <c r="AF4249">
        <v>-4.2443529113725598</v>
      </c>
      <c r="AG4249">
        <v>-1.1115462458649901</v>
      </c>
      <c r="AH4249">
        <v>35.589823188275901</v>
      </c>
      <c r="AI4249">
        <v>91.776309252813405</v>
      </c>
      <c r="AJ4249">
        <v>96.800830851445895</v>
      </c>
      <c r="AK4249">
        <v>35.859246802822199</v>
      </c>
      <c r="AL4249">
        <v>88.032150468864401</v>
      </c>
      <c r="AM4249">
        <v>89.512278199491504</v>
      </c>
      <c r="AN4249">
        <v>0.99999995556096599</v>
      </c>
    </row>
    <row r="4250" spans="1:40" x14ac:dyDescent="0.25">
      <c r="A4250" t="str">
        <f>"20190312154644240"</f>
        <v>20190312154644240</v>
      </c>
      <c r="B4250" t="str">
        <f>"1552376804231574"</f>
        <v>1552376804231574</v>
      </c>
      <c r="C4250" t="s">
        <v>40</v>
      </c>
      <c r="D4250">
        <v>3.824986</v>
      </c>
      <c r="E4250">
        <v>0.4515248</v>
      </c>
      <c r="F4250" t="s">
        <v>42</v>
      </c>
      <c r="G4250">
        <v>-420.92129999999997</v>
      </c>
      <c r="H4250" s="1">
        <v>-2.1492830000000001E-6</v>
      </c>
      <c r="I4250">
        <v>64.027709999999999</v>
      </c>
      <c r="J4250">
        <v>-420.62939999999998</v>
      </c>
      <c r="K4250">
        <v>1.1115330000000001</v>
      </c>
      <c r="L4250">
        <v>102.20480000000001</v>
      </c>
      <c r="M4250">
        <v>-0.1270858</v>
      </c>
      <c r="N4250">
        <v>0</v>
      </c>
      <c r="O4250">
        <v>-0.99179980000000001</v>
      </c>
      <c r="P4250">
        <v>-0.13430329999999999</v>
      </c>
      <c r="Q4250">
        <v>2.216839E-2</v>
      </c>
      <c r="R4250">
        <v>-0.99069240000000003</v>
      </c>
      <c r="S4250">
        <v>-2.4749759999999999E-2</v>
      </c>
      <c r="T4250">
        <v>-8.7727899999999998E-2</v>
      </c>
      <c r="U4250">
        <v>-3.0281980000000002</v>
      </c>
      <c r="V4250">
        <v>7.1736309999999998E-3</v>
      </c>
      <c r="W4250">
        <v>3.5711619999999999E-2</v>
      </c>
      <c r="X4250">
        <v>0.99933640000000001</v>
      </c>
      <c r="Y4250">
        <v>-0.11898980000000001</v>
      </c>
      <c r="Z4250">
        <v>2.8502690000000001E-2</v>
      </c>
      <c r="AA4250">
        <v>0.99248630000000004</v>
      </c>
      <c r="AB4250">
        <v>19</v>
      </c>
      <c r="AC4250">
        <v>-0.29189999999999799</v>
      </c>
      <c r="AD4250">
        <v>-1.1115351492829999</v>
      </c>
      <c r="AE4250">
        <v>-38.17709</v>
      </c>
      <c r="AF4250">
        <v>-4.5588114318156299</v>
      </c>
      <c r="AG4250">
        <v>-1.1115351492829999</v>
      </c>
      <c r="AH4250">
        <v>37.872480276797397</v>
      </c>
      <c r="AI4250">
        <v>91.669073329062698</v>
      </c>
      <c r="AJ4250">
        <v>96.863821585143896</v>
      </c>
      <c r="AK4250">
        <v>38.162062763631603</v>
      </c>
      <c r="AL4250">
        <v>87.953439755649597</v>
      </c>
      <c r="AM4250">
        <v>89.588715351047796</v>
      </c>
      <c r="AN4250">
        <v>1.0000000105748501</v>
      </c>
    </row>
    <row r="4251" spans="1:40" x14ac:dyDescent="0.25">
      <c r="A4251" t="str">
        <f>"20190312154644286"</f>
        <v>20190312154644286</v>
      </c>
      <c r="B4251" t="str">
        <f>"1552376804282326"</f>
        <v>1552376804282326</v>
      </c>
      <c r="C4251" t="s">
        <v>40</v>
      </c>
      <c r="D4251">
        <v>3.834298</v>
      </c>
      <c r="E4251">
        <v>0.45227220000000001</v>
      </c>
      <c r="F4251" t="s">
        <v>42</v>
      </c>
      <c r="G4251">
        <v>-420.80239999999998</v>
      </c>
      <c r="H4251" s="1">
        <v>-1.2512439999999999E-6</v>
      </c>
      <c r="I4251">
        <v>62.008139999999997</v>
      </c>
      <c r="J4251">
        <v>-420.6712</v>
      </c>
      <c r="K4251">
        <v>1.1115159999999999</v>
      </c>
      <c r="L4251">
        <v>101.82250000000001</v>
      </c>
      <c r="M4251">
        <v>-0.12161719999999999</v>
      </c>
      <c r="N4251">
        <v>0</v>
      </c>
      <c r="O4251">
        <v>-0.99248499999999995</v>
      </c>
      <c r="P4251">
        <v>-0.1287064</v>
      </c>
      <c r="Q4251">
        <v>2.2622260000000002E-2</v>
      </c>
      <c r="R4251">
        <v>-0.99142490000000005</v>
      </c>
      <c r="S4251">
        <v>-1.3031010000000001E-2</v>
      </c>
      <c r="T4251">
        <v>-8.3739519999999998E-2</v>
      </c>
      <c r="U4251">
        <v>-3.0282900000000001</v>
      </c>
      <c r="V4251">
        <v>7.0400269999999999E-3</v>
      </c>
      <c r="W4251">
        <v>3.6160039999999997E-2</v>
      </c>
      <c r="X4251">
        <v>0.99932120000000002</v>
      </c>
      <c r="Y4251">
        <v>-0.11735760000000001</v>
      </c>
      <c r="Z4251">
        <v>2.7238450000000001E-2</v>
      </c>
      <c r="AA4251">
        <v>0.99271609999999999</v>
      </c>
      <c r="AB4251">
        <v>19</v>
      </c>
      <c r="AC4251">
        <v>-0.131199999999978</v>
      </c>
      <c r="AD4251">
        <v>-1.1115172512439999</v>
      </c>
      <c r="AE4251">
        <v>-39.814360000000001</v>
      </c>
      <c r="AF4251">
        <v>-4.7086578087169304</v>
      </c>
      <c r="AG4251">
        <v>-1.1115172512439999</v>
      </c>
      <c r="AH4251">
        <v>39.503936029056497</v>
      </c>
      <c r="AI4251">
        <v>91.600376355981496</v>
      </c>
      <c r="AJ4251">
        <v>96.797280932674596</v>
      </c>
      <c r="AK4251">
        <v>39.799094094554398</v>
      </c>
      <c r="AL4251">
        <v>87.927730524950405</v>
      </c>
      <c r="AM4251">
        <v>89.596368853113404</v>
      </c>
      <c r="AN4251">
        <v>0.99999998562120096</v>
      </c>
    </row>
    <row r="4252" spans="1:40" x14ac:dyDescent="0.25">
      <c r="A4252" t="str">
        <f>"20190312154644306"</f>
        <v>20190312154644306</v>
      </c>
      <c r="B4252" t="str">
        <f>"1552376804301847"</f>
        <v>1552376804301847</v>
      </c>
      <c r="C4252" t="s">
        <v>40</v>
      </c>
      <c r="D4252">
        <v>3.8332660000000001</v>
      </c>
      <c r="E4252">
        <v>0.45238499999999998</v>
      </c>
      <c r="F4252" t="s">
        <v>42</v>
      </c>
      <c r="G4252">
        <v>-420.6902</v>
      </c>
      <c r="H4252" s="1">
        <v>-1.405457E-6</v>
      </c>
      <c r="I4252">
        <v>62.437159999999999</v>
      </c>
      <c r="J4252">
        <v>-420.69029999999998</v>
      </c>
      <c r="K4252">
        <v>1.111504</v>
      </c>
      <c r="L4252">
        <v>101.6405</v>
      </c>
      <c r="M4252">
        <v>-0.11901730000000001</v>
      </c>
      <c r="N4252">
        <v>0</v>
      </c>
      <c r="O4252">
        <v>-0.99280040000000003</v>
      </c>
      <c r="P4252">
        <v>-0.1264171</v>
      </c>
      <c r="Q4252">
        <v>2.2891069999999999E-2</v>
      </c>
      <c r="R4252">
        <v>-0.99171350000000003</v>
      </c>
      <c r="S4252">
        <v>-1.4648440000000001E-3</v>
      </c>
      <c r="T4252">
        <v>-8.5446830000000001E-2</v>
      </c>
      <c r="U4252">
        <v>-3.0277099999999999</v>
      </c>
      <c r="V4252">
        <v>7.3509219999999898E-3</v>
      </c>
      <c r="W4252">
        <v>3.6427849999999998E-2</v>
      </c>
      <c r="X4252">
        <v>0.99930920000000001</v>
      </c>
      <c r="Y4252">
        <v>-0.11854779999999999</v>
      </c>
      <c r="Z4252">
        <v>2.7810120000000001E-2</v>
      </c>
      <c r="AA4252">
        <v>0.99255879999999996</v>
      </c>
      <c r="AB4252">
        <v>19</v>
      </c>
      <c r="AC4252" s="1">
        <v>9.9999999974897906E-5</v>
      </c>
      <c r="AD4252">
        <v>-1.1115054054569999</v>
      </c>
      <c r="AE4252">
        <v>-39.203339999999997</v>
      </c>
      <c r="AF4252">
        <v>-4.6626521081994596</v>
      </c>
      <c r="AG4252">
        <v>-1.1115054054569999</v>
      </c>
      <c r="AH4252">
        <v>38.893362288571403</v>
      </c>
      <c r="AI4252">
        <v>91.625337648020803</v>
      </c>
      <c r="AJ4252">
        <v>96.836163652261803</v>
      </c>
      <c r="AK4252">
        <v>39.187617930393898</v>
      </c>
      <c r="AL4252">
        <v>87.912375952963998</v>
      </c>
      <c r="AM4252">
        <v>89.578539645546897</v>
      </c>
      <c r="AN4252">
        <v>0.99999995075725501</v>
      </c>
    </row>
    <row r="4253" spans="1:40" x14ac:dyDescent="0.25">
      <c r="A4253" t="str">
        <f>"20190312154644330"</f>
        <v>20190312154644330</v>
      </c>
      <c r="B4253" t="str">
        <f>"1552376804322342"</f>
        <v>1552376804322342</v>
      </c>
      <c r="C4253" t="s">
        <v>40</v>
      </c>
      <c r="D4253">
        <v>3.8612790000000001</v>
      </c>
      <c r="E4253">
        <v>0.44477319999999998</v>
      </c>
      <c r="F4253" t="s">
        <v>42</v>
      </c>
      <c r="G4253">
        <v>-420.63040000000001</v>
      </c>
      <c r="H4253" s="1">
        <v>-8.4735770000000001E-7</v>
      </c>
      <c r="I4253">
        <v>61.173340000000003</v>
      </c>
      <c r="J4253">
        <v>-420.71010000000001</v>
      </c>
      <c r="K4253">
        <v>1.1114919999999999</v>
      </c>
      <c r="L4253">
        <v>101.44629999999999</v>
      </c>
      <c r="M4253">
        <v>-0.11624139999999999</v>
      </c>
      <c r="N4253">
        <v>0</v>
      </c>
      <c r="O4253">
        <v>-0.99312909999999999</v>
      </c>
      <c r="P4253">
        <v>-0.12413299999999999</v>
      </c>
      <c r="Q4253">
        <v>2.2654440000000001E-2</v>
      </c>
      <c r="R4253">
        <v>-0.99200699999999997</v>
      </c>
      <c r="S4253">
        <v>4.4860840000000004E-3</v>
      </c>
      <c r="T4253">
        <v>-8.3157419999999996E-2</v>
      </c>
      <c r="U4253">
        <v>-3.0275569999999998</v>
      </c>
      <c r="V4253">
        <v>7.844429E-3</v>
      </c>
      <c r="W4253">
        <v>3.619054E-2</v>
      </c>
      <c r="X4253">
        <v>0.99931409999999998</v>
      </c>
      <c r="Y4253">
        <v>-0.11772290000000001</v>
      </c>
      <c r="Z4253">
        <v>2.7081790000000001E-2</v>
      </c>
      <c r="AA4253">
        <v>0.99267720000000004</v>
      </c>
      <c r="AB4253">
        <v>19</v>
      </c>
      <c r="AC4253">
        <v>7.9700000000002505E-2</v>
      </c>
      <c r="AD4253">
        <v>-1.1114928473576999</v>
      </c>
      <c r="AE4253">
        <v>-40.272959999999898</v>
      </c>
      <c r="AF4253">
        <v>-4.7573484889571196</v>
      </c>
      <c r="AG4253">
        <v>-1.1114928473576999</v>
      </c>
      <c r="AH4253">
        <v>39.960196221941899</v>
      </c>
      <c r="AI4253">
        <v>91.582104555577502</v>
      </c>
      <c r="AJ4253">
        <v>96.789232267739393</v>
      </c>
      <c r="AK4253">
        <v>40.257732960155799</v>
      </c>
      <c r="AL4253">
        <v>87.925981848151906</v>
      </c>
      <c r="AM4253">
        <v>89.5502480721144</v>
      </c>
      <c r="AN4253">
        <v>0.99999998035531801</v>
      </c>
    </row>
    <row r="4254" spans="1:40" x14ac:dyDescent="0.25">
      <c r="A4254" t="str">
        <f>"20190312154644351"</f>
        <v>20190312154644351</v>
      </c>
      <c r="B4254" t="str">
        <f>"1552376804341863"</f>
        <v>1552376804341863</v>
      </c>
      <c r="C4254" t="s">
        <v>40</v>
      </c>
      <c r="D4254">
        <v>3.8524150000000001</v>
      </c>
      <c r="E4254">
        <v>0.44503110000000001</v>
      </c>
      <c r="F4254" t="s">
        <v>79</v>
      </c>
      <c r="G4254">
        <v>-418.45249999999999</v>
      </c>
      <c r="H4254">
        <v>1.6230719999999901</v>
      </c>
      <c r="I4254">
        <v>0.49312780000000001</v>
      </c>
      <c r="J4254">
        <v>-420.72910000000002</v>
      </c>
      <c r="K4254">
        <v>1.1114790000000001</v>
      </c>
      <c r="L4254">
        <v>101.2561</v>
      </c>
      <c r="M4254">
        <v>-0.11351749999999999</v>
      </c>
      <c r="N4254">
        <v>0</v>
      </c>
      <c r="O4254">
        <v>-0.99344429999999995</v>
      </c>
      <c r="P4254">
        <v>-0.12261950000000001</v>
      </c>
      <c r="Q4254">
        <v>2.1887670000000001E-2</v>
      </c>
      <c r="R4254">
        <v>-0.99221280000000001</v>
      </c>
      <c r="S4254">
        <v>6.7810060000000005E-2</v>
      </c>
      <c r="T4254">
        <v>1.5365480000000001E-2</v>
      </c>
      <c r="U4254">
        <v>-3.0323180000000001</v>
      </c>
      <c r="V4254">
        <v>9.0619540000000005E-3</v>
      </c>
      <c r="W4254">
        <v>3.542617E-2</v>
      </c>
      <c r="X4254">
        <v>0.99933119999999998</v>
      </c>
      <c r="Y4254">
        <v>-0.13571159999999999</v>
      </c>
      <c r="Z4254">
        <v>-4.9939499999999996E-3</v>
      </c>
      <c r="AA4254">
        <v>0.99073580000000006</v>
      </c>
      <c r="AB4254">
        <v>19</v>
      </c>
      <c r="AC4254">
        <v>2.2766000000000299</v>
      </c>
      <c r="AD4254">
        <v>0.51159299999999897</v>
      </c>
      <c r="AE4254">
        <v>-100.76297219999999</v>
      </c>
      <c r="AF4254">
        <v>-13.700931233081899</v>
      </c>
      <c r="AG4254">
        <v>0.51159299999999897</v>
      </c>
      <c r="AH4254">
        <v>99.850490849661497</v>
      </c>
      <c r="AI4254">
        <v>89.709167526665198</v>
      </c>
      <c r="AJ4254">
        <v>97.813019254583693</v>
      </c>
      <c r="AK4254">
        <v>100.78738892822599</v>
      </c>
      <c r="AL4254">
        <v>87.969805149439296</v>
      </c>
      <c r="AM4254">
        <v>89.480455040701102</v>
      </c>
      <c r="AN4254">
        <v>0.99999998991230299</v>
      </c>
    </row>
    <row r="4255" spans="1:40" x14ac:dyDescent="0.25">
      <c r="A4255" t="str">
        <f>"20190312154644374"</f>
        <v>20190312154644374</v>
      </c>
      <c r="B4255" t="str">
        <f>"1552376804362358"</f>
        <v>1552376804362358</v>
      </c>
      <c r="C4255" t="s">
        <v>40</v>
      </c>
      <c r="D4255">
        <v>3.892039</v>
      </c>
      <c r="E4255">
        <v>0.44591819999999999</v>
      </c>
      <c r="F4255" t="s">
        <v>79</v>
      </c>
      <c r="G4255">
        <v>-418.39440000000002</v>
      </c>
      <c r="H4255">
        <v>1.5351939999999999</v>
      </c>
      <c r="I4255">
        <v>0.49371910000000002</v>
      </c>
      <c r="J4255">
        <v>-420.74700000000001</v>
      </c>
      <c r="K4255">
        <v>1.111472</v>
      </c>
      <c r="L4255">
        <v>101.07129999999999</v>
      </c>
      <c r="M4255">
        <v>-0.1108683</v>
      </c>
      <c r="N4255">
        <v>0</v>
      </c>
      <c r="O4255">
        <v>-0.99374340000000005</v>
      </c>
      <c r="P4255">
        <v>-0.120473499999999</v>
      </c>
      <c r="Q4255">
        <v>2.201148E-2</v>
      </c>
      <c r="R4255">
        <v>-0.99247260000000004</v>
      </c>
      <c r="S4255">
        <v>7.0251460000000002E-2</v>
      </c>
      <c r="T4255">
        <v>1.2748840000000001E-2</v>
      </c>
      <c r="U4255">
        <v>-3.031952</v>
      </c>
      <c r="V4255">
        <v>9.5657859999999997E-3</v>
      </c>
      <c r="W4255">
        <v>3.5549129999999998E-2</v>
      </c>
      <c r="X4255">
        <v>0.99932220000000005</v>
      </c>
      <c r="Y4255">
        <v>-0.13386979999999901</v>
      </c>
      <c r="Z4255">
        <v>-4.1464049999999997E-3</v>
      </c>
      <c r="AA4255">
        <v>0.99099029999999999</v>
      </c>
      <c r="AB4255">
        <v>19</v>
      </c>
      <c r="AC4255">
        <v>2.3525999999999301</v>
      </c>
      <c r="AD4255">
        <v>0.42372199999999899</v>
      </c>
      <c r="AE4255">
        <v>-100.5775809</v>
      </c>
      <c r="AF4255">
        <v>-13.489736343537601</v>
      </c>
      <c r="AG4255">
        <v>0.42372199999999899</v>
      </c>
      <c r="AH4255">
        <v>99.694796497738693</v>
      </c>
      <c r="AI4255">
        <v>89.758682498720702</v>
      </c>
      <c r="AJ4255">
        <v>97.705909698076596</v>
      </c>
      <c r="AK4255">
        <v>100.604199592646</v>
      </c>
      <c r="AL4255">
        <v>87.962755746787195</v>
      </c>
      <c r="AM4255">
        <v>89.451565844762001</v>
      </c>
      <c r="AN4255">
        <v>1.0000000521591901</v>
      </c>
    </row>
    <row r="4256" spans="1:40" x14ac:dyDescent="0.25">
      <c r="A4256" t="str">
        <f>"20190312154644396"</f>
        <v>20190312154644396</v>
      </c>
      <c r="B4256" t="str">
        <f>"1552376804391639"</f>
        <v>1552376804391639</v>
      </c>
      <c r="C4256" t="s">
        <v>40</v>
      </c>
      <c r="D4256">
        <v>3.8954270000000002</v>
      </c>
      <c r="E4256">
        <v>0.44634659999999898</v>
      </c>
      <c r="F4256" t="s">
        <v>79</v>
      </c>
      <c r="G4256">
        <v>-418.44310000000002</v>
      </c>
      <c r="H4256">
        <v>1.5096510000000001</v>
      </c>
      <c r="I4256">
        <v>0.49322319999999997</v>
      </c>
      <c r="J4256">
        <v>-420.76510000000002</v>
      </c>
      <c r="K4256">
        <v>1.1114660000000001</v>
      </c>
      <c r="L4256">
        <v>100.8794</v>
      </c>
      <c r="M4256">
        <v>-0.1081131</v>
      </c>
      <c r="N4256">
        <v>0</v>
      </c>
      <c r="O4256">
        <v>-0.99404700000000001</v>
      </c>
      <c r="P4256">
        <v>-0.11870699999999999</v>
      </c>
      <c r="Q4256">
        <v>2.2659530000000001E-2</v>
      </c>
      <c r="R4256">
        <v>-0.99267070000000002</v>
      </c>
      <c r="S4256">
        <v>6.9427489999999994E-2</v>
      </c>
      <c r="T4256">
        <v>1.1998180000000001E-2</v>
      </c>
      <c r="U4256">
        <v>-3.0309140000000001</v>
      </c>
      <c r="V4256">
        <v>1.055768E-2</v>
      </c>
      <c r="W4256">
        <v>3.6197680000000003E-2</v>
      </c>
      <c r="X4256">
        <v>0.99928890000000004</v>
      </c>
      <c r="Y4256">
        <v>-0.1308607</v>
      </c>
      <c r="Z4256">
        <v>-3.9062110000000001E-3</v>
      </c>
      <c r="AA4256">
        <v>0.99139310000000003</v>
      </c>
      <c r="AB4256">
        <v>19</v>
      </c>
      <c r="AC4256">
        <v>2.3220000000000001</v>
      </c>
      <c r="AD4256">
        <v>0.39818500000000001</v>
      </c>
      <c r="AE4256">
        <v>-100.38617679999901</v>
      </c>
      <c r="AF4256">
        <v>-13.162229551500801</v>
      </c>
      <c r="AG4256">
        <v>0.39818500000000001</v>
      </c>
      <c r="AH4256">
        <v>99.545039025787105</v>
      </c>
      <c r="AI4256">
        <v>89.772792837716807</v>
      </c>
      <c r="AJ4256">
        <v>97.532176675174</v>
      </c>
      <c r="AK4256">
        <v>100.41223846078699</v>
      </c>
      <c r="AL4256">
        <v>87.925572572727106</v>
      </c>
      <c r="AM4256">
        <v>89.394681558468406</v>
      </c>
      <c r="AN4256">
        <v>1.0000000211537801</v>
      </c>
    </row>
    <row r="4257" spans="1:40" x14ac:dyDescent="0.25">
      <c r="A4257" t="str">
        <f>"20190312154644418"</f>
        <v>20190312154644418</v>
      </c>
      <c r="B4257" t="str">
        <f>"1552376804412134"</f>
        <v>1552376804412134</v>
      </c>
      <c r="C4257" t="s">
        <v>40</v>
      </c>
      <c r="D4257">
        <v>3.9168159999999999</v>
      </c>
      <c r="E4257">
        <v>0.44736520000000002</v>
      </c>
      <c r="F4257" t="s">
        <v>79</v>
      </c>
      <c r="G4257">
        <v>-418.39049999999997</v>
      </c>
      <c r="H4257">
        <v>1.3508530000000001</v>
      </c>
      <c r="I4257">
        <v>0.49375920000000001</v>
      </c>
      <c r="J4257">
        <v>-420.7824</v>
      </c>
      <c r="K4257">
        <v>1.111467</v>
      </c>
      <c r="L4257">
        <v>100.6905</v>
      </c>
      <c r="M4257">
        <v>-0.1054006</v>
      </c>
      <c r="N4257">
        <v>0</v>
      </c>
      <c r="O4257">
        <v>-0.99433830000000001</v>
      </c>
      <c r="P4257">
        <v>-0.1164905</v>
      </c>
      <c r="Q4257">
        <v>2.32705E-2</v>
      </c>
      <c r="R4257">
        <v>-0.99291929999999995</v>
      </c>
      <c r="S4257">
        <v>7.1685789999999999E-2</v>
      </c>
      <c r="T4257">
        <v>7.22611E-3</v>
      </c>
      <c r="U4257">
        <v>-3.030548</v>
      </c>
      <c r="V4257">
        <v>1.105308E-2</v>
      </c>
      <c r="W4257">
        <v>3.6802870000000001E-2</v>
      </c>
      <c r="X4257">
        <v>0.99926139999999997</v>
      </c>
      <c r="Y4257">
        <v>-0.12889680000000001</v>
      </c>
      <c r="Z4257">
        <v>-2.354208E-3</v>
      </c>
      <c r="AA4257">
        <v>0.99165519999999996</v>
      </c>
      <c r="AB4257">
        <v>19</v>
      </c>
      <c r="AC4257">
        <v>2.3919000000000201</v>
      </c>
      <c r="AD4257">
        <v>0.23938599999999999</v>
      </c>
      <c r="AE4257">
        <v>-100.1967408</v>
      </c>
      <c r="AF4257">
        <v>-12.9402585596173</v>
      </c>
      <c r="AG4257">
        <v>0.23938599999999999</v>
      </c>
      <c r="AH4257">
        <v>99.385829727529</v>
      </c>
      <c r="AI4257">
        <v>89.863149708837099</v>
      </c>
      <c r="AJ4257">
        <v>97.418307270914497</v>
      </c>
      <c r="AK4257">
        <v>100.225000613001</v>
      </c>
      <c r="AL4257">
        <v>87.890874539814206</v>
      </c>
      <c r="AM4257">
        <v>89.366262913409201</v>
      </c>
      <c r="AN4257">
        <v>0.99999998367384102</v>
      </c>
    </row>
    <row r="4258" spans="1:40" x14ac:dyDescent="0.25">
      <c r="A4258" t="str">
        <f>"20190312154644441"</f>
        <v>20190312154644441</v>
      </c>
      <c r="B4258" t="str">
        <f>"1552376804431655"</f>
        <v>1552376804431655</v>
      </c>
      <c r="C4258" t="s">
        <v>40</v>
      </c>
      <c r="D4258">
        <v>3.9151319999999998</v>
      </c>
      <c r="E4258">
        <v>0.44799309999999998</v>
      </c>
      <c r="F4258" t="s">
        <v>79</v>
      </c>
      <c r="G4258">
        <v>-418.45069999999998</v>
      </c>
      <c r="H4258">
        <v>1.3945650000000001</v>
      </c>
      <c r="I4258">
        <v>0.493145</v>
      </c>
      <c r="J4258">
        <v>-420.79899999999998</v>
      </c>
      <c r="K4258">
        <v>1.1114630000000001</v>
      </c>
      <c r="L4258">
        <v>100.5031</v>
      </c>
      <c r="M4258">
        <v>-0.1027098</v>
      </c>
      <c r="N4258">
        <v>0</v>
      </c>
      <c r="O4258">
        <v>-0.99462030000000001</v>
      </c>
      <c r="P4258">
        <v>-0.11403480000000001</v>
      </c>
      <c r="Q4258">
        <v>2.3387330000000001E-2</v>
      </c>
      <c r="R4258">
        <v>-0.99320160000000002</v>
      </c>
      <c r="S4258">
        <v>7.049561E-2</v>
      </c>
      <c r="T4258">
        <v>8.5587500000000004E-3</v>
      </c>
      <c r="U4258">
        <v>-3.0294490000000001</v>
      </c>
      <c r="V4258">
        <v>1.1286350000000001E-2</v>
      </c>
      <c r="W4258">
        <v>3.6893410000000001E-2</v>
      </c>
      <c r="X4258">
        <v>0.99925549999999996</v>
      </c>
      <c r="Y4258">
        <v>-0.125832</v>
      </c>
      <c r="Z4258">
        <v>-2.7911419999999999E-3</v>
      </c>
      <c r="AA4258">
        <v>0.99204769999999998</v>
      </c>
      <c r="AB4258">
        <v>19</v>
      </c>
      <c r="AC4258">
        <v>2.3483000000000498</v>
      </c>
      <c r="AD4258">
        <v>0.28310200000000002</v>
      </c>
      <c r="AE4258">
        <v>-100.00995500000001</v>
      </c>
      <c r="AF4258">
        <v>-12.608710479099299</v>
      </c>
      <c r="AG4258">
        <v>0.28310200000000002</v>
      </c>
      <c r="AH4258">
        <v>99.238932584379697</v>
      </c>
      <c r="AI4258">
        <v>89.837854474914593</v>
      </c>
      <c r="AJ4258">
        <v>97.2408659457017</v>
      </c>
      <c r="AK4258">
        <v>100.03712044623801</v>
      </c>
      <c r="AL4258">
        <v>87.885683552115495</v>
      </c>
      <c r="AM4258">
        <v>89.352885498530199</v>
      </c>
      <c r="AN4258">
        <v>1.0000000298389899</v>
      </c>
    </row>
    <row r="4259" spans="1:40" x14ac:dyDescent="0.25">
      <c r="A4259" t="str">
        <f>"20190312154644463"</f>
        <v>20190312154644463</v>
      </c>
      <c r="B4259" t="str">
        <f>"1552376804452152"</f>
        <v>1552376804452152</v>
      </c>
      <c r="C4259" t="s">
        <v>40</v>
      </c>
      <c r="D4259">
        <v>3.9419949999999999</v>
      </c>
      <c r="E4259">
        <v>0.4485093</v>
      </c>
      <c r="F4259" t="s">
        <v>79</v>
      </c>
      <c r="G4259">
        <v>-418.38249999999999</v>
      </c>
      <c r="H4259">
        <v>1.4199389999999901</v>
      </c>
      <c r="I4259">
        <v>0.49383929999999998</v>
      </c>
      <c r="J4259">
        <v>-420.81549999999999</v>
      </c>
      <c r="K4259">
        <v>1.1114520000000001</v>
      </c>
      <c r="L4259">
        <v>100.3109</v>
      </c>
      <c r="M4259">
        <v>-9.9954399999999999E-2</v>
      </c>
      <c r="N4259">
        <v>0</v>
      </c>
      <c r="O4259">
        <v>-0.99490179999999995</v>
      </c>
      <c r="P4259">
        <v>-0.1109971</v>
      </c>
      <c r="Q4259">
        <v>2.4520650000000001E-2</v>
      </c>
      <c r="R4259">
        <v>-0.99351840000000002</v>
      </c>
      <c r="S4259">
        <v>7.318115E-2</v>
      </c>
      <c r="T4259">
        <v>9.3412400000000007E-3</v>
      </c>
      <c r="U4259">
        <v>-3.0287169999999999</v>
      </c>
      <c r="V4259">
        <v>1.0997959999999999E-2</v>
      </c>
      <c r="W4259">
        <v>3.7962679999999999E-2</v>
      </c>
      <c r="X4259">
        <v>0.99921859999999996</v>
      </c>
      <c r="Y4259">
        <v>-0.1239685</v>
      </c>
      <c r="Z4259">
        <v>-3.048687E-3</v>
      </c>
      <c r="AA4259">
        <v>0.99228150000000004</v>
      </c>
      <c r="AB4259">
        <v>19</v>
      </c>
      <c r="AC4259">
        <v>2.4329999999999901</v>
      </c>
      <c r="AD4259">
        <v>0.30848699999999901</v>
      </c>
      <c r="AE4259">
        <v>-99.817060699999999</v>
      </c>
      <c r="AF4259">
        <v>-12.398745148012599</v>
      </c>
      <c r="AG4259">
        <v>0.30848699999999901</v>
      </c>
      <c r="AH4259">
        <v>99.072932170239895</v>
      </c>
      <c r="AI4259">
        <v>89.822977482487403</v>
      </c>
      <c r="AJ4259">
        <v>97.133346059181903</v>
      </c>
      <c r="AK4259">
        <v>99.846231447578901</v>
      </c>
      <c r="AL4259">
        <v>87.824375795871703</v>
      </c>
      <c r="AM4259">
        <v>89.369395998768795</v>
      </c>
      <c r="AN4259">
        <v>0.99999996539145097</v>
      </c>
    </row>
    <row r="4260" spans="1:40" x14ac:dyDescent="0.25">
      <c r="A4260" t="str">
        <f>"20190312154644487"</f>
        <v>20190312154644487</v>
      </c>
      <c r="B4260" t="str">
        <f>"1552376804482406"</f>
        <v>1552376804482406</v>
      </c>
      <c r="C4260" t="s">
        <v>40</v>
      </c>
      <c r="D4260">
        <v>3.9482179999999998</v>
      </c>
      <c r="E4260">
        <v>0.4489456</v>
      </c>
      <c r="F4260" t="s">
        <v>79</v>
      </c>
      <c r="G4260">
        <v>-418.22820000000002</v>
      </c>
      <c r="H4260">
        <v>1.4202410000000001</v>
      </c>
      <c r="I4260">
        <v>0.49540899999999999</v>
      </c>
      <c r="J4260">
        <v>-420.8322</v>
      </c>
      <c r="K4260">
        <v>1.1114280000000001</v>
      </c>
      <c r="L4260">
        <v>100.1104</v>
      </c>
      <c r="M4260">
        <v>-9.7098100000000007E-2</v>
      </c>
      <c r="N4260">
        <v>0</v>
      </c>
      <c r="O4260">
        <v>-0.99518589999999996</v>
      </c>
      <c r="P4260">
        <v>-0.1073371</v>
      </c>
      <c r="Q4260">
        <v>2.578308E-2</v>
      </c>
      <c r="R4260">
        <v>-0.99388860000000001</v>
      </c>
      <c r="S4260">
        <v>7.8491210000000006E-2</v>
      </c>
      <c r="T4260">
        <v>9.3668699999999994E-3</v>
      </c>
      <c r="U4260">
        <v>-3.0281069999999999</v>
      </c>
      <c r="V4260">
        <v>1.018587E-2</v>
      </c>
      <c r="W4260">
        <v>3.911862E-2</v>
      </c>
      <c r="X4260">
        <v>0.99918260000000003</v>
      </c>
      <c r="Y4260">
        <v>-0.12286370000000001</v>
      </c>
      <c r="Z4260">
        <v>-3.0591250000000002E-3</v>
      </c>
      <c r="AA4260">
        <v>0.99241880000000005</v>
      </c>
      <c r="AB4260">
        <v>19</v>
      </c>
      <c r="AC4260">
        <v>2.6039999999999801</v>
      </c>
      <c r="AD4260">
        <v>0.308813</v>
      </c>
      <c r="AE4260">
        <v>-99.614991000000003</v>
      </c>
      <c r="AF4260">
        <v>-12.2648580481343</v>
      </c>
      <c r="AG4260">
        <v>0.308813</v>
      </c>
      <c r="AH4260">
        <v>98.890392742666506</v>
      </c>
      <c r="AI4260">
        <v>89.822438847988096</v>
      </c>
      <c r="AJ4260">
        <v>97.069992742530104</v>
      </c>
      <c r="AK4260">
        <v>99.648541811753006</v>
      </c>
      <c r="AL4260">
        <v>87.758096013211201</v>
      </c>
      <c r="AM4260">
        <v>89.415935439201803</v>
      </c>
      <c r="AN4260">
        <v>0.99999994326055897</v>
      </c>
    </row>
    <row r="4261" spans="1:40" x14ac:dyDescent="0.25">
      <c r="A4261" t="str">
        <f>"20190312154644509"</f>
        <v>20190312154644509</v>
      </c>
      <c r="B4261" t="str">
        <f>"1552376804501926"</f>
        <v>1552376804501926</v>
      </c>
      <c r="C4261" t="s">
        <v>40</v>
      </c>
      <c r="D4261">
        <v>3.9630709999999998</v>
      </c>
      <c r="E4261">
        <v>0.44931690000000002</v>
      </c>
      <c r="F4261" t="s">
        <v>79</v>
      </c>
      <c r="G4261">
        <v>-418.00549999999998</v>
      </c>
      <c r="H4261">
        <v>1.5311509999999999</v>
      </c>
      <c r="I4261">
        <v>0.49767489999999998</v>
      </c>
      <c r="J4261">
        <v>-420.8467</v>
      </c>
      <c r="K4261">
        <v>1.11141</v>
      </c>
      <c r="L4261">
        <v>99.928560000000004</v>
      </c>
      <c r="M4261">
        <v>-9.4525579999999998E-2</v>
      </c>
      <c r="N4261">
        <v>0</v>
      </c>
      <c r="O4261">
        <v>-0.99543510000000002</v>
      </c>
      <c r="P4261">
        <v>-0.1039958</v>
      </c>
      <c r="Q4261">
        <v>2.7867960000000001E-2</v>
      </c>
      <c r="R4261">
        <v>-0.99418770000000001</v>
      </c>
      <c r="S4261">
        <v>8.5906979999999994E-2</v>
      </c>
      <c r="T4261">
        <v>1.275516E-2</v>
      </c>
      <c r="U4261">
        <v>-3.0274049999999999</v>
      </c>
      <c r="V4261">
        <v>9.4097139999999996E-3</v>
      </c>
      <c r="W4261">
        <v>4.1096849999999997E-2</v>
      </c>
      <c r="X4261">
        <v>0.99911090000000002</v>
      </c>
      <c r="Y4261">
        <v>-0.1227335</v>
      </c>
      <c r="Z4261">
        <v>-4.1681139999999997E-3</v>
      </c>
      <c r="AA4261">
        <v>0.9924309</v>
      </c>
      <c r="AB4261">
        <v>19</v>
      </c>
      <c r="AC4261">
        <v>2.8412000000000099</v>
      </c>
      <c r="AD4261">
        <v>0.41974099999999898</v>
      </c>
      <c r="AE4261">
        <v>-99.430885099999998</v>
      </c>
      <c r="AF4261">
        <v>-12.2278376929878</v>
      </c>
      <c r="AG4261">
        <v>0.41974099999999898</v>
      </c>
      <c r="AH4261">
        <v>98.715251906482294</v>
      </c>
      <c r="AI4261">
        <v>89.758225415968298</v>
      </c>
      <c r="AJ4261">
        <v>97.061247588953407</v>
      </c>
      <c r="AK4261">
        <v>99.4705843760525</v>
      </c>
      <c r="AL4261">
        <v>87.644660716665101</v>
      </c>
      <c r="AM4261">
        <v>89.460399282076494</v>
      </c>
      <c r="AN4261">
        <v>1.0000000421481401</v>
      </c>
    </row>
    <row r="4262" spans="1:40" x14ac:dyDescent="0.25">
      <c r="A4262" t="str">
        <f>"20190312154644531"</f>
        <v>20190312154644531</v>
      </c>
      <c r="B4262" t="str">
        <f>"1552376804521447"</f>
        <v>1552376804521447</v>
      </c>
      <c r="C4262" t="s">
        <v>40</v>
      </c>
      <c r="D4262">
        <v>3.9245719999999999</v>
      </c>
      <c r="E4262">
        <v>0.44976569999999999</v>
      </c>
      <c r="F4262" t="s">
        <v>79</v>
      </c>
      <c r="G4262">
        <v>-417.77910000000003</v>
      </c>
      <c r="H4262">
        <v>1.7116899999999999</v>
      </c>
      <c r="I4262">
        <v>0.49997900000000001</v>
      </c>
      <c r="J4262">
        <v>-420.86130000000003</v>
      </c>
      <c r="K4262">
        <v>1.111386</v>
      </c>
      <c r="L4262">
        <v>99.742000000000004</v>
      </c>
      <c r="M4262">
        <v>-9.1905550000000003E-2</v>
      </c>
      <c r="N4262">
        <v>0</v>
      </c>
      <c r="O4262">
        <v>-0.99568179999999995</v>
      </c>
      <c r="P4262">
        <v>-0.1010506</v>
      </c>
      <c r="Q4262">
        <v>3.170655E-2</v>
      </c>
      <c r="R4262">
        <v>-0.99437629999999999</v>
      </c>
      <c r="S4262">
        <v>9.3383789999999994E-2</v>
      </c>
      <c r="T4262">
        <v>1.8272879999999998E-2</v>
      </c>
      <c r="U4262">
        <v>-3.0267940000000002</v>
      </c>
      <c r="V4262">
        <v>9.0800759999999994E-3</v>
      </c>
      <c r="W4262">
        <v>4.4817040000000002E-2</v>
      </c>
      <c r="X4262">
        <v>0.99895389999999995</v>
      </c>
      <c r="Y4262">
        <v>-0.1225763</v>
      </c>
      <c r="Z4262">
        <v>-5.9743969999999898E-3</v>
      </c>
      <c r="AA4262">
        <v>0.99244109999999996</v>
      </c>
      <c r="AB4262">
        <v>19</v>
      </c>
      <c r="AC4262">
        <v>3.0821999999999998</v>
      </c>
      <c r="AD4262">
        <v>0.60030399999999995</v>
      </c>
      <c r="AE4262">
        <v>-99.242020999999994</v>
      </c>
      <c r="AF4262">
        <v>-12.1903804724674</v>
      </c>
      <c r="AG4262">
        <v>0.60030399999999995</v>
      </c>
      <c r="AH4262">
        <v>98.535032463953002</v>
      </c>
      <c r="AI4262">
        <v>89.653582756644397</v>
      </c>
      <c r="AJ4262">
        <v>97.052580650803307</v>
      </c>
      <c r="AK4262">
        <v>99.2880575075785</v>
      </c>
      <c r="AL4262">
        <v>87.431312254240893</v>
      </c>
      <c r="AM4262">
        <v>89.479219506138094</v>
      </c>
      <c r="AN4262">
        <v>0.99999995458986701</v>
      </c>
    </row>
    <row r="4263" spans="1:40" x14ac:dyDescent="0.25">
      <c r="A4263" t="str">
        <f>"20190312154644554"</f>
        <v>20190312154644554</v>
      </c>
      <c r="B4263" t="str">
        <f>"1552376804551702"</f>
        <v>1552376804551702</v>
      </c>
      <c r="C4263" t="s">
        <v>40</v>
      </c>
      <c r="D4263">
        <v>3.958904</v>
      </c>
      <c r="E4263">
        <v>0.45499279999999998</v>
      </c>
      <c r="F4263" t="s">
        <v>79</v>
      </c>
      <c r="G4263">
        <v>-417.6157</v>
      </c>
      <c r="H4263">
        <v>2.0297390000000002</v>
      </c>
      <c r="I4263">
        <v>0.50164220000000004</v>
      </c>
      <c r="J4263">
        <v>-420.87630000000001</v>
      </c>
      <c r="K4263">
        <v>1.1113759999999999</v>
      </c>
      <c r="L4263">
        <v>99.543880000000001</v>
      </c>
      <c r="M4263">
        <v>-8.9154990000000003E-2</v>
      </c>
      <c r="N4263">
        <v>0</v>
      </c>
      <c r="O4263">
        <v>-0.99593370000000003</v>
      </c>
      <c r="P4263">
        <v>-9.8418060000000002E-2</v>
      </c>
      <c r="Q4263">
        <v>3.9804649999999997E-2</v>
      </c>
      <c r="R4263">
        <v>-0.99434889999999998</v>
      </c>
      <c r="S4263">
        <v>9.8968509999999996E-2</v>
      </c>
      <c r="T4263">
        <v>2.800238E-2</v>
      </c>
      <c r="U4263">
        <v>-3.0261230000000001</v>
      </c>
      <c r="V4263">
        <v>9.1983240000000008E-3</v>
      </c>
      <c r="W4263">
        <v>5.2768330000000002E-2</v>
      </c>
      <c r="X4263">
        <v>0.99856440000000002</v>
      </c>
      <c r="Y4263">
        <v>-0.1216705</v>
      </c>
      <c r="Z4263">
        <v>-9.1610240000000003E-3</v>
      </c>
      <c r="AA4263">
        <v>0.99252830000000003</v>
      </c>
      <c r="AB4263">
        <v>19</v>
      </c>
      <c r="AC4263">
        <v>3.2606000000000099</v>
      </c>
      <c r="AD4263">
        <v>0.91836299999999904</v>
      </c>
      <c r="AE4263">
        <v>-99.042237799999995</v>
      </c>
      <c r="AF4263">
        <v>-12.077425202434499</v>
      </c>
      <c r="AG4263">
        <v>0.91836299999999904</v>
      </c>
      <c r="AH4263">
        <v>98.348592350632003</v>
      </c>
      <c r="AI4263">
        <v>89.468985708558407</v>
      </c>
      <c r="AJ4263">
        <v>97.000996606171498</v>
      </c>
      <c r="AK4263">
        <v>99.091640452012697</v>
      </c>
      <c r="AL4263">
        <v>86.975192478613906</v>
      </c>
      <c r="AM4263">
        <v>89.472232098335397</v>
      </c>
      <c r="AN4263">
        <v>0.99999998338137797</v>
      </c>
    </row>
    <row r="4264" spans="1:40" x14ac:dyDescent="0.25">
      <c r="A4264" t="str">
        <f>"20190312154644577"</f>
        <v>20190312154644577</v>
      </c>
      <c r="B4264" t="str">
        <f>"1552376804572198"</f>
        <v>1552376804572198</v>
      </c>
      <c r="C4264" t="s">
        <v>40</v>
      </c>
      <c r="D4264">
        <v>3.9718079999999998</v>
      </c>
      <c r="E4264">
        <v>0.45537470000000002</v>
      </c>
      <c r="F4264" t="s">
        <v>79</v>
      </c>
      <c r="G4264">
        <v>-418.6234</v>
      </c>
      <c r="H4264">
        <v>0.706036199999999</v>
      </c>
      <c r="I4264">
        <v>0.4913883</v>
      </c>
      <c r="J4264">
        <v>-420.88990000000001</v>
      </c>
      <c r="K4264">
        <v>1.111362</v>
      </c>
      <c r="L4264">
        <v>99.357600000000005</v>
      </c>
      <c r="M4264">
        <v>-8.6609800000000001E-2</v>
      </c>
      <c r="N4264">
        <v>0</v>
      </c>
      <c r="O4264">
        <v>-0.99616020000000005</v>
      </c>
      <c r="P4264">
        <v>-9.728407E-2</v>
      </c>
      <c r="Q4264">
        <v>4.7994139999999998E-2</v>
      </c>
      <c r="R4264">
        <v>-0.99409890000000001</v>
      </c>
      <c r="S4264">
        <v>6.8786620000000007E-2</v>
      </c>
      <c r="T4264">
        <v>-1.2377020000000001E-2</v>
      </c>
      <c r="U4264">
        <v>-3.0243530000000001</v>
      </c>
      <c r="V4264">
        <v>1.06216E-2</v>
      </c>
      <c r="W4264">
        <v>6.0810040000000003E-2</v>
      </c>
      <c r="X4264">
        <v>0.9980928</v>
      </c>
      <c r="Y4264">
        <v>-0.1092472</v>
      </c>
      <c r="Z4264">
        <v>4.0565690000000003E-3</v>
      </c>
      <c r="AA4264">
        <v>0.99400630000000001</v>
      </c>
      <c r="AB4264">
        <v>19</v>
      </c>
      <c r="AC4264">
        <v>2.2665000000000002</v>
      </c>
      <c r="AD4264">
        <v>-0.40532580000000001</v>
      </c>
      <c r="AE4264">
        <v>-98.866211699999994</v>
      </c>
      <c r="AF4264">
        <v>-10.821283352027301</v>
      </c>
      <c r="AG4264">
        <v>-0.40532580000000001</v>
      </c>
      <c r="AH4264">
        <v>98.296673875800906</v>
      </c>
      <c r="AI4264">
        <v>90.234838749461403</v>
      </c>
      <c r="AJ4264">
        <v>96.282279683641605</v>
      </c>
      <c r="AK4264">
        <v>98.891357344484703</v>
      </c>
      <c r="AL4264">
        <v>86.513690307220401</v>
      </c>
      <c r="AM4264">
        <v>89.390287276272204</v>
      </c>
      <c r="AN4264">
        <v>0.99999995838159905</v>
      </c>
    </row>
    <row r="4265" spans="1:40" x14ac:dyDescent="0.25">
      <c r="A4265" t="str">
        <f>"20190312154644598"</f>
        <v>20190312154644598</v>
      </c>
      <c r="B4265" t="str">
        <f>"1552376804591719"</f>
        <v>1552376804591719</v>
      </c>
      <c r="C4265" t="s">
        <v>40</v>
      </c>
      <c r="D4265">
        <v>3.9915609999999999</v>
      </c>
      <c r="E4265">
        <v>0.45571630000000002</v>
      </c>
      <c r="F4265" t="s">
        <v>79</v>
      </c>
      <c r="G4265">
        <v>-418.63900000000001</v>
      </c>
      <c r="H4265">
        <v>1.4282319999999999</v>
      </c>
      <c r="I4265">
        <v>0.4912338</v>
      </c>
      <c r="J4265">
        <v>-420.90260000000001</v>
      </c>
      <c r="K4265">
        <v>1.111332</v>
      </c>
      <c r="L4265">
        <v>99.17859</v>
      </c>
      <c r="M4265">
        <v>-8.4210129999999994E-2</v>
      </c>
      <c r="N4265">
        <v>0</v>
      </c>
      <c r="O4265">
        <v>-0.99636780000000003</v>
      </c>
      <c r="P4265">
        <v>-9.6596349999999997E-2</v>
      </c>
      <c r="Q4265">
        <v>5.2901249999999997E-2</v>
      </c>
      <c r="R4265">
        <v>-0.9939171</v>
      </c>
      <c r="S4265">
        <v>6.8847660000000005E-2</v>
      </c>
      <c r="T4265">
        <v>9.6913580000000006E-3</v>
      </c>
      <c r="U4265">
        <v>-3.0240779999999998</v>
      </c>
      <c r="V4265">
        <v>1.234709E-2</v>
      </c>
      <c r="W4265">
        <v>6.5578880000000006E-2</v>
      </c>
      <c r="X4265">
        <v>0.99777099999999996</v>
      </c>
      <c r="Y4265">
        <v>-0.1068747</v>
      </c>
      <c r="Z4265">
        <v>-3.1780419999999998E-3</v>
      </c>
      <c r="AA4265">
        <v>0.99426740000000002</v>
      </c>
      <c r="AB4265">
        <v>19</v>
      </c>
      <c r="AC4265">
        <v>2.2635999999999901</v>
      </c>
      <c r="AD4265">
        <v>0.31690000000000002</v>
      </c>
      <c r="AE4265">
        <v>-98.687356199999996</v>
      </c>
      <c r="AF4265">
        <v>-10.5665889829306</v>
      </c>
      <c r="AG4265">
        <v>0.31690000000000002</v>
      </c>
      <c r="AH4265">
        <v>98.145119633410303</v>
      </c>
      <c r="AI4265">
        <v>89.816061717204093</v>
      </c>
      <c r="AJ4265">
        <v>96.144960486513298</v>
      </c>
      <c r="AK4265">
        <v>98.712804317376197</v>
      </c>
      <c r="AL4265">
        <v>86.239908574056898</v>
      </c>
      <c r="AM4265">
        <v>89.291019643697098</v>
      </c>
      <c r="AN4265">
        <v>1.0000000042872601</v>
      </c>
    </row>
    <row r="4266" spans="1:40" x14ac:dyDescent="0.25">
      <c r="A4266" t="str">
        <f>"20190312154644620"</f>
        <v>20190312154644620</v>
      </c>
      <c r="B4266" t="str">
        <f>"1552376804612215"</f>
        <v>1552376804612215</v>
      </c>
      <c r="C4266" t="s">
        <v>40</v>
      </c>
      <c r="D4266">
        <v>3.9311180000000001</v>
      </c>
      <c r="E4266">
        <v>0.45599149999999999</v>
      </c>
      <c r="F4266" t="s">
        <v>79</v>
      </c>
      <c r="G4266">
        <v>-418.66849999999999</v>
      </c>
      <c r="H4266">
        <v>1.926291</v>
      </c>
      <c r="I4266">
        <v>0.49093629999999999</v>
      </c>
      <c r="J4266">
        <v>-420.91520000000003</v>
      </c>
      <c r="K4266">
        <v>1.1112979999999999</v>
      </c>
      <c r="L4266">
        <v>98.994659999999996</v>
      </c>
      <c r="M4266">
        <v>-8.1797700000000001E-2</v>
      </c>
      <c r="N4266">
        <v>0</v>
      </c>
      <c r="O4266">
        <v>-0.99657030000000002</v>
      </c>
      <c r="P4266">
        <v>-9.5696790000000004E-2</v>
      </c>
      <c r="Q4266">
        <v>5.5420450000000003E-2</v>
      </c>
      <c r="R4266">
        <v>-0.99386680000000005</v>
      </c>
      <c r="S4266">
        <v>6.8450929999999993E-2</v>
      </c>
      <c r="T4266">
        <v>2.496874E-2</v>
      </c>
      <c r="U4266">
        <v>-3.023682</v>
      </c>
      <c r="V4266">
        <v>1.3870220000000001E-2</v>
      </c>
      <c r="W4266">
        <v>6.7966310000000002E-2</v>
      </c>
      <c r="X4266">
        <v>0.99759120000000001</v>
      </c>
      <c r="Y4266">
        <v>-0.104339</v>
      </c>
      <c r="Z4266">
        <v>-8.1923369999999992E-3</v>
      </c>
      <c r="AA4266">
        <v>0.99450799999999995</v>
      </c>
      <c r="AB4266">
        <v>19</v>
      </c>
      <c r="AC4266">
        <v>2.2467000000000299</v>
      </c>
      <c r="AD4266">
        <v>0.81499299999999997</v>
      </c>
      <c r="AE4266">
        <v>-98.503723699999995</v>
      </c>
      <c r="AF4266">
        <v>-10.2964752525208</v>
      </c>
      <c r="AG4266">
        <v>0.81499299999999997</v>
      </c>
      <c r="AH4266">
        <v>97.983088082444496</v>
      </c>
      <c r="AI4266">
        <v>89.526051955672202</v>
      </c>
      <c r="AJ4266">
        <v>95.998865082848496</v>
      </c>
      <c r="AK4266">
        <v>98.525972039802298</v>
      </c>
      <c r="AL4266">
        <v>86.102812903588003</v>
      </c>
      <c r="AM4266">
        <v>89.203427351938203</v>
      </c>
      <c r="AN4266">
        <v>1.0000000023076501</v>
      </c>
    </row>
    <row r="4267" spans="1:40" x14ac:dyDescent="0.25">
      <c r="A4267" t="str">
        <f>"20190312154644642"</f>
        <v>20190312154644642</v>
      </c>
      <c r="B4267" t="str">
        <f>"1552376804631734"</f>
        <v>1552376804631734</v>
      </c>
      <c r="C4267" t="s">
        <v>40</v>
      </c>
      <c r="D4267">
        <v>3.9318979999999999</v>
      </c>
      <c r="E4267">
        <v>0.4598004</v>
      </c>
      <c r="F4267" t="s">
        <v>79</v>
      </c>
      <c r="G4267">
        <v>-418.66719999999998</v>
      </c>
      <c r="H4267">
        <v>2.0920040000000002</v>
      </c>
      <c r="I4267">
        <v>0.49094579999999999</v>
      </c>
      <c r="J4267">
        <v>-420.92809999999997</v>
      </c>
      <c r="K4267">
        <v>1.111254</v>
      </c>
      <c r="L4267">
        <v>98.80283</v>
      </c>
      <c r="M4267">
        <v>-7.9343750000000005E-2</v>
      </c>
      <c r="N4267">
        <v>0</v>
      </c>
      <c r="O4267">
        <v>-0.99677059999999995</v>
      </c>
      <c r="P4267">
        <v>-9.4278719999999996E-2</v>
      </c>
      <c r="Q4267">
        <v>5.6812370000000001E-2</v>
      </c>
      <c r="R4267">
        <v>-0.99392420000000004</v>
      </c>
      <c r="S4267">
        <v>6.9000240000000004E-2</v>
      </c>
      <c r="T4267">
        <v>3.010082E-2</v>
      </c>
      <c r="U4267">
        <v>-3.0234679999999998</v>
      </c>
      <c r="V4267">
        <v>1.491281E-2</v>
      </c>
      <c r="W4267">
        <v>6.923029E-2</v>
      </c>
      <c r="X4267">
        <v>0.99748919999999996</v>
      </c>
      <c r="Y4267">
        <v>-0.1020717</v>
      </c>
      <c r="Z4267">
        <v>-9.8808520000000007E-3</v>
      </c>
      <c r="AA4267">
        <v>0.99472799999999995</v>
      </c>
      <c r="AB4267">
        <v>19</v>
      </c>
      <c r="AC4267">
        <v>2.2608999999999901</v>
      </c>
      <c r="AD4267">
        <v>0.98075000000000001</v>
      </c>
      <c r="AE4267">
        <v>-98.311884199999994</v>
      </c>
      <c r="AF4267">
        <v>-10.053801121034899</v>
      </c>
      <c r="AG4267">
        <v>0.98075000000000001</v>
      </c>
      <c r="AH4267">
        <v>97.812759252769695</v>
      </c>
      <c r="AI4267">
        <v>89.428535955223694</v>
      </c>
      <c r="AJ4267">
        <v>95.868605664773099</v>
      </c>
      <c r="AK4267">
        <v>98.332988666998801</v>
      </c>
      <c r="AL4267">
        <v>86.0302210294535</v>
      </c>
      <c r="AM4267">
        <v>89.143472006828205</v>
      </c>
      <c r="AN4267">
        <v>0.99999996453610895</v>
      </c>
    </row>
    <row r="4268" spans="1:40" x14ac:dyDescent="0.25">
      <c r="A4268" t="str">
        <f>"20190312154644665"</f>
        <v>20190312154644665</v>
      </c>
      <c r="B4268" t="str">
        <f>"1552376804661991"</f>
        <v>1552376804661991</v>
      </c>
      <c r="C4268" t="s">
        <v>40</v>
      </c>
      <c r="D4268">
        <v>3.9187509999999999</v>
      </c>
      <c r="E4268">
        <v>0.46078980000000003</v>
      </c>
      <c r="F4268" t="s">
        <v>79</v>
      </c>
      <c r="G4268">
        <v>-419.42469999999997</v>
      </c>
      <c r="H4268">
        <v>0.47011599999999998</v>
      </c>
      <c r="I4268">
        <v>0.48323630000000001</v>
      </c>
      <c r="J4268">
        <v>-420.94049999999999</v>
      </c>
      <c r="K4268">
        <v>1.111208</v>
      </c>
      <c r="L4268">
        <v>98.610659999999996</v>
      </c>
      <c r="M4268">
        <v>-7.6957510000000007E-2</v>
      </c>
      <c r="N4268">
        <v>0</v>
      </c>
      <c r="O4268">
        <v>-0.99695889999999998</v>
      </c>
      <c r="P4268">
        <v>-9.3097520000000003E-2</v>
      </c>
      <c r="Q4268">
        <v>5.790675E-2</v>
      </c>
      <c r="R4268">
        <v>-0.99397190000000002</v>
      </c>
      <c r="S4268">
        <v>4.6234129999999998E-2</v>
      </c>
      <c r="T4268">
        <v>-1.9719359999999998E-2</v>
      </c>
      <c r="U4268">
        <v>-3.0238649999999998</v>
      </c>
      <c r="V4268">
        <v>1.6124860000000001E-2</v>
      </c>
      <c r="W4268">
        <v>7.0207800000000001E-2</v>
      </c>
      <c r="X4268">
        <v>0.99740209999999996</v>
      </c>
      <c r="Y4268">
        <v>-9.2196609999999998E-2</v>
      </c>
      <c r="Z4268">
        <v>6.4778219999999899E-3</v>
      </c>
      <c r="AA4268">
        <v>0.99571969999999999</v>
      </c>
      <c r="AB4268">
        <v>19</v>
      </c>
      <c r="AC4268">
        <v>1.51580000000001</v>
      </c>
      <c r="AD4268">
        <v>-0.641092</v>
      </c>
      <c r="AE4268">
        <v>-98.127423699999994</v>
      </c>
      <c r="AF4268">
        <v>-9.0631277627126394</v>
      </c>
      <c r="AG4268">
        <v>-0.641092</v>
      </c>
      <c r="AH4268">
        <v>97.715539713518396</v>
      </c>
      <c r="AI4268">
        <v>90.374294235398693</v>
      </c>
      <c r="AJ4268">
        <v>95.299029850924001</v>
      </c>
      <c r="AK4268">
        <v>98.1370367664518</v>
      </c>
      <c r="AL4268">
        <v>85.974077546450204</v>
      </c>
      <c r="AM4268">
        <v>89.073787848844205</v>
      </c>
      <c r="AN4268">
        <v>1.0000000476876301</v>
      </c>
    </row>
    <row r="4269" spans="1:40" x14ac:dyDescent="0.25">
      <c r="A4269" t="str">
        <f>"20190312154644689"</f>
        <v>20190312154644689</v>
      </c>
      <c r="B4269" t="str">
        <f>"1552376804681512"</f>
        <v>1552376804681512</v>
      </c>
      <c r="C4269" t="s">
        <v>40</v>
      </c>
      <c r="D4269">
        <v>3.9444880000000002</v>
      </c>
      <c r="E4269">
        <v>0.46093230000000002</v>
      </c>
      <c r="F4269" t="s">
        <v>79</v>
      </c>
      <c r="G4269">
        <v>-419.55590000000001</v>
      </c>
      <c r="H4269">
        <v>0.20112930000000001</v>
      </c>
      <c r="I4269">
        <v>0.48190119999999997</v>
      </c>
      <c r="J4269">
        <v>-420.95310000000001</v>
      </c>
      <c r="K4269">
        <v>1.111157</v>
      </c>
      <c r="L4269">
        <v>98.410129999999995</v>
      </c>
      <c r="M4269">
        <v>-7.4544440000000003E-2</v>
      </c>
      <c r="N4269">
        <v>0</v>
      </c>
      <c r="O4269">
        <v>-0.99714340000000001</v>
      </c>
      <c r="P4269">
        <v>-9.1313259999999993E-2</v>
      </c>
      <c r="Q4269">
        <v>5.8396770000000001E-2</v>
      </c>
      <c r="R4269">
        <v>-0.9941084</v>
      </c>
      <c r="S4269">
        <v>4.2663569999999998E-2</v>
      </c>
      <c r="T4269">
        <v>-2.8044699999999999E-2</v>
      </c>
      <c r="U4269">
        <v>-3.0238339999999999</v>
      </c>
      <c r="V4269">
        <v>1.675689E-2</v>
      </c>
      <c r="W4269">
        <v>7.0586410000000002E-2</v>
      </c>
      <c r="X4269">
        <v>0.9973649</v>
      </c>
      <c r="Y4269">
        <v>-8.8610380000000002E-2</v>
      </c>
      <c r="Z4269">
        <v>9.2167329999999995E-3</v>
      </c>
      <c r="AA4269">
        <v>0.99602369999999996</v>
      </c>
      <c r="AB4269">
        <v>19</v>
      </c>
      <c r="AC4269">
        <v>1.39719999999999</v>
      </c>
      <c r="AD4269">
        <v>-0.91002769999999999</v>
      </c>
      <c r="AE4269">
        <v>-97.928228799999999</v>
      </c>
      <c r="AF4269">
        <v>-8.6931072760528707</v>
      </c>
      <c r="AG4269">
        <v>-0.91002769999999999</v>
      </c>
      <c r="AH4269">
        <v>97.543138986204497</v>
      </c>
      <c r="AI4269">
        <v>90.5324148252393</v>
      </c>
      <c r="AJ4269">
        <v>95.092782034099699</v>
      </c>
      <c r="AK4269">
        <v>97.933968712647101</v>
      </c>
      <c r="AL4269">
        <v>85.9523306025512</v>
      </c>
      <c r="AM4269">
        <v>89.037454845826403</v>
      </c>
      <c r="AN4269">
        <v>0.99999998919558497</v>
      </c>
    </row>
    <row r="4270" spans="1:40" x14ac:dyDescent="0.25">
      <c r="A4270" t="str">
        <f>"20190312154644712"</f>
        <v>20190312154644712</v>
      </c>
      <c r="B4270" t="str">
        <f>"1552376804702007"</f>
        <v>1552376804702007</v>
      </c>
      <c r="C4270" t="s">
        <v>40</v>
      </c>
      <c r="D4270">
        <v>3.9470350000000001</v>
      </c>
      <c r="E4270">
        <v>0.46143699999999999</v>
      </c>
      <c r="F4270" t="s">
        <v>71</v>
      </c>
      <c r="G4270">
        <v>-419.49369999999999</v>
      </c>
      <c r="H4270">
        <v>7.9986580000000002E-2</v>
      </c>
      <c r="I4270">
        <v>5.7106669999999999</v>
      </c>
      <c r="J4270">
        <v>-420.96499999999997</v>
      </c>
      <c r="K4270">
        <v>1.1111219999999999</v>
      </c>
      <c r="L4270">
        <v>98.212649999999996</v>
      </c>
      <c r="M4270">
        <v>-7.2229409999999994E-2</v>
      </c>
      <c r="N4270">
        <v>0</v>
      </c>
      <c r="O4270">
        <v>-0.99731510000000001</v>
      </c>
      <c r="P4270">
        <v>-8.9720279999999999E-2</v>
      </c>
      <c r="Q4270">
        <v>5.8268359999999998E-2</v>
      </c>
      <c r="R4270">
        <v>-0.99426130000000001</v>
      </c>
      <c r="S4270">
        <v>4.7607419999999998E-2</v>
      </c>
      <c r="T4270">
        <v>-3.3639910000000002E-2</v>
      </c>
      <c r="U4270">
        <v>-3.0241389999999999</v>
      </c>
      <c r="V4270">
        <v>1.748044E-2</v>
      </c>
      <c r="W4270">
        <v>7.0361919999999994E-2</v>
      </c>
      <c r="X4270">
        <v>0.99736829999999999</v>
      </c>
      <c r="Y4270">
        <v>-8.7924160000000001E-2</v>
      </c>
      <c r="Z4270">
        <v>1.1057289999999999E-2</v>
      </c>
      <c r="AA4270">
        <v>0.9960658</v>
      </c>
      <c r="AB4270">
        <v>19</v>
      </c>
      <c r="AC4270">
        <v>1.4712999999999801</v>
      </c>
      <c r="AD4270">
        <v>-1.03113542</v>
      </c>
      <c r="AE4270">
        <v>-92.501982999999996</v>
      </c>
      <c r="AF4270">
        <v>-8.14829401478476</v>
      </c>
      <c r="AG4270">
        <v>-1.03113542</v>
      </c>
      <c r="AH4270">
        <v>92.142611222762397</v>
      </c>
      <c r="AI4270">
        <v>90.638657956206401</v>
      </c>
      <c r="AJ4270">
        <v>95.053596354231402</v>
      </c>
      <c r="AK4270">
        <v>92.507938786651593</v>
      </c>
      <c r="AL4270">
        <v>85.965224817051194</v>
      </c>
      <c r="AM4270">
        <v>88.995904620015693</v>
      </c>
      <c r="AN4270">
        <v>0.99999994570678297</v>
      </c>
    </row>
    <row r="4271" spans="1:40" x14ac:dyDescent="0.25">
      <c r="A4271" t="str">
        <f>"20190312154644734"</f>
        <v>20190312154644734</v>
      </c>
      <c r="B4271" t="str">
        <f>"1552376804721527"</f>
        <v>1552376804721527</v>
      </c>
      <c r="C4271" t="s">
        <v>40</v>
      </c>
      <c r="D4271">
        <v>3.9630350000000001</v>
      </c>
      <c r="E4271">
        <v>0.46179819999999999</v>
      </c>
      <c r="F4271" t="s">
        <v>71</v>
      </c>
      <c r="G4271">
        <v>-419.62310000000002</v>
      </c>
      <c r="H4271" s="1">
        <v>-1.3700240000000001E-5</v>
      </c>
      <c r="I4271">
        <v>15.413379999999901</v>
      </c>
      <c r="J4271">
        <v>-420.976</v>
      </c>
      <c r="K4271">
        <v>1.1110899999999999</v>
      </c>
      <c r="L4271">
        <v>98.025149999999996</v>
      </c>
      <c r="M4271">
        <v>-7.008926E-2</v>
      </c>
      <c r="N4271">
        <v>0</v>
      </c>
      <c r="O4271">
        <v>-0.99746880000000004</v>
      </c>
      <c r="P4271">
        <v>-8.7460179999999998E-2</v>
      </c>
      <c r="Q4271">
        <v>5.8296210000000001E-2</v>
      </c>
      <c r="R4271">
        <v>-0.99446129999999999</v>
      </c>
      <c r="S4271">
        <v>4.9011230000000003E-2</v>
      </c>
      <c r="T4271">
        <v>-4.0582420000000001E-2</v>
      </c>
      <c r="U4271">
        <v>-3.0241090000000002</v>
      </c>
      <c r="V4271">
        <v>1.7358680000000001E-2</v>
      </c>
      <c r="W4271">
        <v>7.0309109999999994E-2</v>
      </c>
      <c r="X4271">
        <v>0.99737419999999999</v>
      </c>
      <c r="Y4271">
        <v>-8.6248489999999997E-2</v>
      </c>
      <c r="Z4271">
        <v>1.3343030000000001E-2</v>
      </c>
      <c r="AA4271">
        <v>0.99618430000000002</v>
      </c>
      <c r="AB4271">
        <v>19</v>
      </c>
      <c r="AC4271">
        <v>1.35289999999997</v>
      </c>
      <c r="AD4271">
        <v>-1.1111037002399999</v>
      </c>
      <c r="AE4271">
        <v>-82.611769999999893</v>
      </c>
      <c r="AF4271">
        <v>-7.13889461188427</v>
      </c>
      <c r="AG4271">
        <v>-1.1111037002399999</v>
      </c>
      <c r="AH4271">
        <v>82.298861665441507</v>
      </c>
      <c r="AI4271">
        <v>90.770600728501904</v>
      </c>
      <c r="AJ4271">
        <v>94.957629139317703</v>
      </c>
      <c r="AK4271">
        <v>82.615379918873103</v>
      </c>
      <c r="AL4271">
        <v>85.968258317787104</v>
      </c>
      <c r="AM4271">
        <v>89.002903126329898</v>
      </c>
      <c r="AN4271">
        <v>0.99999999477298696</v>
      </c>
    </row>
    <row r="4272" spans="1:40" x14ac:dyDescent="0.25">
      <c r="A4272" t="str">
        <f>"20190312154644754"</f>
        <v>20190312154644754</v>
      </c>
      <c r="B4272" t="str">
        <f>"1552376804742023"</f>
        <v>1552376804742023</v>
      </c>
      <c r="C4272" t="s">
        <v>40</v>
      </c>
      <c r="D4272">
        <v>3.96848</v>
      </c>
      <c r="E4272">
        <v>0.46222210000000002</v>
      </c>
      <c r="F4272" t="s">
        <v>71</v>
      </c>
      <c r="G4272">
        <v>-419.66050000000001</v>
      </c>
      <c r="H4272" s="1">
        <v>-6.7403630000000003E-6</v>
      </c>
      <c r="I4272">
        <v>23.829160000000002</v>
      </c>
      <c r="J4272">
        <v>-420.98570000000001</v>
      </c>
      <c r="K4272">
        <v>1.1110469999999999</v>
      </c>
      <c r="L4272">
        <v>97.856290000000001</v>
      </c>
      <c r="M4272">
        <v>-6.8218089999999995E-2</v>
      </c>
      <c r="N4272">
        <v>0</v>
      </c>
      <c r="O4272">
        <v>-0.99759929999999997</v>
      </c>
      <c r="P4272">
        <v>-8.5180450000000005E-2</v>
      </c>
      <c r="Q4272">
        <v>5.7121749999999999E-2</v>
      </c>
      <c r="R4272">
        <v>-0.99472709999999998</v>
      </c>
      <c r="S4272">
        <v>5.3619380000000001E-2</v>
      </c>
      <c r="T4272">
        <v>-4.5286060000000003E-2</v>
      </c>
      <c r="U4272">
        <v>-3.0240779999999998</v>
      </c>
      <c r="V4272">
        <v>1.694623E-2</v>
      </c>
      <c r="W4272">
        <v>6.9078059999999997E-2</v>
      </c>
      <c r="X4272">
        <v>0.99746729999999995</v>
      </c>
      <c r="Y4272">
        <v>-8.5896970000000003E-2</v>
      </c>
      <c r="Z4272">
        <v>1.4892300000000001E-2</v>
      </c>
      <c r="AA4272">
        <v>0.99619270000000004</v>
      </c>
      <c r="AB4272">
        <v>19</v>
      </c>
      <c r="AC4272">
        <v>1.3251999999999899</v>
      </c>
      <c r="AD4272">
        <v>-1.1110537403630001</v>
      </c>
      <c r="AE4272">
        <v>-74.02713</v>
      </c>
      <c r="AF4272">
        <v>-6.3710255517060004</v>
      </c>
      <c r="AG4272">
        <v>-1.1110537403630001</v>
      </c>
      <c r="AH4272">
        <v>73.747638046036002</v>
      </c>
      <c r="AI4272">
        <v>90.859928584828793</v>
      </c>
      <c r="AJ4272">
        <v>94.937498078171004</v>
      </c>
      <c r="AK4272">
        <v>74.030659353835304</v>
      </c>
      <c r="AL4272">
        <v>86.038964173862794</v>
      </c>
      <c r="AM4272">
        <v>89.026680817117196</v>
      </c>
      <c r="AN4272">
        <v>0.999999983826933</v>
      </c>
    </row>
    <row r="4273" spans="1:40" x14ac:dyDescent="0.25">
      <c r="A4273" t="str">
        <f>"20190312154644776"</f>
        <v>20190312154644776</v>
      </c>
      <c r="B4273" t="str">
        <f>"1552376804772279"</f>
        <v>1552376804772279</v>
      </c>
      <c r="C4273" t="s">
        <v>40</v>
      </c>
      <c r="D4273">
        <v>3.9667979999999998</v>
      </c>
      <c r="E4273">
        <v>0.4623893</v>
      </c>
      <c r="F4273" t="s">
        <v>71</v>
      </c>
      <c r="G4273">
        <v>-419.73410000000001</v>
      </c>
      <c r="H4273" s="1">
        <v>-4.828222E-6</v>
      </c>
      <c r="I4273">
        <v>31.472149999999999</v>
      </c>
      <c r="J4273">
        <v>-420.99590000000001</v>
      </c>
      <c r="K4273">
        <v>1.1110100000000001</v>
      </c>
      <c r="L4273">
        <v>97.670500000000004</v>
      </c>
      <c r="M4273">
        <v>-6.6223630000000006E-2</v>
      </c>
      <c r="N4273">
        <v>0</v>
      </c>
      <c r="O4273">
        <v>-0.9977338</v>
      </c>
      <c r="P4273">
        <v>-8.3076559999999994E-2</v>
      </c>
      <c r="Q4273">
        <v>5.5857299999999999E-2</v>
      </c>
      <c r="R4273">
        <v>-0.99497670000000005</v>
      </c>
      <c r="S4273">
        <v>5.7006840000000003E-2</v>
      </c>
      <c r="T4273">
        <v>-5.0606970000000001E-2</v>
      </c>
      <c r="U4273">
        <v>-3.0237120000000002</v>
      </c>
      <c r="V4273">
        <v>1.6835010000000001E-2</v>
      </c>
      <c r="W4273">
        <v>6.7772680000000002E-2</v>
      </c>
      <c r="X4273">
        <v>0.99755879999999997</v>
      </c>
      <c r="Y4273">
        <v>-8.5022429999999996E-2</v>
      </c>
      <c r="Z4273">
        <v>1.6647459999999999E-2</v>
      </c>
      <c r="AA4273">
        <v>0.99624000000000001</v>
      </c>
      <c r="AB4273">
        <v>19</v>
      </c>
      <c r="AC4273">
        <v>1.26179999999999</v>
      </c>
      <c r="AD4273">
        <v>-1.111014828222</v>
      </c>
      <c r="AE4273">
        <v>-66.198350000000005</v>
      </c>
      <c r="AF4273">
        <v>-5.6416468465582703</v>
      </c>
      <c r="AG4273">
        <v>-1.111014828222</v>
      </c>
      <c r="AH4273">
        <v>65.950874423368703</v>
      </c>
      <c r="AI4273">
        <v>90.961607698884904</v>
      </c>
      <c r="AJ4273">
        <v>94.889359595800698</v>
      </c>
      <c r="AK4273">
        <v>66.201060190126498</v>
      </c>
      <c r="AL4273">
        <v>86.113932936625105</v>
      </c>
      <c r="AM4273">
        <v>89.033156276778001</v>
      </c>
      <c r="AN4273">
        <v>1.00000005658675</v>
      </c>
    </row>
    <row r="4274" spans="1:40" x14ac:dyDescent="0.25">
      <c r="A4274" t="str">
        <f>"20190312154644798"</f>
        <v>20190312154644798</v>
      </c>
      <c r="B4274" t="str">
        <f>"1552376804791799"</f>
        <v>1552376804791799</v>
      </c>
      <c r="C4274" t="s">
        <v>40</v>
      </c>
      <c r="D4274">
        <v>3.97248</v>
      </c>
      <c r="E4274">
        <v>0.46486159999999999</v>
      </c>
      <c r="F4274" t="s">
        <v>71</v>
      </c>
      <c r="G4274">
        <v>-419.74099999999999</v>
      </c>
      <c r="H4274" s="1">
        <v>-1.482063E-6</v>
      </c>
      <c r="I4274">
        <v>37.372929999999997</v>
      </c>
      <c r="J4274">
        <v>-421.00650000000002</v>
      </c>
      <c r="K4274">
        <v>1.110965</v>
      </c>
      <c r="L4274">
        <v>97.474819999999994</v>
      </c>
      <c r="M4274">
        <v>-6.4194379999999995E-2</v>
      </c>
      <c r="N4274">
        <v>0</v>
      </c>
      <c r="O4274">
        <v>-0.99786660000000005</v>
      </c>
      <c r="P4274">
        <v>-8.0611470000000005E-2</v>
      </c>
      <c r="Q4274">
        <v>5.4848010000000003E-2</v>
      </c>
      <c r="R4274">
        <v>-0.99523530000000004</v>
      </c>
      <c r="S4274">
        <v>6.2927250000000004E-2</v>
      </c>
      <c r="T4274">
        <v>-5.5709960000000003E-2</v>
      </c>
      <c r="U4274">
        <v>-3.0235289999999999</v>
      </c>
      <c r="V4274">
        <v>1.6398030000000001E-2</v>
      </c>
      <c r="W4274">
        <v>6.6748859999999993E-2</v>
      </c>
      <c r="X4274">
        <v>0.9976351</v>
      </c>
      <c r="Y4274">
        <v>-8.4946590000000002E-2</v>
      </c>
      <c r="Z4274">
        <v>1.8330059999999999E-2</v>
      </c>
      <c r="AA4274">
        <v>0.99621689999999996</v>
      </c>
      <c r="AB4274">
        <v>19</v>
      </c>
      <c r="AC4274">
        <v>1.26550000000003</v>
      </c>
      <c r="AD4274">
        <v>-1.1109664820630001</v>
      </c>
      <c r="AE4274">
        <v>-60.101889999999997</v>
      </c>
      <c r="AF4274">
        <v>-5.1196171421039596</v>
      </c>
      <c r="AG4274">
        <v>-1.1109664820630001</v>
      </c>
      <c r="AH4274">
        <v>59.876213667243199</v>
      </c>
      <c r="AI4274">
        <v>91.059102615693703</v>
      </c>
      <c r="AJ4274">
        <v>94.887094931751307</v>
      </c>
      <c r="AK4274">
        <v>60.1049556137541</v>
      </c>
      <c r="AL4274">
        <v>86.172726615113703</v>
      </c>
      <c r="AM4274">
        <v>89.058319707429803</v>
      </c>
      <c r="AN4274">
        <v>1.00000004922559</v>
      </c>
    </row>
    <row r="4275" spans="1:40" x14ac:dyDescent="0.25">
      <c r="A4275" t="str">
        <f>"20190312154644821"</f>
        <v>20190312154644821</v>
      </c>
      <c r="B4275" t="str">
        <f>"1552376804812294"</f>
        <v>1552376804812294</v>
      </c>
      <c r="C4275" t="s">
        <v>40</v>
      </c>
      <c r="D4275">
        <v>3.9557829999999998</v>
      </c>
      <c r="E4275">
        <v>0.4653273</v>
      </c>
      <c r="F4275" t="s">
        <v>42</v>
      </c>
      <c r="G4275">
        <v>-420.3458</v>
      </c>
      <c r="H4275" s="1">
        <v>-4.1377939999999998E-6</v>
      </c>
      <c r="I4275">
        <v>59.019910000000003</v>
      </c>
      <c r="J4275">
        <v>-421.01620000000003</v>
      </c>
      <c r="K4275">
        <v>1.1109340000000001</v>
      </c>
      <c r="L4275">
        <v>97.288179999999997</v>
      </c>
      <c r="M4275">
        <v>-6.2334309999999997E-2</v>
      </c>
      <c r="N4275">
        <v>0</v>
      </c>
      <c r="O4275">
        <v>-0.99798430000000005</v>
      </c>
      <c r="P4275">
        <v>-7.8490499999999894E-2</v>
      </c>
      <c r="Q4275">
        <v>5.4253160000000002E-2</v>
      </c>
      <c r="R4275">
        <v>-0.99543760000000003</v>
      </c>
      <c r="S4275">
        <v>5.1940920000000002E-2</v>
      </c>
      <c r="T4275">
        <v>-8.7346789999999994E-2</v>
      </c>
      <c r="U4275">
        <v>-3.0234070000000002</v>
      </c>
      <c r="V4275">
        <v>1.613815E-2</v>
      </c>
      <c r="W4275">
        <v>6.6166970000000006E-2</v>
      </c>
      <c r="X4275">
        <v>0.99767799999999995</v>
      </c>
      <c r="Y4275">
        <v>-7.9466040000000002E-2</v>
      </c>
      <c r="Z4275">
        <v>2.87461E-2</v>
      </c>
      <c r="AA4275">
        <v>0.99642299999999995</v>
      </c>
      <c r="AB4275">
        <v>19</v>
      </c>
      <c r="AC4275">
        <v>0.67040000000002897</v>
      </c>
      <c r="AD4275">
        <v>-1.110938137794</v>
      </c>
      <c r="AE4275">
        <v>-38.268270000000001</v>
      </c>
      <c r="AF4275">
        <v>-3.05212001596019</v>
      </c>
      <c r="AG4275">
        <v>-1.110938137794</v>
      </c>
      <c r="AH4275">
        <v>38.119932281679198</v>
      </c>
      <c r="AI4275">
        <v>91.6639898042704</v>
      </c>
      <c r="AJ4275">
        <v>94.577692928451199</v>
      </c>
      <c r="AK4275">
        <v>38.258056109761199</v>
      </c>
      <c r="AL4275">
        <v>86.206139947174606</v>
      </c>
      <c r="AM4275">
        <v>89.073280907273201</v>
      </c>
      <c r="AN4275">
        <v>0.99999994974420003</v>
      </c>
    </row>
    <row r="4276" spans="1:40" x14ac:dyDescent="0.25">
      <c r="A4276" t="str">
        <f>"20190312154644843"</f>
        <v>20190312154644843</v>
      </c>
      <c r="B4276" t="str">
        <f>"1552376804831815"</f>
        <v>1552376804831815</v>
      </c>
      <c r="C4276" t="s">
        <v>40</v>
      </c>
      <c r="D4276">
        <v>3.9930729999999999</v>
      </c>
      <c r="E4276">
        <v>0.4657268</v>
      </c>
      <c r="F4276" t="s">
        <v>42</v>
      </c>
      <c r="G4276">
        <v>-420.32409999999999</v>
      </c>
      <c r="H4276" s="1">
        <v>-4.172545E-6</v>
      </c>
      <c r="I4276">
        <v>59.114409999999999</v>
      </c>
      <c r="J4276">
        <v>-421.0258</v>
      </c>
      <c r="K4276">
        <v>1.110894</v>
      </c>
      <c r="L4276">
        <v>97.098969999999994</v>
      </c>
      <c r="M4276">
        <v>-6.0530630000000002E-2</v>
      </c>
      <c r="N4276">
        <v>0</v>
      </c>
      <c r="O4276">
        <v>-0.99809490000000001</v>
      </c>
      <c r="P4276">
        <v>-7.6158669999999998E-2</v>
      </c>
      <c r="Q4276">
        <v>5.482269E-2</v>
      </c>
      <c r="R4276">
        <v>-0.99558729999999995</v>
      </c>
      <c r="S4276">
        <v>5.4809570000000002E-2</v>
      </c>
      <c r="T4276">
        <v>-8.7971569999999999E-2</v>
      </c>
      <c r="U4276">
        <v>-3.0228579999999998</v>
      </c>
      <c r="V4276">
        <v>1.561275E-2</v>
      </c>
      <c r="W4276">
        <v>6.6768830000000001E-2</v>
      </c>
      <c r="X4276">
        <v>0.99764629999999999</v>
      </c>
      <c r="Y4276">
        <v>-7.8612810000000005E-2</v>
      </c>
      <c r="Z4276">
        <v>2.8962379999999999E-2</v>
      </c>
      <c r="AA4276">
        <v>0.99648440000000005</v>
      </c>
      <c r="AB4276">
        <v>19</v>
      </c>
      <c r="AC4276">
        <v>0.70170000000001598</v>
      </c>
      <c r="AD4276">
        <v>-1.110898172545</v>
      </c>
      <c r="AE4276">
        <v>-37.984560000000002</v>
      </c>
      <c r="AF4276">
        <v>-2.9972436909554299</v>
      </c>
      <c r="AG4276">
        <v>-1.110898172545</v>
      </c>
      <c r="AH4276">
        <v>37.840067177990797</v>
      </c>
      <c r="AI4276">
        <v>91.676343164628904</v>
      </c>
      <c r="AJ4276">
        <v>94.528840257875004</v>
      </c>
      <c r="AK4276">
        <v>37.974837044121699</v>
      </c>
      <c r="AL4276">
        <v>86.171579622630802</v>
      </c>
      <c r="AM4276">
        <v>89.103418050237494</v>
      </c>
      <c r="AN4276">
        <v>0.99999998726290995</v>
      </c>
    </row>
    <row r="4277" spans="1:40" x14ac:dyDescent="0.25">
      <c r="A4277" t="str">
        <f>"20190312154644866"</f>
        <v>20190312154644866</v>
      </c>
      <c r="B4277" t="str">
        <f>"1552376804862071"</f>
        <v>1552376804862071</v>
      </c>
      <c r="C4277" t="s">
        <v>40</v>
      </c>
      <c r="D4277">
        <v>3.950469</v>
      </c>
      <c r="E4277">
        <v>0.46408519999999998</v>
      </c>
      <c r="F4277" t="s">
        <v>42</v>
      </c>
      <c r="G4277">
        <v>-420.26429999999999</v>
      </c>
      <c r="H4277" s="1">
        <v>-3.7721560000000001E-6</v>
      </c>
      <c r="I4277">
        <v>58.218179999999997</v>
      </c>
      <c r="J4277">
        <v>-421.03559999999999</v>
      </c>
      <c r="K4277">
        <v>1.110857</v>
      </c>
      <c r="L4277">
        <v>96.902100000000004</v>
      </c>
      <c r="M4277">
        <v>-5.8754279999999999E-2</v>
      </c>
      <c r="N4277">
        <v>0</v>
      </c>
      <c r="O4277">
        <v>-0.99820050000000005</v>
      </c>
      <c r="P4277">
        <v>-7.4094880000000002E-2</v>
      </c>
      <c r="Q4277">
        <v>5.5052610000000002E-2</v>
      </c>
      <c r="R4277">
        <v>-0.99573060000000002</v>
      </c>
      <c r="S4277">
        <v>5.9204100000000003E-2</v>
      </c>
      <c r="T4277">
        <v>-8.6360930000000002E-2</v>
      </c>
      <c r="U4277">
        <v>-3.022583</v>
      </c>
      <c r="V4277">
        <v>1.532903E-2</v>
      </c>
      <c r="W4277">
        <v>6.7046679999999997E-2</v>
      </c>
      <c r="X4277">
        <v>0.99763210000000002</v>
      </c>
      <c r="Y4277">
        <v>-7.8288930000000007E-2</v>
      </c>
      <c r="Z4277">
        <v>2.8439659999999999E-2</v>
      </c>
      <c r="AA4277">
        <v>0.99652499999999999</v>
      </c>
      <c r="AB4277">
        <v>19</v>
      </c>
      <c r="AC4277">
        <v>0.77129999999999599</v>
      </c>
      <c r="AD4277">
        <v>-1.110860772156</v>
      </c>
      <c r="AE4277">
        <v>-38.683920000000001</v>
      </c>
      <c r="AF4277">
        <v>-3.0404702911204899</v>
      </c>
      <c r="AG4277">
        <v>-1.110860772156</v>
      </c>
      <c r="AH4277">
        <v>38.539993975021602</v>
      </c>
      <c r="AI4277">
        <v>91.645901481593896</v>
      </c>
      <c r="AJ4277">
        <v>94.510795953661997</v>
      </c>
      <c r="AK4277">
        <v>38.6756978843434</v>
      </c>
      <c r="AL4277">
        <v>86.155624369265496</v>
      </c>
      <c r="AM4277">
        <v>89.119695915272501</v>
      </c>
      <c r="AN4277">
        <v>1.00000002170508</v>
      </c>
    </row>
    <row r="4278" spans="1:40" x14ac:dyDescent="0.25">
      <c r="A4278" t="str">
        <f>"20190312154644890"</f>
        <v>20190312154644890</v>
      </c>
      <c r="B4278" t="str">
        <f>"1552376804881591"</f>
        <v>1552376804881591</v>
      </c>
      <c r="C4278" t="s">
        <v>40</v>
      </c>
      <c r="D4278">
        <v>3.8481519999999998</v>
      </c>
      <c r="E4278">
        <v>0.42516490000000001</v>
      </c>
      <c r="F4278" t="s">
        <v>42</v>
      </c>
      <c r="G4278">
        <v>-419.95190000000002</v>
      </c>
      <c r="H4278" s="1">
        <v>-2.1917819999999998E-6</v>
      </c>
      <c r="I4278">
        <v>54.721989999999998</v>
      </c>
      <c r="J4278">
        <v>-421.04520000000002</v>
      </c>
      <c r="K4278">
        <v>1.1108199999999999</v>
      </c>
      <c r="L4278">
        <v>96.702820000000003</v>
      </c>
      <c r="M4278">
        <v>-5.705143E-2</v>
      </c>
      <c r="N4278">
        <v>0</v>
      </c>
      <c r="O4278">
        <v>-0.99829869999999998</v>
      </c>
      <c r="P4278">
        <v>-7.2119580000000003E-2</v>
      </c>
      <c r="Q4278">
        <v>5.4416069999999997E-2</v>
      </c>
      <c r="R4278">
        <v>-0.99591079999999998</v>
      </c>
      <c r="S4278">
        <v>7.7667239999999999E-2</v>
      </c>
      <c r="T4278">
        <v>-7.9615119999999998E-2</v>
      </c>
      <c r="U4278">
        <v>-3.0230410000000001</v>
      </c>
      <c r="V4278">
        <v>1.5059070000000001E-2</v>
      </c>
      <c r="W4278">
        <v>6.6467680000000001E-2</v>
      </c>
      <c r="X4278">
        <v>0.99767490000000003</v>
      </c>
      <c r="Y4278">
        <v>-8.2669309999999996E-2</v>
      </c>
      <c r="Z4278">
        <v>2.621325E-2</v>
      </c>
      <c r="AA4278">
        <v>0.99623220000000001</v>
      </c>
      <c r="AB4278">
        <v>19</v>
      </c>
      <c r="AC4278">
        <v>1.0932999999999899</v>
      </c>
      <c r="AD4278">
        <v>-1.110822191782</v>
      </c>
      <c r="AE4278">
        <v>-41.980829999999898</v>
      </c>
      <c r="AF4278">
        <v>-3.4843210016466299</v>
      </c>
      <c r="AG4278">
        <v>-1.110822191782</v>
      </c>
      <c r="AH4278">
        <v>41.820803857144803</v>
      </c>
      <c r="AI4278">
        <v>91.516251665798094</v>
      </c>
      <c r="AJ4278">
        <v>94.762626713435395</v>
      </c>
      <c r="AK4278">
        <v>41.980400832317599</v>
      </c>
      <c r="AL4278">
        <v>86.188872585748101</v>
      </c>
      <c r="AM4278">
        <v>89.135233695132598</v>
      </c>
      <c r="AN4278">
        <v>0.99999996708192795</v>
      </c>
    </row>
    <row r="4279" spans="1:40" x14ac:dyDescent="0.25">
      <c r="A4279" t="str">
        <f>"20190312154644933"</f>
        <v>20190312154644933</v>
      </c>
      <c r="B4279" t="str">
        <f>"1552376804921607"</f>
        <v>1552376804921607</v>
      </c>
      <c r="C4279" t="s">
        <v>40</v>
      </c>
      <c r="D4279">
        <v>3.9523950000000001</v>
      </c>
      <c r="E4279">
        <v>0.41524220000000001</v>
      </c>
      <c r="F4279" t="s">
        <v>79</v>
      </c>
      <c r="G4279">
        <v>-408.69009999999997</v>
      </c>
      <c r="H4279">
        <v>0.32389620000000002</v>
      </c>
      <c r="I4279">
        <v>0.59240719999999902</v>
      </c>
      <c r="J4279">
        <v>-421.06229999999999</v>
      </c>
      <c r="K4279">
        <v>1.110784</v>
      </c>
      <c r="L4279">
        <v>96.337429999999998</v>
      </c>
      <c r="M4279">
        <v>-5.4128379999999997E-2</v>
      </c>
      <c r="N4279">
        <v>0</v>
      </c>
      <c r="O4279">
        <v>-0.99845989999999996</v>
      </c>
      <c r="P4279">
        <v>-7.0596300000000001E-2</v>
      </c>
      <c r="Q4279">
        <v>5.4471489999999997E-2</v>
      </c>
      <c r="R4279">
        <v>-0.99601680000000004</v>
      </c>
      <c r="S4279">
        <v>0.39105220000000002</v>
      </c>
      <c r="T4279">
        <v>-2.4907829999999999E-2</v>
      </c>
      <c r="U4279">
        <v>-3.041992</v>
      </c>
      <c r="V4279">
        <v>1.6466120000000001E-2</v>
      </c>
      <c r="W4279">
        <v>6.6648470000000001E-2</v>
      </c>
      <c r="X4279">
        <v>0.99764070000000005</v>
      </c>
      <c r="Y4279">
        <v>-0.18100169999999999</v>
      </c>
      <c r="Z4279">
        <v>8.068881E-3</v>
      </c>
      <c r="AA4279">
        <v>0.98344969999999998</v>
      </c>
      <c r="AB4279">
        <v>19</v>
      </c>
      <c r="AC4279">
        <v>12.372199999999999</v>
      </c>
      <c r="AD4279">
        <v>-0.78688779999999903</v>
      </c>
      <c r="AE4279">
        <v>-95.745022800000001</v>
      </c>
      <c r="AF4279">
        <v>-17.5358008643692</v>
      </c>
      <c r="AG4279">
        <v>-0.78688779999999903</v>
      </c>
      <c r="AH4279">
        <v>94.928595009283498</v>
      </c>
      <c r="AI4279">
        <v>90.4670275611075</v>
      </c>
      <c r="AJ4279">
        <v>100.46605026273301</v>
      </c>
      <c r="AK4279">
        <v>96.537876788342402</v>
      </c>
      <c r="AL4279">
        <v>86.178491412636404</v>
      </c>
      <c r="AM4279">
        <v>89.054415557297901</v>
      </c>
      <c r="AN4279">
        <v>1.00000005897884</v>
      </c>
    </row>
    <row r="4280" spans="1:40" x14ac:dyDescent="0.25">
      <c r="A4280" t="str">
        <f>"20190312154644954"</f>
        <v>20190312154644954</v>
      </c>
      <c r="B4280" t="str">
        <f>"1552376804942103"</f>
        <v>1552376804942103</v>
      </c>
      <c r="C4280" t="s">
        <v>40</v>
      </c>
      <c r="D4280">
        <v>3.9192990000000001</v>
      </c>
      <c r="E4280">
        <v>0.4132344</v>
      </c>
      <c r="F4280" t="s">
        <v>79</v>
      </c>
      <c r="G4280">
        <v>-406.18189999999998</v>
      </c>
      <c r="H4280">
        <v>0.81339340000000004</v>
      </c>
      <c r="I4280">
        <v>0.61791989999999997</v>
      </c>
      <c r="J4280">
        <v>-421.07049999999998</v>
      </c>
      <c r="K4280">
        <v>1.110771</v>
      </c>
      <c r="L4280">
        <v>96.153499999999994</v>
      </c>
      <c r="M4280">
        <v>-5.2749530000000003E-2</v>
      </c>
      <c r="N4280">
        <v>0</v>
      </c>
      <c r="O4280">
        <v>-0.99853289999999995</v>
      </c>
      <c r="P4280">
        <v>-7.1208179999999996E-2</v>
      </c>
      <c r="Q4280">
        <v>5.4874029999999997E-2</v>
      </c>
      <c r="R4280">
        <v>-0.99595120000000004</v>
      </c>
      <c r="S4280">
        <v>0.4735413</v>
      </c>
      <c r="T4280">
        <v>-9.4648600000000003E-3</v>
      </c>
      <c r="U4280">
        <v>-3.0461119999999999</v>
      </c>
      <c r="V4280">
        <v>1.8463E-2</v>
      </c>
      <c r="W4280">
        <v>6.7129939999999999E-2</v>
      </c>
      <c r="X4280">
        <v>0.99757340000000005</v>
      </c>
      <c r="Y4280">
        <v>-0.20552519999999999</v>
      </c>
      <c r="Z4280">
        <v>3.0492010000000001E-3</v>
      </c>
      <c r="AA4280">
        <v>0.97864709999999999</v>
      </c>
      <c r="AB4280">
        <v>19</v>
      </c>
      <c r="AC4280">
        <v>14.888599999999901</v>
      </c>
      <c r="AD4280">
        <v>-0.29737759999999902</v>
      </c>
      <c r="AE4280">
        <v>-95.535580100000004</v>
      </c>
      <c r="AF4280">
        <v>-19.907514071796001</v>
      </c>
      <c r="AG4280">
        <v>-0.29737759999999902</v>
      </c>
      <c r="AH4280">
        <v>94.616232719974406</v>
      </c>
      <c r="AI4280">
        <v>90.176220977377298</v>
      </c>
      <c r="AJ4280">
        <v>101.88187767907699</v>
      </c>
      <c r="AK4280">
        <v>96.688308724871604</v>
      </c>
      <c r="AL4280">
        <v>86.150843066437503</v>
      </c>
      <c r="AM4280">
        <v>88.939695850501295</v>
      </c>
      <c r="AN4280">
        <v>0.99999999980048104</v>
      </c>
    </row>
    <row r="4281" spans="1:40" x14ac:dyDescent="0.25">
      <c r="A4281" t="str">
        <f>"20190312154644977"</f>
        <v>20190312154644977</v>
      </c>
      <c r="B4281" t="str">
        <f>"1552376804972358"</f>
        <v>1552376804972358</v>
      </c>
      <c r="C4281" t="s">
        <v>40</v>
      </c>
      <c r="D4281">
        <v>3.9641799999999998</v>
      </c>
      <c r="E4281">
        <v>0.4115239</v>
      </c>
      <c r="F4281" t="s">
        <v>79</v>
      </c>
      <c r="G4281">
        <v>-405.77969999999999</v>
      </c>
      <c r="H4281">
        <v>0.51518960000000003</v>
      </c>
      <c r="I4281">
        <v>0.62200739999999999</v>
      </c>
      <c r="J4281">
        <v>-421.07889999999998</v>
      </c>
      <c r="K4281">
        <v>1.110754</v>
      </c>
      <c r="L4281">
        <v>95.962829999999997</v>
      </c>
      <c r="M4281">
        <v>-5.1377640000000002E-2</v>
      </c>
      <c r="N4281">
        <v>0</v>
      </c>
      <c r="O4281">
        <v>-0.99860329999999997</v>
      </c>
      <c r="P4281">
        <v>-7.2297710000000001E-2</v>
      </c>
      <c r="Q4281">
        <v>5.3801069999999999E-2</v>
      </c>
      <c r="R4281">
        <v>-0.99593149999999997</v>
      </c>
      <c r="S4281">
        <v>0.4878845</v>
      </c>
      <c r="T4281">
        <v>-1.9003869999999999E-2</v>
      </c>
      <c r="U4281">
        <v>-3.0481259999999999</v>
      </c>
      <c r="V4281">
        <v>2.092987E-2</v>
      </c>
      <c r="W4281">
        <v>6.6149840000000001E-2</v>
      </c>
      <c r="X4281">
        <v>0.99759019999999998</v>
      </c>
      <c r="Y4281">
        <v>-0.2085727</v>
      </c>
      <c r="Z4281">
        <v>6.1146439999999998E-3</v>
      </c>
      <c r="AA4281">
        <v>0.97798779999999996</v>
      </c>
      <c r="AB4281">
        <v>19</v>
      </c>
      <c r="AC4281">
        <v>15.2991999999999</v>
      </c>
      <c r="AD4281">
        <v>-0.59556439999999999</v>
      </c>
      <c r="AE4281">
        <v>-95.340822599999996</v>
      </c>
      <c r="AF4281">
        <v>-20.176981926299199</v>
      </c>
      <c r="AG4281">
        <v>-0.59556439999999999</v>
      </c>
      <c r="AH4281">
        <v>94.425198022556302</v>
      </c>
      <c r="AI4281">
        <v>90.353396861154295</v>
      </c>
      <c r="AJ4281">
        <v>102.061691033757</v>
      </c>
      <c r="AK4281">
        <v>96.558704000249094</v>
      </c>
      <c r="AL4281">
        <v>86.207123898833203</v>
      </c>
      <c r="AM4281">
        <v>88.798086318174299</v>
      </c>
      <c r="AN4281">
        <v>1.0000000339631401</v>
      </c>
    </row>
    <row r="4282" spans="1:40" x14ac:dyDescent="0.25">
      <c r="A4282" t="str">
        <f>"20190312154645001"</f>
        <v>20190312154645001</v>
      </c>
      <c r="B4282" t="str">
        <f>"1552376804991880"</f>
        <v>1552376804991880</v>
      </c>
      <c r="C4282" t="s">
        <v>40</v>
      </c>
      <c r="D4282">
        <v>3.9932050000000001</v>
      </c>
      <c r="E4282">
        <v>0.41083449999999999</v>
      </c>
      <c r="F4282" t="s">
        <v>79</v>
      </c>
      <c r="G4282">
        <v>-405.48719999999997</v>
      </c>
      <c r="H4282">
        <v>0.209291</v>
      </c>
      <c r="I4282">
        <v>0.62498279999999995</v>
      </c>
      <c r="J4282">
        <v>-421.08760000000001</v>
      </c>
      <c r="K4282">
        <v>1.110725</v>
      </c>
      <c r="L4282">
        <v>95.760379999999998</v>
      </c>
      <c r="M4282">
        <v>-4.998971E-2</v>
      </c>
      <c r="N4282">
        <v>0</v>
      </c>
      <c r="O4282">
        <v>-0.99867229999999996</v>
      </c>
      <c r="P4282">
        <v>-7.4255740000000001E-2</v>
      </c>
      <c r="Q4282">
        <v>5.3266130000000002E-2</v>
      </c>
      <c r="R4282">
        <v>-0.99581609999999998</v>
      </c>
      <c r="S4282">
        <v>0.49880980000000003</v>
      </c>
      <c r="T4282">
        <v>-2.8840299999999999E-2</v>
      </c>
      <c r="U4282">
        <v>-3.050049</v>
      </c>
      <c r="V4282">
        <v>2.4285439999999998E-2</v>
      </c>
      <c r="W4282">
        <v>6.572733E-2</v>
      </c>
      <c r="X4282">
        <v>0.99754200000000004</v>
      </c>
      <c r="Y4282">
        <v>-0.21052679999999999</v>
      </c>
      <c r="Z4282">
        <v>9.2699789999999994E-3</v>
      </c>
      <c r="AA4282">
        <v>0.97754410000000003</v>
      </c>
      <c r="AB4282">
        <v>19</v>
      </c>
      <c r="AC4282">
        <v>15.6004</v>
      </c>
      <c r="AD4282">
        <v>-0.90143399999999996</v>
      </c>
      <c r="AE4282">
        <v>-95.1353972</v>
      </c>
      <c r="AF4282">
        <v>-20.3352731427339</v>
      </c>
      <c r="AG4282">
        <v>-0.90143399999999996</v>
      </c>
      <c r="AH4282">
        <v>94.228275975774494</v>
      </c>
      <c r="AI4282">
        <v>90.535769302151095</v>
      </c>
      <c r="AJ4282">
        <v>102.178155696243</v>
      </c>
      <c r="AK4282">
        <v>96.401783751197698</v>
      </c>
      <c r="AL4282">
        <v>86.231384432207605</v>
      </c>
      <c r="AM4282">
        <v>88.605393645629107</v>
      </c>
      <c r="AN4282">
        <v>0.99999995313446</v>
      </c>
    </row>
    <row r="4283" spans="1:40" x14ac:dyDescent="0.25">
      <c r="A4283" t="str">
        <f>"20190312154645022"</f>
        <v>20190312154645022</v>
      </c>
      <c r="B4283" t="str">
        <f>"1552376805012375"</f>
        <v>1552376805012375</v>
      </c>
      <c r="C4283" t="s">
        <v>40</v>
      </c>
      <c r="D4283">
        <v>4.0028670000000002</v>
      </c>
      <c r="E4283">
        <v>0.41033359999999902</v>
      </c>
      <c r="F4283" t="s">
        <v>43</v>
      </c>
      <c r="G4283">
        <v>-403.72120000000001</v>
      </c>
      <c r="H4283">
        <v>-0.05</v>
      </c>
      <c r="I4283">
        <v>-10.655900000000001</v>
      </c>
      <c r="J4283">
        <v>-421.09519999999998</v>
      </c>
      <c r="K4283">
        <v>1.110689</v>
      </c>
      <c r="L4283">
        <v>95.58023</v>
      </c>
      <c r="M4283">
        <v>-4.881858E-2</v>
      </c>
      <c r="N4283">
        <v>0</v>
      </c>
      <c r="O4283">
        <v>-0.99872890000000003</v>
      </c>
      <c r="P4283">
        <v>-7.5880420000000004E-2</v>
      </c>
      <c r="Q4283">
        <v>5.1658490000000001E-2</v>
      </c>
      <c r="R4283">
        <v>-0.99577789999999999</v>
      </c>
      <c r="S4283">
        <v>0.49798579999999998</v>
      </c>
      <c r="T4283">
        <v>-3.3284069999999999E-2</v>
      </c>
      <c r="U4283">
        <v>-3.0515140000000001</v>
      </c>
      <c r="V4283">
        <v>2.7089189999999999E-2</v>
      </c>
      <c r="W4283">
        <v>6.4223710000000003E-2</v>
      </c>
      <c r="X4283">
        <v>0.9975678</v>
      </c>
      <c r="Y4283">
        <v>-0.20904619999999999</v>
      </c>
      <c r="Z4283">
        <v>1.0695990000000001E-2</v>
      </c>
      <c r="AA4283">
        <v>0.97784729999999997</v>
      </c>
      <c r="AB4283">
        <v>19</v>
      </c>
      <c r="AC4283">
        <v>17.373999999999899</v>
      </c>
      <c r="AD4283">
        <v>-1.1606889999999901</v>
      </c>
      <c r="AE4283">
        <v>-106.23613</v>
      </c>
      <c r="AF4283">
        <v>-22.537365945829102</v>
      </c>
      <c r="AG4283">
        <v>-1.1606889999999901</v>
      </c>
      <c r="AH4283">
        <v>105.24896389745599</v>
      </c>
      <c r="AI4283">
        <v>90.617829230747006</v>
      </c>
      <c r="AJ4283">
        <v>102.08643768971901</v>
      </c>
      <c r="AK4283">
        <v>107.641183866673</v>
      </c>
      <c r="AL4283">
        <v>86.317718177910194</v>
      </c>
      <c r="AM4283">
        <v>88.444501799969601</v>
      </c>
      <c r="AN4283">
        <v>1.0000000123689301</v>
      </c>
    </row>
    <row r="4284" spans="1:40" x14ac:dyDescent="0.25">
      <c r="A4284" t="str">
        <f>"20190312154645044"</f>
        <v>20190312154645044</v>
      </c>
      <c r="B4284" t="str">
        <f>"1552376805041655"</f>
        <v>1552376805041655</v>
      </c>
      <c r="C4284" t="s">
        <v>40</v>
      </c>
      <c r="D4284">
        <v>3.951165</v>
      </c>
      <c r="E4284">
        <v>0.40955049999999998</v>
      </c>
      <c r="F4284" t="s">
        <v>71</v>
      </c>
      <c r="G4284">
        <v>-407.11520000000002</v>
      </c>
      <c r="H4284">
        <v>8.1464109999999992E-3</v>
      </c>
      <c r="I4284">
        <v>9.6162430000000008</v>
      </c>
      <c r="J4284">
        <v>-421.1028</v>
      </c>
      <c r="K4284">
        <v>1.1106339999999999</v>
      </c>
      <c r="L4284">
        <v>95.396180000000001</v>
      </c>
      <c r="M4284">
        <v>-4.7688319999999999E-2</v>
      </c>
      <c r="N4284">
        <v>0</v>
      </c>
      <c r="O4284">
        <v>-0.99878210000000001</v>
      </c>
      <c r="P4284">
        <v>-7.829092E-2</v>
      </c>
      <c r="Q4284">
        <v>4.639422E-2</v>
      </c>
      <c r="R4284">
        <v>-0.99585049999999997</v>
      </c>
      <c r="S4284">
        <v>0.49642940000000002</v>
      </c>
      <c r="T4284">
        <v>-3.9151310000000002E-2</v>
      </c>
      <c r="U4284">
        <v>-3.0525820000000001</v>
      </c>
      <c r="V4284">
        <v>3.0636440000000001E-2</v>
      </c>
      <c r="W4284">
        <v>5.906082E-2</v>
      </c>
      <c r="X4284">
        <v>0.99778409999999995</v>
      </c>
      <c r="Y4284">
        <v>-0.20739560000000001</v>
      </c>
      <c r="Z4284">
        <v>1.2580620000000001E-2</v>
      </c>
      <c r="AA4284">
        <v>0.97817619999999905</v>
      </c>
      <c r="AB4284">
        <v>19</v>
      </c>
      <c r="AC4284">
        <v>13.987599999999899</v>
      </c>
      <c r="AD4284">
        <v>-1.1024875890000001</v>
      </c>
      <c r="AE4284">
        <v>-85.779937000000004</v>
      </c>
      <c r="AF4284">
        <v>-18.0598059575888</v>
      </c>
      <c r="AG4284">
        <v>-1.1024875890000001</v>
      </c>
      <c r="AH4284">
        <v>85.001550474725207</v>
      </c>
      <c r="AI4284">
        <v>90.7268733126581</v>
      </c>
      <c r="AJ4284">
        <v>101.994949327264</v>
      </c>
      <c r="AK4284">
        <v>86.905901141504302</v>
      </c>
      <c r="AL4284">
        <v>86.614093688769003</v>
      </c>
      <c r="AM4284">
        <v>88.241315531910899</v>
      </c>
      <c r="AN4284">
        <v>0.99999994106387602</v>
      </c>
    </row>
    <row r="4285" spans="1:40" x14ac:dyDescent="0.25">
      <c r="A4285" t="str">
        <f>"20190312154645066"</f>
        <v>20190312154645066</v>
      </c>
      <c r="B4285" t="str">
        <f>"1552376805062152"</f>
        <v>1552376805062152</v>
      </c>
      <c r="C4285" t="s">
        <v>40</v>
      </c>
      <c r="D4285">
        <v>3.8354509999999999</v>
      </c>
      <c r="E4285">
        <v>0.40822750000000002</v>
      </c>
      <c r="F4285" t="s">
        <v>71</v>
      </c>
      <c r="G4285">
        <v>-411.0215</v>
      </c>
      <c r="H4285" s="1">
        <v>-5.747314E-6</v>
      </c>
      <c r="I4285">
        <v>33.24333</v>
      </c>
      <c r="J4285">
        <v>-421.11040000000003</v>
      </c>
      <c r="K4285">
        <v>1.110574</v>
      </c>
      <c r="L4285">
        <v>95.210480000000004</v>
      </c>
      <c r="M4285">
        <v>-4.6623390000000001E-2</v>
      </c>
      <c r="N4285">
        <v>0</v>
      </c>
      <c r="O4285">
        <v>-0.99883140000000004</v>
      </c>
      <c r="P4285">
        <v>-8.0012949999999999E-2</v>
      </c>
      <c r="Q4285">
        <v>4.1431049999999997E-2</v>
      </c>
      <c r="R4285">
        <v>-0.9959327</v>
      </c>
      <c r="S4285">
        <v>0.4953613</v>
      </c>
      <c r="T4285">
        <v>-5.4573179999999999E-2</v>
      </c>
      <c r="U4285">
        <v>-3.0539860000000001</v>
      </c>
      <c r="V4285">
        <v>3.3428810000000003E-2</v>
      </c>
      <c r="W4285">
        <v>5.4186329999999998E-2</v>
      </c>
      <c r="X4285">
        <v>0.9979711</v>
      </c>
      <c r="Y4285">
        <v>-0.20593590000000001</v>
      </c>
      <c r="Z4285">
        <v>1.7531450000000001E-2</v>
      </c>
      <c r="AA4285">
        <v>0.97840850000000001</v>
      </c>
      <c r="AB4285">
        <v>19</v>
      </c>
      <c r="AC4285">
        <v>10.088900000000001</v>
      </c>
      <c r="AD4285">
        <v>-1.110579747314</v>
      </c>
      <c r="AE4285">
        <v>-61.967149999999997</v>
      </c>
      <c r="AF4285">
        <v>-12.963223438550299</v>
      </c>
      <c r="AG4285">
        <v>-1.110579747314</v>
      </c>
      <c r="AH4285">
        <v>61.410119711542201</v>
      </c>
      <c r="AI4285">
        <v>91.0137255720404</v>
      </c>
      <c r="AJ4285">
        <v>101.919724611082</v>
      </c>
      <c r="AK4285">
        <v>62.773253478522797</v>
      </c>
      <c r="AL4285">
        <v>86.893830621104598</v>
      </c>
      <c r="AM4285">
        <v>88.081493688359501</v>
      </c>
      <c r="AN4285">
        <v>0.99999998006604696</v>
      </c>
    </row>
    <row r="4286" spans="1:40" x14ac:dyDescent="0.25">
      <c r="A4286" t="str">
        <f>"20190312154645089"</f>
        <v>20190312154645089</v>
      </c>
      <c r="B4286" t="str">
        <f>"1552376805081671"</f>
        <v>1552376805081671</v>
      </c>
      <c r="C4286" t="s">
        <v>40</v>
      </c>
      <c r="D4286">
        <v>3.0613700000000001</v>
      </c>
      <c r="E4286">
        <v>0.40822750000000002</v>
      </c>
      <c r="F4286" t="s">
        <v>42</v>
      </c>
      <c r="G4286">
        <v>-413.16430000000003</v>
      </c>
      <c r="H4286" s="1">
        <v>-4.2347310000000001E-6</v>
      </c>
      <c r="I4286">
        <v>46.677570000000003</v>
      </c>
      <c r="J4286">
        <v>-421.11829999999998</v>
      </c>
      <c r="K4286">
        <v>1.110517</v>
      </c>
      <c r="L4286">
        <v>95.014250000000004</v>
      </c>
      <c r="M4286">
        <v>-4.5569369999999998E-2</v>
      </c>
      <c r="N4286">
        <v>0</v>
      </c>
      <c r="O4286">
        <v>-0.99887899999999996</v>
      </c>
      <c r="P4286">
        <v>-8.1020010000000003E-2</v>
      </c>
      <c r="Q4286">
        <v>3.6980869999999999E-2</v>
      </c>
      <c r="R4286">
        <v>-0.99602659999999998</v>
      </c>
      <c r="S4286">
        <v>0.50024409999999997</v>
      </c>
      <c r="T4286">
        <v>-6.9915770000000002E-2</v>
      </c>
      <c r="U4286">
        <v>-3.0553590000000002</v>
      </c>
      <c r="V4286">
        <v>3.5493200000000003E-2</v>
      </c>
      <c r="W4286">
        <v>4.9821079999999997E-2</v>
      </c>
      <c r="X4286">
        <v>0.99812730000000005</v>
      </c>
      <c r="Y4286">
        <v>-0.206341</v>
      </c>
      <c r="Z4286">
        <v>2.2445799999999998E-2</v>
      </c>
      <c r="AA4286">
        <v>0.9782227</v>
      </c>
      <c r="AB4286">
        <v>19</v>
      </c>
      <c r="AC4286">
        <v>7.95399999999995</v>
      </c>
      <c r="AD4286">
        <v>-1.1105212347310001</v>
      </c>
      <c r="AE4286">
        <v>-48.336680000000001</v>
      </c>
      <c r="AF4286">
        <v>-10.143375835163001</v>
      </c>
      <c r="AG4286">
        <v>-1.1105212347310001</v>
      </c>
      <c r="AH4286">
        <v>47.899353454439101</v>
      </c>
      <c r="AI4286">
        <v>91.299330503989694</v>
      </c>
      <c r="AJ4286">
        <v>101.956565169035</v>
      </c>
      <c r="AK4286">
        <v>48.974170662701802</v>
      </c>
      <c r="AL4286">
        <v>87.144280190961695</v>
      </c>
      <c r="AM4286">
        <v>87.963432074169702</v>
      </c>
      <c r="AN4286">
        <v>1.0000000071319399</v>
      </c>
    </row>
    <row r="4287" spans="1:40" x14ac:dyDescent="0.25">
      <c r="A4287" t="str">
        <f>"20190312154645179"</f>
        <v>20190312154645179</v>
      </c>
      <c r="B4287" t="str">
        <f>"1552376805172438"</f>
        <v>1552376805172438</v>
      </c>
      <c r="C4287" t="s">
        <v>40</v>
      </c>
      <c r="D4287">
        <v>3.3660040000000002</v>
      </c>
      <c r="E4287">
        <v>0.40822750000000002</v>
      </c>
      <c r="F4287" t="s">
        <v>42</v>
      </c>
      <c r="G4287">
        <v>-414.52809999999999</v>
      </c>
      <c r="H4287" s="1">
        <v>-3.116949E-6</v>
      </c>
      <c r="I4287">
        <v>54.529069999999997</v>
      </c>
      <c r="J4287">
        <v>-421.14710000000002</v>
      </c>
      <c r="K4287">
        <v>1.1104449999999999</v>
      </c>
      <c r="L4287">
        <v>94.264529999999993</v>
      </c>
      <c r="M4287">
        <v>-4.2114230000000002E-2</v>
      </c>
      <c r="N4287">
        <v>0</v>
      </c>
      <c r="O4287">
        <v>-0.99902740000000001</v>
      </c>
      <c r="P4287">
        <v>-7.7690850000000006E-2</v>
      </c>
      <c r="Q4287">
        <v>3.655303E-2</v>
      </c>
      <c r="R4287">
        <v>-0.99630759999999996</v>
      </c>
      <c r="S4287">
        <v>0.49737550000000003</v>
      </c>
      <c r="T4287">
        <v>-8.3814379999999994E-2</v>
      </c>
      <c r="U4287">
        <v>-3.055542</v>
      </c>
      <c r="V4287">
        <v>3.5620560000000002E-2</v>
      </c>
      <c r="W4287">
        <v>4.9635350000000002E-2</v>
      </c>
      <c r="X4287">
        <v>0.99813200000000002</v>
      </c>
      <c r="Y4287">
        <v>-0.2020332</v>
      </c>
      <c r="Z4287">
        <v>2.692365E-2</v>
      </c>
      <c r="AA4287">
        <v>0.97900860000000001</v>
      </c>
      <c r="AB4287">
        <v>19</v>
      </c>
      <c r="AC4287">
        <v>6.6190000000000202</v>
      </c>
      <c r="AD4287">
        <v>-1.1104481169489999</v>
      </c>
      <c r="AE4287">
        <v>-39.735460000000003</v>
      </c>
      <c r="AF4287">
        <v>-8.2804054993889498</v>
      </c>
      <c r="AG4287">
        <v>-1.1104481169489999</v>
      </c>
      <c r="AH4287">
        <v>39.391489504189401</v>
      </c>
      <c r="AI4287">
        <v>91.580225774470506</v>
      </c>
      <c r="AJ4287">
        <v>101.87119178936</v>
      </c>
      <c r="AK4287">
        <v>40.267699904680498</v>
      </c>
      <c r="AL4287">
        <v>87.154934871819506</v>
      </c>
      <c r="AM4287">
        <v>87.9561400746598</v>
      </c>
      <c r="AN4287">
        <v>0.99999999084416802</v>
      </c>
    </row>
    <row r="4288" spans="1:40" x14ac:dyDescent="0.25">
      <c r="A4288" t="str">
        <f>"20190312154645200"</f>
        <v>20190312154645200</v>
      </c>
      <c r="B4288" t="str">
        <f>"1552376805191959"</f>
        <v>1552376805191959</v>
      </c>
      <c r="C4288" t="s">
        <v>40</v>
      </c>
      <c r="D4288">
        <v>4.0158149999999999</v>
      </c>
      <c r="E4288">
        <v>0.51305479999999903</v>
      </c>
      <c r="F4288" t="s">
        <v>42</v>
      </c>
      <c r="G4288">
        <v>-414.2602</v>
      </c>
      <c r="H4288" s="1">
        <v>-2.6252650000000002E-6</v>
      </c>
      <c r="I4288">
        <v>52.87471</v>
      </c>
      <c r="J4288">
        <v>-421.15370000000001</v>
      </c>
      <c r="K4288">
        <v>1.1104320000000001</v>
      </c>
      <c r="L4288">
        <v>94.086550000000003</v>
      </c>
      <c r="M4288">
        <v>-4.1396380000000003E-2</v>
      </c>
      <c r="N4288">
        <v>0</v>
      </c>
      <c r="O4288">
        <v>-0.99905670000000002</v>
      </c>
      <c r="P4288">
        <v>-7.6325080000000003E-2</v>
      </c>
      <c r="Q4288">
        <v>3.9120780000000001E-2</v>
      </c>
      <c r="R4288">
        <v>-0.99631550000000002</v>
      </c>
      <c r="S4288">
        <v>0.50811770000000001</v>
      </c>
      <c r="T4288">
        <v>-8.1928849999999998E-2</v>
      </c>
      <c r="U4288">
        <v>-3.053741</v>
      </c>
      <c r="V4288">
        <v>3.4973900000000002E-2</v>
      </c>
      <c r="W4288">
        <v>5.2241210000000003E-2</v>
      </c>
      <c r="X4288">
        <v>0.99802190000000002</v>
      </c>
      <c r="Y4288">
        <v>-0.20477590000000001</v>
      </c>
      <c r="Z4288">
        <v>2.6319849999999999E-2</v>
      </c>
      <c r="AA4288">
        <v>0.97845490000000002</v>
      </c>
      <c r="AB4288">
        <v>19</v>
      </c>
      <c r="AC4288">
        <v>6.8935000000000102</v>
      </c>
      <c r="AD4288">
        <v>-1.1104346252649999</v>
      </c>
      <c r="AE4288">
        <v>-41.211840000000002</v>
      </c>
      <c r="AF4288">
        <v>-8.5876926134638598</v>
      </c>
      <c r="AG4288">
        <v>-1.1104346252649999</v>
      </c>
      <c r="AH4288">
        <v>40.862257818089198</v>
      </c>
      <c r="AI4288">
        <v>91.523371106505905</v>
      </c>
      <c r="AJ4288">
        <v>101.868667073748</v>
      </c>
      <c r="AK4288">
        <v>41.769673729541097</v>
      </c>
      <c r="AL4288">
        <v>87.005436042034603</v>
      </c>
      <c r="AM4288">
        <v>87.992992735539403</v>
      </c>
      <c r="AN4288">
        <v>1.00000001529154</v>
      </c>
    </row>
    <row r="4289" spans="1:40" x14ac:dyDescent="0.25">
      <c r="A4289" t="str">
        <f>"20190312154645223"</f>
        <v>20190312154645223</v>
      </c>
      <c r="B4289" t="str">
        <f>"1552376805212455"</f>
        <v>1552376805212455</v>
      </c>
      <c r="C4289" t="s">
        <v>40</v>
      </c>
      <c r="D4289">
        <v>4.5155129999999897</v>
      </c>
      <c r="E4289">
        <v>0.50665509999999903</v>
      </c>
      <c r="F4289" t="s">
        <v>41</v>
      </c>
      <c r="G4289">
        <v>-421.22019999999998</v>
      </c>
      <c r="H4289">
        <v>0.9384439</v>
      </c>
      <c r="I4289">
        <v>93.386409999999998</v>
      </c>
      <c r="J4289">
        <v>-421.16050000000001</v>
      </c>
      <c r="K4289">
        <v>1.1104270000000001</v>
      </c>
      <c r="L4289">
        <v>93.901340000000005</v>
      </c>
      <c r="M4289">
        <v>-4.0677919999999999E-2</v>
      </c>
      <c r="N4289">
        <v>0</v>
      </c>
      <c r="O4289">
        <v>-0.99908580000000002</v>
      </c>
      <c r="P4289">
        <v>-7.5425060000000002E-2</v>
      </c>
      <c r="Q4289">
        <v>4.0175389999999998E-2</v>
      </c>
      <c r="R4289">
        <v>-0.99634199999999995</v>
      </c>
      <c r="S4289">
        <v>-0.285553</v>
      </c>
      <c r="T4289">
        <v>-0.74152390000000001</v>
      </c>
      <c r="U4289">
        <v>-3.0183409999999999</v>
      </c>
      <c r="V4289">
        <v>3.47931E-2</v>
      </c>
      <c r="W4289">
        <v>5.3332110000000002E-2</v>
      </c>
      <c r="X4289">
        <v>0.99797049999999998</v>
      </c>
      <c r="Y4289">
        <v>5.0907340000000002E-2</v>
      </c>
      <c r="Z4289">
        <v>0.2376366</v>
      </c>
      <c r="AA4289">
        <v>0.97001919999999997</v>
      </c>
      <c r="AB4289">
        <v>19</v>
      </c>
      <c r="AC4289">
        <v>-5.9699999999963803E-2</v>
      </c>
      <c r="AD4289">
        <v>-0.1719831</v>
      </c>
      <c r="AE4289">
        <v>-0.51493000000000599</v>
      </c>
      <c r="AF4289">
        <v>3.4864846847960498E-2</v>
      </c>
      <c r="AG4289">
        <v>-0.1719831</v>
      </c>
      <c r="AH4289">
        <v>0.46567471183713</v>
      </c>
      <c r="AI4289">
        <v>110.218221381557</v>
      </c>
      <c r="AJ4289">
        <v>85.718280305140496</v>
      </c>
      <c r="AK4289">
        <v>0.49764111714762499</v>
      </c>
      <c r="AL4289">
        <v>86.942844752005797</v>
      </c>
      <c r="AM4289">
        <v>88.0032569264134</v>
      </c>
      <c r="AN4289">
        <v>0.99999999631745595</v>
      </c>
    </row>
    <row r="4290" spans="1:40" x14ac:dyDescent="0.25">
      <c r="A4290" t="str">
        <f>"20190312154645245"</f>
        <v>20190312154645245</v>
      </c>
      <c r="B4290" t="str">
        <f>"1552376805241735"</f>
        <v>1552376805241735</v>
      </c>
      <c r="C4290" t="s">
        <v>40</v>
      </c>
      <c r="D4290">
        <v>4.2083300000000001</v>
      </c>
      <c r="E4290">
        <v>0.50232710000000003</v>
      </c>
      <c r="F4290" t="s">
        <v>41</v>
      </c>
      <c r="G4290">
        <v>-421.2158</v>
      </c>
      <c r="H4290">
        <v>0.97275599999999995</v>
      </c>
      <c r="I4290">
        <v>93.202489999999997</v>
      </c>
      <c r="J4290">
        <v>-421.16730000000001</v>
      </c>
      <c r="K4290">
        <v>1.11042</v>
      </c>
      <c r="L4290">
        <v>93.715850000000003</v>
      </c>
      <c r="M4290">
        <v>-3.9982620000000003E-2</v>
      </c>
      <c r="N4290">
        <v>0</v>
      </c>
      <c r="O4290">
        <v>-0.99911340000000004</v>
      </c>
      <c r="P4290">
        <v>-7.5302629999999995E-2</v>
      </c>
      <c r="Q4290">
        <v>4.0755119999999999E-2</v>
      </c>
      <c r="R4290">
        <v>-0.99632770000000004</v>
      </c>
      <c r="S4290">
        <v>-0.23864750000000001</v>
      </c>
      <c r="T4290">
        <v>-0.59435689999999997</v>
      </c>
      <c r="U4290">
        <v>-3.016937</v>
      </c>
      <c r="V4290">
        <v>3.536686E-2</v>
      </c>
      <c r="W4290">
        <v>5.3943970000000001E-2</v>
      </c>
      <c r="X4290">
        <v>0.99791750000000001</v>
      </c>
      <c r="Y4290">
        <v>3.7452630000000001E-2</v>
      </c>
      <c r="Z4290">
        <v>0.1927065</v>
      </c>
      <c r="AA4290">
        <v>0.98054149999999995</v>
      </c>
      <c r="AB4290">
        <v>19</v>
      </c>
      <c r="AC4290">
        <v>-4.8499999999990002E-2</v>
      </c>
      <c r="AD4290">
        <v>-0.13766400000000001</v>
      </c>
      <c r="AE4290">
        <v>-0.51336000000000503</v>
      </c>
      <c r="AF4290">
        <v>2.6075422560676201E-2</v>
      </c>
      <c r="AG4290">
        <v>-0.13766400000000001</v>
      </c>
      <c r="AH4290">
        <v>0.48063170784838999</v>
      </c>
      <c r="AI4290">
        <v>105.960659843371</v>
      </c>
      <c r="AJ4290">
        <v>86.894610916446595</v>
      </c>
      <c r="AK4290">
        <v>0.50063773643921206</v>
      </c>
      <c r="AL4290">
        <v>86.907737387978898</v>
      </c>
      <c r="AM4290">
        <v>87.970248993952794</v>
      </c>
      <c r="AN4290">
        <v>1.00000005174593</v>
      </c>
    </row>
    <row r="4291" spans="1:40" x14ac:dyDescent="0.25">
      <c r="A4291" t="str">
        <f>"20190312154645268"</f>
        <v>20190312154645268</v>
      </c>
      <c r="B4291" t="str">
        <f>"1552376805262235"</f>
        <v>1552376805262235</v>
      </c>
      <c r="C4291" t="s">
        <v>40</v>
      </c>
      <c r="D4291">
        <v>4.2295220000000002</v>
      </c>
      <c r="E4291">
        <v>0.50209499999999996</v>
      </c>
      <c r="F4291" t="s">
        <v>42</v>
      </c>
      <c r="G4291">
        <v>-424.02609999999999</v>
      </c>
      <c r="H4291" s="1">
        <v>-4.0625599999999996E-6</v>
      </c>
      <c r="I4291">
        <v>56.826230000000002</v>
      </c>
      <c r="J4291">
        <v>-421.1739</v>
      </c>
      <c r="K4291">
        <v>1.11043</v>
      </c>
      <c r="L4291">
        <v>93.528469999999999</v>
      </c>
      <c r="M4291">
        <v>-3.9293649999999999E-2</v>
      </c>
      <c r="N4291">
        <v>0</v>
      </c>
      <c r="O4291">
        <v>-0.99914029999999998</v>
      </c>
      <c r="P4291">
        <v>-7.5344640000000004E-2</v>
      </c>
      <c r="Q4291">
        <v>4.1734050000000002E-2</v>
      </c>
      <c r="R4291">
        <v>-0.99628410000000001</v>
      </c>
      <c r="S4291">
        <v>-0.23226930000000001</v>
      </c>
      <c r="T4291">
        <v>-9.0219259999999996E-2</v>
      </c>
      <c r="U4291">
        <v>-2.9971920000000001</v>
      </c>
      <c r="V4291">
        <v>3.6098249999999998E-2</v>
      </c>
      <c r="W4291">
        <v>5.4950980000000003E-2</v>
      </c>
      <c r="X4291">
        <v>0.99783630000000001</v>
      </c>
      <c r="Y4291">
        <v>3.7989879999999997E-2</v>
      </c>
      <c r="Z4291">
        <v>2.9997010000000001E-2</v>
      </c>
      <c r="AA4291">
        <v>0.99882780000000004</v>
      </c>
      <c r="AB4291">
        <v>19</v>
      </c>
      <c r="AC4291">
        <v>-2.8521999999999799</v>
      </c>
      <c r="AD4291">
        <v>-1.11043406256</v>
      </c>
      <c r="AE4291">
        <v>-36.702240000000003</v>
      </c>
      <c r="AF4291">
        <v>1.40642625495219</v>
      </c>
      <c r="AG4291">
        <v>-1.11043406256</v>
      </c>
      <c r="AH4291">
        <v>36.752532772380903</v>
      </c>
      <c r="AI4291">
        <v>91.729332366372802</v>
      </c>
      <c r="AJ4291">
        <v>87.808505096549197</v>
      </c>
      <c r="AK4291">
        <v>36.7961922459763</v>
      </c>
      <c r="AL4291">
        <v>86.849954050291799</v>
      </c>
      <c r="AM4291">
        <v>87.928141318493601</v>
      </c>
      <c r="AN4291">
        <v>0.99999998772685605</v>
      </c>
    </row>
    <row r="4292" spans="1:40" x14ac:dyDescent="0.25">
      <c r="A4292" t="str">
        <f>"20190312154645290"</f>
        <v>20190312154645290</v>
      </c>
      <c r="B4292" t="str">
        <f>"1552376805281751"</f>
        <v>1552376805281751</v>
      </c>
      <c r="C4292" t="s">
        <v>40</v>
      </c>
      <c r="D4292">
        <v>4.2433930000000002</v>
      </c>
      <c r="E4292">
        <v>0.50101870000000004</v>
      </c>
      <c r="F4292" t="s">
        <v>42</v>
      </c>
      <c r="G4292">
        <v>-424.20370000000003</v>
      </c>
      <c r="H4292" s="1">
        <v>-3.0688620000000002E-6</v>
      </c>
      <c r="I4292">
        <v>54.135440000000003</v>
      </c>
      <c r="J4292">
        <v>-421.18040000000002</v>
      </c>
      <c r="K4292">
        <v>1.1104400000000001</v>
      </c>
      <c r="L4292">
        <v>93.342010000000002</v>
      </c>
      <c r="M4292">
        <v>-3.8611329999999999E-2</v>
      </c>
      <c r="N4292">
        <v>0</v>
      </c>
      <c r="O4292">
        <v>-0.99916660000000002</v>
      </c>
      <c r="P4292">
        <v>-7.6043540000000007E-2</v>
      </c>
      <c r="Q4292">
        <v>4.3095630000000003E-2</v>
      </c>
      <c r="R4292">
        <v>-0.99617279999999997</v>
      </c>
      <c r="S4292">
        <v>-0.23052980000000001</v>
      </c>
      <c r="T4292">
        <v>-8.4489110000000006E-2</v>
      </c>
      <c r="U4292">
        <v>-2.9972840000000001</v>
      </c>
      <c r="V4292">
        <v>3.7480699999999999E-2</v>
      </c>
      <c r="W4292">
        <v>5.6337379999999999E-2</v>
      </c>
      <c r="X4292">
        <v>0.99770800000000004</v>
      </c>
      <c r="Y4292">
        <v>3.8097930000000002E-2</v>
      </c>
      <c r="Z4292">
        <v>2.8094190000000002E-2</v>
      </c>
      <c r="AA4292">
        <v>0.99887899999999996</v>
      </c>
      <c r="AB4292">
        <v>19</v>
      </c>
      <c r="AC4292">
        <v>-3.0232999999999999</v>
      </c>
      <c r="AD4292">
        <v>-1.1104430688619999</v>
      </c>
      <c r="AE4292">
        <v>-39.206569999999999</v>
      </c>
      <c r="AF4292">
        <v>1.50589378412138</v>
      </c>
      <c r="AG4292">
        <v>-1.1104430688619999</v>
      </c>
      <c r="AH4292">
        <v>39.262762729580402</v>
      </c>
      <c r="AI4292">
        <v>91.618837622978305</v>
      </c>
      <c r="AJ4292">
        <v>87.803540008037402</v>
      </c>
      <c r="AK4292">
        <v>39.3073191283451</v>
      </c>
      <c r="AL4292">
        <v>86.770395881136196</v>
      </c>
      <c r="AM4292">
        <v>87.848592419765197</v>
      </c>
      <c r="AN4292">
        <v>0.99999997826087705</v>
      </c>
    </row>
    <row r="4293" spans="1:40" x14ac:dyDescent="0.25">
      <c r="A4293" t="str">
        <f>"20190312154645313"</f>
        <v>20190312154645313</v>
      </c>
      <c r="B4293" t="str">
        <f>"1552376805302247"</f>
        <v>1552376805302247</v>
      </c>
      <c r="C4293" t="s">
        <v>40</v>
      </c>
      <c r="D4293">
        <v>4.2741360000000004</v>
      </c>
      <c r="E4293">
        <v>0.50056709999999904</v>
      </c>
      <c r="F4293" t="s">
        <v>42</v>
      </c>
      <c r="G4293">
        <v>-424.36419999999998</v>
      </c>
      <c r="H4293" s="1">
        <v>-1.6367590000000001E-6</v>
      </c>
      <c r="I4293">
        <v>50.697620000000001</v>
      </c>
      <c r="J4293">
        <v>-421.18700000000001</v>
      </c>
      <c r="K4293">
        <v>1.110455</v>
      </c>
      <c r="L4293">
        <v>93.150120000000001</v>
      </c>
      <c r="M4293">
        <v>-3.7903539999999999E-2</v>
      </c>
      <c r="N4293">
        <v>0</v>
      </c>
      <c r="O4293">
        <v>-0.99919349999999996</v>
      </c>
      <c r="P4293">
        <v>-7.6473579999999999E-2</v>
      </c>
      <c r="Q4293">
        <v>4.3825450000000002E-2</v>
      </c>
      <c r="R4293">
        <v>-0.9961084</v>
      </c>
      <c r="S4293">
        <v>-0.22381590000000001</v>
      </c>
      <c r="T4293">
        <v>-7.8061459999999999E-2</v>
      </c>
      <c r="U4293">
        <v>-2.9978030000000002</v>
      </c>
      <c r="V4293">
        <v>3.861796E-2</v>
      </c>
      <c r="W4293">
        <v>5.7090059999999998E-2</v>
      </c>
      <c r="X4293">
        <v>0.9976218</v>
      </c>
      <c r="Y4293">
        <v>3.6572489999999999E-2</v>
      </c>
      <c r="Z4293">
        <v>2.5957890000000001E-2</v>
      </c>
      <c r="AA4293">
        <v>0.99899380000000004</v>
      </c>
      <c r="AB4293">
        <v>19</v>
      </c>
      <c r="AC4293">
        <v>-3.17720000000002</v>
      </c>
      <c r="AD4293">
        <v>-1.1104566367590001</v>
      </c>
      <c r="AE4293">
        <v>-42.452500000000001</v>
      </c>
      <c r="AF4293">
        <v>1.5646105073154499</v>
      </c>
      <c r="AG4293">
        <v>-1.1104566367590001</v>
      </c>
      <c r="AH4293">
        <v>42.513499467284902</v>
      </c>
      <c r="AI4293">
        <v>91.495219195013206</v>
      </c>
      <c r="AJ4293">
        <v>87.892313276019195</v>
      </c>
      <c r="AK4293">
        <v>42.556770988134801</v>
      </c>
      <c r="AL4293">
        <v>86.727200839584597</v>
      </c>
      <c r="AM4293">
        <v>87.783186050479003</v>
      </c>
      <c r="AN4293">
        <v>0.99999993881030003</v>
      </c>
    </row>
    <row r="4294" spans="1:40" x14ac:dyDescent="0.25">
      <c r="A4294" t="str">
        <f>"20190312154645339"</f>
        <v>20190312154645339</v>
      </c>
      <c r="B4294" t="str">
        <f>"1552376805332503"</f>
        <v>1552376805332503</v>
      </c>
      <c r="C4294" t="s">
        <v>40</v>
      </c>
      <c r="D4294">
        <v>4.30152</v>
      </c>
      <c r="E4294">
        <v>0.50000230000000001</v>
      </c>
      <c r="F4294" t="s">
        <v>42</v>
      </c>
      <c r="G4294">
        <v>-424.23410000000001</v>
      </c>
      <c r="H4294" s="1">
        <v>-2.1143260000000001E-6</v>
      </c>
      <c r="I4294">
        <v>51.891559999999998</v>
      </c>
      <c r="J4294">
        <v>-421.19380000000001</v>
      </c>
      <c r="K4294">
        <v>1.1104689999999999</v>
      </c>
      <c r="L4294">
        <v>92.944239999999994</v>
      </c>
      <c r="M4294">
        <v>-3.713197E-2</v>
      </c>
      <c r="N4294">
        <v>0</v>
      </c>
      <c r="O4294">
        <v>-0.99922239999999996</v>
      </c>
      <c r="P4294">
        <v>-7.6869060000000003E-2</v>
      </c>
      <c r="Q4294">
        <v>4.4440109999999998E-2</v>
      </c>
      <c r="R4294">
        <v>-0.99605069999999996</v>
      </c>
      <c r="S4294">
        <v>-0.22143550000000001</v>
      </c>
      <c r="T4294">
        <v>-8.0696939999999995E-2</v>
      </c>
      <c r="U4294">
        <v>-2.9982600000000001</v>
      </c>
      <c r="V4294">
        <v>3.9783930000000002E-2</v>
      </c>
      <c r="W4294">
        <v>5.7725579999999999E-2</v>
      </c>
      <c r="X4294">
        <v>0.99753950000000002</v>
      </c>
      <c r="Y4294">
        <v>3.6542369999999998E-2</v>
      </c>
      <c r="Z4294">
        <v>2.6831529999999999E-2</v>
      </c>
      <c r="AA4294">
        <v>0.99897179999999997</v>
      </c>
      <c r="AB4294">
        <v>19</v>
      </c>
      <c r="AC4294">
        <v>-3.0402999999999998</v>
      </c>
      <c r="AD4294">
        <v>-1.110471114326</v>
      </c>
      <c r="AE4294">
        <v>-41.052680000000002</v>
      </c>
      <c r="AF4294">
        <v>1.51260132068304</v>
      </c>
      <c r="AG4294">
        <v>-1.110471114326</v>
      </c>
      <c r="AH4294">
        <v>41.107352065292403</v>
      </c>
      <c r="AI4294">
        <v>91.546361815431595</v>
      </c>
      <c r="AJ4294">
        <v>87.892674063575001</v>
      </c>
      <c r="AK4294">
        <v>41.1501579908387</v>
      </c>
      <c r="AL4294">
        <v>86.690728370804706</v>
      </c>
      <c r="AM4294">
        <v>87.716136669646403</v>
      </c>
      <c r="AN4294">
        <v>1.0000000288664099</v>
      </c>
    </row>
    <row r="4295" spans="1:40" x14ac:dyDescent="0.25">
      <c r="A4295" t="str">
        <f>"20190312154645358"</f>
        <v>20190312154645358</v>
      </c>
      <c r="B4295" t="str">
        <f>"1552376805352024"</f>
        <v>1552376805352024</v>
      </c>
      <c r="C4295" t="s">
        <v>40</v>
      </c>
      <c r="D4295">
        <v>4.3431709999999999</v>
      </c>
      <c r="E4295">
        <v>0.49978909999999999</v>
      </c>
      <c r="F4295" t="s">
        <v>42</v>
      </c>
      <c r="G4295">
        <v>-424.05029999999999</v>
      </c>
      <c r="H4295" s="1">
        <v>-2.8611750000000002E-6</v>
      </c>
      <c r="I4295">
        <v>53.746450000000003</v>
      </c>
      <c r="J4295">
        <v>-421.19929999999999</v>
      </c>
      <c r="K4295">
        <v>1.1104719999999999</v>
      </c>
      <c r="L4295">
        <v>92.774810000000002</v>
      </c>
      <c r="M4295">
        <v>-3.648556E-2</v>
      </c>
      <c r="N4295">
        <v>0</v>
      </c>
      <c r="O4295">
        <v>-0.99924610000000003</v>
      </c>
      <c r="P4295">
        <v>-7.7232060000000005E-2</v>
      </c>
      <c r="Q4295">
        <v>4.5248160000000003E-2</v>
      </c>
      <c r="R4295">
        <v>-0.99598620000000004</v>
      </c>
      <c r="S4295">
        <v>-0.21853639999999999</v>
      </c>
      <c r="T4295">
        <v>-8.4956169999999998E-2</v>
      </c>
      <c r="U4295">
        <v>-2.9988100000000002</v>
      </c>
      <c r="V4295">
        <v>4.07929E-2</v>
      </c>
      <c r="W4295">
        <v>5.854815E-2</v>
      </c>
      <c r="X4295">
        <v>0.99745079999999997</v>
      </c>
      <c r="Y4295">
        <v>3.6211960000000001E-2</v>
      </c>
      <c r="Z4295">
        <v>2.8243629999999999E-2</v>
      </c>
      <c r="AA4295">
        <v>0.99894490000000002</v>
      </c>
      <c r="AB4295">
        <v>19</v>
      </c>
      <c r="AC4295">
        <v>-2.8509999999999902</v>
      </c>
      <c r="AD4295">
        <v>-1.1104748611749999</v>
      </c>
      <c r="AE4295">
        <v>-39.028359999999999</v>
      </c>
      <c r="AF4295">
        <v>1.42385789123405</v>
      </c>
      <c r="AG4295">
        <v>-1.1104748611749999</v>
      </c>
      <c r="AH4295">
        <v>39.074932898974801</v>
      </c>
      <c r="AI4295">
        <v>91.626777887530494</v>
      </c>
      <c r="AJ4295">
        <v>87.913113027524901</v>
      </c>
      <c r="AK4295">
        <v>39.116632099033197</v>
      </c>
      <c r="AL4295">
        <v>86.643518710700903</v>
      </c>
      <c r="AM4295">
        <v>87.658070726878506</v>
      </c>
      <c r="AN4295">
        <v>1.0000000224897301</v>
      </c>
    </row>
    <row r="4296" spans="1:40" x14ac:dyDescent="0.25">
      <c r="A4296" t="str">
        <f>"20190312154645380"</f>
        <v>20190312154645380</v>
      </c>
      <c r="B4296" t="str">
        <f>"1552376805371544"</f>
        <v>1552376805371544</v>
      </c>
      <c r="C4296" t="s">
        <v>40</v>
      </c>
      <c r="D4296">
        <v>4.3123709999999997</v>
      </c>
      <c r="E4296">
        <v>0.49938880000000002</v>
      </c>
      <c r="F4296" t="s">
        <v>42</v>
      </c>
      <c r="G4296">
        <v>-424.02980000000002</v>
      </c>
      <c r="H4296" s="1">
        <v>-2.8646960000000002E-6</v>
      </c>
      <c r="I4296">
        <v>53.767400000000002</v>
      </c>
      <c r="J4296">
        <v>-421.20479999999998</v>
      </c>
      <c r="K4296">
        <v>1.110476</v>
      </c>
      <c r="L4296">
        <v>92.602630000000005</v>
      </c>
      <c r="M4296">
        <v>-3.5819660000000003E-2</v>
      </c>
      <c r="N4296">
        <v>0</v>
      </c>
      <c r="O4296">
        <v>-0.99926990000000004</v>
      </c>
      <c r="P4296">
        <v>-7.6495770000000005E-2</v>
      </c>
      <c r="Q4296">
        <v>4.5217260000000002E-2</v>
      </c>
      <c r="R4296">
        <v>-0.99604429999999999</v>
      </c>
      <c r="S4296">
        <v>-0.2176208</v>
      </c>
      <c r="T4296">
        <v>-8.5379720000000006E-2</v>
      </c>
      <c r="U4296">
        <v>-2.9991150000000002</v>
      </c>
      <c r="V4296">
        <v>4.0719140000000001E-2</v>
      </c>
      <c r="W4296">
        <v>5.8530069999999997E-2</v>
      </c>
      <c r="X4296">
        <v>0.99745490000000003</v>
      </c>
      <c r="Y4296">
        <v>3.6566910000000001E-2</v>
      </c>
      <c r="Z4296">
        <v>2.8382600000000001E-2</v>
      </c>
      <c r="AA4296">
        <v>0.99892809999999999</v>
      </c>
      <c r="AB4296">
        <v>19</v>
      </c>
      <c r="AC4296">
        <v>-2.8250000000000401</v>
      </c>
      <c r="AD4296">
        <v>-1.110478864696</v>
      </c>
      <c r="AE4296">
        <v>-38.835229999999903</v>
      </c>
      <c r="AF4296">
        <v>1.4308354293677099</v>
      </c>
      <c r="AG4296">
        <v>-1.110478864696</v>
      </c>
      <c r="AH4296">
        <v>38.879880442520303</v>
      </c>
      <c r="AI4296">
        <v>91.6349189252267</v>
      </c>
      <c r="AJ4296">
        <v>87.892384177494506</v>
      </c>
      <c r="AK4296">
        <v>38.922044609186997</v>
      </c>
      <c r="AL4296">
        <v>86.644556481885203</v>
      </c>
      <c r="AM4296">
        <v>87.662310200730403</v>
      </c>
      <c r="AN4296">
        <v>1.0000000474952699</v>
      </c>
    </row>
    <row r="4297" spans="1:40" x14ac:dyDescent="0.25">
      <c r="A4297" t="str">
        <f>"20190312154645401"</f>
        <v>20190312154645401</v>
      </c>
      <c r="B4297" t="str">
        <f>"1552376805392039"</f>
        <v>1552376805392039</v>
      </c>
      <c r="C4297" t="s">
        <v>40</v>
      </c>
      <c r="D4297">
        <v>4.3801439999999996</v>
      </c>
      <c r="E4297">
        <v>0.49894680000000002</v>
      </c>
      <c r="F4297" t="s">
        <v>42</v>
      </c>
      <c r="G4297">
        <v>-423.7756</v>
      </c>
      <c r="H4297" s="1">
        <v>-3.8145070000000001E-6</v>
      </c>
      <c r="I4297">
        <v>56.227870000000003</v>
      </c>
      <c r="J4297">
        <v>-421.21050000000002</v>
      </c>
      <c r="K4297">
        <v>1.1104689999999999</v>
      </c>
      <c r="L4297">
        <v>92.422359999999998</v>
      </c>
      <c r="M4297">
        <v>-3.5116870000000001E-2</v>
      </c>
      <c r="N4297">
        <v>0</v>
      </c>
      <c r="O4297">
        <v>-0.99929449999999997</v>
      </c>
      <c r="P4297">
        <v>-7.4173310000000006E-2</v>
      </c>
      <c r="Q4297">
        <v>4.2498939999999999E-2</v>
      </c>
      <c r="R4297">
        <v>-0.99633950000000004</v>
      </c>
      <c r="S4297">
        <v>-0.21200559999999999</v>
      </c>
      <c r="T4297">
        <v>-9.1580030000000007E-2</v>
      </c>
      <c r="U4297">
        <v>-2.9997859999999998</v>
      </c>
      <c r="V4297">
        <v>3.9091069999999999E-2</v>
      </c>
      <c r="W4297">
        <v>5.582463E-2</v>
      </c>
      <c r="X4297">
        <v>0.99767510000000004</v>
      </c>
      <c r="Y4297">
        <v>3.5388959999999997E-2</v>
      </c>
      <c r="Z4297">
        <v>3.0438940000000001E-2</v>
      </c>
      <c r="AA4297">
        <v>0.99890999999999996</v>
      </c>
      <c r="AB4297">
        <v>18</v>
      </c>
      <c r="AC4297">
        <v>-2.56509999999997</v>
      </c>
      <c r="AD4297">
        <v>-1.110472814507</v>
      </c>
      <c r="AE4297">
        <v>-36.194490000000002</v>
      </c>
      <c r="AF4297">
        <v>1.29115839867108</v>
      </c>
      <c r="AG4297">
        <v>-1.110472814507</v>
      </c>
      <c r="AH4297">
        <v>36.228316483194902</v>
      </c>
      <c r="AI4297">
        <v>91.754571153966793</v>
      </c>
      <c r="AJ4297">
        <v>87.9588720543818</v>
      </c>
      <c r="AK4297">
        <v>36.268321646979402</v>
      </c>
      <c r="AL4297">
        <v>86.799820840816807</v>
      </c>
      <c r="AM4297">
        <v>87.756175137087297</v>
      </c>
      <c r="AN4297">
        <v>1.0000000531141899</v>
      </c>
    </row>
    <row r="4298" spans="1:40" x14ac:dyDescent="0.25">
      <c r="A4298" t="str">
        <f>"20190312154645424"</f>
        <v>20190312154645424</v>
      </c>
      <c r="B4298" t="str">
        <f>"1552376805412535"</f>
        <v>1552376805412535</v>
      </c>
      <c r="C4298" t="s">
        <v>40</v>
      </c>
      <c r="D4298">
        <v>4.4068930000000002</v>
      </c>
      <c r="E4298">
        <v>0.49877569999999999</v>
      </c>
      <c r="F4298" t="s">
        <v>42</v>
      </c>
      <c r="G4298">
        <v>-423.34660000000002</v>
      </c>
      <c r="H4298" s="1">
        <v>-1.3534240000000001E-6</v>
      </c>
      <c r="I4298">
        <v>60.668320000000001</v>
      </c>
      <c r="J4298">
        <v>-421.21609999999998</v>
      </c>
      <c r="K4298">
        <v>1.110474</v>
      </c>
      <c r="L4298">
        <v>92.238339999999994</v>
      </c>
      <c r="M4298">
        <v>-3.4395879999999997E-2</v>
      </c>
      <c r="N4298">
        <v>0</v>
      </c>
      <c r="O4298">
        <v>-0.99931959999999997</v>
      </c>
      <c r="P4298">
        <v>-7.1774470000000007E-2</v>
      </c>
      <c r="Q4298">
        <v>4.0283140000000002E-2</v>
      </c>
      <c r="R4298">
        <v>-0.99660709999999997</v>
      </c>
      <c r="S4298">
        <v>-0.2018433</v>
      </c>
      <c r="T4298">
        <v>-0.10492899999999999</v>
      </c>
      <c r="U4298">
        <v>-3.0004580000000001</v>
      </c>
      <c r="V4298">
        <v>3.740599E-2</v>
      </c>
      <c r="W4298">
        <v>5.3618760000000001E-2</v>
      </c>
      <c r="X4298">
        <v>0.99786059999999999</v>
      </c>
      <c r="Y4298">
        <v>3.2717219999999998E-2</v>
      </c>
      <c r="Z4298">
        <v>3.4869919999999999E-2</v>
      </c>
      <c r="AA4298">
        <v>0.99885619999999997</v>
      </c>
      <c r="AB4298">
        <v>18</v>
      </c>
      <c r="AC4298">
        <v>-2.13050000000004</v>
      </c>
      <c r="AD4298">
        <v>-1.1104753534239999</v>
      </c>
      <c r="AE4298">
        <v>-31.57002</v>
      </c>
      <c r="AF4298">
        <v>1.04198087940424</v>
      </c>
      <c r="AG4298">
        <v>-1.1104753534239999</v>
      </c>
      <c r="AH4298">
        <v>31.5857199843683</v>
      </c>
      <c r="AI4298">
        <v>92.012453905801195</v>
      </c>
      <c r="AJ4298">
        <v>88.110555534440806</v>
      </c>
      <c r="AK4298">
        <v>31.622406401071501</v>
      </c>
      <c r="AL4298">
        <v>86.926397327707093</v>
      </c>
      <c r="AM4298">
        <v>87.853204832948506</v>
      </c>
      <c r="AN4298">
        <v>0.99999997827208797</v>
      </c>
    </row>
    <row r="4299" spans="1:40" x14ac:dyDescent="0.25">
      <c r="A4299" t="str">
        <f>"20190312154645446"</f>
        <v>20190312154645446</v>
      </c>
      <c r="B4299" t="str">
        <f>"1552376805441816"</f>
        <v>1552376805441816</v>
      </c>
      <c r="C4299" t="s">
        <v>40</v>
      </c>
      <c r="D4299">
        <v>4.3736360000000003</v>
      </c>
      <c r="E4299">
        <v>0.4985734</v>
      </c>
      <c r="F4299" t="s">
        <v>42</v>
      </c>
      <c r="G4299">
        <v>-423.05430000000001</v>
      </c>
      <c r="H4299" s="1">
        <v>-2.6206579999999999E-6</v>
      </c>
      <c r="I4299">
        <v>63.803579999999997</v>
      </c>
      <c r="J4299">
        <v>-421.22149999999999</v>
      </c>
      <c r="K4299">
        <v>1.110493</v>
      </c>
      <c r="L4299">
        <v>92.056370000000001</v>
      </c>
      <c r="M4299">
        <v>-3.3683009999999999E-2</v>
      </c>
      <c r="N4299">
        <v>0</v>
      </c>
      <c r="O4299">
        <v>-0.99934369999999995</v>
      </c>
      <c r="P4299">
        <v>-6.9620210000000002E-2</v>
      </c>
      <c r="Q4299">
        <v>4.2092310000000001E-2</v>
      </c>
      <c r="R4299">
        <v>-0.9966853</v>
      </c>
      <c r="S4299">
        <v>-0.19400020000000001</v>
      </c>
      <c r="T4299">
        <v>-0.1171986</v>
      </c>
      <c r="U4299">
        <v>-3.0009769999999998</v>
      </c>
      <c r="V4299">
        <v>3.5960720000000002E-2</v>
      </c>
      <c r="W4299">
        <v>5.5434230000000001E-2</v>
      </c>
      <c r="X4299">
        <v>0.99781450000000005</v>
      </c>
      <c r="Y4299">
        <v>3.0809650000000001E-2</v>
      </c>
      <c r="Z4299">
        <v>3.8940710000000003E-2</v>
      </c>
      <c r="AA4299">
        <v>0.99876640000000005</v>
      </c>
      <c r="AB4299">
        <v>18</v>
      </c>
      <c r="AC4299">
        <v>-1.83280000000002</v>
      </c>
      <c r="AD4299">
        <v>-1.1104956206579999</v>
      </c>
      <c r="AE4299">
        <v>-28.252790000000001</v>
      </c>
      <c r="AF4299">
        <v>0.878684462556378</v>
      </c>
      <c r="AG4299">
        <v>-1.1104956206579999</v>
      </c>
      <c r="AH4299">
        <v>28.2550259465743</v>
      </c>
      <c r="AI4299">
        <v>92.249627524888894</v>
      </c>
      <c r="AJ4299">
        <v>88.2187703137255</v>
      </c>
      <c r="AK4299">
        <v>28.290489181875699</v>
      </c>
      <c r="AL4299">
        <v>86.822223481223304</v>
      </c>
      <c r="AM4299">
        <v>87.935982957232795</v>
      </c>
      <c r="AN4299">
        <v>0.99999995182442902</v>
      </c>
    </row>
    <row r="4300" spans="1:40" x14ac:dyDescent="0.25">
      <c r="A4300" t="str">
        <f>"20190312154645469"</f>
        <v>20190312154645469</v>
      </c>
      <c r="B4300" t="str">
        <f>"1552376805462311"</f>
        <v>1552376805462311</v>
      </c>
      <c r="C4300" t="s">
        <v>40</v>
      </c>
      <c r="D4300">
        <v>4.4220470000000001</v>
      </c>
      <c r="E4300">
        <v>0.49839889999999998</v>
      </c>
      <c r="F4300" t="s">
        <v>42</v>
      </c>
      <c r="G4300">
        <v>-422.99360000000001</v>
      </c>
      <c r="H4300" s="1">
        <v>-2.511691E-6</v>
      </c>
      <c r="I4300">
        <v>63.587200000000003</v>
      </c>
      <c r="J4300">
        <v>-421.2269</v>
      </c>
      <c r="K4300">
        <v>1.1105240000000001</v>
      </c>
      <c r="L4300">
        <v>91.869929999999997</v>
      </c>
      <c r="M4300">
        <v>-3.295352E-2</v>
      </c>
      <c r="N4300">
        <v>0</v>
      </c>
      <c r="O4300">
        <v>-0.99936800000000003</v>
      </c>
      <c r="P4300">
        <v>-6.7674899999999996E-2</v>
      </c>
      <c r="Q4300">
        <v>4.7634639999999999E-2</v>
      </c>
      <c r="R4300">
        <v>-0.99656990000000001</v>
      </c>
      <c r="S4300">
        <v>-0.1868591</v>
      </c>
      <c r="T4300">
        <v>-0.1170934</v>
      </c>
      <c r="U4300">
        <v>-3.001862</v>
      </c>
      <c r="V4300">
        <v>3.4744379999999998E-2</v>
      </c>
      <c r="W4300">
        <v>6.0979020000000002E-2</v>
      </c>
      <c r="X4300">
        <v>0.99753420000000004</v>
      </c>
      <c r="Y4300">
        <v>2.9153930000000002E-2</v>
      </c>
      <c r="Z4300">
        <v>3.8899700000000002E-2</v>
      </c>
      <c r="AA4300">
        <v>0.99881770000000003</v>
      </c>
      <c r="AB4300">
        <v>18</v>
      </c>
      <c r="AC4300">
        <v>-1.7667000000000099</v>
      </c>
      <c r="AD4300">
        <v>-1.1105265116909999</v>
      </c>
      <c r="AE4300">
        <v>-28.282730000000001</v>
      </c>
      <c r="AF4300">
        <v>0.83236368266461802</v>
      </c>
      <c r="AG4300">
        <v>-1.1105265116909999</v>
      </c>
      <c r="AH4300">
        <v>28.282155999624401</v>
      </c>
      <c r="AI4300">
        <v>92.247647423419394</v>
      </c>
      <c r="AJ4300">
        <v>88.3142316389699</v>
      </c>
      <c r="AK4300">
        <v>28.316187003558198</v>
      </c>
      <c r="AL4300">
        <v>86.503990773505095</v>
      </c>
      <c r="AM4300">
        <v>88.005179256451299</v>
      </c>
      <c r="AN4300">
        <v>1.00000004649569</v>
      </c>
    </row>
    <row r="4301" spans="1:40" x14ac:dyDescent="0.25">
      <c r="A4301" t="str">
        <f>"20190312154645492"</f>
        <v>20190312154645492</v>
      </c>
      <c r="B4301" t="str">
        <f>"1552376805481832"</f>
        <v>1552376805481832</v>
      </c>
      <c r="C4301" t="s">
        <v>40</v>
      </c>
      <c r="D4301">
        <v>4.4486210000000002</v>
      </c>
      <c r="E4301">
        <v>0.49822529999999998</v>
      </c>
      <c r="F4301" t="s">
        <v>42</v>
      </c>
      <c r="G4301">
        <v>-423.18849999999998</v>
      </c>
      <c r="H4301" s="1">
        <v>-4.7621490000000004E-6</v>
      </c>
      <c r="I4301">
        <v>59.318550000000002</v>
      </c>
      <c r="J4301">
        <v>-421.23219999999998</v>
      </c>
      <c r="K4301">
        <v>1.110617</v>
      </c>
      <c r="L4301">
        <v>91.679569999999998</v>
      </c>
      <c r="M4301">
        <v>-3.2211209999999997E-2</v>
      </c>
      <c r="N4301">
        <v>0</v>
      </c>
      <c r="O4301">
        <v>-0.99939210000000001</v>
      </c>
      <c r="P4301">
        <v>-6.618048E-2</v>
      </c>
      <c r="Q4301">
        <v>6.6999219999999998E-2</v>
      </c>
      <c r="R4301">
        <v>-0.99555590000000005</v>
      </c>
      <c r="S4301">
        <v>-0.1809692</v>
      </c>
      <c r="T4301">
        <v>-0.102448499999999</v>
      </c>
      <c r="U4301">
        <v>-3.0029300000000001</v>
      </c>
      <c r="V4301">
        <v>3.4008919999999998E-2</v>
      </c>
      <c r="W4301">
        <v>8.0331760000000002E-2</v>
      </c>
      <c r="X4301">
        <v>0.99618779999999996</v>
      </c>
      <c r="Y4301">
        <v>2.7933280000000001E-2</v>
      </c>
      <c r="Z4301">
        <v>3.4032319999999998E-2</v>
      </c>
      <c r="AA4301">
        <v>0.99903030000000004</v>
      </c>
      <c r="AB4301">
        <v>18</v>
      </c>
      <c r="AC4301">
        <v>-1.9562999999999899</v>
      </c>
      <c r="AD4301">
        <v>-1.110621762149</v>
      </c>
      <c r="AE4301">
        <v>-32.361020000000003</v>
      </c>
      <c r="AF4301">
        <v>0.91173436623040605</v>
      </c>
      <c r="AG4301">
        <v>-1.110621762149</v>
      </c>
      <c r="AH4301">
        <v>32.3692576385153</v>
      </c>
      <c r="AI4301">
        <v>91.964326439802605</v>
      </c>
      <c r="AJ4301">
        <v>88.3865949693338</v>
      </c>
      <c r="AK4301">
        <v>32.401135478895</v>
      </c>
      <c r="AL4301">
        <v>85.392364281877093</v>
      </c>
      <c r="AM4301">
        <v>88.044735030924102</v>
      </c>
      <c r="AN4301">
        <v>0.99999996558655102</v>
      </c>
    </row>
    <row r="4302" spans="1:40" x14ac:dyDescent="0.25">
      <c r="A4302" t="str">
        <f>"20190312154645516"</f>
        <v>20190312154645516</v>
      </c>
      <c r="B4302" t="str">
        <f>"1552376805512088"</f>
        <v>1552376805512088</v>
      </c>
      <c r="C4302" t="s">
        <v>40</v>
      </c>
      <c r="D4302">
        <v>4.4400690000000003</v>
      </c>
      <c r="E4302">
        <v>0.49830839999999998</v>
      </c>
      <c r="F4302" t="s">
        <v>71</v>
      </c>
      <c r="G4302">
        <v>-425.46390000000002</v>
      </c>
      <c r="H4302" s="1">
        <v>-9.9439910000000004E-6</v>
      </c>
      <c r="I4302">
        <v>20.387149999999998</v>
      </c>
      <c r="J4302">
        <v>-421.23750000000001</v>
      </c>
      <c r="K4302">
        <v>1.110771</v>
      </c>
      <c r="L4302">
        <v>91.48563</v>
      </c>
      <c r="M4302">
        <v>-3.145713E-2</v>
      </c>
      <c r="N4302">
        <v>0</v>
      </c>
      <c r="O4302">
        <v>-0.99941590000000002</v>
      </c>
      <c r="P4302">
        <v>-6.8410020000000002E-2</v>
      </c>
      <c r="Q4302">
        <v>0.11561059999999999</v>
      </c>
      <c r="R4302">
        <v>-0.99093620000000004</v>
      </c>
      <c r="S4302">
        <v>-0.17834469999999999</v>
      </c>
      <c r="T4302">
        <v>-4.6808120000000002E-2</v>
      </c>
      <c r="U4302">
        <v>-3.0046689999999998</v>
      </c>
      <c r="V4302">
        <v>3.7095429999999999E-2</v>
      </c>
      <c r="W4302">
        <v>0.12888469999999999</v>
      </c>
      <c r="X4302">
        <v>0.99096550000000005</v>
      </c>
      <c r="Y4302">
        <v>2.7810419999999999E-2</v>
      </c>
      <c r="Z4302">
        <v>1.5548319999999999E-2</v>
      </c>
      <c r="AA4302">
        <v>0.9994923</v>
      </c>
      <c r="AB4302">
        <v>18</v>
      </c>
      <c r="AC4302">
        <v>-4.2264000000000097</v>
      </c>
      <c r="AD4302">
        <v>-1.1107809439909999</v>
      </c>
      <c r="AE4302">
        <v>-71.098479999999995</v>
      </c>
      <c r="AF4302">
        <v>1.98707113672503</v>
      </c>
      <c r="AG4302">
        <v>-1.1107809439909999</v>
      </c>
      <c r="AH4302">
        <v>71.178937158087294</v>
      </c>
      <c r="AI4302">
        <v>90.893707013716707</v>
      </c>
      <c r="AJ4302">
        <v>88.400914200907806</v>
      </c>
      <c r="AK4302">
        <v>71.215331080904804</v>
      </c>
      <c r="AL4302">
        <v>82.594851689371694</v>
      </c>
      <c r="AM4302">
        <v>87.856212300857393</v>
      </c>
      <c r="AN4302">
        <v>0.99999997950561204</v>
      </c>
    </row>
    <row r="4303" spans="1:40" x14ac:dyDescent="0.25">
      <c r="A4303" t="str">
        <f>"20190312154645539"</f>
        <v>20190312154645539</v>
      </c>
      <c r="B4303" t="str">
        <f>"1552376805531608"</f>
        <v>1552376805531608</v>
      </c>
      <c r="C4303" t="s">
        <v>40</v>
      </c>
      <c r="D4303">
        <v>4.4809219999999996</v>
      </c>
      <c r="E4303">
        <v>0.49925570000000002</v>
      </c>
      <c r="F4303" t="s">
        <v>79</v>
      </c>
      <c r="G4303">
        <v>-426.84820000000002</v>
      </c>
      <c r="H4303">
        <v>3.983304</v>
      </c>
      <c r="I4303">
        <v>1.704777</v>
      </c>
      <c r="J4303">
        <v>-421.24259999999998</v>
      </c>
      <c r="K4303">
        <v>1.1108910000000001</v>
      </c>
      <c r="L4303">
        <v>91.298220000000001</v>
      </c>
      <c r="M4303">
        <v>-3.0730009999999999E-2</v>
      </c>
      <c r="N4303">
        <v>0</v>
      </c>
      <c r="O4303">
        <v>-0.99943859999999995</v>
      </c>
      <c r="P4303">
        <v>-7.1489510000000006E-2</v>
      </c>
      <c r="Q4303">
        <v>0.1524085</v>
      </c>
      <c r="R4303">
        <v>-0.98572899999999997</v>
      </c>
      <c r="S4303">
        <v>-0.18768309999999999</v>
      </c>
      <c r="T4303">
        <v>9.6088409999999999E-2</v>
      </c>
      <c r="U4303">
        <v>-3.0032649999999999</v>
      </c>
      <c r="V4303">
        <v>4.1026220000000002E-2</v>
      </c>
      <c r="W4303">
        <v>0.16561699999999999</v>
      </c>
      <c r="X4303">
        <v>0.9853364</v>
      </c>
      <c r="Y4303">
        <v>3.1637180000000001E-2</v>
      </c>
      <c r="Z4303">
        <v>-3.191654E-2</v>
      </c>
      <c r="AA4303">
        <v>0.99898969999999998</v>
      </c>
      <c r="AB4303">
        <v>18</v>
      </c>
      <c r="AC4303">
        <v>-5.6056000000000301</v>
      </c>
      <c r="AD4303">
        <v>2.8724129999999999</v>
      </c>
      <c r="AE4303">
        <v>-89.593442999999994</v>
      </c>
      <c r="AF4303">
        <v>2.8465849182324501</v>
      </c>
      <c r="AG4303">
        <v>2.8724129999999999</v>
      </c>
      <c r="AH4303">
        <v>89.631626839571993</v>
      </c>
      <c r="AI4303">
        <v>88.165402187851697</v>
      </c>
      <c r="AJ4303">
        <v>88.180971309100002</v>
      </c>
      <c r="AK4303">
        <v>89.722808315653793</v>
      </c>
      <c r="AL4303">
        <v>80.466920700853095</v>
      </c>
      <c r="AM4303">
        <v>87.615766249524896</v>
      </c>
      <c r="AN4303">
        <v>0.99999998129072398</v>
      </c>
    </row>
    <row r="4304" spans="1:40" x14ac:dyDescent="0.25">
      <c r="A4304" t="str">
        <f>"20190312154645562"</f>
        <v>20190312154645562</v>
      </c>
      <c r="B4304" t="str">
        <f>"1552376805552104"</f>
        <v>1552376805552104</v>
      </c>
      <c r="C4304" t="s">
        <v>40</v>
      </c>
      <c r="D4304">
        <v>4.5300469999999997</v>
      </c>
      <c r="E4304">
        <v>0.49919140000000001</v>
      </c>
      <c r="F4304" t="s">
        <v>79</v>
      </c>
      <c r="G4304">
        <v>-427.32299999999998</v>
      </c>
      <c r="H4304">
        <v>4.7581790000000002</v>
      </c>
      <c r="I4304">
        <v>0.86947819999999998</v>
      </c>
      <c r="J4304">
        <v>-421.2475</v>
      </c>
      <c r="K4304">
        <v>1.110941</v>
      </c>
      <c r="L4304">
        <v>91.107969999999995</v>
      </c>
      <c r="M4304">
        <v>-2.9993390000000002E-2</v>
      </c>
      <c r="N4304">
        <v>0</v>
      </c>
      <c r="O4304">
        <v>-0.99946100000000004</v>
      </c>
      <c r="P4304">
        <v>-7.3157310000000003E-2</v>
      </c>
      <c r="Q4304">
        <v>0.160081</v>
      </c>
      <c r="R4304">
        <v>-0.98438930000000002</v>
      </c>
      <c r="S4304">
        <v>-0.20239260000000001</v>
      </c>
      <c r="T4304">
        <v>0.12140140000000001</v>
      </c>
      <c r="U4304">
        <v>-3.009979</v>
      </c>
      <c r="V4304">
        <v>4.3455840000000003E-2</v>
      </c>
      <c r="W4304">
        <v>0.1732756</v>
      </c>
      <c r="X4304">
        <v>0.98391419999999996</v>
      </c>
      <c r="Y4304">
        <v>3.7076070000000003E-2</v>
      </c>
      <c r="Z4304">
        <v>-4.0213859999999997E-2</v>
      </c>
      <c r="AA4304">
        <v>0.99850300000000003</v>
      </c>
      <c r="AB4304">
        <v>18</v>
      </c>
      <c r="AC4304">
        <v>-6.0755000000000301</v>
      </c>
      <c r="AD4304">
        <v>3.64723799999999</v>
      </c>
      <c r="AE4304">
        <v>-90.238491800000006</v>
      </c>
      <c r="AF4304">
        <v>3.3605018619812399</v>
      </c>
      <c r="AG4304">
        <v>3.64723799999999</v>
      </c>
      <c r="AH4304">
        <v>90.233387374702701</v>
      </c>
      <c r="AI4304">
        <v>87.686963515633806</v>
      </c>
      <c r="AJ4304">
        <v>87.867157212557103</v>
      </c>
      <c r="AK4304">
        <v>90.369571841998805</v>
      </c>
      <c r="AL4304">
        <v>80.021675701867693</v>
      </c>
      <c r="AM4304">
        <v>87.4711014669045</v>
      </c>
      <c r="AN4304">
        <v>0.99999999827355202</v>
      </c>
    </row>
    <row r="4305" spans="1:40" x14ac:dyDescent="0.25">
      <c r="A4305" t="str">
        <f>"20190312154645582"</f>
        <v>20190312154645582</v>
      </c>
      <c r="B4305" t="str">
        <f>"1552376805571624"</f>
        <v>1552376805571624</v>
      </c>
      <c r="C4305" t="s">
        <v>40</v>
      </c>
      <c r="D4305">
        <v>4.5135500000000004</v>
      </c>
      <c r="E4305">
        <v>0.50045569999999995</v>
      </c>
      <c r="F4305" t="s">
        <v>79</v>
      </c>
      <c r="G4305">
        <v>-427.3897</v>
      </c>
      <c r="H4305">
        <v>5.1099750000000004</v>
      </c>
      <c r="I4305">
        <v>0.81496999999999997</v>
      </c>
      <c r="J4305">
        <v>-421.25150000000002</v>
      </c>
      <c r="K4305">
        <v>1.1109309999999999</v>
      </c>
      <c r="L4305">
        <v>90.947140000000005</v>
      </c>
      <c r="M4305">
        <v>-2.9371919999999999E-2</v>
      </c>
      <c r="N4305">
        <v>0</v>
      </c>
      <c r="O4305">
        <v>-0.99947929999999996</v>
      </c>
      <c r="P4305">
        <v>-7.2881769999999998E-2</v>
      </c>
      <c r="Q4305">
        <v>0.15284029999999901</v>
      </c>
      <c r="R4305">
        <v>-0.98555990000000004</v>
      </c>
      <c r="S4305">
        <v>-0.2048035</v>
      </c>
      <c r="T4305">
        <v>0.13334070000000001</v>
      </c>
      <c r="U4305">
        <v>-3.0106809999999999</v>
      </c>
      <c r="V4305">
        <v>4.3765869999999998E-2</v>
      </c>
      <c r="W4305">
        <v>0.1660519</v>
      </c>
      <c r="X4305">
        <v>0.9851453</v>
      </c>
      <c r="Y4305">
        <v>3.8466479999999997E-2</v>
      </c>
      <c r="Z4305">
        <v>-4.414995E-2</v>
      </c>
      <c r="AA4305">
        <v>0.99828410000000001</v>
      </c>
      <c r="AB4305">
        <v>18</v>
      </c>
      <c r="AC4305">
        <v>-6.1381999999999799</v>
      </c>
      <c r="AD4305">
        <v>3.999044</v>
      </c>
      <c r="AE4305">
        <v>-90.132170000000002</v>
      </c>
      <c r="AF4305">
        <v>3.4811388676616501</v>
      </c>
      <c r="AG4305">
        <v>3.999044</v>
      </c>
      <c r="AH4305">
        <v>90.097038242529905</v>
      </c>
      <c r="AI4305">
        <v>87.460432070271594</v>
      </c>
      <c r="AJ4305">
        <v>87.787325704133906</v>
      </c>
      <c r="AK4305">
        <v>90.252905664060293</v>
      </c>
      <c r="AL4305">
        <v>80.441652822444496</v>
      </c>
      <c r="AM4305">
        <v>87.456261650986605</v>
      </c>
      <c r="AN4305">
        <v>0.999999973491278</v>
      </c>
    </row>
    <row r="4306" spans="1:40" x14ac:dyDescent="0.25">
      <c r="A4306" t="str">
        <f>"20190312154645604"</f>
        <v>20190312154645604</v>
      </c>
      <c r="B4306" t="str">
        <f>"1552376805592119"</f>
        <v>1552376805592119</v>
      </c>
      <c r="C4306" t="s">
        <v>40</v>
      </c>
      <c r="D4306">
        <v>4.4957739999999999</v>
      </c>
      <c r="E4306">
        <v>0.49963619999999997</v>
      </c>
      <c r="F4306" t="s">
        <v>79</v>
      </c>
      <c r="G4306">
        <v>-427.52600000000001</v>
      </c>
      <c r="H4306">
        <v>1.6683829999999999</v>
      </c>
      <c r="I4306">
        <v>0.70247649999999995</v>
      </c>
      <c r="J4306">
        <v>-421.2559</v>
      </c>
      <c r="K4306">
        <v>1.110881</v>
      </c>
      <c r="L4306">
        <v>90.766720000000007</v>
      </c>
      <c r="M4306">
        <v>-2.86813E-2</v>
      </c>
      <c r="N4306">
        <v>0</v>
      </c>
      <c r="O4306">
        <v>-0.99949960000000004</v>
      </c>
      <c r="P4306">
        <v>-7.2026930000000003E-2</v>
      </c>
      <c r="Q4306">
        <v>0.14020179999999999</v>
      </c>
      <c r="R4306">
        <v>-0.98749989999999999</v>
      </c>
      <c r="S4306">
        <v>-0.21035770000000001</v>
      </c>
      <c r="T4306">
        <v>1.8688079999999999E-2</v>
      </c>
      <c r="U4306">
        <v>-3.0255130000000001</v>
      </c>
      <c r="V4306">
        <v>4.3549600000000001E-2</v>
      </c>
      <c r="W4306">
        <v>0.15344070000000001</v>
      </c>
      <c r="X4306">
        <v>0.98719780000000001</v>
      </c>
      <c r="Y4306">
        <v>4.0715870000000001E-2</v>
      </c>
      <c r="Z4306">
        <v>-6.1629019999999996E-3</v>
      </c>
      <c r="AA4306">
        <v>0.99915180000000003</v>
      </c>
      <c r="AB4306">
        <v>18</v>
      </c>
      <c r="AC4306">
        <v>-6.27010000000001</v>
      </c>
      <c r="AD4306">
        <v>0.55750200000000005</v>
      </c>
      <c r="AE4306">
        <v>-90.064243499999904</v>
      </c>
      <c r="AF4306">
        <v>3.68399015549116</v>
      </c>
      <c r="AG4306">
        <v>0.55750200000000005</v>
      </c>
      <c r="AH4306">
        <v>90.203596083331703</v>
      </c>
      <c r="AI4306">
        <v>89.646183733171199</v>
      </c>
      <c r="AJ4306">
        <v>87.661292264046295</v>
      </c>
      <c r="AK4306">
        <v>90.280514721121406</v>
      </c>
      <c r="AL4306">
        <v>81.1736273445987</v>
      </c>
      <c r="AM4306">
        <v>87.474071007356301</v>
      </c>
      <c r="AN4306">
        <v>1.0000000562007401</v>
      </c>
    </row>
    <row r="4307" spans="1:40" x14ac:dyDescent="0.25">
      <c r="A4307" t="str">
        <f>"20190312154645626"</f>
        <v>20190312154645626</v>
      </c>
      <c r="B4307" t="str">
        <f>"1552376805612615"</f>
        <v>1552376805612615</v>
      </c>
      <c r="C4307" t="s">
        <v>40</v>
      </c>
      <c r="D4307">
        <v>4.5028589999999999</v>
      </c>
      <c r="E4307">
        <v>0.49939939999999999</v>
      </c>
      <c r="F4307" t="s">
        <v>71</v>
      </c>
      <c r="G4307">
        <v>-425.51459999999997</v>
      </c>
      <c r="H4307" s="1">
        <v>-7.3715310000000003E-6</v>
      </c>
      <c r="I4307">
        <v>26.36375</v>
      </c>
      <c r="J4307">
        <v>-421.26029999999997</v>
      </c>
      <c r="K4307">
        <v>1.110832</v>
      </c>
      <c r="L4307">
        <v>90.587459999999993</v>
      </c>
      <c r="M4307">
        <v>-2.800977E-2</v>
      </c>
      <c r="N4307">
        <v>0</v>
      </c>
      <c r="O4307">
        <v>-0.99951860000000003</v>
      </c>
      <c r="P4307">
        <v>-7.2572139999999993E-2</v>
      </c>
      <c r="Q4307">
        <v>0.13147049999999999</v>
      </c>
      <c r="R4307">
        <v>-0.98866039999999999</v>
      </c>
      <c r="S4307">
        <v>-0.2004089</v>
      </c>
      <c r="T4307">
        <v>-5.227768E-2</v>
      </c>
      <c r="U4307">
        <v>-3.0307620000000002</v>
      </c>
      <c r="V4307">
        <v>4.4736959999999999E-2</v>
      </c>
      <c r="W4307">
        <v>0.14472579999999999</v>
      </c>
      <c r="X4307">
        <v>0.98845989999999995</v>
      </c>
      <c r="Y4307">
        <v>3.7993949999999999E-2</v>
      </c>
      <c r="Z4307">
        <v>1.7211299999999999E-2</v>
      </c>
      <c r="AA4307">
        <v>0.99912970000000001</v>
      </c>
      <c r="AB4307">
        <v>18</v>
      </c>
      <c r="AC4307">
        <v>-4.2542999999999997</v>
      </c>
      <c r="AD4307">
        <v>-1.1108393715310001</v>
      </c>
      <c r="AE4307">
        <v>-64.223709999999997</v>
      </c>
      <c r="AF4307">
        <v>2.4528484362379399</v>
      </c>
      <c r="AG4307">
        <v>-1.1108393715310001</v>
      </c>
      <c r="AH4307">
        <v>64.298528001714104</v>
      </c>
      <c r="AI4307">
        <v>90.989040216170906</v>
      </c>
      <c r="AJ4307">
        <v>87.8153504573162</v>
      </c>
      <c r="AK4307">
        <v>64.354884295970194</v>
      </c>
      <c r="AL4307">
        <v>81.678598491870304</v>
      </c>
      <c r="AM4307">
        <v>87.408604067484504</v>
      </c>
      <c r="AN4307">
        <v>0.99999996334184504</v>
      </c>
    </row>
    <row r="4308" spans="1:40" x14ac:dyDescent="0.25">
      <c r="A4308" t="str">
        <f>"20190312154645647"</f>
        <v>20190312154645647</v>
      </c>
      <c r="B4308" t="str">
        <f>"1552376805641896"</f>
        <v>1552376805641896</v>
      </c>
      <c r="C4308" t="s">
        <v>40</v>
      </c>
      <c r="D4308">
        <v>4.4668929999999998</v>
      </c>
      <c r="E4308">
        <v>0.49896610000000002</v>
      </c>
      <c r="F4308" t="s">
        <v>42</v>
      </c>
      <c r="G4308">
        <v>-423.55799999999999</v>
      </c>
      <c r="H4308" s="1">
        <v>-3.469392E-6</v>
      </c>
      <c r="I4308">
        <v>55.469540000000002</v>
      </c>
      <c r="J4308">
        <v>-421.26429999999999</v>
      </c>
      <c r="K4308">
        <v>1.1107899999999999</v>
      </c>
      <c r="L4308">
        <v>90.413970000000006</v>
      </c>
      <c r="M4308">
        <v>-2.7375440000000001E-2</v>
      </c>
      <c r="N4308">
        <v>0</v>
      </c>
      <c r="O4308">
        <v>-0.99953599999999998</v>
      </c>
      <c r="P4308">
        <v>-7.4314069999999996E-2</v>
      </c>
      <c r="Q4308">
        <v>0.1245376</v>
      </c>
      <c r="R4308">
        <v>-0.98942830000000004</v>
      </c>
      <c r="S4308">
        <v>-0.1984253</v>
      </c>
      <c r="T4308">
        <v>-9.5925689999999994E-2</v>
      </c>
      <c r="U4308">
        <v>-3.0325929999999999</v>
      </c>
      <c r="V4308">
        <v>4.7095379999999999E-2</v>
      </c>
      <c r="W4308">
        <v>0.1378055</v>
      </c>
      <c r="X4308">
        <v>0.98933899999999997</v>
      </c>
      <c r="Y4308">
        <v>3.7914839999999998E-2</v>
      </c>
      <c r="Z4308">
        <v>3.155293E-2</v>
      </c>
      <c r="AA4308">
        <v>0.99878270000000002</v>
      </c>
      <c r="AB4308">
        <v>18</v>
      </c>
      <c r="AC4308">
        <v>-2.29370000000005</v>
      </c>
      <c r="AD4308">
        <v>-1.1107934693920001</v>
      </c>
      <c r="AE4308">
        <v>-34.944429999999898</v>
      </c>
      <c r="AF4308">
        <v>1.3347928023156901</v>
      </c>
      <c r="AG4308">
        <v>-1.1107934693920001</v>
      </c>
      <c r="AH4308">
        <v>34.958955516778097</v>
      </c>
      <c r="AI4308">
        <v>91.818592046069497</v>
      </c>
      <c r="AJ4308">
        <v>87.813411152211899</v>
      </c>
      <c r="AK4308">
        <v>35.002058579186901</v>
      </c>
      <c r="AL4308">
        <v>82.079120127684902</v>
      </c>
      <c r="AM4308">
        <v>87.274613576502404</v>
      </c>
      <c r="AN4308">
        <v>0.99999999378429705</v>
      </c>
    </row>
    <row r="4309" spans="1:40" x14ac:dyDescent="0.25">
      <c r="A4309" t="str">
        <f>"20190312154645669"</f>
        <v>20190312154645669</v>
      </c>
      <c r="B4309" t="str">
        <f>"1552376805662392"</f>
        <v>1552376805662392</v>
      </c>
      <c r="C4309" t="s">
        <v>40</v>
      </c>
      <c r="D4309">
        <v>4.4840010000000001</v>
      </c>
      <c r="E4309">
        <v>0.49881370000000003</v>
      </c>
      <c r="F4309" t="s">
        <v>42</v>
      </c>
      <c r="G4309">
        <v>-422.79610000000002</v>
      </c>
      <c r="H4309" s="1">
        <v>-3.9064259999999999E-6</v>
      </c>
      <c r="I4309">
        <v>67.008560000000003</v>
      </c>
      <c r="J4309">
        <v>-421.26830000000001</v>
      </c>
      <c r="K4309">
        <v>1.1107610000000001</v>
      </c>
      <c r="L4309">
        <v>90.239410000000007</v>
      </c>
      <c r="M4309">
        <v>-2.6761E-2</v>
      </c>
      <c r="N4309">
        <v>0</v>
      </c>
      <c r="O4309">
        <v>-0.99955280000000002</v>
      </c>
      <c r="P4309">
        <v>-7.4719820000000006E-2</v>
      </c>
      <c r="Q4309">
        <v>0.12255389999999999</v>
      </c>
      <c r="R4309">
        <v>-0.98964549999999996</v>
      </c>
      <c r="S4309">
        <v>-0.19863890000000001</v>
      </c>
      <c r="T4309">
        <v>-0.14405079999999901</v>
      </c>
      <c r="U4309">
        <v>-3.0352779999999999</v>
      </c>
      <c r="V4309">
        <v>4.8111830000000001E-2</v>
      </c>
      <c r="W4309">
        <v>0.13582350000000001</v>
      </c>
      <c r="X4309">
        <v>0.9895642</v>
      </c>
      <c r="Y4309">
        <v>3.8500909999999999E-2</v>
      </c>
      <c r="Z4309">
        <v>4.7312E-2</v>
      </c>
      <c r="AA4309">
        <v>0.99813790000000002</v>
      </c>
      <c r="AB4309">
        <v>18</v>
      </c>
      <c r="AC4309">
        <v>-1.52780000000001</v>
      </c>
      <c r="AD4309">
        <v>-1.1107649064259999</v>
      </c>
      <c r="AE4309">
        <v>-23.230849999999901</v>
      </c>
      <c r="AF4309">
        <v>0.903460013101132</v>
      </c>
      <c r="AG4309">
        <v>-1.1107649064259999</v>
      </c>
      <c r="AH4309">
        <v>23.2105822287749</v>
      </c>
      <c r="AI4309">
        <v>92.737784644281206</v>
      </c>
      <c r="AJ4309">
        <v>87.770916476887095</v>
      </c>
      <c r="AK4309">
        <v>23.2547020206956</v>
      </c>
      <c r="AL4309">
        <v>82.193758715104707</v>
      </c>
      <c r="AM4309">
        <v>87.2165162877982</v>
      </c>
      <c r="AN4309">
        <v>1.0000000386299099</v>
      </c>
    </row>
    <row r="4310" spans="1:40" x14ac:dyDescent="0.25">
      <c r="A4310" t="str">
        <f>"20190312154645692"</f>
        <v>20190312154645692</v>
      </c>
      <c r="B4310" t="str">
        <f>"1552376805681912"</f>
        <v>1552376805681912</v>
      </c>
      <c r="C4310" t="s">
        <v>40</v>
      </c>
      <c r="D4310">
        <v>4.4019940000000002</v>
      </c>
      <c r="E4310">
        <v>0.47715610000000003</v>
      </c>
      <c r="F4310" t="s">
        <v>42</v>
      </c>
      <c r="G4310">
        <v>-422.71940000000001</v>
      </c>
      <c r="H4310" s="1">
        <v>-4.3308750000000003E-6</v>
      </c>
      <c r="I4310">
        <v>68.295779999999993</v>
      </c>
      <c r="J4310">
        <v>-421.27249999999998</v>
      </c>
      <c r="K4310">
        <v>1.1107100000000001</v>
      </c>
      <c r="L4310">
        <v>90.053529999999995</v>
      </c>
      <c r="M4310">
        <v>-2.614551E-2</v>
      </c>
      <c r="N4310">
        <v>0</v>
      </c>
      <c r="O4310">
        <v>-0.99956880000000004</v>
      </c>
      <c r="P4310">
        <v>-7.3327390000000006E-2</v>
      </c>
      <c r="Q4310">
        <v>0.1184052</v>
      </c>
      <c r="R4310">
        <v>-0.99025430000000003</v>
      </c>
      <c r="S4310">
        <v>-0.20071410000000001</v>
      </c>
      <c r="T4310">
        <v>-0.1536429</v>
      </c>
      <c r="U4310">
        <v>-3.0352779999999999</v>
      </c>
      <c r="V4310">
        <v>4.732534E-2</v>
      </c>
      <c r="W4310">
        <v>0.1316783</v>
      </c>
      <c r="X4310">
        <v>0.99016219999999999</v>
      </c>
      <c r="Y4310">
        <v>3.9785510000000003E-2</v>
      </c>
      <c r="Z4310">
        <v>5.0453480000000002E-2</v>
      </c>
      <c r="AA4310">
        <v>0.99793359999999998</v>
      </c>
      <c r="AB4310">
        <v>18</v>
      </c>
      <c r="AC4310">
        <v>-1.4469000000000201</v>
      </c>
      <c r="AD4310">
        <v>-1.110714330875</v>
      </c>
      <c r="AE4310">
        <v>-21.757750000000001</v>
      </c>
      <c r="AF4310">
        <v>0.87521621735187305</v>
      </c>
      <c r="AG4310">
        <v>-1.110714330875</v>
      </c>
      <c r="AH4310">
        <v>21.731760122715102</v>
      </c>
      <c r="AI4310">
        <v>92.923486293210303</v>
      </c>
      <c r="AJ4310">
        <v>87.693739037655305</v>
      </c>
      <c r="AK4310">
        <v>21.777719985874398</v>
      </c>
      <c r="AL4310">
        <v>82.433414542866103</v>
      </c>
      <c r="AM4310">
        <v>87.263599529604406</v>
      </c>
      <c r="AN4310">
        <v>1.00000002240292</v>
      </c>
    </row>
    <row r="4311" spans="1:40" x14ac:dyDescent="0.25">
      <c r="A4311" t="str">
        <f>"20190312154645737"</f>
        <v>20190312154645737</v>
      </c>
      <c r="B4311" t="str">
        <f>"1552376805731688"</f>
        <v>1552376805731688</v>
      </c>
      <c r="C4311" t="s">
        <v>40</v>
      </c>
      <c r="D4311">
        <v>4.3992360000000001</v>
      </c>
      <c r="E4311">
        <v>0.47277530000000001</v>
      </c>
      <c r="F4311" t="s">
        <v>42</v>
      </c>
      <c r="G4311">
        <v>-421.47469999999998</v>
      </c>
      <c r="H4311" s="1">
        <v>-3.9042860000000001E-6</v>
      </c>
      <c r="I4311">
        <v>67.775419999999997</v>
      </c>
      <c r="J4311">
        <v>-421.28050000000002</v>
      </c>
      <c r="K4311">
        <v>1.110603</v>
      </c>
      <c r="L4311">
        <v>89.691009999999906</v>
      </c>
      <c r="M4311">
        <v>-2.5089440000000001E-2</v>
      </c>
      <c r="N4311">
        <v>0</v>
      </c>
      <c r="O4311">
        <v>-0.99959609999999999</v>
      </c>
      <c r="P4311">
        <v>-6.9851170000000004E-2</v>
      </c>
      <c r="Q4311">
        <v>0.1072222</v>
      </c>
      <c r="R4311">
        <v>-0.99177870000000001</v>
      </c>
      <c r="S4311">
        <v>-2.7648929999999999E-2</v>
      </c>
      <c r="T4311">
        <v>-0.15184639999999999</v>
      </c>
      <c r="U4311">
        <v>-3.0456539999999999</v>
      </c>
      <c r="V4311">
        <v>4.4885250000000002E-2</v>
      </c>
      <c r="W4311">
        <v>0.1205053</v>
      </c>
      <c r="X4311">
        <v>0.99169739999999995</v>
      </c>
      <c r="Y4311">
        <v>-1.6026970000000001E-2</v>
      </c>
      <c r="Z4311">
        <v>4.9767169999999999E-2</v>
      </c>
      <c r="AA4311">
        <v>0.99863230000000003</v>
      </c>
      <c r="AB4311">
        <v>18</v>
      </c>
      <c r="AC4311">
        <v>-0.19419999999996601</v>
      </c>
      <c r="AD4311">
        <v>-1.1106069042860001</v>
      </c>
      <c r="AE4311">
        <v>-21.915589999999899</v>
      </c>
      <c r="AF4311">
        <v>-0.35484878889199101</v>
      </c>
      <c r="AG4311">
        <v>-1.1106069042860001</v>
      </c>
      <c r="AH4311">
        <v>21.857434784583301</v>
      </c>
      <c r="AI4311">
        <v>92.908394718647799</v>
      </c>
      <c r="AJ4311">
        <v>90.930097801490405</v>
      </c>
      <c r="AK4311">
        <v>21.888508873862101</v>
      </c>
      <c r="AL4311">
        <v>83.078734047821101</v>
      </c>
      <c r="AM4311">
        <v>87.408502408479706</v>
      </c>
      <c r="AN4311">
        <v>0.99999997308120503</v>
      </c>
    </row>
    <row r="4312" spans="1:40" x14ac:dyDescent="0.25">
      <c r="A4312" t="str">
        <f>"20190312154645759"</f>
        <v>20190312154645759</v>
      </c>
      <c r="B4312" t="str">
        <f>"1552376805752185"</f>
        <v>1552376805752185</v>
      </c>
      <c r="C4312" t="s">
        <v>40</v>
      </c>
      <c r="D4312">
        <v>4.4435279999999997</v>
      </c>
      <c r="E4312">
        <v>0.47210249999999998</v>
      </c>
      <c r="F4312" t="s">
        <v>42</v>
      </c>
      <c r="G4312">
        <v>-421.17829999999998</v>
      </c>
      <c r="H4312" s="1">
        <v>-4.9040599999999995E-7</v>
      </c>
      <c r="I4312">
        <v>70.001459999999994</v>
      </c>
      <c r="J4312">
        <v>-421.2842</v>
      </c>
      <c r="K4312">
        <v>1.1105689999999999</v>
      </c>
      <c r="L4312">
        <v>89.517119999999906</v>
      </c>
      <c r="M4312">
        <v>-2.4651530000000001E-2</v>
      </c>
      <c r="N4312">
        <v>0</v>
      </c>
      <c r="O4312">
        <v>-0.99960680000000002</v>
      </c>
      <c r="P4312">
        <v>-6.7424209999999998E-2</v>
      </c>
      <c r="Q4312">
        <v>0.1052628</v>
      </c>
      <c r="R4312">
        <v>-0.99215620000000004</v>
      </c>
      <c r="S4312">
        <v>1.580811E-2</v>
      </c>
      <c r="T4312">
        <v>-0.17172870000000001</v>
      </c>
      <c r="U4312">
        <v>-3.0445250000000001</v>
      </c>
      <c r="V4312">
        <v>4.2894309999999998E-2</v>
      </c>
      <c r="W4312">
        <v>0.1185454</v>
      </c>
      <c r="X4312">
        <v>0.99202170000000001</v>
      </c>
      <c r="Y4312">
        <v>-2.9835819999999999E-2</v>
      </c>
      <c r="Z4312">
        <v>5.6277670000000002E-2</v>
      </c>
      <c r="AA4312">
        <v>0.99796929999999995</v>
      </c>
      <c r="AB4312">
        <v>18</v>
      </c>
      <c r="AC4312">
        <v>0.10590000000001901</v>
      </c>
      <c r="AD4312">
        <v>-1.1105694904059999</v>
      </c>
      <c r="AE4312">
        <v>-19.51566</v>
      </c>
      <c r="AF4312">
        <v>-0.58510691380763402</v>
      </c>
      <c r="AG4312">
        <v>-1.1105694904059999</v>
      </c>
      <c r="AH4312">
        <v>19.444152105779899</v>
      </c>
      <c r="AI4312">
        <v>93.2674703750736</v>
      </c>
      <c r="AJ4312">
        <v>91.7236052894458</v>
      </c>
      <c r="AK4312">
        <v>19.484628962500398</v>
      </c>
      <c r="AL4312">
        <v>83.191839039541804</v>
      </c>
      <c r="AM4312">
        <v>87.524113636731002</v>
      </c>
      <c r="AN4312">
        <v>0.99999999348121305</v>
      </c>
    </row>
    <row r="4313" spans="1:40" x14ac:dyDescent="0.25">
      <c r="A4313" t="str">
        <f>"20190312154645781"</f>
        <v>20190312154645781</v>
      </c>
      <c r="B4313" t="str">
        <f>"1552376805771704"</f>
        <v>1552376805771704</v>
      </c>
      <c r="C4313" t="s">
        <v>40</v>
      </c>
      <c r="D4313">
        <v>4.2963469999999999</v>
      </c>
      <c r="E4313">
        <v>0.47194540000000001</v>
      </c>
      <c r="F4313" t="s">
        <v>42</v>
      </c>
      <c r="G4313">
        <v>-421.10750000000002</v>
      </c>
      <c r="H4313" s="1">
        <v>-7.9009430000000004E-7</v>
      </c>
      <c r="I4313">
        <v>70.743899999999996</v>
      </c>
      <c r="J4313">
        <v>-421.28820000000002</v>
      </c>
      <c r="K4313">
        <v>1.110554</v>
      </c>
      <c r="L4313">
        <v>89.33493</v>
      </c>
      <c r="M4313">
        <v>-2.4236750000000001E-2</v>
      </c>
      <c r="N4313">
        <v>0</v>
      </c>
      <c r="O4313">
        <v>-0.99961699999999998</v>
      </c>
      <c r="P4313">
        <v>-6.5045149999999996E-2</v>
      </c>
      <c r="Q4313">
        <v>0.1063572</v>
      </c>
      <c r="R4313">
        <v>-0.99219840000000004</v>
      </c>
      <c r="S4313">
        <v>2.8656009999999999E-2</v>
      </c>
      <c r="T4313">
        <v>-0.180119899999999</v>
      </c>
      <c r="U4313">
        <v>-3.0447690000000001</v>
      </c>
      <c r="V4313">
        <v>4.0934520000000002E-2</v>
      </c>
      <c r="W4313">
        <v>0.1196348</v>
      </c>
      <c r="X4313">
        <v>0.99197380000000002</v>
      </c>
      <c r="Y4313">
        <v>-3.3629800000000001E-2</v>
      </c>
      <c r="Z4313">
        <v>5.9009890000000002E-2</v>
      </c>
      <c r="AA4313">
        <v>0.99769079999999999</v>
      </c>
      <c r="AB4313">
        <v>18</v>
      </c>
      <c r="AC4313">
        <v>0.180700000000001</v>
      </c>
      <c r="AD4313">
        <v>-1.1105547900943</v>
      </c>
      <c r="AE4313">
        <v>-18.59103</v>
      </c>
      <c r="AF4313">
        <v>-0.62902884868186704</v>
      </c>
      <c r="AG4313">
        <v>-1.1105547900943</v>
      </c>
      <c r="AH4313">
        <v>18.515124818682299</v>
      </c>
      <c r="AI4313">
        <v>93.430568325508503</v>
      </c>
      <c r="AJ4313">
        <v>91.945806031289706</v>
      </c>
      <c r="AK4313">
        <v>18.559063992714201</v>
      </c>
      <c r="AL4313">
        <v>83.128974157848504</v>
      </c>
      <c r="AM4313">
        <v>87.636988689751405</v>
      </c>
      <c r="AN4313">
        <v>1.00000007009255</v>
      </c>
    </row>
    <row r="4314" spans="1:40" x14ac:dyDescent="0.25">
      <c r="A4314" t="str">
        <f>"20190312154645803"</f>
        <v>20190312154645803</v>
      </c>
      <c r="B4314" t="str">
        <f>"1552376805792200"</f>
        <v>1552376805792200</v>
      </c>
      <c r="C4314" t="s">
        <v>40</v>
      </c>
      <c r="D4314">
        <v>4.343394</v>
      </c>
      <c r="E4314">
        <v>0.47185680000000002</v>
      </c>
      <c r="F4314" t="s">
        <v>42</v>
      </c>
      <c r="G4314">
        <v>-421.05329999999998</v>
      </c>
      <c r="H4314" s="1">
        <v>-5.0167129999999997E-7</v>
      </c>
      <c r="I4314">
        <v>70.105260000000001</v>
      </c>
      <c r="J4314">
        <v>-421.29199999999997</v>
      </c>
      <c r="K4314">
        <v>1.110541</v>
      </c>
      <c r="L4314">
        <v>89.159180000000006</v>
      </c>
      <c r="M4314">
        <v>-2.387738E-2</v>
      </c>
      <c r="N4314">
        <v>0</v>
      </c>
      <c r="O4314">
        <v>-0.99962580000000001</v>
      </c>
      <c r="P4314">
        <v>-6.3205349999999993E-2</v>
      </c>
      <c r="Q4314">
        <v>0.1079358</v>
      </c>
      <c r="R4314">
        <v>-0.9921468</v>
      </c>
      <c r="S4314">
        <v>3.720093E-2</v>
      </c>
      <c r="T4314">
        <v>-0.17584910000000001</v>
      </c>
      <c r="U4314">
        <v>-3.0448909999999998</v>
      </c>
      <c r="V4314">
        <v>3.9459279999999999E-2</v>
      </c>
      <c r="W4314">
        <v>0.1212087</v>
      </c>
      <c r="X4314">
        <v>0.99184240000000001</v>
      </c>
      <c r="Y4314">
        <v>-3.607051E-2</v>
      </c>
      <c r="Z4314">
        <v>5.7610540000000002E-2</v>
      </c>
      <c r="AA4314">
        <v>0.99768730000000005</v>
      </c>
      <c r="AB4314">
        <v>18</v>
      </c>
      <c r="AC4314">
        <v>0.238699999999994</v>
      </c>
      <c r="AD4314">
        <v>-1.1105415016713001</v>
      </c>
      <c r="AE4314">
        <v>-19.053920000000002</v>
      </c>
      <c r="AF4314">
        <v>-0.69128220179585997</v>
      </c>
      <c r="AG4314">
        <v>-1.1105415016713001</v>
      </c>
      <c r="AH4314">
        <v>18.978326565264901</v>
      </c>
      <c r="AI4314">
        <v>93.346703888520196</v>
      </c>
      <c r="AJ4314">
        <v>92.086066426108005</v>
      </c>
      <c r="AK4314">
        <v>19.023355453949002</v>
      </c>
      <c r="AL4314">
        <v>83.038134541689999</v>
      </c>
      <c r="AM4314">
        <v>87.721756451022003</v>
      </c>
      <c r="AN4314">
        <v>0.99999996508578304</v>
      </c>
    </row>
    <row r="4315" spans="1:40" x14ac:dyDescent="0.25">
      <c r="A4315" t="str">
        <f>"20190312154645825"</f>
        <v>20190312154645825</v>
      </c>
      <c r="B4315" t="str">
        <f>"1552376805822455"</f>
        <v>1552376805822455</v>
      </c>
      <c r="C4315" t="s">
        <v>40</v>
      </c>
      <c r="D4315">
        <v>4.3280440000000002</v>
      </c>
      <c r="E4315">
        <v>0.471939</v>
      </c>
      <c r="F4315" t="s">
        <v>42</v>
      </c>
      <c r="G4315">
        <v>-421.00630000000001</v>
      </c>
      <c r="H4315" s="1">
        <v>-4.3090429999999999E-6</v>
      </c>
      <c r="I4315">
        <v>69.124589999999998</v>
      </c>
      <c r="J4315">
        <v>-421.29570000000001</v>
      </c>
      <c r="K4315">
        <v>1.1105339999999999</v>
      </c>
      <c r="L4315">
        <v>88.984440000000006</v>
      </c>
      <c r="M4315">
        <v>-2.3551590000000001E-2</v>
      </c>
      <c r="N4315">
        <v>0</v>
      </c>
      <c r="O4315">
        <v>-0.99963340000000001</v>
      </c>
      <c r="P4315">
        <v>-6.207675E-2</v>
      </c>
      <c r="Q4315">
        <v>0.1085448</v>
      </c>
      <c r="R4315">
        <v>-0.99215140000000002</v>
      </c>
      <c r="S4315">
        <v>4.3426510000000001E-2</v>
      </c>
      <c r="T4315">
        <v>-0.16878089999999901</v>
      </c>
      <c r="U4315">
        <v>-3.044861</v>
      </c>
      <c r="V4315">
        <v>3.8658820000000003E-2</v>
      </c>
      <c r="W4315">
        <v>0.12181400000000001</v>
      </c>
      <c r="X4315">
        <v>0.99179980000000001</v>
      </c>
      <c r="Y4315">
        <v>-3.7786279999999998E-2</v>
      </c>
      <c r="Z4315">
        <v>5.5300849999999999E-2</v>
      </c>
      <c r="AA4315">
        <v>0.99775449999999999</v>
      </c>
      <c r="AB4315">
        <v>18</v>
      </c>
      <c r="AC4315">
        <v>0.28939999999999999</v>
      </c>
      <c r="AD4315">
        <v>-1.1105383090430001</v>
      </c>
      <c r="AE4315">
        <v>-19.859850000000002</v>
      </c>
      <c r="AF4315">
        <v>-0.75473300187416403</v>
      </c>
      <c r="AG4315">
        <v>-1.1105383090430001</v>
      </c>
      <c r="AH4315">
        <v>19.785669069529401</v>
      </c>
      <c r="AI4315">
        <v>93.210220882825496</v>
      </c>
      <c r="AJ4315">
        <v>92.184513441112998</v>
      </c>
      <c r="AK4315">
        <v>19.831177921870999</v>
      </c>
      <c r="AL4315">
        <v>83.003194739648293</v>
      </c>
      <c r="AM4315">
        <v>87.767829262961897</v>
      </c>
      <c r="AN4315">
        <v>0.99999999911991599</v>
      </c>
    </row>
    <row r="4316" spans="1:40" x14ac:dyDescent="0.25">
      <c r="A4316" t="str">
        <f>"20190312154645848"</f>
        <v>20190312154645848</v>
      </c>
      <c r="B4316" t="str">
        <f>"1552376805841980"</f>
        <v>1552376805841980</v>
      </c>
      <c r="C4316" t="s">
        <v>40</v>
      </c>
      <c r="D4316">
        <v>4.3028339999999998</v>
      </c>
      <c r="E4316">
        <v>0.47188459999999899</v>
      </c>
      <c r="F4316" t="s">
        <v>42</v>
      </c>
      <c r="G4316">
        <v>-420.98149999999998</v>
      </c>
      <c r="H4316" s="1">
        <v>-3.8945300000000001E-6</v>
      </c>
      <c r="I4316">
        <v>68.058619999999905</v>
      </c>
      <c r="J4316">
        <v>-421.2996</v>
      </c>
      <c r="K4316">
        <v>1.110535</v>
      </c>
      <c r="L4316">
        <v>88.802090000000007</v>
      </c>
      <c r="M4316">
        <v>-2.3228349999999998E-2</v>
      </c>
      <c r="N4316">
        <v>0</v>
      </c>
      <c r="O4316">
        <v>-0.99964120000000001</v>
      </c>
      <c r="P4316">
        <v>-6.1216239999999998E-2</v>
      </c>
      <c r="Q4316">
        <v>0.11040469999999999</v>
      </c>
      <c r="R4316">
        <v>-0.99199970000000004</v>
      </c>
      <c r="S4316">
        <v>4.5715329999999998E-2</v>
      </c>
      <c r="T4316">
        <v>-0.1615607</v>
      </c>
      <c r="U4316">
        <v>-3.0442809999999998</v>
      </c>
      <c r="V4316">
        <v>3.8125180000000002E-2</v>
      </c>
      <c r="W4316">
        <v>0.1236691</v>
      </c>
      <c r="X4316">
        <v>0.99159090000000005</v>
      </c>
      <c r="Y4316">
        <v>-3.8217760000000003E-2</v>
      </c>
      <c r="Z4316">
        <v>5.2951850000000002E-2</v>
      </c>
      <c r="AA4316">
        <v>0.99786549999999996</v>
      </c>
      <c r="AB4316">
        <v>18</v>
      </c>
      <c r="AC4316">
        <v>0.31810000000001498</v>
      </c>
      <c r="AD4316">
        <v>-1.1105388945299901</v>
      </c>
      <c r="AE4316">
        <v>-20.743469999999999</v>
      </c>
      <c r="AF4316">
        <v>-0.79760804934853702</v>
      </c>
      <c r="AG4316">
        <v>-1.1105388945299901</v>
      </c>
      <c r="AH4316">
        <v>20.6712487553031</v>
      </c>
      <c r="AI4316">
        <v>93.072910779961703</v>
      </c>
      <c r="AJ4316">
        <v>92.209683413539196</v>
      </c>
      <c r="AK4316">
        <v>20.716418617615101</v>
      </c>
      <c r="AL4316">
        <v>82.896095832716398</v>
      </c>
      <c r="AM4316">
        <v>87.798147940811901</v>
      </c>
      <c r="AN4316">
        <v>1.0000000443038199</v>
      </c>
    </row>
    <row r="4317" spans="1:40" x14ac:dyDescent="0.25">
      <c r="A4317" t="str">
        <f>"20190312154645871"</f>
        <v>20190312154645871</v>
      </c>
      <c r="B4317" t="str">
        <f>"1552376805862471"</f>
        <v>1552376805862471</v>
      </c>
      <c r="C4317" t="s">
        <v>40</v>
      </c>
      <c r="D4317">
        <v>4.308548</v>
      </c>
      <c r="E4317">
        <v>0.4720027</v>
      </c>
      <c r="F4317" t="s">
        <v>42</v>
      </c>
      <c r="G4317">
        <v>-420.95209999999997</v>
      </c>
      <c r="H4317" s="1">
        <v>-3.2787219999999998E-6</v>
      </c>
      <c r="I4317">
        <v>66.641329999999996</v>
      </c>
      <c r="J4317">
        <v>-421.30329999999998</v>
      </c>
      <c r="K4317">
        <v>1.110541</v>
      </c>
      <c r="L4317">
        <v>88.625339999999994</v>
      </c>
      <c r="M4317">
        <v>-2.2919869999999998E-2</v>
      </c>
      <c r="N4317">
        <v>0</v>
      </c>
      <c r="O4317">
        <v>-0.99964819999999999</v>
      </c>
      <c r="P4317">
        <v>-6.0669609999999999E-2</v>
      </c>
      <c r="Q4317">
        <v>0.111594</v>
      </c>
      <c r="R4317">
        <v>-0.99190020000000001</v>
      </c>
      <c r="S4317">
        <v>4.7729489999999999E-2</v>
      </c>
      <c r="T4317">
        <v>-0.15254989999999999</v>
      </c>
      <c r="U4317">
        <v>-3.0441280000000002</v>
      </c>
      <c r="V4317">
        <v>3.7887360000000002E-2</v>
      </c>
      <c r="W4317">
        <v>0.1248553</v>
      </c>
      <c r="X4317">
        <v>0.99145130000000004</v>
      </c>
      <c r="Y4317">
        <v>-3.8572620000000002E-2</v>
      </c>
      <c r="Z4317">
        <v>5.00086E-2</v>
      </c>
      <c r="AA4317">
        <v>0.99800370000000005</v>
      </c>
      <c r="AB4317">
        <v>18</v>
      </c>
      <c r="AC4317">
        <v>0.35120000000000501</v>
      </c>
      <c r="AD4317">
        <v>-1.1105442787219999</v>
      </c>
      <c r="AE4317">
        <v>-21.984010000000001</v>
      </c>
      <c r="AF4317">
        <v>-0.85284746867591799</v>
      </c>
      <c r="AG4317">
        <v>-1.1105442787219999</v>
      </c>
      <c r="AH4317">
        <v>21.914275676500999</v>
      </c>
      <c r="AI4317">
        <v>92.898891456310395</v>
      </c>
      <c r="AJ4317">
        <v>92.228680248817298</v>
      </c>
      <c r="AK4317">
        <v>21.9589648168011</v>
      </c>
      <c r="AL4317">
        <v>82.827600302859096</v>
      </c>
      <c r="AM4317">
        <v>87.8115616225694</v>
      </c>
      <c r="AN4317">
        <v>0.99999998912877397</v>
      </c>
    </row>
    <row r="4318" spans="1:40" x14ac:dyDescent="0.25">
      <c r="A4318" t="str">
        <f>"20190312154645892"</f>
        <v>20190312154645892</v>
      </c>
      <c r="B4318" t="str">
        <f>"1552376805881992"</f>
        <v>1552376805881992</v>
      </c>
      <c r="C4318" t="s">
        <v>40</v>
      </c>
      <c r="D4318">
        <v>4.2962639999999999</v>
      </c>
      <c r="E4318">
        <v>0.47217490000000001</v>
      </c>
      <c r="F4318" t="s">
        <v>42</v>
      </c>
      <c r="G4318">
        <v>-420.93430000000001</v>
      </c>
      <c r="H4318" s="1">
        <v>-2.7107059999999999E-6</v>
      </c>
      <c r="I4318">
        <v>65.328379999999996</v>
      </c>
      <c r="J4318">
        <v>-421.30689999999998</v>
      </c>
      <c r="K4318">
        <v>1.1105579999999999</v>
      </c>
      <c r="L4318">
        <v>88.449709999999996</v>
      </c>
      <c r="M4318">
        <v>-2.26108E-2</v>
      </c>
      <c r="N4318">
        <v>0</v>
      </c>
      <c r="O4318">
        <v>-0.99965530000000002</v>
      </c>
      <c r="P4318">
        <v>-5.9269160000000001E-2</v>
      </c>
      <c r="Q4318">
        <v>0.1124236</v>
      </c>
      <c r="R4318">
        <v>-0.99189130000000003</v>
      </c>
      <c r="S4318">
        <v>4.821777E-2</v>
      </c>
      <c r="T4318">
        <v>-0.14509320000000001</v>
      </c>
      <c r="U4318">
        <v>-3.0437620000000001</v>
      </c>
      <c r="V4318">
        <v>3.6792770000000002E-2</v>
      </c>
      <c r="W4318">
        <v>0.12568219999999999</v>
      </c>
      <c r="X4318">
        <v>0.99138800000000005</v>
      </c>
      <c r="Y4318">
        <v>-3.8427490000000002E-2</v>
      </c>
      <c r="Z4318">
        <v>4.7576140000000003E-2</v>
      </c>
      <c r="AA4318">
        <v>0.99812820000000002</v>
      </c>
      <c r="AB4318">
        <v>18</v>
      </c>
      <c r="AC4318">
        <v>0.37259999999997701</v>
      </c>
      <c r="AD4318">
        <v>-1.110560710706</v>
      </c>
      <c r="AE4318">
        <v>-23.121329999999901</v>
      </c>
      <c r="AF4318">
        <v>-0.89328271472790499</v>
      </c>
      <c r="AG4318">
        <v>-1.110560710706</v>
      </c>
      <c r="AH4318">
        <v>23.053819539421799</v>
      </c>
      <c r="AI4318">
        <v>92.7558855065854</v>
      </c>
      <c r="AJ4318">
        <v>92.218970185562796</v>
      </c>
      <c r="AK4318">
        <v>23.097833111719002</v>
      </c>
      <c r="AL4318">
        <v>82.779845933994594</v>
      </c>
      <c r="AM4318">
        <v>87.874592590195903</v>
      </c>
      <c r="AN4318">
        <v>0.99999994493255495</v>
      </c>
    </row>
    <row r="4319" spans="1:40" x14ac:dyDescent="0.25">
      <c r="A4319" t="str">
        <f>"20190312154645938"</f>
        <v>20190312154645938</v>
      </c>
      <c r="B4319" t="str">
        <f>"1552376805931768"</f>
        <v>1552376805931768</v>
      </c>
      <c r="C4319" t="s">
        <v>40</v>
      </c>
      <c r="D4319">
        <v>4.2865279999999997</v>
      </c>
      <c r="E4319">
        <v>0.47231450000000003</v>
      </c>
      <c r="F4319" t="s">
        <v>42</v>
      </c>
      <c r="G4319">
        <v>-420.89580000000001</v>
      </c>
      <c r="H4319" s="1">
        <v>-2.1059340000000001E-6</v>
      </c>
      <c r="I4319">
        <v>63.942500000000003</v>
      </c>
      <c r="J4319">
        <v>-421.3143</v>
      </c>
      <c r="K4319">
        <v>1.1105929999999999</v>
      </c>
      <c r="L4319">
        <v>88.086150000000004</v>
      </c>
      <c r="M4319">
        <v>-2.1946469999999999E-2</v>
      </c>
      <c r="N4319">
        <v>0</v>
      </c>
      <c r="O4319">
        <v>-0.99967010000000001</v>
      </c>
      <c r="P4319">
        <v>-5.6058650000000002E-2</v>
      </c>
      <c r="Q4319">
        <v>0.1124502</v>
      </c>
      <c r="R4319">
        <v>-0.99207509999999999</v>
      </c>
      <c r="S4319">
        <v>5.1055910000000003E-2</v>
      </c>
      <c r="T4319">
        <v>-0.1379051</v>
      </c>
      <c r="U4319">
        <v>-3.0432130000000002</v>
      </c>
      <c r="V4319">
        <v>3.4232819999999997E-2</v>
      </c>
      <c r="W4319">
        <v>0.12570819999999999</v>
      </c>
      <c r="X4319">
        <v>0.99147649999999998</v>
      </c>
      <c r="Y4319">
        <v>-3.8698730000000001E-2</v>
      </c>
      <c r="Z4319">
        <v>4.5232689999999999E-2</v>
      </c>
      <c r="AA4319">
        <v>0.99822659999999996</v>
      </c>
      <c r="AB4319">
        <v>18</v>
      </c>
      <c r="AC4319">
        <v>0.41849999999999399</v>
      </c>
      <c r="AD4319">
        <v>-1.110595105934</v>
      </c>
      <c r="AE4319">
        <v>-24.143650000000001</v>
      </c>
      <c r="AF4319">
        <v>-0.94631250199859995</v>
      </c>
      <c r="AG4319">
        <v>-1.110595105934</v>
      </c>
      <c r="AH4319">
        <v>24.077716512410799</v>
      </c>
      <c r="AI4319">
        <v>92.638886365238903</v>
      </c>
      <c r="AJ4319">
        <v>92.250704335340004</v>
      </c>
      <c r="AK4319">
        <v>24.12188552524</v>
      </c>
      <c r="AL4319">
        <v>82.778345051980907</v>
      </c>
      <c r="AM4319">
        <v>88.022527758965893</v>
      </c>
      <c r="AN4319">
        <v>1.00000004378232</v>
      </c>
    </row>
    <row r="4320" spans="1:40" x14ac:dyDescent="0.25">
      <c r="A4320" t="str">
        <f>"20190312154645960"</f>
        <v>20190312154645960</v>
      </c>
      <c r="B4320" t="str">
        <f>"1552376805952264"</f>
        <v>1552376805952264</v>
      </c>
      <c r="C4320" t="s">
        <v>40</v>
      </c>
      <c r="D4320">
        <v>4.1656550000000001</v>
      </c>
      <c r="E4320">
        <v>0.42595440000000001</v>
      </c>
      <c r="F4320" t="s">
        <v>42</v>
      </c>
      <c r="G4320">
        <v>-420.83499999999998</v>
      </c>
      <c r="H4320" s="1">
        <v>-1.5367240000000001E-6</v>
      </c>
      <c r="I4320">
        <v>62.653379999999999</v>
      </c>
      <c r="J4320">
        <v>-421.3177</v>
      </c>
      <c r="K4320">
        <v>1.110598</v>
      </c>
      <c r="L4320">
        <v>87.915009999999995</v>
      </c>
      <c r="M4320">
        <v>-2.1618979999999999E-2</v>
      </c>
      <c r="N4320">
        <v>0</v>
      </c>
      <c r="O4320">
        <v>-0.99967729999999999</v>
      </c>
      <c r="P4320">
        <v>-5.5134339999999997E-2</v>
      </c>
      <c r="Q4320">
        <v>0.1119357</v>
      </c>
      <c r="R4320">
        <v>-0.99218479999999998</v>
      </c>
      <c r="S4320">
        <v>5.7342530000000003E-2</v>
      </c>
      <c r="T4320">
        <v>-0.1328493</v>
      </c>
      <c r="U4320">
        <v>-3.0422669999999998</v>
      </c>
      <c r="V4320">
        <v>3.3628900000000003E-2</v>
      </c>
      <c r="W4320">
        <v>0.12519359999999999</v>
      </c>
      <c r="X4320">
        <v>0.99156219999999995</v>
      </c>
      <c r="Y4320">
        <v>-4.044002E-2</v>
      </c>
      <c r="Z4320">
        <v>4.3589309999999999E-2</v>
      </c>
      <c r="AA4320">
        <v>0.99823070000000003</v>
      </c>
      <c r="AB4320">
        <v>18</v>
      </c>
      <c r="AC4320">
        <v>0.482700000000022</v>
      </c>
      <c r="AD4320">
        <v>-1.110599536724</v>
      </c>
      <c r="AE4320">
        <v>-25.261629999999901</v>
      </c>
      <c r="AF4320">
        <v>-1.02678256199967</v>
      </c>
      <c r="AG4320">
        <v>-1.110599536724</v>
      </c>
      <c r="AH4320">
        <v>25.196605634235201</v>
      </c>
      <c r="AI4320">
        <v>92.521722135431901</v>
      </c>
      <c r="AJ4320">
        <v>92.333559345936607</v>
      </c>
      <c r="AK4320">
        <v>25.241962072069001</v>
      </c>
      <c r="AL4320">
        <v>82.808063701076705</v>
      </c>
      <c r="AM4320">
        <v>88.057554235342906</v>
      </c>
      <c r="AN4320">
        <v>0.99999996843250405</v>
      </c>
    </row>
    <row r="4321" spans="1:40" x14ac:dyDescent="0.25">
      <c r="A4321" t="str">
        <f>"20190312154645982"</f>
        <v>20190312154645982</v>
      </c>
      <c r="B4321" t="str">
        <f>"1552376805971784"</f>
        <v>1552376805971784</v>
      </c>
      <c r="C4321" t="s">
        <v>40</v>
      </c>
      <c r="D4321">
        <v>4.2081790000000003</v>
      </c>
      <c r="E4321">
        <v>0.41545480000000001</v>
      </c>
      <c r="F4321" t="s">
        <v>71</v>
      </c>
      <c r="G4321">
        <v>-413.45650000000001</v>
      </c>
      <c r="H4321" s="1">
        <v>-5.9095339999999996E-6</v>
      </c>
      <c r="I4321">
        <v>31.809799999999999</v>
      </c>
      <c r="J4321">
        <v>-421.32119999999998</v>
      </c>
      <c r="K4321">
        <v>1.1106039999999999</v>
      </c>
      <c r="L4321">
        <v>87.737399999999994</v>
      </c>
      <c r="M4321">
        <v>-2.12695E-2</v>
      </c>
      <c r="N4321">
        <v>0</v>
      </c>
      <c r="O4321">
        <v>-0.99968469999999998</v>
      </c>
      <c r="P4321">
        <v>-5.5378599999999903E-2</v>
      </c>
      <c r="Q4321">
        <v>0.1117464</v>
      </c>
      <c r="R4321">
        <v>-0.99219239999999997</v>
      </c>
      <c r="S4321">
        <v>0.427948</v>
      </c>
      <c r="T4321">
        <v>-6.0458539999999998E-2</v>
      </c>
      <c r="U4321">
        <v>-3.05423</v>
      </c>
      <c r="V4321">
        <v>3.4217749999999998E-2</v>
      </c>
      <c r="W4321">
        <v>0.12500339999999999</v>
      </c>
      <c r="X4321">
        <v>0.99156610000000001</v>
      </c>
      <c r="Y4321">
        <v>-0.15976860000000001</v>
      </c>
      <c r="Z4321">
        <v>1.9561800000000001E-2</v>
      </c>
      <c r="AA4321">
        <v>0.98696059999999997</v>
      </c>
      <c r="AB4321">
        <v>18</v>
      </c>
      <c r="AC4321">
        <v>7.8646999999999698</v>
      </c>
      <c r="AD4321">
        <v>-1.1106099095340001</v>
      </c>
      <c r="AE4321">
        <v>-55.927599999999998</v>
      </c>
      <c r="AF4321">
        <v>-9.0490793400895697</v>
      </c>
      <c r="AG4321">
        <v>-1.1106099095340001</v>
      </c>
      <c r="AH4321">
        <v>55.726103689133097</v>
      </c>
      <c r="AI4321">
        <v>91.126983998761403</v>
      </c>
      <c r="AJ4321">
        <v>99.223462612651204</v>
      </c>
      <c r="AK4321">
        <v>56.466963116909398</v>
      </c>
      <c r="AL4321">
        <v>82.819047999534106</v>
      </c>
      <c r="AM4321">
        <v>88.023576061029502</v>
      </c>
      <c r="AN4321">
        <v>1.00000001754791</v>
      </c>
    </row>
    <row r="4322" spans="1:40" x14ac:dyDescent="0.25">
      <c r="A4322" t="str">
        <f>"20190312154646006"</f>
        <v>20190312154646006</v>
      </c>
      <c r="B4322" t="str">
        <f>"1552376806001571"</f>
        <v>1552376806001571</v>
      </c>
      <c r="C4322" t="s">
        <v>40</v>
      </c>
      <c r="D4322">
        <v>4.631437</v>
      </c>
      <c r="E4322">
        <v>0.41013749999999999</v>
      </c>
      <c r="F4322" t="s">
        <v>42</v>
      </c>
      <c r="G4322">
        <v>-414.88749999999999</v>
      </c>
      <c r="H4322" s="1">
        <v>-5.0285199999999999E-6</v>
      </c>
      <c r="I4322">
        <v>49.240430000000003</v>
      </c>
      <c r="J4322">
        <v>-421.32459999999998</v>
      </c>
      <c r="K4322">
        <v>1.110611</v>
      </c>
      <c r="L4322">
        <v>87.556849999999997</v>
      </c>
      <c r="M4322">
        <v>-2.0907209999999999E-2</v>
      </c>
      <c r="N4322">
        <v>0</v>
      </c>
      <c r="O4322">
        <v>-0.99969260000000004</v>
      </c>
      <c r="P4322">
        <v>-5.5825199999999998E-2</v>
      </c>
      <c r="Q4322">
        <v>0.11136889999999899</v>
      </c>
      <c r="R4322">
        <v>-0.99221040000000005</v>
      </c>
      <c r="S4322">
        <v>0.51174929999999996</v>
      </c>
      <c r="T4322">
        <v>-8.8340279999999993E-2</v>
      </c>
      <c r="U4322">
        <v>-3.0621339999999999</v>
      </c>
      <c r="V4322">
        <v>3.5022129999999999E-2</v>
      </c>
      <c r="W4322">
        <v>0.1246249</v>
      </c>
      <c r="X4322">
        <v>0.99158570000000001</v>
      </c>
      <c r="Y4322">
        <v>-0.1853563</v>
      </c>
      <c r="Z4322">
        <v>2.838129E-2</v>
      </c>
      <c r="AA4322">
        <v>0.98226150000000001</v>
      </c>
      <c r="AB4322">
        <v>18</v>
      </c>
      <c r="AC4322">
        <v>6.4370999999999796</v>
      </c>
      <c r="AD4322">
        <v>-1.11061602852</v>
      </c>
      <c r="AE4322">
        <v>-38.316420000000001</v>
      </c>
      <c r="AF4322">
        <v>-7.2309449734087901</v>
      </c>
      <c r="AG4322">
        <v>-1.11061602852</v>
      </c>
      <c r="AH4322">
        <v>38.1422838483603</v>
      </c>
      <c r="AI4322">
        <v>91.638680026708997</v>
      </c>
      <c r="AJ4322">
        <v>100.734639182858</v>
      </c>
      <c r="AK4322">
        <v>38.837531465583197</v>
      </c>
      <c r="AL4322">
        <v>82.840905663620404</v>
      </c>
      <c r="AM4322">
        <v>87.977193021654898</v>
      </c>
      <c r="AN4322">
        <v>1.00000005786711</v>
      </c>
    </row>
    <row r="4323" spans="1:40" x14ac:dyDescent="0.25">
      <c r="A4323" t="str">
        <f>"20190312154646026"</f>
        <v>20190312154646026</v>
      </c>
      <c r="B4323" t="str">
        <f>"1552376806022067"</f>
        <v>1552376806022067</v>
      </c>
      <c r="C4323" t="s">
        <v>40</v>
      </c>
      <c r="D4323">
        <v>4.1527909999999997</v>
      </c>
      <c r="E4323">
        <v>0.40873799999999999</v>
      </c>
      <c r="F4323" t="s">
        <v>42</v>
      </c>
      <c r="G4323">
        <v>-415.31990000000002</v>
      </c>
      <c r="H4323" s="1">
        <v>-2.8377310000000002E-6</v>
      </c>
      <c r="I4323">
        <v>54.312420000000003</v>
      </c>
      <c r="J4323">
        <v>-421.32780000000002</v>
      </c>
      <c r="K4323">
        <v>1.110614</v>
      </c>
      <c r="L4323">
        <v>87.384860000000003</v>
      </c>
      <c r="M4323">
        <v>-2.055945E-2</v>
      </c>
      <c r="N4323">
        <v>0</v>
      </c>
      <c r="O4323">
        <v>-0.99969969999999997</v>
      </c>
      <c r="P4323">
        <v>-5.6124529999999999E-2</v>
      </c>
      <c r="Q4323">
        <v>0.1115901</v>
      </c>
      <c r="R4323">
        <v>-0.99216850000000001</v>
      </c>
      <c r="S4323">
        <v>0.55383300000000002</v>
      </c>
      <c r="T4323">
        <v>-0.1024349</v>
      </c>
      <c r="U4323">
        <v>-3.0662229999999999</v>
      </c>
      <c r="V4323">
        <v>3.56666E-2</v>
      </c>
      <c r="W4323">
        <v>0.12484389999999899</v>
      </c>
      <c r="X4323">
        <v>0.9915351</v>
      </c>
      <c r="Y4323">
        <v>-0.1978482</v>
      </c>
      <c r="Z4323">
        <v>3.2783319999999998E-2</v>
      </c>
      <c r="AA4323">
        <v>0.97968429999999995</v>
      </c>
      <c r="AB4323">
        <v>18</v>
      </c>
      <c r="AC4323">
        <v>6.0079000000000002</v>
      </c>
      <c r="AD4323">
        <v>-1.110616837731</v>
      </c>
      <c r="AE4323">
        <v>-33.07244</v>
      </c>
      <c r="AF4323">
        <v>-6.6793498168759697</v>
      </c>
      <c r="AG4323">
        <v>-1.110616837731</v>
      </c>
      <c r="AH4323">
        <v>32.905995354362098</v>
      </c>
      <c r="AI4323">
        <v>91.894462658515195</v>
      </c>
      <c r="AJ4323">
        <v>101.47416441782001</v>
      </c>
      <c r="AK4323">
        <v>33.595412097453902</v>
      </c>
      <c r="AL4323">
        <v>82.828258560787205</v>
      </c>
      <c r="AM4323">
        <v>87.9398964910648</v>
      </c>
      <c r="AN4323">
        <v>0.999999980127389</v>
      </c>
    </row>
    <row r="4324" spans="1:40" x14ac:dyDescent="0.25">
      <c r="A4324" t="str">
        <f>"20190312154646050"</f>
        <v>20190312154646050</v>
      </c>
      <c r="B4324" t="str">
        <f>"1552376806041586"</f>
        <v>1552376806041586</v>
      </c>
      <c r="C4324" t="s">
        <v>40</v>
      </c>
      <c r="D4324">
        <v>4.1653710000000004</v>
      </c>
      <c r="E4324">
        <v>0.40766960000000002</v>
      </c>
      <c r="F4324" t="s">
        <v>42</v>
      </c>
      <c r="G4324">
        <v>-415.12049999999999</v>
      </c>
      <c r="H4324" s="1">
        <v>-2.656014E-6</v>
      </c>
      <c r="I4324">
        <v>53.637779999999999</v>
      </c>
      <c r="J4324">
        <v>-421.33109999999999</v>
      </c>
      <c r="K4324">
        <v>1.1106130000000001</v>
      </c>
      <c r="L4324">
        <v>87.206760000000003</v>
      </c>
      <c r="M4324">
        <v>-2.0199689999999999E-2</v>
      </c>
      <c r="N4324">
        <v>0</v>
      </c>
      <c r="O4324">
        <v>-0.99970709999999996</v>
      </c>
      <c r="P4324">
        <v>-5.596483E-2</v>
      </c>
      <c r="Q4324">
        <v>0.1106012</v>
      </c>
      <c r="R4324">
        <v>-0.99228830000000001</v>
      </c>
      <c r="S4324">
        <v>0.56411739999999999</v>
      </c>
      <c r="T4324">
        <v>-0.1009336</v>
      </c>
      <c r="U4324">
        <v>-3.0669559999999998</v>
      </c>
      <c r="V4324">
        <v>3.5861669999999998E-2</v>
      </c>
      <c r="W4324">
        <v>0.1238556</v>
      </c>
      <c r="X4324">
        <v>0.99165199999999998</v>
      </c>
      <c r="Y4324">
        <v>-0.20063629999999999</v>
      </c>
      <c r="Z4324">
        <v>3.2277260000000002E-2</v>
      </c>
      <c r="AA4324">
        <v>0.97913399999999995</v>
      </c>
      <c r="AB4324">
        <v>18</v>
      </c>
      <c r="AC4324">
        <v>6.2106000000000003</v>
      </c>
      <c r="AD4324">
        <v>-1.1106156560139999</v>
      </c>
      <c r="AE4324">
        <v>-33.568980000000003</v>
      </c>
      <c r="AF4324">
        <v>-6.8801940950022598</v>
      </c>
      <c r="AG4324">
        <v>-1.1106156560139999</v>
      </c>
      <c r="AH4324">
        <v>33.401315488971001</v>
      </c>
      <c r="AI4324">
        <v>91.865288055498894</v>
      </c>
      <c r="AJ4324">
        <v>101.63931567085601</v>
      </c>
      <c r="AK4324">
        <v>34.1206449867827</v>
      </c>
      <c r="AL4324">
        <v>82.885326914676398</v>
      </c>
      <c r="AM4324">
        <v>87.928883000021798</v>
      </c>
      <c r="AN4324">
        <v>0.99999997906527405</v>
      </c>
    </row>
    <row r="4325" spans="1:40" x14ac:dyDescent="0.25">
      <c r="A4325" t="str">
        <f>"20190312154646070"</f>
        <v>20190312154646070</v>
      </c>
      <c r="B4325" t="str">
        <f>"1552376806062083"</f>
        <v>1552376806062083</v>
      </c>
      <c r="C4325" t="s">
        <v>40</v>
      </c>
      <c r="D4325">
        <v>4.1467910000000003</v>
      </c>
      <c r="E4325">
        <v>0.40685880000000002</v>
      </c>
      <c r="F4325" t="s">
        <v>42</v>
      </c>
      <c r="G4325">
        <v>-415.28579999999999</v>
      </c>
      <c r="H4325" s="1">
        <v>-3.0789249999999999E-6</v>
      </c>
      <c r="I4325">
        <v>54.86056</v>
      </c>
      <c r="J4325">
        <v>-421.334</v>
      </c>
      <c r="K4325">
        <v>1.110606</v>
      </c>
      <c r="L4325">
        <v>87.038759999999996</v>
      </c>
      <c r="M4325">
        <v>-1.9862109999999999E-2</v>
      </c>
      <c r="N4325">
        <v>0</v>
      </c>
      <c r="O4325">
        <v>-0.99971399999999999</v>
      </c>
      <c r="P4325">
        <v>-5.5847260000000003E-2</v>
      </c>
      <c r="Q4325">
        <v>0.1087822</v>
      </c>
      <c r="R4325">
        <v>-0.99249600000000004</v>
      </c>
      <c r="S4325">
        <v>0.57327269999999997</v>
      </c>
      <c r="T4325">
        <v>-0.1053195</v>
      </c>
      <c r="U4325">
        <v>-3.067383</v>
      </c>
      <c r="V4325">
        <v>3.6075929999999999E-2</v>
      </c>
      <c r="W4325">
        <v>0.12203749999999999</v>
      </c>
      <c r="X4325">
        <v>0.99186960000000002</v>
      </c>
      <c r="Y4325">
        <v>-0.20309749999999999</v>
      </c>
      <c r="Z4325">
        <v>3.3656279999999997E-2</v>
      </c>
      <c r="AA4325">
        <v>0.97857989999999995</v>
      </c>
      <c r="AB4325">
        <v>18</v>
      </c>
      <c r="AC4325">
        <v>6.0481999999999996</v>
      </c>
      <c r="AD4325">
        <v>-1.110609078925</v>
      </c>
      <c r="AE4325">
        <v>-32.178199999999997</v>
      </c>
      <c r="AF4325">
        <v>-6.6785060802931397</v>
      </c>
      <c r="AG4325">
        <v>-1.110609078925</v>
      </c>
      <c r="AH4325">
        <v>32.014874371701303</v>
      </c>
      <c r="AI4325">
        <v>91.944981620583903</v>
      </c>
      <c r="AJ4325">
        <v>101.783280108534</v>
      </c>
      <c r="AK4325">
        <v>32.722898359199803</v>
      </c>
      <c r="AL4325">
        <v>82.990292625915799</v>
      </c>
      <c r="AM4325">
        <v>87.916976406308606</v>
      </c>
      <c r="AN4325">
        <v>0.99999996376788602</v>
      </c>
    </row>
    <row r="4326" spans="1:40" x14ac:dyDescent="0.25">
      <c r="A4326" t="str">
        <f>"20190312154646097"</f>
        <v>20190312154646097</v>
      </c>
      <c r="B4326" t="str">
        <f>"1552376806092340"</f>
        <v>1552376806092340</v>
      </c>
      <c r="C4326" t="s">
        <v>40</v>
      </c>
      <c r="D4326">
        <v>4.1183379999999996</v>
      </c>
      <c r="E4326">
        <v>0.40586220000000001</v>
      </c>
      <c r="F4326" t="s">
        <v>42</v>
      </c>
      <c r="G4326">
        <v>-415.55610000000001</v>
      </c>
      <c r="H4326" s="1">
        <v>-3.744474E-6</v>
      </c>
      <c r="I4326">
        <v>56.523739999999997</v>
      </c>
      <c r="J4326">
        <v>-421.33760000000001</v>
      </c>
      <c r="K4326">
        <v>1.1106</v>
      </c>
      <c r="L4326">
        <v>86.835849999999994</v>
      </c>
      <c r="M4326">
        <v>-1.9457909999999998E-2</v>
      </c>
      <c r="N4326">
        <v>0</v>
      </c>
      <c r="O4326">
        <v>-0.99972159999999999</v>
      </c>
      <c r="P4326">
        <v>-5.5234579999999998E-2</v>
      </c>
      <c r="Q4326">
        <v>0.1081384</v>
      </c>
      <c r="R4326">
        <v>-0.99260020000000004</v>
      </c>
      <c r="S4326">
        <v>0.5808411</v>
      </c>
      <c r="T4326">
        <v>-0.1116468</v>
      </c>
      <c r="U4326">
        <v>-3.067596</v>
      </c>
      <c r="V4326">
        <v>3.5863390000000002E-2</v>
      </c>
      <c r="W4326">
        <v>0.12139229999999999</v>
      </c>
      <c r="X4326">
        <v>0.99195650000000002</v>
      </c>
      <c r="Y4326">
        <v>-0.20500789999999999</v>
      </c>
      <c r="Z4326">
        <v>3.5658450000000001E-2</v>
      </c>
      <c r="AA4326">
        <v>0.97811060000000005</v>
      </c>
      <c r="AB4326">
        <v>18</v>
      </c>
      <c r="AC4326">
        <v>5.7814999999999896</v>
      </c>
      <c r="AD4326">
        <v>-1.110603744474</v>
      </c>
      <c r="AE4326">
        <v>-30.312109999999901</v>
      </c>
      <c r="AF4326">
        <v>-6.3620273975210102</v>
      </c>
      <c r="AG4326">
        <v>-1.110603744474</v>
      </c>
      <c r="AH4326">
        <v>30.1548050179535</v>
      </c>
      <c r="AI4326">
        <v>92.063861795606798</v>
      </c>
      <c r="AJ4326">
        <v>101.913486056533</v>
      </c>
      <c r="AK4326">
        <v>30.838629978564899</v>
      </c>
      <c r="AL4326">
        <v>83.027536924040604</v>
      </c>
      <c r="AM4326">
        <v>87.929418997369893</v>
      </c>
      <c r="AN4326">
        <v>0.99999998556691605</v>
      </c>
    </row>
    <row r="4327" spans="1:40" x14ac:dyDescent="0.25">
      <c r="A4327" t="str">
        <f>"20190312154646117"</f>
        <v>20190312154646117</v>
      </c>
      <c r="B4327" t="str">
        <f>"1552376806111859"</f>
        <v>1552376806111859</v>
      </c>
      <c r="C4327" t="s">
        <v>40</v>
      </c>
      <c r="D4327">
        <v>4.1136160000000004</v>
      </c>
      <c r="E4327">
        <v>0.40544920000000001</v>
      </c>
      <c r="F4327" t="s">
        <v>42</v>
      </c>
      <c r="G4327">
        <v>-415.47059999999999</v>
      </c>
      <c r="H4327" s="1">
        <v>-3.693398E-6</v>
      </c>
      <c r="I4327">
        <v>56.369309999999999</v>
      </c>
      <c r="J4327">
        <v>-421.34030000000001</v>
      </c>
      <c r="K4327">
        <v>1.110589</v>
      </c>
      <c r="L4327">
        <v>86.675419999999903</v>
      </c>
      <c r="M4327">
        <v>-1.9140859999999999E-2</v>
      </c>
      <c r="N4327">
        <v>0</v>
      </c>
      <c r="O4327">
        <v>-0.99972810000000001</v>
      </c>
      <c r="P4327">
        <v>-5.4590659999999999E-2</v>
      </c>
      <c r="Q4327">
        <v>0.1068041</v>
      </c>
      <c r="R4327">
        <v>-0.99278040000000001</v>
      </c>
      <c r="S4327">
        <v>0.59069819999999995</v>
      </c>
      <c r="T4327">
        <v>-0.1118171</v>
      </c>
      <c r="U4327">
        <v>-3.0674130000000002</v>
      </c>
      <c r="V4327">
        <v>3.5532029999999999E-2</v>
      </c>
      <c r="W4327">
        <v>0.120058</v>
      </c>
      <c r="X4327">
        <v>0.99213079999999998</v>
      </c>
      <c r="Y4327">
        <v>-0.2077397</v>
      </c>
      <c r="Z4327">
        <v>3.5694160000000003E-2</v>
      </c>
      <c r="AA4327">
        <v>0.97753270000000003</v>
      </c>
      <c r="AB4327">
        <v>18</v>
      </c>
      <c r="AC4327">
        <v>5.8697000000000203</v>
      </c>
      <c r="AD4327">
        <v>-1.1105926933979999</v>
      </c>
      <c r="AE4327">
        <v>-30.306109999999901</v>
      </c>
      <c r="AF4327">
        <v>-6.4404246710468396</v>
      </c>
      <c r="AG4327">
        <v>-1.1105926933979999</v>
      </c>
      <c r="AH4327">
        <v>30.149171803373299</v>
      </c>
      <c r="AI4327">
        <v>92.063120888932403</v>
      </c>
      <c r="AJ4327">
        <v>102.05820878164501</v>
      </c>
      <c r="AK4327">
        <v>30.8493929681505</v>
      </c>
      <c r="AL4327">
        <v>83.104549971219797</v>
      </c>
      <c r="AM4327">
        <v>87.948893818873302</v>
      </c>
      <c r="AN4327">
        <v>0.99999998641428001</v>
      </c>
    </row>
    <row r="4328" spans="1:40" x14ac:dyDescent="0.25">
      <c r="A4328" t="str">
        <f>"20190312154646143"</f>
        <v>20190312154646143</v>
      </c>
      <c r="B4328" t="str">
        <f>"1552376806132355"</f>
        <v>1552376806132355</v>
      </c>
      <c r="C4328" t="s">
        <v>40</v>
      </c>
      <c r="D4328">
        <v>4.259709</v>
      </c>
      <c r="E4328">
        <v>0.40543430000000003</v>
      </c>
      <c r="F4328" t="s">
        <v>42</v>
      </c>
      <c r="G4328">
        <v>-415.56299999999999</v>
      </c>
      <c r="H4328" s="1">
        <v>-3.9460409999999996E-6</v>
      </c>
      <c r="I4328">
        <v>56.996479999999998</v>
      </c>
      <c r="J4328">
        <v>-421.34359999999998</v>
      </c>
      <c r="K4328">
        <v>1.110579</v>
      </c>
      <c r="L4328">
        <v>86.482150000000004</v>
      </c>
      <c r="M4328">
        <v>-1.8760949999999998E-2</v>
      </c>
      <c r="N4328">
        <v>0</v>
      </c>
      <c r="O4328">
        <v>-0.99973520000000005</v>
      </c>
      <c r="P4328">
        <v>-5.3884899999999999E-2</v>
      </c>
      <c r="Q4328">
        <v>0.10472380000000001</v>
      </c>
      <c r="R4328">
        <v>-0.99304079999999995</v>
      </c>
      <c r="S4328">
        <v>0.59701539999999997</v>
      </c>
      <c r="T4328">
        <v>-0.1147673</v>
      </c>
      <c r="U4328">
        <v>-3.066986</v>
      </c>
      <c r="V4328">
        <v>3.5200420000000003E-2</v>
      </c>
      <c r="W4328">
        <v>0.1179786</v>
      </c>
      <c r="X4328">
        <v>0.9923921</v>
      </c>
      <c r="Y4328">
        <v>-0.20932719999999999</v>
      </c>
      <c r="Z4328">
        <v>3.662667E-2</v>
      </c>
      <c r="AA4328">
        <v>0.97715940000000001</v>
      </c>
      <c r="AB4328">
        <v>18</v>
      </c>
      <c r="AC4328">
        <v>5.7805999999999296</v>
      </c>
      <c r="AD4328">
        <v>-1.1105829460409999</v>
      </c>
      <c r="AE4328">
        <v>-29.485669999999999</v>
      </c>
      <c r="AF4328">
        <v>-6.3241709049601003</v>
      </c>
      <c r="AG4328">
        <v>-1.1105829460409999</v>
      </c>
      <c r="AH4328">
        <v>29.331948297974499</v>
      </c>
      <c r="AI4328">
        <v>92.119667518548496</v>
      </c>
      <c r="AJ4328">
        <v>102.167113337129</v>
      </c>
      <c r="AK4328">
        <v>30.026516998650202</v>
      </c>
      <c r="AL4328">
        <v>83.224544180024495</v>
      </c>
      <c r="AM4328">
        <v>87.968554646599003</v>
      </c>
      <c r="AN4328">
        <v>1.00000004988427</v>
      </c>
    </row>
    <row r="4329" spans="1:40" x14ac:dyDescent="0.25">
      <c r="A4329" t="str">
        <f>"20190312154646163"</f>
        <v>20190312154646163</v>
      </c>
      <c r="B4329" t="str">
        <f>"1552376806151875"</f>
        <v>1552376806151875</v>
      </c>
      <c r="C4329" t="s">
        <v>40</v>
      </c>
      <c r="D4329">
        <v>4.1107139999999998</v>
      </c>
      <c r="E4329">
        <v>0.40502339999999998</v>
      </c>
      <c r="F4329" t="s">
        <v>42</v>
      </c>
      <c r="G4329">
        <v>-415.78160000000003</v>
      </c>
      <c r="H4329" s="1">
        <v>-4.3465379999999996E-6</v>
      </c>
      <c r="I4329">
        <v>58.020409999999998</v>
      </c>
      <c r="J4329">
        <v>-421.34629999999999</v>
      </c>
      <c r="K4329">
        <v>1.1105640000000001</v>
      </c>
      <c r="L4329">
        <v>86.315669999999997</v>
      </c>
      <c r="M4329">
        <v>-1.8435139999999999E-2</v>
      </c>
      <c r="N4329">
        <v>0</v>
      </c>
      <c r="O4329">
        <v>-0.9997414</v>
      </c>
      <c r="P4329">
        <v>-5.3779130000000001E-2</v>
      </c>
      <c r="Q4329">
        <v>0.1018635</v>
      </c>
      <c r="R4329">
        <v>-0.99334409999999895</v>
      </c>
      <c r="S4329">
        <v>0.59918209999999905</v>
      </c>
      <c r="T4329">
        <v>-0.1196412</v>
      </c>
      <c r="U4329">
        <v>-3.0661320000000001</v>
      </c>
      <c r="V4329">
        <v>3.5414519999999998E-2</v>
      </c>
      <c r="W4329">
        <v>0.115121</v>
      </c>
      <c r="X4329">
        <v>0.99272000000000005</v>
      </c>
      <c r="Y4329">
        <v>-0.2097136</v>
      </c>
      <c r="Z4329">
        <v>3.818647E-2</v>
      </c>
      <c r="AA4329">
        <v>0.97701689999999997</v>
      </c>
      <c r="AB4329">
        <v>18</v>
      </c>
      <c r="AC4329">
        <v>5.5646999999999496</v>
      </c>
      <c r="AD4329">
        <v>-1.1105683465380001</v>
      </c>
      <c r="AE4329">
        <v>-28.295259999999999</v>
      </c>
      <c r="AF4329">
        <v>-6.0764152971536696</v>
      </c>
      <c r="AG4329">
        <v>-1.1105683465380001</v>
      </c>
      <c r="AH4329">
        <v>28.1461108238497</v>
      </c>
      <c r="AI4329">
        <v>92.208728587027295</v>
      </c>
      <c r="AJ4329">
        <v>102.18251700686299</v>
      </c>
      <c r="AK4329">
        <v>28.815963274272899</v>
      </c>
      <c r="AL4329">
        <v>83.389395913684595</v>
      </c>
      <c r="AM4329">
        <v>87.956883706714606</v>
      </c>
      <c r="AN4329">
        <v>1.0000000156339099</v>
      </c>
    </row>
    <row r="4330" spans="1:40" x14ac:dyDescent="0.25">
      <c r="A4330" t="str">
        <f>"20190312154646184"</f>
        <v>20190312154646184</v>
      </c>
      <c r="B4330" t="str">
        <f>"1552376806172371"</f>
        <v>1552376806172371</v>
      </c>
      <c r="C4330" t="s">
        <v>40</v>
      </c>
      <c r="D4330">
        <v>4.2961330000000002</v>
      </c>
      <c r="E4330">
        <v>0.40458300000000003</v>
      </c>
      <c r="F4330" t="s">
        <v>42</v>
      </c>
      <c r="G4330">
        <v>-416.06509999999997</v>
      </c>
      <c r="H4330" s="1">
        <v>-4.9155800000000003E-6</v>
      </c>
      <c r="I4330">
        <v>59.464089999999999</v>
      </c>
      <c r="J4330">
        <v>-421.34879999999998</v>
      </c>
      <c r="K4330">
        <v>1.110554</v>
      </c>
      <c r="L4330">
        <v>86.158509999999893</v>
      </c>
      <c r="M4330">
        <v>-1.8128169999999999E-2</v>
      </c>
      <c r="N4330">
        <v>0</v>
      </c>
      <c r="O4330">
        <v>-0.99974689999999999</v>
      </c>
      <c r="P4330">
        <v>-5.3625920000000001E-2</v>
      </c>
      <c r="Q4330">
        <v>9.8906270000000004E-2</v>
      </c>
      <c r="R4330">
        <v>-0.99365099999999995</v>
      </c>
      <c r="S4330">
        <v>0.60296629999999996</v>
      </c>
      <c r="T4330">
        <v>-0.1267973</v>
      </c>
      <c r="U4330">
        <v>-3.0657350000000001</v>
      </c>
      <c r="V4330">
        <v>3.5562509999999999E-2</v>
      </c>
      <c r="W4330">
        <v>0.11216569999999999</v>
      </c>
      <c r="X4330">
        <v>0.99305299999999996</v>
      </c>
      <c r="Y4330">
        <v>-0.21058109999999999</v>
      </c>
      <c r="Z4330">
        <v>4.0463699999999901E-2</v>
      </c>
      <c r="AA4330">
        <v>0.97673860000000001</v>
      </c>
      <c r="AB4330">
        <v>18</v>
      </c>
      <c r="AC4330">
        <v>5.2836999999999996</v>
      </c>
      <c r="AD4330">
        <v>-1.11055891558</v>
      </c>
      <c r="AE4330">
        <v>-26.694419999999901</v>
      </c>
      <c r="AF4330">
        <v>-5.7572067183151496</v>
      </c>
      <c r="AG4330">
        <v>-1.11055891558</v>
      </c>
      <c r="AH4330">
        <v>26.5500203816006</v>
      </c>
      <c r="AI4330">
        <v>92.340884009112798</v>
      </c>
      <c r="AJ4330">
        <v>102.23481501841</v>
      </c>
      <c r="AK4330">
        <v>27.1897471956948</v>
      </c>
      <c r="AL4330">
        <v>83.559826520830597</v>
      </c>
      <c r="AM4330">
        <v>87.949040614898195</v>
      </c>
      <c r="AN4330">
        <v>1.0000000485914899</v>
      </c>
    </row>
    <row r="4331" spans="1:40" x14ac:dyDescent="0.25">
      <c r="A4331" t="str">
        <f>"20190312154646206"</f>
        <v>20190312154646206</v>
      </c>
      <c r="B4331" t="str">
        <f>"1552376806201651"</f>
        <v>1552376806201651</v>
      </c>
      <c r="C4331" t="s">
        <v>40</v>
      </c>
      <c r="D4331">
        <v>4.3382569999999996</v>
      </c>
      <c r="E4331">
        <v>0.40412789999999998</v>
      </c>
      <c r="F4331" t="s">
        <v>42</v>
      </c>
      <c r="G4331">
        <v>-416.23020000000002</v>
      </c>
      <c r="H4331" s="1">
        <v>-1.2389319999999999E-6</v>
      </c>
      <c r="I4331">
        <v>60.341209999999997</v>
      </c>
      <c r="J4331">
        <v>-421.35160000000002</v>
      </c>
      <c r="K4331">
        <v>1.1105400000000001</v>
      </c>
      <c r="L4331">
        <v>85.984380000000002</v>
      </c>
      <c r="M4331">
        <v>-1.7787569999999999E-2</v>
      </c>
      <c r="N4331">
        <v>0</v>
      </c>
      <c r="O4331">
        <v>-0.99975340000000001</v>
      </c>
      <c r="P4331">
        <v>-5.4170690000000001E-2</v>
      </c>
      <c r="Q4331">
        <v>9.7631570000000001E-2</v>
      </c>
      <c r="R4331">
        <v>-0.99374750000000001</v>
      </c>
      <c r="S4331">
        <v>0.60769649999999997</v>
      </c>
      <c r="T4331">
        <v>-0.13184789999999999</v>
      </c>
      <c r="U4331">
        <v>-3.0650940000000002</v>
      </c>
      <c r="V4331">
        <v>3.6444980000000002E-2</v>
      </c>
      <c r="W4331">
        <v>0.1108792</v>
      </c>
      <c r="X4331">
        <v>0.99316539999999998</v>
      </c>
      <c r="Y4331">
        <v>-0.21172450000000001</v>
      </c>
      <c r="Z4331">
        <v>4.2070110000000001E-2</v>
      </c>
      <c r="AA4331">
        <v>0.9764235</v>
      </c>
      <c r="AB4331">
        <v>17</v>
      </c>
      <c r="AC4331">
        <v>5.1213999999999897</v>
      </c>
      <c r="AD4331">
        <v>-1.110541238932</v>
      </c>
      <c r="AE4331">
        <v>-25.643170000000001</v>
      </c>
      <c r="AF4331">
        <v>-5.5667194652181804</v>
      </c>
      <c r="AG4331">
        <v>-1.110541238932</v>
      </c>
      <c r="AH4331">
        <v>25.5020115568935</v>
      </c>
      <c r="AI4331">
        <v>92.436201684092296</v>
      </c>
      <c r="AJ4331">
        <v>102.313686547242</v>
      </c>
      <c r="AK4331">
        <v>26.126122193998398</v>
      </c>
      <c r="AL4331">
        <v>83.633999759517096</v>
      </c>
      <c r="AM4331">
        <v>87.898429596277197</v>
      </c>
      <c r="AN4331">
        <v>0.99999997265849905</v>
      </c>
    </row>
    <row r="4332" spans="1:40" x14ac:dyDescent="0.25">
      <c r="A4332" t="str">
        <f>"20190312154646228"</f>
        <v>20190312154646228</v>
      </c>
      <c r="B4332" t="str">
        <f>"1552376806222150"</f>
        <v>1552376806222150</v>
      </c>
      <c r="C4332" t="s">
        <v>40</v>
      </c>
      <c r="D4332">
        <v>4.3576699999999997</v>
      </c>
      <c r="E4332">
        <v>0.44141150000000001</v>
      </c>
      <c r="F4332" t="s">
        <v>42</v>
      </c>
      <c r="G4332">
        <v>-416.25729999999999</v>
      </c>
      <c r="H4332" s="1">
        <v>-1.2434029999999999E-6</v>
      </c>
      <c r="I4332">
        <v>60.375529999999998</v>
      </c>
      <c r="J4332">
        <v>-421.35419999999999</v>
      </c>
      <c r="K4332">
        <v>1.1105179999999999</v>
      </c>
      <c r="L4332">
        <v>85.807040000000001</v>
      </c>
      <c r="M4332">
        <v>-1.7437939999999999E-2</v>
      </c>
      <c r="N4332">
        <v>0</v>
      </c>
      <c r="O4332">
        <v>-0.99976030000000005</v>
      </c>
      <c r="P4332">
        <v>-5.4199049999999999E-2</v>
      </c>
      <c r="Q4332">
        <v>9.6608799999999995E-2</v>
      </c>
      <c r="R4332">
        <v>-0.9938458</v>
      </c>
      <c r="S4332">
        <v>0.60974119999999998</v>
      </c>
      <c r="T4332">
        <v>-0.13292209999999999</v>
      </c>
      <c r="U4332">
        <v>-3.0651549999999999</v>
      </c>
      <c r="V4332">
        <v>3.6819079999999997E-2</v>
      </c>
      <c r="W4332">
        <v>0.109792</v>
      </c>
      <c r="X4332">
        <v>0.99327240000000006</v>
      </c>
      <c r="Y4332">
        <v>-0.21200279999999999</v>
      </c>
      <c r="Z4332">
        <v>4.2407790000000001E-2</v>
      </c>
      <c r="AA4332">
        <v>0.97634849999999995</v>
      </c>
      <c r="AB4332">
        <v>17</v>
      </c>
      <c r="AC4332">
        <v>5.0968999999999998</v>
      </c>
      <c r="AD4332">
        <v>-1.110519243403</v>
      </c>
      <c r="AE4332">
        <v>-25.431509999999999</v>
      </c>
      <c r="AF4332">
        <v>-5.5295003166793304</v>
      </c>
      <c r="AG4332">
        <v>-1.110519243403</v>
      </c>
      <c r="AH4332">
        <v>25.2923896960856</v>
      </c>
      <c r="AI4332">
        <v>92.456146885075597</v>
      </c>
      <c r="AJ4332">
        <v>102.33214758978799</v>
      </c>
      <c r="AK4332">
        <v>25.913579515010699</v>
      </c>
      <c r="AL4332">
        <v>83.696674539682306</v>
      </c>
      <c r="AM4332">
        <v>87.877105566530304</v>
      </c>
      <c r="AN4332">
        <v>0.99999999425890296</v>
      </c>
    </row>
    <row r="4333" spans="1:40" x14ac:dyDescent="0.25">
      <c r="A4333" t="str">
        <f>"20190312154646251"</f>
        <v>20190312154646251</v>
      </c>
      <c r="B4333" t="str">
        <f>"1552376806241667"</f>
        <v>1552376806241667</v>
      </c>
      <c r="C4333" t="s">
        <v>40</v>
      </c>
      <c r="D4333">
        <v>4.3227609999999999</v>
      </c>
      <c r="E4333">
        <v>0.45964110000000002</v>
      </c>
      <c r="F4333" t="s">
        <v>71</v>
      </c>
      <c r="G4333">
        <v>-415.36410000000001</v>
      </c>
      <c r="H4333" s="1">
        <v>-8.6299940000000006E-6</v>
      </c>
      <c r="I4333">
        <v>27.221779999999999</v>
      </c>
      <c r="J4333">
        <v>-421.3569</v>
      </c>
      <c r="K4333">
        <v>1.110479</v>
      </c>
      <c r="L4333">
        <v>85.634280000000004</v>
      </c>
      <c r="M4333">
        <v>-1.70996E-2</v>
      </c>
      <c r="N4333">
        <v>0</v>
      </c>
      <c r="O4333">
        <v>-0.99976770000000004</v>
      </c>
      <c r="P4333">
        <v>-5.409489E-2</v>
      </c>
      <c r="Q4333">
        <v>9.4755679999999995E-2</v>
      </c>
      <c r="R4333">
        <v>-0.99402990000000002</v>
      </c>
      <c r="S4333">
        <v>0.31094359999999999</v>
      </c>
      <c r="T4333">
        <v>-5.7646990000000002E-2</v>
      </c>
      <c r="U4333">
        <v>-3.0411380000000001</v>
      </c>
      <c r="V4333">
        <v>3.7047579999999997E-2</v>
      </c>
      <c r="W4333">
        <v>0.1078301</v>
      </c>
      <c r="X4333">
        <v>0.9934788</v>
      </c>
      <c r="Y4333">
        <v>-0.11869499999999999</v>
      </c>
      <c r="Z4333">
        <v>1.8832109999999999E-2</v>
      </c>
      <c r="AA4333">
        <v>0.99275210000000003</v>
      </c>
      <c r="AB4333">
        <v>17</v>
      </c>
      <c r="AC4333">
        <v>5.9927999999999804</v>
      </c>
      <c r="AD4333">
        <v>-1.1104876299940001</v>
      </c>
      <c r="AE4333">
        <v>-58.412500000000001</v>
      </c>
      <c r="AF4333">
        <v>-6.9883405797305898</v>
      </c>
      <c r="AG4333">
        <v>-1.1104876299940001</v>
      </c>
      <c r="AH4333">
        <v>58.280630238725799</v>
      </c>
      <c r="AI4333">
        <v>91.083828067633306</v>
      </c>
      <c r="AJ4333">
        <v>96.837602915994694</v>
      </c>
      <c r="AK4333">
        <v>58.708619025299498</v>
      </c>
      <c r="AL4333">
        <v>83.809754539927695</v>
      </c>
      <c r="AM4333">
        <v>87.864386369954403</v>
      </c>
      <c r="AN4333">
        <v>0.99999998984965299</v>
      </c>
    </row>
    <row r="4334" spans="1:40" x14ac:dyDescent="0.25">
      <c r="A4334" t="str">
        <f>"20190312154646272"</f>
        <v>20190312154646272</v>
      </c>
      <c r="B4334" t="str">
        <f>"1552376806262163"</f>
        <v>1552376806262163</v>
      </c>
      <c r="C4334" t="s">
        <v>40</v>
      </c>
      <c r="D4334">
        <v>4.3137049999999997</v>
      </c>
      <c r="E4334">
        <v>0.46873749999999997</v>
      </c>
      <c r="F4334" t="s">
        <v>42</v>
      </c>
      <c r="G4334">
        <v>-418.89499999999998</v>
      </c>
      <c r="H4334" s="1">
        <v>-7.4004079999999999E-7</v>
      </c>
      <c r="I4334">
        <v>40.900910000000003</v>
      </c>
      <c r="J4334">
        <v>-421.35939999999999</v>
      </c>
      <c r="K4334">
        <v>1.1104290000000001</v>
      </c>
      <c r="L4334">
        <v>85.46011</v>
      </c>
      <c r="M4334">
        <v>-1.6754939999999999E-2</v>
      </c>
      <c r="N4334">
        <v>0</v>
      </c>
      <c r="O4334">
        <v>-0.99977550000000004</v>
      </c>
      <c r="P4334">
        <v>-5.3654229999999997E-2</v>
      </c>
      <c r="Q4334">
        <v>9.2263239999999996E-2</v>
      </c>
      <c r="R4334">
        <v>-0.99428819999999996</v>
      </c>
      <c r="S4334">
        <v>0.16699220000000001</v>
      </c>
      <c r="T4334">
        <v>-7.5324769999999999E-2</v>
      </c>
      <c r="U4334">
        <v>-3.0343019999999998</v>
      </c>
      <c r="V4334">
        <v>3.694712E-2</v>
      </c>
      <c r="W4334">
        <v>0.1051778</v>
      </c>
      <c r="X4334">
        <v>0.99376679999999995</v>
      </c>
      <c r="Y4334">
        <v>-7.1658100000000002E-2</v>
      </c>
      <c r="Z4334">
        <v>2.4760919999999999E-2</v>
      </c>
      <c r="AA4334">
        <v>0.99712190000000001</v>
      </c>
      <c r="AB4334">
        <v>17</v>
      </c>
      <c r="AC4334">
        <v>2.4644000000000101</v>
      </c>
      <c r="AD4334">
        <v>-1.1104297400408001</v>
      </c>
      <c r="AE4334">
        <v>-44.559199999999997</v>
      </c>
      <c r="AF4334">
        <v>-3.2087169217180298</v>
      </c>
      <c r="AG4334">
        <v>-1.1104297400408001</v>
      </c>
      <c r="AH4334">
        <v>44.484108259806199</v>
      </c>
      <c r="AI4334">
        <v>91.426238734871106</v>
      </c>
      <c r="AJ4334">
        <v>94.125699864306</v>
      </c>
      <c r="AK4334">
        <v>44.613504750932101</v>
      </c>
      <c r="AL4334">
        <v>83.9625892615731</v>
      </c>
      <c r="AM4334">
        <v>87.870788731773004</v>
      </c>
      <c r="AN4334">
        <v>0.99999995603568603</v>
      </c>
    </row>
    <row r="4335" spans="1:40" x14ac:dyDescent="0.25">
      <c r="A4335" t="str">
        <f>"20190312154646295"</f>
        <v>20190312154646295</v>
      </c>
      <c r="B4335" t="str">
        <f>"1552376806292419"</f>
        <v>1552376806292419</v>
      </c>
      <c r="C4335" t="s">
        <v>40</v>
      </c>
      <c r="D4335">
        <v>4.2913040000000002</v>
      </c>
      <c r="E4335">
        <v>0.47536020000000001</v>
      </c>
      <c r="F4335" t="s">
        <v>42</v>
      </c>
      <c r="G4335">
        <v>-420.10289999999998</v>
      </c>
      <c r="H4335" s="1">
        <v>-2.8108499999999999E-6</v>
      </c>
      <c r="I4335">
        <v>46.07743</v>
      </c>
      <c r="J4335">
        <v>-421.36189999999999</v>
      </c>
      <c r="K4335">
        <v>1.110363</v>
      </c>
      <c r="L4335">
        <v>85.287409999999994</v>
      </c>
      <c r="M4335">
        <v>-1.6407640000000001E-2</v>
      </c>
      <c r="N4335">
        <v>0</v>
      </c>
      <c r="O4335">
        <v>-0.99978409999999995</v>
      </c>
      <c r="P4335">
        <v>-5.1969189999999998E-2</v>
      </c>
      <c r="Q4335">
        <v>9.1705679999999998E-2</v>
      </c>
      <c r="R4335">
        <v>-0.99442929999999996</v>
      </c>
      <c r="S4335">
        <v>9.6679689999999999E-2</v>
      </c>
      <c r="T4335">
        <v>-8.5443969999999994E-2</v>
      </c>
      <c r="U4335">
        <v>-3.0303650000000002</v>
      </c>
      <c r="V4335">
        <v>3.5607430000000002E-2</v>
      </c>
      <c r="W4335">
        <v>0.10440679999999999</v>
      </c>
      <c r="X4335">
        <v>0.99389700000000003</v>
      </c>
      <c r="Y4335">
        <v>-4.8271099999999997E-2</v>
      </c>
      <c r="Z4335">
        <v>2.8155449999999999E-2</v>
      </c>
      <c r="AA4335">
        <v>0.99843729999999997</v>
      </c>
      <c r="AB4335">
        <v>17</v>
      </c>
      <c r="AC4335">
        <v>1.2590000000000101</v>
      </c>
      <c r="AD4335">
        <v>-1.1103658108499901</v>
      </c>
      <c r="AE4335">
        <v>-39.209980000000002</v>
      </c>
      <c r="AF4335">
        <v>-1.9007033511409701</v>
      </c>
      <c r="AG4335">
        <v>-1.1103658108499901</v>
      </c>
      <c r="AH4335">
        <v>39.152676470855603</v>
      </c>
      <c r="AI4335">
        <v>91.622557100467006</v>
      </c>
      <c r="AJ4335">
        <v>92.779295323128807</v>
      </c>
      <c r="AK4335">
        <v>39.214508288316303</v>
      </c>
      <c r="AL4335">
        <v>84.007008889853395</v>
      </c>
      <c r="AM4335">
        <v>87.9481945532673</v>
      </c>
      <c r="AN4335">
        <v>0.99999995778322104</v>
      </c>
    </row>
    <row r="4336" spans="1:40" x14ac:dyDescent="0.25">
      <c r="A4336" t="str">
        <f>"20190312154646318"</f>
        <v>20190312154646318</v>
      </c>
      <c r="B4336" t="str">
        <f>"1552376806311939"</f>
        <v>1552376806311939</v>
      </c>
      <c r="C4336" t="s">
        <v>40</v>
      </c>
      <c r="D4336">
        <v>4.2786780000000002</v>
      </c>
      <c r="E4336">
        <v>0.47800409999999999</v>
      </c>
      <c r="F4336" t="s">
        <v>42</v>
      </c>
      <c r="G4336">
        <v>-420.72269999999997</v>
      </c>
      <c r="H4336" s="1">
        <v>-3.3601709999999999E-6</v>
      </c>
      <c r="I4336">
        <v>46.973509999999997</v>
      </c>
      <c r="J4336">
        <v>-421.36439999999999</v>
      </c>
      <c r="K4336">
        <v>1.1103080000000001</v>
      </c>
      <c r="L4336">
        <v>85.107759999999999</v>
      </c>
      <c r="M4336">
        <v>-1.6043310000000002E-2</v>
      </c>
      <c r="N4336">
        <v>0</v>
      </c>
      <c r="O4336">
        <v>-0.99979340000000005</v>
      </c>
      <c r="P4336">
        <v>-4.8843089999999999E-2</v>
      </c>
      <c r="Q4336">
        <v>9.3188839999999995E-2</v>
      </c>
      <c r="R4336">
        <v>-0.99444969999999999</v>
      </c>
      <c r="S4336">
        <v>5.0506589999999997E-2</v>
      </c>
      <c r="T4336">
        <v>-8.7740059999999995E-2</v>
      </c>
      <c r="U4336">
        <v>-3.0275270000000001</v>
      </c>
      <c r="V4336">
        <v>3.2845050000000001E-2</v>
      </c>
      <c r="W4336">
        <v>0.1056146</v>
      </c>
      <c r="X4336">
        <v>0.99386450000000004</v>
      </c>
      <c r="Y4336">
        <v>-3.2713329999999999E-2</v>
      </c>
      <c r="Z4336">
        <v>2.895325E-2</v>
      </c>
      <c r="AA4336">
        <v>0.99904530000000002</v>
      </c>
      <c r="AB4336">
        <v>17</v>
      </c>
      <c r="AC4336">
        <v>0.64170000000001404</v>
      </c>
      <c r="AD4336">
        <v>-1.110311360171</v>
      </c>
      <c r="AE4336">
        <v>-38.134250000000002</v>
      </c>
      <c r="AF4336">
        <v>-1.2524032455879499</v>
      </c>
      <c r="AG4336">
        <v>-1.110311360171</v>
      </c>
      <c r="AH4336">
        <v>38.086767206451</v>
      </c>
      <c r="AI4336">
        <v>91.668921014016206</v>
      </c>
      <c r="AJ4336">
        <v>91.883372594814404</v>
      </c>
      <c r="AK4336">
        <v>38.123524777287798</v>
      </c>
      <c r="AL4336">
        <v>83.937422210391603</v>
      </c>
      <c r="AM4336">
        <v>88.107188568443306</v>
      </c>
      <c r="AN4336">
        <v>0.99999994270145398</v>
      </c>
    </row>
    <row r="4337" spans="1:40" x14ac:dyDescent="0.25">
      <c r="A4337" t="str">
        <f>"20190312154646342"</f>
        <v>20190312154646342</v>
      </c>
      <c r="B4337" t="str">
        <f>"1552376806332435"</f>
        <v>1552376806332435</v>
      </c>
      <c r="C4337" t="s">
        <v>40</v>
      </c>
      <c r="D4337">
        <v>4.3182199999999904</v>
      </c>
      <c r="E4337">
        <v>0.48007660000000002</v>
      </c>
      <c r="F4337" t="s">
        <v>42</v>
      </c>
      <c r="G4337">
        <v>-420.80970000000002</v>
      </c>
      <c r="H4337" s="1">
        <v>-1.9607780000000002E-6</v>
      </c>
      <c r="I4337">
        <v>43.657519999999998</v>
      </c>
      <c r="J4337">
        <v>-421.36700000000002</v>
      </c>
      <c r="K4337">
        <v>1.1102529999999999</v>
      </c>
      <c r="L4337">
        <v>84.919799999999995</v>
      </c>
      <c r="M4337">
        <v>-1.566379E-2</v>
      </c>
      <c r="N4337">
        <v>0</v>
      </c>
      <c r="O4337">
        <v>-0.99980389999999997</v>
      </c>
      <c r="P4337">
        <v>-4.4326360000000002E-2</v>
      </c>
      <c r="Q4337">
        <v>9.5372360000000003E-2</v>
      </c>
      <c r="R4337">
        <v>-0.99445450000000002</v>
      </c>
      <c r="S4337">
        <v>4.0496829999999998E-2</v>
      </c>
      <c r="T4337">
        <v>-8.1065180000000001E-2</v>
      </c>
      <c r="U4337">
        <v>-3.0263369999999998</v>
      </c>
      <c r="V4337">
        <v>2.8706490000000001E-2</v>
      </c>
      <c r="W4337">
        <v>0.1074551</v>
      </c>
      <c r="X4337">
        <v>0.9937954</v>
      </c>
      <c r="Y4337">
        <v>-2.903737E-2</v>
      </c>
      <c r="Z4337">
        <v>2.6765190000000001E-2</v>
      </c>
      <c r="AA4337">
        <v>0.99921990000000005</v>
      </c>
      <c r="AB4337">
        <v>18</v>
      </c>
      <c r="AC4337">
        <v>0.55729999999994095</v>
      </c>
      <c r="AD4337">
        <v>-1.1102549607779999</v>
      </c>
      <c r="AE4337">
        <v>-41.262279999999997</v>
      </c>
      <c r="AF4337">
        <v>-1.2027321342267701</v>
      </c>
      <c r="AG4337">
        <v>-1.1102549607779999</v>
      </c>
      <c r="AH4337">
        <v>41.218650046182397</v>
      </c>
      <c r="AI4337">
        <v>91.5422751943874</v>
      </c>
      <c r="AJ4337">
        <v>91.671377574406904</v>
      </c>
      <c r="AK4337">
        <v>41.251137466672198</v>
      </c>
      <c r="AL4337">
        <v>83.831365961054502</v>
      </c>
      <c r="AM4337">
        <v>88.345430562231698</v>
      </c>
      <c r="AN4337">
        <v>0.99999997907264404</v>
      </c>
    </row>
    <row r="4338" spans="1:40" x14ac:dyDescent="0.25">
      <c r="A4338" t="str">
        <f>"20190312154646363"</f>
        <v>20190312154646363</v>
      </c>
      <c r="B4338" t="str">
        <f>"1552376806351956"</f>
        <v>1552376806351956</v>
      </c>
      <c r="C4338" t="s">
        <v>40</v>
      </c>
      <c r="D4338">
        <v>4.3782839999999998</v>
      </c>
      <c r="E4338">
        <v>0.48168060000000001</v>
      </c>
      <c r="F4338" t="s">
        <v>71</v>
      </c>
      <c r="G4338">
        <v>-420.75779999999997</v>
      </c>
      <c r="H4338" s="1">
        <v>-2.50967E-7</v>
      </c>
      <c r="I4338">
        <v>39.512479999999996</v>
      </c>
      <c r="J4338">
        <v>-421.36919999999998</v>
      </c>
      <c r="K4338">
        <v>1.1101989999999999</v>
      </c>
      <c r="L4338">
        <v>84.751400000000004</v>
      </c>
      <c r="M4338">
        <v>-1.532788E-2</v>
      </c>
      <c r="N4338">
        <v>0</v>
      </c>
      <c r="O4338">
        <v>-0.99981339999999996</v>
      </c>
      <c r="P4338">
        <v>-3.8287679999999998E-2</v>
      </c>
      <c r="Q4338">
        <v>9.6668649999999995E-2</v>
      </c>
      <c r="R4338">
        <v>-0.99458020000000003</v>
      </c>
      <c r="S4338">
        <v>4.058838E-2</v>
      </c>
      <c r="T4338">
        <v>-7.3979740000000002E-2</v>
      </c>
      <c r="U4338">
        <v>-3.0256349999999999</v>
      </c>
      <c r="V4338">
        <v>2.300015E-2</v>
      </c>
      <c r="W4338">
        <v>0.1083842</v>
      </c>
      <c r="X4338">
        <v>0.99384300000000003</v>
      </c>
      <c r="Y4338">
        <v>-2.87356E-2</v>
      </c>
      <c r="Z4338">
        <v>2.4433219999999999E-2</v>
      </c>
      <c r="AA4338">
        <v>0.99928839999999997</v>
      </c>
      <c r="AB4338">
        <v>18</v>
      </c>
      <c r="AC4338">
        <v>0.61140000000000305</v>
      </c>
      <c r="AD4338">
        <v>-1.110199250967</v>
      </c>
      <c r="AE4338">
        <v>-45.23892</v>
      </c>
      <c r="AF4338">
        <v>-1.30400763177698</v>
      </c>
      <c r="AG4338">
        <v>-1.110199250967</v>
      </c>
      <c r="AH4338">
        <v>45.197017565046004</v>
      </c>
      <c r="AI4338">
        <v>91.406519805103699</v>
      </c>
      <c r="AJ4338">
        <v>91.652618182165</v>
      </c>
      <c r="AK4338">
        <v>45.229452517752797</v>
      </c>
      <c r="AL4338">
        <v>83.777820006766504</v>
      </c>
      <c r="AM4338">
        <v>88.674261092070097</v>
      </c>
      <c r="AN4338">
        <v>1.00000002517933</v>
      </c>
    </row>
    <row r="4339" spans="1:40" x14ac:dyDescent="0.25">
      <c r="A4339" t="str">
        <f>"20190312154646385"</f>
        <v>20190312154646385</v>
      </c>
      <c r="B4339" t="str">
        <f>"1552376806382211"</f>
        <v>1552376806382211</v>
      </c>
      <c r="C4339" t="s">
        <v>40</v>
      </c>
      <c r="D4339">
        <v>4.3674330000000001</v>
      </c>
      <c r="E4339">
        <v>0.48365720000000001</v>
      </c>
      <c r="F4339" t="s">
        <v>71</v>
      </c>
      <c r="G4339">
        <v>-420.62479999999999</v>
      </c>
      <c r="H4339" s="1">
        <v>-1.7387200000000001E-6</v>
      </c>
      <c r="I4339">
        <v>37.024520000000003</v>
      </c>
      <c r="J4339">
        <v>-421.37139999999999</v>
      </c>
      <c r="K4339">
        <v>1.1101240000000001</v>
      </c>
      <c r="L4339">
        <v>84.584469999999996</v>
      </c>
      <c r="M4339">
        <v>-1.499821E-2</v>
      </c>
      <c r="N4339">
        <v>0</v>
      </c>
      <c r="O4339">
        <v>-0.99982320000000002</v>
      </c>
      <c r="P4339">
        <v>-3.2726659999999998E-2</v>
      </c>
      <c r="Q4339">
        <v>9.6945610000000002E-2</v>
      </c>
      <c r="R4339">
        <v>-0.99475170000000002</v>
      </c>
      <c r="S4339">
        <v>4.7180180000000002E-2</v>
      </c>
      <c r="T4339">
        <v>-7.0366020000000001E-2</v>
      </c>
      <c r="U4339">
        <v>-3.024994</v>
      </c>
      <c r="V4339">
        <v>1.7764350000000002E-2</v>
      </c>
      <c r="W4339">
        <v>0.10824110000000001</v>
      </c>
      <c r="X4339">
        <v>0.99396589999999996</v>
      </c>
      <c r="Y4339">
        <v>-3.0586269999999999E-2</v>
      </c>
      <c r="Z4339">
        <v>2.324447E-2</v>
      </c>
      <c r="AA4339">
        <v>0.99926179999999998</v>
      </c>
      <c r="AB4339">
        <v>18</v>
      </c>
      <c r="AC4339">
        <v>0.74660000000000004</v>
      </c>
      <c r="AD4339">
        <v>-1.1101257387200001</v>
      </c>
      <c r="AE4339">
        <v>-47.559949999999901</v>
      </c>
      <c r="AF4339">
        <v>-1.4590812518370999</v>
      </c>
      <c r="AG4339">
        <v>-1.1101257387200001</v>
      </c>
      <c r="AH4339">
        <v>47.517518785260997</v>
      </c>
      <c r="AI4339">
        <v>91.337696171900802</v>
      </c>
      <c r="AJ4339">
        <v>91.758781609775099</v>
      </c>
      <c r="AK4339">
        <v>47.552874663503403</v>
      </c>
      <c r="AL4339">
        <v>83.786067141769706</v>
      </c>
      <c r="AM4339">
        <v>88.976107799843206</v>
      </c>
      <c r="AN4339">
        <v>0.99999995911146999</v>
      </c>
    </row>
    <row r="4340" spans="1:40" x14ac:dyDescent="0.25">
      <c r="A4340" t="str">
        <f>"20190312154646407"</f>
        <v>20190312154646407</v>
      </c>
      <c r="B4340" t="str">
        <f>"1552376806401731"</f>
        <v>1552376806401731</v>
      </c>
      <c r="C4340" t="s">
        <v>40</v>
      </c>
      <c r="D4340">
        <v>4.3839839999999999</v>
      </c>
      <c r="E4340">
        <v>0.48493750000000002</v>
      </c>
      <c r="F4340" t="s">
        <v>71</v>
      </c>
      <c r="G4340">
        <v>-420.6216</v>
      </c>
      <c r="H4340" s="1">
        <v>-2.0162080000000001E-6</v>
      </c>
      <c r="I4340">
        <v>36.587269999999997</v>
      </c>
      <c r="J4340">
        <v>-421.37369999999999</v>
      </c>
      <c r="K4340">
        <v>1.1100540000000001</v>
      </c>
      <c r="L4340">
        <v>84.403809999999993</v>
      </c>
      <c r="M4340">
        <v>-1.464292E-2</v>
      </c>
      <c r="N4340">
        <v>0</v>
      </c>
      <c r="O4340">
        <v>-0.99983390000000005</v>
      </c>
      <c r="P4340">
        <v>-2.8917930000000001E-2</v>
      </c>
      <c r="Q4340">
        <v>9.7319459999999997E-2</v>
      </c>
      <c r="R4340">
        <v>-0.99483330000000003</v>
      </c>
      <c r="S4340">
        <v>4.7241209999999999E-2</v>
      </c>
      <c r="T4340">
        <v>-6.9946649999999999E-2</v>
      </c>
      <c r="U4340">
        <v>-3.0242</v>
      </c>
      <c r="V4340">
        <v>1.430733E-2</v>
      </c>
      <c r="W4340">
        <v>0.10813399999999999</v>
      </c>
      <c r="X4340">
        <v>0.99403339999999996</v>
      </c>
      <c r="Y4340">
        <v>-3.0255299999999999E-2</v>
      </c>
      <c r="Z4340">
        <v>2.311237E-2</v>
      </c>
      <c r="AA4340">
        <v>0.99927500000000002</v>
      </c>
      <c r="AB4340">
        <v>18</v>
      </c>
      <c r="AC4340">
        <v>0.752099999999984</v>
      </c>
      <c r="AD4340">
        <v>-1.110056016208</v>
      </c>
      <c r="AE4340">
        <v>-47.816539999999897</v>
      </c>
      <c r="AF4340">
        <v>-1.45145231443946</v>
      </c>
      <c r="AG4340">
        <v>-1.110056016208</v>
      </c>
      <c r="AH4340">
        <v>47.774658342816302</v>
      </c>
      <c r="AI4340">
        <v>91.330428483145795</v>
      </c>
      <c r="AJ4340">
        <v>91.740180298772501</v>
      </c>
      <c r="AK4340">
        <v>47.809590229921803</v>
      </c>
      <c r="AL4340">
        <v>83.792240198034705</v>
      </c>
      <c r="AM4340">
        <v>89.175386838635703</v>
      </c>
      <c r="AN4340">
        <v>1.0000000309816399</v>
      </c>
    </row>
    <row r="4341" spans="1:40" x14ac:dyDescent="0.25">
      <c r="A4341" t="str">
        <f>"20190312154646452"</f>
        <v>20190312154646452</v>
      </c>
      <c r="B4341" t="str">
        <f>"1552376806441747"</f>
        <v>1552376806441747</v>
      </c>
      <c r="C4341" t="s">
        <v>40</v>
      </c>
      <c r="D4341">
        <v>4.4432600000000004</v>
      </c>
      <c r="E4341">
        <v>0.50013379999999996</v>
      </c>
      <c r="F4341" t="s">
        <v>71</v>
      </c>
      <c r="G4341">
        <v>-420.6173</v>
      </c>
      <c r="H4341" s="1">
        <v>-1.6985980000000001E-6</v>
      </c>
      <c r="I4341">
        <v>37.085990000000002</v>
      </c>
      <c r="J4341">
        <v>-421.37810000000002</v>
      </c>
      <c r="K4341">
        <v>1.1099479999999999</v>
      </c>
      <c r="L4341">
        <v>84.043700000000001</v>
      </c>
      <c r="M4341">
        <v>-1.3933940000000001E-2</v>
      </c>
      <c r="N4341">
        <v>0</v>
      </c>
      <c r="O4341">
        <v>-0.99985349999999995</v>
      </c>
      <c r="P4341">
        <v>-2.8284050000000002E-2</v>
      </c>
      <c r="Q4341">
        <v>0.1004815</v>
      </c>
      <c r="R4341">
        <v>-0.99453670000000005</v>
      </c>
      <c r="S4341">
        <v>4.8339840000000002E-2</v>
      </c>
      <c r="T4341">
        <v>-7.0940020000000006E-2</v>
      </c>
      <c r="U4341">
        <v>-3.0239259999999999</v>
      </c>
      <c r="V4341">
        <v>1.4380769999999999E-2</v>
      </c>
      <c r="W4341">
        <v>0.110380199999999</v>
      </c>
      <c r="X4341">
        <v>0.99378540000000004</v>
      </c>
      <c r="Y4341">
        <v>-2.991065E-2</v>
      </c>
      <c r="Z4341">
        <v>2.344297E-2</v>
      </c>
      <c r="AA4341">
        <v>0.99927770000000005</v>
      </c>
      <c r="AB4341">
        <v>18</v>
      </c>
      <c r="AC4341">
        <v>0.76080000000001702</v>
      </c>
      <c r="AD4341">
        <v>-1.109949698598</v>
      </c>
      <c r="AE4341">
        <v>-46.957709999999999</v>
      </c>
      <c r="AF4341">
        <v>-1.41427440585596</v>
      </c>
      <c r="AG4341">
        <v>-1.109949698598</v>
      </c>
      <c r="AH4341">
        <v>46.916343199854502</v>
      </c>
      <c r="AI4341">
        <v>91.354639115404296</v>
      </c>
      <c r="AJ4341">
        <v>91.726635493765897</v>
      </c>
      <c r="AK4341">
        <v>46.950776560936802</v>
      </c>
      <c r="AL4341">
        <v>83.662767162293804</v>
      </c>
      <c r="AM4341">
        <v>89.170947850683106</v>
      </c>
      <c r="AN4341">
        <v>1.0000000081754901</v>
      </c>
    </row>
    <row r="4342" spans="1:40" x14ac:dyDescent="0.25">
      <c r="A4342" t="str">
        <f>"20190312154646473"</f>
        <v>20190312154646473</v>
      </c>
      <c r="B4342" t="str">
        <f>"1552376806462243"</f>
        <v>1552376806462243</v>
      </c>
      <c r="C4342" t="s">
        <v>40</v>
      </c>
      <c r="D4342">
        <v>4.4310369999999999</v>
      </c>
      <c r="E4342">
        <v>0.50020969999999998</v>
      </c>
      <c r="F4342" t="s">
        <v>42</v>
      </c>
      <c r="G4342">
        <v>-422.27330000000001</v>
      </c>
      <c r="H4342" s="1">
        <v>-3.319687E-6</v>
      </c>
      <c r="I4342">
        <v>45.917450000000002</v>
      </c>
      <c r="J4342">
        <v>-421.38010000000003</v>
      </c>
      <c r="K4342">
        <v>1.109891</v>
      </c>
      <c r="L4342">
        <v>83.867800000000003</v>
      </c>
      <c r="M4342">
        <v>-1.358561E-2</v>
      </c>
      <c r="N4342">
        <v>0</v>
      </c>
      <c r="O4342">
        <v>-0.99986260000000005</v>
      </c>
      <c r="P4342">
        <v>-2.940187E-2</v>
      </c>
      <c r="Q4342">
        <v>9.9607260000000003E-2</v>
      </c>
      <c r="R4342">
        <v>-0.99459249999999999</v>
      </c>
      <c r="S4342">
        <v>-7.0983889999999994E-2</v>
      </c>
      <c r="T4342">
        <v>-8.8018059999999995E-2</v>
      </c>
      <c r="U4342">
        <v>-3.0233759999999998</v>
      </c>
      <c r="V4342">
        <v>1.584437E-2</v>
      </c>
      <c r="W4342">
        <v>0.10906970000000001</v>
      </c>
      <c r="X4342">
        <v>0.99390780000000001</v>
      </c>
      <c r="Y4342">
        <v>9.8772960000000007E-3</v>
      </c>
      <c r="Z4342">
        <v>2.9091430000000001E-2</v>
      </c>
      <c r="AA4342">
        <v>0.99952790000000002</v>
      </c>
      <c r="AB4342">
        <v>18</v>
      </c>
      <c r="AC4342">
        <v>-0.89319999999997801</v>
      </c>
      <c r="AD4342">
        <v>-1.1098943196869999</v>
      </c>
      <c r="AE4342">
        <v>-37.95035</v>
      </c>
      <c r="AF4342">
        <v>0.377193203974725</v>
      </c>
      <c r="AG4342">
        <v>-1.1098943196869999</v>
      </c>
      <c r="AH4342">
        <v>37.926560896556502</v>
      </c>
      <c r="AI4342">
        <v>91.676159729507603</v>
      </c>
      <c r="AJ4342">
        <v>89.430191779969704</v>
      </c>
      <c r="AK4342">
        <v>37.944672373789302</v>
      </c>
      <c r="AL4342">
        <v>83.738309229201207</v>
      </c>
      <c r="AM4342">
        <v>89.086697337125102</v>
      </c>
      <c r="AN4342">
        <v>0.99999997920981298</v>
      </c>
    </row>
    <row r="4343" spans="1:40" x14ac:dyDescent="0.25">
      <c r="A4343" t="str">
        <f>"20190312154646496"</f>
        <v>20190312154646496</v>
      </c>
      <c r="B4343" t="str">
        <f>"1552376806492498"</f>
        <v>1552376806492498</v>
      </c>
      <c r="C4343" t="s">
        <v>40</v>
      </c>
      <c r="D4343">
        <v>4.4656840000000004</v>
      </c>
      <c r="E4343">
        <v>0.50047240000000004</v>
      </c>
      <c r="F4343" t="s">
        <v>42</v>
      </c>
      <c r="G4343">
        <v>-422.2876</v>
      </c>
      <c r="H4343" s="1">
        <v>-3.8428809999999998E-6</v>
      </c>
      <c r="I4343">
        <v>47.12811</v>
      </c>
      <c r="J4343">
        <v>-421.38220000000001</v>
      </c>
      <c r="K4343">
        <v>1.109836</v>
      </c>
      <c r="L4343">
        <v>83.684809999999999</v>
      </c>
      <c r="M4343">
        <v>-1.32227E-2</v>
      </c>
      <c r="N4343">
        <v>0</v>
      </c>
      <c r="O4343">
        <v>-0.99987190000000004</v>
      </c>
      <c r="P4343">
        <v>-3.2098700000000001E-2</v>
      </c>
      <c r="Q4343">
        <v>9.7203269999999994E-2</v>
      </c>
      <c r="R4343">
        <v>-0.9947471</v>
      </c>
      <c r="S4343">
        <v>-7.4676510000000001E-2</v>
      </c>
      <c r="T4343">
        <v>-9.1331599999999999E-2</v>
      </c>
      <c r="U4343">
        <v>-3.0232540000000001</v>
      </c>
      <c r="V4343">
        <v>1.8900750000000001E-2</v>
      </c>
      <c r="W4343">
        <v>0.1062096</v>
      </c>
      <c r="X4343">
        <v>0.9941641</v>
      </c>
      <c r="Y4343">
        <v>1.146055E-2</v>
      </c>
      <c r="Z4343">
        <v>3.0186370000000001E-2</v>
      </c>
      <c r="AA4343">
        <v>0.99947859999999999</v>
      </c>
      <c r="AB4343">
        <v>18</v>
      </c>
      <c r="AC4343">
        <v>-0.90539999999998599</v>
      </c>
      <c r="AD4343">
        <v>-1.1098398428809999</v>
      </c>
      <c r="AE4343">
        <v>-36.556699999999999</v>
      </c>
      <c r="AF4343">
        <v>0.42153461427174999</v>
      </c>
      <c r="AG4343">
        <v>-1.1098398428809999</v>
      </c>
      <c r="AH4343">
        <v>36.531825621988901</v>
      </c>
      <c r="AI4343">
        <v>91.739999481007601</v>
      </c>
      <c r="AJ4343">
        <v>89.338902940633304</v>
      </c>
      <c r="AK4343">
        <v>36.551111052651699</v>
      </c>
      <c r="AL4343">
        <v>83.903138664406598</v>
      </c>
      <c r="AM4343">
        <v>88.910841017682699</v>
      </c>
      <c r="AN4343">
        <v>0.99999998760576603</v>
      </c>
    </row>
    <row r="4344" spans="1:40" x14ac:dyDescent="0.25">
      <c r="A4344" t="str">
        <f>"20190312154646520"</f>
        <v>20190312154646520</v>
      </c>
      <c r="B4344" t="str">
        <f>"1552376806512019"</f>
        <v>1552376806512019</v>
      </c>
      <c r="C4344" t="s">
        <v>40</v>
      </c>
      <c r="D4344">
        <v>4.4559470000000001</v>
      </c>
      <c r="E4344">
        <v>0.50076469999999995</v>
      </c>
      <c r="F4344" t="s">
        <v>42</v>
      </c>
      <c r="G4344">
        <v>-422.34</v>
      </c>
      <c r="H4344" s="1">
        <v>-7.5103699999999995E-7</v>
      </c>
      <c r="I4344">
        <v>49.888469999999998</v>
      </c>
      <c r="J4344">
        <v>-421.3845</v>
      </c>
      <c r="K4344">
        <v>1.1097589999999999</v>
      </c>
      <c r="L4344">
        <v>83.484650000000002</v>
      </c>
      <c r="M4344">
        <v>-1.282496E-2</v>
      </c>
      <c r="N4344">
        <v>0</v>
      </c>
      <c r="O4344">
        <v>-0.99988140000000003</v>
      </c>
      <c r="P4344">
        <v>-3.5141270000000002E-2</v>
      </c>
      <c r="Q4344">
        <v>9.3954350000000006E-2</v>
      </c>
      <c r="R4344">
        <v>-0.99495619999999996</v>
      </c>
      <c r="S4344">
        <v>-8.5662840000000004E-2</v>
      </c>
      <c r="T4344">
        <v>-9.926546E-2</v>
      </c>
      <c r="U4344">
        <v>-3.0227970000000002</v>
      </c>
      <c r="V4344">
        <v>2.2337289999999999E-2</v>
      </c>
      <c r="W4344">
        <v>0.1024466</v>
      </c>
      <c r="X4344">
        <v>0.99448769999999997</v>
      </c>
      <c r="Y4344">
        <v>1.54897E-2</v>
      </c>
      <c r="Z4344">
        <v>3.2808660000000003E-2</v>
      </c>
      <c r="AA4344">
        <v>0.99934160000000005</v>
      </c>
      <c r="AB4344">
        <v>18</v>
      </c>
      <c r="AC4344">
        <v>-0.95549999999997204</v>
      </c>
      <c r="AD4344">
        <v>-1.1097597510370001</v>
      </c>
      <c r="AE4344">
        <v>-33.596179999999997</v>
      </c>
      <c r="AF4344">
        <v>0.52396482810801204</v>
      </c>
      <c r="AG4344">
        <v>-1.1097597510370001</v>
      </c>
      <c r="AH4344">
        <v>33.5690726800539</v>
      </c>
      <c r="AI4344">
        <v>91.893220775292505</v>
      </c>
      <c r="AJ4344">
        <v>89.105768099936398</v>
      </c>
      <c r="AK4344">
        <v>33.591498127425901</v>
      </c>
      <c r="AL4344">
        <v>84.119926048543107</v>
      </c>
      <c r="AM4344">
        <v>88.713289986138093</v>
      </c>
      <c r="AN4344">
        <v>1.0000000229136901</v>
      </c>
    </row>
    <row r="4345" spans="1:40" x14ac:dyDescent="0.25">
      <c r="A4345" t="str">
        <f>"20190312154646543"</f>
        <v>20190312154646543</v>
      </c>
      <c r="B4345" t="str">
        <f>"1552376806532515"</f>
        <v>1552376806532515</v>
      </c>
      <c r="C4345" t="s">
        <v>40</v>
      </c>
      <c r="D4345">
        <v>4.35656</v>
      </c>
      <c r="E4345">
        <v>0.50075360000000002</v>
      </c>
      <c r="F4345" t="s">
        <v>42</v>
      </c>
      <c r="G4345">
        <v>-422.32470000000001</v>
      </c>
      <c r="H4345" s="1">
        <v>-2.6116449999999999E-6</v>
      </c>
      <c r="I4345">
        <v>54.235039999999998</v>
      </c>
      <c r="J4345">
        <v>-421.38639999999998</v>
      </c>
      <c r="K4345">
        <v>1.109685</v>
      </c>
      <c r="L4345">
        <v>83.297209999999893</v>
      </c>
      <c r="M4345">
        <v>-1.245226E-2</v>
      </c>
      <c r="N4345">
        <v>0</v>
      </c>
      <c r="O4345">
        <v>-0.99989019999999995</v>
      </c>
      <c r="P4345">
        <v>-3.8266389999999997E-2</v>
      </c>
      <c r="Q4345">
        <v>9.009122E-2</v>
      </c>
      <c r="R4345">
        <v>-0.99519820000000003</v>
      </c>
      <c r="S4345">
        <v>-9.7167970000000006E-2</v>
      </c>
      <c r="T4345">
        <v>-0.114681199999999</v>
      </c>
      <c r="U4345">
        <v>-3.0226139999999999</v>
      </c>
      <c r="V4345">
        <v>2.5831489999999999E-2</v>
      </c>
      <c r="W4345">
        <v>9.8099809999999996E-2</v>
      </c>
      <c r="X4345">
        <v>0.99484130000000004</v>
      </c>
      <c r="Y4345">
        <v>1.9658599999999998E-2</v>
      </c>
      <c r="Z4345">
        <v>3.7895959999999999E-2</v>
      </c>
      <c r="AA4345">
        <v>0.99908830000000004</v>
      </c>
      <c r="AB4345">
        <v>18</v>
      </c>
      <c r="AC4345">
        <v>-0.938300000000026</v>
      </c>
      <c r="AD4345">
        <v>-1.1096876116450001</v>
      </c>
      <c r="AE4345">
        <v>-29.062169999999899</v>
      </c>
      <c r="AF4345">
        <v>0.575487708905703</v>
      </c>
      <c r="AG4345">
        <v>-1.1096876116450001</v>
      </c>
      <c r="AH4345">
        <v>29.029321430050199</v>
      </c>
      <c r="AI4345">
        <v>92.188718155130601</v>
      </c>
      <c r="AJ4345">
        <v>88.864296623091903</v>
      </c>
      <c r="AK4345">
        <v>29.056223006229001</v>
      </c>
      <c r="AL4345">
        <v>84.370240582230593</v>
      </c>
      <c r="AM4345">
        <v>88.512624199674207</v>
      </c>
      <c r="AN4345">
        <v>1.0000000253916701</v>
      </c>
    </row>
    <row r="4346" spans="1:40" x14ac:dyDescent="0.25">
      <c r="A4346" t="str">
        <f>"20190312154646586"</f>
        <v>20190312154646586</v>
      </c>
      <c r="B4346" t="str">
        <f>"1552376806582291"</f>
        <v>1552376806582291</v>
      </c>
      <c r="C4346" t="s">
        <v>40</v>
      </c>
      <c r="D4346">
        <v>4.4279929999999998</v>
      </c>
      <c r="E4346">
        <v>0.55192010000000002</v>
      </c>
      <c r="F4346" t="s">
        <v>42</v>
      </c>
      <c r="G4346">
        <v>-422.2867</v>
      </c>
      <c r="H4346" s="1">
        <v>-3.9828560000000001E-6</v>
      </c>
      <c r="I4346">
        <v>57.498629999999999</v>
      </c>
      <c r="J4346">
        <v>-421.39</v>
      </c>
      <c r="K4346">
        <v>1.1095630000000001</v>
      </c>
      <c r="L4346">
        <v>82.939329999999998</v>
      </c>
      <c r="M4346">
        <v>-1.174268E-2</v>
      </c>
      <c r="N4346">
        <v>0</v>
      </c>
      <c r="O4346">
        <v>-0.9999055</v>
      </c>
      <c r="P4346">
        <v>-4.3307720000000001E-2</v>
      </c>
      <c r="Q4346">
        <v>8.4575070000000002E-2</v>
      </c>
      <c r="R4346">
        <v>-0.99547569999999996</v>
      </c>
      <c r="S4346">
        <v>-0.1054688</v>
      </c>
      <c r="T4346">
        <v>-0.129995</v>
      </c>
      <c r="U4346">
        <v>-3.022186</v>
      </c>
      <c r="V4346">
        <v>3.1577319999999999E-2</v>
      </c>
      <c r="W4346">
        <v>9.1734309999999999E-2</v>
      </c>
      <c r="X4346">
        <v>0.99528269999999996</v>
      </c>
      <c r="Y4346">
        <v>2.310651E-2</v>
      </c>
      <c r="Z4346">
        <v>4.2950599999999999E-2</v>
      </c>
      <c r="AA4346">
        <v>0.99880990000000003</v>
      </c>
      <c r="AB4346">
        <v>18</v>
      </c>
      <c r="AC4346">
        <v>-0.89670000000000905</v>
      </c>
      <c r="AD4346">
        <v>-1.10956698285599</v>
      </c>
      <c r="AE4346">
        <v>-25.4407</v>
      </c>
      <c r="AF4346">
        <v>0.59675481954082199</v>
      </c>
      <c r="AG4346">
        <v>-1.10956698285599</v>
      </c>
      <c r="AH4346">
        <v>25.4012183238803</v>
      </c>
      <c r="AI4346">
        <v>92.500494767041701</v>
      </c>
      <c r="AJ4346">
        <v>88.654188795838493</v>
      </c>
      <c r="AK4346">
        <v>25.432442815064402</v>
      </c>
      <c r="AL4346">
        <v>84.736611363500998</v>
      </c>
      <c r="AM4346">
        <v>88.182787195031906</v>
      </c>
      <c r="AN4346">
        <v>0.99999998184442396</v>
      </c>
    </row>
    <row r="4347" spans="1:40" x14ac:dyDescent="0.25">
      <c r="A4347" t="str">
        <f>"20190312154646608"</f>
        <v>20190312154646608</v>
      </c>
      <c r="B4347" t="str">
        <f>"1552376806601812"</f>
        <v>1552376806601812</v>
      </c>
      <c r="C4347" t="s">
        <v>40</v>
      </c>
      <c r="D4347">
        <v>4.4056220000000001</v>
      </c>
      <c r="E4347">
        <v>0.55136790000000002</v>
      </c>
      <c r="F4347" t="s">
        <v>41</v>
      </c>
      <c r="G4347">
        <v>-421.5258</v>
      </c>
      <c r="H4347">
        <v>0.91065569999999896</v>
      </c>
      <c r="I4347">
        <v>82.121409999999997</v>
      </c>
      <c r="J4347">
        <v>-421.39190000000002</v>
      </c>
      <c r="K4347">
        <v>1.10951</v>
      </c>
      <c r="L4347">
        <v>82.744509999999906</v>
      </c>
      <c r="M4347">
        <v>-1.1357880000000001E-2</v>
      </c>
      <c r="N4347">
        <v>0</v>
      </c>
      <c r="O4347">
        <v>-0.99991289999999999</v>
      </c>
      <c r="P4347">
        <v>-4.4968809999999998E-2</v>
      </c>
      <c r="Q4347">
        <v>8.0904379999999998E-2</v>
      </c>
      <c r="R4347">
        <v>-0.99570720000000001</v>
      </c>
      <c r="S4347">
        <v>-0.50601200000000002</v>
      </c>
      <c r="T4347">
        <v>-0.74288509999999996</v>
      </c>
      <c r="U4347">
        <v>-3.0547490000000002</v>
      </c>
      <c r="V4347">
        <v>3.3619999999999997E-2</v>
      </c>
      <c r="W4347">
        <v>8.7661429999999999E-2</v>
      </c>
      <c r="X4347">
        <v>0.99558279999999999</v>
      </c>
      <c r="Y4347">
        <v>0.1476894</v>
      </c>
      <c r="Z4347">
        <v>0.2334852</v>
      </c>
      <c r="AA4347">
        <v>0.96107880000000001</v>
      </c>
      <c r="AB4347">
        <v>19</v>
      </c>
      <c r="AC4347">
        <v>-0.13389999999998201</v>
      </c>
      <c r="AD4347">
        <v>-0.19885430000000001</v>
      </c>
      <c r="AE4347">
        <v>-0.62309999999999299</v>
      </c>
      <c r="AF4347">
        <v>0.11556366226965401</v>
      </c>
      <c r="AG4347">
        <v>-0.19885430000000001</v>
      </c>
      <c r="AH4347">
        <v>0.56917033800203298</v>
      </c>
      <c r="AI4347">
        <v>108.900667293656</v>
      </c>
      <c r="AJ4347">
        <v>78.522751933034399</v>
      </c>
      <c r="AK4347">
        <v>0.61388343056887695</v>
      </c>
      <c r="AL4347">
        <v>84.970914787278801</v>
      </c>
      <c r="AM4347">
        <v>88.065904321631805</v>
      </c>
      <c r="AN4347">
        <v>0.99999997118274198</v>
      </c>
    </row>
    <row r="4348" spans="1:40" x14ac:dyDescent="0.25">
      <c r="A4348" t="str">
        <f>"20190312154646631"</f>
        <v>20190312154646631</v>
      </c>
      <c r="B4348" t="str">
        <f>"1552376806622307"</f>
        <v>1552376806622307</v>
      </c>
      <c r="C4348" t="s">
        <v>40</v>
      </c>
      <c r="D4348">
        <v>4.5030469999999996</v>
      </c>
      <c r="E4348">
        <v>0.55191429999999997</v>
      </c>
      <c r="F4348" t="s">
        <v>41</v>
      </c>
      <c r="G4348">
        <v>-421.52409999999998</v>
      </c>
      <c r="H4348">
        <v>0.91239890000000001</v>
      </c>
      <c r="I4348">
        <v>81.949770000000001</v>
      </c>
      <c r="J4348">
        <v>-421.39359999999999</v>
      </c>
      <c r="K4348">
        <v>1.1094630000000001</v>
      </c>
      <c r="L4348">
        <v>82.557919999999996</v>
      </c>
      <c r="M4348">
        <v>-1.0990120000000001E-2</v>
      </c>
      <c r="N4348">
        <v>0</v>
      </c>
      <c r="O4348">
        <v>-0.99991929999999996</v>
      </c>
      <c r="P4348">
        <v>-4.5698580000000003E-2</v>
      </c>
      <c r="Q4348">
        <v>7.7806490000000006E-2</v>
      </c>
      <c r="R4348">
        <v>-0.99592080000000005</v>
      </c>
      <c r="S4348">
        <v>-0.5068665</v>
      </c>
      <c r="T4348">
        <v>-0.75686509999999996</v>
      </c>
      <c r="U4348">
        <v>-3.0515439999999998</v>
      </c>
      <c r="V4348">
        <v>3.471457E-2</v>
      </c>
      <c r="W4348">
        <v>8.4214789999999998E-2</v>
      </c>
      <c r="X4348">
        <v>0.99584280000000003</v>
      </c>
      <c r="Y4348">
        <v>0.1483042</v>
      </c>
      <c r="Z4348">
        <v>0.2378478</v>
      </c>
      <c r="AA4348">
        <v>0.95991369999999998</v>
      </c>
      <c r="AB4348">
        <v>19</v>
      </c>
      <c r="AC4348">
        <v>-0.13049999999998299</v>
      </c>
      <c r="AD4348">
        <v>-0.19706409999999899</v>
      </c>
      <c r="AE4348">
        <v>-0.60814999999999397</v>
      </c>
      <c r="AF4348">
        <v>0.11251428013479201</v>
      </c>
      <c r="AG4348">
        <v>-0.19706409999999899</v>
      </c>
      <c r="AH4348">
        <v>0.55394328577141205</v>
      </c>
      <c r="AI4348">
        <v>109.22003598911</v>
      </c>
      <c r="AJ4348">
        <v>78.518549995881301</v>
      </c>
      <c r="AK4348">
        <v>0.59862082038155795</v>
      </c>
      <c r="AL4348">
        <v>85.169126523298303</v>
      </c>
      <c r="AM4348">
        <v>88.003506909655997</v>
      </c>
      <c r="AN4348">
        <v>1.00000005726843</v>
      </c>
    </row>
    <row r="4349" spans="1:40" x14ac:dyDescent="0.25">
      <c r="A4349" t="str">
        <f>"20190312154646652"</f>
        <v>20190312154646652</v>
      </c>
      <c r="B4349" t="str">
        <f>"1552376806641827"</f>
        <v>1552376806641827</v>
      </c>
      <c r="C4349" t="s">
        <v>40</v>
      </c>
      <c r="D4349">
        <v>4.4569109999999998</v>
      </c>
      <c r="E4349">
        <v>0.55151430000000001</v>
      </c>
      <c r="F4349" t="s">
        <v>41</v>
      </c>
      <c r="G4349">
        <v>-421.52550000000002</v>
      </c>
      <c r="H4349">
        <v>0.91135639999999996</v>
      </c>
      <c r="I4349">
        <v>81.777969999999996</v>
      </c>
      <c r="J4349">
        <v>-421.39530000000002</v>
      </c>
      <c r="K4349">
        <v>1.1094269999999999</v>
      </c>
      <c r="L4349">
        <v>82.364620000000002</v>
      </c>
      <c r="M4349">
        <v>-1.0609850000000001E-2</v>
      </c>
      <c r="N4349">
        <v>0</v>
      </c>
      <c r="O4349">
        <v>-0.99992530000000002</v>
      </c>
      <c r="P4349">
        <v>-4.6259439999999999E-2</v>
      </c>
      <c r="Q4349">
        <v>7.5712520000000005E-2</v>
      </c>
      <c r="R4349">
        <v>-0.9960561</v>
      </c>
      <c r="S4349">
        <v>-0.51455689999999998</v>
      </c>
      <c r="T4349">
        <v>-0.77453369999999999</v>
      </c>
      <c r="U4349">
        <v>-3.049194</v>
      </c>
      <c r="V4349">
        <v>3.5653299999999999E-2</v>
      </c>
      <c r="W4349">
        <v>8.1797019999999998E-2</v>
      </c>
      <c r="X4349">
        <v>0.99601110000000004</v>
      </c>
      <c r="Y4349">
        <v>0.1509354</v>
      </c>
      <c r="Z4349">
        <v>0.24315129999999999</v>
      </c>
      <c r="AA4349">
        <v>0.95817319999999995</v>
      </c>
      <c r="AB4349">
        <v>19</v>
      </c>
      <c r="AC4349">
        <v>-0.13020000000000201</v>
      </c>
      <c r="AD4349">
        <v>-0.19807059999999899</v>
      </c>
      <c r="AE4349">
        <v>-0.586650000000005</v>
      </c>
      <c r="AF4349">
        <v>0.111819883789184</v>
      </c>
      <c r="AG4349">
        <v>-0.19807059999999899</v>
      </c>
      <c r="AH4349">
        <v>0.530376876608467</v>
      </c>
      <c r="AI4349">
        <v>110.073287059286</v>
      </c>
      <c r="AJ4349">
        <v>78.094627114133502</v>
      </c>
      <c r="AK4349">
        <v>0.57709208990934802</v>
      </c>
      <c r="AL4349">
        <v>85.308134056380396</v>
      </c>
      <c r="AM4349">
        <v>87.949910626226696</v>
      </c>
      <c r="AN4349">
        <v>1.00000001080249</v>
      </c>
    </row>
    <row r="4350" spans="1:40" x14ac:dyDescent="0.25">
      <c r="A4350" t="str">
        <f>"20190312154646675"</f>
        <v>20190312154646675</v>
      </c>
      <c r="B4350" t="str">
        <f>"1552376806672083"</f>
        <v>1552376806672083</v>
      </c>
      <c r="C4350" t="s">
        <v>40</v>
      </c>
      <c r="D4350">
        <v>4.5202679999999997</v>
      </c>
      <c r="E4350">
        <v>0.5515293</v>
      </c>
      <c r="F4350" t="s">
        <v>41</v>
      </c>
      <c r="G4350">
        <v>-421.52390000000003</v>
      </c>
      <c r="H4350">
        <v>0.9155643</v>
      </c>
      <c r="I4350">
        <v>81.602829999999997</v>
      </c>
      <c r="J4350">
        <v>-421.39690000000002</v>
      </c>
      <c r="K4350">
        <v>1.1094040000000001</v>
      </c>
      <c r="L4350">
        <v>82.170900000000003</v>
      </c>
      <c r="M4350">
        <v>-1.0228920000000001E-2</v>
      </c>
      <c r="N4350">
        <v>0</v>
      </c>
      <c r="O4350">
        <v>-0.99993100000000001</v>
      </c>
      <c r="P4350">
        <v>-4.6371950000000002E-2</v>
      </c>
      <c r="Q4350">
        <v>7.3951530000000001E-2</v>
      </c>
      <c r="R4350">
        <v>-0.99618320000000005</v>
      </c>
      <c r="S4350">
        <v>-0.51351930000000001</v>
      </c>
      <c r="T4350">
        <v>-0.77545799999999998</v>
      </c>
      <c r="U4350">
        <v>-3.046967</v>
      </c>
      <c r="V4350">
        <v>3.6144379999999997E-2</v>
      </c>
      <c r="W4350">
        <v>7.9747609999999997E-2</v>
      </c>
      <c r="X4350">
        <v>0.99615960000000003</v>
      </c>
      <c r="Y4350">
        <v>0.1510909</v>
      </c>
      <c r="Z4350">
        <v>0.2435939</v>
      </c>
      <c r="AA4350">
        <v>0.95803629999999995</v>
      </c>
      <c r="AB4350">
        <v>19</v>
      </c>
      <c r="AC4350">
        <v>-0.12700000000000899</v>
      </c>
      <c r="AD4350">
        <v>-0.1938397</v>
      </c>
      <c r="AE4350">
        <v>-0.56806999999999097</v>
      </c>
      <c r="AF4350">
        <v>0.10908577238650299</v>
      </c>
      <c r="AG4350">
        <v>-0.1938397</v>
      </c>
      <c r="AH4350">
        <v>0.51250648519603703</v>
      </c>
      <c r="AI4350">
        <v>110.301052540158</v>
      </c>
      <c r="AJ4350">
        <v>77.984046820859803</v>
      </c>
      <c r="AK4350">
        <v>0.55869171499248604</v>
      </c>
      <c r="AL4350">
        <v>85.425941602727903</v>
      </c>
      <c r="AM4350">
        <v>87.922007327506293</v>
      </c>
      <c r="AN4350">
        <v>1.0000000230892201</v>
      </c>
    </row>
    <row r="4351" spans="1:40" x14ac:dyDescent="0.25">
      <c r="A4351" t="str">
        <f>"20190312154646697"</f>
        <v>20190312154646697</v>
      </c>
      <c r="B4351" t="str">
        <f>"1552376806692579"</f>
        <v>1552376806692579</v>
      </c>
      <c r="C4351" t="s">
        <v>40</v>
      </c>
      <c r="D4351">
        <v>4.4817790000000004</v>
      </c>
      <c r="E4351">
        <v>0.55137360000000002</v>
      </c>
      <c r="F4351" t="s">
        <v>41</v>
      </c>
      <c r="G4351">
        <v>-421.52280000000002</v>
      </c>
      <c r="H4351">
        <v>0.91846570000000005</v>
      </c>
      <c r="I4351">
        <v>81.427019999999999</v>
      </c>
      <c r="J4351">
        <v>-421.39850000000001</v>
      </c>
      <c r="K4351">
        <v>1.1093949999999999</v>
      </c>
      <c r="L4351">
        <v>81.97748</v>
      </c>
      <c r="M4351">
        <v>-9.8488129999999997E-3</v>
      </c>
      <c r="N4351">
        <v>0</v>
      </c>
      <c r="O4351">
        <v>-0.99993620000000005</v>
      </c>
      <c r="P4351">
        <v>-4.6120899999999999E-2</v>
      </c>
      <c r="Q4351">
        <v>7.33954E-2</v>
      </c>
      <c r="R4351">
        <v>-0.99623600000000001</v>
      </c>
      <c r="S4351">
        <v>-0.51409910000000003</v>
      </c>
      <c r="T4351">
        <v>-0.78177859999999999</v>
      </c>
      <c r="U4351">
        <v>-3.0455930000000002</v>
      </c>
      <c r="V4351">
        <v>3.627143E-2</v>
      </c>
      <c r="W4351">
        <v>7.8937170000000001E-2</v>
      </c>
      <c r="X4351">
        <v>0.99621950000000004</v>
      </c>
      <c r="Y4351">
        <v>0.151632399999999</v>
      </c>
      <c r="Z4351">
        <v>0.24554880000000001</v>
      </c>
      <c r="AA4351">
        <v>0.95745150000000001</v>
      </c>
      <c r="AB4351">
        <v>19</v>
      </c>
      <c r="AC4351">
        <v>-0.124300000000005</v>
      </c>
      <c r="AD4351">
        <v>-0.1909293</v>
      </c>
      <c r="AE4351">
        <v>-0.55046000000000095</v>
      </c>
      <c r="AF4351">
        <v>0.10666274004021301</v>
      </c>
      <c r="AG4351">
        <v>-0.1909293</v>
      </c>
      <c r="AH4351">
        <v>0.49499504260092703</v>
      </c>
      <c r="AI4351">
        <v>110.65969759226</v>
      </c>
      <c r="AJ4351">
        <v>77.8397019092954</v>
      </c>
      <c r="AK4351">
        <v>0.54115712127890403</v>
      </c>
      <c r="AL4351">
        <v>85.472523109340898</v>
      </c>
      <c r="AM4351">
        <v>87.914834748749499</v>
      </c>
      <c r="AN4351">
        <v>0.99999999281105101</v>
      </c>
    </row>
    <row r="4352" spans="1:40" x14ac:dyDescent="0.25">
      <c r="A4352" t="str">
        <f>"20190312154646721"</f>
        <v>20190312154646721</v>
      </c>
      <c r="B4352" t="str">
        <f>"1552376806712099"</f>
        <v>1552376806712099</v>
      </c>
      <c r="C4352" t="s">
        <v>40</v>
      </c>
      <c r="D4352">
        <v>4.4988250000000001</v>
      </c>
      <c r="E4352">
        <v>0.55111899999999903</v>
      </c>
      <c r="F4352" t="s">
        <v>41</v>
      </c>
      <c r="G4352">
        <v>-421.52109999999999</v>
      </c>
      <c r="H4352">
        <v>0.92178419999999905</v>
      </c>
      <c r="I4352">
        <v>81.249859999999998</v>
      </c>
      <c r="J4352">
        <v>-421.40019999999998</v>
      </c>
      <c r="K4352">
        <v>1.10938</v>
      </c>
      <c r="L4352">
        <v>81.757930000000002</v>
      </c>
      <c r="M4352">
        <v>-9.4173780000000006E-3</v>
      </c>
      <c r="N4352">
        <v>0</v>
      </c>
      <c r="O4352">
        <v>-0.99994170000000004</v>
      </c>
      <c r="P4352">
        <v>-4.619069E-2</v>
      </c>
      <c r="Q4352">
        <v>7.3054590000000003E-2</v>
      </c>
      <c r="R4352">
        <v>-0.99625779999999997</v>
      </c>
      <c r="S4352">
        <v>-0.51205440000000002</v>
      </c>
      <c r="T4352">
        <v>-0.78527329999999995</v>
      </c>
      <c r="U4352">
        <v>-3.045471</v>
      </c>
      <c r="V4352">
        <v>3.6770650000000002E-2</v>
      </c>
      <c r="W4352">
        <v>7.8349150000000006E-2</v>
      </c>
      <c r="X4352">
        <v>0.99624760000000001</v>
      </c>
      <c r="Y4352">
        <v>0.15139520000000001</v>
      </c>
      <c r="Z4352">
        <v>0.24660689999999999</v>
      </c>
      <c r="AA4352">
        <v>0.95721710000000004</v>
      </c>
      <c r="AB4352">
        <v>20</v>
      </c>
      <c r="AC4352">
        <v>-0.120900000000006</v>
      </c>
      <c r="AD4352">
        <v>-0.18759580000000001</v>
      </c>
      <c r="AE4352">
        <v>-0.50807000000000302</v>
      </c>
      <c r="AF4352">
        <v>0.10284072245955</v>
      </c>
      <c r="AG4352">
        <v>-0.18759580000000001</v>
      </c>
      <c r="AH4352">
        <v>0.450995718733677</v>
      </c>
      <c r="AI4352">
        <v>112.07496205014201</v>
      </c>
      <c r="AJ4352">
        <v>77.154462854022697</v>
      </c>
      <c r="AK4352">
        <v>0.49916483919617999</v>
      </c>
      <c r="AL4352">
        <v>85.506318766428905</v>
      </c>
      <c r="AM4352">
        <v>87.886221108798196</v>
      </c>
      <c r="AN4352">
        <v>0.99999997525645201</v>
      </c>
    </row>
    <row r="4353" spans="1:40" x14ac:dyDescent="0.25">
      <c r="A4353" t="str">
        <f>"20190312154646744"</f>
        <v>20190312154646744</v>
      </c>
      <c r="B4353" t="str">
        <f>"1552376806732595"</f>
        <v>1552376806732595</v>
      </c>
      <c r="C4353" t="s">
        <v>40</v>
      </c>
      <c r="D4353">
        <v>4.5030919999999997</v>
      </c>
      <c r="E4353">
        <v>0.55064820000000003</v>
      </c>
      <c r="F4353" t="s">
        <v>41</v>
      </c>
      <c r="G4353">
        <v>-421.51589999999999</v>
      </c>
      <c r="H4353">
        <v>0.9315734</v>
      </c>
      <c r="I4353">
        <v>81.068510000000003</v>
      </c>
      <c r="J4353">
        <v>-421.40159999999997</v>
      </c>
      <c r="K4353">
        <v>1.10938</v>
      </c>
      <c r="L4353">
        <v>81.562559999999905</v>
      </c>
      <c r="M4353">
        <v>-9.0340909999999993E-3</v>
      </c>
      <c r="N4353">
        <v>0</v>
      </c>
      <c r="O4353">
        <v>-0.99994620000000001</v>
      </c>
      <c r="P4353">
        <v>-4.6530679999999998E-2</v>
      </c>
      <c r="Q4353">
        <v>7.2427610000000003E-2</v>
      </c>
      <c r="R4353">
        <v>-0.99628810000000001</v>
      </c>
      <c r="S4353">
        <v>-0.51019289999999995</v>
      </c>
      <c r="T4353">
        <v>-0.78543350000000001</v>
      </c>
      <c r="U4353">
        <v>-3.0452270000000001</v>
      </c>
      <c r="V4353">
        <v>3.7492190000000002E-2</v>
      </c>
      <c r="W4353">
        <v>7.7560019999999993E-2</v>
      </c>
      <c r="X4353">
        <v>0.99628249999999996</v>
      </c>
      <c r="Y4353">
        <v>0.15121370000000001</v>
      </c>
      <c r="Z4353">
        <v>0.24668870000000001</v>
      </c>
      <c r="AA4353">
        <v>0.95722470000000004</v>
      </c>
      <c r="AB4353">
        <v>20</v>
      </c>
      <c r="AC4353">
        <v>-0.114300000000014</v>
      </c>
      <c r="AD4353">
        <v>-0.17780660000000001</v>
      </c>
      <c r="AE4353">
        <v>-0.494049999999987</v>
      </c>
      <c r="AF4353">
        <v>9.7807128019195194E-2</v>
      </c>
      <c r="AG4353">
        <v>-0.17780660000000001</v>
      </c>
      <c r="AH4353">
        <v>0.44086097789385797</v>
      </c>
      <c r="AI4353">
        <v>111.491701051886</v>
      </c>
      <c r="AJ4353">
        <v>77.491254435306502</v>
      </c>
      <c r="AK4353">
        <v>0.485324451397673</v>
      </c>
      <c r="AL4353">
        <v>85.551670798155101</v>
      </c>
      <c r="AM4353">
        <v>87.844857192815098</v>
      </c>
      <c r="AN4353">
        <v>1.0000000204098201</v>
      </c>
    </row>
    <row r="4354" spans="1:40" x14ac:dyDescent="0.25">
      <c r="A4354" t="str">
        <f>"20190312154646768"</f>
        <v>20190312154646768</v>
      </c>
      <c r="B4354" t="str">
        <f>"1552376806761876"</f>
        <v>1552376806761876</v>
      </c>
      <c r="C4354" t="s">
        <v>40</v>
      </c>
      <c r="D4354">
        <v>4.6335419999999896</v>
      </c>
      <c r="E4354">
        <v>0.5514848</v>
      </c>
      <c r="F4354" t="s">
        <v>41</v>
      </c>
      <c r="G4354">
        <v>-421.54140000000001</v>
      </c>
      <c r="H4354">
        <v>0.89420929999999998</v>
      </c>
      <c r="I4354">
        <v>80.72636</v>
      </c>
      <c r="J4354">
        <v>-421.40320000000003</v>
      </c>
      <c r="K4354">
        <v>1.1093999999999999</v>
      </c>
      <c r="L4354">
        <v>81.337919999999997</v>
      </c>
      <c r="M4354">
        <v>-8.594572E-3</v>
      </c>
      <c r="N4354">
        <v>0</v>
      </c>
      <c r="O4354">
        <v>-0.99995049999999996</v>
      </c>
      <c r="P4354">
        <v>-4.7173039999999999E-2</v>
      </c>
      <c r="Q4354">
        <v>7.2253789999999998E-2</v>
      </c>
      <c r="R4354">
        <v>-0.99627030000000005</v>
      </c>
      <c r="S4354">
        <v>-0.5078125</v>
      </c>
      <c r="T4354">
        <v>-0.78344309999999995</v>
      </c>
      <c r="U4354">
        <v>-3.0444339999999999</v>
      </c>
      <c r="V4354">
        <v>3.8572240000000001E-2</v>
      </c>
      <c r="W4354">
        <v>7.7300439999999998E-2</v>
      </c>
      <c r="X4354">
        <v>0.99626139999999996</v>
      </c>
      <c r="Y4354">
        <v>0.15098149999999999</v>
      </c>
      <c r="Z4354">
        <v>0.2461817</v>
      </c>
      <c r="AA4354">
        <v>0.95739189999999996</v>
      </c>
      <c r="AB4354">
        <v>20</v>
      </c>
      <c r="AC4354">
        <v>-0.138199999999983</v>
      </c>
      <c r="AD4354">
        <v>-0.21519069999999901</v>
      </c>
      <c r="AE4354">
        <v>-0.61155999999999699</v>
      </c>
      <c r="AF4354">
        <v>0.118929101748094</v>
      </c>
      <c r="AG4354">
        <v>-0.21519069999999901</v>
      </c>
      <c r="AH4354">
        <v>0.54815369143259696</v>
      </c>
      <c r="AI4354">
        <v>110.989199631248</v>
      </c>
      <c r="AJ4354">
        <v>77.758657749926499</v>
      </c>
      <c r="AK4354">
        <v>0.60076920530290301</v>
      </c>
      <c r="AL4354">
        <v>85.566588227045301</v>
      </c>
      <c r="AM4354">
        <v>87.782787459064195</v>
      </c>
      <c r="AN4354">
        <v>0.99999997642638505</v>
      </c>
    </row>
    <row r="4355" spans="1:40" x14ac:dyDescent="0.25">
      <c r="A4355" t="str">
        <f>"20190312154646789"</f>
        <v>20190312154646789</v>
      </c>
      <c r="B4355" t="str">
        <f>"1552376806782372"</f>
        <v>1552376806782372</v>
      </c>
      <c r="C4355" t="s">
        <v>40</v>
      </c>
      <c r="D4355">
        <v>4.5890279999999999</v>
      </c>
      <c r="E4355">
        <v>0.55199589999999998</v>
      </c>
      <c r="F4355" t="s">
        <v>41</v>
      </c>
      <c r="G4355">
        <v>-421.53820000000002</v>
      </c>
      <c r="H4355">
        <v>0.90393959999999995</v>
      </c>
      <c r="I4355">
        <v>80.542240000000007</v>
      </c>
      <c r="J4355">
        <v>-421.40429999999998</v>
      </c>
      <c r="K4355">
        <v>1.1094139999999999</v>
      </c>
      <c r="L4355">
        <v>81.159520000000001</v>
      </c>
      <c r="M4355">
        <v>-8.2459819999999903E-3</v>
      </c>
      <c r="N4355">
        <v>0</v>
      </c>
      <c r="O4355">
        <v>-0.99995339999999999</v>
      </c>
      <c r="P4355">
        <v>-4.8194279999999999E-2</v>
      </c>
      <c r="Q4355">
        <v>7.245994E-2</v>
      </c>
      <c r="R4355">
        <v>-0.99620629999999999</v>
      </c>
      <c r="S4355">
        <v>-0.51678469999999999</v>
      </c>
      <c r="T4355">
        <v>-0.78596449999999995</v>
      </c>
      <c r="U4355">
        <v>-3.043793</v>
      </c>
      <c r="V4355">
        <v>3.994077E-2</v>
      </c>
      <c r="W4355">
        <v>7.7486780000000005E-2</v>
      </c>
      <c r="X4355">
        <v>0.996193</v>
      </c>
      <c r="Y4355">
        <v>0.1540733</v>
      </c>
      <c r="Z4355">
        <v>0.24685879999999999</v>
      </c>
      <c r="AA4355">
        <v>0.95672469999999998</v>
      </c>
      <c r="AB4355">
        <v>20</v>
      </c>
      <c r="AC4355">
        <v>-0.13390000000003899</v>
      </c>
      <c r="AD4355">
        <v>-0.205474399999999</v>
      </c>
      <c r="AE4355">
        <v>-0.61727999999999295</v>
      </c>
      <c r="AF4355">
        <v>0.116479084291156</v>
      </c>
      <c r="AG4355">
        <v>-0.205474399999999</v>
      </c>
      <c r="AH4355">
        <v>0.55918796103027602</v>
      </c>
      <c r="AI4355">
        <v>109.785184830096</v>
      </c>
      <c r="AJ4355">
        <v>78.233518710803693</v>
      </c>
      <c r="AK4355">
        <v>0.60702411969695502</v>
      </c>
      <c r="AL4355">
        <v>85.555879626626293</v>
      </c>
      <c r="AM4355">
        <v>87.704046780041807</v>
      </c>
      <c r="AN4355">
        <v>0.99999997971597998</v>
      </c>
    </row>
    <row r="4356" spans="1:40" x14ac:dyDescent="0.25">
      <c r="A4356" t="str">
        <f>"20190312154646809"</f>
        <v>20190312154646809</v>
      </c>
      <c r="B4356" t="str">
        <f>"1552376806801891"</f>
        <v>1552376806801891</v>
      </c>
      <c r="C4356" t="s">
        <v>40</v>
      </c>
      <c r="D4356">
        <v>4.561528</v>
      </c>
      <c r="E4356">
        <v>0.55233920000000003</v>
      </c>
      <c r="F4356" t="s">
        <v>41</v>
      </c>
      <c r="G4356">
        <v>-421.5419</v>
      </c>
      <c r="H4356">
        <v>0.9028661</v>
      </c>
      <c r="I4356">
        <v>80.361469999999997</v>
      </c>
      <c r="J4356">
        <v>-421.40550000000002</v>
      </c>
      <c r="K4356">
        <v>1.1094269999999999</v>
      </c>
      <c r="L4356">
        <v>80.970889999999997</v>
      </c>
      <c r="M4356">
        <v>-7.8771080000000007E-3</v>
      </c>
      <c r="N4356">
        <v>0</v>
      </c>
      <c r="O4356">
        <v>-0.99995650000000003</v>
      </c>
      <c r="P4356">
        <v>-4.9532350000000003E-2</v>
      </c>
      <c r="Q4356">
        <v>7.1625359999999999E-2</v>
      </c>
      <c r="R4356">
        <v>-0.99620120000000001</v>
      </c>
      <c r="S4356">
        <v>-0.52325440000000001</v>
      </c>
      <c r="T4356">
        <v>-0.78774980000000006</v>
      </c>
      <c r="U4356">
        <v>-3.0434269999999999</v>
      </c>
      <c r="V4356">
        <v>4.1646320000000001E-2</v>
      </c>
      <c r="W4356">
        <v>7.6669070000000006E-2</v>
      </c>
      <c r="X4356">
        <v>0.99618640000000003</v>
      </c>
      <c r="Y4356">
        <v>0.156412</v>
      </c>
      <c r="Z4356">
        <v>0.2473264</v>
      </c>
      <c r="AA4356">
        <v>0.95622430000000003</v>
      </c>
      <c r="AB4356">
        <v>20</v>
      </c>
      <c r="AC4356">
        <v>-0.13639999999998001</v>
      </c>
      <c r="AD4356">
        <v>-0.20656089999999899</v>
      </c>
      <c r="AE4356">
        <v>-0.60941999999999996</v>
      </c>
      <c r="AF4356">
        <v>0.118617934874946</v>
      </c>
      <c r="AG4356">
        <v>-0.20656089999999899</v>
      </c>
      <c r="AH4356">
        <v>0.55027330512374795</v>
      </c>
      <c r="AI4356">
        <v>110.150613290058</v>
      </c>
      <c r="AJ4356">
        <v>77.835353742664907</v>
      </c>
      <c r="AK4356">
        <v>0.59961515175537405</v>
      </c>
      <c r="AL4356">
        <v>85.602870637902896</v>
      </c>
      <c r="AM4356">
        <v>87.606100915143301</v>
      </c>
      <c r="AN4356">
        <v>0.99999995290458199</v>
      </c>
    </row>
    <row r="4357" spans="1:40" x14ac:dyDescent="0.25">
      <c r="A4357" t="str">
        <f>"20190312154646831"</f>
        <v>20190312154646831</v>
      </c>
      <c r="B4357" t="str">
        <f>"1552376806822387"</f>
        <v>1552376806822387</v>
      </c>
      <c r="C4357" t="s">
        <v>40</v>
      </c>
      <c r="D4357">
        <v>4.5495419999999998</v>
      </c>
      <c r="E4357">
        <v>0.55277200000000004</v>
      </c>
      <c r="F4357" t="s">
        <v>41</v>
      </c>
      <c r="G4357">
        <v>-421.54320000000001</v>
      </c>
      <c r="H4357">
        <v>0.90355890000000005</v>
      </c>
      <c r="I4357">
        <v>80.179180000000002</v>
      </c>
      <c r="J4357">
        <v>-421.40660000000003</v>
      </c>
      <c r="K4357">
        <v>1.109445</v>
      </c>
      <c r="L4357">
        <v>80.77328</v>
      </c>
      <c r="M4357">
        <v>-7.4901519999999999E-3</v>
      </c>
      <c r="N4357">
        <v>0</v>
      </c>
      <c r="O4357">
        <v>-0.99995909999999999</v>
      </c>
      <c r="P4357">
        <v>-5.1244930000000001E-2</v>
      </c>
      <c r="Q4357">
        <v>7.0311670000000007E-2</v>
      </c>
      <c r="R4357">
        <v>-0.99620830000000005</v>
      </c>
      <c r="S4357">
        <v>-0.52886959999999905</v>
      </c>
      <c r="T4357">
        <v>-0.79102899999999998</v>
      </c>
      <c r="U4357">
        <v>-3.0420229999999999</v>
      </c>
      <c r="V4357">
        <v>4.3744570000000003E-2</v>
      </c>
      <c r="W4357">
        <v>7.5412919999999994E-2</v>
      </c>
      <c r="X4357">
        <v>0.99619239999999998</v>
      </c>
      <c r="Y4357">
        <v>0.15853739999999999</v>
      </c>
      <c r="Z4357">
        <v>0.24832000000000001</v>
      </c>
      <c r="AA4357">
        <v>0.95561660000000004</v>
      </c>
      <c r="AB4357">
        <v>20</v>
      </c>
      <c r="AC4357">
        <v>-0.13659999999998701</v>
      </c>
      <c r="AD4357">
        <v>-0.20588609999999999</v>
      </c>
      <c r="AE4357">
        <v>-0.59409999999999696</v>
      </c>
      <c r="AF4357">
        <v>0.118615993252107</v>
      </c>
      <c r="AG4357">
        <v>-0.20588609999999999</v>
      </c>
      <c r="AH4357">
        <v>0.53417459332616402</v>
      </c>
      <c r="AI4357">
        <v>110.61949354695599</v>
      </c>
      <c r="AJ4357">
        <v>77.480337796263299</v>
      </c>
      <c r="AK4357">
        <v>0.58463778203565198</v>
      </c>
      <c r="AL4357">
        <v>85.675051916540198</v>
      </c>
      <c r="AM4357">
        <v>87.485656255650397</v>
      </c>
      <c r="AN4357">
        <v>0.99999999686258501</v>
      </c>
    </row>
    <row r="4358" spans="1:40" x14ac:dyDescent="0.25">
      <c r="A4358" t="str">
        <f>"20190312154646853"</f>
        <v>20190312154646853</v>
      </c>
      <c r="B4358" t="str">
        <f>"1552376806841907"</f>
        <v>1552376806841907</v>
      </c>
      <c r="C4358" t="s">
        <v>40</v>
      </c>
      <c r="D4358">
        <v>4.5025000000000004</v>
      </c>
      <c r="E4358">
        <v>0.55278579999999999</v>
      </c>
      <c r="F4358" t="s">
        <v>41</v>
      </c>
      <c r="G4358">
        <v>-421.54430000000002</v>
      </c>
      <c r="H4358">
        <v>0.9054101</v>
      </c>
      <c r="I4358">
        <v>79.995570000000001</v>
      </c>
      <c r="J4358">
        <v>-421.40769999999998</v>
      </c>
      <c r="K4358">
        <v>1.1094550000000001</v>
      </c>
      <c r="L4358">
        <v>80.567899999999995</v>
      </c>
      <c r="M4358">
        <v>-7.0875240000000004E-3</v>
      </c>
      <c r="N4358">
        <v>0</v>
      </c>
      <c r="O4358">
        <v>-0.99996149999999995</v>
      </c>
      <c r="P4358">
        <v>-5.2985150000000002E-2</v>
      </c>
      <c r="Q4358">
        <v>6.7663479999999998E-2</v>
      </c>
      <c r="R4358">
        <v>-0.99630039999999997</v>
      </c>
      <c r="S4358">
        <v>-0.53677369999999902</v>
      </c>
      <c r="T4358">
        <v>-0.79764089999999999</v>
      </c>
      <c r="U4358">
        <v>-3.0401310000000001</v>
      </c>
      <c r="V4358">
        <v>4.5886200000000002E-2</v>
      </c>
      <c r="W4358">
        <v>7.2861750000000003E-2</v>
      </c>
      <c r="X4358">
        <v>0.99628589999999995</v>
      </c>
      <c r="Y4358">
        <v>0.1613561</v>
      </c>
      <c r="Z4358">
        <v>0.25029940000000001</v>
      </c>
      <c r="AA4358">
        <v>0.95462789999999997</v>
      </c>
      <c r="AB4358">
        <v>20</v>
      </c>
      <c r="AC4358">
        <v>-0.13660000000004399</v>
      </c>
      <c r="AD4358">
        <v>-0.204044899999999</v>
      </c>
      <c r="AE4358">
        <v>-0.57232999999999301</v>
      </c>
      <c r="AF4358">
        <v>0.118312603470316</v>
      </c>
      <c r="AG4358">
        <v>-0.204044899999999</v>
      </c>
      <c r="AH4358">
        <v>0.51174468660984795</v>
      </c>
      <c r="AI4358">
        <v>111.230000406911</v>
      </c>
      <c r="AJ4358">
        <v>76.982246283684205</v>
      </c>
      <c r="AK4358">
        <v>0.56348453184568004</v>
      </c>
      <c r="AL4358">
        <v>85.821626554419495</v>
      </c>
      <c r="AM4358">
        <v>87.362976873312206</v>
      </c>
      <c r="AN4358">
        <v>0.99999998625115605</v>
      </c>
    </row>
    <row r="4359" spans="1:40" x14ac:dyDescent="0.25">
      <c r="A4359" t="str">
        <f>"20190312154646876"</f>
        <v>20190312154646876</v>
      </c>
      <c r="B4359" t="str">
        <f>"1552376806872164"</f>
        <v>1552376806872164</v>
      </c>
      <c r="C4359" t="s">
        <v>40</v>
      </c>
      <c r="D4359">
        <v>4.5016970000000001</v>
      </c>
      <c r="E4359">
        <v>0.55295680000000003</v>
      </c>
      <c r="F4359" t="s">
        <v>41</v>
      </c>
      <c r="G4359">
        <v>-421.54259999999999</v>
      </c>
      <c r="H4359">
        <v>0.90814530000000004</v>
      </c>
      <c r="I4359">
        <v>79.810929999999999</v>
      </c>
      <c r="J4359">
        <v>-421.40879999999999</v>
      </c>
      <c r="K4359">
        <v>1.1094599999999999</v>
      </c>
      <c r="L4359">
        <v>80.363889999999998</v>
      </c>
      <c r="M4359">
        <v>-6.687091E-3</v>
      </c>
      <c r="N4359">
        <v>0</v>
      </c>
      <c r="O4359">
        <v>-0.99996390000000002</v>
      </c>
      <c r="P4359">
        <v>-5.3739380000000003E-2</v>
      </c>
      <c r="Q4359">
        <v>6.4811129999999995E-2</v>
      </c>
      <c r="R4359">
        <v>-0.9964499</v>
      </c>
      <c r="S4359">
        <v>-0.54064939999999995</v>
      </c>
      <c r="T4359">
        <v>-0.80775430000000004</v>
      </c>
      <c r="U4359">
        <v>-3.0372309999999998</v>
      </c>
      <c r="V4359">
        <v>4.703951E-2</v>
      </c>
      <c r="W4359">
        <v>7.0128839999999998E-2</v>
      </c>
      <c r="X4359">
        <v>0.99642830000000004</v>
      </c>
      <c r="Y4359">
        <v>0.162944799999999</v>
      </c>
      <c r="Z4359">
        <v>0.25343189999999999</v>
      </c>
      <c r="AA4359">
        <v>0.95353100000000002</v>
      </c>
      <c r="AB4359">
        <v>20</v>
      </c>
      <c r="AC4359">
        <v>-0.133800000000007</v>
      </c>
      <c r="AD4359">
        <v>-0.20131470000000001</v>
      </c>
      <c r="AE4359">
        <v>-0.55295999999999801</v>
      </c>
      <c r="AF4359">
        <v>0.115621814032137</v>
      </c>
      <c r="AG4359">
        <v>-0.20131470000000001</v>
      </c>
      <c r="AH4359">
        <v>0.49221078583680999</v>
      </c>
      <c r="AI4359">
        <v>111.710630933589</v>
      </c>
      <c r="AJ4359">
        <v>76.780713125176405</v>
      </c>
      <c r="AK4359">
        <v>0.54421270658655396</v>
      </c>
      <c r="AL4359">
        <v>85.978612862804397</v>
      </c>
      <c r="AM4359">
        <v>87.297180427746994</v>
      </c>
      <c r="AN4359">
        <v>1.0000000633708299</v>
      </c>
    </row>
    <row r="4360" spans="1:40" x14ac:dyDescent="0.25">
      <c r="A4360" t="str">
        <f>"20190312154646898"</f>
        <v>20190312154646898</v>
      </c>
      <c r="B4360" t="str">
        <f>"1552376806891683"</f>
        <v>1552376806891683</v>
      </c>
      <c r="C4360" t="s">
        <v>40</v>
      </c>
      <c r="D4360">
        <v>4.3864340000000004</v>
      </c>
      <c r="E4360">
        <v>0.55284460000000002</v>
      </c>
      <c r="F4360" t="s">
        <v>41</v>
      </c>
      <c r="G4360">
        <v>-421.54129999999998</v>
      </c>
      <c r="H4360">
        <v>0.91087110000000004</v>
      </c>
      <c r="I4360">
        <v>79.625469999999893</v>
      </c>
      <c r="J4360">
        <v>-421.40969999999999</v>
      </c>
      <c r="K4360">
        <v>1.109456</v>
      </c>
      <c r="L4360">
        <v>80.151820000000001</v>
      </c>
      <c r="M4360">
        <v>-6.2709699999999998E-3</v>
      </c>
      <c r="N4360">
        <v>0</v>
      </c>
      <c r="O4360">
        <v>-0.99996580000000002</v>
      </c>
      <c r="P4360">
        <v>-5.4066400000000001E-2</v>
      </c>
      <c r="Q4360">
        <v>6.1298499999999999E-2</v>
      </c>
      <c r="R4360">
        <v>-0.99665429999999999</v>
      </c>
      <c r="S4360">
        <v>-0.54391480000000003</v>
      </c>
      <c r="T4360">
        <v>-0.81612629999999997</v>
      </c>
      <c r="U4360">
        <v>-3.0344540000000002</v>
      </c>
      <c r="V4360">
        <v>4.7781369999999997E-2</v>
      </c>
      <c r="W4360">
        <v>6.6751710000000006E-2</v>
      </c>
      <c r="X4360">
        <v>0.99662490000000004</v>
      </c>
      <c r="Y4360">
        <v>0.164378</v>
      </c>
      <c r="Z4360">
        <v>0.2560482</v>
      </c>
      <c r="AA4360">
        <v>0.95258549999999997</v>
      </c>
      <c r="AB4360">
        <v>21</v>
      </c>
      <c r="AC4360">
        <v>-0.131599999999991</v>
      </c>
      <c r="AD4360">
        <v>-0.19858490000000001</v>
      </c>
      <c r="AE4360">
        <v>-0.52635000000000698</v>
      </c>
      <c r="AF4360">
        <v>0.113139302650572</v>
      </c>
      <c r="AG4360">
        <v>-0.19858490000000001</v>
      </c>
      <c r="AH4360">
        <v>0.46488413089483099</v>
      </c>
      <c r="AI4360">
        <v>112.541177112404</v>
      </c>
      <c r="AJ4360">
        <v>76.321783586015499</v>
      </c>
      <c r="AK4360">
        <v>0.51802868595292095</v>
      </c>
      <c r="AL4360">
        <v>86.172562847816707</v>
      </c>
      <c r="AM4360">
        <v>87.255159717824498</v>
      </c>
      <c r="AN4360">
        <v>1.0000000207035</v>
      </c>
    </row>
    <row r="4361" spans="1:40" x14ac:dyDescent="0.25">
      <c r="A4361" t="str">
        <f>"20190312154646920"</f>
        <v>20190312154646920</v>
      </c>
      <c r="B4361" t="str">
        <f>"1552376806912180"</f>
        <v>1552376806912180</v>
      </c>
      <c r="C4361" t="s">
        <v>40</v>
      </c>
      <c r="D4361">
        <v>4.3989529999999997</v>
      </c>
      <c r="E4361">
        <v>0.55285640000000003</v>
      </c>
      <c r="F4361" t="s">
        <v>41</v>
      </c>
      <c r="G4361">
        <v>-421.5376</v>
      </c>
      <c r="H4361">
        <v>0.91517250000000006</v>
      </c>
      <c r="I4361">
        <v>79.438689999999994</v>
      </c>
      <c r="J4361">
        <v>-421.41059999999999</v>
      </c>
      <c r="K4361">
        <v>1.1094550000000001</v>
      </c>
      <c r="L4361">
        <v>79.944789999999998</v>
      </c>
      <c r="M4361">
        <v>-5.8647980000000001E-3</v>
      </c>
      <c r="N4361">
        <v>0</v>
      </c>
      <c r="O4361">
        <v>-0.99996719999999895</v>
      </c>
      <c r="P4361">
        <v>-5.3656009999999997E-2</v>
      </c>
      <c r="Q4361">
        <v>5.7557789999999998E-2</v>
      </c>
      <c r="R4361">
        <v>-0.99689939999999999</v>
      </c>
      <c r="S4361">
        <v>-0.54360959999999903</v>
      </c>
      <c r="T4361">
        <v>-0.82586469999999901</v>
      </c>
      <c r="U4361">
        <v>-3.0313720000000002</v>
      </c>
      <c r="V4361">
        <v>4.7776020000000002E-2</v>
      </c>
      <c r="W4361">
        <v>6.3146809999999998E-2</v>
      </c>
      <c r="X4361">
        <v>0.99685999999999997</v>
      </c>
      <c r="Y4361">
        <v>0.164708299999999</v>
      </c>
      <c r="Z4361">
        <v>0.25913429999999998</v>
      </c>
      <c r="AA4361">
        <v>0.95169349999999997</v>
      </c>
      <c r="AB4361">
        <v>21</v>
      </c>
      <c r="AC4361">
        <v>-0.12700000000000899</v>
      </c>
      <c r="AD4361">
        <v>-0.194282499999999</v>
      </c>
      <c r="AE4361">
        <v>-0.506099999999989</v>
      </c>
      <c r="AF4361">
        <v>0.108928295442364</v>
      </c>
      <c r="AG4361">
        <v>-0.194282499999999</v>
      </c>
      <c r="AH4361">
        <v>0.44512599074405101</v>
      </c>
      <c r="AI4361">
        <v>112.97483809472</v>
      </c>
      <c r="AJ4361">
        <v>76.249191357064205</v>
      </c>
      <c r="AK4361">
        <v>0.49774311747135402</v>
      </c>
      <c r="AL4361">
        <v>86.379545335933699</v>
      </c>
      <c r="AM4361">
        <v>87.256112865985898</v>
      </c>
      <c r="AN4361">
        <v>0.99999996365010702</v>
      </c>
    </row>
    <row r="4362" spans="1:40" x14ac:dyDescent="0.25">
      <c r="A4362" t="str">
        <f>"20190312154646946"</f>
        <v>20190312154646946</v>
      </c>
      <c r="B4362" t="str">
        <f>"1552376806942435"</f>
        <v>1552376806942435</v>
      </c>
      <c r="C4362" t="s">
        <v>40</v>
      </c>
      <c r="D4362">
        <v>4.3258470000000004</v>
      </c>
      <c r="E4362">
        <v>0.55266680000000001</v>
      </c>
      <c r="F4362" t="s">
        <v>41</v>
      </c>
      <c r="G4362">
        <v>-421.53500000000003</v>
      </c>
      <c r="H4362">
        <v>0.91789699999999996</v>
      </c>
      <c r="I4362">
        <v>79.25179</v>
      </c>
      <c r="J4362">
        <v>-421.41140000000001</v>
      </c>
      <c r="K4362">
        <v>1.109448</v>
      </c>
      <c r="L4362">
        <v>79.71481</v>
      </c>
      <c r="M4362">
        <v>-5.4141399999999996E-3</v>
      </c>
      <c r="N4362">
        <v>0</v>
      </c>
      <c r="O4362">
        <v>-0.99996910000000006</v>
      </c>
      <c r="P4362">
        <v>-5.3215140000000001E-2</v>
      </c>
      <c r="Q4362">
        <v>5.4061039999999998E-2</v>
      </c>
      <c r="R4362">
        <v>-0.99711890000000003</v>
      </c>
      <c r="S4362">
        <v>-0.54168700000000003</v>
      </c>
      <c r="T4362">
        <v>-0.83721669999999904</v>
      </c>
      <c r="U4362">
        <v>-3.0285340000000001</v>
      </c>
      <c r="V4362">
        <v>4.7784779999999999E-2</v>
      </c>
      <c r="W4362">
        <v>5.9798610000000002E-2</v>
      </c>
      <c r="X4362">
        <v>0.99706609999999996</v>
      </c>
      <c r="Y4362">
        <v>0.16455259999999999</v>
      </c>
      <c r="Z4362">
        <v>0.26269209999999998</v>
      </c>
      <c r="AA4362">
        <v>0.95074460000000005</v>
      </c>
      <c r="AB4362">
        <v>21</v>
      </c>
      <c r="AC4362">
        <v>-0.12360000000000999</v>
      </c>
      <c r="AD4362">
        <v>-0.191551</v>
      </c>
      <c r="AE4362">
        <v>-0.46301999999999999</v>
      </c>
      <c r="AF4362">
        <v>0.10441041694242301</v>
      </c>
      <c r="AG4362">
        <v>-0.191551</v>
      </c>
      <c r="AH4362">
        <v>0.39980805346856702</v>
      </c>
      <c r="AI4362">
        <v>114.87058471535801</v>
      </c>
      <c r="AJ4362">
        <v>75.364010144481298</v>
      </c>
      <c r="AK4362">
        <v>0.45545559650246398</v>
      </c>
      <c r="AL4362">
        <v>86.571746900104898</v>
      </c>
      <c r="AM4362">
        <v>87.256176944067306</v>
      </c>
      <c r="AN4362">
        <v>1.0000000333633901</v>
      </c>
    </row>
    <row r="4363" spans="1:40" x14ac:dyDescent="0.25">
      <c r="A4363" t="str">
        <f>"20190312154647076"</f>
        <v>20190312154647076</v>
      </c>
      <c r="B4363" t="str">
        <f>"1552376807072244"</f>
        <v>1552376807072244</v>
      </c>
      <c r="C4363" t="s">
        <v>40</v>
      </c>
      <c r="D4363">
        <v>4.2090870000000002</v>
      </c>
      <c r="E4363">
        <v>0.465781</v>
      </c>
      <c r="F4363" t="s">
        <v>41</v>
      </c>
      <c r="G4363">
        <v>-421.53629999999998</v>
      </c>
      <c r="H4363">
        <v>0.88588630000000002</v>
      </c>
      <c r="I4363">
        <v>77.943510000000003</v>
      </c>
      <c r="J4363">
        <v>-421.41399999999999</v>
      </c>
      <c r="K4363">
        <v>1.1094010000000001</v>
      </c>
      <c r="L4363">
        <v>78.476380000000006</v>
      </c>
      <c r="M4363">
        <v>-2.9929399999999999E-3</v>
      </c>
      <c r="N4363">
        <v>0</v>
      </c>
      <c r="O4363">
        <v>-0.99997510000000001</v>
      </c>
      <c r="P4363">
        <v>-3.963349E-2</v>
      </c>
      <c r="Q4363">
        <v>4.0238919999999997E-2</v>
      </c>
      <c r="R4363">
        <v>-0.99840379999999995</v>
      </c>
      <c r="S4363">
        <v>-0.49829099999999998</v>
      </c>
      <c r="T4363">
        <v>-0.90849610000000003</v>
      </c>
      <c r="U4363">
        <v>-3.0200809999999998</v>
      </c>
      <c r="V4363">
        <v>3.6619760000000001E-2</v>
      </c>
      <c r="W4363">
        <v>4.6644270000000002E-2</v>
      </c>
      <c r="X4363">
        <v>0.99824009999999996</v>
      </c>
      <c r="Y4363">
        <v>0.15310650000000001</v>
      </c>
      <c r="Z4363">
        <v>0.2846031</v>
      </c>
      <c r="AA4363">
        <v>0.94634010000000002</v>
      </c>
      <c r="AB4363">
        <v>21</v>
      </c>
      <c r="AC4363">
        <v>-0.122299999999995</v>
      </c>
      <c r="AD4363">
        <v>-0.22351470000000001</v>
      </c>
      <c r="AE4363">
        <v>-0.53287000000000195</v>
      </c>
      <c r="AF4363">
        <v>0.103419285570568</v>
      </c>
      <c r="AG4363">
        <v>-0.22351470000000001</v>
      </c>
      <c r="AH4363">
        <v>0.456872868190278</v>
      </c>
      <c r="AI4363">
        <v>115.508387974298</v>
      </c>
      <c r="AJ4363">
        <v>77.245286527237795</v>
      </c>
      <c r="AK4363">
        <v>0.51902522812713803</v>
      </c>
      <c r="AL4363">
        <v>87.326510134943803</v>
      </c>
      <c r="AM4363">
        <v>87.899085337424793</v>
      </c>
      <c r="AN4363">
        <v>0.99999999599714995</v>
      </c>
    </row>
    <row r="4364" spans="1:40" x14ac:dyDescent="0.25">
      <c r="A4364" t="str">
        <f>"20190312154647122"</f>
        <v>20190312154647122</v>
      </c>
      <c r="B4364" t="str">
        <f>"1552376807112265"</f>
        <v>1552376807112265</v>
      </c>
      <c r="C4364" t="s">
        <v>40</v>
      </c>
      <c r="D4364">
        <v>4.5478750000000003</v>
      </c>
      <c r="E4364">
        <v>0.46373330000000001</v>
      </c>
      <c r="F4364" t="s">
        <v>41</v>
      </c>
      <c r="G4364">
        <v>-421.36739999999998</v>
      </c>
      <c r="H4364">
        <v>0.8897214</v>
      </c>
      <c r="I4364">
        <v>77.746039999999994</v>
      </c>
      <c r="J4364">
        <v>-421.41419999999999</v>
      </c>
      <c r="K4364">
        <v>1.1094360000000001</v>
      </c>
      <c r="L4364">
        <v>78.037350000000004</v>
      </c>
      <c r="M4364">
        <v>-2.1365860000000002E-3</v>
      </c>
      <c r="N4364">
        <v>0</v>
      </c>
      <c r="O4364">
        <v>-0.99997590000000003</v>
      </c>
      <c r="P4364">
        <v>-3.5635279999999998E-2</v>
      </c>
      <c r="Q4364">
        <v>4.0524730000000002E-2</v>
      </c>
      <c r="R4364">
        <v>-0.99854299999999996</v>
      </c>
      <c r="S4364">
        <v>0.1961975</v>
      </c>
      <c r="T4364">
        <v>-0.91736390000000001</v>
      </c>
      <c r="U4364">
        <v>-3.0495610000000002</v>
      </c>
      <c r="V4364">
        <v>3.3475659999999997E-2</v>
      </c>
      <c r="W4364">
        <v>4.7164879999999999E-2</v>
      </c>
      <c r="X4364">
        <v>0.99832600000000005</v>
      </c>
      <c r="Y4364">
        <v>-6.3624910000000007E-2</v>
      </c>
      <c r="Z4364">
        <v>0.28750100000000001</v>
      </c>
      <c r="AA4364">
        <v>0.95566470000000003</v>
      </c>
      <c r="AB4364">
        <v>21</v>
      </c>
      <c r="AC4364">
        <v>4.6800000000018799E-2</v>
      </c>
      <c r="AD4364">
        <v>-0.21971460000000001</v>
      </c>
      <c r="AE4364">
        <v>-0.29130999999999502</v>
      </c>
      <c r="AF4364">
        <v>-3.05055042961083E-2</v>
      </c>
      <c r="AG4364">
        <v>-0.21971460000000001</v>
      </c>
      <c r="AH4364">
        <v>0.18732716181803</v>
      </c>
      <c r="AI4364">
        <v>139.17875639621101</v>
      </c>
      <c r="AJ4364">
        <v>99.249207045106203</v>
      </c>
      <c r="AK4364">
        <v>0.29033869325378903</v>
      </c>
      <c r="AL4364">
        <v>87.296648452737102</v>
      </c>
      <c r="AM4364">
        <v>88.079489405846203</v>
      </c>
      <c r="AN4364">
        <v>0.99999997399692397</v>
      </c>
    </row>
    <row r="4365" spans="1:40" x14ac:dyDescent="0.25">
      <c r="A4365" t="str">
        <f>"20190312154647144"</f>
        <v>20190312154647144</v>
      </c>
      <c r="B4365" t="str">
        <f>"1552376807131780"</f>
        <v>1552376807131780</v>
      </c>
      <c r="C4365" t="s">
        <v>40</v>
      </c>
      <c r="D4365">
        <v>4.4439460000000004</v>
      </c>
      <c r="E4365">
        <v>0.46399810000000002</v>
      </c>
      <c r="F4365" t="s">
        <v>41</v>
      </c>
      <c r="G4365">
        <v>-421.36500000000001</v>
      </c>
      <c r="H4365">
        <v>0.96897730000000004</v>
      </c>
      <c r="I4365">
        <v>77.326719999999995</v>
      </c>
      <c r="J4365">
        <v>-421.41419999999999</v>
      </c>
      <c r="K4365">
        <v>1.1094539999999999</v>
      </c>
      <c r="L4365">
        <v>77.823580000000007</v>
      </c>
      <c r="M4365">
        <v>-1.7198329999999901E-3</v>
      </c>
      <c r="N4365">
        <v>0</v>
      </c>
      <c r="O4365">
        <v>-0.99997590000000003</v>
      </c>
      <c r="P4365">
        <v>-3.4523150000000002E-2</v>
      </c>
      <c r="Q4365">
        <v>4.0696709999999997E-2</v>
      </c>
      <c r="R4365">
        <v>-0.99857510000000005</v>
      </c>
      <c r="S4365">
        <v>0.21121219999999999</v>
      </c>
      <c r="T4365">
        <v>-0.60017299999999996</v>
      </c>
      <c r="U4365">
        <v>-3.0362849999999999</v>
      </c>
      <c r="V4365">
        <v>3.2779290000000003E-2</v>
      </c>
      <c r="W4365">
        <v>4.7446849999999999E-2</v>
      </c>
      <c r="X4365">
        <v>0.9983358</v>
      </c>
      <c r="Y4365">
        <v>-6.9799680000000003E-2</v>
      </c>
      <c r="Z4365">
        <v>0.19345290000000001</v>
      </c>
      <c r="AA4365">
        <v>0.97862349999999998</v>
      </c>
      <c r="AB4365">
        <v>22</v>
      </c>
      <c r="AC4365">
        <v>4.9199999999984798E-2</v>
      </c>
      <c r="AD4365">
        <v>-0.14047670000000001</v>
      </c>
      <c r="AE4365">
        <v>-0.49686000000001201</v>
      </c>
      <c r="AF4365">
        <v>-4.6382823195902999E-2</v>
      </c>
      <c r="AG4365">
        <v>-0.14047670000000001</v>
      </c>
      <c r="AH4365">
        <v>0.46033479049174603</v>
      </c>
      <c r="AI4365">
        <v>106.88958426212101</v>
      </c>
      <c r="AJ4365">
        <v>95.753640665645506</v>
      </c>
      <c r="AK4365">
        <v>0.483521652945959</v>
      </c>
      <c r="AL4365">
        <v>87.280474799548401</v>
      </c>
      <c r="AM4365">
        <v>88.119429857834206</v>
      </c>
      <c r="AN4365">
        <v>1.00000002749473</v>
      </c>
    </row>
    <row r="4366" spans="1:40" x14ac:dyDescent="0.25">
      <c r="A4366" t="str">
        <f>"20190312154647166"</f>
        <v>20190312154647166</v>
      </c>
      <c r="B4366" t="str">
        <f>"1552376807162036"</f>
        <v>1552376807162036</v>
      </c>
      <c r="C4366" t="s">
        <v>40</v>
      </c>
      <c r="D4366">
        <v>4.4822230000000003</v>
      </c>
      <c r="E4366">
        <v>0.46519709999999997</v>
      </c>
      <c r="F4366" t="s">
        <v>41</v>
      </c>
      <c r="G4366">
        <v>-421.3537</v>
      </c>
      <c r="H4366">
        <v>0.96547689999999997</v>
      </c>
      <c r="I4366">
        <v>76.94032</v>
      </c>
      <c r="J4366">
        <v>-421.41410000000002</v>
      </c>
      <c r="K4366">
        <v>1.10947</v>
      </c>
      <c r="L4366">
        <v>77.605869999999996</v>
      </c>
      <c r="M4366">
        <v>-1.2953540000000001E-3</v>
      </c>
      <c r="N4366">
        <v>0</v>
      </c>
      <c r="O4366">
        <v>-0.99997610000000003</v>
      </c>
      <c r="P4366">
        <v>-3.4299719999999999E-2</v>
      </c>
      <c r="Q4366">
        <v>4.1898779999999997E-2</v>
      </c>
      <c r="R4366">
        <v>-0.99853320000000001</v>
      </c>
      <c r="S4366">
        <v>0.2086182</v>
      </c>
      <c r="T4366">
        <v>-0.49424699999999999</v>
      </c>
      <c r="U4366">
        <v>-3.031647</v>
      </c>
      <c r="V4366">
        <v>3.2978880000000002E-2</v>
      </c>
      <c r="W4366">
        <v>4.87514E-2</v>
      </c>
      <c r="X4366">
        <v>0.99826630000000005</v>
      </c>
      <c r="Y4366">
        <v>-6.9053089999999998E-2</v>
      </c>
      <c r="Z4366">
        <v>0.160527799999999</v>
      </c>
      <c r="AA4366">
        <v>0.98461290000000001</v>
      </c>
      <c r="AB4366">
        <v>22</v>
      </c>
      <c r="AC4366">
        <v>6.0400000000015497E-2</v>
      </c>
      <c r="AD4366">
        <v>-0.14399310000000001</v>
      </c>
      <c r="AE4366">
        <v>-0.66554999999999598</v>
      </c>
      <c r="AF4366">
        <v>-5.8544131284902601E-2</v>
      </c>
      <c r="AG4366">
        <v>-0.14399310000000001</v>
      </c>
      <c r="AH4366">
        <v>0.63594683127658502</v>
      </c>
      <c r="AI4366">
        <v>102.70600107352</v>
      </c>
      <c r="AJ4366">
        <v>95.259722507046803</v>
      </c>
      <c r="AK4366">
        <v>0.65466770224766901</v>
      </c>
      <c r="AL4366">
        <v>87.205642773292794</v>
      </c>
      <c r="AM4366">
        <v>88.1078559136037</v>
      </c>
      <c r="AN4366">
        <v>0.99999995562185096</v>
      </c>
    </row>
    <row r="4367" spans="1:40" x14ac:dyDescent="0.25">
      <c r="A4367" t="str">
        <f>"20190312154647189"</f>
        <v>20190312154647189</v>
      </c>
      <c r="B4367" t="str">
        <f>"1552376807182532"</f>
        <v>1552376807182532</v>
      </c>
      <c r="C4367" t="s">
        <v>40</v>
      </c>
      <c r="D4367">
        <v>4.4444460000000001</v>
      </c>
      <c r="E4367">
        <v>0.46615689999999999</v>
      </c>
      <c r="F4367" t="s">
        <v>41</v>
      </c>
      <c r="G4367">
        <v>-421.35770000000002</v>
      </c>
      <c r="H4367">
        <v>0.99354739999999997</v>
      </c>
      <c r="I4367">
        <v>76.732699999999994</v>
      </c>
      <c r="J4367">
        <v>-421.41390000000001</v>
      </c>
      <c r="K4367">
        <v>1.1094790000000001</v>
      </c>
      <c r="L4367">
        <v>77.381039999999999</v>
      </c>
      <c r="M4367">
        <v>-8.5696479999999896E-4</v>
      </c>
      <c r="N4367">
        <v>0</v>
      </c>
      <c r="O4367">
        <v>-0.99997559999999996</v>
      </c>
      <c r="P4367">
        <v>-3.4015160000000003E-2</v>
      </c>
      <c r="Q4367">
        <v>4.3217829999999999E-2</v>
      </c>
      <c r="R4367">
        <v>-0.99848650000000005</v>
      </c>
      <c r="S4367">
        <v>0.19564819999999999</v>
      </c>
      <c r="T4367">
        <v>-0.40204610000000002</v>
      </c>
      <c r="U4367">
        <v>-3.0280149999999999</v>
      </c>
      <c r="V4367">
        <v>3.3131109999999998E-2</v>
      </c>
      <c r="W4367">
        <v>5.0164439999999998E-2</v>
      </c>
      <c r="X4367">
        <v>0.9981913</v>
      </c>
      <c r="Y4367">
        <v>-6.4774799999999993E-2</v>
      </c>
      <c r="Z4367">
        <v>0.13134749999999901</v>
      </c>
      <c r="AA4367">
        <v>0.98921789999999998</v>
      </c>
      <c r="AB4367">
        <v>22</v>
      </c>
      <c r="AC4367">
        <v>5.61999999999898E-2</v>
      </c>
      <c r="AD4367">
        <v>-0.1159316</v>
      </c>
      <c r="AE4367">
        <v>-0.64834000000000402</v>
      </c>
      <c r="AF4367">
        <v>-5.50098264057646E-2</v>
      </c>
      <c r="AG4367">
        <v>-0.1159316</v>
      </c>
      <c r="AH4367">
        <v>0.62835050731437003</v>
      </c>
      <c r="AI4367">
        <v>100.41463980797501</v>
      </c>
      <c r="AJ4367">
        <v>95.003283051885404</v>
      </c>
      <c r="AK4367">
        <v>0.64131940320091596</v>
      </c>
      <c r="AL4367">
        <v>87.124582479762793</v>
      </c>
      <c r="AM4367">
        <v>88.098985479694505</v>
      </c>
      <c r="AN4367">
        <v>1.0000000064430099</v>
      </c>
    </row>
    <row r="4368" spans="1:40" x14ac:dyDescent="0.25">
      <c r="A4368" t="str">
        <f>"20190312154647210"</f>
        <v>20190312154647210</v>
      </c>
      <c r="B4368" t="str">
        <f>"1552376807202052"</f>
        <v>1552376807202052</v>
      </c>
      <c r="C4368" t="s">
        <v>40</v>
      </c>
      <c r="D4368">
        <v>4.4807829999999997</v>
      </c>
      <c r="E4368">
        <v>0.46638089999999999</v>
      </c>
      <c r="F4368" t="s">
        <v>41</v>
      </c>
      <c r="G4368">
        <v>-421.36130000000003</v>
      </c>
      <c r="H4368">
        <v>1.0062500000000001</v>
      </c>
      <c r="I4368">
        <v>76.529730000000001</v>
      </c>
      <c r="J4368">
        <v>-421.41359999999997</v>
      </c>
      <c r="K4368">
        <v>1.1094820000000001</v>
      </c>
      <c r="L4368">
        <v>77.168759999999907</v>
      </c>
      <c r="M4368">
        <v>-4.4308230000000002E-4</v>
      </c>
      <c r="N4368">
        <v>0</v>
      </c>
      <c r="O4368">
        <v>-0.99997539999999996</v>
      </c>
      <c r="P4368">
        <v>-3.3691550000000001E-2</v>
      </c>
      <c r="Q4368">
        <v>4.3981470000000002E-2</v>
      </c>
      <c r="R4368">
        <v>-0.99846449999999998</v>
      </c>
      <c r="S4368">
        <v>0.18698119999999999</v>
      </c>
      <c r="T4368">
        <v>-0.36701699999999998</v>
      </c>
      <c r="U4368">
        <v>-3.0267940000000002</v>
      </c>
      <c r="V4368">
        <v>3.3220119999999999E-2</v>
      </c>
      <c r="W4368">
        <v>5.1008320000000003E-2</v>
      </c>
      <c r="X4368">
        <v>0.99814559999999997</v>
      </c>
      <c r="Y4368">
        <v>-6.1653390000000002E-2</v>
      </c>
      <c r="Z4368">
        <v>0.1201469</v>
      </c>
      <c r="AA4368">
        <v>0.99083980000000005</v>
      </c>
      <c r="AB4368">
        <v>22</v>
      </c>
      <c r="AC4368">
        <v>5.2299999999945598E-2</v>
      </c>
      <c r="AD4368">
        <v>-0.103232</v>
      </c>
      <c r="AE4368">
        <v>-0.63902999999999099</v>
      </c>
      <c r="AF4368">
        <v>-5.12544701065498E-2</v>
      </c>
      <c r="AG4368">
        <v>-0.103232</v>
      </c>
      <c r="AH4368">
        <v>0.62286029588539304</v>
      </c>
      <c r="AI4368">
        <v>99.379441350242004</v>
      </c>
      <c r="AJ4368">
        <v>94.704205963741202</v>
      </c>
      <c r="AK4368">
        <v>0.63343414394895303</v>
      </c>
      <c r="AL4368">
        <v>87.076169807476802</v>
      </c>
      <c r="AM4368">
        <v>88.093794771814601</v>
      </c>
      <c r="AN4368">
        <v>1.0000000319406901</v>
      </c>
    </row>
    <row r="4369" spans="1:40" x14ac:dyDescent="0.25">
      <c r="A4369" t="str">
        <f>"20190312154647234"</f>
        <v>20190312154647234</v>
      </c>
      <c r="B4369" t="str">
        <f>"1552376807222548"</f>
        <v>1552376807222548</v>
      </c>
      <c r="C4369" t="s">
        <v>40</v>
      </c>
      <c r="D4369">
        <v>4.486059</v>
      </c>
      <c r="E4369">
        <v>0.46655370000000002</v>
      </c>
      <c r="F4369" t="s">
        <v>41</v>
      </c>
      <c r="G4369">
        <v>-421.36189999999999</v>
      </c>
      <c r="H4369">
        <v>1.0132749999999999</v>
      </c>
      <c r="I4369">
        <v>76.328749999999999</v>
      </c>
      <c r="J4369">
        <v>-421.41320000000002</v>
      </c>
      <c r="K4369">
        <v>1.1094839999999999</v>
      </c>
      <c r="L4369">
        <v>76.948149999999998</v>
      </c>
      <c r="M4369" s="1">
        <v>-1.316585E-5</v>
      </c>
      <c r="N4369">
        <v>0</v>
      </c>
      <c r="O4369">
        <v>-0.9999749</v>
      </c>
      <c r="P4369">
        <v>-3.28648E-2</v>
      </c>
      <c r="Q4369">
        <v>4.3798070000000001E-2</v>
      </c>
      <c r="R4369">
        <v>-0.99849960000000004</v>
      </c>
      <c r="S4369">
        <v>0.1856689</v>
      </c>
      <c r="T4369">
        <v>-0.34656979999999998</v>
      </c>
      <c r="U4369">
        <v>-3.0261230000000001</v>
      </c>
      <c r="V4369">
        <v>3.2822509999999999E-2</v>
      </c>
      <c r="W4369">
        <v>5.0902120000000002E-2</v>
      </c>
      <c r="X4369">
        <v>0.9981641</v>
      </c>
      <c r="Y4369">
        <v>-6.0857139999999997E-2</v>
      </c>
      <c r="Z4369">
        <v>0.1135714</v>
      </c>
      <c r="AA4369">
        <v>0.9916642</v>
      </c>
      <c r="AB4369">
        <v>22</v>
      </c>
      <c r="AC4369">
        <v>5.1300000000026102E-2</v>
      </c>
      <c r="AD4369">
        <v>-9.6209000000000003E-2</v>
      </c>
      <c r="AE4369">
        <v>-0.61939999999999795</v>
      </c>
      <c r="AF4369">
        <v>-5.0107487625960803E-2</v>
      </c>
      <c r="AG4369">
        <v>-9.6209000000000003E-2</v>
      </c>
      <c r="AH4369">
        <v>0.60490469617730103</v>
      </c>
      <c r="AI4369">
        <v>99.006756116160403</v>
      </c>
      <c r="AJ4369">
        <v>94.735304524126207</v>
      </c>
      <c r="AK4369">
        <v>0.61455400369254698</v>
      </c>
      <c r="AL4369">
        <v>87.082262314333406</v>
      </c>
      <c r="AM4369">
        <v>88.116628400264702</v>
      </c>
      <c r="AN4369">
        <v>0.99999995675600095</v>
      </c>
    </row>
    <row r="4370" spans="1:40" x14ac:dyDescent="0.25">
      <c r="A4370" t="str">
        <f>"20190312154647255"</f>
        <v>20190312154647255</v>
      </c>
      <c r="B4370" t="str">
        <f>"1552376807242068"</f>
        <v>1552376807242068</v>
      </c>
      <c r="C4370" t="s">
        <v>40</v>
      </c>
      <c r="D4370">
        <v>4.4719150000000001</v>
      </c>
      <c r="E4370">
        <v>0.46678710000000001</v>
      </c>
      <c r="F4370" t="s">
        <v>42</v>
      </c>
      <c r="G4370">
        <v>-420.78070000000002</v>
      </c>
      <c r="H4370" s="1">
        <v>-3.2328260000000001E-6</v>
      </c>
      <c r="I4370">
        <v>66.640690000000006</v>
      </c>
      <c r="J4370">
        <v>-421.41269999999997</v>
      </c>
      <c r="K4370">
        <v>1.109488</v>
      </c>
      <c r="L4370">
        <v>76.728999999999999</v>
      </c>
      <c r="M4370">
        <v>4.140635E-4</v>
      </c>
      <c r="N4370">
        <v>0</v>
      </c>
      <c r="O4370">
        <v>-0.99997440000000004</v>
      </c>
      <c r="P4370">
        <v>-3.2323030000000003E-2</v>
      </c>
      <c r="Q4370">
        <v>4.3127539999999999E-2</v>
      </c>
      <c r="R4370">
        <v>-0.99854699999999996</v>
      </c>
      <c r="S4370">
        <v>0.18560789999999999</v>
      </c>
      <c r="T4370">
        <v>-0.32559490000000002</v>
      </c>
      <c r="U4370">
        <v>-3.0248719999999998</v>
      </c>
      <c r="V4370">
        <v>3.2707519999999997E-2</v>
      </c>
      <c r="W4370">
        <v>5.0305410000000002E-2</v>
      </c>
      <c r="X4370">
        <v>0.99819820000000004</v>
      </c>
      <c r="Y4370">
        <v>-6.048166E-2</v>
      </c>
      <c r="Z4370">
        <v>0.1068238</v>
      </c>
      <c r="AA4370">
        <v>0.99243669999999995</v>
      </c>
      <c r="AB4370">
        <v>22</v>
      </c>
      <c r="AC4370">
        <v>0.63199999999994805</v>
      </c>
      <c r="AD4370">
        <v>-1.109491232826</v>
      </c>
      <c r="AE4370">
        <v>-10.0883099999999</v>
      </c>
      <c r="AF4370">
        <v>-0.62034876501684799</v>
      </c>
      <c r="AG4370">
        <v>-1.109491232826</v>
      </c>
      <c r="AH4370">
        <v>9.9684721025412202</v>
      </c>
      <c r="AI4370">
        <v>96.338721662586593</v>
      </c>
      <c r="AJ4370">
        <v>93.560985976818699</v>
      </c>
      <c r="AK4370">
        <v>10.049190984607501</v>
      </c>
      <c r="AL4370">
        <v>87.1164953548803</v>
      </c>
      <c r="AM4370">
        <v>88.123285923276399</v>
      </c>
      <c r="AN4370">
        <v>1.00000003131152</v>
      </c>
    </row>
    <row r="4371" spans="1:40" x14ac:dyDescent="0.25">
      <c r="A4371" t="str">
        <f>"20190312154647278"</f>
        <v>20190312154647278</v>
      </c>
      <c r="B4371" t="str">
        <f>"1552376807272327"</f>
        <v>1552376807272327</v>
      </c>
      <c r="C4371" t="s">
        <v>40</v>
      </c>
      <c r="D4371">
        <v>4.5191270000000001</v>
      </c>
      <c r="E4371">
        <v>0.4669026</v>
      </c>
      <c r="F4371" t="s">
        <v>42</v>
      </c>
      <c r="G4371">
        <v>-420.75189999999998</v>
      </c>
      <c r="H4371" s="1">
        <v>-2.9252969999999999E-6</v>
      </c>
      <c r="I4371">
        <v>65.941730000000007</v>
      </c>
      <c r="J4371">
        <v>-421.41210000000001</v>
      </c>
      <c r="K4371">
        <v>1.1094919999999999</v>
      </c>
      <c r="L4371">
        <v>76.507480000000001</v>
      </c>
      <c r="M4371">
        <v>8.4562479999999995E-4</v>
      </c>
      <c r="N4371">
        <v>0</v>
      </c>
      <c r="O4371">
        <v>-0.99997349999999996</v>
      </c>
      <c r="P4371">
        <v>-3.1669339999999997E-2</v>
      </c>
      <c r="Q4371">
        <v>4.2725119999999998E-2</v>
      </c>
      <c r="R4371">
        <v>-0.9985849</v>
      </c>
      <c r="S4371">
        <v>0.18524170000000001</v>
      </c>
      <c r="T4371">
        <v>-0.31100369999999999</v>
      </c>
      <c r="U4371">
        <v>-3.0238040000000002</v>
      </c>
      <c r="V4371">
        <v>3.2484819999999998E-2</v>
      </c>
      <c r="W4371">
        <v>4.9972519999999999E-2</v>
      </c>
      <c r="X4371">
        <v>0.99822219999999995</v>
      </c>
      <c r="Y4371">
        <v>-5.998274E-2</v>
      </c>
      <c r="Z4371">
        <v>0.1021252</v>
      </c>
      <c r="AA4371">
        <v>0.99296150000000005</v>
      </c>
      <c r="AB4371">
        <v>22</v>
      </c>
      <c r="AC4371">
        <v>0.66020000000003098</v>
      </c>
      <c r="AD4371">
        <v>-1.1094949252969999</v>
      </c>
      <c r="AE4371">
        <v>-10.5657499999999</v>
      </c>
      <c r="AF4371">
        <v>-0.64418914361651303</v>
      </c>
      <c r="AG4371">
        <v>-1.1094949252969999</v>
      </c>
      <c r="AH4371">
        <v>10.4515059401693</v>
      </c>
      <c r="AI4371">
        <v>96.048230660293498</v>
      </c>
      <c r="AJ4371">
        <v>93.527021476341403</v>
      </c>
      <c r="AK4371">
        <v>10.529954181258701</v>
      </c>
      <c r="AL4371">
        <v>87.135592586313194</v>
      </c>
      <c r="AM4371">
        <v>88.136099891696205</v>
      </c>
      <c r="AN4371">
        <v>1.00000003842921</v>
      </c>
    </row>
    <row r="4372" spans="1:40" x14ac:dyDescent="0.25">
      <c r="A4372" t="str">
        <f>"20190312154647300"</f>
        <v>20190312154647300</v>
      </c>
      <c r="B4372" t="str">
        <f>"1552376807291844"</f>
        <v>1552376807291844</v>
      </c>
      <c r="C4372" t="s">
        <v>40</v>
      </c>
      <c r="D4372">
        <v>4.5246279999999999</v>
      </c>
      <c r="E4372">
        <v>0.4671555</v>
      </c>
      <c r="F4372" t="s">
        <v>42</v>
      </c>
      <c r="G4372">
        <v>-420.7208</v>
      </c>
      <c r="H4372" s="1">
        <v>-2.603273E-6</v>
      </c>
      <c r="I4372">
        <v>65.210329999999999</v>
      </c>
      <c r="J4372">
        <v>-421.41140000000001</v>
      </c>
      <c r="K4372">
        <v>1.109491</v>
      </c>
      <c r="L4372">
        <v>76.291529999999995</v>
      </c>
      <c r="M4372">
        <v>1.2660760000000001E-3</v>
      </c>
      <c r="N4372">
        <v>0</v>
      </c>
      <c r="O4372">
        <v>-0.99997250000000004</v>
      </c>
      <c r="P4372">
        <v>-3.0995310000000002E-2</v>
      </c>
      <c r="Q4372">
        <v>4.2441380000000001E-2</v>
      </c>
      <c r="R4372">
        <v>-0.9986178</v>
      </c>
      <c r="S4372">
        <v>0.18496699999999999</v>
      </c>
      <c r="T4372">
        <v>-0.29687259999999999</v>
      </c>
      <c r="U4372">
        <v>-3.0228269999999999</v>
      </c>
      <c r="V4372">
        <v>3.2230630000000003E-2</v>
      </c>
      <c r="W4372">
        <v>4.9748680000000003E-2</v>
      </c>
      <c r="X4372">
        <v>0.99824159999999995</v>
      </c>
      <c r="Y4372">
        <v>-5.9520690000000001E-2</v>
      </c>
      <c r="Z4372">
        <v>9.7562910000000003E-2</v>
      </c>
      <c r="AA4372">
        <v>0.99344790000000005</v>
      </c>
      <c r="AB4372">
        <v>22</v>
      </c>
      <c r="AC4372">
        <v>0.69060000000001698</v>
      </c>
      <c r="AD4372">
        <v>-1.1094936032730001</v>
      </c>
      <c r="AE4372">
        <v>-11.081200000000001</v>
      </c>
      <c r="AF4372">
        <v>-0.66987999467437198</v>
      </c>
      <c r="AG4372">
        <v>-1.1094936032730001</v>
      </c>
      <c r="AH4372">
        <v>10.9724939362989</v>
      </c>
      <c r="AI4372">
        <v>95.763231512775306</v>
      </c>
      <c r="AJ4372">
        <v>93.493619414400698</v>
      </c>
      <c r="AK4372">
        <v>11.0487709020091</v>
      </c>
      <c r="AL4372">
        <v>87.148433587624794</v>
      </c>
      <c r="AM4372">
        <v>88.150710444609899</v>
      </c>
      <c r="AN4372">
        <v>1.0000000183212401</v>
      </c>
    </row>
    <row r="4373" spans="1:40" x14ac:dyDescent="0.25">
      <c r="A4373" t="str">
        <f>"20190312154647323"</f>
        <v>20190312154647323</v>
      </c>
      <c r="B4373" t="str">
        <f>"1552376807312340"</f>
        <v>1552376807312340</v>
      </c>
      <c r="C4373" t="s">
        <v>40</v>
      </c>
      <c r="D4373">
        <v>4.5651519999999897</v>
      </c>
      <c r="E4373">
        <v>0.4674122</v>
      </c>
      <c r="F4373" t="s">
        <v>42</v>
      </c>
      <c r="G4373">
        <v>-420.702</v>
      </c>
      <c r="H4373" s="1">
        <v>-2.3792660000000002E-6</v>
      </c>
      <c r="I4373">
        <v>64.699860000000001</v>
      </c>
      <c r="J4373">
        <v>-421.41059999999999</v>
      </c>
      <c r="K4373">
        <v>1.1095010000000001</v>
      </c>
      <c r="L4373">
        <v>76.064669999999893</v>
      </c>
      <c r="M4373">
        <v>1.7075790000000001E-3</v>
      </c>
      <c r="N4373">
        <v>0</v>
      </c>
      <c r="O4373">
        <v>-0.99997179999999997</v>
      </c>
      <c r="P4373">
        <v>-3.0057790000000001E-2</v>
      </c>
      <c r="Q4373">
        <v>4.2627730000000003E-2</v>
      </c>
      <c r="R4373">
        <v>-0.99863919999999995</v>
      </c>
      <c r="S4373">
        <v>0.18496699999999999</v>
      </c>
      <c r="T4373">
        <v>-0.28926740000000001</v>
      </c>
      <c r="U4373">
        <v>-3.022186</v>
      </c>
      <c r="V4373">
        <v>3.1733659999999997E-2</v>
      </c>
      <c r="W4373">
        <v>4.9990140000000002E-2</v>
      </c>
      <c r="X4373">
        <v>0.99824539999999995</v>
      </c>
      <c r="Y4373">
        <v>-5.910733E-2</v>
      </c>
      <c r="Z4373">
        <v>9.5107529999999996E-2</v>
      </c>
      <c r="AA4373">
        <v>0.9937106</v>
      </c>
      <c r="AB4373">
        <v>22</v>
      </c>
      <c r="AC4373">
        <v>0.70859999999998902</v>
      </c>
      <c r="AD4373">
        <v>-1.1095033792659901</v>
      </c>
      <c r="AE4373">
        <v>-11.364809999999901</v>
      </c>
      <c r="AF4373">
        <v>-0.68271050441061898</v>
      </c>
      <c r="AG4373">
        <v>-1.1095033792659901</v>
      </c>
      <c r="AH4373">
        <v>11.2591098099367</v>
      </c>
      <c r="AI4373">
        <v>95.617660601101804</v>
      </c>
      <c r="AJ4373">
        <v>93.469954207995201</v>
      </c>
      <c r="AK4373">
        <v>11.3342245034077</v>
      </c>
      <c r="AL4373">
        <v>87.134581543414399</v>
      </c>
      <c r="AM4373">
        <v>88.179212562163599</v>
      </c>
      <c r="AN4373">
        <v>0.99999995894768601</v>
      </c>
    </row>
    <row r="4374" spans="1:40" x14ac:dyDescent="0.25">
      <c r="A4374" t="str">
        <f>"20190312154647346"</f>
        <v>20190312154647346</v>
      </c>
      <c r="B4374" t="str">
        <f>"1552376807331860"</f>
        <v>1552376807331860</v>
      </c>
      <c r="C4374" t="s">
        <v>40</v>
      </c>
      <c r="D4374">
        <v>4.5611790000000001</v>
      </c>
      <c r="E4374">
        <v>0.46762290000000001</v>
      </c>
      <c r="F4374" t="s">
        <v>42</v>
      </c>
      <c r="G4374">
        <v>-420.67849999999999</v>
      </c>
      <c r="H4374" s="1">
        <v>-2.1320379999999999E-6</v>
      </c>
      <c r="I4374">
        <v>64.138109999999998</v>
      </c>
      <c r="J4374">
        <v>-421.40980000000002</v>
      </c>
      <c r="K4374">
        <v>1.1095079999999999</v>
      </c>
      <c r="L4374">
        <v>75.840180000000004</v>
      </c>
      <c r="M4374">
        <v>2.1446410000000001E-3</v>
      </c>
      <c r="N4374">
        <v>0</v>
      </c>
      <c r="O4374">
        <v>-0.99997040000000004</v>
      </c>
      <c r="P4374">
        <v>-2.9048709999999998E-2</v>
      </c>
      <c r="Q4374">
        <v>4.3253680000000003E-2</v>
      </c>
      <c r="R4374">
        <v>-0.99864180000000002</v>
      </c>
      <c r="S4374">
        <v>0.18548580000000001</v>
      </c>
      <c r="T4374">
        <v>-0.28109970000000001</v>
      </c>
      <c r="U4374">
        <v>-3.0216669999999999</v>
      </c>
      <c r="V4374">
        <v>3.1160460000000001E-2</v>
      </c>
      <c r="W4374">
        <v>5.0663529999999998E-2</v>
      </c>
      <c r="X4374">
        <v>0.99822960000000005</v>
      </c>
      <c r="Y4374">
        <v>-5.8866670000000003E-2</v>
      </c>
      <c r="Z4374">
        <v>9.2461160000000001E-2</v>
      </c>
      <c r="AA4374">
        <v>0.99397469999999999</v>
      </c>
      <c r="AB4374">
        <v>22</v>
      </c>
      <c r="AC4374">
        <v>0.73130000000003204</v>
      </c>
      <c r="AD4374">
        <v>-1.1095101320380001</v>
      </c>
      <c r="AE4374">
        <v>-11.702070000000001</v>
      </c>
      <c r="AF4374">
        <v>-0.69993329739744403</v>
      </c>
      <c r="AG4374">
        <v>-1.1095101320380001</v>
      </c>
      <c r="AH4374">
        <v>11.5997409010096</v>
      </c>
      <c r="AI4374">
        <v>95.453834873642705</v>
      </c>
      <c r="AJ4374">
        <v>93.453064923671803</v>
      </c>
      <c r="AK4374">
        <v>11.6736844365631</v>
      </c>
      <c r="AL4374">
        <v>87.095950449882196</v>
      </c>
      <c r="AM4374">
        <v>88.212051329798896</v>
      </c>
      <c r="AN4374">
        <v>1.00000005092781</v>
      </c>
    </row>
    <row r="4375" spans="1:40" x14ac:dyDescent="0.25">
      <c r="A4375" t="str">
        <f>"20190312154647370"</f>
        <v>20190312154647370</v>
      </c>
      <c r="B4375" t="str">
        <f>"1552376807362116"</f>
        <v>1552376807362116</v>
      </c>
      <c r="C4375" t="s">
        <v>40</v>
      </c>
      <c r="D4375">
        <v>4.563841</v>
      </c>
      <c r="E4375">
        <v>0.46778819999999999</v>
      </c>
      <c r="F4375" t="s">
        <v>42</v>
      </c>
      <c r="G4375">
        <v>-420.65140000000002</v>
      </c>
      <c r="H4375" s="1">
        <v>-1.8741129999999999E-6</v>
      </c>
      <c r="I4375">
        <v>63.553690000000003</v>
      </c>
      <c r="J4375">
        <v>-421.40859999999998</v>
      </c>
      <c r="K4375">
        <v>1.1095159999999999</v>
      </c>
      <c r="L4375">
        <v>75.591830000000002</v>
      </c>
      <c r="M4375">
        <v>2.627243E-3</v>
      </c>
      <c r="N4375">
        <v>0</v>
      </c>
      <c r="O4375">
        <v>-0.99996890000000005</v>
      </c>
      <c r="P4375">
        <v>-2.8161100000000001E-2</v>
      </c>
      <c r="Q4375">
        <v>4.3437719999999999E-2</v>
      </c>
      <c r="R4375">
        <v>-0.99865930000000003</v>
      </c>
      <c r="S4375">
        <v>0.18649289999999999</v>
      </c>
      <c r="T4375">
        <v>-0.27283619999999997</v>
      </c>
      <c r="U4375">
        <v>-3.0213320000000001</v>
      </c>
      <c r="V4375">
        <v>3.0754429999999999E-2</v>
      </c>
      <c r="W4375">
        <v>5.0888309999999999E-2</v>
      </c>
      <c r="X4375">
        <v>0.99823070000000003</v>
      </c>
      <c r="Y4375">
        <v>-5.873685E-2</v>
      </c>
      <c r="Z4375">
        <v>8.9774510000000002E-2</v>
      </c>
      <c r="AA4375">
        <v>0.99422860000000002</v>
      </c>
      <c r="AB4375">
        <v>22</v>
      </c>
      <c r="AC4375">
        <v>0.75719999999995402</v>
      </c>
      <c r="AD4375">
        <v>-1.1095178741129901</v>
      </c>
      <c r="AE4375">
        <v>-12.03814</v>
      </c>
      <c r="AF4375">
        <v>-0.71948167263632601</v>
      </c>
      <c r="AG4375">
        <v>-1.1095178741129901</v>
      </c>
      <c r="AH4375">
        <v>11.9390683113284</v>
      </c>
      <c r="AI4375">
        <v>95.299784930537697</v>
      </c>
      <c r="AJ4375">
        <v>93.448633382198807</v>
      </c>
      <c r="AK4375">
        <v>12.012078751523401</v>
      </c>
      <c r="AL4375">
        <v>87.083054700937396</v>
      </c>
      <c r="AM4375">
        <v>88.235335944987199</v>
      </c>
      <c r="AN4375">
        <v>0.99999999274088502</v>
      </c>
    </row>
    <row r="4376" spans="1:40" x14ac:dyDescent="0.25">
      <c r="A4376" t="str">
        <f>"20190312154647395"</f>
        <v>20190312154647395</v>
      </c>
      <c r="B4376" t="str">
        <f>"1552376807392373"</f>
        <v>1552376807392373</v>
      </c>
      <c r="C4376" t="s">
        <v>40</v>
      </c>
      <c r="D4376">
        <v>4.5290520000000001</v>
      </c>
      <c r="E4376">
        <v>0.42557279999999997</v>
      </c>
      <c r="F4376" t="s">
        <v>42</v>
      </c>
      <c r="G4376">
        <v>-420.61939999999998</v>
      </c>
      <c r="H4376" s="1">
        <v>-1.57744E-6</v>
      </c>
      <c r="I4376">
        <v>62.882019999999997</v>
      </c>
      <c r="J4376">
        <v>-421.4074</v>
      </c>
      <c r="K4376">
        <v>1.109515</v>
      </c>
      <c r="L4376">
        <v>75.3399</v>
      </c>
      <c r="M4376">
        <v>3.1173490000000002E-3</v>
      </c>
      <c r="N4376">
        <v>0</v>
      </c>
      <c r="O4376">
        <v>-0.99996750000000001</v>
      </c>
      <c r="P4376">
        <v>-2.7154879999999999E-2</v>
      </c>
      <c r="Q4376">
        <v>4.3671300000000003E-2</v>
      </c>
      <c r="R4376">
        <v>-0.99867709999999998</v>
      </c>
      <c r="S4376">
        <v>0.1875916</v>
      </c>
      <c r="T4376">
        <v>-0.26370290000000002</v>
      </c>
      <c r="U4376">
        <v>-3.0207820000000001</v>
      </c>
      <c r="V4376">
        <v>3.0237320000000002E-2</v>
      </c>
      <c r="W4376">
        <v>5.1149279999999998E-2</v>
      </c>
      <c r="X4376">
        <v>0.99823309999999998</v>
      </c>
      <c r="Y4376">
        <v>-5.8635220000000002E-2</v>
      </c>
      <c r="Z4376">
        <v>8.6807079999999995E-2</v>
      </c>
      <c r="AA4376">
        <v>0.99449810000000005</v>
      </c>
      <c r="AB4376">
        <v>22</v>
      </c>
      <c r="AC4376">
        <v>0.78800000000001003</v>
      </c>
      <c r="AD4376">
        <v>-1.10951657744</v>
      </c>
      <c r="AE4376">
        <v>-12.457879999999999</v>
      </c>
      <c r="AF4376">
        <v>-0.743287323313779</v>
      </c>
      <c r="AG4376">
        <v>-1.10951657744</v>
      </c>
      <c r="AH4376">
        <v>12.362607338312401</v>
      </c>
      <c r="AI4376">
        <v>95.119234173755004</v>
      </c>
      <c r="AJ4376">
        <v>93.440699894889903</v>
      </c>
      <c r="AK4376">
        <v>12.4345310841185</v>
      </c>
      <c r="AL4376">
        <v>87.068082548231899</v>
      </c>
      <c r="AM4376">
        <v>88.264993172700002</v>
      </c>
      <c r="AN4376">
        <v>0.99999993315045299</v>
      </c>
    </row>
    <row r="4377" spans="1:40" x14ac:dyDescent="0.25">
      <c r="A4377" t="str">
        <f>"20190312154647415"</f>
        <v>20190312154647415</v>
      </c>
      <c r="B4377" t="str">
        <f>"1552376807411892"</f>
        <v>1552376807411892</v>
      </c>
      <c r="C4377" t="s">
        <v>40</v>
      </c>
      <c r="D4377">
        <v>4.549709</v>
      </c>
      <c r="E4377">
        <v>0.42009299999999999</v>
      </c>
      <c r="F4377" t="s">
        <v>71</v>
      </c>
      <c r="G4377">
        <v>-414.274</v>
      </c>
      <c r="H4377" s="1">
        <v>-4.7920570000000001E-6</v>
      </c>
      <c r="I4377">
        <v>33.919119999999999</v>
      </c>
      <c r="J4377">
        <v>-421.40629999999999</v>
      </c>
      <c r="K4377">
        <v>1.109513</v>
      </c>
      <c r="L4377">
        <v>75.134829999999994</v>
      </c>
      <c r="M4377">
        <v>3.515972E-3</v>
      </c>
      <c r="N4377">
        <v>0</v>
      </c>
      <c r="O4377">
        <v>-0.99996580000000002</v>
      </c>
      <c r="P4377">
        <v>-2.6286199999999999E-2</v>
      </c>
      <c r="Q4377">
        <v>4.38261E-2</v>
      </c>
      <c r="R4377">
        <v>-0.99869319999999895</v>
      </c>
      <c r="S4377">
        <v>0.52038569999999995</v>
      </c>
      <c r="T4377">
        <v>-8.0940010000000007E-2</v>
      </c>
      <c r="U4377">
        <v>-3.0216669999999999</v>
      </c>
      <c r="V4377">
        <v>2.976647E-2</v>
      </c>
      <c r="W4377">
        <v>5.131786E-2</v>
      </c>
      <c r="X4377">
        <v>0.99823870000000003</v>
      </c>
      <c r="Y4377">
        <v>-0.16619439999999999</v>
      </c>
      <c r="Z4377">
        <v>2.6396340000000001E-2</v>
      </c>
      <c r="AA4377">
        <v>0.98573960000000005</v>
      </c>
      <c r="AB4377">
        <v>22</v>
      </c>
      <c r="AC4377">
        <v>7.1322999999999803</v>
      </c>
      <c r="AD4377">
        <v>-1.1095177920569901</v>
      </c>
      <c r="AE4377">
        <v>-41.215710000000001</v>
      </c>
      <c r="AF4377">
        <v>-6.98242570291006</v>
      </c>
      <c r="AG4377">
        <v>-1.1095177920569901</v>
      </c>
      <c r="AH4377">
        <v>41.211536272924697</v>
      </c>
      <c r="AI4377">
        <v>91.520514129374206</v>
      </c>
      <c r="AJ4377">
        <v>99.616240392784206</v>
      </c>
      <c r="AK4377">
        <v>41.813586552723997</v>
      </c>
      <c r="AL4377">
        <v>87.058411219732307</v>
      </c>
      <c r="AM4377">
        <v>88.292003827164706</v>
      </c>
      <c r="AN4377">
        <v>1.0000000338344599</v>
      </c>
    </row>
    <row r="4378" spans="1:40" x14ac:dyDescent="0.25">
      <c r="A4378" t="str">
        <f>"20190312154647436"</f>
        <v>20190312154647436</v>
      </c>
      <c r="B4378" t="str">
        <f>"1552376807432389"</f>
        <v>1552376807432389</v>
      </c>
      <c r="C4378" t="s">
        <v>40</v>
      </c>
      <c r="D4378">
        <v>4.5155240000000001</v>
      </c>
      <c r="E4378">
        <v>0.41858709999999999</v>
      </c>
      <c r="F4378" t="s">
        <v>42</v>
      </c>
      <c r="G4378">
        <v>-416.48869999999999</v>
      </c>
      <c r="H4378" s="1">
        <v>-4.6212720000000002E-6</v>
      </c>
      <c r="I4378">
        <v>48.953209999999999</v>
      </c>
      <c r="J4378">
        <v>-421.40519999999998</v>
      </c>
      <c r="K4378">
        <v>1.1095029999999999</v>
      </c>
      <c r="L4378">
        <v>74.929719999999904</v>
      </c>
      <c r="M4378">
        <v>3.9144160000000004E-3</v>
      </c>
      <c r="N4378">
        <v>0</v>
      </c>
      <c r="O4378">
        <v>-0.99996439999999998</v>
      </c>
      <c r="P4378">
        <v>-2.5692960000000001E-2</v>
      </c>
      <c r="Q4378">
        <v>4.4010479999999998E-2</v>
      </c>
      <c r="R4378">
        <v>-0.99870080000000006</v>
      </c>
      <c r="S4378">
        <v>0.5680847</v>
      </c>
      <c r="T4378">
        <v>-0.1281717</v>
      </c>
      <c r="U4378">
        <v>-3.0245060000000001</v>
      </c>
      <c r="V4378">
        <v>2.9570840000000001E-2</v>
      </c>
      <c r="W4378">
        <v>5.1509289999999999E-2</v>
      </c>
      <c r="X4378">
        <v>0.99823459999999997</v>
      </c>
      <c r="Y4378">
        <v>-0.18059059999999999</v>
      </c>
      <c r="Z4378">
        <v>4.1627869999999997E-2</v>
      </c>
      <c r="AA4378">
        <v>0.98267700000000002</v>
      </c>
      <c r="AB4378">
        <v>23</v>
      </c>
      <c r="AC4378">
        <v>4.9164999999999797</v>
      </c>
      <c r="AD4378">
        <v>-1.1095076212720001</v>
      </c>
      <c r="AE4378">
        <v>-25.976509999999902</v>
      </c>
      <c r="AF4378">
        <v>-4.8063116471809604</v>
      </c>
      <c r="AG4378">
        <v>-1.1095076212720001</v>
      </c>
      <c r="AH4378">
        <v>25.9498533144824</v>
      </c>
      <c r="AI4378">
        <v>92.4073436634595</v>
      </c>
      <c r="AJ4378">
        <v>100.493149046217</v>
      </c>
      <c r="AK4378">
        <v>26.4145135456749</v>
      </c>
      <c r="AL4378">
        <v>87.047428402084904</v>
      </c>
      <c r="AM4378">
        <v>88.303215502452105</v>
      </c>
      <c r="AN4378">
        <v>0.99999997908588401</v>
      </c>
    </row>
    <row r="4379" spans="1:40" x14ac:dyDescent="0.25">
      <c r="A4379" t="str">
        <f>"20190312154647456"</f>
        <v>20190312154647456</v>
      </c>
      <c r="B4379" t="str">
        <f>"1552376807451909"</f>
        <v>1552376807451909</v>
      </c>
      <c r="C4379" t="s">
        <v>40</v>
      </c>
      <c r="D4379">
        <v>4.4925259999999998</v>
      </c>
      <c r="E4379">
        <v>0.41836200000000001</v>
      </c>
      <c r="F4379" t="s">
        <v>42</v>
      </c>
      <c r="G4379">
        <v>-416.4778</v>
      </c>
      <c r="H4379" s="1">
        <v>-4.788454E-6</v>
      </c>
      <c r="I4379">
        <v>49.338410000000003</v>
      </c>
      <c r="J4379">
        <v>-421.40390000000002</v>
      </c>
      <c r="K4379">
        <v>1.1095029999999999</v>
      </c>
      <c r="L4379">
        <v>74.718260000000001</v>
      </c>
      <c r="M4379">
        <v>4.3253149999999997E-3</v>
      </c>
      <c r="N4379">
        <v>0</v>
      </c>
      <c r="O4379">
        <v>-0.99996269999999998</v>
      </c>
      <c r="P4379">
        <v>-2.5484239999999998E-2</v>
      </c>
      <c r="Q4379">
        <v>4.3924650000000003E-2</v>
      </c>
      <c r="R4379">
        <v>-0.99870999999999999</v>
      </c>
      <c r="S4379">
        <v>0.58236690000000002</v>
      </c>
      <c r="T4379">
        <v>-0.13113369999999999</v>
      </c>
      <c r="U4379">
        <v>-3.0246580000000001</v>
      </c>
      <c r="V4379">
        <v>2.9772340000000001E-2</v>
      </c>
      <c r="W4379">
        <v>5.14212E-2</v>
      </c>
      <c r="X4379">
        <v>0.99823320000000004</v>
      </c>
      <c r="Y4379">
        <v>-0.1846468</v>
      </c>
      <c r="Z4379">
        <v>4.2551150000000003E-2</v>
      </c>
      <c r="AA4379">
        <v>0.98188339999999996</v>
      </c>
      <c r="AB4379">
        <v>23</v>
      </c>
      <c r="AC4379">
        <v>4.9261000000000204</v>
      </c>
      <c r="AD4379">
        <v>-1.1095077884540001</v>
      </c>
      <c r="AE4379">
        <v>-25.379850000000001</v>
      </c>
      <c r="AF4379">
        <v>-4.8074211097290496</v>
      </c>
      <c r="AG4379">
        <v>-1.1095077884540001</v>
      </c>
      <c r="AH4379">
        <v>25.3542248800549</v>
      </c>
      <c r="AI4379">
        <v>92.461871826664407</v>
      </c>
      <c r="AJ4379">
        <v>100.736412999029</v>
      </c>
      <c r="AK4379">
        <v>25.829808836445199</v>
      </c>
      <c r="AL4379">
        <v>87.052482425677994</v>
      </c>
      <c r="AM4379">
        <v>88.291657800012004</v>
      </c>
      <c r="AN4379">
        <v>1.0000000268103699</v>
      </c>
    </row>
    <row r="4380" spans="1:40" x14ac:dyDescent="0.25">
      <c r="A4380" t="str">
        <f>"20190312154647479"</f>
        <v>20190312154647479</v>
      </c>
      <c r="B4380" t="str">
        <f>"1552376807472404"</f>
        <v>1552376807472404</v>
      </c>
      <c r="C4380" t="s">
        <v>40</v>
      </c>
      <c r="D4380">
        <v>4.4918339999999999</v>
      </c>
      <c r="E4380">
        <v>0.41803839999999998</v>
      </c>
      <c r="F4380" t="s">
        <v>42</v>
      </c>
      <c r="G4380">
        <v>-416.86489999999998</v>
      </c>
      <c r="H4380" s="1">
        <v>-1.3835369999999999E-6</v>
      </c>
      <c r="I4380">
        <v>51.262419999999999</v>
      </c>
      <c r="J4380">
        <v>-421.4024</v>
      </c>
      <c r="K4380">
        <v>1.109497</v>
      </c>
      <c r="L4380">
        <v>74.484919999999903</v>
      </c>
      <c r="M4380">
        <v>4.7785809999999996E-3</v>
      </c>
      <c r="N4380">
        <v>0</v>
      </c>
      <c r="O4380">
        <v>-0.99996079999999998</v>
      </c>
      <c r="P4380">
        <v>-2.474432E-2</v>
      </c>
      <c r="Q4380">
        <v>4.3138549999999998E-2</v>
      </c>
      <c r="R4380">
        <v>-0.99876290000000001</v>
      </c>
      <c r="S4380">
        <v>0.58538819999999903</v>
      </c>
      <c r="T4380">
        <v>-0.1430922</v>
      </c>
      <c r="U4380">
        <v>-3.0250849999999998</v>
      </c>
      <c r="V4380">
        <v>2.9485589999999999E-2</v>
      </c>
      <c r="W4380">
        <v>5.062353E-2</v>
      </c>
      <c r="X4380">
        <v>0.99828240000000001</v>
      </c>
      <c r="Y4380">
        <v>-0.18508830000000001</v>
      </c>
      <c r="Z4380">
        <v>4.6410510000000002E-2</v>
      </c>
      <c r="AA4380">
        <v>0.98162539999999998</v>
      </c>
      <c r="AB4380">
        <v>23</v>
      </c>
      <c r="AC4380">
        <v>4.5375000000000201</v>
      </c>
      <c r="AD4380">
        <v>-1.109498383537</v>
      </c>
      <c r="AE4380">
        <v>-23.222499999999901</v>
      </c>
      <c r="AF4380">
        <v>-4.4167634274700696</v>
      </c>
      <c r="AG4380">
        <v>-1.109498383537</v>
      </c>
      <c r="AH4380">
        <v>23.1929242642296</v>
      </c>
      <c r="AI4380">
        <v>92.690536112733</v>
      </c>
      <c r="AJ4380">
        <v>100.78206548223901</v>
      </c>
      <c r="AK4380">
        <v>23.635789002349799</v>
      </c>
      <c r="AL4380">
        <v>87.098244920820093</v>
      </c>
      <c r="AM4380">
        <v>88.308185292881504</v>
      </c>
      <c r="AN4380">
        <v>0.99999994597853303</v>
      </c>
    </row>
    <row r="4381" spans="1:40" x14ac:dyDescent="0.25">
      <c r="A4381" t="str">
        <f>"20190312154647501"</f>
        <v>20190312154647501</v>
      </c>
      <c r="B4381" t="str">
        <f>"1552376807491924"</f>
        <v>1552376807491924</v>
      </c>
      <c r="C4381" t="s">
        <v>40</v>
      </c>
      <c r="D4381">
        <v>4.4881489999999999</v>
      </c>
      <c r="E4381">
        <v>0.41798960000000002</v>
      </c>
      <c r="F4381" t="s">
        <v>42</v>
      </c>
      <c r="G4381">
        <v>-417.05009999999999</v>
      </c>
      <c r="H4381" s="1">
        <v>-1.643514E-6</v>
      </c>
      <c r="I4381">
        <v>52.17116</v>
      </c>
      <c r="J4381">
        <v>-421.4008</v>
      </c>
      <c r="K4381">
        <v>1.1094900000000001</v>
      </c>
      <c r="L4381">
        <v>74.25909</v>
      </c>
      <c r="M4381">
        <v>5.2167079999999996E-3</v>
      </c>
      <c r="N4381">
        <v>0</v>
      </c>
      <c r="O4381">
        <v>-0.99995849999999997</v>
      </c>
      <c r="P4381">
        <v>-2.3960200000000001E-2</v>
      </c>
      <c r="Q4381">
        <v>4.2450349999999998E-2</v>
      </c>
      <c r="R4381">
        <v>-0.99881120000000001</v>
      </c>
      <c r="S4381">
        <v>0.58999630000000003</v>
      </c>
      <c r="T4381">
        <v>-0.15040300000000001</v>
      </c>
      <c r="U4381">
        <v>-3.0248409999999999</v>
      </c>
      <c r="V4381">
        <v>2.9139470000000001E-2</v>
      </c>
      <c r="W4381">
        <v>4.991727E-2</v>
      </c>
      <c r="X4381">
        <v>0.9983282</v>
      </c>
      <c r="Y4381">
        <v>-0.1860919</v>
      </c>
      <c r="Z4381">
        <v>4.8768140000000001E-2</v>
      </c>
      <c r="AA4381">
        <v>0.98132129999999995</v>
      </c>
      <c r="AB4381">
        <v>23</v>
      </c>
      <c r="AC4381">
        <v>4.3507000000000096</v>
      </c>
      <c r="AD4381">
        <v>-1.1094916435140001</v>
      </c>
      <c r="AE4381">
        <v>-22.08793</v>
      </c>
      <c r="AF4381">
        <v>-4.2251488997980502</v>
      </c>
      <c r="AG4381">
        <v>-1.1094916435140001</v>
      </c>
      <c r="AH4381">
        <v>22.0567530756792</v>
      </c>
      <c r="AI4381">
        <v>92.828308228495303</v>
      </c>
      <c r="AJ4381">
        <v>100.84410248058499</v>
      </c>
      <c r="AK4381">
        <v>22.485177588224101</v>
      </c>
      <c r="AL4381">
        <v>87.138762077289599</v>
      </c>
      <c r="AM4381">
        <v>88.328110176540804</v>
      </c>
      <c r="AN4381">
        <v>1.0000000187356799</v>
      </c>
    </row>
    <row r="4382" spans="1:40" x14ac:dyDescent="0.25">
      <c r="A4382" t="str">
        <f>"20190312154647525"</f>
        <v>20190312154647525</v>
      </c>
      <c r="B4382" t="str">
        <f>"1552376807512421"</f>
        <v>1552376807512421</v>
      </c>
      <c r="C4382" t="s">
        <v>40</v>
      </c>
      <c r="D4382">
        <v>4.5100379999999998</v>
      </c>
      <c r="E4382">
        <v>0.41787390000000002</v>
      </c>
      <c r="F4382" t="s">
        <v>42</v>
      </c>
      <c r="G4382">
        <v>-417.2054</v>
      </c>
      <c r="H4382" s="1">
        <v>-1.886614E-6</v>
      </c>
      <c r="I4382">
        <v>52.874989999999997</v>
      </c>
      <c r="J4382">
        <v>-421.399</v>
      </c>
      <c r="K4382">
        <v>1.1094809999999999</v>
      </c>
      <c r="L4382">
        <v>74.024569999999997</v>
      </c>
      <c r="M4382">
        <v>5.6720669999999898E-3</v>
      </c>
      <c r="N4382">
        <v>0</v>
      </c>
      <c r="O4382">
        <v>-0.99995630000000002</v>
      </c>
      <c r="P4382">
        <v>-2.3070219999999999E-2</v>
      </c>
      <c r="Q4382">
        <v>4.1922269999999998E-2</v>
      </c>
      <c r="R4382">
        <v>-0.99885440000000003</v>
      </c>
      <c r="S4382">
        <v>0.59338380000000002</v>
      </c>
      <c r="T4382">
        <v>-0.1569217</v>
      </c>
      <c r="U4382">
        <v>-3.0244749999999998</v>
      </c>
      <c r="V4382">
        <v>2.8704629999999998E-2</v>
      </c>
      <c r="W4382">
        <v>4.9361490000000001E-2</v>
      </c>
      <c r="X4382">
        <v>0.99836840000000004</v>
      </c>
      <c r="Y4382">
        <v>-0.18670519999999999</v>
      </c>
      <c r="Z4382">
        <v>5.0873839999999997E-2</v>
      </c>
      <c r="AA4382">
        <v>0.98109789999999997</v>
      </c>
      <c r="AB4382">
        <v>23</v>
      </c>
      <c r="AC4382">
        <v>4.1936</v>
      </c>
      <c r="AD4382">
        <v>-1.1094828866140001</v>
      </c>
      <c r="AE4382">
        <v>-21.14958</v>
      </c>
      <c r="AF4382">
        <v>-4.0628097606640603</v>
      </c>
      <c r="AG4382">
        <v>-1.1094828866140001</v>
      </c>
      <c r="AH4382">
        <v>21.117112280873499</v>
      </c>
      <c r="AI4382">
        <v>92.953460592431497</v>
      </c>
      <c r="AJ4382">
        <v>100.890306311107</v>
      </c>
      <c r="AK4382">
        <v>21.532993440533399</v>
      </c>
      <c r="AL4382">
        <v>87.170645141781407</v>
      </c>
      <c r="AM4382">
        <v>88.353111746057607</v>
      </c>
      <c r="AN4382">
        <v>0.99999998729850803</v>
      </c>
    </row>
    <row r="4383" spans="1:40" x14ac:dyDescent="0.25">
      <c r="A4383" t="str">
        <f>"20190312154647547"</f>
        <v>20190312154647547</v>
      </c>
      <c r="B4383" t="str">
        <f>"1552376807541700"</f>
        <v>1552376807541700</v>
      </c>
      <c r="C4383" t="s">
        <v>40</v>
      </c>
      <c r="D4383">
        <v>4.4674860000000001</v>
      </c>
      <c r="E4383">
        <v>0.41774139999999998</v>
      </c>
      <c r="F4383" t="s">
        <v>42</v>
      </c>
      <c r="G4383">
        <v>-417.23020000000002</v>
      </c>
      <c r="H4383" s="1">
        <v>-1.8881650000000001E-6</v>
      </c>
      <c r="I4383">
        <v>52.888849999999998</v>
      </c>
      <c r="J4383">
        <v>-421.3972</v>
      </c>
      <c r="K4383">
        <v>1.109469</v>
      </c>
      <c r="L4383">
        <v>73.786590000000004</v>
      </c>
      <c r="M4383">
        <v>6.1339609999999899E-3</v>
      </c>
      <c r="N4383">
        <v>0</v>
      </c>
      <c r="O4383">
        <v>-0.99995389999999995</v>
      </c>
      <c r="P4383">
        <v>-2.1945739999999998E-2</v>
      </c>
      <c r="Q4383">
        <v>4.1533840000000002E-2</v>
      </c>
      <c r="R4383">
        <v>-0.99889600000000001</v>
      </c>
      <c r="S4383">
        <v>0.59643550000000001</v>
      </c>
      <c r="T4383">
        <v>-0.1587325</v>
      </c>
      <c r="U4383">
        <v>-3.0238649999999998</v>
      </c>
      <c r="V4383">
        <v>2.804179E-2</v>
      </c>
      <c r="W4383">
        <v>4.8933329999999997E-2</v>
      </c>
      <c r="X4383">
        <v>0.99840830000000003</v>
      </c>
      <c r="Y4383">
        <v>-0.18723619999999999</v>
      </c>
      <c r="Z4383">
        <v>5.1461699999999999E-2</v>
      </c>
      <c r="AA4383">
        <v>0.980966</v>
      </c>
      <c r="AB4383">
        <v>23</v>
      </c>
      <c r="AC4383">
        <v>4.1669999999999696</v>
      </c>
      <c r="AD4383">
        <v>-1.1094708881649999</v>
      </c>
      <c r="AE4383">
        <v>-20.897739999999999</v>
      </c>
      <c r="AF4383">
        <v>-4.0278135220443803</v>
      </c>
      <c r="AG4383">
        <v>-1.1094708881649999</v>
      </c>
      <c r="AH4383">
        <v>20.866342933393799</v>
      </c>
      <c r="AI4383">
        <v>92.988506704616995</v>
      </c>
      <c r="AJ4383">
        <v>100.92538686387699</v>
      </c>
      <c r="AK4383">
        <v>21.2804716779033</v>
      </c>
      <c r="AL4383">
        <v>87.195206545119504</v>
      </c>
      <c r="AM4383">
        <v>88.3911853089771</v>
      </c>
      <c r="AN4383">
        <v>0.99999997314009104</v>
      </c>
    </row>
    <row r="4384" spans="1:40" x14ac:dyDescent="0.25">
      <c r="A4384" t="str">
        <f>"20190312154647571"</f>
        <v>20190312154647571</v>
      </c>
      <c r="B4384" t="str">
        <f>"1552376807562196"</f>
        <v>1552376807562196</v>
      </c>
      <c r="C4384" t="s">
        <v>40</v>
      </c>
      <c r="D4384">
        <v>5.042141</v>
      </c>
      <c r="E4384">
        <v>0.41774020000000001</v>
      </c>
      <c r="F4384" t="s">
        <v>42</v>
      </c>
      <c r="G4384">
        <v>-417.09190000000001</v>
      </c>
      <c r="H4384" s="1">
        <v>-1.6178330000000001E-6</v>
      </c>
      <c r="I4384">
        <v>52.128329999999998</v>
      </c>
      <c r="J4384">
        <v>-421.39510000000001</v>
      </c>
      <c r="K4384">
        <v>1.1094599999999999</v>
      </c>
      <c r="L4384">
        <v>73.532869999999903</v>
      </c>
      <c r="M4384">
        <v>6.6266669999999897E-3</v>
      </c>
      <c r="N4384">
        <v>0</v>
      </c>
      <c r="O4384">
        <v>-0.99995109999999998</v>
      </c>
      <c r="P4384">
        <v>-2.0603659999999999E-2</v>
      </c>
      <c r="Q4384">
        <v>4.0906190000000002E-2</v>
      </c>
      <c r="R4384">
        <v>-0.99895040000000002</v>
      </c>
      <c r="S4384">
        <v>0.60092159999999994</v>
      </c>
      <c r="T4384">
        <v>-0.1548543</v>
      </c>
      <c r="U4384">
        <v>-3.0229490000000001</v>
      </c>
      <c r="V4384">
        <v>2.719241E-2</v>
      </c>
      <c r="W4384">
        <v>4.8257979999999999E-2</v>
      </c>
      <c r="X4384">
        <v>0.99846469999999998</v>
      </c>
      <c r="Y4384">
        <v>-0.18822179999999999</v>
      </c>
      <c r="Z4384">
        <v>5.0210350000000001E-2</v>
      </c>
      <c r="AA4384">
        <v>0.9808422</v>
      </c>
      <c r="AB4384">
        <v>23</v>
      </c>
      <c r="AC4384">
        <v>4.3032000000000004</v>
      </c>
      <c r="AD4384">
        <v>-1.1094616178329999</v>
      </c>
      <c r="AE4384">
        <v>-21.404539999999901</v>
      </c>
      <c r="AF4384">
        <v>-4.1505430241247696</v>
      </c>
      <c r="AG4384">
        <v>-1.1094616178329999</v>
      </c>
      <c r="AH4384">
        <v>21.377384036168898</v>
      </c>
      <c r="AI4384">
        <v>92.916552840255605</v>
      </c>
      <c r="AJ4384">
        <v>100.987604190887</v>
      </c>
      <c r="AK4384">
        <v>21.804826546120498</v>
      </c>
      <c r="AL4384">
        <v>87.233947119986595</v>
      </c>
      <c r="AM4384">
        <v>88.439979595139903</v>
      </c>
      <c r="AN4384">
        <v>1.0000000084706799</v>
      </c>
    </row>
    <row r="4385" spans="1:40" x14ac:dyDescent="0.25">
      <c r="A4385" t="str">
        <f>"20190312154647595"</f>
        <v>20190312154647595</v>
      </c>
      <c r="B4385" t="str">
        <f>"1552376807581716"</f>
        <v>1552376807581716</v>
      </c>
      <c r="C4385" t="s">
        <v>40</v>
      </c>
      <c r="D4385">
        <v>4.4562920000000004</v>
      </c>
      <c r="E4385">
        <v>0.41772179999999998</v>
      </c>
      <c r="F4385" t="s">
        <v>42</v>
      </c>
      <c r="G4385">
        <v>-417.06229999999999</v>
      </c>
      <c r="H4385" s="1">
        <v>-1.5511569999999999E-6</v>
      </c>
      <c r="I4385">
        <v>51.909289999999999</v>
      </c>
      <c r="J4385">
        <v>-421.39299999999997</v>
      </c>
      <c r="K4385">
        <v>1.109453</v>
      </c>
      <c r="L4385">
        <v>73.293430000000001</v>
      </c>
      <c r="M4385">
        <v>7.0910729999999998E-3</v>
      </c>
      <c r="N4385">
        <v>0</v>
      </c>
      <c r="O4385">
        <v>-0.99994819999999995</v>
      </c>
      <c r="P4385">
        <v>-1.9317089999999999E-2</v>
      </c>
      <c r="Q4385">
        <v>4.0894229999999997E-2</v>
      </c>
      <c r="R4385">
        <v>-0.99897670000000005</v>
      </c>
      <c r="S4385">
        <v>0.60552980000000001</v>
      </c>
      <c r="T4385">
        <v>-0.15505289999999999</v>
      </c>
      <c r="U4385">
        <v>-3.0220030000000002</v>
      </c>
      <c r="V4385">
        <v>2.6369710000000001E-2</v>
      </c>
      <c r="W4385">
        <v>4.8198919999999999E-2</v>
      </c>
      <c r="X4385">
        <v>0.99848959999999998</v>
      </c>
      <c r="Y4385">
        <v>-0.18926200000000001</v>
      </c>
      <c r="Z4385">
        <v>5.0277240000000001E-2</v>
      </c>
      <c r="AA4385">
        <v>0.98063860000000003</v>
      </c>
      <c r="AB4385">
        <v>23</v>
      </c>
      <c r="AC4385">
        <v>4.3307000000000304</v>
      </c>
      <c r="AD4385">
        <v>-1.109454551157</v>
      </c>
      <c r="AE4385">
        <v>-21.384139999999899</v>
      </c>
      <c r="AF4385">
        <v>-4.1681729089483301</v>
      </c>
      <c r="AG4385">
        <v>-1.109454551157</v>
      </c>
      <c r="AH4385">
        <v>21.359084183657199</v>
      </c>
      <c r="AI4385">
        <v>92.918486832370505</v>
      </c>
      <c r="AJ4385">
        <v>101.04235297984</v>
      </c>
      <c r="AK4385">
        <v>21.790250846755502</v>
      </c>
      <c r="AL4385">
        <v>87.237334898286605</v>
      </c>
      <c r="AM4385">
        <v>88.487193080857395</v>
      </c>
      <c r="AN4385">
        <v>0.999999989401405</v>
      </c>
    </row>
    <row r="4386" spans="1:40" x14ac:dyDescent="0.25">
      <c r="A4386" t="str">
        <f>"20190312154647618"</f>
        <v>20190312154647618</v>
      </c>
      <c r="B4386" t="str">
        <f>"1552376807611972"</f>
        <v>1552376807611972</v>
      </c>
      <c r="C4386" t="s">
        <v>40</v>
      </c>
      <c r="D4386">
        <v>4.4240899999999996</v>
      </c>
      <c r="E4386">
        <v>0.4176976</v>
      </c>
      <c r="F4386" t="s">
        <v>42</v>
      </c>
      <c r="G4386">
        <v>-416.94929999999999</v>
      </c>
      <c r="H4386" s="1">
        <v>-1.3623949999999999E-6</v>
      </c>
      <c r="I4386">
        <v>51.266240000000003</v>
      </c>
      <c r="J4386">
        <v>-421.39060000000001</v>
      </c>
      <c r="K4386">
        <v>1.1094489999999999</v>
      </c>
      <c r="L4386">
        <v>73.041659999999993</v>
      </c>
      <c r="M4386">
        <v>7.5794969999999897E-3</v>
      </c>
      <c r="N4386">
        <v>0</v>
      </c>
      <c r="O4386">
        <v>-0.99994510000000003</v>
      </c>
      <c r="P4386">
        <v>-1.845981E-2</v>
      </c>
      <c r="Q4386">
        <v>4.105255E-2</v>
      </c>
      <c r="R4386">
        <v>-0.9989865</v>
      </c>
      <c r="S4386">
        <v>0.60946659999999997</v>
      </c>
      <c r="T4386">
        <v>-0.15216459999999901</v>
      </c>
      <c r="U4386">
        <v>-3.0210880000000002</v>
      </c>
      <c r="V4386">
        <v>2.600009E-2</v>
      </c>
      <c r="W4386">
        <v>4.8308940000000002E-2</v>
      </c>
      <c r="X4386">
        <v>0.99849399999999999</v>
      </c>
      <c r="Y4386">
        <v>-0.190077</v>
      </c>
      <c r="Z4386">
        <v>4.9347210000000002E-2</v>
      </c>
      <c r="AA4386">
        <v>0.98052819999999996</v>
      </c>
      <c r="AB4386">
        <v>23</v>
      </c>
      <c r="AC4386">
        <v>4.4413000000000098</v>
      </c>
      <c r="AD4386">
        <v>-1.1094503623949901</v>
      </c>
      <c r="AE4386">
        <v>-21.775419999999901</v>
      </c>
      <c r="AF4386">
        <v>-4.2654909337751796</v>
      </c>
      <c r="AG4386">
        <v>-1.1094503623949901</v>
      </c>
      <c r="AH4386">
        <v>21.7542423687905</v>
      </c>
      <c r="AI4386">
        <v>92.865051392439199</v>
      </c>
      <c r="AJ4386">
        <v>101.093604350893</v>
      </c>
      <c r="AK4386">
        <v>22.196223869226401</v>
      </c>
      <c r="AL4386">
        <v>87.231023930784403</v>
      </c>
      <c r="AM4386">
        <v>88.508394775378804</v>
      </c>
      <c r="AN4386">
        <v>1.00000001319996</v>
      </c>
    </row>
    <row r="4387" spans="1:40" x14ac:dyDescent="0.25">
      <c r="A4387" t="str">
        <f>"20190312154647657"</f>
        <v>20190312154647657</v>
      </c>
      <c r="B4387" t="str">
        <f>"1552376807651988"</f>
        <v>1552376807651988</v>
      </c>
      <c r="C4387" t="s">
        <v>40</v>
      </c>
      <c r="D4387">
        <v>4.3844640000000004</v>
      </c>
      <c r="E4387">
        <v>0.41756709999999903</v>
      </c>
      <c r="F4387" t="s">
        <v>42</v>
      </c>
      <c r="G4387">
        <v>-416.88650000000001</v>
      </c>
      <c r="H4387" s="1">
        <v>-1.22851E-6</v>
      </c>
      <c r="I4387">
        <v>50.82376</v>
      </c>
      <c r="J4387">
        <v>-421.38650000000001</v>
      </c>
      <c r="K4387">
        <v>1.109448</v>
      </c>
      <c r="L4387">
        <v>72.628270000000001</v>
      </c>
      <c r="M4387">
        <v>8.3803330000000002E-3</v>
      </c>
      <c r="N4387">
        <v>0</v>
      </c>
      <c r="O4387">
        <v>-0.99993940000000003</v>
      </c>
      <c r="P4387">
        <v>-1.866164E-2</v>
      </c>
      <c r="Q4387">
        <v>4.1049740000000001E-2</v>
      </c>
      <c r="R4387">
        <v>-0.99898330000000002</v>
      </c>
      <c r="S4387">
        <v>0.61233519999999997</v>
      </c>
      <c r="T4387">
        <v>-0.15083050000000001</v>
      </c>
      <c r="U4387">
        <v>-3.0205380000000002</v>
      </c>
      <c r="V4387">
        <v>2.7001399999999998E-2</v>
      </c>
      <c r="W4387">
        <v>4.8234649999999997E-2</v>
      </c>
      <c r="X4387">
        <v>0.998471</v>
      </c>
      <c r="Y4387">
        <v>-0.19022410000000001</v>
      </c>
      <c r="Z4387">
        <v>4.89186E-2</v>
      </c>
      <c r="AA4387">
        <v>0.98052110000000003</v>
      </c>
      <c r="AB4387">
        <v>23</v>
      </c>
      <c r="AC4387">
        <v>4.5</v>
      </c>
      <c r="AD4387">
        <v>-1.1094492285099999</v>
      </c>
      <c r="AE4387">
        <v>-21.804510000000001</v>
      </c>
      <c r="AF4387">
        <v>-4.3064146714398301</v>
      </c>
      <c r="AG4387">
        <v>-1.1094492285099999</v>
      </c>
      <c r="AH4387">
        <v>21.787354888354699</v>
      </c>
      <c r="AI4387">
        <v>92.859846148784399</v>
      </c>
      <c r="AJ4387">
        <v>101.180772127502</v>
      </c>
      <c r="AK4387">
        <v>22.236567134882701</v>
      </c>
      <c r="AL4387">
        <v>87.235285358479899</v>
      </c>
      <c r="AM4387">
        <v>88.450942192741394</v>
      </c>
      <c r="AN4387">
        <v>0.99999999745179102</v>
      </c>
    </row>
    <row r="4388" spans="1:40" x14ac:dyDescent="0.25">
      <c r="A4388" t="str">
        <f>"20190312154647680"</f>
        <v>20190312154647680</v>
      </c>
      <c r="B4388" t="str">
        <f>"1552376807672485"</f>
        <v>1552376807672485</v>
      </c>
      <c r="C4388" t="s">
        <v>40</v>
      </c>
      <c r="D4388">
        <v>4.399197</v>
      </c>
      <c r="E4388">
        <v>0.41746749999999999</v>
      </c>
      <c r="F4388" t="s">
        <v>42</v>
      </c>
      <c r="G4388">
        <v>-416.83409999999998</v>
      </c>
      <c r="H4388" s="1">
        <v>-1.028407E-6</v>
      </c>
      <c r="I4388">
        <v>50.194760000000002</v>
      </c>
      <c r="J4388">
        <v>-421.38409999999999</v>
      </c>
      <c r="K4388">
        <v>1.109443</v>
      </c>
      <c r="L4388">
        <v>72.393860000000004</v>
      </c>
      <c r="M4388">
        <v>8.8344430000000009E-3</v>
      </c>
      <c r="N4388">
        <v>0</v>
      </c>
      <c r="O4388">
        <v>-0.99993560000000004</v>
      </c>
      <c r="P4388">
        <v>-1.884897E-2</v>
      </c>
      <c r="Q4388">
        <v>4.0725160000000003E-2</v>
      </c>
      <c r="R4388">
        <v>-0.99899260000000001</v>
      </c>
      <c r="S4388">
        <v>0.61297609999999902</v>
      </c>
      <c r="T4388">
        <v>-0.1493852</v>
      </c>
      <c r="U4388">
        <v>-3.0206300000000001</v>
      </c>
      <c r="V4388">
        <v>2.7642389999999999E-2</v>
      </c>
      <c r="W4388">
        <v>4.7868380000000002E-2</v>
      </c>
      <c r="X4388">
        <v>0.99847109999999994</v>
      </c>
      <c r="Y4388">
        <v>-0.1899768</v>
      </c>
      <c r="Z4388">
        <v>4.8449409999999998E-2</v>
      </c>
      <c r="AA4388">
        <v>0.98059240000000003</v>
      </c>
      <c r="AB4388">
        <v>24</v>
      </c>
      <c r="AC4388">
        <v>4.5500000000000096</v>
      </c>
      <c r="AD4388">
        <v>-1.109444028407</v>
      </c>
      <c r="AE4388">
        <v>-22.199100000000001</v>
      </c>
      <c r="AF4388">
        <v>-4.3432898998294496</v>
      </c>
      <c r="AG4388">
        <v>-1.109444028407</v>
      </c>
      <c r="AH4388">
        <v>22.185253311806001</v>
      </c>
      <c r="AI4388">
        <v>92.809623883040004</v>
      </c>
      <c r="AJ4388">
        <v>101.07691056767401</v>
      </c>
      <c r="AK4388">
        <v>22.633614331677698</v>
      </c>
      <c r="AL4388">
        <v>87.256295389240904</v>
      </c>
      <c r="AM4388">
        <v>88.414187611945906</v>
      </c>
      <c r="AN4388">
        <v>1.00000001053197</v>
      </c>
    </row>
    <row r="4389" spans="1:40" x14ac:dyDescent="0.25">
      <c r="A4389" t="str">
        <f>"20190312154647703"</f>
        <v>20190312154647703</v>
      </c>
      <c r="B4389" t="str">
        <f>"1552376807692005"</f>
        <v>1552376807692005</v>
      </c>
      <c r="C4389" t="s">
        <v>40</v>
      </c>
      <c r="D4389">
        <v>4.3835989999999896</v>
      </c>
      <c r="E4389">
        <v>0.41762389999999999</v>
      </c>
      <c r="F4389" t="s">
        <v>42</v>
      </c>
      <c r="G4389">
        <v>-416.8528</v>
      </c>
      <c r="H4389" s="1">
        <v>-9.7717069999999995E-7</v>
      </c>
      <c r="I4389">
        <v>50.05885</v>
      </c>
      <c r="J4389">
        <v>-421.38139999999999</v>
      </c>
      <c r="K4389">
        <v>1.1094360000000001</v>
      </c>
      <c r="L4389">
        <v>72.153959999999998</v>
      </c>
      <c r="M4389">
        <v>9.2975839999999994E-3</v>
      </c>
      <c r="N4389">
        <v>0</v>
      </c>
      <c r="O4389">
        <v>-0.99993180000000004</v>
      </c>
      <c r="P4389">
        <v>-1.9243240000000002E-2</v>
      </c>
      <c r="Q4389">
        <v>4.0674950000000001E-2</v>
      </c>
      <c r="R4389">
        <v>-0.99898710000000002</v>
      </c>
      <c r="S4389">
        <v>0.61282349999999997</v>
      </c>
      <c r="T4389">
        <v>-0.15004629999999999</v>
      </c>
      <c r="U4389">
        <v>-3.0206909999999998</v>
      </c>
      <c r="V4389">
        <v>2.8499050000000001E-2</v>
      </c>
      <c r="W4389">
        <v>4.7774070000000002E-2</v>
      </c>
      <c r="X4389">
        <v>0.99845150000000005</v>
      </c>
      <c r="Y4389">
        <v>-0.18946859999999999</v>
      </c>
      <c r="Z4389">
        <v>4.866471E-2</v>
      </c>
      <c r="AA4389">
        <v>0.98068</v>
      </c>
      <c r="AB4389">
        <v>24</v>
      </c>
      <c r="AC4389">
        <v>4.5285999999999804</v>
      </c>
      <c r="AD4389">
        <v>-1.1094369771707</v>
      </c>
      <c r="AE4389">
        <v>-22.095109999999998</v>
      </c>
      <c r="AF4389">
        <v>-4.3125334146144203</v>
      </c>
      <c r="AG4389">
        <v>-1.1094369771707</v>
      </c>
      <c r="AH4389">
        <v>22.082829626878599</v>
      </c>
      <c r="AI4389">
        <v>92.822873710567805</v>
      </c>
      <c r="AJ4389">
        <v>101.050159295035</v>
      </c>
      <c r="AK4389">
        <v>22.5273202842288</v>
      </c>
      <c r="AL4389">
        <v>87.261705053513694</v>
      </c>
      <c r="AM4389">
        <v>88.365036200574195</v>
      </c>
      <c r="AN4389">
        <v>0.99999997773375804</v>
      </c>
    </row>
    <row r="4390" spans="1:40" x14ac:dyDescent="0.25">
      <c r="A4390" t="str">
        <f>"20190312154647724"</f>
        <v>20190312154647724</v>
      </c>
      <c r="B4390" t="str">
        <f>"1552376807712031"</f>
        <v>1552376807712031</v>
      </c>
      <c r="C4390" t="s">
        <v>40</v>
      </c>
      <c r="D4390">
        <v>4.495876</v>
      </c>
      <c r="E4390">
        <v>0.44835550000000002</v>
      </c>
      <c r="F4390" t="s">
        <v>42</v>
      </c>
      <c r="G4390">
        <v>-416.8535</v>
      </c>
      <c r="H4390" s="1">
        <v>-8.7307629999999995E-7</v>
      </c>
      <c r="I4390">
        <v>49.753489999999999</v>
      </c>
      <c r="J4390">
        <v>-421.37880000000001</v>
      </c>
      <c r="K4390">
        <v>1.109434</v>
      </c>
      <c r="L4390">
        <v>71.921359999999893</v>
      </c>
      <c r="M4390">
        <v>9.7425040000000008E-3</v>
      </c>
      <c r="N4390">
        <v>0</v>
      </c>
      <c r="O4390">
        <v>-0.99992789999999998</v>
      </c>
      <c r="P4390">
        <v>-1.900818E-2</v>
      </c>
      <c r="Q4390">
        <v>4.0356969999999999E-2</v>
      </c>
      <c r="R4390">
        <v>-0.99900469999999997</v>
      </c>
      <c r="S4390">
        <v>0.61062620000000001</v>
      </c>
      <c r="T4390">
        <v>-0.14961759999999999</v>
      </c>
      <c r="U4390">
        <v>-3.020905</v>
      </c>
      <c r="V4390">
        <v>2.870878E-2</v>
      </c>
      <c r="W4390">
        <v>4.7413039999999997E-2</v>
      </c>
      <c r="X4390">
        <v>0.99846270000000004</v>
      </c>
      <c r="Y4390">
        <v>-0.18833420000000001</v>
      </c>
      <c r="Z4390">
        <v>4.8531110000000002E-2</v>
      </c>
      <c r="AA4390">
        <v>0.98090520000000003</v>
      </c>
      <c r="AB4390">
        <v>24</v>
      </c>
      <c r="AC4390">
        <v>4.5253000000000103</v>
      </c>
      <c r="AD4390">
        <v>-1.1094348730763</v>
      </c>
      <c r="AE4390">
        <v>-22.167869999999901</v>
      </c>
      <c r="AF4390">
        <v>-4.2987729427425796</v>
      </c>
      <c r="AG4390">
        <v>-1.1094348730763</v>
      </c>
      <c r="AH4390">
        <v>22.157628719264199</v>
      </c>
      <c r="AI4390">
        <v>92.814028844359896</v>
      </c>
      <c r="AJ4390">
        <v>100.979482622937</v>
      </c>
      <c r="AK4390">
        <v>22.5980265733895</v>
      </c>
      <c r="AL4390">
        <v>87.282414014681095</v>
      </c>
      <c r="AM4390">
        <v>88.353029254194794</v>
      </c>
      <c r="AN4390">
        <v>0.999999976851209</v>
      </c>
    </row>
    <row r="4391" spans="1:40" x14ac:dyDescent="0.25">
      <c r="A4391" t="str">
        <f>"20190312154647758"</f>
        <v>20190312154647758</v>
      </c>
      <c r="B4391" t="str">
        <f>"1552376807752047"</f>
        <v>1552376807752047</v>
      </c>
      <c r="C4391" t="s">
        <v>40</v>
      </c>
      <c r="D4391">
        <v>4.54399</v>
      </c>
      <c r="E4391">
        <v>0.47082689999999999</v>
      </c>
      <c r="F4391" t="s">
        <v>42</v>
      </c>
      <c r="G4391">
        <v>-418.78550000000001</v>
      </c>
      <c r="H4391" s="1">
        <v>-6.4373630000000004E-7</v>
      </c>
      <c r="I4391">
        <v>50.590089999999996</v>
      </c>
      <c r="J4391">
        <v>-421.37439999999998</v>
      </c>
      <c r="K4391">
        <v>1.1094219999999999</v>
      </c>
      <c r="L4391">
        <v>71.554719999999904</v>
      </c>
      <c r="M4391">
        <v>1.0429590000000001E-2</v>
      </c>
      <c r="N4391">
        <v>0</v>
      </c>
      <c r="O4391">
        <v>-0.99992130000000001</v>
      </c>
      <c r="P4391">
        <v>-1.763404E-2</v>
      </c>
      <c r="Q4391">
        <v>4.0419280000000002E-2</v>
      </c>
      <c r="R4391">
        <v>-0.9990272</v>
      </c>
      <c r="S4391">
        <v>0.3666992</v>
      </c>
      <c r="T4391">
        <v>-0.15687690000000001</v>
      </c>
      <c r="U4391">
        <v>-3.0162960000000001</v>
      </c>
      <c r="V4391">
        <v>2.802172E-2</v>
      </c>
      <c r="W4391">
        <v>4.7414940000000003E-2</v>
      </c>
      <c r="X4391">
        <v>0.99848219999999999</v>
      </c>
      <c r="Y4391">
        <v>-0.11016330000000001</v>
      </c>
      <c r="Z4391">
        <v>5.1587910000000001E-2</v>
      </c>
      <c r="AA4391">
        <v>0.99257379999999995</v>
      </c>
      <c r="AB4391">
        <v>24</v>
      </c>
      <c r="AC4391">
        <v>2.5888999999999598</v>
      </c>
      <c r="AD4391">
        <v>-1.1094226437363</v>
      </c>
      <c r="AE4391">
        <v>-20.9646299999999</v>
      </c>
      <c r="AF4391">
        <v>-2.3635818248776701</v>
      </c>
      <c r="AG4391">
        <v>-1.1094226437363</v>
      </c>
      <c r="AH4391">
        <v>20.932751985728999</v>
      </c>
      <c r="AI4391">
        <v>93.014680599642702</v>
      </c>
      <c r="AJ4391">
        <v>96.442158475091304</v>
      </c>
      <c r="AK4391">
        <v>21.0949625110207</v>
      </c>
      <c r="AL4391">
        <v>87.282305225050393</v>
      </c>
      <c r="AM4391">
        <v>88.392455085845796</v>
      </c>
      <c r="AN4391">
        <v>1.0000000485218901</v>
      </c>
    </row>
    <row r="4392" spans="1:40" x14ac:dyDescent="0.25">
      <c r="A4392" t="str">
        <f>"20190312154647784"</f>
        <v>20190312154647784</v>
      </c>
      <c r="B4392" t="str">
        <f>"1552376807772543"</f>
        <v>1552376807772543</v>
      </c>
      <c r="C4392" t="s">
        <v>40</v>
      </c>
      <c r="D4392">
        <v>4.543164</v>
      </c>
      <c r="E4392">
        <v>0.47336099999999998</v>
      </c>
      <c r="F4392" t="s">
        <v>42</v>
      </c>
      <c r="G4392">
        <v>-420.05340000000001</v>
      </c>
      <c r="H4392" s="1">
        <v>-5.1435660000000001E-7</v>
      </c>
      <c r="I4392">
        <v>50.75497</v>
      </c>
      <c r="J4392">
        <v>-421.37119999999999</v>
      </c>
      <c r="K4392">
        <v>1.1094109999999999</v>
      </c>
      <c r="L4392">
        <v>71.291839999999993</v>
      </c>
      <c r="M4392">
        <v>1.090967E-2</v>
      </c>
      <c r="N4392">
        <v>0</v>
      </c>
      <c r="O4392">
        <v>-0.99991649999999999</v>
      </c>
      <c r="P4392">
        <v>-1.6047249999999999E-2</v>
      </c>
      <c r="Q4392">
        <v>4.0911400000000001E-2</v>
      </c>
      <c r="R4392">
        <v>-0.99903390000000003</v>
      </c>
      <c r="S4392">
        <v>0.19134519999999999</v>
      </c>
      <c r="T4392">
        <v>-0.1606969</v>
      </c>
      <c r="U4392">
        <v>-3.0127869999999999</v>
      </c>
      <c r="V4392">
        <v>2.6914859999999999E-2</v>
      </c>
      <c r="W4392">
        <v>4.786932E-2</v>
      </c>
      <c r="X4392">
        <v>0.99849089999999996</v>
      </c>
      <c r="Y4392">
        <v>-5.2401929999999999E-2</v>
      </c>
      <c r="Z4392">
        <v>5.3167829999999999E-2</v>
      </c>
      <c r="AA4392">
        <v>0.99720969999999998</v>
      </c>
      <c r="AB4392">
        <v>24</v>
      </c>
      <c r="AC4392">
        <v>1.3177999999999701</v>
      </c>
      <c r="AD4392">
        <v>-1.1094115143565999</v>
      </c>
      <c r="AE4392">
        <v>-20.53687</v>
      </c>
      <c r="AF4392">
        <v>-1.0904964716893699</v>
      </c>
      <c r="AG4392">
        <v>-1.1094115143565999</v>
      </c>
      <c r="AH4392">
        <v>20.490474504067699</v>
      </c>
      <c r="AI4392">
        <v>93.094756512707306</v>
      </c>
      <c r="AJ4392">
        <v>93.046389021103806</v>
      </c>
      <c r="AK4392">
        <v>20.549440913679401</v>
      </c>
      <c r="AL4392">
        <v>87.256241384007197</v>
      </c>
      <c r="AM4392">
        <v>88.455935304110596</v>
      </c>
      <c r="AN4392">
        <v>0.99999997943444496</v>
      </c>
    </row>
    <row r="4393" spans="1:40" x14ac:dyDescent="0.25">
      <c r="A4393" t="str">
        <f>"20190312154647808"</f>
        <v>20190312154647808</v>
      </c>
      <c r="B4393" t="str">
        <f>"1552376807802330"</f>
        <v>1552376807802330</v>
      </c>
      <c r="C4393" t="s">
        <v>40</v>
      </c>
      <c r="D4393">
        <v>4.5527129999999998</v>
      </c>
      <c r="E4393">
        <v>0.4751399</v>
      </c>
      <c r="F4393" t="s">
        <v>42</v>
      </c>
      <c r="G4393">
        <v>-420.1139</v>
      </c>
      <c r="H4393" s="1">
        <v>-8.3950470000000005E-8</v>
      </c>
      <c r="I4393">
        <v>49.714170000000003</v>
      </c>
      <c r="J4393">
        <v>-421.36779999999999</v>
      </c>
      <c r="K4393">
        <v>1.109397</v>
      </c>
      <c r="L4393">
        <v>71.03192</v>
      </c>
      <c r="M4393">
        <v>1.13613E-2</v>
      </c>
      <c r="N4393">
        <v>0</v>
      </c>
      <c r="O4393">
        <v>-0.99991169999999996</v>
      </c>
      <c r="P4393">
        <v>-1.407628E-2</v>
      </c>
      <c r="Q4393">
        <v>4.1304710000000001E-2</v>
      </c>
      <c r="R4393">
        <v>-0.99904760000000004</v>
      </c>
      <c r="S4393">
        <v>0.17550660000000001</v>
      </c>
      <c r="T4393">
        <v>-0.15486420000000001</v>
      </c>
      <c r="U4393">
        <v>-3.012054</v>
      </c>
      <c r="V4393">
        <v>2.5396229999999999E-2</v>
      </c>
      <c r="W4393">
        <v>4.8229880000000003E-2</v>
      </c>
      <c r="X4393">
        <v>0.99851330000000005</v>
      </c>
      <c r="Y4393">
        <v>-4.6746820000000001E-2</v>
      </c>
      <c r="Z4393">
        <v>5.12706E-2</v>
      </c>
      <c r="AA4393">
        <v>0.99759010000000004</v>
      </c>
      <c r="AB4393">
        <v>24</v>
      </c>
      <c r="AC4393">
        <v>1.25389999999998</v>
      </c>
      <c r="AD4393">
        <v>-1.1093970839504701</v>
      </c>
      <c r="AE4393">
        <v>-21.31775</v>
      </c>
      <c r="AF4393">
        <v>-1.0088930303030199</v>
      </c>
      <c r="AG4393">
        <v>-1.1093970839504701</v>
      </c>
      <c r="AH4393">
        <v>21.273205466519599</v>
      </c>
      <c r="AI4393">
        <v>92.981923530718404</v>
      </c>
      <c r="AJ4393">
        <v>92.715248197949506</v>
      </c>
      <c r="AK4393">
        <v>21.325991134229401</v>
      </c>
      <c r="AL4393">
        <v>87.235558846660197</v>
      </c>
      <c r="AM4393">
        <v>88.543050800135305</v>
      </c>
      <c r="AN4393">
        <v>0.99999995004995701</v>
      </c>
    </row>
    <row r="4394" spans="1:40" x14ac:dyDescent="0.25">
      <c r="A4394" t="str">
        <f>"20190312154647825"</f>
        <v>20190312154647825</v>
      </c>
      <c r="B4394" t="str">
        <f>"1552376807812090"</f>
        <v>1552376807812090</v>
      </c>
      <c r="C4394" t="s">
        <v>40</v>
      </c>
      <c r="D4394">
        <v>4.5415739999999998</v>
      </c>
      <c r="E4394">
        <v>0.47559289999999999</v>
      </c>
      <c r="F4394" t="s">
        <v>42</v>
      </c>
      <c r="G4394">
        <v>-420.12060000000002</v>
      </c>
      <c r="H4394" s="1">
        <v>-3.8812829999999997E-6</v>
      </c>
      <c r="I4394">
        <v>48.561700000000002</v>
      </c>
      <c r="J4394">
        <v>-421.36520000000002</v>
      </c>
      <c r="K4394">
        <v>1.109386</v>
      </c>
      <c r="L4394">
        <v>70.833500000000001</v>
      </c>
      <c r="M4394">
        <v>1.168858E-2</v>
      </c>
      <c r="N4394">
        <v>0</v>
      </c>
      <c r="O4394">
        <v>-0.99990809999999997</v>
      </c>
      <c r="P4394">
        <v>-1.331592E-2</v>
      </c>
      <c r="Q4394">
        <v>4.118782E-2</v>
      </c>
      <c r="R4394">
        <v>-0.99906269999999997</v>
      </c>
      <c r="S4394">
        <v>0.16714479999999901</v>
      </c>
      <c r="T4394">
        <v>-0.14867659999999999</v>
      </c>
      <c r="U4394">
        <v>-3.0113530000000002</v>
      </c>
      <c r="V4394">
        <v>2.4964389999999999E-2</v>
      </c>
      <c r="W4394">
        <v>4.8090809999999998E-2</v>
      </c>
      <c r="X4394">
        <v>0.9985309</v>
      </c>
      <c r="Y4394">
        <v>-4.3677670000000002E-2</v>
      </c>
      <c r="Z4394">
        <v>4.92456E-2</v>
      </c>
      <c r="AA4394">
        <v>0.99783120000000003</v>
      </c>
      <c r="AB4394">
        <v>24</v>
      </c>
      <c r="AC4394">
        <v>1.2445999999999899</v>
      </c>
      <c r="AD4394">
        <v>-1.1093898812829901</v>
      </c>
      <c r="AE4394">
        <v>-22.271799999999999</v>
      </c>
      <c r="AF4394">
        <v>-0.981754792527604</v>
      </c>
      <c r="AG4394">
        <v>-1.1093898812829901</v>
      </c>
      <c r="AH4394">
        <v>22.2298419396163</v>
      </c>
      <c r="AI4394">
        <v>92.854222869894897</v>
      </c>
      <c r="AJ4394">
        <v>92.528757421907002</v>
      </c>
      <c r="AK4394">
        <v>22.279148570842398</v>
      </c>
      <c r="AL4394">
        <v>87.243536234736496</v>
      </c>
      <c r="AM4394">
        <v>88.567839733652903</v>
      </c>
      <c r="AN4394">
        <v>0.999999952514667</v>
      </c>
    </row>
    <row r="4395" spans="1:40" x14ac:dyDescent="0.25">
      <c r="A4395" t="str">
        <f>"20190312154647848"</f>
        <v>20190312154647848</v>
      </c>
      <c r="B4395" t="str">
        <f>"1552376807842350"</f>
        <v>1552376807842350</v>
      </c>
      <c r="C4395" t="s">
        <v>40</v>
      </c>
      <c r="D4395">
        <v>4.5096160000000003</v>
      </c>
      <c r="E4395">
        <v>0.47707339999999998</v>
      </c>
      <c r="F4395" t="s">
        <v>42</v>
      </c>
      <c r="G4395">
        <v>-420.1123</v>
      </c>
      <c r="H4395" s="1">
        <v>-3.6778970000000001E-6</v>
      </c>
      <c r="I4395">
        <v>48.092730000000003</v>
      </c>
      <c r="J4395">
        <v>-421.36180000000002</v>
      </c>
      <c r="K4395">
        <v>1.109367</v>
      </c>
      <c r="L4395">
        <v>70.587159999999997</v>
      </c>
      <c r="M4395">
        <v>1.207163E-2</v>
      </c>
      <c r="N4395">
        <v>0</v>
      </c>
      <c r="O4395">
        <v>-0.99990380000000001</v>
      </c>
      <c r="P4395">
        <v>-1.248606E-2</v>
      </c>
      <c r="Q4395">
        <v>4.1207430000000003E-2</v>
      </c>
      <c r="R4395">
        <v>-0.99907290000000004</v>
      </c>
      <c r="S4395">
        <v>0.1658936</v>
      </c>
      <c r="T4395">
        <v>-0.146893</v>
      </c>
      <c r="U4395">
        <v>-3.0110779999999999</v>
      </c>
      <c r="V4395">
        <v>2.4519099999999999E-2</v>
      </c>
      <c r="W4395">
        <v>4.808747E-2</v>
      </c>
      <c r="X4395">
        <v>0.99854209999999999</v>
      </c>
      <c r="Y4395">
        <v>-4.2888170000000003E-2</v>
      </c>
      <c r="Z4395">
        <v>4.8661709999999997E-2</v>
      </c>
      <c r="AA4395">
        <v>0.99789410000000001</v>
      </c>
      <c r="AB4395">
        <v>24</v>
      </c>
      <c r="AC4395">
        <v>1.24950000000001</v>
      </c>
      <c r="AD4395">
        <v>-1.1093706778970001</v>
      </c>
      <c r="AE4395">
        <v>-22.494429999999898</v>
      </c>
      <c r="AF4395">
        <v>-0.97549286097800303</v>
      </c>
      <c r="AG4395">
        <v>-1.1093706778970001</v>
      </c>
      <c r="AH4395">
        <v>22.453430960712101</v>
      </c>
      <c r="AI4395">
        <v>92.825886913067805</v>
      </c>
      <c r="AJ4395">
        <v>92.487659856524104</v>
      </c>
      <c r="AK4395">
        <v>22.501974391823101</v>
      </c>
      <c r="AL4395">
        <v>87.243727840140807</v>
      </c>
      <c r="AM4395">
        <v>88.593390600957903</v>
      </c>
      <c r="AN4395">
        <v>0.99999995825410903</v>
      </c>
    </row>
    <row r="4396" spans="1:40" x14ac:dyDescent="0.25">
      <c r="A4396" t="str">
        <f>"20190312154647870"</f>
        <v>20190312154647870</v>
      </c>
      <c r="B4396" t="str">
        <f>"1552376807861868"</f>
        <v>1552376807861868</v>
      </c>
      <c r="C4396" t="s">
        <v>40</v>
      </c>
      <c r="D4396">
        <v>4.514742</v>
      </c>
      <c r="E4396">
        <v>0.4778384</v>
      </c>
      <c r="F4396" t="s">
        <v>42</v>
      </c>
      <c r="G4396">
        <v>-420.1377</v>
      </c>
      <c r="H4396" s="1">
        <v>-3.2416710000000001E-6</v>
      </c>
      <c r="I4396">
        <v>47.060139999999997</v>
      </c>
      <c r="J4396">
        <v>-421.35849999999999</v>
      </c>
      <c r="K4396">
        <v>1.1093500000000001</v>
      </c>
      <c r="L4396">
        <v>70.344639999999998</v>
      </c>
      <c r="M4396">
        <v>1.2424670000000001E-2</v>
      </c>
      <c r="N4396">
        <v>0</v>
      </c>
      <c r="O4396">
        <v>-0.99989930000000005</v>
      </c>
      <c r="P4396">
        <v>-1.2290860000000001E-2</v>
      </c>
      <c r="Q4396">
        <v>4.0852380000000001E-2</v>
      </c>
      <c r="R4396">
        <v>-0.99908949999999996</v>
      </c>
      <c r="S4396">
        <v>0.1566467</v>
      </c>
      <c r="T4396">
        <v>-0.14195849999999999</v>
      </c>
      <c r="U4396">
        <v>-3.0105900000000001</v>
      </c>
      <c r="V4396">
        <v>2.4678809999999999E-2</v>
      </c>
      <c r="W4396">
        <v>4.7715960000000002E-2</v>
      </c>
      <c r="X4396">
        <v>0.998556</v>
      </c>
      <c r="Y4396">
        <v>-3.9491900000000003E-2</v>
      </c>
      <c r="Z4396">
        <v>4.7045150000000001E-2</v>
      </c>
      <c r="AA4396">
        <v>0.99811179999999999</v>
      </c>
      <c r="AB4396">
        <v>24</v>
      </c>
      <c r="AC4396">
        <v>1.2207999999999899</v>
      </c>
      <c r="AD4396">
        <v>-1.1093532416709999</v>
      </c>
      <c r="AE4396">
        <v>-23.284499999999898</v>
      </c>
      <c r="AF4396">
        <v>-0.92929311725909203</v>
      </c>
      <c r="AG4396">
        <v>-1.1093532416709999</v>
      </c>
      <c r="AH4396">
        <v>23.245251348951001</v>
      </c>
      <c r="AI4396">
        <v>92.730125483031202</v>
      </c>
      <c r="AJ4396">
        <v>92.289337911682594</v>
      </c>
      <c r="AK4396">
        <v>23.2902546269572</v>
      </c>
      <c r="AL4396">
        <v>87.265038293803599</v>
      </c>
      <c r="AM4396">
        <v>88.584251789433907</v>
      </c>
      <c r="AN4396">
        <v>0.99999997081886804</v>
      </c>
    </row>
    <row r="4397" spans="1:40" x14ac:dyDescent="0.25">
      <c r="A4397" t="str">
        <f>"20190312154647893"</f>
        <v>20190312154647893</v>
      </c>
      <c r="B4397" t="str">
        <f>"1552376807882363"</f>
        <v>1552376807882363</v>
      </c>
      <c r="C4397" t="s">
        <v>40</v>
      </c>
      <c r="D4397">
        <v>4.5078800000000001</v>
      </c>
      <c r="E4397">
        <v>0.47855599999999998</v>
      </c>
      <c r="F4397" t="s">
        <v>42</v>
      </c>
      <c r="G4397">
        <v>-420.1798</v>
      </c>
      <c r="H4397" s="1">
        <v>-3.1771449999999998E-6</v>
      </c>
      <c r="I4397">
        <v>46.883600000000001</v>
      </c>
      <c r="J4397">
        <v>-421.35509999999999</v>
      </c>
      <c r="K4397">
        <v>1.10934</v>
      </c>
      <c r="L4397">
        <v>70.096890000000002</v>
      </c>
      <c r="M4397">
        <v>1.275888E-2</v>
      </c>
      <c r="N4397">
        <v>0</v>
      </c>
      <c r="O4397">
        <v>-0.99989550000000005</v>
      </c>
      <c r="P4397">
        <v>-1.229997E-2</v>
      </c>
      <c r="Q4397">
        <v>4.0662909999999997E-2</v>
      </c>
      <c r="R4397">
        <v>-0.99909760000000003</v>
      </c>
      <c r="S4397">
        <v>0.15124509999999999</v>
      </c>
      <c r="T4397">
        <v>-0.1423469</v>
      </c>
      <c r="U4397">
        <v>-3.0104060000000001</v>
      </c>
      <c r="V4397">
        <v>2.5023779999999999E-2</v>
      </c>
      <c r="W4397">
        <v>4.7523059999999999E-2</v>
      </c>
      <c r="X4397">
        <v>0.99855660000000002</v>
      </c>
      <c r="Y4397">
        <v>-3.7374409999999997E-2</v>
      </c>
      <c r="Z4397">
        <v>4.718021E-2</v>
      </c>
      <c r="AA4397">
        <v>0.99818689999999999</v>
      </c>
      <c r="AB4397">
        <v>24</v>
      </c>
      <c r="AC4397">
        <v>1.17529999999999</v>
      </c>
      <c r="AD4397">
        <v>-1.109343177145</v>
      </c>
      <c r="AE4397">
        <v>-23.213290000000001</v>
      </c>
      <c r="AF4397">
        <v>-0.87702407732782905</v>
      </c>
      <c r="AG4397">
        <v>-1.109343177145</v>
      </c>
      <c r="AH4397">
        <v>23.1736076499168</v>
      </c>
      <c r="AI4397">
        <v>92.738754825231197</v>
      </c>
      <c r="AJ4397">
        <v>92.167371110364897</v>
      </c>
      <c r="AK4397">
        <v>23.216716069013199</v>
      </c>
      <c r="AL4397">
        <v>87.276103165228193</v>
      </c>
      <c r="AM4397">
        <v>88.5644709966204</v>
      </c>
      <c r="AN4397">
        <v>0.99999995710040501</v>
      </c>
    </row>
    <row r="4398" spans="1:40" x14ac:dyDescent="0.25">
      <c r="A4398" t="str">
        <f>"20190312154647915"</f>
        <v>20190312154647915</v>
      </c>
      <c r="B4398" t="str">
        <f>"1552376807902389"</f>
        <v>1552376807902389</v>
      </c>
      <c r="C4398" t="s">
        <v>40</v>
      </c>
      <c r="D4398">
        <v>4.5130790000000003</v>
      </c>
      <c r="E4398">
        <v>0.47913329999999998</v>
      </c>
      <c r="F4398" t="s">
        <v>42</v>
      </c>
      <c r="G4398">
        <v>-420.22570000000002</v>
      </c>
      <c r="H4398" s="1">
        <v>-3.130343E-6</v>
      </c>
      <c r="I4398">
        <v>46.746049999999997</v>
      </c>
      <c r="J4398">
        <v>-421.35169999999999</v>
      </c>
      <c r="K4398">
        <v>1.109334</v>
      </c>
      <c r="L4398">
        <v>69.856229999999996</v>
      </c>
      <c r="M4398">
        <v>1.305649E-2</v>
      </c>
      <c r="N4398">
        <v>0</v>
      </c>
      <c r="O4398">
        <v>-0.99989110000000003</v>
      </c>
      <c r="P4398">
        <v>-1.3053530000000001E-2</v>
      </c>
      <c r="Q4398">
        <v>4.1249210000000001E-2</v>
      </c>
      <c r="R4398">
        <v>-0.99906360000000005</v>
      </c>
      <c r="S4398">
        <v>0.14559939999999999</v>
      </c>
      <c r="T4398">
        <v>-0.1430129</v>
      </c>
      <c r="U4398">
        <v>-3.0103149999999999</v>
      </c>
      <c r="V4398">
        <v>2.6075649999999999E-2</v>
      </c>
      <c r="W4398">
        <v>4.8117960000000001E-2</v>
      </c>
      <c r="X4398">
        <v>0.99850119999999998</v>
      </c>
      <c r="Y4398">
        <v>-3.5210369999999998E-2</v>
      </c>
      <c r="Z4398">
        <v>4.740569E-2</v>
      </c>
      <c r="AA4398">
        <v>0.998255</v>
      </c>
      <c r="AB4398">
        <v>25</v>
      </c>
      <c r="AC4398">
        <v>1.1259999999999699</v>
      </c>
      <c r="AD4398">
        <v>-1.109337130343</v>
      </c>
      <c r="AE4398">
        <v>-23.11018</v>
      </c>
      <c r="AF4398">
        <v>-0.82226885691614704</v>
      </c>
      <c r="AG4398">
        <v>-1.109337130343</v>
      </c>
      <c r="AH4398">
        <v>23.06988020316</v>
      </c>
      <c r="AI4398">
        <v>92.751257129335599</v>
      </c>
      <c r="AJ4398">
        <v>92.041302316110603</v>
      </c>
      <c r="AK4398">
        <v>23.1111688914682</v>
      </c>
      <c r="AL4398">
        <v>87.241978877467105</v>
      </c>
      <c r="AM4398">
        <v>88.504072705002798</v>
      </c>
      <c r="AN4398">
        <v>0.99999996199946095</v>
      </c>
    </row>
    <row r="4399" spans="1:40" x14ac:dyDescent="0.25">
      <c r="A4399" t="str">
        <f>"20190312154647937"</f>
        <v>20190312154647937</v>
      </c>
      <c r="B4399" t="str">
        <f>"1552376807932646"</f>
        <v>1552376807932646</v>
      </c>
      <c r="C4399" t="s">
        <v>40</v>
      </c>
      <c r="D4399">
        <v>4.5091929999999998</v>
      </c>
      <c r="E4399">
        <v>0.47997190000000001</v>
      </c>
      <c r="F4399" t="s">
        <v>42</v>
      </c>
      <c r="G4399">
        <v>-420.26209999999998</v>
      </c>
      <c r="H4399" s="1">
        <v>-2.920559E-6</v>
      </c>
      <c r="I4399">
        <v>46.23442</v>
      </c>
      <c r="J4399">
        <v>-421.34809999999999</v>
      </c>
      <c r="K4399">
        <v>1.109327</v>
      </c>
      <c r="L4399">
        <v>69.609470000000002</v>
      </c>
      <c r="M4399">
        <v>1.3334820000000001E-2</v>
      </c>
      <c r="N4399">
        <v>0</v>
      </c>
      <c r="O4399">
        <v>-0.99988750000000004</v>
      </c>
      <c r="P4399">
        <v>-1.3276909999999999E-2</v>
      </c>
      <c r="Q4399">
        <v>4.2285259999999998E-2</v>
      </c>
      <c r="R4399">
        <v>-0.99901740000000006</v>
      </c>
      <c r="S4399">
        <v>0.13885500000000001</v>
      </c>
      <c r="T4399">
        <v>-0.1413789</v>
      </c>
      <c r="U4399">
        <v>-3.0104679999999999</v>
      </c>
      <c r="V4399">
        <v>2.6577819999999999E-2</v>
      </c>
      <c r="W4399">
        <v>4.9172889999999997E-2</v>
      </c>
      <c r="X4399">
        <v>0.99843660000000001</v>
      </c>
      <c r="Y4399">
        <v>-3.269938E-2</v>
      </c>
      <c r="Z4399">
        <v>4.6867079999999998E-2</v>
      </c>
      <c r="AA4399">
        <v>0.99836579999999997</v>
      </c>
      <c r="AB4399">
        <v>25</v>
      </c>
      <c r="AC4399">
        <v>1.0860000000000101</v>
      </c>
      <c r="AD4399">
        <v>-1.1093299205589999</v>
      </c>
      <c r="AE4399">
        <v>-23.375050000000002</v>
      </c>
      <c r="AF4399">
        <v>-0.77245798000186605</v>
      </c>
      <c r="AG4399">
        <v>-1.1093299205589999</v>
      </c>
      <c r="AH4399">
        <v>23.335010470608299</v>
      </c>
      <c r="AI4399">
        <v>92.720263969678797</v>
      </c>
      <c r="AJ4399">
        <v>91.895967713684996</v>
      </c>
      <c r="AK4399">
        <v>23.374131382083799</v>
      </c>
      <c r="AL4399">
        <v>87.181464297109997</v>
      </c>
      <c r="AM4399">
        <v>88.475178708688304</v>
      </c>
      <c r="AN4399">
        <v>0.99999999892323199</v>
      </c>
    </row>
    <row r="4400" spans="1:40" x14ac:dyDescent="0.25">
      <c r="A4400" t="str">
        <f>"20190312154647959"</f>
        <v>20190312154647959</v>
      </c>
      <c r="B4400" t="str">
        <f>"1552376807952166"</f>
        <v>1552376807952166</v>
      </c>
      <c r="C4400" t="s">
        <v>40</v>
      </c>
      <c r="D4400">
        <v>4.5558199999999998</v>
      </c>
      <c r="E4400">
        <v>0.4804484</v>
      </c>
      <c r="F4400" t="s">
        <v>42</v>
      </c>
      <c r="G4400">
        <v>-420.28199999999998</v>
      </c>
      <c r="H4400" s="1">
        <v>-2.5217590000000001E-6</v>
      </c>
      <c r="I4400">
        <v>45.292499999999997</v>
      </c>
      <c r="J4400">
        <v>-421.34440000000001</v>
      </c>
      <c r="K4400">
        <v>1.1093219999999999</v>
      </c>
      <c r="L4400">
        <v>69.351500000000001</v>
      </c>
      <c r="M4400">
        <v>1.359994E-2</v>
      </c>
      <c r="N4400">
        <v>0</v>
      </c>
      <c r="O4400">
        <v>-0.99988370000000004</v>
      </c>
      <c r="P4400">
        <v>-1.3388529999999999E-2</v>
      </c>
      <c r="Q4400">
        <v>4.2701959999999997E-2</v>
      </c>
      <c r="R4400">
        <v>-0.99899819999999995</v>
      </c>
      <c r="S4400">
        <v>0.13198850000000001</v>
      </c>
      <c r="T4400">
        <v>-0.13733899999999999</v>
      </c>
      <c r="U4400">
        <v>-3.010529</v>
      </c>
      <c r="V4400">
        <v>2.6955739999999999E-2</v>
      </c>
      <c r="W4400">
        <v>4.961724E-2</v>
      </c>
      <c r="X4400">
        <v>0.99840450000000003</v>
      </c>
      <c r="Y4400">
        <v>-3.0163539999999999E-2</v>
      </c>
      <c r="Z4400">
        <v>4.5533659999999997E-2</v>
      </c>
      <c r="AA4400">
        <v>0.99850729999999999</v>
      </c>
      <c r="AB4400">
        <v>25</v>
      </c>
      <c r="AC4400">
        <v>1.06240000000002</v>
      </c>
      <c r="AD4400">
        <v>-1.109324521759</v>
      </c>
      <c r="AE4400">
        <v>-24.059000000000001</v>
      </c>
      <c r="AF4400">
        <v>-0.733536532734264</v>
      </c>
      <c r="AG4400">
        <v>-1.109324521759</v>
      </c>
      <c r="AH4400">
        <v>24.0202562121851</v>
      </c>
      <c r="AI4400">
        <v>92.642974698880494</v>
      </c>
      <c r="AJ4400">
        <v>91.749169089647097</v>
      </c>
      <c r="AK4400">
        <v>24.057044399477899</v>
      </c>
      <c r="AL4400">
        <v>87.155973844451395</v>
      </c>
      <c r="AM4400">
        <v>88.453457460168394</v>
      </c>
      <c r="AN4400">
        <v>1.0000000140222001</v>
      </c>
    </row>
    <row r="4401" spans="1:40" x14ac:dyDescent="0.25">
      <c r="A4401" t="str">
        <f>"20190312154647985"</f>
        <v>20190312154647985</v>
      </c>
      <c r="B4401" t="str">
        <f>"1552376807972662"</f>
        <v>1552376807972662</v>
      </c>
      <c r="C4401" t="s">
        <v>40</v>
      </c>
      <c r="D4401">
        <v>4.5153420000000004</v>
      </c>
      <c r="E4401">
        <v>0.4808093</v>
      </c>
      <c r="F4401" t="s">
        <v>42</v>
      </c>
      <c r="G4401">
        <v>-420.29989999999998</v>
      </c>
      <c r="H4401" s="1">
        <v>-2.3159269999999998E-6</v>
      </c>
      <c r="I4401">
        <v>44.801580000000001</v>
      </c>
      <c r="J4401">
        <v>-421.34039999999999</v>
      </c>
      <c r="K4401">
        <v>1.1093109999999999</v>
      </c>
      <c r="L4401">
        <v>69.08014</v>
      </c>
      <c r="M4401">
        <v>1.385336E-2</v>
      </c>
      <c r="N4401">
        <v>0</v>
      </c>
      <c r="O4401">
        <v>-0.99987990000000004</v>
      </c>
      <c r="P4401">
        <v>-1.310851E-2</v>
      </c>
      <c r="Q4401">
        <v>4.2616290000000001E-2</v>
      </c>
      <c r="R4401">
        <v>-0.99900529999999998</v>
      </c>
      <c r="S4401">
        <v>0.12808230000000001</v>
      </c>
      <c r="T4401">
        <v>-0.1360365</v>
      </c>
      <c r="U4401">
        <v>-3.0105590000000002</v>
      </c>
      <c r="V4401">
        <v>2.6930869999999999E-2</v>
      </c>
      <c r="W4401">
        <v>4.9563900000000001E-2</v>
      </c>
      <c r="X4401">
        <v>0.99840779999999996</v>
      </c>
      <c r="Y4401">
        <v>-2.8617389999999999E-2</v>
      </c>
      <c r="Z4401">
        <v>4.5104310000000002E-2</v>
      </c>
      <c r="AA4401">
        <v>0.99857229999999997</v>
      </c>
      <c r="AB4401">
        <v>25</v>
      </c>
      <c r="AC4401">
        <v>1.0405</v>
      </c>
      <c r="AD4401">
        <v>-1.1093133159270001</v>
      </c>
      <c r="AE4401">
        <v>-24.278559999999999</v>
      </c>
      <c r="AF4401">
        <v>-0.70258831050140502</v>
      </c>
      <c r="AG4401">
        <v>-1.1093133159270001</v>
      </c>
      <c r="AH4401">
        <v>24.240132120065802</v>
      </c>
      <c r="AI4401">
        <v>92.619128913527206</v>
      </c>
      <c r="AJ4401">
        <v>91.660225181319305</v>
      </c>
      <c r="AK4401">
        <v>24.2756711867086</v>
      </c>
      <c r="AL4401">
        <v>87.159033707831895</v>
      </c>
      <c r="AM4401">
        <v>88.454888749240695</v>
      </c>
      <c r="AN4401">
        <v>0.99999999352150304</v>
      </c>
    </row>
    <row r="4402" spans="1:40" x14ac:dyDescent="0.25">
      <c r="A4402" t="str">
        <f>"20190312154648009"</f>
        <v>20190312154648009</v>
      </c>
      <c r="B4402" t="str">
        <f>"1552376808002447"</f>
        <v>1552376808002447</v>
      </c>
      <c r="C4402" t="s">
        <v>40</v>
      </c>
      <c r="D4402">
        <v>4.615621</v>
      </c>
      <c r="E4402">
        <v>0.48114119999999999</v>
      </c>
      <c r="F4402" t="s">
        <v>42</v>
      </c>
      <c r="G4402">
        <v>-420.31819999999999</v>
      </c>
      <c r="H4402" s="1">
        <v>-2.2265659999999999E-6</v>
      </c>
      <c r="I4402">
        <v>44.581919999999997</v>
      </c>
      <c r="J4402">
        <v>-421.33629999999999</v>
      </c>
      <c r="K4402">
        <v>1.1092979999999999</v>
      </c>
      <c r="L4402">
        <v>68.800929999999994</v>
      </c>
      <c r="M4402">
        <v>1.408567E-2</v>
      </c>
      <c r="N4402">
        <v>0</v>
      </c>
      <c r="O4402">
        <v>-0.9998766</v>
      </c>
      <c r="P4402">
        <v>-1.312147E-2</v>
      </c>
      <c r="Q4402">
        <v>4.2518760000000003E-2</v>
      </c>
      <c r="R4402">
        <v>-0.99900940000000005</v>
      </c>
      <c r="S4402">
        <v>0.12561040000000001</v>
      </c>
      <c r="T4402">
        <v>-0.13631679999999999</v>
      </c>
      <c r="U4402">
        <v>-3.010437</v>
      </c>
      <c r="V4402">
        <v>2.7177679999999999E-2</v>
      </c>
      <c r="W4402">
        <v>4.9499130000000002E-2</v>
      </c>
      <c r="X4402">
        <v>0.99840430000000002</v>
      </c>
      <c r="Y4402">
        <v>-2.7568180000000001E-2</v>
      </c>
      <c r="Z4402">
        <v>4.52001E-2</v>
      </c>
      <c r="AA4402">
        <v>0.99859750000000003</v>
      </c>
      <c r="AB4402">
        <v>25</v>
      </c>
      <c r="AC4402">
        <v>1.0181</v>
      </c>
      <c r="AD4402">
        <v>-1.1093002265659999</v>
      </c>
      <c r="AE4402">
        <v>-24.219010000000001</v>
      </c>
      <c r="AF4402">
        <v>-0.67543525847670705</v>
      </c>
      <c r="AG4402">
        <v>-1.1093002265659999</v>
      </c>
      <c r="AH4402">
        <v>24.180309669832599</v>
      </c>
      <c r="AI4402">
        <v>92.625647060565399</v>
      </c>
      <c r="AJ4402">
        <v>91.600042742784296</v>
      </c>
      <c r="AK4402">
        <v>24.2151633384963</v>
      </c>
      <c r="AL4402">
        <v>87.162749244302802</v>
      </c>
      <c r="AM4402">
        <v>88.440729955409495</v>
      </c>
      <c r="AN4402">
        <v>0.99999996820971404</v>
      </c>
    </row>
    <row r="4403" spans="1:40" x14ac:dyDescent="0.25">
      <c r="A4403" t="str">
        <f>"20190312154648030"</f>
        <v>20190312154648030</v>
      </c>
      <c r="B4403" t="str">
        <f>"1552376808021967"</f>
        <v>1552376808021967</v>
      </c>
      <c r="C4403" t="s">
        <v>40</v>
      </c>
      <c r="D4403">
        <v>4.6315999999999997</v>
      </c>
      <c r="E4403">
        <v>0.48268369999999999</v>
      </c>
      <c r="F4403" t="s">
        <v>42</v>
      </c>
      <c r="G4403">
        <v>-420.33510000000001</v>
      </c>
      <c r="H4403" s="1">
        <v>-2.128944E-6</v>
      </c>
      <c r="I4403">
        <v>44.343870000000003</v>
      </c>
      <c r="J4403">
        <v>-421.33260000000001</v>
      </c>
      <c r="K4403">
        <v>1.1092879999999901</v>
      </c>
      <c r="L4403">
        <v>68.559880000000007</v>
      </c>
      <c r="M4403">
        <v>1.4270649999999999E-2</v>
      </c>
      <c r="N4403">
        <v>0</v>
      </c>
      <c r="O4403">
        <v>-0.99987389999999998</v>
      </c>
      <c r="P4403">
        <v>-1.327037E-2</v>
      </c>
      <c r="Q4403">
        <v>4.2837529999999999E-2</v>
      </c>
      <c r="R4403">
        <v>-0.99899420000000005</v>
      </c>
      <c r="S4403">
        <v>0.12323000000000001</v>
      </c>
      <c r="T4403">
        <v>-0.1365432</v>
      </c>
      <c r="U4403">
        <v>-3.0104060000000001</v>
      </c>
      <c r="V4403">
        <v>2.75123E-2</v>
      </c>
      <c r="W4403">
        <v>4.9844880000000001E-2</v>
      </c>
      <c r="X4403">
        <v>0.99837799999999999</v>
      </c>
      <c r="Y4403">
        <v>-2.6595250000000001E-2</v>
      </c>
      <c r="Z4403">
        <v>4.5276619999999997E-2</v>
      </c>
      <c r="AA4403">
        <v>0.99862039999999996</v>
      </c>
      <c r="AB4403">
        <v>25</v>
      </c>
      <c r="AC4403">
        <v>0.99750000000000205</v>
      </c>
      <c r="AD4403">
        <v>-1.10929012894399</v>
      </c>
      <c r="AE4403">
        <v>-24.216010000000001</v>
      </c>
      <c r="AF4403">
        <v>-0.65044924859927999</v>
      </c>
      <c r="AG4403">
        <v>-1.10929012894399</v>
      </c>
      <c r="AH4403">
        <v>24.177132270849398</v>
      </c>
      <c r="AI4403">
        <v>92.626041760275896</v>
      </c>
      <c r="AJ4403">
        <v>91.541084720865797</v>
      </c>
      <c r="AK4403">
        <v>24.211305905657401</v>
      </c>
      <c r="AL4403">
        <v>87.142914934190202</v>
      </c>
      <c r="AM4403">
        <v>88.4214998339407</v>
      </c>
      <c r="AN4403">
        <v>1.0000000347987501</v>
      </c>
    </row>
    <row r="4404" spans="1:40" x14ac:dyDescent="0.25">
      <c r="A4404" t="str">
        <f>"20190312154648053"</f>
        <v>20190312154648053</v>
      </c>
      <c r="B4404" t="str">
        <f>"1552376808042464"</f>
        <v>1552376808042464</v>
      </c>
      <c r="C4404" t="s">
        <v>40</v>
      </c>
      <c r="D4404">
        <v>4.5453159999999997</v>
      </c>
      <c r="E4404">
        <v>0.51075760000000003</v>
      </c>
      <c r="F4404" t="s">
        <v>42</v>
      </c>
      <c r="G4404">
        <v>-420.44560000000001</v>
      </c>
      <c r="H4404" s="1">
        <v>-2.1747059999999999E-6</v>
      </c>
      <c r="I4404">
        <v>44.382010000000001</v>
      </c>
      <c r="J4404">
        <v>-421.32900000000001</v>
      </c>
      <c r="K4404">
        <v>1.1092820000000001</v>
      </c>
      <c r="L4404">
        <v>68.315609999999893</v>
      </c>
      <c r="M4404">
        <v>1.444323E-2</v>
      </c>
      <c r="N4404">
        <v>0</v>
      </c>
      <c r="O4404">
        <v>-0.99987079999999995</v>
      </c>
      <c r="P4404">
        <v>-1.369863E-2</v>
      </c>
      <c r="Q4404">
        <v>4.2632240000000002E-2</v>
      </c>
      <c r="R4404">
        <v>-0.99899700000000002</v>
      </c>
      <c r="S4404">
        <v>0.1104431</v>
      </c>
      <c r="T4404">
        <v>-0.13811860000000001</v>
      </c>
      <c r="U4404">
        <v>-3.0104060000000001</v>
      </c>
      <c r="V4404">
        <v>2.8114110000000001E-2</v>
      </c>
      <c r="W4404">
        <v>4.9666290000000002E-2</v>
      </c>
      <c r="X4404">
        <v>0.99837010000000004</v>
      </c>
      <c r="Y4404">
        <v>-2.2186259999999999E-2</v>
      </c>
      <c r="Z4404">
        <v>4.5803999999999997E-2</v>
      </c>
      <c r="AA4404">
        <v>0.99870400000000004</v>
      </c>
      <c r="AB4404">
        <v>25</v>
      </c>
      <c r="AC4404">
        <v>0.88339999999999397</v>
      </c>
      <c r="AD4404">
        <v>-1.1092841747059901</v>
      </c>
      <c r="AE4404">
        <v>-23.933599999999899</v>
      </c>
      <c r="AF4404">
        <v>-0.53646989269129297</v>
      </c>
      <c r="AG4404">
        <v>-1.1092841747059901</v>
      </c>
      <c r="AH4404">
        <v>23.892607193300499</v>
      </c>
      <c r="AI4404">
        <v>92.657546414564706</v>
      </c>
      <c r="AJ4404">
        <v>91.286268029449701</v>
      </c>
      <c r="AK4404">
        <v>23.924359757773502</v>
      </c>
      <c r="AL4404">
        <v>87.153159977518399</v>
      </c>
      <c r="AM4404">
        <v>88.386976668925101</v>
      </c>
      <c r="AN4404">
        <v>1.0000000000587299</v>
      </c>
    </row>
    <row r="4405" spans="1:40" x14ac:dyDescent="0.25">
      <c r="A4405" t="str">
        <f>"20190312154648094"</f>
        <v>20190312154648094</v>
      </c>
      <c r="B4405" t="str">
        <f>"1552376808082480"</f>
        <v>1552376808082480</v>
      </c>
      <c r="C4405" t="s">
        <v>40</v>
      </c>
      <c r="D4405">
        <v>4.5076179999999999</v>
      </c>
      <c r="E4405">
        <v>0.51005420000000001</v>
      </c>
      <c r="F4405" t="s">
        <v>42</v>
      </c>
      <c r="G4405">
        <v>-422.24189999999999</v>
      </c>
      <c r="H4405" s="1">
        <v>-2.6417200000000002E-6</v>
      </c>
      <c r="I4405">
        <v>44.356499999999997</v>
      </c>
      <c r="J4405">
        <v>-421.322</v>
      </c>
      <c r="K4405">
        <v>1.109272</v>
      </c>
      <c r="L4405">
        <v>67.852199999999996</v>
      </c>
      <c r="M4405">
        <v>1.4731070000000001E-2</v>
      </c>
      <c r="N4405">
        <v>0</v>
      </c>
      <c r="O4405">
        <v>-0.99986649999999999</v>
      </c>
      <c r="P4405">
        <v>-1.412618E-2</v>
      </c>
      <c r="Q4405">
        <v>4.32255E-2</v>
      </c>
      <c r="R4405">
        <v>-0.99896569999999996</v>
      </c>
      <c r="S4405">
        <v>-0.1145935</v>
      </c>
      <c r="T4405">
        <v>-0.13923920000000001</v>
      </c>
      <c r="U4405">
        <v>-3.0073850000000002</v>
      </c>
      <c r="V4405">
        <v>2.8830479999999999E-2</v>
      </c>
      <c r="W4405">
        <v>5.0313030000000002E-2</v>
      </c>
      <c r="X4405">
        <v>0.99831729999999996</v>
      </c>
      <c r="Y4405">
        <v>5.275237E-2</v>
      </c>
      <c r="Z4405">
        <v>4.6193089999999999E-2</v>
      </c>
      <c r="AA4405">
        <v>0.9975387</v>
      </c>
      <c r="AB4405">
        <v>25</v>
      </c>
      <c r="AC4405">
        <v>-0.91990000000004002</v>
      </c>
      <c r="AD4405">
        <v>-1.1092746417199999</v>
      </c>
      <c r="AE4405">
        <v>-23.495699999999999</v>
      </c>
      <c r="AF4405">
        <v>1.2631145122641101</v>
      </c>
      <c r="AG4405">
        <v>-1.1092746417199999</v>
      </c>
      <c r="AH4405">
        <v>23.4274601053298</v>
      </c>
      <c r="AI4405">
        <v>92.706966558330805</v>
      </c>
      <c r="AJ4405">
        <v>86.913829910903303</v>
      </c>
      <c r="AK4405">
        <v>23.487695406077499</v>
      </c>
      <c r="AL4405">
        <v>87.116058159028995</v>
      </c>
      <c r="AM4405">
        <v>88.345810659555198</v>
      </c>
      <c r="AN4405">
        <v>1.00000001452205</v>
      </c>
    </row>
    <row r="4406" spans="1:40" x14ac:dyDescent="0.25">
      <c r="A4406" t="str">
        <f>"20190312154648115"</f>
        <v>20190312154648115</v>
      </c>
      <c r="B4406" t="str">
        <f>"1552376808102506"</f>
        <v>1552376808102506</v>
      </c>
      <c r="C4406" t="s">
        <v>40</v>
      </c>
      <c r="D4406">
        <v>4.6497599999999997</v>
      </c>
      <c r="E4406">
        <v>0.50212789999999996</v>
      </c>
      <c r="F4406" t="s">
        <v>42</v>
      </c>
      <c r="G4406">
        <v>-422.20209999999997</v>
      </c>
      <c r="H4406" s="1">
        <v>-2.4704149999999999E-6</v>
      </c>
      <c r="I4406">
        <v>43.981870000000001</v>
      </c>
      <c r="J4406">
        <v>-421.31810000000002</v>
      </c>
      <c r="K4406">
        <v>1.109262</v>
      </c>
      <c r="L4406">
        <v>67.604159999999993</v>
      </c>
      <c r="M4406">
        <v>1.4866580000000001E-2</v>
      </c>
      <c r="N4406">
        <v>0</v>
      </c>
      <c r="O4406">
        <v>-0.99986410000000003</v>
      </c>
      <c r="P4406">
        <v>-1.394228E-2</v>
      </c>
      <c r="Q4406">
        <v>4.3407710000000002E-2</v>
      </c>
      <c r="R4406">
        <v>-0.99896010000000002</v>
      </c>
      <c r="S4406">
        <v>-0.1109009</v>
      </c>
      <c r="T4406">
        <v>-0.13976559999999999</v>
      </c>
      <c r="U4406">
        <v>-3.0075989999999999</v>
      </c>
      <c r="V4406">
        <v>2.8782789999999999E-2</v>
      </c>
      <c r="W4406">
        <v>5.0526389999999997E-2</v>
      </c>
      <c r="X4406">
        <v>0.99830790000000003</v>
      </c>
      <c r="Y4406">
        <v>5.1661659999999998E-2</v>
      </c>
      <c r="Z4406">
        <v>4.6366320000000003E-2</v>
      </c>
      <c r="AA4406">
        <v>0.99758769999999997</v>
      </c>
      <c r="AB4406">
        <v>25</v>
      </c>
      <c r="AC4406">
        <v>-0.88399999999995704</v>
      </c>
      <c r="AD4406">
        <v>-1.1092644704150001</v>
      </c>
      <c r="AE4406">
        <v>-23.6222899999999</v>
      </c>
      <c r="AF4406">
        <v>1.2323801712912299</v>
      </c>
      <c r="AG4406">
        <v>-1.1092644704150001</v>
      </c>
      <c r="AH4406">
        <v>23.554669373980101</v>
      </c>
      <c r="AI4406">
        <v>92.692571519929999</v>
      </c>
      <c r="AJ4406">
        <v>87.0050159459214</v>
      </c>
      <c r="AK4406">
        <v>23.612955720735901</v>
      </c>
      <c r="AL4406">
        <v>87.103817962482793</v>
      </c>
      <c r="AM4406">
        <v>88.348529882500301</v>
      </c>
      <c r="AN4406">
        <v>1.00000001414451</v>
      </c>
    </row>
    <row r="4407" spans="1:40" x14ac:dyDescent="0.25">
      <c r="A4407" t="str">
        <f>"20190312154648138"</f>
        <v>20190312154648138</v>
      </c>
      <c r="B4407" t="str">
        <f>"1552376808131786"</f>
        <v>1552376808131786</v>
      </c>
      <c r="C4407" t="s">
        <v>40</v>
      </c>
      <c r="D4407">
        <v>4.5025139999999997</v>
      </c>
      <c r="E4407">
        <v>0.50949940000000005</v>
      </c>
      <c r="F4407" t="s">
        <v>41</v>
      </c>
      <c r="G4407">
        <v>-421.33010000000002</v>
      </c>
      <c r="H4407">
        <v>1.047766</v>
      </c>
      <c r="I4407">
        <v>66.775859999999994</v>
      </c>
      <c r="J4407">
        <v>-421.3141</v>
      </c>
      <c r="K4407">
        <v>1.1092569999999999</v>
      </c>
      <c r="L4407">
        <v>67.341369999999998</v>
      </c>
      <c r="M4407">
        <v>1.499587E-2</v>
      </c>
      <c r="N4407">
        <v>0</v>
      </c>
      <c r="O4407">
        <v>-0.99986220000000003</v>
      </c>
      <c r="P4407">
        <v>-1.391742E-2</v>
      </c>
      <c r="Q4407">
        <v>4.3784820000000002E-2</v>
      </c>
      <c r="R4407">
        <v>-0.99894419999999995</v>
      </c>
      <c r="S4407">
        <v>-4.2541500000000003E-2</v>
      </c>
      <c r="T4407">
        <v>-0.2236967</v>
      </c>
      <c r="U4407">
        <v>-3.012238</v>
      </c>
      <c r="V4407">
        <v>2.8887889999999999E-2</v>
      </c>
      <c r="W4407">
        <v>5.0934500000000001E-2</v>
      </c>
      <c r="X4407">
        <v>0.99828410000000001</v>
      </c>
      <c r="Y4407">
        <v>2.907589E-2</v>
      </c>
      <c r="Z4407">
        <v>7.4026889999999998E-2</v>
      </c>
      <c r="AA4407">
        <v>0.9968323</v>
      </c>
      <c r="AB4407">
        <v>25</v>
      </c>
      <c r="AC4407">
        <v>-1.6000000000019499E-2</v>
      </c>
      <c r="AD4407">
        <v>-6.14909999999999E-2</v>
      </c>
      <c r="AE4407">
        <v>-0.56551000000000295</v>
      </c>
      <c r="AF4407">
        <v>2.4192916412828201E-2</v>
      </c>
      <c r="AG4407">
        <v>-6.14909999999999E-2</v>
      </c>
      <c r="AH4407">
        <v>0.55860711346771497</v>
      </c>
      <c r="AI4407">
        <v>96.275943448776104</v>
      </c>
      <c r="AJ4407">
        <v>87.520106213297595</v>
      </c>
      <c r="AK4407">
        <v>0.56250186444339101</v>
      </c>
      <c r="AL4407">
        <v>87.080404761129003</v>
      </c>
      <c r="AM4407">
        <v>88.342463423434793</v>
      </c>
      <c r="AN4407">
        <v>0.99999998889585595</v>
      </c>
    </row>
    <row r="4408" spans="1:40" x14ac:dyDescent="0.25">
      <c r="A4408" t="str">
        <f>"20190312154648160"</f>
        <v>20190312154648160</v>
      </c>
      <c r="B4408" t="str">
        <f>"1552376808152282"</f>
        <v>1552376808152282</v>
      </c>
      <c r="C4408" t="s">
        <v>40</v>
      </c>
      <c r="D4408">
        <v>4.5077689999999997</v>
      </c>
      <c r="E4408">
        <v>0.50957339999999995</v>
      </c>
      <c r="F4408" t="s">
        <v>42</v>
      </c>
      <c r="G4408">
        <v>-422.18540000000002</v>
      </c>
      <c r="H4408" s="1">
        <v>-1.8001140000000001E-6</v>
      </c>
      <c r="I4408">
        <v>42.429789999999997</v>
      </c>
      <c r="J4408">
        <v>-421.31020000000001</v>
      </c>
      <c r="K4408">
        <v>1.1092420000000001</v>
      </c>
      <c r="L4408">
        <v>67.087680000000006</v>
      </c>
      <c r="M4408">
        <v>1.5102239999999999E-2</v>
      </c>
      <c r="N4408">
        <v>0</v>
      </c>
      <c r="O4408">
        <v>-0.99985999999999997</v>
      </c>
      <c r="P4408">
        <v>-1.3562619999999999E-2</v>
      </c>
      <c r="Q4408">
        <v>4.400954E-2</v>
      </c>
      <c r="R4408">
        <v>-0.99893900000000002</v>
      </c>
      <c r="S4408">
        <v>-0.1051941</v>
      </c>
      <c r="T4408">
        <v>-0.13392039999999999</v>
      </c>
      <c r="U4408">
        <v>-3.007568</v>
      </c>
      <c r="V4408">
        <v>2.8640639999999998E-2</v>
      </c>
      <c r="W4408">
        <v>5.1185950000000001E-2</v>
      </c>
      <c r="X4408">
        <v>0.99827840000000001</v>
      </c>
      <c r="Y4408">
        <v>5.0009970000000001E-2</v>
      </c>
      <c r="Z4408">
        <v>4.443474E-2</v>
      </c>
      <c r="AA4408">
        <v>0.99775979999999997</v>
      </c>
      <c r="AB4408">
        <v>26</v>
      </c>
      <c r="AC4408">
        <v>-0.87520000000000597</v>
      </c>
      <c r="AD4408">
        <v>-1.1092438001139999</v>
      </c>
      <c r="AE4408">
        <v>-24.657889999999998</v>
      </c>
      <c r="AF4408">
        <v>1.2449829402713799</v>
      </c>
      <c r="AG4408">
        <v>-1.1092438001139999</v>
      </c>
      <c r="AH4408">
        <v>24.592155835699799</v>
      </c>
      <c r="AI4408">
        <v>92.579310985152702</v>
      </c>
      <c r="AJ4408">
        <v>87.101863593027304</v>
      </c>
      <c r="AK4408">
        <v>24.648621320004999</v>
      </c>
      <c r="AL4408">
        <v>87.065979028193595</v>
      </c>
      <c r="AM4408">
        <v>88.356633004782694</v>
      </c>
      <c r="AN4408">
        <v>1.00000002582178</v>
      </c>
    </row>
    <row r="4409" spans="1:40" x14ac:dyDescent="0.25">
      <c r="A4409" t="str">
        <f>"20190312154648185"</f>
        <v>20190312154648185</v>
      </c>
      <c r="B4409" t="str">
        <f>"1552376808171803"</f>
        <v>1552376808171803</v>
      </c>
      <c r="C4409" t="s">
        <v>40</v>
      </c>
      <c r="D4409">
        <v>4.4890359999999996</v>
      </c>
      <c r="E4409">
        <v>0.50896960000000002</v>
      </c>
      <c r="F4409" t="s">
        <v>42</v>
      </c>
      <c r="G4409">
        <v>-422.18630000000002</v>
      </c>
      <c r="H4409" s="1">
        <v>-1.5885140000000001E-6</v>
      </c>
      <c r="I4409">
        <v>41.935960000000001</v>
      </c>
      <c r="J4409">
        <v>-421.3057</v>
      </c>
      <c r="K4409">
        <v>1.1092310000000001</v>
      </c>
      <c r="L4409">
        <v>66.800319999999999</v>
      </c>
      <c r="M4409">
        <v>1.5197509999999999E-2</v>
      </c>
      <c r="N4409">
        <v>0</v>
      </c>
      <c r="O4409">
        <v>-0.99985889999999999</v>
      </c>
      <c r="P4409">
        <v>-1.368577E-2</v>
      </c>
      <c r="Q4409">
        <v>4.4352339999999997E-2</v>
      </c>
      <c r="R4409">
        <v>-0.99892250000000005</v>
      </c>
      <c r="S4409">
        <v>-0.10476679999999999</v>
      </c>
      <c r="T4409">
        <v>-0.13264139999999999</v>
      </c>
      <c r="U4409">
        <v>-3.0075989999999999</v>
      </c>
      <c r="V4409">
        <v>2.886058E-2</v>
      </c>
      <c r="W4409">
        <v>5.1557390000000002E-2</v>
      </c>
      <c r="X4409">
        <v>0.9982529</v>
      </c>
      <c r="Y4409">
        <v>4.9963870000000001E-2</v>
      </c>
      <c r="Z4409">
        <v>4.4010809999999997E-2</v>
      </c>
      <c r="AA4409">
        <v>0.99778089999999997</v>
      </c>
      <c r="AB4409">
        <v>26</v>
      </c>
      <c r="AC4409">
        <v>-0.88060000000001504</v>
      </c>
      <c r="AD4409">
        <v>-1.10923258851399</v>
      </c>
      <c r="AE4409">
        <v>-24.864360000000001</v>
      </c>
      <c r="AF4409">
        <v>1.2558880296565</v>
      </c>
      <c r="AG4409">
        <v>-1.10923258851399</v>
      </c>
      <c r="AH4409">
        <v>24.7988129446199</v>
      </c>
      <c r="AI4409">
        <v>92.557817235295801</v>
      </c>
      <c r="AJ4409">
        <v>87.100842621494095</v>
      </c>
      <c r="AK4409">
        <v>24.855357071277499</v>
      </c>
      <c r="AL4409">
        <v>87.0446687960563</v>
      </c>
      <c r="AM4409">
        <v>88.343977822649705</v>
      </c>
      <c r="AN4409">
        <v>0.99999997494997805</v>
      </c>
    </row>
    <row r="4410" spans="1:40" x14ac:dyDescent="0.25">
      <c r="A4410" t="str">
        <f>"20190312154648207"</f>
        <v>20190312154648207</v>
      </c>
      <c r="B4410" t="str">
        <f>"1552376808202565"</f>
        <v>1552376808202565</v>
      </c>
      <c r="C4410" t="s">
        <v>40</v>
      </c>
      <c r="D4410">
        <v>4.6685999999999996</v>
      </c>
      <c r="E4410">
        <v>0.50940659999999904</v>
      </c>
      <c r="F4410" t="s">
        <v>71</v>
      </c>
      <c r="G4410">
        <v>-422.57350000000002</v>
      </c>
      <c r="H4410" s="1">
        <v>-5.9488310000000003E-6</v>
      </c>
      <c r="I4410">
        <v>29.437629999999999</v>
      </c>
      <c r="J4410">
        <v>-421.30180000000001</v>
      </c>
      <c r="K4410">
        <v>1.109219</v>
      </c>
      <c r="L4410">
        <v>66.545500000000004</v>
      </c>
      <c r="M4410">
        <v>1.5258229999999999E-2</v>
      </c>
      <c r="N4410">
        <v>0</v>
      </c>
      <c r="O4410">
        <v>-0.99985740000000001</v>
      </c>
      <c r="P4410">
        <v>-1.3651160000000001E-2</v>
      </c>
      <c r="Q4410">
        <v>4.5143059999999999E-2</v>
      </c>
      <c r="R4410">
        <v>-0.99888719999999998</v>
      </c>
      <c r="S4410">
        <v>-0.1019897</v>
      </c>
      <c r="T4410">
        <v>-8.9237209999999997E-2</v>
      </c>
      <c r="U4410">
        <v>-3.005798</v>
      </c>
      <c r="V4410">
        <v>2.8887949999999999E-2</v>
      </c>
      <c r="W4410">
        <v>5.237025E-2</v>
      </c>
      <c r="X4410">
        <v>0.99820980000000004</v>
      </c>
      <c r="Y4410">
        <v>4.9142480000000002E-2</v>
      </c>
      <c r="Z4410">
        <v>2.9643650000000001E-2</v>
      </c>
      <c r="AA4410">
        <v>0.99835180000000001</v>
      </c>
      <c r="AB4410">
        <v>26</v>
      </c>
      <c r="AC4410">
        <v>-1.2717000000000001</v>
      </c>
      <c r="AD4410">
        <v>-1.109224948831</v>
      </c>
      <c r="AE4410">
        <v>-37.107869999999998</v>
      </c>
      <c r="AF4410">
        <v>1.8361284858182101</v>
      </c>
      <c r="AG4410">
        <v>-1.109224948831</v>
      </c>
      <c r="AH4410">
        <v>37.051078248563599</v>
      </c>
      <c r="AI4410">
        <v>91.712692515911399</v>
      </c>
      <c r="AJ4410">
        <v>87.162932266341798</v>
      </c>
      <c r="AK4410">
        <v>37.113126346142302</v>
      </c>
      <c r="AL4410">
        <v>86.998032356424304</v>
      </c>
      <c r="AM4410">
        <v>88.342336675402294</v>
      </c>
      <c r="AN4410">
        <v>0.999999980778152</v>
      </c>
    </row>
    <row r="4411" spans="1:40" x14ac:dyDescent="0.25">
      <c r="A4411" t="str">
        <f>"20190312154648230"</f>
        <v>20190312154648230</v>
      </c>
      <c r="B4411" t="str">
        <f>"1552376808222085"</f>
        <v>1552376808222085</v>
      </c>
      <c r="C4411" t="s">
        <v>40</v>
      </c>
      <c r="D4411">
        <v>4.4865500000000003</v>
      </c>
      <c r="E4411">
        <v>0.50826570000000004</v>
      </c>
      <c r="F4411" t="s">
        <v>71</v>
      </c>
      <c r="G4411">
        <v>-422.52550000000002</v>
      </c>
      <c r="H4411" s="1">
        <v>-4.9068080000000004E-6</v>
      </c>
      <c r="I4411">
        <v>31.513069999999999</v>
      </c>
      <c r="J4411">
        <v>-421.29759999999999</v>
      </c>
      <c r="K4411">
        <v>1.1091979999999999</v>
      </c>
      <c r="L4411">
        <v>66.273709999999994</v>
      </c>
      <c r="M4411">
        <v>1.530278E-2</v>
      </c>
      <c r="N4411">
        <v>0</v>
      </c>
      <c r="O4411">
        <v>-0.99985670000000004</v>
      </c>
      <c r="P4411">
        <v>-1.3522040000000001E-2</v>
      </c>
      <c r="Q4411">
        <v>4.524098E-2</v>
      </c>
      <c r="R4411">
        <v>-0.99888469999999996</v>
      </c>
      <c r="S4411">
        <v>-0.10501099999999999</v>
      </c>
      <c r="T4411">
        <v>-9.5184450000000004E-2</v>
      </c>
      <c r="U4411">
        <v>-3.006195</v>
      </c>
      <c r="V4411">
        <v>2.8805170000000001E-2</v>
      </c>
      <c r="W4411">
        <v>5.2492160000000003E-2</v>
      </c>
      <c r="X4411">
        <v>0.99820580000000003</v>
      </c>
      <c r="Y4411">
        <v>5.0182549999999999E-2</v>
      </c>
      <c r="Z4411">
        <v>3.1611779999999999E-2</v>
      </c>
      <c r="AA4411">
        <v>0.9982396</v>
      </c>
      <c r="AB4411">
        <v>26</v>
      </c>
      <c r="AC4411">
        <v>-1.22790000000003</v>
      </c>
      <c r="AD4411">
        <v>-1.1092029068079901</v>
      </c>
      <c r="AE4411">
        <v>-34.760639999999903</v>
      </c>
      <c r="AF4411">
        <v>1.75791684193582</v>
      </c>
      <c r="AG4411">
        <v>-1.1092029068079901</v>
      </c>
      <c r="AH4411">
        <v>34.702487610221297</v>
      </c>
      <c r="AI4411">
        <v>91.828390931255498</v>
      </c>
      <c r="AJ4411">
        <v>87.100058204068304</v>
      </c>
      <c r="AK4411">
        <v>34.764683934262898</v>
      </c>
      <c r="AL4411">
        <v>86.991037840617906</v>
      </c>
      <c r="AM4411">
        <v>88.347077541522196</v>
      </c>
      <c r="AN4411">
        <v>0.99999999191691702</v>
      </c>
    </row>
    <row r="4412" spans="1:40" x14ac:dyDescent="0.25">
      <c r="A4412" t="str">
        <f>"20190312154648250"</f>
        <v>20190312154648250</v>
      </c>
      <c r="B4412" t="str">
        <f>"1552376808242581"</f>
        <v>1552376808242581</v>
      </c>
      <c r="C4412" t="s">
        <v>40</v>
      </c>
      <c r="D4412">
        <v>4.4901210000000003</v>
      </c>
      <c r="E4412">
        <v>0.5085056</v>
      </c>
      <c r="F4412" t="s">
        <v>42</v>
      </c>
      <c r="G4412">
        <v>-422.12450000000001</v>
      </c>
      <c r="H4412" s="1">
        <v>-6.8260769999999896E-7</v>
      </c>
      <c r="I4412">
        <v>39.862580000000001</v>
      </c>
      <c r="J4412">
        <v>-421.29419999999999</v>
      </c>
      <c r="K4412">
        <v>1.109191</v>
      </c>
      <c r="L4412">
        <v>66.049530000000004</v>
      </c>
      <c r="M4412">
        <v>1.532417E-2</v>
      </c>
      <c r="N4412">
        <v>0</v>
      </c>
      <c r="O4412">
        <v>-0.99985599999999997</v>
      </c>
      <c r="P4412">
        <v>-1.385901E-2</v>
      </c>
      <c r="Q4412">
        <v>4.519248E-2</v>
      </c>
      <c r="R4412">
        <v>-0.99888209999999999</v>
      </c>
      <c r="S4412">
        <v>-9.4177250000000004E-2</v>
      </c>
      <c r="T4412">
        <v>-0.12631909999999999</v>
      </c>
      <c r="U4412">
        <v>-3.0077820000000002</v>
      </c>
      <c r="V4412">
        <v>2.9164789999999999E-2</v>
      </c>
      <c r="W4412">
        <v>5.2467390000000003E-2</v>
      </c>
      <c r="X4412">
        <v>0.99819669999999905</v>
      </c>
      <c r="Y4412">
        <v>4.6581730000000002E-2</v>
      </c>
      <c r="Z4412">
        <v>4.1920010000000001E-2</v>
      </c>
      <c r="AA4412">
        <v>0.99803450000000005</v>
      </c>
      <c r="AB4412">
        <v>26</v>
      </c>
      <c r="AC4412">
        <v>-0.83030000000002202</v>
      </c>
      <c r="AD4412">
        <v>-1.1091916826077</v>
      </c>
      <c r="AE4412">
        <v>-26.18695</v>
      </c>
      <c r="AF4412">
        <v>1.2293031762995801</v>
      </c>
      <c r="AG4412">
        <v>-1.1091916826077</v>
      </c>
      <c r="AH4412">
        <v>26.124328682655602</v>
      </c>
      <c r="AI4412">
        <v>92.428530832813706</v>
      </c>
      <c r="AJ4412">
        <v>87.305884206561501</v>
      </c>
      <c r="AK4412">
        <v>26.176746199775199</v>
      </c>
      <c r="AL4412">
        <v>86.992459135966996</v>
      </c>
      <c r="AM4412">
        <v>88.326437939450898</v>
      </c>
      <c r="AN4412">
        <v>1.00000003194002</v>
      </c>
    </row>
    <row r="4413" spans="1:40" x14ac:dyDescent="0.25">
      <c r="A4413" t="str">
        <f>"20190312154648274"</f>
        <v>20190312154648274</v>
      </c>
      <c r="B4413" t="str">
        <f>"1552376808262102"</f>
        <v>1552376808262102</v>
      </c>
      <c r="C4413" t="s">
        <v>40</v>
      </c>
      <c r="D4413">
        <v>4.6636600000000001</v>
      </c>
      <c r="E4413">
        <v>0.5087083</v>
      </c>
      <c r="F4413" t="s">
        <v>42</v>
      </c>
      <c r="G4413">
        <v>-422.12110000000001</v>
      </c>
      <c r="H4413" s="1">
        <v>-8.9934910000000003E-7</v>
      </c>
      <c r="I4413">
        <v>40.36994</v>
      </c>
      <c r="J4413">
        <v>-421.28969999999998</v>
      </c>
      <c r="K4413">
        <v>1.1091839999999999</v>
      </c>
      <c r="L4413">
        <v>65.759550000000004</v>
      </c>
      <c r="M4413">
        <v>1.533461E-2</v>
      </c>
      <c r="N4413">
        <v>0</v>
      </c>
      <c r="O4413">
        <v>-0.99985579999999996</v>
      </c>
      <c r="P4413">
        <v>-1.395307E-2</v>
      </c>
      <c r="Q4413">
        <v>4.4940670000000002E-2</v>
      </c>
      <c r="R4413">
        <v>-0.99889220000000001</v>
      </c>
      <c r="S4413">
        <v>-9.6862790000000004E-2</v>
      </c>
      <c r="T4413">
        <v>-0.12992190000000001</v>
      </c>
      <c r="U4413">
        <v>-3.0079039999999999</v>
      </c>
      <c r="V4413">
        <v>2.9270790000000001E-2</v>
      </c>
      <c r="W4413">
        <v>5.2254540000000002E-2</v>
      </c>
      <c r="X4413">
        <v>0.99820469999999895</v>
      </c>
      <c r="Y4413">
        <v>4.7479420000000001E-2</v>
      </c>
      <c r="Z4413">
        <v>4.3110170000000003E-2</v>
      </c>
      <c r="AA4413">
        <v>0.99794150000000004</v>
      </c>
      <c r="AB4413">
        <v>26</v>
      </c>
      <c r="AC4413">
        <v>-0.83140000000003</v>
      </c>
      <c r="AD4413">
        <v>-1.1091848993491</v>
      </c>
      <c r="AE4413">
        <v>-25.389610000000001</v>
      </c>
      <c r="AF4413">
        <v>1.21832965575589</v>
      </c>
      <c r="AG4413">
        <v>-1.1091848993491</v>
      </c>
      <c r="AH4413">
        <v>25.325592415230101</v>
      </c>
      <c r="AI4413">
        <v>92.504887359446599</v>
      </c>
      <c r="AJ4413">
        <v>87.245814748780404</v>
      </c>
      <c r="AK4413">
        <v>25.3791301953672</v>
      </c>
      <c r="AL4413">
        <v>87.004671107718593</v>
      </c>
      <c r="AM4413">
        <v>88.320372276934407</v>
      </c>
      <c r="AN4413">
        <v>0.99999996959996196</v>
      </c>
    </row>
    <row r="4414" spans="1:40" x14ac:dyDescent="0.25">
      <c r="A4414" t="str">
        <f>"20190312154648294"</f>
        <v>20190312154648294</v>
      </c>
      <c r="B4414" t="str">
        <f>"1552376808282597"</f>
        <v>1552376808282597</v>
      </c>
      <c r="C4414" t="s">
        <v>40</v>
      </c>
      <c r="D4414">
        <v>4.4897660000000004</v>
      </c>
      <c r="E4414">
        <v>0.50895349999999995</v>
      </c>
      <c r="F4414" t="s">
        <v>42</v>
      </c>
      <c r="G4414">
        <v>-422.13940000000002</v>
      </c>
      <c r="H4414" s="1">
        <v>-7.3179419999999995E-7</v>
      </c>
      <c r="I4414">
        <v>39.968020000000003</v>
      </c>
      <c r="J4414">
        <v>-421.28629999999998</v>
      </c>
      <c r="K4414">
        <v>1.1091799999999901</v>
      </c>
      <c r="L4414">
        <v>65.535250000000005</v>
      </c>
      <c r="M4414">
        <v>1.533441E-2</v>
      </c>
      <c r="N4414">
        <v>0</v>
      </c>
      <c r="O4414">
        <v>-0.99985550000000001</v>
      </c>
      <c r="P4414">
        <v>-1.3509760000000001E-2</v>
      </c>
      <c r="Q4414">
        <v>4.5396489999999998E-2</v>
      </c>
      <c r="R4414">
        <v>-0.99887760000000003</v>
      </c>
      <c r="S4414">
        <v>-9.9090579999999998E-2</v>
      </c>
      <c r="T4414">
        <v>-0.12935199999999999</v>
      </c>
      <c r="U4414">
        <v>-3.0077820000000002</v>
      </c>
      <c r="V4414">
        <v>2.8827869999999998E-2</v>
      </c>
      <c r="W4414">
        <v>5.2744050000000001E-2</v>
      </c>
      <c r="X4414">
        <v>0.99819190000000002</v>
      </c>
      <c r="Y4414">
        <v>4.8219150000000002E-2</v>
      </c>
      <c r="Z4414">
        <v>4.2921859999999999E-2</v>
      </c>
      <c r="AA4414">
        <v>0.99791410000000003</v>
      </c>
      <c r="AB4414">
        <v>26</v>
      </c>
      <c r="AC4414">
        <v>-0.85310000000004005</v>
      </c>
      <c r="AD4414">
        <v>-1.10918073179419</v>
      </c>
      <c r="AE4414">
        <v>-25.567229999999999</v>
      </c>
      <c r="AF4414">
        <v>1.2427323128502401</v>
      </c>
      <c r="AG4414">
        <v>-1.10918073179419</v>
      </c>
      <c r="AH4414">
        <v>25.503195946126802</v>
      </c>
      <c r="AI4414">
        <v>92.487381426821301</v>
      </c>
      <c r="AJ4414">
        <v>87.210269635389096</v>
      </c>
      <c r="AK4414">
        <v>25.557536441600298</v>
      </c>
      <c r="AL4414">
        <v>86.976585686273594</v>
      </c>
      <c r="AM4414">
        <v>88.345752651951202</v>
      </c>
      <c r="AN4414">
        <v>1.00000002506237</v>
      </c>
    </row>
    <row r="4415" spans="1:40" x14ac:dyDescent="0.25">
      <c r="A4415" t="str">
        <f>"20190312154648317"</f>
        <v>20190312154648317</v>
      </c>
      <c r="B4415" t="str">
        <f>"1552376808312384"</f>
        <v>1552376808312384</v>
      </c>
      <c r="C4415" t="s">
        <v>40</v>
      </c>
      <c r="D4415">
        <v>4.4926879999999896</v>
      </c>
      <c r="E4415">
        <v>0.50915600000000005</v>
      </c>
      <c r="F4415" t="s">
        <v>71</v>
      </c>
      <c r="G4415">
        <v>-422.1825</v>
      </c>
      <c r="H4415" s="1">
        <v>-1.0351799999999999E-6</v>
      </c>
      <c r="I4415">
        <v>38.472589999999997</v>
      </c>
      <c r="J4415">
        <v>-421.28219999999999</v>
      </c>
      <c r="K4415">
        <v>1.1091839999999999</v>
      </c>
      <c r="L4415">
        <v>65.273160000000004</v>
      </c>
      <c r="M4415">
        <v>1.532558E-2</v>
      </c>
      <c r="N4415">
        <v>0</v>
      </c>
      <c r="O4415">
        <v>-0.9998553</v>
      </c>
      <c r="P4415">
        <v>-1.33562E-2</v>
      </c>
      <c r="Q4415">
        <v>4.607236E-2</v>
      </c>
      <c r="R4415">
        <v>-0.99884899999999999</v>
      </c>
      <c r="S4415">
        <v>-9.9609379999999997E-2</v>
      </c>
      <c r="T4415">
        <v>-0.123269699999999</v>
      </c>
      <c r="U4415">
        <v>-3.0076290000000001</v>
      </c>
      <c r="V4415">
        <v>2.8665800000000002E-2</v>
      </c>
      <c r="W4415">
        <v>5.3464490000000003E-2</v>
      </c>
      <c r="X4415">
        <v>0.9981582</v>
      </c>
      <c r="Y4415">
        <v>4.8386749999999999E-2</v>
      </c>
      <c r="Z4415">
        <v>4.0908880000000002E-2</v>
      </c>
      <c r="AA4415">
        <v>0.9979905</v>
      </c>
      <c r="AB4415">
        <v>26</v>
      </c>
      <c r="AC4415">
        <v>-0.90030000000001498</v>
      </c>
      <c r="AD4415">
        <v>-1.1091850351799999</v>
      </c>
      <c r="AE4415">
        <v>-26.80057</v>
      </c>
      <c r="AF4415">
        <v>1.3087006491405599</v>
      </c>
      <c r="AG4415">
        <v>-1.1091850351799999</v>
      </c>
      <c r="AH4415">
        <v>26.737877862005298</v>
      </c>
      <c r="AI4415">
        <v>92.372639538173004</v>
      </c>
      <c r="AJ4415">
        <v>87.197861700603198</v>
      </c>
      <c r="AK4415">
        <v>26.792855416973399</v>
      </c>
      <c r="AL4415">
        <v>86.935249068271901</v>
      </c>
      <c r="AM4415">
        <v>88.354992183456204</v>
      </c>
      <c r="AN4415">
        <v>0.99999998600392004</v>
      </c>
    </row>
    <row r="4416" spans="1:40" x14ac:dyDescent="0.25">
      <c r="A4416" t="str">
        <f>"20190312154648340"</f>
        <v>20190312154648340</v>
      </c>
      <c r="B4416" t="str">
        <f>"1552376808331904"</f>
        <v>1552376808331904</v>
      </c>
      <c r="C4416" t="s">
        <v>40</v>
      </c>
      <c r="D4416">
        <v>4.5017719999999999</v>
      </c>
      <c r="E4416">
        <v>0.50906099999999999</v>
      </c>
      <c r="F4416" t="s">
        <v>71</v>
      </c>
      <c r="G4416">
        <v>-422.22390000000001</v>
      </c>
      <c r="H4416" s="1">
        <v>-1.8385489999999999E-6</v>
      </c>
      <c r="I4416">
        <v>37.217759999999998</v>
      </c>
      <c r="J4416">
        <v>-421.27809999999999</v>
      </c>
      <c r="K4416">
        <v>1.1091879999999901</v>
      </c>
      <c r="L4416">
        <v>64.999659999999906</v>
      </c>
      <c r="M4416">
        <v>1.530085E-2</v>
      </c>
      <c r="N4416">
        <v>0</v>
      </c>
      <c r="O4416">
        <v>-0.9998553</v>
      </c>
      <c r="P4416">
        <v>-1.327995E-2</v>
      </c>
      <c r="Q4416">
        <v>4.6540100000000001E-2</v>
      </c>
      <c r="R4416">
        <v>-0.99882839999999995</v>
      </c>
      <c r="S4416">
        <v>-0.1009521</v>
      </c>
      <c r="T4416">
        <v>-0.1189071</v>
      </c>
      <c r="U4416">
        <v>-3.0075989999999999</v>
      </c>
      <c r="V4416">
        <v>2.856558E-2</v>
      </c>
      <c r="W4416">
        <v>5.3987300000000002E-2</v>
      </c>
      <c r="X4416">
        <v>0.99813289999999999</v>
      </c>
      <c r="Y4416">
        <v>4.8809400000000003E-2</v>
      </c>
      <c r="Z4416">
        <v>3.9463119999999997E-2</v>
      </c>
      <c r="AA4416">
        <v>0.99802820000000003</v>
      </c>
      <c r="AB4416">
        <v>26</v>
      </c>
      <c r="AC4416">
        <v>-0.94580000000001896</v>
      </c>
      <c r="AD4416">
        <v>-1.10918983854899</v>
      </c>
      <c r="AE4416">
        <v>-27.7819</v>
      </c>
      <c r="AF4416">
        <v>1.3686086702740601</v>
      </c>
      <c r="AG4416">
        <v>-1.10918983854899</v>
      </c>
      <c r="AH4416">
        <v>27.720041042528798</v>
      </c>
      <c r="AI4416">
        <v>92.288626377508905</v>
      </c>
      <c r="AJ4416">
        <v>87.173457388437399</v>
      </c>
      <c r="AK4416">
        <v>27.775962038960401</v>
      </c>
      <c r="AL4416">
        <v>86.905250834636107</v>
      </c>
      <c r="AM4416">
        <v>88.360698709537004</v>
      </c>
      <c r="AN4416">
        <v>0.99999995349221704</v>
      </c>
    </row>
    <row r="4417" spans="1:40" x14ac:dyDescent="0.25">
      <c r="A4417" t="str">
        <f>"20190312154648362"</f>
        <v>20190312154648362</v>
      </c>
      <c r="B4417" t="str">
        <f>"1552376808352400"</f>
        <v>1552376808352400</v>
      </c>
      <c r="C4417" t="s">
        <v>40</v>
      </c>
      <c r="D4417">
        <v>4.4932939999999997</v>
      </c>
      <c r="E4417">
        <v>0.50903120000000002</v>
      </c>
      <c r="F4417" t="s">
        <v>71</v>
      </c>
      <c r="G4417">
        <v>-422.18340000000001</v>
      </c>
      <c r="H4417" s="1">
        <v>-1.6254999999999999E-6</v>
      </c>
      <c r="I4417">
        <v>37.544060000000002</v>
      </c>
      <c r="J4417">
        <v>-421.27420000000001</v>
      </c>
      <c r="K4417">
        <v>1.1091839999999999</v>
      </c>
      <c r="L4417">
        <v>64.743409999999997</v>
      </c>
      <c r="M4417">
        <v>1.5255879999999999E-2</v>
      </c>
      <c r="N4417">
        <v>0</v>
      </c>
      <c r="O4417">
        <v>-0.99985550000000001</v>
      </c>
      <c r="P4417">
        <v>-1.3326319999999999E-2</v>
      </c>
      <c r="Q4417">
        <v>4.6963329999999998E-2</v>
      </c>
      <c r="R4417">
        <v>-0.99880780000000002</v>
      </c>
      <c r="S4417">
        <v>-9.9182129999999993E-2</v>
      </c>
      <c r="T4417">
        <v>-0.1215162</v>
      </c>
      <c r="U4417">
        <v>-3.0078740000000002</v>
      </c>
      <c r="V4417">
        <v>2.856856E-2</v>
      </c>
      <c r="W4417">
        <v>5.44701E-2</v>
      </c>
      <c r="X4417">
        <v>0.99810670000000001</v>
      </c>
      <c r="Y4417">
        <v>4.8173630000000002E-2</v>
      </c>
      <c r="Z4417">
        <v>4.0325029999999998E-2</v>
      </c>
      <c r="AA4417">
        <v>0.99802460000000004</v>
      </c>
      <c r="AB4417">
        <v>26</v>
      </c>
      <c r="AC4417">
        <v>-0.90919999999999801</v>
      </c>
      <c r="AD4417">
        <v>-1.1091856255000001</v>
      </c>
      <c r="AE4417">
        <v>-27.199349999999999</v>
      </c>
      <c r="AF4417">
        <v>1.3218600758918</v>
      </c>
      <c r="AG4417">
        <v>-1.1091856255000001</v>
      </c>
      <c r="AH4417">
        <v>27.137234623582</v>
      </c>
      <c r="AI4417">
        <v>92.337790362701597</v>
      </c>
      <c r="AJ4417">
        <v>87.211315387951402</v>
      </c>
      <c r="AK4417">
        <v>27.192041295706201</v>
      </c>
      <c r="AL4417">
        <v>86.877548029248601</v>
      </c>
      <c r="AM4417">
        <v>88.360484776570004</v>
      </c>
      <c r="AN4417">
        <v>1.00000006949968</v>
      </c>
    </row>
    <row r="4418" spans="1:40" x14ac:dyDescent="0.25">
      <c r="A4418" t="str">
        <f>"20190312154648387"</f>
        <v>20190312154648387</v>
      </c>
      <c r="B4418" t="str">
        <f>"1552376808371920"</f>
        <v>1552376808371920</v>
      </c>
      <c r="C4418" t="s">
        <v>40</v>
      </c>
      <c r="D4418">
        <v>4.490507</v>
      </c>
      <c r="E4418">
        <v>0.50943919999999998</v>
      </c>
      <c r="F4418" t="s">
        <v>71</v>
      </c>
      <c r="G4418">
        <v>-422.15769999999998</v>
      </c>
      <c r="H4418" s="1">
        <v>-1.443691E-6</v>
      </c>
      <c r="I4418">
        <v>37.824460000000002</v>
      </c>
      <c r="J4418">
        <v>-421.26979999999998</v>
      </c>
      <c r="K4418">
        <v>1.1091709999999999</v>
      </c>
      <c r="L4418">
        <v>64.452939999999998</v>
      </c>
      <c r="M4418">
        <v>1.516735E-2</v>
      </c>
      <c r="N4418">
        <v>0</v>
      </c>
      <c r="O4418">
        <v>-0.99985619999999997</v>
      </c>
      <c r="P4418">
        <v>-1.3690880000000001E-2</v>
      </c>
      <c r="Q4418">
        <v>4.6682269999999998E-2</v>
      </c>
      <c r="R4418">
        <v>-0.99881600000000004</v>
      </c>
      <c r="S4418">
        <v>-9.8724370000000006E-2</v>
      </c>
      <c r="T4418">
        <v>-0.1239471</v>
      </c>
      <c r="U4418">
        <v>-3.0080870000000002</v>
      </c>
      <c r="V4418">
        <v>2.8848140000000001E-2</v>
      </c>
      <c r="W4418">
        <v>5.4259170000000002E-2</v>
      </c>
      <c r="X4418">
        <v>0.9981101</v>
      </c>
      <c r="Y4418">
        <v>4.793008E-2</v>
      </c>
      <c r="Z4418">
        <v>4.1127879999999999E-2</v>
      </c>
      <c r="AA4418">
        <v>0.99800359999999999</v>
      </c>
      <c r="AB4418">
        <v>26</v>
      </c>
      <c r="AC4418">
        <v>-0.88790000000000102</v>
      </c>
      <c r="AD4418">
        <v>-1.109172443691</v>
      </c>
      <c r="AE4418">
        <v>-26.62848</v>
      </c>
      <c r="AF4418">
        <v>1.2894581969516701</v>
      </c>
      <c r="AG4418">
        <v>-1.109172443691</v>
      </c>
      <c r="AH4418">
        <v>26.565907961274799</v>
      </c>
      <c r="AI4418">
        <v>92.388000880007098</v>
      </c>
      <c r="AJ4418">
        <v>87.221153704006994</v>
      </c>
      <c r="AK4418">
        <v>26.620301120732201</v>
      </c>
      <c r="AL4418">
        <v>86.889651178952903</v>
      </c>
      <c r="AM4418">
        <v>88.344454539657804</v>
      </c>
      <c r="AN4418">
        <v>1.0000000222162699</v>
      </c>
    </row>
    <row r="4419" spans="1:40" x14ac:dyDescent="0.25">
      <c r="A4419" t="str">
        <f>"20190312154648413"</f>
        <v>20190312154648413</v>
      </c>
      <c r="B4419" t="str">
        <f>"1552376808402682"</f>
        <v>1552376808402682</v>
      </c>
      <c r="C4419" t="s">
        <v>40</v>
      </c>
      <c r="D4419">
        <v>4.4624480000000002</v>
      </c>
      <c r="E4419">
        <v>0.53802369999999899</v>
      </c>
      <c r="F4419" t="s">
        <v>71</v>
      </c>
      <c r="G4419">
        <v>-422.1825</v>
      </c>
      <c r="H4419" s="1">
        <v>-1.459186E-6</v>
      </c>
      <c r="I4419">
        <v>37.805520000000001</v>
      </c>
      <c r="J4419">
        <v>-421.26519999999999</v>
      </c>
      <c r="K4419">
        <v>1.109145</v>
      </c>
      <c r="L4419">
        <v>64.138400000000004</v>
      </c>
      <c r="M4419">
        <v>1.50186E-2</v>
      </c>
      <c r="N4419">
        <v>0</v>
      </c>
      <c r="O4419">
        <v>-0.99985800000000002</v>
      </c>
      <c r="P4419">
        <v>-1.4620640000000001E-2</v>
      </c>
      <c r="Q4419">
        <v>4.6706560000000001E-2</v>
      </c>
      <c r="R4419">
        <v>-0.99880179999999996</v>
      </c>
      <c r="S4419">
        <v>-0.1030273</v>
      </c>
      <c r="T4419">
        <v>-0.1252048</v>
      </c>
      <c r="U4419">
        <v>-3.0079959999999999</v>
      </c>
      <c r="V4419">
        <v>2.963381E-2</v>
      </c>
      <c r="W4419">
        <v>5.436154E-2</v>
      </c>
      <c r="X4419">
        <v>0.99808149999999995</v>
      </c>
      <c r="Y4419">
        <v>4.9207910000000001E-2</v>
      </c>
      <c r="Z4419">
        <v>4.15436E-2</v>
      </c>
      <c r="AA4419">
        <v>0.99792420000000004</v>
      </c>
      <c r="AB4419">
        <v>26</v>
      </c>
      <c r="AC4419">
        <v>-0.917300000000011</v>
      </c>
      <c r="AD4419">
        <v>-1.1091464591859901</v>
      </c>
      <c r="AE4419">
        <v>-26.332879999999999</v>
      </c>
      <c r="AF4419">
        <v>1.3103691559169299</v>
      </c>
      <c r="AG4419">
        <v>-1.1091464591859901</v>
      </c>
      <c r="AH4419">
        <v>26.269584190490601</v>
      </c>
      <c r="AI4419">
        <v>92.414690492591504</v>
      </c>
      <c r="AJ4419">
        <v>87.144361139955805</v>
      </c>
      <c r="AK4419">
        <v>26.325621108227899</v>
      </c>
      <c r="AL4419">
        <v>86.883777103128395</v>
      </c>
      <c r="AM4419">
        <v>88.299343704345105</v>
      </c>
      <c r="AN4419">
        <v>1.0000000101842601</v>
      </c>
    </row>
    <row r="4420" spans="1:40" x14ac:dyDescent="0.25">
      <c r="A4420" t="str">
        <f>"20190312154648434"</f>
        <v>20190312154648434</v>
      </c>
      <c r="B4420" t="str">
        <f>"1552376808422203"</f>
        <v>1552376808422203</v>
      </c>
      <c r="C4420" t="s">
        <v>40</v>
      </c>
      <c r="D4420">
        <v>4.4581689999999998</v>
      </c>
      <c r="E4420">
        <v>0.53908959999999995</v>
      </c>
      <c r="F4420" t="s">
        <v>42</v>
      </c>
      <c r="G4420">
        <v>-423.37909999999999</v>
      </c>
      <c r="H4420" s="1">
        <v>-3.2164659999999999E-6</v>
      </c>
      <c r="I4420">
        <v>44.990940000000002</v>
      </c>
      <c r="J4420">
        <v>-421.26150000000001</v>
      </c>
      <c r="K4420">
        <v>1.109129</v>
      </c>
      <c r="L4420">
        <v>63.877809999999997</v>
      </c>
      <c r="M4420">
        <v>1.485642E-2</v>
      </c>
      <c r="N4420">
        <v>0</v>
      </c>
      <c r="O4420">
        <v>-0.99985959999999996</v>
      </c>
      <c r="P4420">
        <v>-1.5167170000000001E-2</v>
      </c>
      <c r="Q4420">
        <v>4.7205539999999997E-2</v>
      </c>
      <c r="R4420">
        <v>-0.99876989999999999</v>
      </c>
      <c r="S4420">
        <v>-0.33197019999999999</v>
      </c>
      <c r="T4420">
        <v>-0.17417939999999901</v>
      </c>
      <c r="U4420">
        <v>-3.0068969999999999</v>
      </c>
      <c r="V4420">
        <v>3.0022070000000001E-2</v>
      </c>
      <c r="W4420">
        <v>5.4925269999999998E-2</v>
      </c>
      <c r="X4420">
        <v>0.99803900000000001</v>
      </c>
      <c r="Y4420">
        <v>0.12431</v>
      </c>
      <c r="Z4420">
        <v>5.7421949999999999E-2</v>
      </c>
      <c r="AA4420">
        <v>0.99058049999999997</v>
      </c>
      <c r="AB4420">
        <v>26</v>
      </c>
      <c r="AC4420">
        <v>-2.1175999999999799</v>
      </c>
      <c r="AD4420">
        <v>-1.109132216466</v>
      </c>
      <c r="AE4420">
        <v>-18.886869999999899</v>
      </c>
      <c r="AF4420">
        <v>2.3898266724242001</v>
      </c>
      <c r="AG4420">
        <v>-1.109132216466</v>
      </c>
      <c r="AH4420">
        <v>18.789331560531199</v>
      </c>
      <c r="AI4420">
        <v>93.351306699965207</v>
      </c>
      <c r="AJ4420">
        <v>82.751435020737802</v>
      </c>
      <c r="AK4420">
        <v>18.9731501414342</v>
      </c>
      <c r="AL4420">
        <v>86.851429321405007</v>
      </c>
      <c r="AM4420">
        <v>88.277001849666505</v>
      </c>
      <c r="AN4420">
        <v>0.99999997774632798</v>
      </c>
    </row>
    <row r="4421" spans="1:40" x14ac:dyDescent="0.25">
      <c r="A4421" t="str">
        <f>"20190312154648453"</f>
        <v>20190312154648453</v>
      </c>
      <c r="B4421" t="str">
        <f>"1552376808441723"</f>
        <v>1552376808441723</v>
      </c>
      <c r="C4421" t="s">
        <v>40</v>
      </c>
      <c r="D4421">
        <v>4.4184049999999999</v>
      </c>
      <c r="E4421">
        <v>0.53994679999999995</v>
      </c>
      <c r="F4421" t="s">
        <v>42</v>
      </c>
      <c r="G4421">
        <v>-423.41199999999998</v>
      </c>
      <c r="H4421" s="1">
        <v>-3.2210519999999999E-6</v>
      </c>
      <c r="I4421">
        <v>44.98124</v>
      </c>
      <c r="J4421">
        <v>-421.25830000000002</v>
      </c>
      <c r="K4421">
        <v>1.1091169999999999</v>
      </c>
      <c r="L4421">
        <v>63.65616</v>
      </c>
      <c r="M4421">
        <v>1.468324E-2</v>
      </c>
      <c r="N4421">
        <v>0</v>
      </c>
      <c r="O4421">
        <v>-0.99986180000000002</v>
      </c>
      <c r="P4421">
        <v>-1.522504E-2</v>
      </c>
      <c r="Q4421">
        <v>4.7611710000000002E-2</v>
      </c>
      <c r="R4421">
        <v>-0.99874989999999997</v>
      </c>
      <c r="S4421">
        <v>-0.34219359999999999</v>
      </c>
      <c r="T4421">
        <v>-0.176485999999999</v>
      </c>
      <c r="U4421">
        <v>-3.0068359999999998</v>
      </c>
      <c r="V4421">
        <v>2.9910409999999998E-2</v>
      </c>
      <c r="W4421">
        <v>5.5389479999999998E-2</v>
      </c>
      <c r="X4421">
        <v>0.99801669999999998</v>
      </c>
      <c r="Y4421">
        <v>0.12746109999999999</v>
      </c>
      <c r="Z4421">
        <v>5.8158550000000003E-2</v>
      </c>
      <c r="AA4421">
        <v>0.99013700000000004</v>
      </c>
      <c r="AB4421">
        <v>27</v>
      </c>
      <c r="AC4421">
        <v>-2.15369999999995</v>
      </c>
      <c r="AD4421">
        <v>-1.1091202210519999</v>
      </c>
      <c r="AE4421">
        <v>-18.67492</v>
      </c>
      <c r="AF4421">
        <v>2.4192630641128199</v>
      </c>
      <c r="AG4421">
        <v>-1.1091202210519999</v>
      </c>
      <c r="AH4421">
        <v>18.576617522867501</v>
      </c>
      <c r="AI4421">
        <v>93.388253946170806</v>
      </c>
      <c r="AJ4421">
        <v>82.580037747465198</v>
      </c>
      <c r="AK4421">
        <v>18.7662915896837</v>
      </c>
      <c r="AL4421">
        <v>86.824791503403205</v>
      </c>
      <c r="AM4421">
        <v>88.283367960018495</v>
      </c>
      <c r="AN4421">
        <v>0.99999998029996395</v>
      </c>
    </row>
    <row r="4422" spans="1:40" x14ac:dyDescent="0.25">
      <c r="A4422" t="str">
        <f>"20190312154648472"</f>
        <v>20190312154648472</v>
      </c>
      <c r="B4422" t="str">
        <f>"1552376808462219"</f>
        <v>1552376808462219</v>
      </c>
      <c r="C4422" t="s">
        <v>40</v>
      </c>
      <c r="D4422">
        <v>4.4217559999999896</v>
      </c>
      <c r="E4422">
        <v>0.54015000000000002</v>
      </c>
      <c r="F4422" t="s">
        <v>42</v>
      </c>
      <c r="G4422">
        <v>-423.48410000000001</v>
      </c>
      <c r="H4422" s="1">
        <v>-3.018339E-6</v>
      </c>
      <c r="I4422">
        <v>44.464010000000002</v>
      </c>
      <c r="J4422">
        <v>-421.25510000000003</v>
      </c>
      <c r="K4422">
        <v>1.109097</v>
      </c>
      <c r="L4422">
        <v>63.417909999999999</v>
      </c>
      <c r="M4422">
        <v>1.445718E-2</v>
      </c>
      <c r="N4422">
        <v>0</v>
      </c>
      <c r="O4422">
        <v>-0.99986450000000004</v>
      </c>
      <c r="P4422">
        <v>-1.5323760000000001E-2</v>
      </c>
      <c r="Q4422">
        <v>4.8259910000000003E-2</v>
      </c>
      <c r="R4422">
        <v>-0.99871699999999997</v>
      </c>
      <c r="S4422">
        <v>-0.3486938</v>
      </c>
      <c r="T4422">
        <v>-0.17375889999999999</v>
      </c>
      <c r="U4422">
        <v>-3.0067140000000001</v>
      </c>
      <c r="V4422">
        <v>2.9787250000000001E-2</v>
      </c>
      <c r="W4422">
        <v>5.6104099999999997E-2</v>
      </c>
      <c r="X4422">
        <v>0.99798050000000005</v>
      </c>
      <c r="Y4422">
        <v>0.1293599</v>
      </c>
      <c r="Z4422">
        <v>5.7251349999999999E-2</v>
      </c>
      <c r="AA4422">
        <v>0.98994360000000003</v>
      </c>
      <c r="AB4422">
        <v>27</v>
      </c>
      <c r="AC4422">
        <v>-2.2289999999999801</v>
      </c>
      <c r="AD4422">
        <v>-1.1091000183390001</v>
      </c>
      <c r="AE4422">
        <v>-18.953900000000001</v>
      </c>
      <c r="AF4422">
        <v>2.4943710438592399</v>
      </c>
      <c r="AG4422">
        <v>-1.1091000183390001</v>
      </c>
      <c r="AH4422">
        <v>18.856009155319502</v>
      </c>
      <c r="AI4422">
        <v>93.337221090212907</v>
      </c>
      <c r="AJ4422">
        <v>82.464369055235693</v>
      </c>
      <c r="AK4422">
        <v>19.052586990238801</v>
      </c>
      <c r="AL4422">
        <v>86.783783130642803</v>
      </c>
      <c r="AM4422">
        <v>88.290370237538397</v>
      </c>
      <c r="AN4422">
        <v>1.00000001433981</v>
      </c>
    </row>
    <row r="4423" spans="1:40" x14ac:dyDescent="0.25">
      <c r="A4423" t="str">
        <f>"20190312154648495"</f>
        <v>20190312154648495</v>
      </c>
      <c r="B4423" t="str">
        <f>"1552376808481739"</f>
        <v>1552376808481739</v>
      </c>
      <c r="C4423" t="s">
        <v>40</v>
      </c>
      <c r="D4423">
        <v>4.4183579999999996</v>
      </c>
      <c r="E4423">
        <v>0.54055569999999997</v>
      </c>
      <c r="F4423" t="s">
        <v>42</v>
      </c>
      <c r="G4423">
        <v>-423.51749999999998</v>
      </c>
      <c r="H4423" s="1">
        <v>-2.843518E-6</v>
      </c>
      <c r="I4423">
        <v>44.035730000000001</v>
      </c>
      <c r="J4423">
        <v>-421.25150000000002</v>
      </c>
      <c r="K4423">
        <v>1.109064</v>
      </c>
      <c r="L4423">
        <v>63.154820000000001</v>
      </c>
      <c r="M4423">
        <v>1.416007E-2</v>
      </c>
      <c r="N4423">
        <v>0</v>
      </c>
      <c r="O4423">
        <v>-0.99986810000000004</v>
      </c>
      <c r="P4423">
        <v>-1.5699970000000001E-2</v>
      </c>
      <c r="Q4423">
        <v>4.827762E-2</v>
      </c>
      <c r="R4423">
        <v>-0.9987106</v>
      </c>
      <c r="S4423">
        <v>-0.35098269999999998</v>
      </c>
      <c r="T4423">
        <v>-0.1720556</v>
      </c>
      <c r="U4423">
        <v>-3.0067750000000002</v>
      </c>
      <c r="V4423">
        <v>2.9871419999999999E-2</v>
      </c>
      <c r="W4423">
        <v>5.6200269999999997E-2</v>
      </c>
      <c r="X4423">
        <v>0.99797250000000004</v>
      </c>
      <c r="Y4423">
        <v>0.12981019999999999</v>
      </c>
      <c r="Z4423">
        <v>5.6687050000000003E-2</v>
      </c>
      <c r="AA4423">
        <v>0.98991709999999999</v>
      </c>
      <c r="AB4423">
        <v>27</v>
      </c>
      <c r="AC4423">
        <v>-2.26599999999996</v>
      </c>
      <c r="AD4423">
        <v>-1.109066843518</v>
      </c>
      <c r="AE4423">
        <v>-19.11909</v>
      </c>
      <c r="AF4423">
        <v>2.5281198173569299</v>
      </c>
      <c r="AG4423">
        <v>-1.109066843518</v>
      </c>
      <c r="AH4423">
        <v>19.021963651506798</v>
      </c>
      <c r="AI4423">
        <v>93.307805489464599</v>
      </c>
      <c r="AJ4423">
        <v>82.429454015399301</v>
      </c>
      <c r="AK4423">
        <v>19.221251786331401</v>
      </c>
      <c r="AL4423">
        <v>86.778264052911396</v>
      </c>
      <c r="AM4423">
        <v>88.285528470868897</v>
      </c>
      <c r="AN4423">
        <v>0.99999994141856796</v>
      </c>
    </row>
    <row r="4424" spans="1:40" x14ac:dyDescent="0.25">
      <c r="A4424" t="str">
        <f>"20190312154648518"</f>
        <v>20190312154648518</v>
      </c>
      <c r="B4424" t="str">
        <f>"1552376808511995"</f>
        <v>1552376808511995</v>
      </c>
      <c r="C4424" t="s">
        <v>40</v>
      </c>
      <c r="D4424">
        <v>4.4528280000000002</v>
      </c>
      <c r="E4424">
        <v>0.54097379999999995</v>
      </c>
      <c r="F4424" t="s">
        <v>42</v>
      </c>
      <c r="G4424">
        <v>-423.5367</v>
      </c>
      <c r="H4424" s="1">
        <v>-2.738006E-6</v>
      </c>
      <c r="I4424">
        <v>43.777889999999999</v>
      </c>
      <c r="J4424">
        <v>-421.24799999999999</v>
      </c>
      <c r="K4424">
        <v>1.1090409999999999</v>
      </c>
      <c r="L4424">
        <v>62.880679999999998</v>
      </c>
      <c r="M4424">
        <v>1.380237E-2</v>
      </c>
      <c r="N4424">
        <v>0</v>
      </c>
      <c r="O4424">
        <v>-0.99987239999999999</v>
      </c>
      <c r="P4424">
        <v>-1.6718239999999999E-2</v>
      </c>
      <c r="Q4424">
        <v>4.8415159999999999E-2</v>
      </c>
      <c r="R4424">
        <v>-0.99868729999999994</v>
      </c>
      <c r="S4424">
        <v>-0.3545837</v>
      </c>
      <c r="T4424">
        <v>-0.1720884</v>
      </c>
      <c r="U4424">
        <v>-3.0066220000000001</v>
      </c>
      <c r="V4424">
        <v>3.053726E-2</v>
      </c>
      <c r="W4424">
        <v>5.642784E-2</v>
      </c>
      <c r="X4424">
        <v>0.99793960000000004</v>
      </c>
      <c r="Y4424">
        <v>0.13063069999999999</v>
      </c>
      <c r="Z4424">
        <v>5.6694080000000001E-2</v>
      </c>
      <c r="AA4424">
        <v>0.98980869999999999</v>
      </c>
      <c r="AB4424">
        <v>27</v>
      </c>
      <c r="AC4424">
        <v>-2.28869999999994</v>
      </c>
      <c r="AD4424">
        <v>-1.1090437380060001</v>
      </c>
      <c r="AE4424">
        <v>-19.102789999999999</v>
      </c>
      <c r="AF4424">
        <v>2.5437018692720801</v>
      </c>
      <c r="AG4424">
        <v>-1.1090437380060001</v>
      </c>
      <c r="AH4424">
        <v>19.006224384155399</v>
      </c>
      <c r="AI4424">
        <v>93.310067343530207</v>
      </c>
      <c r="AJ4424">
        <v>82.377105835531495</v>
      </c>
      <c r="AK4424">
        <v>19.2077318430212</v>
      </c>
      <c r="AL4424">
        <v>86.765204831518901</v>
      </c>
      <c r="AM4424">
        <v>88.2472783835629</v>
      </c>
      <c r="AN4424">
        <v>1.00000003531176</v>
      </c>
    </row>
    <row r="4425" spans="1:40" x14ac:dyDescent="0.25">
      <c r="A4425" t="str">
        <f>"20190312154648542"</f>
        <v>20190312154648542</v>
      </c>
      <c r="B4425" t="str">
        <f>"1552376808532491"</f>
        <v>1552376808532491</v>
      </c>
      <c r="C4425" t="s">
        <v>40</v>
      </c>
      <c r="D4425">
        <v>4.4168839999999996</v>
      </c>
      <c r="E4425">
        <v>0.54122230000000005</v>
      </c>
      <c r="F4425" t="s">
        <v>42</v>
      </c>
      <c r="G4425">
        <v>-423.56560000000002</v>
      </c>
      <c r="H4425" s="1">
        <v>-2.6685969999999999E-6</v>
      </c>
      <c r="I4425">
        <v>43.598170000000003</v>
      </c>
      <c r="J4425">
        <v>-421.24470000000002</v>
      </c>
      <c r="K4425">
        <v>1.1090180000000001</v>
      </c>
      <c r="L4425">
        <v>62.604680000000002</v>
      </c>
      <c r="M4425">
        <v>1.339534E-2</v>
      </c>
      <c r="N4425">
        <v>0</v>
      </c>
      <c r="O4425">
        <v>-0.99987729999999997</v>
      </c>
      <c r="P4425">
        <v>-1.7580950000000001E-2</v>
      </c>
      <c r="Q4425">
        <v>4.838543E-2</v>
      </c>
      <c r="R4425">
        <v>-0.99867430000000001</v>
      </c>
      <c r="S4425">
        <v>-0.36132809999999999</v>
      </c>
      <c r="T4425">
        <v>-0.17290820000000001</v>
      </c>
      <c r="U4425">
        <v>-3.0062869999999999</v>
      </c>
      <c r="V4425">
        <v>3.09982E-2</v>
      </c>
      <c r="W4425">
        <v>5.6495440000000001E-2</v>
      </c>
      <c r="X4425">
        <v>0.99792150000000002</v>
      </c>
      <c r="Y4425">
        <v>0.13242760000000001</v>
      </c>
      <c r="Z4425">
        <v>5.6955739999999998E-2</v>
      </c>
      <c r="AA4425">
        <v>0.98955490000000002</v>
      </c>
      <c r="AB4425">
        <v>27</v>
      </c>
      <c r="AC4425">
        <v>-2.3208999999999902</v>
      </c>
      <c r="AD4425">
        <v>-1.1090206685969899</v>
      </c>
      <c r="AE4425">
        <v>-19.006509999999999</v>
      </c>
      <c r="AF4425">
        <v>2.5666884826654499</v>
      </c>
      <c r="AG4425">
        <v>-1.1090206685969899</v>
      </c>
      <c r="AH4425">
        <v>18.910277060530301</v>
      </c>
      <c r="AI4425">
        <v>93.325922963206807</v>
      </c>
      <c r="AJ4425">
        <v>82.270489109881595</v>
      </c>
      <c r="AK4425">
        <v>19.115867626567201</v>
      </c>
      <c r="AL4425">
        <v>86.761325242059499</v>
      </c>
      <c r="AM4425">
        <v>88.220806823254193</v>
      </c>
      <c r="AN4425">
        <v>0.99999997165314103</v>
      </c>
    </row>
    <row r="4426" spans="1:40" x14ac:dyDescent="0.25">
      <c r="A4426" t="str">
        <f>"20190312154648566"</f>
        <v>20190312154648566</v>
      </c>
      <c r="B4426" t="str">
        <f>"1552376808561771"</f>
        <v>1552376808561771</v>
      </c>
      <c r="C4426" t="s">
        <v>40</v>
      </c>
      <c r="D4426">
        <v>4.4625949999999897</v>
      </c>
      <c r="E4426">
        <v>0.54115740000000001</v>
      </c>
      <c r="F4426" t="s">
        <v>42</v>
      </c>
      <c r="G4426">
        <v>-423.56880000000001</v>
      </c>
      <c r="H4426" s="1">
        <v>-2.6238650000000001E-6</v>
      </c>
      <c r="I4426">
        <v>43.491900000000001</v>
      </c>
      <c r="J4426">
        <v>-421.24110000000002</v>
      </c>
      <c r="K4426">
        <v>1.1089960000000001</v>
      </c>
      <c r="L4426">
        <v>62.304470000000002</v>
      </c>
      <c r="M4426">
        <v>1.2898099999999999E-2</v>
      </c>
      <c r="N4426">
        <v>0</v>
      </c>
      <c r="O4426">
        <v>-0.99988279999999996</v>
      </c>
      <c r="P4426">
        <v>-1.8625269999999999E-2</v>
      </c>
      <c r="Q4426">
        <v>4.8240869999999998E-2</v>
      </c>
      <c r="R4426">
        <v>-0.99866220000000006</v>
      </c>
      <c r="S4426">
        <v>-0.36553960000000002</v>
      </c>
      <c r="T4426">
        <v>-0.17442240000000001</v>
      </c>
      <c r="U4426">
        <v>-3.0059809999999998</v>
      </c>
      <c r="V4426">
        <v>3.1550750000000002E-2</v>
      </c>
      <c r="W4426">
        <v>5.6463550000000001E-2</v>
      </c>
      <c r="X4426">
        <v>0.99790599999999996</v>
      </c>
      <c r="Y4426">
        <v>0.1333095</v>
      </c>
      <c r="Z4426">
        <v>5.745099E-2</v>
      </c>
      <c r="AA4426">
        <v>0.98940790000000001</v>
      </c>
      <c r="AB4426">
        <v>27</v>
      </c>
      <c r="AC4426">
        <v>-2.3276999999999899</v>
      </c>
      <c r="AD4426">
        <v>-1.10899862386499</v>
      </c>
      <c r="AE4426">
        <v>-18.812569999999901</v>
      </c>
      <c r="AF4426">
        <v>2.5613941681614598</v>
      </c>
      <c r="AG4426">
        <v>-1.10899862386499</v>
      </c>
      <c r="AH4426">
        <v>18.7169188809475</v>
      </c>
      <c r="AI4426">
        <v>93.359634929804699</v>
      </c>
      <c r="AJ4426">
        <v>82.207526523156901</v>
      </c>
      <c r="AK4426">
        <v>18.9238915244301</v>
      </c>
      <c r="AL4426">
        <v>86.763155364388695</v>
      </c>
      <c r="AM4426">
        <v>88.189085120880705</v>
      </c>
      <c r="AN4426">
        <v>0.99999998357008202</v>
      </c>
    </row>
    <row r="4427" spans="1:40" x14ac:dyDescent="0.25">
      <c r="A4427" t="str">
        <f>"20190312154648608"</f>
        <v>20190312154648608</v>
      </c>
      <c r="B4427" t="str">
        <f>"1552376808601787"</f>
        <v>1552376808601787</v>
      </c>
      <c r="C4427" t="s">
        <v>40</v>
      </c>
      <c r="D4427">
        <v>4.4812339999999997</v>
      </c>
      <c r="E4427">
        <v>0.54115550000000001</v>
      </c>
      <c r="F4427" t="s">
        <v>42</v>
      </c>
      <c r="G4427">
        <v>-423.5059</v>
      </c>
      <c r="H4427" s="1">
        <v>-2.739522E-6</v>
      </c>
      <c r="I4427">
        <v>43.80057</v>
      </c>
      <c r="J4427">
        <v>-421.23570000000001</v>
      </c>
      <c r="K4427">
        <v>1.10897</v>
      </c>
      <c r="L4427">
        <v>61.796419999999998</v>
      </c>
      <c r="M4427">
        <v>1.1949080000000001E-2</v>
      </c>
      <c r="N4427">
        <v>0</v>
      </c>
      <c r="O4427">
        <v>-0.99989269999999997</v>
      </c>
      <c r="P4427">
        <v>-1.9962899999999999E-2</v>
      </c>
      <c r="Q4427">
        <v>4.8200159999999999E-2</v>
      </c>
      <c r="R4427">
        <v>-0.99863829999999998</v>
      </c>
      <c r="S4427">
        <v>-0.36788939999999998</v>
      </c>
      <c r="T4427">
        <v>-0.1801509</v>
      </c>
      <c r="U4427">
        <v>-3.0058590000000001</v>
      </c>
      <c r="V4427">
        <v>3.1948079999999997E-2</v>
      </c>
      <c r="W4427">
        <v>5.6639689999999999E-2</v>
      </c>
      <c r="X4427">
        <v>0.99788339999999998</v>
      </c>
      <c r="Y4427">
        <v>0.1331225</v>
      </c>
      <c r="Z4427">
        <v>5.9332629999999997E-2</v>
      </c>
      <c r="AA4427">
        <v>0.98932200000000003</v>
      </c>
      <c r="AB4427">
        <v>27</v>
      </c>
      <c r="AC4427">
        <v>-2.27019999999998</v>
      </c>
      <c r="AD4427">
        <v>-1.1089727395219999</v>
      </c>
      <c r="AE4427">
        <v>-17.995849999999901</v>
      </c>
      <c r="AF4427">
        <v>2.4758248364668498</v>
      </c>
      <c r="AG4427">
        <v>-1.1089727395219999</v>
      </c>
      <c r="AH4427">
        <v>17.900525086757501</v>
      </c>
      <c r="AI4427">
        <v>93.511710489575293</v>
      </c>
      <c r="AJ4427">
        <v>82.125369959375803</v>
      </c>
      <c r="AK4427">
        <v>18.104925504942202</v>
      </c>
      <c r="AL4427">
        <v>86.753047185764601</v>
      </c>
      <c r="AM4427">
        <v>88.166253586635094</v>
      </c>
      <c r="AN4427">
        <v>1.0000000071472701</v>
      </c>
    </row>
    <row r="4428" spans="1:40" x14ac:dyDescent="0.25">
      <c r="A4428" t="str">
        <f>"20190312154648634"</f>
        <v>20190312154648634</v>
      </c>
      <c r="B4428" t="str">
        <f>"1552376808622282"</f>
        <v>1552376808622282</v>
      </c>
      <c r="C4428" t="s">
        <v>40</v>
      </c>
      <c r="D4428">
        <v>4.4247030000000001</v>
      </c>
      <c r="E4428">
        <v>0.49677060000000001</v>
      </c>
      <c r="F4428" t="s">
        <v>42</v>
      </c>
      <c r="G4428">
        <v>-423.46539999999999</v>
      </c>
      <c r="H4428" s="1">
        <v>-2.7094709999999999E-6</v>
      </c>
      <c r="I4428">
        <v>43.755629999999996</v>
      </c>
      <c r="J4428">
        <v>-421.23259999999999</v>
      </c>
      <c r="K4428">
        <v>1.1089639999999901</v>
      </c>
      <c r="L4428">
        <v>61.476930000000003</v>
      </c>
      <c r="M4428">
        <v>1.1300080000000001E-2</v>
      </c>
      <c r="N4428">
        <v>0</v>
      </c>
      <c r="O4428">
        <v>-0.99989899999999998</v>
      </c>
      <c r="P4428">
        <v>-2.0098040000000001E-2</v>
      </c>
      <c r="Q4428">
        <v>4.8710629999999998E-2</v>
      </c>
      <c r="R4428">
        <v>-0.99861080000000002</v>
      </c>
      <c r="S4428">
        <v>-0.37146000000000001</v>
      </c>
      <c r="T4428">
        <v>-0.18475430000000001</v>
      </c>
      <c r="U4428">
        <v>-3.005585</v>
      </c>
      <c r="V4428">
        <v>3.1439250000000002E-2</v>
      </c>
      <c r="W4428">
        <v>5.7292849999999999E-2</v>
      </c>
      <c r="X4428">
        <v>0.99786229999999998</v>
      </c>
      <c r="Y4428">
        <v>0.1336367</v>
      </c>
      <c r="Z4428">
        <v>6.0842849999999997E-2</v>
      </c>
      <c r="AA4428">
        <v>0.98916099999999996</v>
      </c>
      <c r="AB4428">
        <v>27</v>
      </c>
      <c r="AC4428">
        <v>-2.2327999999999899</v>
      </c>
      <c r="AD4428">
        <v>-1.1089667094709901</v>
      </c>
      <c r="AE4428">
        <v>-17.721299999999999</v>
      </c>
      <c r="AF4428">
        <v>2.4235744998139199</v>
      </c>
      <c r="AG4428">
        <v>-1.1089667094709901</v>
      </c>
      <c r="AH4428">
        <v>17.626987581763501</v>
      </c>
      <c r="AI4428">
        <v>93.566440412991895</v>
      </c>
      <c r="AJ4428">
        <v>82.171358283685294</v>
      </c>
      <c r="AK4428">
        <v>17.827344494525999</v>
      </c>
      <c r="AL4428">
        <v>86.715563090004295</v>
      </c>
      <c r="AM4428">
        <v>88.195401661070903</v>
      </c>
      <c r="AN4428">
        <v>1.00000003343148</v>
      </c>
    </row>
    <row r="4429" spans="1:40" x14ac:dyDescent="0.25">
      <c r="A4429" t="str">
        <f>"20190312154648653"</f>
        <v>20190312154648653</v>
      </c>
      <c r="B4429" t="str">
        <f>"1552376808641803"</f>
        <v>1552376808641803</v>
      </c>
      <c r="C4429" t="s">
        <v>40</v>
      </c>
      <c r="D4429">
        <v>4.3731119999999999</v>
      </c>
      <c r="E4429">
        <v>0.48592980000000002</v>
      </c>
      <c r="F4429" t="s">
        <v>42</v>
      </c>
      <c r="G4429">
        <v>-421.35230000000001</v>
      </c>
      <c r="H4429" s="1">
        <v>-1.2436700000000001E-6</v>
      </c>
      <c r="I4429">
        <v>41.649389999999997</v>
      </c>
      <c r="J4429">
        <v>-421.23050000000001</v>
      </c>
      <c r="K4429">
        <v>1.1089659999999999</v>
      </c>
      <c r="L4429">
        <v>61.24756</v>
      </c>
      <c r="M4429">
        <v>1.0812509999999999E-2</v>
      </c>
      <c r="N4429">
        <v>0</v>
      </c>
      <c r="O4429">
        <v>-0.9999036</v>
      </c>
      <c r="P4429">
        <v>-2.010837E-2</v>
      </c>
      <c r="Q4429">
        <v>4.9502539999999998E-2</v>
      </c>
      <c r="R4429">
        <v>-0.99857149999999995</v>
      </c>
      <c r="S4429">
        <v>-1.818848E-2</v>
      </c>
      <c r="T4429">
        <v>-0.16846420000000001</v>
      </c>
      <c r="U4429">
        <v>-3.0120239999999998</v>
      </c>
      <c r="V4429">
        <v>3.0965679999999999E-2</v>
      </c>
      <c r="W4429">
        <v>5.8190659999999998E-2</v>
      </c>
      <c r="X4429">
        <v>0.99782510000000002</v>
      </c>
      <c r="Y4429">
        <v>1.6841459999999999E-2</v>
      </c>
      <c r="Z4429">
        <v>5.5833920000000002E-2</v>
      </c>
      <c r="AA4429">
        <v>0.99829800000000002</v>
      </c>
      <c r="AB4429">
        <v>27</v>
      </c>
      <c r="AC4429">
        <v>-0.121800000000007</v>
      </c>
      <c r="AD4429">
        <v>-1.10896724367</v>
      </c>
      <c r="AE4429">
        <v>-19.59817</v>
      </c>
      <c r="AF4429">
        <v>0.33264128905065898</v>
      </c>
      <c r="AG4429">
        <v>-1.10896724367</v>
      </c>
      <c r="AH4429">
        <v>19.533166617721999</v>
      </c>
      <c r="AI4429">
        <v>93.248926641071705</v>
      </c>
      <c r="AJ4429">
        <v>89.024372225697306</v>
      </c>
      <c r="AK4429">
        <v>19.5674489060379</v>
      </c>
      <c r="AL4429">
        <v>86.664036212224303</v>
      </c>
      <c r="AM4429">
        <v>88.222500567176894</v>
      </c>
      <c r="AN4429">
        <v>0.999999978219553</v>
      </c>
    </row>
    <row r="4430" spans="1:40" x14ac:dyDescent="0.25">
      <c r="A4430" t="str">
        <f>"20190312154648674"</f>
        <v>20190312154648674</v>
      </c>
      <c r="B4430" t="str">
        <f>"1552376808662299"</f>
        <v>1552376808662299</v>
      </c>
      <c r="C4430" t="s">
        <v>40</v>
      </c>
      <c r="D4430">
        <v>4.2750079999999997</v>
      </c>
      <c r="E4430">
        <v>0.48176210000000003</v>
      </c>
      <c r="F4430" t="s">
        <v>42</v>
      </c>
      <c r="G4430">
        <v>-420.74450000000002</v>
      </c>
      <c r="H4430" s="1">
        <v>-2.459135E-7</v>
      </c>
      <c r="I4430">
        <v>39.700569999999999</v>
      </c>
      <c r="J4430">
        <v>-421.22829999999999</v>
      </c>
      <c r="K4430">
        <v>1.108962</v>
      </c>
      <c r="L4430">
        <v>60.995570000000001</v>
      </c>
      <c r="M4430">
        <v>1.025064E-2</v>
      </c>
      <c r="N4430">
        <v>0</v>
      </c>
      <c r="O4430">
        <v>-0.99990809999999997</v>
      </c>
      <c r="P4430">
        <v>-1.9712690000000001E-2</v>
      </c>
      <c r="Q4430">
        <v>4.9954539999999999E-2</v>
      </c>
      <c r="R4430">
        <v>-0.99855669999999996</v>
      </c>
      <c r="S4430">
        <v>6.7962649999999999E-2</v>
      </c>
      <c r="T4430">
        <v>-0.15509000000000001</v>
      </c>
      <c r="U4430">
        <v>-3.0133670000000001</v>
      </c>
      <c r="V4430">
        <v>3.001243E-2</v>
      </c>
      <c r="W4430">
        <v>5.8770940000000001E-2</v>
      </c>
      <c r="X4430">
        <v>0.99782029999999999</v>
      </c>
      <c r="Y4430">
        <v>-1.2268579999999999E-2</v>
      </c>
      <c r="Z4430">
        <v>5.138682E-2</v>
      </c>
      <c r="AA4430">
        <v>0.99860349999999998</v>
      </c>
      <c r="AB4430">
        <v>27</v>
      </c>
      <c r="AC4430">
        <v>0.48379999999997297</v>
      </c>
      <c r="AD4430">
        <v>-1.1089622459135</v>
      </c>
      <c r="AE4430">
        <v>-21.294999999999899</v>
      </c>
      <c r="AF4430">
        <v>-0.26476096648788799</v>
      </c>
      <c r="AG4430">
        <v>-1.1089622459135</v>
      </c>
      <c r="AH4430">
        <v>21.241265469150001</v>
      </c>
      <c r="AI4430">
        <v>92.988348329215</v>
      </c>
      <c r="AJ4430">
        <v>90.714124139778804</v>
      </c>
      <c r="AK4430">
        <v>21.2718418187787</v>
      </c>
      <c r="AL4430">
        <v>86.630731892979497</v>
      </c>
      <c r="AM4430">
        <v>88.277177471906398</v>
      </c>
      <c r="AN4430">
        <v>1.0000000602175301</v>
      </c>
    </row>
    <row r="4431" spans="1:40" x14ac:dyDescent="0.25">
      <c r="A4431" t="str">
        <f>"20190312154648697"</f>
        <v>20190312154648697</v>
      </c>
      <c r="B4431" t="str">
        <f>"1552376808692555"</f>
        <v>1552376808692555</v>
      </c>
      <c r="C4431" t="s">
        <v>40</v>
      </c>
      <c r="D4431">
        <v>4.1783950000000001</v>
      </c>
      <c r="E4431">
        <v>0.47894880000000001</v>
      </c>
      <c r="F4431" t="s">
        <v>71</v>
      </c>
      <c r="G4431">
        <v>-420.48</v>
      </c>
      <c r="H4431" s="1">
        <v>-5.4605729999999995E-7</v>
      </c>
      <c r="I4431">
        <v>38.869160000000001</v>
      </c>
      <c r="J4431">
        <v>-421.22629999999998</v>
      </c>
      <c r="K4431">
        <v>1.1089580000000001</v>
      </c>
      <c r="L4431">
        <v>60.72824</v>
      </c>
      <c r="M4431">
        <v>9.6228519999999994E-3</v>
      </c>
      <c r="N4431">
        <v>0</v>
      </c>
      <c r="O4431">
        <v>-0.99991300000000005</v>
      </c>
      <c r="P4431">
        <v>-1.9645409999999999E-2</v>
      </c>
      <c r="Q4431">
        <v>4.9735960000000003E-2</v>
      </c>
      <c r="R4431">
        <v>-0.99856909999999999</v>
      </c>
      <c r="S4431">
        <v>0.1019287</v>
      </c>
      <c r="T4431">
        <v>-0.15105560000000001</v>
      </c>
      <c r="U4431">
        <v>-3.013916</v>
      </c>
      <c r="V4431">
        <v>2.9322000000000001E-2</v>
      </c>
      <c r="W4431">
        <v>5.8700479999999999E-2</v>
      </c>
      <c r="X4431">
        <v>0.99784490000000003</v>
      </c>
      <c r="Y4431">
        <v>-2.4138389999999999E-2</v>
      </c>
      <c r="Z4431">
        <v>5.0031510000000001E-2</v>
      </c>
      <c r="AA4431">
        <v>0.99845589999999995</v>
      </c>
      <c r="AB4431">
        <v>27</v>
      </c>
      <c r="AC4431">
        <v>0.74629999999996199</v>
      </c>
      <c r="AD4431">
        <v>-1.1089585460572999</v>
      </c>
      <c r="AE4431">
        <v>-21.859079999999999</v>
      </c>
      <c r="AF4431">
        <v>-0.53453602842553505</v>
      </c>
      <c r="AG4431">
        <v>-1.1089585460572999</v>
      </c>
      <c r="AH4431">
        <v>21.8091835545446</v>
      </c>
      <c r="AI4431">
        <v>92.910009974232906</v>
      </c>
      <c r="AJ4431">
        <v>91.404019909049495</v>
      </c>
      <c r="AK4431">
        <v>21.8439008681686</v>
      </c>
      <c r="AL4431">
        <v>86.634775682538901</v>
      </c>
      <c r="AM4431">
        <v>88.3168290673988</v>
      </c>
      <c r="AN4431">
        <v>0.99999998524611999</v>
      </c>
    </row>
    <row r="4432" spans="1:40" x14ac:dyDescent="0.25">
      <c r="A4432" t="str">
        <f>"20190312154648730"</f>
        <v>20190312154648730</v>
      </c>
      <c r="B4432" t="str">
        <f>"1552376808721835"</f>
        <v>1552376808721835</v>
      </c>
      <c r="C4432" t="s">
        <v>40</v>
      </c>
      <c r="D4432">
        <v>4.1113309999999998</v>
      </c>
      <c r="E4432">
        <v>0.47762510000000002</v>
      </c>
      <c r="F4432" t="s">
        <v>71</v>
      </c>
      <c r="G4432">
        <v>-420.31540000000001</v>
      </c>
      <c r="H4432" s="1">
        <v>-6.5828900000000003E-7</v>
      </c>
      <c r="I4432">
        <v>38.656529999999997</v>
      </c>
      <c r="J4432">
        <v>-421.2235</v>
      </c>
      <c r="K4432">
        <v>1.1089580000000001</v>
      </c>
      <c r="L4432">
        <v>60.318820000000002</v>
      </c>
      <c r="M4432">
        <v>8.5962959999999998E-3</v>
      </c>
      <c r="N4432">
        <v>0</v>
      </c>
      <c r="O4432">
        <v>-0.99992020000000004</v>
      </c>
      <c r="P4432">
        <v>-2.0437719999999999E-2</v>
      </c>
      <c r="Q4432">
        <v>5.0181940000000001E-2</v>
      </c>
      <c r="R4432">
        <v>-0.99853130000000001</v>
      </c>
      <c r="S4432">
        <v>0.1243896</v>
      </c>
      <c r="T4432">
        <v>-0.1514479</v>
      </c>
      <c r="U4432">
        <v>-3.0142820000000001</v>
      </c>
      <c r="V4432">
        <v>2.909637E-2</v>
      </c>
      <c r="W4432">
        <v>5.9395450000000002E-2</v>
      </c>
      <c r="X4432">
        <v>0.99781039999999999</v>
      </c>
      <c r="Y4432">
        <v>-3.258892E-2</v>
      </c>
      <c r="Z4432">
        <v>5.0142760000000001E-2</v>
      </c>
      <c r="AA4432">
        <v>0.99821029999999999</v>
      </c>
      <c r="AB4432">
        <v>27</v>
      </c>
      <c r="AC4432">
        <v>0.90809999999999003</v>
      </c>
      <c r="AD4432">
        <v>-1.1089586582890001</v>
      </c>
      <c r="AE4432">
        <v>-21.662289999999999</v>
      </c>
      <c r="AF4432">
        <v>-0.71995949924028302</v>
      </c>
      <c r="AG4432">
        <v>-1.1089586582890001</v>
      </c>
      <c r="AH4432">
        <v>21.612754374977499</v>
      </c>
      <c r="AI4432">
        <v>92.935666835491702</v>
      </c>
      <c r="AJ4432">
        <v>91.9079193651488</v>
      </c>
      <c r="AK4432">
        <v>21.6531587224463</v>
      </c>
      <c r="AL4432">
        <v>86.594887305489905</v>
      </c>
      <c r="AM4432">
        <v>88.329715826392004</v>
      </c>
      <c r="AN4432">
        <v>1.0000000062880099</v>
      </c>
    </row>
    <row r="4433" spans="1:40" x14ac:dyDescent="0.25">
      <c r="A4433" t="str">
        <f>"20190312154648752"</f>
        <v>20190312154648752</v>
      </c>
      <c r="B4433" t="str">
        <f>"1552376808742331"</f>
        <v>1552376808742331</v>
      </c>
      <c r="C4433" t="s">
        <v>40</v>
      </c>
      <c r="D4433">
        <v>4.0492249999999999</v>
      </c>
      <c r="E4433">
        <v>0.47698410000000002</v>
      </c>
      <c r="F4433" t="s">
        <v>71</v>
      </c>
      <c r="G4433">
        <v>-420.22379999999998</v>
      </c>
      <c r="H4433" s="1">
        <v>-1.306611E-6</v>
      </c>
      <c r="I4433">
        <v>37.616480000000003</v>
      </c>
      <c r="J4433">
        <v>-421.22190000000001</v>
      </c>
      <c r="K4433">
        <v>1.1089599999999999</v>
      </c>
      <c r="L4433">
        <v>60.045589999999997</v>
      </c>
      <c r="M4433">
        <v>7.8658269999999902E-3</v>
      </c>
      <c r="N4433">
        <v>0</v>
      </c>
      <c r="O4433">
        <v>-0.9999247</v>
      </c>
      <c r="P4433">
        <v>-2.1224630000000001E-2</v>
      </c>
      <c r="Q4433">
        <v>5.0365790000000001E-2</v>
      </c>
      <c r="R4433">
        <v>-0.99850550000000005</v>
      </c>
      <c r="S4433">
        <v>0.13275149999999999</v>
      </c>
      <c r="T4433">
        <v>-0.147253</v>
      </c>
      <c r="U4433">
        <v>-3.014526</v>
      </c>
      <c r="V4433">
        <v>2.9158719999999999E-2</v>
      </c>
      <c r="W4433">
        <v>5.9760059999999997E-2</v>
      </c>
      <c r="X4433">
        <v>0.99778679999999997</v>
      </c>
      <c r="Y4433">
        <v>-3.6082389999999999E-2</v>
      </c>
      <c r="Z4433">
        <v>4.8747930000000002E-2</v>
      </c>
      <c r="AA4433">
        <v>0.99815920000000002</v>
      </c>
      <c r="AB4433">
        <v>27</v>
      </c>
      <c r="AC4433">
        <v>0.99810000000002197</v>
      </c>
      <c r="AD4433">
        <v>-1.108961306611</v>
      </c>
      <c r="AE4433">
        <v>-22.429110000000001</v>
      </c>
      <c r="AF4433">
        <v>-0.81963806263584704</v>
      </c>
      <c r="AG4433">
        <v>-1.108961306611</v>
      </c>
      <c r="AH4433">
        <v>22.381661112671999</v>
      </c>
      <c r="AI4433">
        <v>92.834661123142197</v>
      </c>
      <c r="AJ4433">
        <v>92.097289604282494</v>
      </c>
      <c r="AK4433">
        <v>22.424102120169199</v>
      </c>
      <c r="AL4433">
        <v>86.573959484734701</v>
      </c>
      <c r="AM4433">
        <v>88.326099075305706</v>
      </c>
      <c r="AN4433">
        <v>0.99999999698874098</v>
      </c>
    </row>
    <row r="4434" spans="1:40" x14ac:dyDescent="0.25">
      <c r="A4434" t="str">
        <f>"20190312154648774"</f>
        <v>20190312154648774</v>
      </c>
      <c r="B4434" t="str">
        <f>"1552376808761852"</f>
        <v>1552376808761852</v>
      </c>
      <c r="C4434" t="s">
        <v>40</v>
      </c>
      <c r="D4434">
        <v>4.0340509999999998</v>
      </c>
      <c r="E4434">
        <v>0.47642679999999998</v>
      </c>
      <c r="F4434" t="s">
        <v>71</v>
      </c>
      <c r="G4434">
        <v>-420.18740000000003</v>
      </c>
      <c r="H4434" s="1">
        <v>-1.6782070000000001E-6</v>
      </c>
      <c r="I4434">
        <v>37.023910000000001</v>
      </c>
      <c r="J4434">
        <v>-421.22059999999999</v>
      </c>
      <c r="K4434">
        <v>1.1089599999999999</v>
      </c>
      <c r="L4434">
        <v>59.78049</v>
      </c>
      <c r="M4434">
        <v>7.124605E-3</v>
      </c>
      <c r="N4434">
        <v>0</v>
      </c>
      <c r="O4434">
        <v>-0.99992840000000005</v>
      </c>
      <c r="P4434">
        <v>-2.2115309999999999E-2</v>
      </c>
      <c r="Q4434">
        <v>5.0615269999999997E-2</v>
      </c>
      <c r="R4434">
        <v>-0.99847330000000001</v>
      </c>
      <c r="S4434">
        <v>0.13546749999999999</v>
      </c>
      <c r="T4434">
        <v>-0.1452194</v>
      </c>
      <c r="U4434">
        <v>-3.0147089999999999</v>
      </c>
      <c r="V4434">
        <v>2.931373E-2</v>
      </c>
      <c r="W4434">
        <v>6.0190340000000002E-2</v>
      </c>
      <c r="X4434">
        <v>0.99775639999999999</v>
      </c>
      <c r="Y4434">
        <v>-3.771944E-2</v>
      </c>
      <c r="Z4434">
        <v>4.8071370000000002E-2</v>
      </c>
      <c r="AA4434">
        <v>0.99813149999999995</v>
      </c>
      <c r="AB4434">
        <v>27</v>
      </c>
      <c r="AC4434">
        <v>1.0331999999999599</v>
      </c>
      <c r="AD4434">
        <v>-1.108961678207</v>
      </c>
      <c r="AE4434">
        <v>-22.75658</v>
      </c>
      <c r="AF4434">
        <v>-0.86897527753211801</v>
      </c>
      <c r="AG4434">
        <v>-1.108961678207</v>
      </c>
      <c r="AH4434">
        <v>22.7095451589189</v>
      </c>
      <c r="AI4434">
        <v>92.7936286478254</v>
      </c>
      <c r="AJ4434">
        <v>92.191340110667497</v>
      </c>
      <c r="AK4434">
        <v>22.753205386531199</v>
      </c>
      <c r="AL4434">
        <v>86.549261817315795</v>
      </c>
      <c r="AM4434">
        <v>88.317154349609197</v>
      </c>
      <c r="AN4434">
        <v>1.00000000276839</v>
      </c>
    </row>
    <row r="4435" spans="1:40" x14ac:dyDescent="0.25">
      <c r="A4435" t="str">
        <f>"20190312154648798"</f>
        <v>20190312154648798</v>
      </c>
      <c r="B4435" t="str">
        <f>"1552376808792107"</f>
        <v>1552376808792107</v>
      </c>
      <c r="C4435" t="s">
        <v>40</v>
      </c>
      <c r="D4435">
        <v>4.0131480000000002</v>
      </c>
      <c r="E4435">
        <v>0.47573670000000001</v>
      </c>
      <c r="F4435" t="s">
        <v>71</v>
      </c>
      <c r="G4435">
        <v>-420.16669999999999</v>
      </c>
      <c r="H4435" s="1">
        <v>-1.9274579999999999E-6</v>
      </c>
      <c r="I4435">
        <v>36.62724</v>
      </c>
      <c r="J4435">
        <v>-421.21949999999998</v>
      </c>
      <c r="K4435">
        <v>1.108959</v>
      </c>
      <c r="L4435">
        <v>59.480559999999997</v>
      </c>
      <c r="M4435">
        <v>6.2425140000000002E-3</v>
      </c>
      <c r="N4435">
        <v>0</v>
      </c>
      <c r="O4435">
        <v>-0.99993200000000004</v>
      </c>
      <c r="P4435">
        <v>-2.3120749999999999E-2</v>
      </c>
      <c r="Q4435">
        <v>5.1131410000000002E-2</v>
      </c>
      <c r="R4435">
        <v>-0.99842450000000005</v>
      </c>
      <c r="S4435">
        <v>0.13723750000000001</v>
      </c>
      <c r="T4435">
        <v>-0.14440610000000001</v>
      </c>
      <c r="U4435">
        <v>-3.0149539999999999</v>
      </c>
      <c r="V4435">
        <v>2.944364E-2</v>
      </c>
      <c r="W4435">
        <v>6.0929990000000003E-2</v>
      </c>
      <c r="X4435">
        <v>0.99770769999999998</v>
      </c>
      <c r="Y4435">
        <v>-3.9182660000000001E-2</v>
      </c>
      <c r="Z4435">
        <v>4.7797319999999997E-2</v>
      </c>
      <c r="AA4435">
        <v>0.99808819999999998</v>
      </c>
      <c r="AB4435">
        <v>27</v>
      </c>
      <c r="AC4435">
        <v>1.05279999999999</v>
      </c>
      <c r="AD4435">
        <v>-1.1089609274579999</v>
      </c>
      <c r="AE4435">
        <v>-22.85332</v>
      </c>
      <c r="AF4435">
        <v>-0.90797691583191598</v>
      </c>
      <c r="AG4435">
        <v>-1.1089609274579999</v>
      </c>
      <c r="AH4435">
        <v>22.805860079909099</v>
      </c>
      <c r="AI4435">
        <v>92.781679489048599</v>
      </c>
      <c r="AJ4435">
        <v>92.279930848993402</v>
      </c>
      <c r="AK4435">
        <v>22.850852728130398</v>
      </c>
      <c r="AL4435">
        <v>86.506805137049795</v>
      </c>
      <c r="AM4435">
        <v>88.309618320934007</v>
      </c>
      <c r="AN4435">
        <v>1.00000002312856</v>
      </c>
    </row>
    <row r="4436" spans="1:40" x14ac:dyDescent="0.25">
      <c r="A4436" t="str">
        <f>"20190312154648822"</f>
        <v>20190312154648822</v>
      </c>
      <c r="B4436" t="str">
        <f>"1552376808812603"</f>
        <v>1552376808812603</v>
      </c>
      <c r="C4436" t="s">
        <v>40</v>
      </c>
      <c r="D4436">
        <v>4.013941</v>
      </c>
      <c r="E4436">
        <v>0.47534399999999899</v>
      </c>
      <c r="F4436" t="s">
        <v>71</v>
      </c>
      <c r="G4436">
        <v>-420.13459999999998</v>
      </c>
      <c r="H4436" s="1">
        <v>-2.3375920000000001E-6</v>
      </c>
      <c r="I4436">
        <v>35.974969999999999</v>
      </c>
      <c r="J4436">
        <v>-421.21870000000001</v>
      </c>
      <c r="K4436">
        <v>1.108968</v>
      </c>
      <c r="L4436">
        <v>59.19415</v>
      </c>
      <c r="M4436">
        <v>5.3612249999999998E-3</v>
      </c>
      <c r="N4436">
        <v>0</v>
      </c>
      <c r="O4436">
        <v>-0.99993469999999995</v>
      </c>
      <c r="P4436">
        <v>-2.415374E-2</v>
      </c>
      <c r="Q4436">
        <v>5.1484639999999998E-2</v>
      </c>
      <c r="R4436">
        <v>-0.99838199999999999</v>
      </c>
      <c r="S4436">
        <v>0.13916020000000001</v>
      </c>
      <c r="T4436">
        <v>-0.1422542</v>
      </c>
      <c r="U4436">
        <v>-3.015228</v>
      </c>
      <c r="V4436">
        <v>2.9601760000000001E-2</v>
      </c>
      <c r="W4436">
        <v>6.1529199999999902E-2</v>
      </c>
      <c r="X4436">
        <v>0.99766619999999995</v>
      </c>
      <c r="Y4436">
        <v>-4.0695790000000003E-2</v>
      </c>
      <c r="Z4436">
        <v>4.7080650000000002E-2</v>
      </c>
      <c r="AA4436">
        <v>0.9980618</v>
      </c>
      <c r="AB4436">
        <v>27</v>
      </c>
      <c r="AC4436">
        <v>1.08410000000003</v>
      </c>
      <c r="AD4436">
        <v>-1.1089703375919999</v>
      </c>
      <c r="AE4436">
        <v>-23.219179999999898</v>
      </c>
      <c r="AF4436">
        <v>-0.95741561090245497</v>
      </c>
      <c r="AG4436">
        <v>-1.1089703375919999</v>
      </c>
      <c r="AH4436">
        <v>23.171915974295299</v>
      </c>
      <c r="AI4436">
        <v>92.737660220803406</v>
      </c>
      <c r="AJ4436">
        <v>92.365997253553502</v>
      </c>
      <c r="AK4436">
        <v>23.2181857555981</v>
      </c>
      <c r="AL4436">
        <v>86.472408230737798</v>
      </c>
      <c r="AM4436">
        <v>88.300475190228099</v>
      </c>
      <c r="AN4436">
        <v>0.99999997663508799</v>
      </c>
    </row>
    <row r="4437" spans="1:40" x14ac:dyDescent="0.25">
      <c r="A4437" t="str">
        <f>"20190312154648845"</f>
        <v>20190312154648845</v>
      </c>
      <c r="B4437" t="str">
        <f>"1552376808841883"</f>
        <v>1552376808841883</v>
      </c>
      <c r="C4437" t="s">
        <v>40</v>
      </c>
      <c r="D4437">
        <v>4.0131019999999999</v>
      </c>
      <c r="E4437">
        <v>0.47494789999999998</v>
      </c>
      <c r="F4437" t="s">
        <v>71</v>
      </c>
      <c r="G4437">
        <v>-420.12259999999998</v>
      </c>
      <c r="H4437" s="1">
        <v>-2.6937889999999998E-6</v>
      </c>
      <c r="I4437">
        <v>35.411940000000001</v>
      </c>
      <c r="J4437">
        <v>-421.21820000000002</v>
      </c>
      <c r="K4437">
        <v>1.108989</v>
      </c>
      <c r="L4437">
        <v>58.914549999999998</v>
      </c>
      <c r="M4437">
        <v>4.4722690000000001E-3</v>
      </c>
      <c r="N4437">
        <v>0</v>
      </c>
      <c r="O4437">
        <v>-0.99993600000000005</v>
      </c>
      <c r="P4437">
        <v>-2.5170990000000001E-2</v>
      </c>
      <c r="Q4437">
        <v>5.1537140000000002E-2</v>
      </c>
      <c r="R4437">
        <v>-0.99835399999999996</v>
      </c>
      <c r="S4437">
        <v>0.13897709999999999</v>
      </c>
      <c r="T4437">
        <v>-0.14061219999999999</v>
      </c>
      <c r="U4437">
        <v>-3.0154719999999999</v>
      </c>
      <c r="V4437">
        <v>2.9735950000000001E-2</v>
      </c>
      <c r="W4437">
        <v>6.186378E-2</v>
      </c>
      <c r="X4437">
        <v>0.99764160000000002</v>
      </c>
      <c r="Y4437">
        <v>-4.1521009999999997E-2</v>
      </c>
      <c r="Z4437">
        <v>4.6534209999999999E-2</v>
      </c>
      <c r="AA4437">
        <v>0.99805339999999998</v>
      </c>
      <c r="AB4437">
        <v>27</v>
      </c>
      <c r="AC4437">
        <v>1.0956000000000401</v>
      </c>
      <c r="AD4437">
        <v>-1.1089916937890001</v>
      </c>
      <c r="AE4437">
        <v>-23.502610000000001</v>
      </c>
      <c r="AF4437">
        <v>-0.988277734135946</v>
      </c>
      <c r="AG4437">
        <v>-1.1089916937890001</v>
      </c>
      <c r="AH4437">
        <v>23.4551651243492</v>
      </c>
      <c r="AI4437">
        <v>92.704609213425599</v>
      </c>
      <c r="AJ4437">
        <v>92.412716751513102</v>
      </c>
      <c r="AK4437">
        <v>23.502155783399299</v>
      </c>
      <c r="AL4437">
        <v>86.453201907906504</v>
      </c>
      <c r="AM4437">
        <v>88.2927334213866</v>
      </c>
      <c r="AN4437">
        <v>1.0000000580244199</v>
      </c>
    </row>
    <row r="4438" spans="1:40" x14ac:dyDescent="0.25">
      <c r="A4438" t="str">
        <f>"20190312154648864"</f>
        <v>20190312154648864</v>
      </c>
      <c r="B4438" t="str">
        <f>"1552376808852619"</f>
        <v>1552376808852619</v>
      </c>
      <c r="C4438" t="s">
        <v>40</v>
      </c>
      <c r="D4438">
        <v>4.0081790000000002</v>
      </c>
      <c r="E4438">
        <v>0.47476239999999997</v>
      </c>
      <c r="F4438" t="s">
        <v>71</v>
      </c>
      <c r="G4438">
        <v>-420.09960000000001</v>
      </c>
      <c r="H4438" s="1">
        <v>-3.1656989999999998E-6</v>
      </c>
      <c r="I4438">
        <v>34.664470000000001</v>
      </c>
      <c r="J4438">
        <v>-421.21789999999999</v>
      </c>
      <c r="K4438">
        <v>1.1090169999999999</v>
      </c>
      <c r="L4438">
        <v>58.686309999999999</v>
      </c>
      <c r="M4438">
        <v>3.726601E-3</v>
      </c>
      <c r="N4438">
        <v>0</v>
      </c>
      <c r="O4438">
        <v>-0.9999363</v>
      </c>
      <c r="P4438">
        <v>-2.5569140000000001E-2</v>
      </c>
      <c r="Q4438">
        <v>5.1931919999999999E-2</v>
      </c>
      <c r="R4438">
        <v>-0.99832330000000002</v>
      </c>
      <c r="S4438">
        <v>0.1390991</v>
      </c>
      <c r="T4438">
        <v>-0.13790620000000001</v>
      </c>
      <c r="U4438">
        <v>-3.0155639999999999</v>
      </c>
      <c r="V4438">
        <v>2.939319E-2</v>
      </c>
      <c r="W4438">
        <v>6.2519099999999994E-2</v>
      </c>
      <c r="X4438">
        <v>0.99761089999999997</v>
      </c>
      <c r="Y4438">
        <v>-4.230689E-2</v>
      </c>
      <c r="Z4438">
        <v>4.563859E-2</v>
      </c>
      <c r="AA4438">
        <v>0.99806170000000005</v>
      </c>
      <c r="AB4438">
        <v>27</v>
      </c>
      <c r="AC4438">
        <v>1.1182999999999701</v>
      </c>
      <c r="AD4438">
        <v>-1.109020165699</v>
      </c>
      <c r="AE4438">
        <v>-24.021840000000001</v>
      </c>
      <c r="AF4438">
        <v>-1.02658400350172</v>
      </c>
      <c r="AG4438">
        <v>-1.109020165699</v>
      </c>
      <c r="AH4438">
        <v>23.974851217858198</v>
      </c>
      <c r="AI4438">
        <v>92.646058689961095</v>
      </c>
      <c r="AJ4438">
        <v>92.451861820479095</v>
      </c>
      <c r="AK4438">
        <v>24.022433085818101</v>
      </c>
      <c r="AL4438">
        <v>86.415581996732499</v>
      </c>
      <c r="AM4438">
        <v>88.312349372327006</v>
      </c>
      <c r="AN4438">
        <v>1.00000005264099</v>
      </c>
    </row>
    <row r="4439" spans="1:40" x14ac:dyDescent="0.25">
      <c r="A4439" t="str">
        <f>"20190312154648885"</f>
        <v>20190312154648885</v>
      </c>
      <c r="B4439" t="str">
        <f>"1552376808881900"</f>
        <v>1552376808881900</v>
      </c>
      <c r="C4439" t="s">
        <v>40</v>
      </c>
      <c r="D4439">
        <v>3.971943</v>
      </c>
      <c r="E4439">
        <v>0.47419119999999998</v>
      </c>
      <c r="F4439" t="s">
        <v>71</v>
      </c>
      <c r="G4439">
        <v>-420.08629999999999</v>
      </c>
      <c r="H4439" s="1">
        <v>-3.428844E-6</v>
      </c>
      <c r="I4439">
        <v>34.135829999999999</v>
      </c>
      <c r="J4439">
        <v>-421.21800000000002</v>
      </c>
      <c r="K4439">
        <v>1.1090450000000001</v>
      </c>
      <c r="L4439">
        <v>58.415799999999997</v>
      </c>
      <c r="M4439">
        <v>2.8137589999999999E-3</v>
      </c>
      <c r="N4439">
        <v>0</v>
      </c>
      <c r="O4439">
        <v>-0.99993589999999999</v>
      </c>
      <c r="P4439">
        <v>-2.6061560000000001E-2</v>
      </c>
      <c r="Q4439">
        <v>5.254081E-2</v>
      </c>
      <c r="R4439">
        <v>-0.99827860000000002</v>
      </c>
      <c r="S4439">
        <v>0.13900760000000001</v>
      </c>
      <c r="T4439">
        <v>-0.13622779999999901</v>
      </c>
      <c r="U4439">
        <v>-3.0156860000000001</v>
      </c>
      <c r="V4439">
        <v>2.8977470000000002E-2</v>
      </c>
      <c r="W4439">
        <v>6.3441869999999997E-2</v>
      </c>
      <c r="X4439">
        <v>0.99756469999999997</v>
      </c>
      <c r="Y4439">
        <v>-4.3188009999999999E-2</v>
      </c>
      <c r="Z4439">
        <v>4.5081860000000001E-2</v>
      </c>
      <c r="AA4439">
        <v>0.99804930000000003</v>
      </c>
      <c r="AB4439">
        <v>27</v>
      </c>
      <c r="AC4439">
        <v>1.1317000000000199</v>
      </c>
      <c r="AD4439">
        <v>-1.1090484288439999</v>
      </c>
      <c r="AE4439">
        <v>-24.279969999999999</v>
      </c>
      <c r="AF4439">
        <v>-1.0611641766539399</v>
      </c>
      <c r="AG4439">
        <v>-1.1090484288439999</v>
      </c>
      <c r="AH4439">
        <v>24.2326082532844</v>
      </c>
      <c r="AI4439">
        <v>92.617909339745694</v>
      </c>
      <c r="AJ4439">
        <v>92.507423410493004</v>
      </c>
      <c r="AK4439">
        <v>24.281172965581401</v>
      </c>
      <c r="AL4439">
        <v>86.362605618657199</v>
      </c>
      <c r="AM4439">
        <v>88.336127986760701</v>
      </c>
      <c r="AN4439">
        <v>0.999999947661392</v>
      </c>
    </row>
    <row r="4440" spans="1:40" x14ac:dyDescent="0.25">
      <c r="A4440" t="str">
        <f>"20190312154648909"</f>
        <v>20190312154648909</v>
      </c>
      <c r="B4440" t="str">
        <f>"1552376808902395"</f>
        <v>1552376808902395</v>
      </c>
      <c r="C4440" t="s">
        <v>40</v>
      </c>
      <c r="D4440">
        <v>4.0249610000000002</v>
      </c>
      <c r="E4440">
        <v>0.47385729999999998</v>
      </c>
      <c r="F4440" t="s">
        <v>71</v>
      </c>
      <c r="G4440">
        <v>-420.03820000000002</v>
      </c>
      <c r="H4440" s="1">
        <v>-3.8109860000000001E-6</v>
      </c>
      <c r="I4440">
        <v>33.380369999999999</v>
      </c>
      <c r="J4440">
        <v>-421.21820000000002</v>
      </c>
      <c r="K4440">
        <v>1.109083</v>
      </c>
      <c r="L4440">
        <v>58.133789999999998</v>
      </c>
      <c r="M4440">
        <v>1.8407790000000001E-3</v>
      </c>
      <c r="N4440">
        <v>0</v>
      </c>
      <c r="O4440">
        <v>-0.99993469999999995</v>
      </c>
      <c r="P4440">
        <v>-2.6134049999999999E-2</v>
      </c>
      <c r="Q4440">
        <v>5.27124E-2</v>
      </c>
      <c r="R4440">
        <v>-0.99826780000000004</v>
      </c>
      <c r="S4440">
        <v>0.14212040000000001</v>
      </c>
      <c r="T4440">
        <v>-0.13360320000000001</v>
      </c>
      <c r="U4440">
        <v>-3.01593</v>
      </c>
      <c r="V4440">
        <v>2.8080580000000001E-2</v>
      </c>
      <c r="W4440">
        <v>6.3937240000000006E-2</v>
      </c>
      <c r="X4440">
        <v>0.99755879999999997</v>
      </c>
      <c r="Y4440">
        <v>-4.5186039999999997E-2</v>
      </c>
      <c r="Z4440">
        <v>4.4208579999999997E-2</v>
      </c>
      <c r="AA4440">
        <v>0.99799990000000005</v>
      </c>
      <c r="AB4440">
        <v>27</v>
      </c>
      <c r="AC4440">
        <v>1.18</v>
      </c>
      <c r="AD4440">
        <v>-1.1090868109859999</v>
      </c>
      <c r="AE4440">
        <v>-24.753419999999998</v>
      </c>
      <c r="AF4440">
        <v>-1.13216183800865</v>
      </c>
      <c r="AG4440">
        <v>-1.1090868109859999</v>
      </c>
      <c r="AH4440">
        <v>24.7060647590515</v>
      </c>
      <c r="AI4440">
        <v>92.567664089987701</v>
      </c>
      <c r="AJ4440">
        <v>92.623758422067993</v>
      </c>
      <c r="AK4440">
        <v>24.756847534776998</v>
      </c>
      <c r="AL4440">
        <v>86.334165548039607</v>
      </c>
      <c r="AM4440">
        <v>88.387589816714296</v>
      </c>
      <c r="AN4440">
        <v>1.0000000245446901</v>
      </c>
    </row>
    <row r="4441" spans="1:40" x14ac:dyDescent="0.25">
      <c r="A4441" t="str">
        <f>"20190312154648931"</f>
        <v>20190312154648931</v>
      </c>
      <c r="B4441" t="str">
        <f>"1552376808921915"</f>
        <v>1552376808921915</v>
      </c>
      <c r="C4441" t="s">
        <v>40</v>
      </c>
      <c r="D4441">
        <v>3.9815830000000001</v>
      </c>
      <c r="E4441">
        <v>0.47357909999999998</v>
      </c>
      <c r="F4441" t="s">
        <v>71</v>
      </c>
      <c r="G4441">
        <v>-420.00369999999998</v>
      </c>
      <c r="H4441" s="1">
        <v>-4.0796150000000001E-6</v>
      </c>
      <c r="I4441">
        <v>32.849240000000002</v>
      </c>
      <c r="J4441">
        <v>-421.21879999999999</v>
      </c>
      <c r="K4441">
        <v>1.1091150000000001</v>
      </c>
      <c r="L4441">
        <v>57.860750000000003</v>
      </c>
      <c r="M4441">
        <v>8.8960269999999999E-4</v>
      </c>
      <c r="N4441">
        <v>0</v>
      </c>
      <c r="O4441">
        <v>-0.9999323</v>
      </c>
      <c r="P4441">
        <v>-2.644809E-2</v>
      </c>
      <c r="Q4441">
        <v>5.2911939999999998E-2</v>
      </c>
      <c r="R4441">
        <v>-0.99824880000000005</v>
      </c>
      <c r="S4441">
        <v>0.14486689999999999</v>
      </c>
      <c r="T4441">
        <v>-0.1322941</v>
      </c>
      <c r="U4441">
        <v>-3.0159910000000001</v>
      </c>
      <c r="V4441">
        <v>2.7446660000000001E-2</v>
      </c>
      <c r="W4441">
        <v>6.4436880000000002E-2</v>
      </c>
      <c r="X4441">
        <v>0.99754430000000005</v>
      </c>
      <c r="Y4441">
        <v>-4.704299E-2</v>
      </c>
      <c r="Z4441">
        <v>4.3772600000000002E-2</v>
      </c>
      <c r="AA4441">
        <v>0.99793330000000002</v>
      </c>
      <c r="AB4441">
        <v>27</v>
      </c>
      <c r="AC4441">
        <v>1.2151000000000001</v>
      </c>
      <c r="AD4441">
        <v>-1.1091190796149999</v>
      </c>
      <c r="AE4441">
        <v>-25.011510000000001</v>
      </c>
      <c r="AF4441">
        <v>-1.19051217864376</v>
      </c>
      <c r="AG4441">
        <v>-1.1091190796149999</v>
      </c>
      <c r="AH4441">
        <v>24.963607751057999</v>
      </c>
      <c r="AI4441">
        <v>92.541062136139203</v>
      </c>
      <c r="AJ4441">
        <v>92.730361845075393</v>
      </c>
      <c r="AK4441">
        <v>25.016578029957401</v>
      </c>
      <c r="AL4441">
        <v>86.305479152699604</v>
      </c>
      <c r="AM4441">
        <v>88.423948561519495</v>
      </c>
      <c r="AN4441">
        <v>1.00000003055588</v>
      </c>
    </row>
    <row r="4442" spans="1:40" x14ac:dyDescent="0.25">
      <c r="A4442" t="str">
        <f>"20190312154648953"</f>
        <v>20190312154648953</v>
      </c>
      <c r="B4442" t="str">
        <f>"1552376808942411"</f>
        <v>1552376808942411</v>
      </c>
      <c r="C4442" t="s">
        <v>40</v>
      </c>
      <c r="D4442">
        <v>3.9950739999999998</v>
      </c>
      <c r="E4442">
        <v>0.47343360000000001</v>
      </c>
      <c r="F4442" t="s">
        <v>71</v>
      </c>
      <c r="G4442">
        <v>-419.99419999999998</v>
      </c>
      <c r="H4442" s="1">
        <v>-4.2149680000000003E-6</v>
      </c>
      <c r="I4442">
        <v>32.582509999999999</v>
      </c>
      <c r="J4442">
        <v>-421.21949999999998</v>
      </c>
      <c r="K4442">
        <v>1.109148</v>
      </c>
      <c r="L4442">
        <v>57.602910000000001</v>
      </c>
      <c r="M4442" s="1">
        <v>-9.3606150000000008E-6</v>
      </c>
      <c r="N4442">
        <v>0</v>
      </c>
      <c r="O4442">
        <v>-0.99992970000000003</v>
      </c>
      <c r="P4442">
        <v>-2.6768650000000001E-2</v>
      </c>
      <c r="Q4442">
        <v>5.3177839999999997E-2</v>
      </c>
      <c r="R4442">
        <v>-0.99822650000000002</v>
      </c>
      <c r="S4442">
        <v>0.1461182</v>
      </c>
      <c r="T4442">
        <v>-0.1323377</v>
      </c>
      <c r="U4442">
        <v>-3.0161440000000002</v>
      </c>
      <c r="V4442">
        <v>2.6871240000000001E-2</v>
      </c>
      <c r="W4442">
        <v>6.4971260000000003E-2</v>
      </c>
      <c r="X4442">
        <v>0.99752529999999995</v>
      </c>
      <c r="Y4442">
        <v>-4.8351560000000002E-2</v>
      </c>
      <c r="Z4442">
        <v>4.3783019999999999E-2</v>
      </c>
      <c r="AA4442">
        <v>0.99787029999999999</v>
      </c>
      <c r="AB4442">
        <v>27</v>
      </c>
      <c r="AC4442">
        <v>1.2253000000000001</v>
      </c>
      <c r="AD4442">
        <v>-1.109152214968</v>
      </c>
      <c r="AE4442">
        <v>-25.020399999999899</v>
      </c>
      <c r="AF4442">
        <v>-1.2231363376441799</v>
      </c>
      <c r="AG4442">
        <v>-1.109152214968</v>
      </c>
      <c r="AH4442">
        <v>24.971433537541898</v>
      </c>
      <c r="AI4442">
        <v>92.540184627146402</v>
      </c>
      <c r="AJ4442">
        <v>92.804187635907894</v>
      </c>
      <c r="AK4442">
        <v>25.025962000616602</v>
      </c>
      <c r="AL4442">
        <v>86.274797123909394</v>
      </c>
      <c r="AM4442">
        <v>88.456945003452802</v>
      </c>
      <c r="AN4442">
        <v>1.0000000261526001</v>
      </c>
    </row>
    <row r="4443" spans="1:40" x14ac:dyDescent="0.25">
      <c r="A4443" t="str">
        <f>"20190312154648975"</f>
        <v>20190312154648975</v>
      </c>
      <c r="B4443" t="str">
        <f>"1552376808972668"</f>
        <v>1552376808972668</v>
      </c>
      <c r="C4443" t="s">
        <v>40</v>
      </c>
      <c r="D4443">
        <v>4.0071409999999998</v>
      </c>
      <c r="E4443">
        <v>0.4731514</v>
      </c>
      <c r="F4443" t="s">
        <v>71</v>
      </c>
      <c r="G4443">
        <v>-419.99079999999998</v>
      </c>
      <c r="H4443" s="1">
        <v>-4.3553550000000001E-6</v>
      </c>
      <c r="I4443">
        <v>32.306609999999999</v>
      </c>
      <c r="J4443">
        <v>-421.22059999999999</v>
      </c>
      <c r="K4443">
        <v>1.1091690000000001</v>
      </c>
      <c r="L4443">
        <v>57.334380000000003</v>
      </c>
      <c r="M4443">
        <v>-9.4389739999999999E-4</v>
      </c>
      <c r="N4443">
        <v>0</v>
      </c>
      <c r="O4443">
        <v>-0.99992610000000004</v>
      </c>
      <c r="P4443">
        <v>-2.7368170000000001E-2</v>
      </c>
      <c r="Q4443">
        <v>5.3527680000000001E-2</v>
      </c>
      <c r="R4443">
        <v>-0.9981913</v>
      </c>
      <c r="S4443">
        <v>0.146514899999999</v>
      </c>
      <c r="T4443">
        <v>-0.13225379999999901</v>
      </c>
      <c r="U4443">
        <v>-3.0162960000000001</v>
      </c>
      <c r="V4443">
        <v>2.6539150000000001E-2</v>
      </c>
      <c r="W4443">
        <v>6.5579819999999997E-2</v>
      </c>
      <c r="X4443">
        <v>0.99749429999999994</v>
      </c>
      <c r="Y4443">
        <v>-4.9413609999999997E-2</v>
      </c>
      <c r="Z4443">
        <v>4.3751789999999999E-2</v>
      </c>
      <c r="AA4443">
        <v>0.99781969999999998</v>
      </c>
      <c r="AB4443">
        <v>27</v>
      </c>
      <c r="AC4443">
        <v>1.22980000000001</v>
      </c>
      <c r="AD4443">
        <v>-1.1091733553550001</v>
      </c>
      <c r="AE4443">
        <v>-25.02777</v>
      </c>
      <c r="AF4443">
        <v>-1.2509737661926299</v>
      </c>
      <c r="AG4443">
        <v>-1.1091733553550001</v>
      </c>
      <c r="AH4443">
        <v>24.977658525597199</v>
      </c>
      <c r="AI4443">
        <v>92.539462590405094</v>
      </c>
      <c r="AJ4443">
        <v>92.867189383899898</v>
      </c>
      <c r="AK4443">
        <v>25.033550014276202</v>
      </c>
      <c r="AL4443">
        <v>86.239854428941101</v>
      </c>
      <c r="AM4443">
        <v>88.4759585612086</v>
      </c>
      <c r="AN4443">
        <v>0.99999995890322102</v>
      </c>
    </row>
    <row r="4444" spans="1:40" x14ac:dyDescent="0.25">
      <c r="A4444" t="str">
        <f>"20190312154648999"</f>
        <v>20190312154648999</v>
      </c>
      <c r="B4444" t="str">
        <f>"1552376808992187"</f>
        <v>1552376808992187</v>
      </c>
      <c r="C4444" t="s">
        <v>40</v>
      </c>
      <c r="D4444">
        <v>4.0380219999999998</v>
      </c>
      <c r="E4444">
        <v>0.47295789999999999</v>
      </c>
      <c r="F4444" t="s">
        <v>71</v>
      </c>
      <c r="G4444">
        <v>-419.99250000000001</v>
      </c>
      <c r="H4444" s="1">
        <v>-4.4489059999999996E-6</v>
      </c>
      <c r="I4444">
        <v>32.123199999999997</v>
      </c>
      <c r="J4444">
        <v>-421.22199999999998</v>
      </c>
      <c r="K4444">
        <v>1.109192</v>
      </c>
      <c r="L4444">
        <v>57.042479999999998</v>
      </c>
      <c r="M4444">
        <v>-1.9584609999999999E-3</v>
      </c>
      <c r="N4444">
        <v>0</v>
      </c>
      <c r="O4444">
        <v>-0.99992159999999997</v>
      </c>
      <c r="P4444">
        <v>-2.7977800000000001E-2</v>
      </c>
      <c r="Q4444">
        <v>5.3432390000000003E-2</v>
      </c>
      <c r="R4444">
        <v>-0.9981797</v>
      </c>
      <c r="S4444">
        <v>0.14694209999999999</v>
      </c>
      <c r="T4444">
        <v>-0.132715</v>
      </c>
      <c r="U4444">
        <v>-3.0165709999999999</v>
      </c>
      <c r="V4444">
        <v>2.613613E-2</v>
      </c>
      <c r="W4444">
        <v>6.5739699999999998E-2</v>
      </c>
      <c r="X4444">
        <v>0.99749449999999995</v>
      </c>
      <c r="Y4444">
        <v>-5.0563249999999997E-2</v>
      </c>
      <c r="Z4444">
        <v>4.3898590000000001E-2</v>
      </c>
      <c r="AA4444">
        <v>0.99775559999999996</v>
      </c>
      <c r="AB4444">
        <v>27</v>
      </c>
      <c r="AC4444">
        <v>1.2294999999999701</v>
      </c>
      <c r="AD4444">
        <v>-1.109196448906</v>
      </c>
      <c r="AE4444">
        <v>-24.919280000000001</v>
      </c>
      <c r="AF4444">
        <v>-1.27578326650684</v>
      </c>
      <c r="AG4444">
        <v>-1.109196448906</v>
      </c>
      <c r="AH4444">
        <v>24.867673903533898</v>
      </c>
      <c r="AI4444">
        <v>92.550575319871101</v>
      </c>
      <c r="AJ4444">
        <v>92.936863658224397</v>
      </c>
      <c r="AK4444">
        <v>24.9250706132975</v>
      </c>
      <c r="AL4444">
        <v>86.230674480704806</v>
      </c>
      <c r="AM4444">
        <v>88.499092084506898</v>
      </c>
      <c r="AN4444">
        <v>1.0000000414888499</v>
      </c>
    </row>
    <row r="4445" spans="1:40" x14ac:dyDescent="0.25">
      <c r="A4445" t="str">
        <f>"20190312154649028"</f>
        <v>20190312154649028</v>
      </c>
      <c r="B4445" t="str">
        <f>"1552376809022443"</f>
        <v>1552376809022443</v>
      </c>
      <c r="C4445" t="s">
        <v>40</v>
      </c>
      <c r="D4445">
        <v>4.0499640000000001</v>
      </c>
      <c r="E4445">
        <v>0.47272720000000001</v>
      </c>
      <c r="F4445" t="s">
        <v>71</v>
      </c>
      <c r="G4445">
        <v>-420.01260000000002</v>
      </c>
      <c r="H4445" s="1">
        <v>-4.4599710000000003E-6</v>
      </c>
      <c r="I4445">
        <v>32.10378</v>
      </c>
      <c r="J4445">
        <v>-421.22410000000002</v>
      </c>
      <c r="K4445">
        <v>1.1092219999999999</v>
      </c>
      <c r="L4445">
        <v>56.702030000000001</v>
      </c>
      <c r="M4445">
        <v>-3.1405299999999999E-3</v>
      </c>
      <c r="N4445">
        <v>0</v>
      </c>
      <c r="O4445">
        <v>-0.99991540000000001</v>
      </c>
      <c r="P4445">
        <v>-2.838808E-2</v>
      </c>
      <c r="Q4445">
        <v>5.3897720000000003E-2</v>
      </c>
      <c r="R4445">
        <v>-0.99814290000000006</v>
      </c>
      <c r="S4445">
        <v>0.1463013</v>
      </c>
      <c r="T4445">
        <v>-0.13417589999999999</v>
      </c>
      <c r="U4445">
        <v>-3.0167540000000002</v>
      </c>
      <c r="V4445">
        <v>2.5367150000000002E-2</v>
      </c>
      <c r="W4445">
        <v>6.6464330000000002E-2</v>
      </c>
      <c r="X4445">
        <v>0.99746630000000003</v>
      </c>
      <c r="Y4445">
        <v>-5.1528459999999998E-2</v>
      </c>
      <c r="Z4445">
        <v>4.4377119999999999E-2</v>
      </c>
      <c r="AA4445">
        <v>0.99768509999999999</v>
      </c>
      <c r="AB4445">
        <v>27</v>
      </c>
      <c r="AC4445">
        <v>1.2115</v>
      </c>
      <c r="AD4445">
        <v>-1.109226459971</v>
      </c>
      <c r="AE4445">
        <v>-24.59825</v>
      </c>
      <c r="AF4445">
        <v>-1.2861427521336599</v>
      </c>
      <c r="AG4445">
        <v>-1.109226459971</v>
      </c>
      <c r="AH4445">
        <v>24.544534479899902</v>
      </c>
      <c r="AI4445">
        <v>92.584032887799793</v>
      </c>
      <c r="AJ4445">
        <v>92.999576790751306</v>
      </c>
      <c r="AK4445">
        <v>24.603225791618499</v>
      </c>
      <c r="AL4445">
        <v>86.189065114073998</v>
      </c>
      <c r="AM4445">
        <v>88.543191472381295</v>
      </c>
      <c r="AN4445">
        <v>1.0000000095485799</v>
      </c>
    </row>
    <row r="4446" spans="1:40" x14ac:dyDescent="0.25">
      <c r="A4446" t="str">
        <f>"20190312154649050"</f>
        <v>20190312154649050</v>
      </c>
      <c r="B4446" t="str">
        <f>"1552376809041963"</f>
        <v>1552376809041963</v>
      </c>
      <c r="C4446" t="s">
        <v>40</v>
      </c>
      <c r="D4446">
        <v>4.0917070000000004</v>
      </c>
      <c r="E4446">
        <v>0.4725915</v>
      </c>
      <c r="F4446" t="s">
        <v>71</v>
      </c>
      <c r="G4446">
        <v>-420.01710000000003</v>
      </c>
      <c r="H4446" s="1">
        <v>-4.5387539999999996E-6</v>
      </c>
      <c r="I4446">
        <v>31.949660000000002</v>
      </c>
      <c r="J4446">
        <v>-421.22609999999997</v>
      </c>
      <c r="K4446">
        <v>1.109235</v>
      </c>
      <c r="L4446">
        <v>56.429810000000003</v>
      </c>
      <c r="M4446">
        <v>-4.0847459999999898E-3</v>
      </c>
      <c r="N4446">
        <v>0</v>
      </c>
      <c r="O4446">
        <v>-0.99990990000000002</v>
      </c>
      <c r="P4446">
        <v>-2.90377E-2</v>
      </c>
      <c r="Q4446">
        <v>5.4193940000000003E-2</v>
      </c>
      <c r="R4446">
        <v>-0.99810849999999995</v>
      </c>
      <c r="S4446">
        <v>0.14712520000000001</v>
      </c>
      <c r="T4446">
        <v>-0.1352034</v>
      </c>
      <c r="U4446">
        <v>-3.0170590000000002</v>
      </c>
      <c r="V4446">
        <v>2.507446E-2</v>
      </c>
      <c r="W4446">
        <v>6.694058E-2</v>
      </c>
      <c r="X4446">
        <v>0.99744180000000005</v>
      </c>
      <c r="Y4446">
        <v>-5.2737689999999997E-2</v>
      </c>
      <c r="Z4446">
        <v>4.4709810000000003E-2</v>
      </c>
      <c r="AA4446">
        <v>0.99760700000000002</v>
      </c>
      <c r="AB4446">
        <v>27</v>
      </c>
      <c r="AC4446">
        <v>1.2089999999999399</v>
      </c>
      <c r="AD4446">
        <v>-1.1092395387539999</v>
      </c>
      <c r="AE4446">
        <v>-24.480149999999998</v>
      </c>
      <c r="AF4446">
        <v>-1.306317731032</v>
      </c>
      <c r="AG4446">
        <v>-1.1092395387539999</v>
      </c>
      <c r="AH4446">
        <v>24.424980531449801</v>
      </c>
      <c r="AI4446">
        <v>92.596546175047607</v>
      </c>
      <c r="AJ4446">
        <v>93.061425199088703</v>
      </c>
      <c r="AK4446">
        <v>24.485027104956298</v>
      </c>
      <c r="AL4446">
        <v>86.161716890961799</v>
      </c>
      <c r="AM4446">
        <v>88.559957874261997</v>
      </c>
      <c r="AN4446">
        <v>0.99999995709113298</v>
      </c>
    </row>
    <row r="4447" spans="1:40" x14ac:dyDescent="0.25">
      <c r="A4447" t="str">
        <f>"20190312154649070"</f>
        <v>20190312154649070</v>
      </c>
      <c r="B4447" t="str">
        <f>"1552376809062459"</f>
        <v>1552376809062459</v>
      </c>
      <c r="C4447" t="s">
        <v>40</v>
      </c>
      <c r="D4447">
        <v>4.0986310000000001</v>
      </c>
      <c r="E4447">
        <v>0.47249059999999998</v>
      </c>
      <c r="F4447" t="s">
        <v>71</v>
      </c>
      <c r="G4447">
        <v>-420.0367</v>
      </c>
      <c r="H4447" s="1">
        <v>-4.58389599999999E-6</v>
      </c>
      <c r="I4447">
        <v>31.863299999999999</v>
      </c>
      <c r="J4447">
        <v>-421.22800000000001</v>
      </c>
      <c r="K4447">
        <v>1.109253</v>
      </c>
      <c r="L4447">
        <v>56.188200000000002</v>
      </c>
      <c r="M4447">
        <v>-4.921524E-3</v>
      </c>
      <c r="N4447">
        <v>0</v>
      </c>
      <c r="O4447">
        <v>-0.99990389999999996</v>
      </c>
      <c r="P4447">
        <v>-2.9857479999999999E-2</v>
      </c>
      <c r="Q4447">
        <v>5.4661800000000003E-2</v>
      </c>
      <c r="R4447">
        <v>-0.99805829999999995</v>
      </c>
      <c r="S4447">
        <v>0.14608759999999901</v>
      </c>
      <c r="T4447">
        <v>-0.13624020000000001</v>
      </c>
      <c r="U4447">
        <v>-3.017334</v>
      </c>
      <c r="V4447">
        <v>2.5059620000000001E-2</v>
      </c>
      <c r="W4447">
        <v>6.7549559999999995E-2</v>
      </c>
      <c r="X4447">
        <v>0.99740119999999999</v>
      </c>
      <c r="Y4447">
        <v>-5.3225990000000001E-2</v>
      </c>
      <c r="Z4447">
        <v>4.5047450000000003E-2</v>
      </c>
      <c r="AA4447">
        <v>0.99756590000000001</v>
      </c>
      <c r="AB4447">
        <v>27</v>
      </c>
      <c r="AC4447">
        <v>1.19130000000001</v>
      </c>
      <c r="AD4447">
        <v>-1.1092575838959999</v>
      </c>
      <c r="AE4447">
        <v>-24.3249</v>
      </c>
      <c r="AF4447">
        <v>-1.3082970871634101</v>
      </c>
      <c r="AG4447">
        <v>-1.1092575838959999</v>
      </c>
      <c r="AH4447">
        <v>24.268396041061301</v>
      </c>
      <c r="AI4447">
        <v>92.613259294345596</v>
      </c>
      <c r="AJ4447">
        <v>93.085799764908202</v>
      </c>
      <c r="AK4447">
        <v>24.328936270653301</v>
      </c>
      <c r="AL4447">
        <v>86.126746071795594</v>
      </c>
      <c r="AM4447">
        <v>88.560751227585101</v>
      </c>
      <c r="AN4447">
        <v>1.0000000406860801</v>
      </c>
    </row>
    <row r="4448" spans="1:40" x14ac:dyDescent="0.25">
      <c r="A4448" t="str">
        <f>"20190312154649088"</f>
        <v>20190312154649088</v>
      </c>
      <c r="B4448" t="str">
        <f>"1552376809081979"</f>
        <v>1552376809081979</v>
      </c>
      <c r="C4448" t="s">
        <v>40</v>
      </c>
      <c r="D4448">
        <v>4.1613819999999997</v>
      </c>
      <c r="E4448">
        <v>0.47236250000000002</v>
      </c>
      <c r="F4448" t="s">
        <v>71</v>
      </c>
      <c r="G4448">
        <v>-420.053</v>
      </c>
      <c r="H4448" s="1">
        <v>-4.6672029999999998E-6</v>
      </c>
      <c r="I4448">
        <v>31.70166</v>
      </c>
      <c r="J4448">
        <v>-421.23</v>
      </c>
      <c r="K4448">
        <v>1.1092690000000001</v>
      </c>
      <c r="L4448">
        <v>55.964260000000003</v>
      </c>
      <c r="M4448">
        <v>-5.6963300000000003E-3</v>
      </c>
      <c r="N4448">
        <v>0</v>
      </c>
      <c r="O4448">
        <v>-0.99989839999999997</v>
      </c>
      <c r="P4448">
        <v>-3.0941349999999999E-2</v>
      </c>
      <c r="Q4448">
        <v>5.5603720000000002E-2</v>
      </c>
      <c r="R4448">
        <v>-0.99797340000000001</v>
      </c>
      <c r="S4448">
        <v>0.14480589999999999</v>
      </c>
      <c r="T4448">
        <v>-0.13670270000000001</v>
      </c>
      <c r="U4448">
        <v>-3.0176699999999999</v>
      </c>
      <c r="V4448">
        <v>2.5371790000000002E-2</v>
      </c>
      <c r="W4448">
        <v>6.8607109999999999E-2</v>
      </c>
      <c r="X4448">
        <v>0.99732109999999996</v>
      </c>
      <c r="Y4448">
        <v>-5.357137E-2</v>
      </c>
      <c r="Z4448">
        <v>4.5194779999999997E-2</v>
      </c>
      <c r="AA4448">
        <v>0.99754080000000001</v>
      </c>
      <c r="AB4448">
        <v>27</v>
      </c>
      <c r="AC4448">
        <v>1.1769999999999601</v>
      </c>
      <c r="AD4448">
        <v>-1.1092736672029999</v>
      </c>
      <c r="AE4448">
        <v>-24.262599999999999</v>
      </c>
      <c r="AF4448">
        <v>-1.31246351314336</v>
      </c>
      <c r="AG4448">
        <v>-1.1092736672029999</v>
      </c>
      <c r="AH4448">
        <v>24.2050248470774</v>
      </c>
      <c r="AI4448">
        <v>92.620085298231999</v>
      </c>
      <c r="AJ4448">
        <v>93.1036965630352</v>
      </c>
      <c r="AK4448">
        <v>24.265948907671302</v>
      </c>
      <c r="AL4448">
        <v>86.066011933530802</v>
      </c>
      <c r="AM4448">
        <v>88.542713072871194</v>
      </c>
      <c r="AN4448">
        <v>1.0000000198877801</v>
      </c>
    </row>
    <row r="4449" spans="1:40" x14ac:dyDescent="0.25">
      <c r="A4449" t="str">
        <f>"20190312154649111"</f>
        <v>20190312154649111</v>
      </c>
      <c r="B4449" t="str">
        <f>"1552376809102476"</f>
        <v>1552376809102476</v>
      </c>
      <c r="C4449" t="s">
        <v>40</v>
      </c>
      <c r="D4449">
        <v>4.1663350000000001</v>
      </c>
      <c r="E4449">
        <v>0.47226590000000002</v>
      </c>
      <c r="F4449" t="s">
        <v>71</v>
      </c>
      <c r="G4449">
        <v>-420.07049999999998</v>
      </c>
      <c r="H4449" s="1">
        <v>-4.843736E-6</v>
      </c>
      <c r="I4449">
        <v>31.357199999999999</v>
      </c>
      <c r="J4449">
        <v>-421.23250000000002</v>
      </c>
      <c r="K4449">
        <v>1.109294</v>
      </c>
      <c r="L4449">
        <v>55.70523</v>
      </c>
      <c r="M4449">
        <v>-6.5916869999999997E-3</v>
      </c>
      <c r="N4449">
        <v>0</v>
      </c>
      <c r="O4449">
        <v>-0.99989119999999998</v>
      </c>
      <c r="P4449">
        <v>-3.2881279999999999E-2</v>
      </c>
      <c r="Q4449">
        <v>5.8520460000000003E-2</v>
      </c>
      <c r="R4449">
        <v>-0.99774459999999998</v>
      </c>
      <c r="S4449">
        <v>0.1422119</v>
      </c>
      <c r="T4449">
        <v>-0.13605429999999999</v>
      </c>
      <c r="U4449">
        <v>-3.018097</v>
      </c>
      <c r="V4449">
        <v>2.6424E-2</v>
      </c>
      <c r="W4449">
        <v>7.1638980000000005E-2</v>
      </c>
      <c r="X4449">
        <v>0.99708059999999998</v>
      </c>
      <c r="Y4449">
        <v>-5.3603810000000002E-2</v>
      </c>
      <c r="Z4449">
        <v>4.4975019999999997E-2</v>
      </c>
      <c r="AA4449">
        <v>0.99754889999999996</v>
      </c>
      <c r="AB4449">
        <v>27</v>
      </c>
      <c r="AC4449">
        <v>1.1620000000000299</v>
      </c>
      <c r="AD4449">
        <v>-1.1092988437360001</v>
      </c>
      <c r="AE4449">
        <v>-24.348030000000001</v>
      </c>
      <c r="AF4449">
        <v>-1.31975010861237</v>
      </c>
      <c r="AG4449">
        <v>-1.1092988437360001</v>
      </c>
      <c r="AH4449">
        <v>24.2895369453184</v>
      </c>
      <c r="AI4449">
        <v>92.611025178088497</v>
      </c>
      <c r="AJ4449">
        <v>93.110056473380695</v>
      </c>
      <c r="AK4449">
        <v>24.3506445354509</v>
      </c>
      <c r="AL4449">
        <v>85.891869948958103</v>
      </c>
      <c r="AM4449">
        <v>88.481938779877893</v>
      </c>
      <c r="AN4449">
        <v>1.0000000470638899</v>
      </c>
    </row>
    <row r="4450" spans="1:40" x14ac:dyDescent="0.25">
      <c r="A4450" t="str">
        <f>"20190312154649132"</f>
        <v>20190312154649132</v>
      </c>
      <c r="B4450" t="str">
        <f>"1552376809121995"</f>
        <v>1552376809121995</v>
      </c>
      <c r="C4450" t="s">
        <v>40</v>
      </c>
      <c r="D4450">
        <v>4.1685059999999998</v>
      </c>
      <c r="E4450">
        <v>0.47217110000000001</v>
      </c>
      <c r="F4450" t="s">
        <v>71</v>
      </c>
      <c r="G4450">
        <v>-420.06110000000001</v>
      </c>
      <c r="H4450" s="1">
        <v>-5.6243950000000004E-6</v>
      </c>
      <c r="I4450">
        <v>29.82403</v>
      </c>
      <c r="J4450">
        <v>-421.23509999999999</v>
      </c>
      <c r="K4450">
        <v>1.109316</v>
      </c>
      <c r="L4450">
        <v>55.448430000000002</v>
      </c>
      <c r="M4450">
        <v>-7.4792159999999899E-3</v>
      </c>
      <c r="N4450">
        <v>0</v>
      </c>
      <c r="O4450">
        <v>-0.99988379999999999</v>
      </c>
      <c r="P4450">
        <v>-3.4856350000000001E-2</v>
      </c>
      <c r="Q4450">
        <v>6.3414860000000003E-2</v>
      </c>
      <c r="R4450">
        <v>-0.99737869999999995</v>
      </c>
      <c r="S4450">
        <v>0.1366272</v>
      </c>
      <c r="T4450">
        <v>-0.12939329999999999</v>
      </c>
      <c r="U4450">
        <v>-3.0188899999999999</v>
      </c>
      <c r="V4450">
        <v>2.7523840000000001E-2</v>
      </c>
      <c r="W4450">
        <v>7.6629619999999996E-2</v>
      </c>
      <c r="X4450">
        <v>0.99667969999999895</v>
      </c>
      <c r="Y4450">
        <v>-5.2640729999999997E-2</v>
      </c>
      <c r="Z4450">
        <v>4.276858E-2</v>
      </c>
      <c r="AA4450">
        <v>0.99769719999999995</v>
      </c>
      <c r="AB4450">
        <v>27</v>
      </c>
      <c r="AC4450">
        <v>1.17399999999997</v>
      </c>
      <c r="AD4450">
        <v>-1.1093216243949999</v>
      </c>
      <c r="AE4450">
        <v>-25.624400000000001</v>
      </c>
      <c r="AF4450">
        <v>-1.36308519682555</v>
      </c>
      <c r="AG4450">
        <v>-1.1093216243949999</v>
      </c>
      <c r="AH4450">
        <v>25.567085256437299</v>
      </c>
      <c r="AI4450">
        <v>92.480910017293098</v>
      </c>
      <c r="AJ4450">
        <v>93.051781542679905</v>
      </c>
      <c r="AK4450">
        <v>25.6274158710957</v>
      </c>
      <c r="AL4450">
        <v>85.605138019878297</v>
      </c>
      <c r="AM4450">
        <v>88.418148610122401</v>
      </c>
      <c r="AN4450">
        <v>1.0000000424108799</v>
      </c>
    </row>
    <row r="4451" spans="1:40" x14ac:dyDescent="0.25">
      <c r="A4451" t="str">
        <f>"20190312154649154"</f>
        <v>20190312154649154</v>
      </c>
      <c r="B4451" t="str">
        <f>"1552376809142491"</f>
        <v>1552376809142491</v>
      </c>
      <c r="C4451" t="s">
        <v>40</v>
      </c>
      <c r="D4451">
        <v>4.2117139999999997</v>
      </c>
      <c r="E4451">
        <v>0.4720742</v>
      </c>
      <c r="F4451" t="s">
        <v>71</v>
      </c>
      <c r="G4451">
        <v>-419.98500000000001</v>
      </c>
      <c r="H4451" s="1">
        <v>-6.9003389999999998E-6</v>
      </c>
      <c r="I4451">
        <v>26.73264</v>
      </c>
      <c r="J4451">
        <v>-421.23809999999997</v>
      </c>
      <c r="K4451">
        <v>1.1093710000000001</v>
      </c>
      <c r="L4451">
        <v>55.188809999999997</v>
      </c>
      <c r="M4451">
        <v>-8.3764530000000007E-3</v>
      </c>
      <c r="N4451">
        <v>0</v>
      </c>
      <c r="O4451">
        <v>-0.99987519999999996</v>
      </c>
      <c r="P4451">
        <v>-3.6831900000000001E-2</v>
      </c>
      <c r="Q4451">
        <v>7.3298509999999997E-2</v>
      </c>
      <c r="R4451">
        <v>-0.99662980000000001</v>
      </c>
      <c r="S4451">
        <v>0.13146969999999999</v>
      </c>
      <c r="T4451">
        <v>-0.116662</v>
      </c>
      <c r="U4451">
        <v>-3.0198969999999998</v>
      </c>
      <c r="V4451">
        <v>2.8626579999999999E-2</v>
      </c>
      <c r="W4451">
        <v>8.6592639999999999E-2</v>
      </c>
      <c r="X4451">
        <v>0.99583239999999995</v>
      </c>
      <c r="Y4451">
        <v>-5.182871E-2</v>
      </c>
      <c r="Z4451">
        <v>3.8556130000000001E-2</v>
      </c>
      <c r="AA4451">
        <v>0.99791149999999995</v>
      </c>
      <c r="AB4451">
        <v>27</v>
      </c>
      <c r="AC4451">
        <v>1.2530999999999599</v>
      </c>
      <c r="AD4451">
        <v>-1.1093779003390001</v>
      </c>
      <c r="AE4451">
        <v>-28.45617</v>
      </c>
      <c r="AF4451">
        <v>-1.48918020818647</v>
      </c>
      <c r="AG4451">
        <v>-1.1093779003390001</v>
      </c>
      <c r="AH4451">
        <v>28.4015908667755</v>
      </c>
      <c r="AI4451">
        <v>92.233794360765401</v>
      </c>
      <c r="AJ4451">
        <v>93.001440264441001</v>
      </c>
      <c r="AK4451">
        <v>28.462233587368299</v>
      </c>
      <c r="AL4451">
        <v>85.032385691642006</v>
      </c>
      <c r="AM4451">
        <v>88.353407009974205</v>
      </c>
      <c r="AN4451">
        <v>0.99999996763721199</v>
      </c>
    </row>
    <row r="4452" spans="1:40" x14ac:dyDescent="0.25">
      <c r="A4452" t="str">
        <f>"20190312154649176"</f>
        <v>20190312154649176</v>
      </c>
      <c r="B4452" t="str">
        <f>"1552376809162011"</f>
        <v>1552376809162011</v>
      </c>
      <c r="C4452" t="s">
        <v>40</v>
      </c>
      <c r="D4452">
        <v>4.2038909999999996</v>
      </c>
      <c r="E4452">
        <v>0.47203590000000001</v>
      </c>
      <c r="F4452" t="s">
        <v>71</v>
      </c>
      <c r="G4452">
        <v>-419.65030000000002</v>
      </c>
      <c r="H4452" s="1">
        <v>-1.32753E-5</v>
      </c>
      <c r="I4452">
        <v>17.373159999999999</v>
      </c>
      <c r="J4452">
        <v>-421.2414</v>
      </c>
      <c r="K4452">
        <v>1.109475</v>
      </c>
      <c r="L4452">
        <v>54.923099999999998</v>
      </c>
      <c r="M4452">
        <v>-9.2950380000000003E-3</v>
      </c>
      <c r="N4452">
        <v>0</v>
      </c>
      <c r="O4452">
        <v>-0.99986640000000004</v>
      </c>
      <c r="P4452">
        <v>-3.585431E-2</v>
      </c>
      <c r="Q4452">
        <v>9.8102389999999998E-2</v>
      </c>
      <c r="R4452">
        <v>-0.99453069999999999</v>
      </c>
      <c r="S4452">
        <v>0.12686159999999999</v>
      </c>
      <c r="T4452">
        <v>-8.8636640000000003E-2</v>
      </c>
      <c r="U4452">
        <v>-3.0213619999999999</v>
      </c>
      <c r="V4452">
        <v>2.6793609999999999E-2</v>
      </c>
      <c r="W4452">
        <v>0.1114502</v>
      </c>
      <c r="X4452">
        <v>0.99340870000000003</v>
      </c>
      <c r="Y4452">
        <v>-5.121912E-2</v>
      </c>
      <c r="Z4452">
        <v>2.9289989999999998E-2</v>
      </c>
      <c r="AA4452">
        <v>0.99825779999999997</v>
      </c>
      <c r="AB4452">
        <v>27</v>
      </c>
      <c r="AC4452">
        <v>1.59109999999998</v>
      </c>
      <c r="AD4452">
        <v>-1.1094882752999999</v>
      </c>
      <c r="AE4452">
        <v>-37.5499399999999</v>
      </c>
      <c r="AF4452">
        <v>-1.93840168410062</v>
      </c>
      <c r="AG4452">
        <v>-1.1094882752999999</v>
      </c>
      <c r="AH4452">
        <v>37.500846365577999</v>
      </c>
      <c r="AI4452">
        <v>91.692382588651995</v>
      </c>
      <c r="AJ4452">
        <v>92.958959387716405</v>
      </c>
      <c r="AK4452">
        <v>37.567297526660603</v>
      </c>
      <c r="AL4452">
        <v>83.601079652028105</v>
      </c>
      <c r="AM4452">
        <v>88.455027946200204</v>
      </c>
      <c r="AN4452">
        <v>0.99999994492627897</v>
      </c>
    </row>
    <row r="4453" spans="1:40" x14ac:dyDescent="0.25">
      <c r="A4453" t="str">
        <f>"20190312154649199"</f>
        <v>20190312154649199</v>
      </c>
      <c r="B4453" t="str">
        <f>"1552376809192268"</f>
        <v>1552376809192268</v>
      </c>
      <c r="C4453" t="s">
        <v>40</v>
      </c>
      <c r="D4453">
        <v>4.2473479999999997</v>
      </c>
      <c r="E4453">
        <v>0.4699892</v>
      </c>
      <c r="F4453" t="s">
        <v>79</v>
      </c>
      <c r="G4453">
        <v>-418.85559999999998</v>
      </c>
      <c r="H4453">
        <v>0.8613305</v>
      </c>
      <c r="I4453">
        <v>0.48902509999999999</v>
      </c>
      <c r="J4453">
        <v>-421.24489999999997</v>
      </c>
      <c r="K4453">
        <v>1.1095649999999999</v>
      </c>
      <c r="L4453">
        <v>54.654910000000001</v>
      </c>
      <c r="M4453">
        <v>-1.021883E-2</v>
      </c>
      <c r="N4453">
        <v>0</v>
      </c>
      <c r="O4453">
        <v>-0.99985610000000003</v>
      </c>
      <c r="P4453">
        <v>-3.069525E-2</v>
      </c>
      <c r="Q4453">
        <v>0.1206078</v>
      </c>
      <c r="R4453">
        <v>-0.99222549999999998</v>
      </c>
      <c r="S4453">
        <v>0.13247679999999901</v>
      </c>
      <c r="T4453">
        <v>-1.378047E-2</v>
      </c>
      <c r="U4453">
        <v>-3.0226440000000001</v>
      </c>
      <c r="V4453">
        <v>2.077557E-2</v>
      </c>
      <c r="W4453">
        <v>0.13400300000000001</v>
      </c>
      <c r="X4453">
        <v>0.99076310000000001</v>
      </c>
      <c r="Y4453">
        <v>-5.3993300000000001E-2</v>
      </c>
      <c r="Z4453">
        <v>4.5531640000000002E-3</v>
      </c>
      <c r="AA4453">
        <v>0.9985309</v>
      </c>
      <c r="AB4453">
        <v>27</v>
      </c>
      <c r="AC4453">
        <v>2.3892999999999902</v>
      </c>
      <c r="AD4453">
        <v>-0.248234499999999</v>
      </c>
      <c r="AE4453">
        <v>-54.165884899999902</v>
      </c>
      <c r="AF4453">
        <v>-2.9426762604988101</v>
      </c>
      <c r="AG4453">
        <v>-0.248234499999999</v>
      </c>
      <c r="AH4453">
        <v>54.137503276904702</v>
      </c>
      <c r="AI4453">
        <v>90.262326939628295</v>
      </c>
      <c r="AJ4453">
        <v>93.111284529617095</v>
      </c>
      <c r="AK4453">
        <v>54.217988020563503</v>
      </c>
      <c r="AL4453">
        <v>82.299027629489302</v>
      </c>
      <c r="AM4453">
        <v>88.798725897170897</v>
      </c>
      <c r="AN4453">
        <v>0.99999997431971699</v>
      </c>
    </row>
    <row r="4454" spans="1:40" x14ac:dyDescent="0.25">
      <c r="A4454" t="str">
        <f>"20190312154649244"</f>
        <v>20190312154649244</v>
      </c>
      <c r="B4454" t="str">
        <f>"1552376809232283"</f>
        <v>1552376809232283</v>
      </c>
      <c r="C4454" t="s">
        <v>40</v>
      </c>
      <c r="D4454">
        <v>4.2016229999999997</v>
      </c>
      <c r="E4454">
        <v>0.47024759999999999</v>
      </c>
      <c r="F4454" t="s">
        <v>79</v>
      </c>
      <c r="G4454">
        <v>-418.1979</v>
      </c>
      <c r="H4454">
        <v>0.68151619999999902</v>
      </c>
      <c r="I4454">
        <v>0.49571609999999999</v>
      </c>
      <c r="J4454">
        <v>-421.2527</v>
      </c>
      <c r="K4454">
        <v>1.1096600000000001</v>
      </c>
      <c r="L4454">
        <v>54.121369999999999</v>
      </c>
      <c r="M4454">
        <v>-1.2004890000000001E-2</v>
      </c>
      <c r="N4454">
        <v>0</v>
      </c>
      <c r="O4454">
        <v>-0.99983469999999997</v>
      </c>
      <c r="P4454">
        <v>-1.9769149999999999E-2</v>
      </c>
      <c r="Q4454">
        <v>0.1308154</v>
      </c>
      <c r="R4454">
        <v>-0.99120980000000003</v>
      </c>
      <c r="S4454">
        <v>0.17056270000000001</v>
      </c>
      <c r="T4454">
        <v>-2.396274E-2</v>
      </c>
      <c r="U4454">
        <v>-3.0317080000000001</v>
      </c>
      <c r="V4454">
        <v>8.0968499999999992E-3</v>
      </c>
      <c r="W4454">
        <v>0.1443276</v>
      </c>
      <c r="X4454">
        <v>0.98949679999999995</v>
      </c>
      <c r="Y4454">
        <v>-6.815206E-2</v>
      </c>
      <c r="Z4454">
        <v>7.8875119999999993E-3</v>
      </c>
      <c r="AA4454">
        <v>0.99764379999999997</v>
      </c>
      <c r="AB4454">
        <v>27</v>
      </c>
      <c r="AC4454">
        <v>3.0548000000000002</v>
      </c>
      <c r="AD4454">
        <v>-0.42814380000000002</v>
      </c>
      <c r="AE4454">
        <v>-53.625653900000003</v>
      </c>
      <c r="AF4454">
        <v>-3.6981749567798001</v>
      </c>
      <c r="AG4454">
        <v>-0.42814380000000002</v>
      </c>
      <c r="AH4454">
        <v>53.581708464195998</v>
      </c>
      <c r="AI4454">
        <v>90.456724778407207</v>
      </c>
      <c r="AJ4454">
        <v>93.948256290723506</v>
      </c>
      <c r="AK4454">
        <v>53.710886113212901</v>
      </c>
      <c r="AL4454">
        <v>81.701655776273398</v>
      </c>
      <c r="AM4454">
        <v>89.531170814838902</v>
      </c>
      <c r="AN4454">
        <v>0.99999996615595999</v>
      </c>
    </row>
    <row r="4455" spans="1:40" x14ac:dyDescent="0.25">
      <c r="A4455" t="str">
        <f>"20190312154649266"</f>
        <v>20190312154649266</v>
      </c>
      <c r="B4455" t="str">
        <f>"1552376809251803"</f>
        <v>1552376809251803</v>
      </c>
      <c r="C4455" t="s">
        <v>40</v>
      </c>
      <c r="D4455">
        <v>4.2931589999999904</v>
      </c>
      <c r="E4455">
        <v>0.47010079999999999</v>
      </c>
      <c r="F4455" t="s">
        <v>79</v>
      </c>
      <c r="G4455">
        <v>-417.6413</v>
      </c>
      <c r="H4455">
        <v>0.60272159999999997</v>
      </c>
      <c r="I4455">
        <v>0.50137710000000002</v>
      </c>
      <c r="J4455">
        <v>-421.25689999999997</v>
      </c>
      <c r="K4455">
        <v>1.109701</v>
      </c>
      <c r="L4455">
        <v>53.854860000000002</v>
      </c>
      <c r="M4455">
        <v>-1.284968E-2</v>
      </c>
      <c r="N4455">
        <v>0</v>
      </c>
      <c r="O4455">
        <v>-0.99982389999999999</v>
      </c>
      <c r="P4455">
        <v>-1.75340999999999E-2</v>
      </c>
      <c r="Q4455">
        <v>0.1316127</v>
      </c>
      <c r="R4455">
        <v>-0.99114639999999998</v>
      </c>
      <c r="S4455">
        <v>0.20437620000000001</v>
      </c>
      <c r="T4455">
        <v>-2.86901E-2</v>
      </c>
      <c r="U4455">
        <v>-3.0344850000000001</v>
      </c>
      <c r="V4455">
        <v>5.0171390000000003E-3</v>
      </c>
      <c r="W4455">
        <v>0.14517160000000001</v>
      </c>
      <c r="X4455">
        <v>0.98939379999999999</v>
      </c>
      <c r="Y4455">
        <v>-8.0012260000000002E-2</v>
      </c>
      <c r="Z4455">
        <v>9.4272580000000009E-3</v>
      </c>
      <c r="AA4455">
        <v>0.99674929999999995</v>
      </c>
      <c r="AB4455">
        <v>27</v>
      </c>
      <c r="AC4455">
        <v>3.6155999999999699</v>
      </c>
      <c r="AD4455">
        <v>-0.50697939999999997</v>
      </c>
      <c r="AE4455">
        <v>-53.353482900000003</v>
      </c>
      <c r="AF4455">
        <v>-4.3005542137001802</v>
      </c>
      <c r="AG4455">
        <v>-0.50697939999999997</v>
      </c>
      <c r="AH4455">
        <v>53.297823102343102</v>
      </c>
      <c r="AI4455">
        <v>90.543226885260097</v>
      </c>
      <c r="AJ4455">
        <v>94.613151437817706</v>
      </c>
      <c r="AK4455">
        <v>53.473448945300497</v>
      </c>
      <c r="AL4455">
        <v>81.652783949584602</v>
      </c>
      <c r="AM4455">
        <v>89.709460049152</v>
      </c>
      <c r="AN4455">
        <v>1.00000002830437</v>
      </c>
    </row>
    <row r="4456" spans="1:40" x14ac:dyDescent="0.25">
      <c r="A4456" t="str">
        <f>"20190312154649288"</f>
        <v>20190312154649288</v>
      </c>
      <c r="B4456" t="str">
        <f>"1552376809282060"</f>
        <v>1552376809282060</v>
      </c>
      <c r="C4456" t="s">
        <v>40</v>
      </c>
      <c r="D4456">
        <v>4.3793860000000002</v>
      </c>
      <c r="E4456">
        <v>0.47049370000000001</v>
      </c>
      <c r="F4456" t="s">
        <v>79</v>
      </c>
      <c r="G4456">
        <v>-417.50560000000002</v>
      </c>
      <c r="H4456">
        <v>0.32103120000000002</v>
      </c>
      <c r="I4456">
        <v>0.50275420000000004</v>
      </c>
      <c r="J4456">
        <v>-421.26130000000001</v>
      </c>
      <c r="K4456">
        <v>1.109729</v>
      </c>
      <c r="L4456">
        <v>53.586820000000003</v>
      </c>
      <c r="M4456">
        <v>-1.3663649999999999E-2</v>
      </c>
      <c r="N4456">
        <v>0</v>
      </c>
      <c r="O4456">
        <v>-0.99981229999999999</v>
      </c>
      <c r="P4456">
        <v>-1.6763130000000001E-2</v>
      </c>
      <c r="Q4456">
        <v>0.12927529999999901</v>
      </c>
      <c r="R4456">
        <v>-0.99146690000000004</v>
      </c>
      <c r="S4456">
        <v>0.213501</v>
      </c>
      <c r="T4456">
        <v>-4.4888259999999999E-2</v>
      </c>
      <c r="U4456">
        <v>-3.03653</v>
      </c>
      <c r="V4456">
        <v>3.4207109999999999E-3</v>
      </c>
      <c r="W4456">
        <v>0.142878799999999</v>
      </c>
      <c r="X4456">
        <v>0.98973429999999996</v>
      </c>
      <c r="Y4456">
        <v>-8.3754819999999994E-2</v>
      </c>
      <c r="Z4456">
        <v>1.473491E-2</v>
      </c>
      <c r="AA4456">
        <v>0.99637750000000003</v>
      </c>
      <c r="AB4456">
        <v>27</v>
      </c>
      <c r="AC4456">
        <v>3.7556999999999898</v>
      </c>
      <c r="AD4456">
        <v>-0.7886978</v>
      </c>
      <c r="AE4456">
        <v>-53.084065799999898</v>
      </c>
      <c r="AF4456">
        <v>-4.4797558970177898</v>
      </c>
      <c r="AG4456">
        <v>-0.7886978</v>
      </c>
      <c r="AH4456">
        <v>53.016143133785597</v>
      </c>
      <c r="AI4456">
        <v>90.849275159699602</v>
      </c>
      <c r="AJ4456">
        <v>94.829903224843093</v>
      </c>
      <c r="AK4456">
        <v>53.210917018020197</v>
      </c>
      <c r="AL4456">
        <v>81.785535728837203</v>
      </c>
      <c r="AM4456">
        <v>89.8019756182576</v>
      </c>
      <c r="AN4456">
        <v>1.0000000186748299</v>
      </c>
    </row>
    <row r="4457" spans="1:40" x14ac:dyDescent="0.25">
      <c r="A4457" t="str">
        <f>"20190312154649313"</f>
        <v>20190312154649313</v>
      </c>
      <c r="B4457" t="str">
        <f>"1552376809302556"</f>
        <v>1552376809302556</v>
      </c>
      <c r="C4457" t="s">
        <v>40</v>
      </c>
      <c r="D4457">
        <v>4.3965300000000003</v>
      </c>
      <c r="E4457">
        <v>0.47266160000000002</v>
      </c>
      <c r="F4457" t="s">
        <v>71</v>
      </c>
      <c r="G4457">
        <v>-418.1551</v>
      </c>
      <c r="H4457">
        <v>7.9986559999999998E-2</v>
      </c>
      <c r="I4457">
        <v>9.3590239999999998</v>
      </c>
      <c r="J4457">
        <v>-421.26609999999999</v>
      </c>
      <c r="K4457">
        <v>1.1097709999999901</v>
      </c>
      <c r="L4457">
        <v>53.30283</v>
      </c>
      <c r="M4457">
        <v>-1.442062E-2</v>
      </c>
      <c r="N4457">
        <v>0</v>
      </c>
      <c r="O4457">
        <v>-0.99980139999999995</v>
      </c>
      <c r="P4457">
        <v>-1.809301E-2</v>
      </c>
      <c r="Q4457">
        <v>0.12354030000000001</v>
      </c>
      <c r="R4457">
        <v>-0.99217489999999997</v>
      </c>
      <c r="S4457">
        <v>0.2134094</v>
      </c>
      <c r="T4457">
        <v>-7.0747610000000002E-2</v>
      </c>
      <c r="U4457">
        <v>-3.0386350000000002</v>
      </c>
      <c r="V4457">
        <v>3.9618320000000002E-3</v>
      </c>
      <c r="W4457">
        <v>0.13718820000000001</v>
      </c>
      <c r="X4457">
        <v>0.99053709999999995</v>
      </c>
      <c r="Y4457">
        <v>-8.4419830000000001E-2</v>
      </c>
      <c r="Z4457">
        <v>2.3202649999999998E-2</v>
      </c>
      <c r="AA4457">
        <v>0.99616009999999999</v>
      </c>
      <c r="AB4457">
        <v>26</v>
      </c>
      <c r="AC4457">
        <v>3.11099999999999</v>
      </c>
      <c r="AD4457">
        <v>-1.02978443999999</v>
      </c>
      <c r="AE4457">
        <v>-43.943806000000002</v>
      </c>
      <c r="AF4457">
        <v>-3.7423884214044998</v>
      </c>
      <c r="AG4457">
        <v>-1.02978443999999</v>
      </c>
      <c r="AH4457">
        <v>43.870397317311102</v>
      </c>
      <c r="AI4457">
        <v>91.3398116611625</v>
      </c>
      <c r="AJ4457">
        <v>94.875843681201303</v>
      </c>
      <c r="AK4457">
        <v>44.041772079109897</v>
      </c>
      <c r="AL4457">
        <v>82.114828186010996</v>
      </c>
      <c r="AM4457">
        <v>89.770836405523596</v>
      </c>
      <c r="AN4457">
        <v>1.00000002240422</v>
      </c>
    </row>
    <row r="4458" spans="1:40" x14ac:dyDescent="0.25">
      <c r="A4458" t="str">
        <f>"20190312154649332"</f>
        <v>20190312154649332</v>
      </c>
      <c r="B4458" t="str">
        <f>"1552376809322076"</f>
        <v>1552376809322076</v>
      </c>
      <c r="C4458" t="s">
        <v>40</v>
      </c>
      <c r="D4458">
        <v>4.389983</v>
      </c>
      <c r="E4458">
        <v>0.47498629999999997</v>
      </c>
      <c r="F4458" t="s">
        <v>71</v>
      </c>
      <c r="G4458">
        <v>-418.86099999999999</v>
      </c>
      <c r="H4458" s="1">
        <v>-1.3514549999999999E-5</v>
      </c>
      <c r="I4458">
        <v>15.19359</v>
      </c>
      <c r="J4458">
        <v>-421.27019999999999</v>
      </c>
      <c r="K4458">
        <v>1.10982</v>
      </c>
      <c r="L4458">
        <v>53.066249999999997</v>
      </c>
      <c r="M4458">
        <v>-1.4926989999999999E-2</v>
      </c>
      <c r="N4458">
        <v>0</v>
      </c>
      <c r="O4458">
        <v>-0.99979340000000005</v>
      </c>
      <c r="P4458">
        <v>-2.034296E-2</v>
      </c>
      <c r="Q4458">
        <v>0.1181137</v>
      </c>
      <c r="R4458">
        <v>-0.99279170000000005</v>
      </c>
      <c r="S4458">
        <v>0.19174189999999999</v>
      </c>
      <c r="T4458">
        <v>-8.8475230000000002E-2</v>
      </c>
      <c r="U4458">
        <v>-3.0381770000000001</v>
      </c>
      <c r="V4458">
        <v>5.6670359999999899E-3</v>
      </c>
      <c r="W4458">
        <v>0.13179360000000001</v>
      </c>
      <c r="X4458">
        <v>0.99126099999999995</v>
      </c>
      <c r="Y4458">
        <v>-7.7850740000000002E-2</v>
      </c>
      <c r="Z4458">
        <v>2.9030920000000002E-2</v>
      </c>
      <c r="AA4458">
        <v>0.99654229999999999</v>
      </c>
      <c r="AB4458">
        <v>26</v>
      </c>
      <c r="AC4458">
        <v>2.40919999999999</v>
      </c>
      <c r="AD4458">
        <v>-1.10983351455</v>
      </c>
      <c r="AE4458">
        <v>-37.872660000000003</v>
      </c>
      <c r="AF4458">
        <v>-2.9717684533859501</v>
      </c>
      <c r="AG4458">
        <v>-1.10983351455</v>
      </c>
      <c r="AH4458">
        <v>37.800144290087701</v>
      </c>
      <c r="AI4458">
        <v>91.676582858417305</v>
      </c>
      <c r="AJ4458">
        <v>94.495228487865504</v>
      </c>
      <c r="AK4458">
        <v>37.933020529902599</v>
      </c>
      <c r="AL4458">
        <v>82.426750235029701</v>
      </c>
      <c r="AM4458">
        <v>89.672443778435607</v>
      </c>
      <c r="AN4458">
        <v>1.00000001920949</v>
      </c>
    </row>
    <row r="4459" spans="1:40" x14ac:dyDescent="0.25">
      <c r="A4459" t="str">
        <f>"20190312154649355"</f>
        <v>20190312154649355</v>
      </c>
      <c r="B4459" t="str">
        <f>"1552376809342571"</f>
        <v>1552376809342571</v>
      </c>
      <c r="C4459" t="s">
        <v>40</v>
      </c>
      <c r="D4459">
        <v>4.3704839999999896</v>
      </c>
      <c r="E4459">
        <v>0.4768693</v>
      </c>
      <c r="F4459" t="s">
        <v>71</v>
      </c>
      <c r="G4459">
        <v>-419.53030000000001</v>
      </c>
      <c r="H4459" s="1">
        <v>-6.4922939999999999E-6</v>
      </c>
      <c r="I4459">
        <v>21.217469999999999</v>
      </c>
      <c r="J4459">
        <v>-421.2747</v>
      </c>
      <c r="K4459">
        <v>1.1099300000000001</v>
      </c>
      <c r="L4459">
        <v>52.804810000000003</v>
      </c>
      <c r="M4459">
        <v>-1.532674E-2</v>
      </c>
      <c r="N4459">
        <v>0</v>
      </c>
      <c r="O4459">
        <v>-0.99978730000000005</v>
      </c>
      <c r="P4459">
        <v>-2.288898E-2</v>
      </c>
      <c r="Q4459">
        <v>0.1148757</v>
      </c>
      <c r="R4459">
        <v>-0.99311629999999995</v>
      </c>
      <c r="S4459">
        <v>0.16595460000000001</v>
      </c>
      <c r="T4459">
        <v>-0.1058568</v>
      </c>
      <c r="U4459">
        <v>-3.0377809999999998</v>
      </c>
      <c r="V4459">
        <v>7.7693450000000004E-3</v>
      </c>
      <c r="W4459">
        <v>0.12858249999999999</v>
      </c>
      <c r="X4459">
        <v>0.99166840000000001</v>
      </c>
      <c r="Y4459">
        <v>-6.9814870000000001E-2</v>
      </c>
      <c r="Z4459">
        <v>3.4751089999999998E-2</v>
      </c>
      <c r="AA4459">
        <v>0.99695449999999997</v>
      </c>
      <c r="AB4459">
        <v>26</v>
      </c>
      <c r="AC4459">
        <v>1.74439999999998</v>
      </c>
      <c r="AD4459">
        <v>-1.1099364922939901</v>
      </c>
      <c r="AE4459">
        <v>-31.587339999999902</v>
      </c>
      <c r="AF4459">
        <v>-2.2256324277260902</v>
      </c>
      <c r="AG4459">
        <v>-1.1099364922939901</v>
      </c>
      <c r="AH4459">
        <v>31.5180926446806</v>
      </c>
      <c r="AI4459">
        <v>92.011880577541703</v>
      </c>
      <c r="AJ4459">
        <v>94.039204531303497</v>
      </c>
      <c r="AK4459">
        <v>31.616064946146299</v>
      </c>
      <c r="AL4459">
        <v>82.612312047741497</v>
      </c>
      <c r="AM4459">
        <v>89.551118528688306</v>
      </c>
      <c r="AN4459">
        <v>1.0000000187932601</v>
      </c>
    </row>
    <row r="4460" spans="1:40" x14ac:dyDescent="0.25">
      <c r="A4460" t="str">
        <f>"20190312154649377"</f>
        <v>20190312154649377</v>
      </c>
      <c r="B4460" t="str">
        <f>"1552376809371852"</f>
        <v>1552376809371852</v>
      </c>
      <c r="C4460" t="s">
        <v>40</v>
      </c>
      <c r="D4460">
        <v>4.4076000000000004</v>
      </c>
      <c r="E4460">
        <v>0.47879909999999998</v>
      </c>
      <c r="F4460" t="s">
        <v>71</v>
      </c>
      <c r="G4460">
        <v>-419.9083</v>
      </c>
      <c r="H4460" s="1">
        <v>-6.648762E-6</v>
      </c>
      <c r="I4460">
        <v>23.788150000000002</v>
      </c>
      <c r="J4460">
        <v>-421.2792</v>
      </c>
      <c r="K4460">
        <v>1.110063</v>
      </c>
      <c r="L4460">
        <v>52.533290000000001</v>
      </c>
      <c r="M4460">
        <v>-1.554261E-2</v>
      </c>
      <c r="N4460">
        <v>0</v>
      </c>
      <c r="O4460">
        <v>-0.99978359999999999</v>
      </c>
      <c r="P4460">
        <v>-2.5861439999999999E-2</v>
      </c>
      <c r="Q4460">
        <v>0.1123516</v>
      </c>
      <c r="R4460">
        <v>-0.99333199999999999</v>
      </c>
      <c r="S4460">
        <v>0.14303589999999999</v>
      </c>
      <c r="T4460">
        <v>-0.1161909</v>
      </c>
      <c r="U4460">
        <v>-3.0375369999999999</v>
      </c>
      <c r="V4460">
        <v>1.047501E-2</v>
      </c>
      <c r="W4460">
        <v>0.12608430000000001</v>
      </c>
      <c r="X4460">
        <v>0.99196419999999996</v>
      </c>
      <c r="Y4460">
        <v>-6.2524259999999998E-2</v>
      </c>
      <c r="Z4460">
        <v>3.8158299999999999E-2</v>
      </c>
      <c r="AA4460">
        <v>0.99731369999999997</v>
      </c>
      <c r="AB4460">
        <v>26</v>
      </c>
      <c r="AC4460">
        <v>1.3709</v>
      </c>
      <c r="AD4460">
        <v>-1.1100696487620001</v>
      </c>
      <c r="AE4460">
        <v>-28.745139999999999</v>
      </c>
      <c r="AF4460">
        <v>-1.81485119948761</v>
      </c>
      <c r="AG4460">
        <v>-1.1100696487620001</v>
      </c>
      <c r="AH4460">
        <v>28.6776870749251</v>
      </c>
      <c r="AI4460">
        <v>92.212304567088196</v>
      </c>
      <c r="AJ4460">
        <v>93.621102063776206</v>
      </c>
      <c r="AK4460">
        <v>28.756489275791498</v>
      </c>
      <c r="AL4460">
        <v>82.756622780342596</v>
      </c>
      <c r="AM4460">
        <v>89.394986677715593</v>
      </c>
      <c r="AN4460">
        <v>0.99999997531131402</v>
      </c>
    </row>
    <row r="4461" spans="1:40" x14ac:dyDescent="0.25">
      <c r="A4461" t="str">
        <f>"20190312154649400"</f>
        <v>20190312154649400</v>
      </c>
      <c r="B4461" t="str">
        <f>"1552376809392348"</f>
        <v>1552376809392348</v>
      </c>
      <c r="C4461" t="s">
        <v>40</v>
      </c>
      <c r="D4461">
        <v>4.3982409999999996</v>
      </c>
      <c r="E4461">
        <v>0.47979119999999997</v>
      </c>
      <c r="F4461" t="s">
        <v>71</v>
      </c>
      <c r="G4461">
        <v>-420.26220000000001</v>
      </c>
      <c r="H4461" s="1">
        <v>-7.0183159999999998E-6</v>
      </c>
      <c r="I4461">
        <v>26.482489999999999</v>
      </c>
      <c r="J4461">
        <v>-421.28339999999997</v>
      </c>
      <c r="K4461">
        <v>1.1102240000000001</v>
      </c>
      <c r="L4461">
        <v>52.273589999999999</v>
      </c>
      <c r="M4461">
        <v>-1.551612E-2</v>
      </c>
      <c r="N4461">
        <v>0</v>
      </c>
      <c r="O4461">
        <v>-0.9997838</v>
      </c>
      <c r="P4461">
        <v>-2.7954130000000001E-2</v>
      </c>
      <c r="Q4461">
        <v>0.11007450000000001</v>
      </c>
      <c r="R4461">
        <v>-0.99353029999999998</v>
      </c>
      <c r="S4461">
        <v>0.1185913</v>
      </c>
      <c r="T4461">
        <v>-0.12944900000000001</v>
      </c>
      <c r="U4461">
        <v>-3.0378720000000001</v>
      </c>
      <c r="V4461">
        <v>1.253987E-2</v>
      </c>
      <c r="W4461">
        <v>0.123831</v>
      </c>
      <c r="X4461">
        <v>0.99222410000000005</v>
      </c>
      <c r="Y4461">
        <v>-5.4473720000000003E-2</v>
      </c>
      <c r="Z4461">
        <v>4.2517640000000002E-2</v>
      </c>
      <c r="AA4461">
        <v>0.99760959999999999</v>
      </c>
      <c r="AB4461">
        <v>26</v>
      </c>
      <c r="AC4461">
        <v>1.0211999999999599</v>
      </c>
      <c r="AD4461">
        <v>-1.11023101831599</v>
      </c>
      <c r="AE4461">
        <v>-25.7911</v>
      </c>
      <c r="AF4461">
        <v>-1.41866844021311</v>
      </c>
      <c r="AG4461">
        <v>-1.11023101831599</v>
      </c>
      <c r="AH4461">
        <v>25.724553784120499</v>
      </c>
      <c r="AI4461">
        <v>92.467516744433993</v>
      </c>
      <c r="AJ4461">
        <v>93.156574098800306</v>
      </c>
      <c r="AK4461">
        <v>25.787553207883001</v>
      </c>
      <c r="AL4461">
        <v>82.8867475807304</v>
      </c>
      <c r="AM4461">
        <v>89.275926297587304</v>
      </c>
      <c r="AN4461">
        <v>1.00000001476071</v>
      </c>
    </row>
    <row r="4462" spans="1:40" x14ac:dyDescent="0.25">
      <c r="A4462" t="str">
        <f>"20190312154649425"</f>
        <v>20190312154649425</v>
      </c>
      <c r="B4462" t="str">
        <f>"1552376809411867"</f>
        <v>1552376809411867</v>
      </c>
      <c r="C4462" t="s">
        <v>40</v>
      </c>
      <c r="D4462">
        <v>4.4029280000000002</v>
      </c>
      <c r="E4462">
        <v>0.4806144</v>
      </c>
      <c r="F4462" t="s">
        <v>71</v>
      </c>
      <c r="G4462">
        <v>-420.43490000000003</v>
      </c>
      <c r="H4462" s="1">
        <v>-6.538393E-6</v>
      </c>
      <c r="I4462">
        <v>27.685390000000002</v>
      </c>
      <c r="J4462">
        <v>-421.28769999999997</v>
      </c>
      <c r="K4462">
        <v>1.1104369999999999</v>
      </c>
      <c r="L4462">
        <v>51.979640000000003</v>
      </c>
      <c r="M4462">
        <v>-1.515319E-2</v>
      </c>
      <c r="N4462">
        <v>0</v>
      </c>
      <c r="O4462">
        <v>-0.99978889999999998</v>
      </c>
      <c r="P4462">
        <v>-2.9973159999999999E-2</v>
      </c>
      <c r="Q4462">
        <v>0.109112899999999</v>
      </c>
      <c r="R4462">
        <v>-0.99357720000000005</v>
      </c>
      <c r="S4462">
        <v>0.1048279</v>
      </c>
      <c r="T4462">
        <v>-0.1371608</v>
      </c>
      <c r="U4462">
        <v>-3.0376889999999999</v>
      </c>
      <c r="V4462">
        <v>1.485477E-2</v>
      </c>
      <c r="W4462">
        <v>0.1228945</v>
      </c>
      <c r="X4462">
        <v>0.99230859999999999</v>
      </c>
      <c r="Y4462">
        <v>-4.9595189999999997E-2</v>
      </c>
      <c r="Z4462">
        <v>4.5058130000000002E-2</v>
      </c>
      <c r="AA4462">
        <v>0.99775250000000004</v>
      </c>
      <c r="AB4462">
        <v>26</v>
      </c>
      <c r="AC4462">
        <v>0.85279999999994505</v>
      </c>
      <c r="AD4462">
        <v>-1.110443538393</v>
      </c>
      <c r="AE4462">
        <v>-24.294250000000002</v>
      </c>
      <c r="AF4462">
        <v>-1.21833065818268</v>
      </c>
      <c r="AG4462">
        <v>-1.110443538393</v>
      </c>
      <c r="AH4462">
        <v>24.227980709556999</v>
      </c>
      <c r="AI4462">
        <v>92.620899860099996</v>
      </c>
      <c r="AJ4462">
        <v>92.878756430178996</v>
      </c>
      <c r="AK4462">
        <v>24.283996040752701</v>
      </c>
      <c r="AL4462">
        <v>82.9408182682524</v>
      </c>
      <c r="AM4462">
        <v>89.142351424385197</v>
      </c>
      <c r="AN4462">
        <v>1.00000003997798</v>
      </c>
    </row>
    <row r="4463" spans="1:40" x14ac:dyDescent="0.25">
      <c r="A4463" t="str">
        <f>"20190312154649450"</f>
        <v>20190312154649450</v>
      </c>
      <c r="B4463" t="str">
        <f>"1552376809442124"</f>
        <v>1552376809442124</v>
      </c>
      <c r="C4463" t="s">
        <v>40</v>
      </c>
      <c r="D4463">
        <v>4.4234540000000004</v>
      </c>
      <c r="E4463">
        <v>0.48139900000000002</v>
      </c>
      <c r="F4463" t="s">
        <v>71</v>
      </c>
      <c r="G4463">
        <v>-420.55180000000001</v>
      </c>
      <c r="H4463" s="1">
        <v>-6.4314629999999998E-6</v>
      </c>
      <c r="I4463">
        <v>27.964590000000001</v>
      </c>
      <c r="J4463">
        <v>-421.29160000000002</v>
      </c>
      <c r="K4463">
        <v>1.110687</v>
      </c>
      <c r="L4463">
        <v>51.68027</v>
      </c>
      <c r="M4463">
        <v>-1.4365340000000001E-2</v>
      </c>
      <c r="N4463">
        <v>0</v>
      </c>
      <c r="O4463">
        <v>-0.99980060000000004</v>
      </c>
      <c r="P4463">
        <v>-3.1021759999999999E-2</v>
      </c>
      <c r="Q4463">
        <v>0.1083283</v>
      </c>
      <c r="R4463">
        <v>-0.99363140000000005</v>
      </c>
      <c r="S4463">
        <v>9.3078610000000006E-2</v>
      </c>
      <c r="T4463">
        <v>-0.14045829999999901</v>
      </c>
      <c r="U4463">
        <v>-3.0376280000000002</v>
      </c>
      <c r="V4463">
        <v>1.6614440000000001E-2</v>
      </c>
      <c r="W4463">
        <v>0.12213590000000001</v>
      </c>
      <c r="X4463">
        <v>0.99237430000000004</v>
      </c>
      <c r="Y4463">
        <v>-4.4951680000000001E-2</v>
      </c>
      <c r="Z4463">
        <v>4.614882E-2</v>
      </c>
      <c r="AA4463">
        <v>0.99792270000000005</v>
      </c>
      <c r="AB4463">
        <v>26</v>
      </c>
      <c r="AC4463">
        <v>0.73980000000000201</v>
      </c>
      <c r="AD4463">
        <v>-1.1106934314629999</v>
      </c>
      <c r="AE4463">
        <v>-23.715679999999999</v>
      </c>
      <c r="AF4463">
        <v>-1.07807787830476</v>
      </c>
      <c r="AG4463">
        <v>-1.1106934314629999</v>
      </c>
      <c r="AH4463">
        <v>23.650778766430701</v>
      </c>
      <c r="AI4463">
        <v>92.6859774214917</v>
      </c>
      <c r="AJ4463">
        <v>92.609917597175496</v>
      </c>
      <c r="AK4463">
        <v>23.701376079650601</v>
      </c>
      <c r="AL4463">
        <v>82.984612374569707</v>
      </c>
      <c r="AM4463">
        <v>89.040837349569401</v>
      </c>
      <c r="AN4463">
        <v>0.99999998449290595</v>
      </c>
    </row>
    <row r="4464" spans="1:40" x14ac:dyDescent="0.25">
      <c r="A4464" t="str">
        <f>"20190312154649472"</f>
        <v>20190312154649472</v>
      </c>
      <c r="B4464" t="str">
        <f>"1552376809462620"</f>
        <v>1552376809462620</v>
      </c>
      <c r="C4464" t="s">
        <v>40</v>
      </c>
      <c r="D4464">
        <v>4.427905</v>
      </c>
      <c r="E4464">
        <v>0.48168139999999998</v>
      </c>
      <c r="F4464" t="s">
        <v>71</v>
      </c>
      <c r="G4464">
        <v>-420.62079999999997</v>
      </c>
      <c r="H4464" s="1">
        <v>-6.5283010000000001E-6</v>
      </c>
      <c r="I4464">
        <v>27.73667</v>
      </c>
      <c r="J4464">
        <v>-421.29430000000002</v>
      </c>
      <c r="K4464">
        <v>1.110905</v>
      </c>
      <c r="L4464">
        <v>51.431269999999998</v>
      </c>
      <c r="M4464">
        <v>-1.346316E-2</v>
      </c>
      <c r="N4464">
        <v>0</v>
      </c>
      <c r="O4464">
        <v>-0.99981299999999995</v>
      </c>
      <c r="P4464">
        <v>-3.1997560000000001E-2</v>
      </c>
      <c r="Q4464">
        <v>0.1104458</v>
      </c>
      <c r="R4464">
        <v>-0.993367</v>
      </c>
      <c r="S4464">
        <v>8.5083010000000001E-2</v>
      </c>
      <c r="T4464">
        <v>-0.140892299999999</v>
      </c>
      <c r="U4464">
        <v>-3.0372620000000001</v>
      </c>
      <c r="V4464">
        <v>1.8430189999999999E-2</v>
      </c>
      <c r="W4464">
        <v>0.12427149999999999</v>
      </c>
      <c r="X4464">
        <v>0.99207710000000005</v>
      </c>
      <c r="Y4464">
        <v>-4.1428680000000002E-2</v>
      </c>
      <c r="Z4464">
        <v>4.6302839999999998E-2</v>
      </c>
      <c r="AA4464">
        <v>0.99806799999999996</v>
      </c>
      <c r="AB4464">
        <v>26</v>
      </c>
      <c r="AC4464">
        <v>0.67350000000004595</v>
      </c>
      <c r="AD4464">
        <v>-1.110911528301</v>
      </c>
      <c r="AE4464">
        <v>-23.694600000000001</v>
      </c>
      <c r="AF4464">
        <v>-0.99029879773961604</v>
      </c>
      <c r="AG4464">
        <v>-1.110911528301</v>
      </c>
      <c r="AH4464">
        <v>23.631479830092101</v>
      </c>
      <c r="AI4464">
        <v>92.689125896731099</v>
      </c>
      <c r="AJ4464">
        <v>92.399628087112504</v>
      </c>
      <c r="AK4464">
        <v>23.678295020811099</v>
      </c>
      <c r="AL4464">
        <v>82.861312396642404</v>
      </c>
      <c r="AM4464">
        <v>88.935717144241593</v>
      </c>
      <c r="AN4464">
        <v>1.00000002498004</v>
      </c>
    </row>
    <row r="4465" spans="1:40" x14ac:dyDescent="0.25">
      <c r="A4465" t="str">
        <f>"20190312154649513"</f>
        <v>20190312154649513</v>
      </c>
      <c r="B4465" t="str">
        <f>"1552376809502651"</f>
        <v>1552376809502651</v>
      </c>
      <c r="C4465" t="s">
        <v>40</v>
      </c>
      <c r="D4465">
        <v>4.408118</v>
      </c>
      <c r="E4465">
        <v>0.48203610000000002</v>
      </c>
      <c r="F4465" t="s">
        <v>71</v>
      </c>
      <c r="G4465">
        <v>-420.61090000000002</v>
      </c>
      <c r="H4465" s="1">
        <v>-7.2216949999999902E-6</v>
      </c>
      <c r="I4465">
        <v>26.03285</v>
      </c>
      <c r="J4465">
        <v>-421.298</v>
      </c>
      <c r="K4465">
        <v>1.111308</v>
      </c>
      <c r="L4465">
        <v>50.965299999999999</v>
      </c>
      <c r="M4465">
        <v>-1.108556E-2</v>
      </c>
      <c r="N4465">
        <v>0</v>
      </c>
      <c r="O4465">
        <v>-0.99984189999999995</v>
      </c>
      <c r="P4465">
        <v>-3.4896339999999998E-2</v>
      </c>
      <c r="Q4465">
        <v>0.11787060000000001</v>
      </c>
      <c r="R4465">
        <v>-0.99241590000000002</v>
      </c>
      <c r="S4465">
        <v>8.1726069999999998E-2</v>
      </c>
      <c r="T4465">
        <v>-0.132856</v>
      </c>
      <c r="U4465">
        <v>-3.037445</v>
      </c>
      <c r="V4465">
        <v>2.3576130000000001E-2</v>
      </c>
      <c r="W4465">
        <v>0.1317284</v>
      </c>
      <c r="X4465">
        <v>0.99100549999999998</v>
      </c>
      <c r="Y4465">
        <v>-3.7951760000000001E-2</v>
      </c>
      <c r="Z4465">
        <v>4.3669949999999999E-2</v>
      </c>
      <c r="AA4465">
        <v>0.99832489999999996</v>
      </c>
      <c r="AB4465">
        <v>26</v>
      </c>
      <c r="AC4465">
        <v>0.68709999999998606</v>
      </c>
      <c r="AD4465">
        <v>-1.111315221695</v>
      </c>
      <c r="AE4465">
        <v>-24.932449999999999</v>
      </c>
      <c r="AF4465">
        <v>-0.96156571018064196</v>
      </c>
      <c r="AG4465">
        <v>-1.111315221695</v>
      </c>
      <c r="AH4465">
        <v>24.873919148501201</v>
      </c>
      <c r="AI4465">
        <v>92.556248820220105</v>
      </c>
      <c r="AJ4465">
        <v>92.213814277385794</v>
      </c>
      <c r="AK4465">
        <v>24.9172928694741</v>
      </c>
      <c r="AL4465">
        <v>82.430519034180406</v>
      </c>
      <c r="AM4465">
        <v>88.637184159701903</v>
      </c>
      <c r="AN4465">
        <v>1.00000005315129</v>
      </c>
    </row>
    <row r="4466" spans="1:40" x14ac:dyDescent="0.25">
      <c r="A4466" t="str">
        <f>"20190312154649535"</f>
        <v>20190312154649535</v>
      </c>
      <c r="B4466" t="str">
        <f>"1552376809522155"</f>
        <v>1552376809522155</v>
      </c>
      <c r="C4466" t="s">
        <v>40</v>
      </c>
      <c r="D4466">
        <v>4.4246759999999998</v>
      </c>
      <c r="E4466">
        <v>0.4821069</v>
      </c>
      <c r="F4466" t="s">
        <v>71</v>
      </c>
      <c r="G4466">
        <v>-420.53410000000002</v>
      </c>
      <c r="H4466" s="1">
        <v>-1.101543E-5</v>
      </c>
      <c r="I4466">
        <v>19.470369999999999</v>
      </c>
      <c r="J4466">
        <v>-421.29919999999998</v>
      </c>
      <c r="K4466">
        <v>1.1115219999999999</v>
      </c>
      <c r="L4466">
        <v>50.696040000000004</v>
      </c>
      <c r="M4466">
        <v>-9.2985059999999998E-3</v>
      </c>
      <c r="N4466">
        <v>0</v>
      </c>
      <c r="O4466">
        <v>-0.99985990000000002</v>
      </c>
      <c r="P4466">
        <v>-3.6188959999999999E-2</v>
      </c>
      <c r="Q4466">
        <v>0.119359199999999</v>
      </c>
      <c r="R4466">
        <v>-0.99219159999999995</v>
      </c>
      <c r="S4466">
        <v>7.369995E-2</v>
      </c>
      <c r="T4466">
        <v>-0.1072062</v>
      </c>
      <c r="U4466">
        <v>-3.0382389999999999</v>
      </c>
      <c r="V4466">
        <v>2.6575359999999999E-2</v>
      </c>
      <c r="W4466">
        <v>0.13324359999999999</v>
      </c>
      <c r="X4466">
        <v>0.99072689999999997</v>
      </c>
      <c r="Y4466">
        <v>-3.3530890000000001E-2</v>
      </c>
      <c r="Z4466">
        <v>3.5246329999999999E-2</v>
      </c>
      <c r="AA4466">
        <v>0.99881600000000004</v>
      </c>
      <c r="AB4466">
        <v>26</v>
      </c>
      <c r="AC4466">
        <v>0.76509999999996103</v>
      </c>
      <c r="AD4466">
        <v>-1.1115330154299901</v>
      </c>
      <c r="AE4466">
        <v>-31.225670000000001</v>
      </c>
      <c r="AF4466">
        <v>-1.0541122280295101</v>
      </c>
      <c r="AG4466">
        <v>-1.1115330154299901</v>
      </c>
      <c r="AH4466">
        <v>31.1777222867387</v>
      </c>
      <c r="AI4466">
        <v>92.040651515195407</v>
      </c>
      <c r="AJ4466">
        <v>91.936420628125404</v>
      </c>
      <c r="AK4466">
        <v>31.2153331749427</v>
      </c>
      <c r="AL4466">
        <v>82.342931571872001</v>
      </c>
      <c r="AM4466">
        <v>88.463460591932304</v>
      </c>
      <c r="AN4466">
        <v>0.99999994854184804</v>
      </c>
    </row>
    <row r="4467" spans="1:40" x14ac:dyDescent="0.25">
      <c r="A4467" t="str">
        <f>"20190312154649558"</f>
        <v>20190312154649558</v>
      </c>
      <c r="B4467" t="str">
        <f>"1552376809552412"</f>
        <v>1552376809552412</v>
      </c>
      <c r="C4467" t="s">
        <v>40</v>
      </c>
      <c r="D4467">
        <v>4.4155860000000002</v>
      </c>
      <c r="E4467">
        <v>0.48219489999999998</v>
      </c>
      <c r="F4467" t="s">
        <v>71</v>
      </c>
      <c r="G4467">
        <v>-420.52539999999999</v>
      </c>
      <c r="H4467" s="1">
        <v>-1.081938E-5</v>
      </c>
      <c r="I4467">
        <v>17.530329999999999</v>
      </c>
      <c r="J4467">
        <v>-421.2996</v>
      </c>
      <c r="K4467">
        <v>1.1117109999999999</v>
      </c>
      <c r="L4467">
        <v>50.42886</v>
      </c>
      <c r="M4467">
        <v>-7.2630169999999897E-3</v>
      </c>
      <c r="N4467">
        <v>0</v>
      </c>
      <c r="O4467">
        <v>-0.9998766</v>
      </c>
      <c r="P4467">
        <v>-3.6363260000000001E-2</v>
      </c>
      <c r="Q4467">
        <v>0.12050569999999999</v>
      </c>
      <c r="R4467">
        <v>-0.99204680000000001</v>
      </c>
      <c r="S4467">
        <v>7.0892330000000003E-2</v>
      </c>
      <c r="T4467">
        <v>-0.1018323</v>
      </c>
      <c r="U4467">
        <v>-3.0384519999999999</v>
      </c>
      <c r="V4467">
        <v>2.870584E-2</v>
      </c>
      <c r="W4467">
        <v>0.13441649999999999</v>
      </c>
      <c r="X4467">
        <v>0.99050899999999997</v>
      </c>
      <c r="Y4467">
        <v>-3.057344E-2</v>
      </c>
      <c r="Z4467">
        <v>3.348201E-2</v>
      </c>
      <c r="AA4467">
        <v>0.99897159999999996</v>
      </c>
      <c r="AB4467">
        <v>26</v>
      </c>
      <c r="AC4467">
        <v>0.77420000000000699</v>
      </c>
      <c r="AD4467">
        <v>-1.11172181938</v>
      </c>
      <c r="AE4467">
        <v>-32.898530000000001</v>
      </c>
      <c r="AF4467">
        <v>-1.0119903611827401</v>
      </c>
      <c r="AG4467">
        <v>-1.11172181938</v>
      </c>
      <c r="AH4467">
        <v>32.854541721768797</v>
      </c>
      <c r="AI4467">
        <v>91.937099404248201</v>
      </c>
      <c r="AJ4467">
        <v>91.764275090040499</v>
      </c>
      <c r="AK4467">
        <v>32.888918523451999</v>
      </c>
      <c r="AL4467">
        <v>82.275119336200405</v>
      </c>
      <c r="AM4467">
        <v>88.339981516894895</v>
      </c>
      <c r="AN4467">
        <v>0.99999994990167596</v>
      </c>
    </row>
    <row r="4468" spans="1:40" x14ac:dyDescent="0.25">
      <c r="A4468" t="str">
        <f>"20190312154649581"</f>
        <v>20190312154649581</v>
      </c>
      <c r="B4468" t="str">
        <f>"1552376809571932"</f>
        <v>1552376809571932</v>
      </c>
      <c r="C4468" t="s">
        <v>40</v>
      </c>
      <c r="D4468">
        <v>4.4161130000000002</v>
      </c>
      <c r="E4468">
        <v>0.4821915</v>
      </c>
      <c r="F4468" t="s">
        <v>71</v>
      </c>
      <c r="G4468">
        <v>-420.48590000000002</v>
      </c>
      <c r="H4468" s="1">
        <v>-1.0642319999999999E-5</v>
      </c>
      <c r="I4468">
        <v>15.614179999999999</v>
      </c>
      <c r="J4468">
        <v>-421.29910000000001</v>
      </c>
      <c r="K4468">
        <v>1.1118950000000001</v>
      </c>
      <c r="L4468">
        <v>50.164520000000003</v>
      </c>
      <c r="M4468">
        <v>-4.9855180000000004E-3</v>
      </c>
      <c r="N4468">
        <v>0</v>
      </c>
      <c r="O4468">
        <v>-0.99989050000000002</v>
      </c>
      <c r="P4468">
        <v>-3.5833770000000001E-2</v>
      </c>
      <c r="Q4468">
        <v>0.119891</v>
      </c>
      <c r="R4468">
        <v>-0.99214049999999998</v>
      </c>
      <c r="S4468">
        <v>7.1014399999999894E-2</v>
      </c>
      <c r="T4468">
        <v>-9.7025509999999995E-2</v>
      </c>
      <c r="U4468">
        <v>-3.0384519999999999</v>
      </c>
      <c r="V4468">
        <v>3.0379630000000001E-2</v>
      </c>
      <c r="W4468">
        <v>0.13383010000000001</v>
      </c>
      <c r="X4468">
        <v>0.99053849999999999</v>
      </c>
      <c r="Y4468">
        <v>-2.8337979999999999E-2</v>
      </c>
      <c r="Z4468">
        <v>3.1904920000000003E-2</v>
      </c>
      <c r="AA4468">
        <v>0.99908909999999995</v>
      </c>
      <c r="AB4468">
        <v>26</v>
      </c>
      <c r="AC4468">
        <v>0.81319999999999404</v>
      </c>
      <c r="AD4468">
        <v>-1.11190564232</v>
      </c>
      <c r="AE4468">
        <v>-34.550339999999998</v>
      </c>
      <c r="AF4468">
        <v>-0.98443894355749795</v>
      </c>
      <c r="AG4468">
        <v>-1.11190564232</v>
      </c>
      <c r="AH4468">
        <v>34.510133786727202</v>
      </c>
      <c r="AI4468">
        <v>91.844663704249996</v>
      </c>
      <c r="AJ4468">
        <v>91.6339810522433</v>
      </c>
      <c r="AK4468">
        <v>34.542072725429001</v>
      </c>
      <c r="AL4468">
        <v>82.309024069399399</v>
      </c>
      <c r="AM4468">
        <v>88.243299857139505</v>
      </c>
      <c r="AN4468">
        <v>0.99999996878359798</v>
      </c>
    </row>
    <row r="4469" spans="1:40" x14ac:dyDescent="0.25">
      <c r="A4469" t="str">
        <f>"20190312154649605"</f>
        <v>20190312154649605</v>
      </c>
      <c r="B4469" t="str">
        <f>"1552376809592427"</f>
        <v>1552376809592427</v>
      </c>
      <c r="C4469" t="s">
        <v>40</v>
      </c>
      <c r="D4469">
        <v>4.4187349999999999</v>
      </c>
      <c r="E4469">
        <v>0.48208529999999999</v>
      </c>
      <c r="F4469" t="s">
        <v>71</v>
      </c>
      <c r="G4469">
        <v>-420.48419999999999</v>
      </c>
      <c r="H4469" s="1">
        <v>-1.06790899999999E-5</v>
      </c>
      <c r="I4469">
        <v>15.97621</v>
      </c>
      <c r="J4469">
        <v>-421.29770000000002</v>
      </c>
      <c r="K4469">
        <v>1.1120589999999999</v>
      </c>
      <c r="L4469">
        <v>49.893590000000003</v>
      </c>
      <c r="M4469">
        <v>-2.395482E-3</v>
      </c>
      <c r="N4469">
        <v>0</v>
      </c>
      <c r="O4469">
        <v>-0.99989989999999995</v>
      </c>
      <c r="P4469">
        <v>-3.3915510000000003E-2</v>
      </c>
      <c r="Q4469">
        <v>0.1178143</v>
      </c>
      <c r="R4469">
        <v>-0.99245640000000002</v>
      </c>
      <c r="S4469">
        <v>7.2418209999999997E-2</v>
      </c>
      <c r="T4469">
        <v>-9.8815559999999997E-2</v>
      </c>
      <c r="U4469">
        <v>-3.0383300000000002</v>
      </c>
      <c r="V4469">
        <v>3.0984330000000001E-2</v>
      </c>
      <c r="W4469">
        <v>0.1317808</v>
      </c>
      <c r="X4469">
        <v>0.99079450000000002</v>
      </c>
      <c r="Y4469">
        <v>-2.6210489999999999E-2</v>
      </c>
      <c r="Z4469">
        <v>3.2495459999999997E-2</v>
      </c>
      <c r="AA4469">
        <v>0.99912820000000002</v>
      </c>
      <c r="AB4469">
        <v>26</v>
      </c>
      <c r="AC4469">
        <v>0.81350000000003297</v>
      </c>
      <c r="AD4469">
        <v>-1.11206967909</v>
      </c>
      <c r="AE4469">
        <v>-33.917380000000001</v>
      </c>
      <c r="AF4469">
        <v>-0.89379373930900097</v>
      </c>
      <c r="AG4469">
        <v>-1.11206967909</v>
      </c>
      <c r="AH4469">
        <v>33.878933920395397</v>
      </c>
      <c r="AI4469">
        <v>91.8793947703698</v>
      </c>
      <c r="AJ4469">
        <v>91.511226211373497</v>
      </c>
      <c r="AK4469">
        <v>33.908962381678599</v>
      </c>
      <c r="AL4469">
        <v>82.427489733998797</v>
      </c>
      <c r="AM4469">
        <v>88.208818306945005</v>
      </c>
      <c r="AN4469">
        <v>0.99999997459221901</v>
      </c>
    </row>
    <row r="4470" spans="1:40" x14ac:dyDescent="0.25">
      <c r="A4470" t="str">
        <f>"20190312154649647"</f>
        <v>20190312154649647</v>
      </c>
      <c r="B4470" t="str">
        <f>"1552376809642204"</f>
        <v>1552376809642204</v>
      </c>
      <c r="C4470" t="s">
        <v>40</v>
      </c>
      <c r="D4470">
        <v>4.2758969999999996</v>
      </c>
      <c r="E4470">
        <v>0.45089639999999997</v>
      </c>
      <c r="F4470" t="s">
        <v>71</v>
      </c>
      <c r="G4470">
        <v>-420.47969999999998</v>
      </c>
      <c r="H4470" s="1">
        <v>-1.08779E-5</v>
      </c>
      <c r="I4470">
        <v>17.950199999999999</v>
      </c>
      <c r="J4470">
        <v>-421.29270000000002</v>
      </c>
      <c r="K4470">
        <v>1.1122609999999999</v>
      </c>
      <c r="L4470">
        <v>49.416350000000001</v>
      </c>
      <c r="M4470">
        <v>2.6479950000000002E-3</v>
      </c>
      <c r="N4470">
        <v>0</v>
      </c>
      <c r="O4470">
        <v>-0.99989890000000003</v>
      </c>
      <c r="P4470">
        <v>-2.8399520000000001E-2</v>
      </c>
      <c r="Q4470">
        <v>0.1105641</v>
      </c>
      <c r="R4470">
        <v>-0.99346299999999998</v>
      </c>
      <c r="S4470">
        <v>7.778931E-2</v>
      </c>
      <c r="T4470">
        <v>-0.1057651</v>
      </c>
      <c r="U4470">
        <v>-3.0380250000000002</v>
      </c>
      <c r="V4470">
        <v>3.0438980000000001E-2</v>
      </c>
      <c r="W4470">
        <v>0.1245719</v>
      </c>
      <c r="X4470">
        <v>0.99174359999999995</v>
      </c>
      <c r="Y4470">
        <v>-2.2933869999999999E-2</v>
      </c>
      <c r="Z4470">
        <v>3.4782239999999999E-2</v>
      </c>
      <c r="AA4470">
        <v>0.99913169999999996</v>
      </c>
      <c r="AB4470">
        <v>26</v>
      </c>
      <c r="AC4470">
        <v>0.81300000000004502</v>
      </c>
      <c r="AD4470">
        <v>-1.1122718779</v>
      </c>
      <c r="AE4470">
        <v>-31.466149999999999</v>
      </c>
      <c r="AF4470">
        <v>-0.72875683779928602</v>
      </c>
      <c r="AG4470">
        <v>-1.1122718779</v>
      </c>
      <c r="AH4470">
        <v>31.4289485581542</v>
      </c>
      <c r="AI4470">
        <v>92.026310066302798</v>
      </c>
      <c r="AJ4470">
        <v>91.328304387731094</v>
      </c>
      <c r="AK4470">
        <v>31.4570666580676</v>
      </c>
      <c r="AL4470">
        <v>82.843965981688299</v>
      </c>
      <c r="AM4470">
        <v>88.242007552232707</v>
      </c>
      <c r="AN4470">
        <v>1.0000000289569999</v>
      </c>
    </row>
    <row r="4471" spans="1:40" x14ac:dyDescent="0.25">
      <c r="A4471" t="str">
        <f>"20190312154649669"</f>
        <v>20190312154649669</v>
      </c>
      <c r="B4471" t="str">
        <f>"1552376809662700"</f>
        <v>1552376809662700</v>
      </c>
      <c r="C4471" t="s">
        <v>40</v>
      </c>
      <c r="D4471">
        <v>4.3265719999999996</v>
      </c>
      <c r="E4471">
        <v>0.44790869999999999</v>
      </c>
      <c r="F4471" t="s">
        <v>71</v>
      </c>
      <c r="G4471">
        <v>-418.71109999999999</v>
      </c>
      <c r="H4471" s="1">
        <v>-7.3654839999999996E-6</v>
      </c>
      <c r="I4471">
        <v>26.42409</v>
      </c>
      <c r="J4471">
        <v>-421.28859999999997</v>
      </c>
      <c r="K4471">
        <v>1.1123270000000001</v>
      </c>
      <c r="L4471">
        <v>49.148319999999998</v>
      </c>
      <c r="M4471">
        <v>5.6528780000000001E-3</v>
      </c>
      <c r="N4471">
        <v>0</v>
      </c>
      <c r="O4471">
        <v>-0.99988679999999996</v>
      </c>
      <c r="P4471">
        <v>-2.2736079999999999E-2</v>
      </c>
      <c r="Q4471">
        <v>0.1074893</v>
      </c>
      <c r="R4471">
        <v>-0.99394649999999996</v>
      </c>
      <c r="S4471">
        <v>0.3420105</v>
      </c>
      <c r="T4471">
        <v>-0.14734920000000001</v>
      </c>
      <c r="U4471">
        <v>-3.0459290000000001</v>
      </c>
      <c r="V4471">
        <v>2.7756980000000001E-2</v>
      </c>
      <c r="W4471">
        <v>0.12150030000000001</v>
      </c>
      <c r="X4471">
        <v>0.99220319999999995</v>
      </c>
      <c r="Y4471">
        <v>-0.1058346</v>
      </c>
      <c r="Z4471">
        <v>4.8031890000000001E-2</v>
      </c>
      <c r="AA4471">
        <v>0.99322299999999997</v>
      </c>
      <c r="AB4471">
        <v>26</v>
      </c>
      <c r="AC4471">
        <v>2.5774999999999801</v>
      </c>
      <c r="AD4471">
        <v>-1.1123343654839899</v>
      </c>
      <c r="AE4471">
        <v>-22.724229999999899</v>
      </c>
      <c r="AF4471">
        <v>-2.4432093722111801</v>
      </c>
      <c r="AG4471">
        <v>-1.1123343654839899</v>
      </c>
      <c r="AH4471">
        <v>22.684775532985501</v>
      </c>
      <c r="AI4471">
        <v>92.791100016721501</v>
      </c>
      <c r="AJ4471">
        <v>96.147208771032695</v>
      </c>
      <c r="AK4471">
        <v>22.8430646096148</v>
      </c>
      <c r="AL4471">
        <v>83.021302806281696</v>
      </c>
      <c r="AM4471">
        <v>88.397562992938305</v>
      </c>
      <c r="AN4471">
        <v>0.99999998146452496</v>
      </c>
    </row>
    <row r="4472" spans="1:40" x14ac:dyDescent="0.25">
      <c r="A4472" t="str">
        <f>"20190312154649691"</f>
        <v>20190312154649691</v>
      </c>
      <c r="B4472" t="str">
        <f>"1552376809682220"</f>
        <v>1552376809682220</v>
      </c>
      <c r="C4472" t="s">
        <v>40</v>
      </c>
      <c r="D4472">
        <v>4.4182759999999996</v>
      </c>
      <c r="E4472">
        <v>0.44647399999999998</v>
      </c>
      <c r="F4472" t="s">
        <v>71</v>
      </c>
      <c r="G4472">
        <v>-418.5249</v>
      </c>
      <c r="H4472" s="1">
        <v>-7.5081610000000004E-6</v>
      </c>
      <c r="I4472">
        <v>27.111730000000001</v>
      </c>
      <c r="J4472">
        <v>-421.28410000000002</v>
      </c>
      <c r="K4472">
        <v>1.1123529999999999</v>
      </c>
      <c r="L4472">
        <v>48.902769999999997</v>
      </c>
      <c r="M4472">
        <v>8.4683629999999996E-3</v>
      </c>
      <c r="N4472">
        <v>0</v>
      </c>
      <c r="O4472">
        <v>-0.99986660000000005</v>
      </c>
      <c r="P4472">
        <v>-1.5391449999999999E-2</v>
      </c>
      <c r="Q4472">
        <v>0.104236999999999</v>
      </c>
      <c r="R4472">
        <v>-0.99443349999999997</v>
      </c>
      <c r="S4472">
        <v>0.38171389999999999</v>
      </c>
      <c r="T4472">
        <v>-0.153631399999999</v>
      </c>
      <c r="U4472">
        <v>-3.0436100000000001</v>
      </c>
      <c r="V4472">
        <v>2.322049E-2</v>
      </c>
      <c r="W4472">
        <v>0.1182376</v>
      </c>
      <c r="X4472">
        <v>0.99271379999999998</v>
      </c>
      <c r="Y4472">
        <v>-0.1158763</v>
      </c>
      <c r="Z4472">
        <v>5.0044539999999998E-2</v>
      </c>
      <c r="AA4472">
        <v>0.9920021</v>
      </c>
      <c r="AB4472">
        <v>26</v>
      </c>
      <c r="AC4472">
        <v>2.7592000000000199</v>
      </c>
      <c r="AD4472">
        <v>-1.112360508161</v>
      </c>
      <c r="AE4472">
        <v>-21.791039999999999</v>
      </c>
      <c r="AF4472">
        <v>-2.56796268967988</v>
      </c>
      <c r="AG4472">
        <v>-1.112360508161</v>
      </c>
      <c r="AH4472">
        <v>21.757825542988101</v>
      </c>
      <c r="AI4472">
        <v>92.9065378874093</v>
      </c>
      <c r="AJ4472">
        <v>96.731182551889106</v>
      </c>
      <c r="AK4472">
        <v>21.9370634004373</v>
      </c>
      <c r="AL4472">
        <v>83.209599669027895</v>
      </c>
      <c r="AM4472">
        <v>88.660043295403895</v>
      </c>
      <c r="AN4472">
        <v>1.00000000496002</v>
      </c>
    </row>
    <row r="4473" spans="1:40" x14ac:dyDescent="0.25">
      <c r="A4473" t="str">
        <f>"20190312154649713"</f>
        <v>20190312154649713</v>
      </c>
      <c r="B4473" t="str">
        <f>"1552376809702715"</f>
        <v>1552376809702715</v>
      </c>
      <c r="C4473" t="s">
        <v>40</v>
      </c>
      <c r="D4473">
        <v>4.3987949999999998</v>
      </c>
      <c r="E4473">
        <v>0.4455595</v>
      </c>
      <c r="F4473" t="s">
        <v>71</v>
      </c>
      <c r="G4473">
        <v>-418.45819999999998</v>
      </c>
      <c r="H4473" s="1">
        <v>-7.6467150000000002E-6</v>
      </c>
      <c r="I4473">
        <v>28.135359999999999</v>
      </c>
      <c r="J4473">
        <v>-421.27850000000001</v>
      </c>
      <c r="K4473">
        <v>1.112357</v>
      </c>
      <c r="L4473">
        <v>48.640439999999998</v>
      </c>
      <c r="M4473">
        <v>1.1523159999999999E-2</v>
      </c>
      <c r="N4473">
        <v>0</v>
      </c>
      <c r="O4473">
        <v>-0.99983599999999995</v>
      </c>
      <c r="P4473">
        <v>-5.2460340000000001E-3</v>
      </c>
      <c r="Q4473">
        <v>9.9310590000000004E-2</v>
      </c>
      <c r="R4473">
        <v>-0.99504280000000001</v>
      </c>
      <c r="S4473">
        <v>0.41369630000000002</v>
      </c>
      <c r="T4473">
        <v>-0.1628444</v>
      </c>
      <c r="U4473">
        <v>-3.0402529999999999</v>
      </c>
      <c r="V4473">
        <v>1.6139199999999999E-2</v>
      </c>
      <c r="W4473">
        <v>0.1132891</v>
      </c>
      <c r="X4473">
        <v>0.99343099999999995</v>
      </c>
      <c r="Y4473">
        <v>-0.1232128</v>
      </c>
      <c r="Z4473">
        <v>5.303339E-2</v>
      </c>
      <c r="AA4473">
        <v>0.99096220000000002</v>
      </c>
      <c r="AB4473">
        <v>26</v>
      </c>
      <c r="AC4473">
        <v>2.8203000000000298</v>
      </c>
      <c r="AD4473">
        <v>-1.1123646467149999</v>
      </c>
      <c r="AE4473">
        <v>-20.50508</v>
      </c>
      <c r="AF4473">
        <v>-2.5763651872372901</v>
      </c>
      <c r="AG4473">
        <v>-1.1123646467149999</v>
      </c>
      <c r="AH4473">
        <v>20.477077679124001</v>
      </c>
      <c r="AI4473">
        <v>93.085114776542994</v>
      </c>
      <c r="AJ4473">
        <v>97.171104134399698</v>
      </c>
      <c r="AK4473">
        <v>20.668471713267699</v>
      </c>
      <c r="AL4473">
        <v>83.495047369292706</v>
      </c>
      <c r="AM4473">
        <v>89.069259259175695</v>
      </c>
      <c r="AN4473">
        <v>1.00000002285822</v>
      </c>
    </row>
    <row r="4474" spans="1:40" x14ac:dyDescent="0.25">
      <c r="A4474" t="str">
        <f>"20190312154649735"</f>
        <v>20190312154649735</v>
      </c>
      <c r="B4474" t="str">
        <f>"1552376809722236"</f>
        <v>1552376809722236</v>
      </c>
      <c r="C4474" t="s">
        <v>40</v>
      </c>
      <c r="D4474">
        <v>4.3443490000000002</v>
      </c>
      <c r="E4474">
        <v>0.4449729</v>
      </c>
      <c r="F4474" t="s">
        <v>71</v>
      </c>
      <c r="G4474">
        <v>-418.45280000000002</v>
      </c>
      <c r="H4474" s="1">
        <v>-7.8122100000000002E-6</v>
      </c>
      <c r="I4474">
        <v>29.58991</v>
      </c>
      <c r="J4474">
        <v>-421.2722</v>
      </c>
      <c r="K4474">
        <v>1.1123590000000001</v>
      </c>
      <c r="L4474">
        <v>48.384799999999998</v>
      </c>
      <c r="M4474">
        <v>1.452985E-2</v>
      </c>
      <c r="N4474">
        <v>0</v>
      </c>
      <c r="O4474">
        <v>-0.99979669999999998</v>
      </c>
      <c r="P4474">
        <v>5.4644849999999998E-3</v>
      </c>
      <c r="Q4474">
        <v>9.6063930000000006E-2</v>
      </c>
      <c r="R4474">
        <v>-0.99536029999999998</v>
      </c>
      <c r="S4474">
        <v>0.45016479999999998</v>
      </c>
      <c r="T4474">
        <v>-0.1772146</v>
      </c>
      <c r="U4474">
        <v>-3.0350039999999998</v>
      </c>
      <c r="V4474">
        <v>8.4388390000000001E-3</v>
      </c>
      <c r="W4474">
        <v>0.1100119</v>
      </c>
      <c r="X4474">
        <v>0.99389450000000001</v>
      </c>
      <c r="Y4474">
        <v>-0.13208520000000001</v>
      </c>
      <c r="Z4474">
        <v>5.7711810000000002E-2</v>
      </c>
      <c r="AA4474">
        <v>0.98955689999999996</v>
      </c>
      <c r="AB4474">
        <v>26</v>
      </c>
      <c r="AC4474">
        <v>2.8193999999999702</v>
      </c>
      <c r="AD4474">
        <v>-1.1123668122099999</v>
      </c>
      <c r="AE4474">
        <v>-18.794889999999999</v>
      </c>
      <c r="AF4474">
        <v>-2.53729662139264</v>
      </c>
      <c r="AG4474">
        <v>-1.1123668122099999</v>
      </c>
      <c r="AH4474">
        <v>18.769575679573101</v>
      </c>
      <c r="AI4474">
        <v>93.361129850974507</v>
      </c>
      <c r="AJ4474">
        <v>97.698652261237399</v>
      </c>
      <c r="AK4474">
        <v>18.9729334911884</v>
      </c>
      <c r="AL4474">
        <v>83.683998794083095</v>
      </c>
      <c r="AM4474">
        <v>89.513531627160802</v>
      </c>
      <c r="AN4474">
        <v>1.0000000546377601</v>
      </c>
    </row>
    <row r="4475" spans="1:40" x14ac:dyDescent="0.25">
      <c r="A4475" t="str">
        <f>"20190312154649757"</f>
        <v>20190312154649757</v>
      </c>
      <c r="B4475" t="str">
        <f>"1552376809752496"</f>
        <v>1552376809752496</v>
      </c>
      <c r="C4475" t="s">
        <v>40</v>
      </c>
      <c r="D4475">
        <v>4.404827</v>
      </c>
      <c r="E4475">
        <v>0.44436940000000003</v>
      </c>
      <c r="F4475" t="s">
        <v>71</v>
      </c>
      <c r="G4475">
        <v>-418.36849999999998</v>
      </c>
      <c r="H4475" s="1">
        <v>-5.711934E-6</v>
      </c>
      <c r="I4475">
        <v>30.304729999999999</v>
      </c>
      <c r="J4475">
        <v>-421.26519999999999</v>
      </c>
      <c r="K4475">
        <v>1.1123799999999999</v>
      </c>
      <c r="L4475">
        <v>48.132809999999999</v>
      </c>
      <c r="M4475">
        <v>1.75242E-2</v>
      </c>
      <c r="N4475">
        <v>0</v>
      </c>
      <c r="O4475">
        <v>-0.99974870000000005</v>
      </c>
      <c r="P4475">
        <v>1.6244160000000001E-2</v>
      </c>
      <c r="Q4475">
        <v>9.5295089999999999E-2</v>
      </c>
      <c r="R4475">
        <v>-0.99531639999999999</v>
      </c>
      <c r="S4475">
        <v>0.48651119999999998</v>
      </c>
      <c r="T4475">
        <v>-0.1863756</v>
      </c>
      <c r="U4475">
        <v>-3.0292970000000001</v>
      </c>
      <c r="V4475">
        <v>6.3984099999999896E-4</v>
      </c>
      <c r="W4475">
        <v>0.1092076</v>
      </c>
      <c r="X4475">
        <v>0.99401870000000003</v>
      </c>
      <c r="Y4475">
        <v>-0.1409492</v>
      </c>
      <c r="Z4475">
        <v>6.0700240000000003E-2</v>
      </c>
      <c r="AA4475">
        <v>0.98815419999999998</v>
      </c>
      <c r="AB4475">
        <v>26</v>
      </c>
      <c r="AC4475">
        <v>2.8967000000000001</v>
      </c>
      <c r="AD4475">
        <v>-1.1123857119339999</v>
      </c>
      <c r="AE4475">
        <v>-17.82808</v>
      </c>
      <c r="AF4475">
        <v>-2.5740383405587202</v>
      </c>
      <c r="AG4475">
        <v>-1.1123857119339999</v>
      </c>
      <c r="AH4475">
        <v>17.8085608529151</v>
      </c>
      <c r="AI4475">
        <v>93.537586211424895</v>
      </c>
      <c r="AJ4475">
        <v>98.224537402557104</v>
      </c>
      <c r="AK4475">
        <v>18.027975898662699</v>
      </c>
      <c r="AL4475">
        <v>83.730360430235507</v>
      </c>
      <c r="AM4475">
        <v>89.963119221201495</v>
      </c>
      <c r="AN4475">
        <v>0.999999942621976</v>
      </c>
    </row>
    <row r="4476" spans="1:40" x14ac:dyDescent="0.25">
      <c r="A4476" t="str">
        <f>"20190312154649781"</f>
        <v>20190312154649781</v>
      </c>
      <c r="B4476" t="str">
        <f>"1552376809772012"</f>
        <v>1552376809772012</v>
      </c>
      <c r="C4476" t="s">
        <v>40</v>
      </c>
      <c r="D4476">
        <v>4.3741539999999999</v>
      </c>
      <c r="E4476">
        <v>0.44435580000000002</v>
      </c>
      <c r="F4476" t="s">
        <v>71</v>
      </c>
      <c r="G4476">
        <v>-418.19929999999999</v>
      </c>
      <c r="H4476" s="1">
        <v>-5.6728920000000001E-6</v>
      </c>
      <c r="I4476">
        <v>30.477689999999999</v>
      </c>
      <c r="J4476">
        <v>-421.25670000000002</v>
      </c>
      <c r="K4476">
        <v>1.1124229999999999</v>
      </c>
      <c r="L4476">
        <v>47.860349999999997</v>
      </c>
      <c r="M4476">
        <v>2.0816330000000001E-2</v>
      </c>
      <c r="N4476">
        <v>0</v>
      </c>
      <c r="O4476">
        <v>-0.99968559999999995</v>
      </c>
      <c r="P4476">
        <v>2.631029E-2</v>
      </c>
      <c r="Q4476">
        <v>9.6851179999999995E-2</v>
      </c>
      <c r="R4476">
        <v>-0.99495129999999998</v>
      </c>
      <c r="S4476">
        <v>0.52508540000000004</v>
      </c>
      <c r="T4476">
        <v>-0.19051889999999999</v>
      </c>
      <c r="U4476">
        <v>-3.0238040000000002</v>
      </c>
      <c r="V4476">
        <v>-6.1714509999999997E-3</v>
      </c>
      <c r="W4476">
        <v>0.11072709999999999</v>
      </c>
      <c r="X4476">
        <v>0.99383169999999998</v>
      </c>
      <c r="Y4476">
        <v>-0.15021229999999999</v>
      </c>
      <c r="Z4476">
        <v>6.204221E-2</v>
      </c>
      <c r="AA4476">
        <v>0.9867051</v>
      </c>
      <c r="AB4476">
        <v>26</v>
      </c>
      <c r="AC4476">
        <v>3.0574000000000199</v>
      </c>
      <c r="AD4476">
        <v>-1.1124286728920001</v>
      </c>
      <c r="AE4476">
        <v>-17.382659999999898</v>
      </c>
      <c r="AF4476">
        <v>-2.6841954822018699</v>
      </c>
      <c r="AG4476">
        <v>-1.1124286728920001</v>
      </c>
      <c r="AH4476">
        <v>17.373523926697601</v>
      </c>
      <c r="AI4476">
        <v>93.620810583822504</v>
      </c>
      <c r="AJ4476">
        <v>98.782710119478907</v>
      </c>
      <c r="AK4476">
        <v>17.6148158256191</v>
      </c>
      <c r="AL4476">
        <v>83.642768697733999</v>
      </c>
      <c r="AM4476">
        <v>90.355788158939404</v>
      </c>
      <c r="AN4476">
        <v>1.0000000127033699</v>
      </c>
    </row>
    <row r="4477" spans="1:40" x14ac:dyDescent="0.25">
      <c r="A4477" t="str">
        <f>"20190312154649802"</f>
        <v>20190312154649802</v>
      </c>
      <c r="B4477" t="str">
        <f>"1552376809792509"</f>
        <v>1552376809792509</v>
      </c>
      <c r="C4477" t="s">
        <v>40</v>
      </c>
      <c r="D4477">
        <v>4.4194909999999998</v>
      </c>
      <c r="E4477">
        <v>0.44446249999999998</v>
      </c>
      <c r="F4477" t="s">
        <v>71</v>
      </c>
      <c r="G4477">
        <v>-417.88400000000001</v>
      </c>
      <c r="H4477" s="1">
        <v>-8.0083899999999903E-6</v>
      </c>
      <c r="I4477">
        <v>29.55893</v>
      </c>
      <c r="J4477">
        <v>-421.2484</v>
      </c>
      <c r="K4477">
        <v>1.112487</v>
      </c>
      <c r="L4477">
        <v>47.623080000000002</v>
      </c>
      <c r="M4477">
        <v>2.376528E-2</v>
      </c>
      <c r="N4477">
        <v>0</v>
      </c>
      <c r="O4477">
        <v>-0.99961979999999995</v>
      </c>
      <c r="P4477">
        <v>3.331895E-2</v>
      </c>
      <c r="Q4477">
        <v>9.9203230000000003E-2</v>
      </c>
      <c r="R4477">
        <v>-0.99450939999999999</v>
      </c>
      <c r="S4477">
        <v>0.55624390000000001</v>
      </c>
      <c r="T4477">
        <v>-0.1834682</v>
      </c>
      <c r="U4477">
        <v>-3.0183719999999998</v>
      </c>
      <c r="V4477">
        <v>-1.027878E-2</v>
      </c>
      <c r="W4477">
        <v>0.11305510000000001</v>
      </c>
      <c r="X4477">
        <v>0.99353559999999996</v>
      </c>
      <c r="Y4477">
        <v>-0.15748529999999999</v>
      </c>
      <c r="Z4477">
        <v>5.9766390000000003E-2</v>
      </c>
      <c r="AA4477">
        <v>0.98571109999999995</v>
      </c>
      <c r="AB4477">
        <v>26</v>
      </c>
      <c r="AC4477">
        <v>3.3643999999999799</v>
      </c>
      <c r="AD4477">
        <v>-1.11249500839</v>
      </c>
      <c r="AE4477">
        <v>-18.064150000000001</v>
      </c>
      <c r="AF4477">
        <v>-2.9233918996058001</v>
      </c>
      <c r="AG4477">
        <v>-1.11249500839</v>
      </c>
      <c r="AH4477">
        <v>18.072762274225301</v>
      </c>
      <c r="AI4477">
        <v>93.477393292002901</v>
      </c>
      <c r="AJ4477">
        <v>99.1883937488724</v>
      </c>
      <c r="AK4477">
        <v>18.341444914810701</v>
      </c>
      <c r="AL4477">
        <v>83.508541442903905</v>
      </c>
      <c r="AM4477">
        <v>90.592741419922802</v>
      </c>
      <c r="AN4477">
        <v>1.00000004871082</v>
      </c>
    </row>
    <row r="4478" spans="1:40" x14ac:dyDescent="0.25">
      <c r="A4478" t="str">
        <f>"20190312154649828"</f>
        <v>20190312154649828</v>
      </c>
      <c r="B4478" t="str">
        <f>"1552376809822764"</f>
        <v>1552376809822764</v>
      </c>
      <c r="C4478" t="s">
        <v>40</v>
      </c>
      <c r="D4478">
        <v>4.3622129999999997</v>
      </c>
      <c r="E4478">
        <v>0.44171379999999999</v>
      </c>
      <c r="F4478" t="s">
        <v>71</v>
      </c>
      <c r="G4478">
        <v>-417.5967</v>
      </c>
      <c r="H4478" s="1">
        <v>-7.9937129999999999E-6</v>
      </c>
      <c r="I4478">
        <v>28.53181</v>
      </c>
      <c r="J4478">
        <v>-421.23719999999997</v>
      </c>
      <c r="K4478">
        <v>1.1126</v>
      </c>
      <c r="L4478">
        <v>47.332369999999997</v>
      </c>
      <c r="M4478">
        <v>2.753736E-2</v>
      </c>
      <c r="N4478">
        <v>0</v>
      </c>
      <c r="O4478">
        <v>-0.99952289999999999</v>
      </c>
      <c r="P4478">
        <v>3.8269289999999997E-2</v>
      </c>
      <c r="Q4478">
        <v>0.10171810000000001</v>
      </c>
      <c r="R4478">
        <v>-0.99407699999999999</v>
      </c>
      <c r="S4478">
        <v>0.57666019999999996</v>
      </c>
      <c r="T4478">
        <v>-0.1756781</v>
      </c>
      <c r="U4478">
        <v>-3.0147710000000001</v>
      </c>
      <c r="V4478">
        <v>-1.152329E-2</v>
      </c>
      <c r="W4478">
        <v>0.115560999999999</v>
      </c>
      <c r="X4478">
        <v>0.99323360000000005</v>
      </c>
      <c r="Y4478">
        <v>-0.16044340000000001</v>
      </c>
      <c r="Z4478">
        <v>5.7246859999999997E-2</v>
      </c>
      <c r="AA4478">
        <v>0.98538349999999997</v>
      </c>
      <c r="AB4478">
        <v>26</v>
      </c>
      <c r="AC4478">
        <v>3.6404999999999701</v>
      </c>
      <c r="AD4478">
        <v>-1.112607993713</v>
      </c>
      <c r="AE4478">
        <v>-18.800560000000001</v>
      </c>
      <c r="AF4478">
        <v>-3.1108495971902799</v>
      </c>
      <c r="AG4478">
        <v>-1.112607993713</v>
      </c>
      <c r="AH4478">
        <v>18.830124751480501</v>
      </c>
      <c r="AI4478">
        <v>93.336362150821998</v>
      </c>
      <c r="AJ4478">
        <v>99.380874850627194</v>
      </c>
      <c r="AK4478">
        <v>19.117763465435299</v>
      </c>
      <c r="AL4478">
        <v>83.3640166662029</v>
      </c>
      <c r="AM4478">
        <v>90.6647039151364</v>
      </c>
      <c r="AN4478">
        <v>1.00000005755119</v>
      </c>
    </row>
    <row r="4479" spans="1:40" x14ac:dyDescent="0.25">
      <c r="A4479" t="str">
        <f>"20190312154649853"</f>
        <v>20190312154649853</v>
      </c>
      <c r="B4479" t="str">
        <f>"1552376809842285"</f>
        <v>1552376809842285</v>
      </c>
      <c r="C4479" t="s">
        <v>40</v>
      </c>
      <c r="D4479">
        <v>4.3556780000000002</v>
      </c>
      <c r="E4479">
        <v>0.3786332</v>
      </c>
      <c r="F4479" t="s">
        <v>71</v>
      </c>
      <c r="G4479">
        <v>-417.2353</v>
      </c>
      <c r="H4479" s="1">
        <v>-8.0306599999999998E-6</v>
      </c>
      <c r="I4479">
        <v>27.732430000000001</v>
      </c>
      <c r="J4479">
        <v>-421.2253</v>
      </c>
      <c r="K4479">
        <v>1.112719</v>
      </c>
      <c r="L4479">
        <v>47.056759999999997</v>
      </c>
      <c r="M4479">
        <v>3.1290789999999999E-2</v>
      </c>
      <c r="N4479">
        <v>0</v>
      </c>
      <c r="O4479">
        <v>-0.99941239999999998</v>
      </c>
      <c r="P4479">
        <v>4.1644269999999997E-2</v>
      </c>
      <c r="Q4479">
        <v>0.104614</v>
      </c>
      <c r="R4479">
        <v>-0.99364070000000004</v>
      </c>
      <c r="S4479">
        <v>0.61492919999999995</v>
      </c>
      <c r="T4479">
        <v>-0.1709611</v>
      </c>
      <c r="U4479">
        <v>-3.0116879999999999</v>
      </c>
      <c r="V4479">
        <v>-1.122106E-2</v>
      </c>
      <c r="W4479">
        <v>0.1184568</v>
      </c>
      <c r="X4479">
        <v>0.9928958</v>
      </c>
      <c r="Y4479">
        <v>-0.168984299999999</v>
      </c>
      <c r="Z4479">
        <v>5.5653389999999997E-2</v>
      </c>
      <c r="AA4479">
        <v>0.98404619999999998</v>
      </c>
      <c r="AB4479">
        <v>26</v>
      </c>
      <c r="AC4479">
        <v>3.99</v>
      </c>
      <c r="AD4479">
        <v>-1.1127270306599999</v>
      </c>
      <c r="AE4479">
        <v>-19.32433</v>
      </c>
      <c r="AF4479">
        <v>-3.3725879862713501</v>
      </c>
      <c r="AG4479">
        <v>-1.1127270306599999</v>
      </c>
      <c r="AH4479">
        <v>19.3781041328558</v>
      </c>
      <c r="AI4479">
        <v>93.237855917611199</v>
      </c>
      <c r="AJ4479">
        <v>99.872932581707403</v>
      </c>
      <c r="AK4479">
        <v>19.700848483090901</v>
      </c>
      <c r="AL4479">
        <v>83.196951496751595</v>
      </c>
      <c r="AM4479">
        <v>90.647491922560206</v>
      </c>
      <c r="AN4479">
        <v>0.99999999765570102</v>
      </c>
    </row>
    <row r="4480" spans="1:40" x14ac:dyDescent="0.25">
      <c r="A4480" t="str">
        <f>"20190312154649875"</f>
        <v>20190312154649875</v>
      </c>
      <c r="B4480" t="str">
        <f>"1552376809872540"</f>
        <v>1552376809872540</v>
      </c>
      <c r="C4480" t="s">
        <v>40</v>
      </c>
      <c r="D4480">
        <v>4.339931</v>
      </c>
      <c r="E4480">
        <v>0.37571460000000001</v>
      </c>
      <c r="F4480" t="s">
        <v>71</v>
      </c>
      <c r="G4480">
        <v>-417.36790000000002</v>
      </c>
      <c r="H4480" s="1">
        <v>-2.418009E-6</v>
      </c>
      <c r="I4480">
        <v>36.893830000000001</v>
      </c>
      <c r="J4480">
        <v>-421.21280000000002</v>
      </c>
      <c r="K4480">
        <v>1.1128209999999901</v>
      </c>
      <c r="L4480">
        <v>46.792569999999998</v>
      </c>
      <c r="M4480">
        <v>3.5047019999999998E-2</v>
      </c>
      <c r="N4480">
        <v>0</v>
      </c>
      <c r="O4480">
        <v>-0.99928760000000005</v>
      </c>
      <c r="P4480">
        <v>4.3345460000000002E-2</v>
      </c>
      <c r="Q4480">
        <v>0.10606210000000001</v>
      </c>
      <c r="R4480">
        <v>-0.99341429999999997</v>
      </c>
      <c r="S4480">
        <v>1.1409609999999999</v>
      </c>
      <c r="T4480">
        <v>-0.32912619999999998</v>
      </c>
      <c r="U4480">
        <v>-3.0060419999999999</v>
      </c>
      <c r="V4480">
        <v>-9.2294999999999999E-3</v>
      </c>
      <c r="W4480">
        <v>0.11991789999999899</v>
      </c>
      <c r="X4480">
        <v>0.99274090000000004</v>
      </c>
      <c r="Y4480">
        <v>-0.32000709999999999</v>
      </c>
      <c r="Z4480">
        <v>0.10235669999999999</v>
      </c>
      <c r="AA4480">
        <v>0.94186970000000003</v>
      </c>
      <c r="AB4480">
        <v>26</v>
      </c>
      <c r="AC4480">
        <v>3.8448999999999902</v>
      </c>
      <c r="AD4480">
        <v>-1.11282341800899</v>
      </c>
      <c r="AE4480">
        <v>-9.8987399999999894</v>
      </c>
      <c r="AF4480">
        <v>-3.45761203958899</v>
      </c>
      <c r="AG4480">
        <v>-1.11282341800899</v>
      </c>
      <c r="AH4480">
        <v>9.9185021760811605</v>
      </c>
      <c r="AI4480">
        <v>96.047579630286705</v>
      </c>
      <c r="AJ4480">
        <v>109.218669081762</v>
      </c>
      <c r="AK4480">
        <v>10.5626768573551</v>
      </c>
      <c r="AL4480">
        <v>83.112635553441507</v>
      </c>
      <c r="AM4480">
        <v>90.532662814686006</v>
      </c>
      <c r="AN4480">
        <v>0.99999999047173505</v>
      </c>
    </row>
    <row r="4481" spans="1:40" x14ac:dyDescent="0.25">
      <c r="A4481" t="str">
        <f>"20190312154649894"</f>
        <v>20190312154649894</v>
      </c>
      <c r="B4481" t="str">
        <f>"1552376809882300"</f>
        <v>1552376809882300</v>
      </c>
      <c r="C4481" t="s">
        <v>40</v>
      </c>
      <c r="D4481">
        <v>4.3775909999999998</v>
      </c>
      <c r="E4481">
        <v>0.37532209999999999</v>
      </c>
      <c r="F4481" t="s">
        <v>71</v>
      </c>
      <c r="G4481">
        <v>-417.59410000000003</v>
      </c>
      <c r="H4481" s="1">
        <v>-1.9707500000000001E-6</v>
      </c>
      <c r="I4481">
        <v>37.502809999999997</v>
      </c>
      <c r="J4481">
        <v>-421.2022</v>
      </c>
      <c r="K4481">
        <v>1.112897</v>
      </c>
      <c r="L4481">
        <v>46.586489999999998</v>
      </c>
      <c r="M4481">
        <v>3.8103419999999999E-2</v>
      </c>
      <c r="N4481">
        <v>0</v>
      </c>
      <c r="O4481">
        <v>-0.99917579999999995</v>
      </c>
      <c r="P4481">
        <v>4.4885719999999997E-2</v>
      </c>
      <c r="Q4481">
        <v>0.1050137</v>
      </c>
      <c r="R4481">
        <v>-0.99345749999999999</v>
      </c>
      <c r="S4481">
        <v>1.171448</v>
      </c>
      <c r="T4481">
        <v>-0.36023699999999997</v>
      </c>
      <c r="U4481">
        <v>-3.0072329999999998</v>
      </c>
      <c r="V4481">
        <v>-7.7416940000000004E-3</v>
      </c>
      <c r="W4481">
        <v>0.1188834</v>
      </c>
      <c r="X4481">
        <v>0.99287800000000004</v>
      </c>
      <c r="Y4481">
        <v>-0.32494299999999998</v>
      </c>
      <c r="Z4481">
        <v>0.1115597</v>
      </c>
      <c r="AA4481">
        <v>0.93913069999999998</v>
      </c>
      <c r="AB4481">
        <v>26</v>
      </c>
      <c r="AC4481">
        <v>3.6080999999999701</v>
      </c>
      <c r="AD4481">
        <v>-1.1128989707500001</v>
      </c>
      <c r="AE4481">
        <v>-9.0836799999999993</v>
      </c>
      <c r="AF4481">
        <v>-3.21761058324384</v>
      </c>
      <c r="AG4481">
        <v>-1.1128989707500001</v>
      </c>
      <c r="AH4481">
        <v>9.0966408457675794</v>
      </c>
      <c r="AI4481">
        <v>96.579369982964195</v>
      </c>
      <c r="AJ4481">
        <v>109.479407622485</v>
      </c>
      <c r="AK4481">
        <v>9.7129005277201408</v>
      </c>
      <c r="AL4481">
        <v>83.1723349115248</v>
      </c>
      <c r="AM4481">
        <v>90.446739079404296</v>
      </c>
      <c r="AN4481">
        <v>0.999999959752774</v>
      </c>
    </row>
    <row r="4482" spans="1:40" x14ac:dyDescent="0.25">
      <c r="A4482" t="str">
        <f>"20190312154649915"</f>
        <v>20190312154649915</v>
      </c>
      <c r="B4482" t="str">
        <f>"1552376809912086"</f>
        <v>1552376809912086</v>
      </c>
      <c r="C4482" t="s">
        <v>40</v>
      </c>
      <c r="D4482">
        <v>4.275963</v>
      </c>
      <c r="E4482">
        <v>0.37496829999999998</v>
      </c>
      <c r="F4482" t="s">
        <v>71</v>
      </c>
      <c r="G4482">
        <v>-417.66950000000003</v>
      </c>
      <c r="H4482" s="1">
        <v>-1.906618E-6</v>
      </c>
      <c r="I4482">
        <v>37.572119999999998</v>
      </c>
      <c r="J4482">
        <v>-421.18889999999999</v>
      </c>
      <c r="K4482">
        <v>1.112978</v>
      </c>
      <c r="L4482">
        <v>46.346469999999997</v>
      </c>
      <c r="M4482">
        <v>4.1807039999999997E-2</v>
      </c>
      <c r="N4482">
        <v>0</v>
      </c>
      <c r="O4482">
        <v>-0.99902760000000002</v>
      </c>
      <c r="P4482">
        <v>4.6429350000000001E-2</v>
      </c>
      <c r="Q4482">
        <v>0.1026234</v>
      </c>
      <c r="R4482">
        <v>-0.99363639999999998</v>
      </c>
      <c r="S4482">
        <v>1.177948</v>
      </c>
      <c r="T4482">
        <v>-0.3710871</v>
      </c>
      <c r="U4482">
        <v>-3.0057680000000002</v>
      </c>
      <c r="V4482">
        <v>-5.6014130000000004E-3</v>
      </c>
      <c r="W4482">
        <v>0.1165144</v>
      </c>
      <c r="X4482">
        <v>0.99317319999999998</v>
      </c>
      <c r="Y4482">
        <v>-0.32321830000000001</v>
      </c>
      <c r="Z4482">
        <v>0.1148913</v>
      </c>
      <c r="AA4482">
        <v>0.93932420000000005</v>
      </c>
      <c r="AB4482">
        <v>26</v>
      </c>
      <c r="AC4482">
        <v>3.5193999999999601</v>
      </c>
      <c r="AD4482">
        <v>-1.1129799066179999</v>
      </c>
      <c r="AE4482">
        <v>-8.7743500000000001</v>
      </c>
      <c r="AF4482">
        <v>-3.1064027442597801</v>
      </c>
      <c r="AG4482">
        <v>-1.1129799066179999</v>
      </c>
      <c r="AH4482">
        <v>8.7919723339411604</v>
      </c>
      <c r="AI4482">
        <v>96.806581988496603</v>
      </c>
      <c r="AJ4482">
        <v>109.45946698885599</v>
      </c>
      <c r="AK4482">
        <v>9.3908061316836395</v>
      </c>
      <c r="AL4482">
        <v>83.309018921282998</v>
      </c>
      <c r="AM4482">
        <v>90.323139933109204</v>
      </c>
      <c r="AN4482">
        <v>0.99999999321659805</v>
      </c>
    </row>
    <row r="4483" spans="1:40" x14ac:dyDescent="0.25">
      <c r="A4483" t="str">
        <f>"20190312154649936"</f>
        <v>20190312154649936</v>
      </c>
      <c r="B4483" t="str">
        <f>"1552376809932582"</f>
        <v>1552376809932582</v>
      </c>
      <c r="C4483" t="s">
        <v>40</v>
      </c>
      <c r="D4483">
        <v>4.3526470000000002</v>
      </c>
      <c r="E4483">
        <v>0.37480999999999998</v>
      </c>
      <c r="F4483" t="s">
        <v>71</v>
      </c>
      <c r="G4483">
        <v>-417.95389999999998</v>
      </c>
      <c r="H4483" s="1">
        <v>-1.472167E-6</v>
      </c>
      <c r="I4483">
        <v>38.136569999999999</v>
      </c>
      <c r="J4483">
        <v>-421.17430000000002</v>
      </c>
      <c r="K4483">
        <v>1.1130639999999901</v>
      </c>
      <c r="L4483">
        <v>46.102110000000003</v>
      </c>
      <c r="M4483">
        <v>4.5731439999999998E-2</v>
      </c>
      <c r="N4483">
        <v>0</v>
      </c>
      <c r="O4483">
        <v>-0.99885550000000001</v>
      </c>
      <c r="P4483">
        <v>4.9652490000000001E-2</v>
      </c>
      <c r="Q4483">
        <v>0.10006470000000001</v>
      </c>
      <c r="R4483">
        <v>-0.99374110000000004</v>
      </c>
      <c r="S4483">
        <v>1.1844479999999999</v>
      </c>
      <c r="T4483">
        <v>-0.40750320000000001</v>
      </c>
      <c r="U4483">
        <v>-3.005951</v>
      </c>
      <c r="V4483">
        <v>-4.9185469999999997E-3</v>
      </c>
      <c r="W4483">
        <v>0.113968899999999</v>
      </c>
      <c r="X4483">
        <v>0.99347220000000003</v>
      </c>
      <c r="Y4483">
        <v>-0.3207527</v>
      </c>
      <c r="Z4483">
        <v>0.1259528</v>
      </c>
      <c r="AA4483">
        <v>0.93875109999999995</v>
      </c>
      <c r="AB4483">
        <v>25</v>
      </c>
      <c r="AC4483">
        <v>3.2204000000000401</v>
      </c>
      <c r="AD4483">
        <v>-1.1130654721669999</v>
      </c>
      <c r="AE4483">
        <v>-7.9655399999999901</v>
      </c>
      <c r="AF4483">
        <v>-2.8056325043875701</v>
      </c>
      <c r="AG4483">
        <v>-1.1130654721669999</v>
      </c>
      <c r="AH4483">
        <v>7.9707220767603397</v>
      </c>
      <c r="AI4483">
        <v>97.503934337728793</v>
      </c>
      <c r="AJ4483">
        <v>109.39167410158601</v>
      </c>
      <c r="AK4483">
        <v>8.5230803656871092</v>
      </c>
      <c r="AL4483">
        <v>83.455844012596501</v>
      </c>
      <c r="AM4483">
        <v>90.283661366635599</v>
      </c>
      <c r="AN4483">
        <v>1.00000005722231</v>
      </c>
    </row>
    <row r="4484" spans="1:40" x14ac:dyDescent="0.25">
      <c r="A4484" t="str">
        <f>"20190312154649957"</f>
        <v>20190312154649957</v>
      </c>
      <c r="B4484" t="str">
        <f>"1552376809952102"</f>
        <v>1552376809952102</v>
      </c>
      <c r="C4484" t="s">
        <v>40</v>
      </c>
      <c r="D4484">
        <v>4.3040919999999998</v>
      </c>
      <c r="E4484">
        <v>0.37461040000000001</v>
      </c>
      <c r="F4484" t="s">
        <v>71</v>
      </c>
      <c r="G4484">
        <v>-418.14710000000002</v>
      </c>
      <c r="H4484" s="1">
        <v>-1.2047390000000001E-6</v>
      </c>
      <c r="I4484">
        <v>38.476439999999997</v>
      </c>
      <c r="J4484">
        <v>-421.15890000000002</v>
      </c>
      <c r="K4484">
        <v>1.113143</v>
      </c>
      <c r="L4484">
        <v>45.86157</v>
      </c>
      <c r="M4484">
        <v>4.973205E-2</v>
      </c>
      <c r="N4484">
        <v>0</v>
      </c>
      <c r="O4484">
        <v>-0.99866429999999995</v>
      </c>
      <c r="P4484">
        <v>5.5083279999999998E-2</v>
      </c>
      <c r="Q4484">
        <v>9.8317119999999994E-2</v>
      </c>
      <c r="R4484">
        <v>-0.9936296</v>
      </c>
      <c r="S4484">
        <v>1.1923220000000001</v>
      </c>
      <c r="T4484">
        <v>-0.43839230000000001</v>
      </c>
      <c r="U4484">
        <v>-3.0034480000000001</v>
      </c>
      <c r="V4484">
        <v>-6.3765219999999999E-3</v>
      </c>
      <c r="W4484">
        <v>0.11221879999999999</v>
      </c>
      <c r="X4484">
        <v>0.99366310000000002</v>
      </c>
      <c r="Y4484">
        <v>-0.31890020000000002</v>
      </c>
      <c r="Z4484">
        <v>0.13536779999999901</v>
      </c>
      <c r="AA4484">
        <v>0.93807149999999995</v>
      </c>
      <c r="AB4484">
        <v>25</v>
      </c>
      <c r="AC4484">
        <v>3.0117999999999898</v>
      </c>
      <c r="AD4484">
        <v>-1.1131442047390001</v>
      </c>
      <c r="AE4484">
        <v>-7.3851299999999904</v>
      </c>
      <c r="AF4484">
        <v>-2.5903018540101801</v>
      </c>
      <c r="AG4484">
        <v>-1.1131442047390001</v>
      </c>
      <c r="AH4484">
        <v>7.3819925499961796</v>
      </c>
      <c r="AI4484">
        <v>98.098052443377895</v>
      </c>
      <c r="AJ4484">
        <v>109.335700222604</v>
      </c>
      <c r="AK4484">
        <v>7.9020609794933696</v>
      </c>
      <c r="AL4484">
        <v>83.556764714429306</v>
      </c>
      <c r="AM4484">
        <v>90.367672688714507</v>
      </c>
      <c r="AN4484">
        <v>1.00000003770393</v>
      </c>
    </row>
    <row r="4485" spans="1:40" x14ac:dyDescent="0.25">
      <c r="A4485" t="str">
        <f>"20190312154649981"</f>
        <v>20190312154649981</v>
      </c>
      <c r="B4485" t="str">
        <f>"1552376809972598"</f>
        <v>1552376809972598</v>
      </c>
      <c r="C4485" t="s">
        <v>40</v>
      </c>
      <c r="D4485">
        <v>4.4937379999999996</v>
      </c>
      <c r="E4485">
        <v>0.37552200000000002</v>
      </c>
      <c r="F4485" t="s">
        <v>71</v>
      </c>
      <c r="G4485">
        <v>-418.1463</v>
      </c>
      <c r="H4485" s="1">
        <v>-1.2664840000000001E-6</v>
      </c>
      <c r="I4485">
        <v>38.379640000000002</v>
      </c>
      <c r="J4485">
        <v>-421.14150000000001</v>
      </c>
      <c r="K4485">
        <v>1.1132379999999999</v>
      </c>
      <c r="L4485">
        <v>45.608890000000002</v>
      </c>
      <c r="M4485">
        <v>5.4070069999999998E-2</v>
      </c>
      <c r="N4485">
        <v>0</v>
      </c>
      <c r="O4485">
        <v>-0.99843879999999996</v>
      </c>
      <c r="P4485">
        <v>6.21875E-2</v>
      </c>
      <c r="Q4485">
        <v>9.6450659999999994E-2</v>
      </c>
      <c r="R4485">
        <v>-0.99339319999999998</v>
      </c>
      <c r="S4485">
        <v>1.2065429999999999</v>
      </c>
      <c r="T4485">
        <v>-0.44580649999999999</v>
      </c>
      <c r="U4485">
        <v>-2.9964599999999999</v>
      </c>
      <c r="V4485">
        <v>-9.1720510000000005E-3</v>
      </c>
      <c r="W4485">
        <v>0.1103399</v>
      </c>
      <c r="X4485">
        <v>0.99385159999999995</v>
      </c>
      <c r="Y4485">
        <v>-0.31925369999999997</v>
      </c>
      <c r="Z4485">
        <v>0.1377341</v>
      </c>
      <c r="AA4485">
        <v>0.93760670000000002</v>
      </c>
      <c r="AB4485">
        <v>25</v>
      </c>
      <c r="AC4485">
        <v>2.9952000000000099</v>
      </c>
      <c r="AD4485">
        <v>-1.1132392664839901</v>
      </c>
      <c r="AE4485">
        <v>-7.2292500000000004</v>
      </c>
      <c r="AF4485">
        <v>-2.5483176920110799</v>
      </c>
      <c r="AG4485">
        <v>-1.1132392664839901</v>
      </c>
      <c r="AH4485">
        <v>7.23422549865679</v>
      </c>
      <c r="AI4485">
        <v>98.258422798251601</v>
      </c>
      <c r="AJ4485">
        <v>109.405247475729</v>
      </c>
      <c r="AK4485">
        <v>7.7503060126213503</v>
      </c>
      <c r="AL4485">
        <v>83.665090393865</v>
      </c>
      <c r="AM4485">
        <v>90.528755895672901</v>
      </c>
      <c r="AN4485">
        <v>1.00000001143705</v>
      </c>
    </row>
    <row r="4486" spans="1:40" x14ac:dyDescent="0.25">
      <c r="A4486" t="str">
        <f>"20190312154650005"</f>
        <v>20190312154650005</v>
      </c>
      <c r="B4486" t="str">
        <f>"1552376810001879"</f>
        <v>1552376810001879</v>
      </c>
      <c r="C4486" t="s">
        <v>40</v>
      </c>
      <c r="D4486">
        <v>4.3299609999999999</v>
      </c>
      <c r="E4486">
        <v>0.37576290000000001</v>
      </c>
      <c r="F4486" t="s">
        <v>71</v>
      </c>
      <c r="G4486">
        <v>-418.214</v>
      </c>
      <c r="H4486" s="1">
        <v>-1.221168E-6</v>
      </c>
      <c r="I4486">
        <v>38.422600000000003</v>
      </c>
      <c r="J4486">
        <v>-421.12110000000001</v>
      </c>
      <c r="K4486">
        <v>1.1133249999999999</v>
      </c>
      <c r="L4486">
        <v>45.33276</v>
      </c>
      <c r="M4486">
        <v>5.8968069999999997E-2</v>
      </c>
      <c r="N4486">
        <v>0</v>
      </c>
      <c r="O4486">
        <v>-0.99816130000000003</v>
      </c>
      <c r="P4486">
        <v>7.0879549999999999E-2</v>
      </c>
      <c r="Q4486">
        <v>9.4625470000000003E-2</v>
      </c>
      <c r="R4486">
        <v>-0.99298640000000005</v>
      </c>
      <c r="S4486">
        <v>1.2175290000000001</v>
      </c>
      <c r="T4486">
        <v>-0.46298060000000002</v>
      </c>
      <c r="U4486">
        <v>-2.9886780000000002</v>
      </c>
      <c r="V4486">
        <v>-1.300142E-2</v>
      </c>
      <c r="W4486">
        <v>0.1084933</v>
      </c>
      <c r="X4486">
        <v>0.99401220000000001</v>
      </c>
      <c r="Y4486">
        <v>-0.31812689999999999</v>
      </c>
      <c r="Z4486">
        <v>0.14314060000000001</v>
      </c>
      <c r="AA4486">
        <v>0.93717989999999995</v>
      </c>
      <c r="AB4486">
        <v>25</v>
      </c>
      <c r="AC4486">
        <v>2.90710000000001</v>
      </c>
      <c r="AD4486">
        <v>-1.113326221168</v>
      </c>
      <c r="AE4486">
        <v>-6.9101599999999896</v>
      </c>
      <c r="AF4486">
        <v>-2.4406931749883598</v>
      </c>
      <c r="AG4486">
        <v>-1.113326221168</v>
      </c>
      <c r="AH4486">
        <v>6.91702467510909</v>
      </c>
      <c r="AI4486">
        <v>98.630634768856794</v>
      </c>
      <c r="AJ4486">
        <v>109.435544154851</v>
      </c>
      <c r="AK4486">
        <v>7.4190099612578404</v>
      </c>
      <c r="AL4486">
        <v>83.771532071568302</v>
      </c>
      <c r="AM4486">
        <v>90.749371101752303</v>
      </c>
      <c r="AN4486">
        <v>1.00000004340787</v>
      </c>
    </row>
    <row r="4487" spans="1:40" x14ac:dyDescent="0.25">
      <c r="A4487" t="str">
        <f>"20190312154650049"</f>
        <v>20190312154650049</v>
      </c>
      <c r="B4487" t="str">
        <f>"1552376810042401"</f>
        <v>1552376810042401</v>
      </c>
      <c r="C4487" t="s">
        <v>40</v>
      </c>
      <c r="D4487">
        <v>4.4622699999999904</v>
      </c>
      <c r="E4487">
        <v>0.37789349999999999</v>
      </c>
      <c r="F4487" t="s">
        <v>71</v>
      </c>
      <c r="G4487">
        <v>-418.17439999999999</v>
      </c>
      <c r="H4487" s="1">
        <v>-1.3342760000000001E-6</v>
      </c>
      <c r="I4487">
        <v>38.261209999999998</v>
      </c>
      <c r="J4487">
        <v>-421.08150000000001</v>
      </c>
      <c r="K4487">
        <v>1.113453</v>
      </c>
      <c r="L4487">
        <v>44.850430000000003</v>
      </c>
      <c r="M4487">
        <v>6.7880830000000003E-2</v>
      </c>
      <c r="N4487">
        <v>0</v>
      </c>
      <c r="O4487">
        <v>-0.99759469999999995</v>
      </c>
      <c r="P4487">
        <v>8.8200940000000005E-2</v>
      </c>
      <c r="Q4487">
        <v>9.2648610000000006E-2</v>
      </c>
      <c r="R4487">
        <v>-0.99178489999999997</v>
      </c>
      <c r="S4487">
        <v>1.240631</v>
      </c>
      <c r="T4487">
        <v>-0.46873749999999997</v>
      </c>
      <c r="U4487">
        <v>-2.9772949999999998</v>
      </c>
      <c r="V4487">
        <v>-2.1494610000000001E-2</v>
      </c>
      <c r="W4487">
        <v>0.1064581</v>
      </c>
      <c r="X4487">
        <v>0.99408479999999999</v>
      </c>
      <c r="Y4487">
        <v>-0.31702659999999899</v>
      </c>
      <c r="Z4487">
        <v>0.1450842</v>
      </c>
      <c r="AA4487">
        <v>0.93725380000000003</v>
      </c>
      <c r="AB4487">
        <v>25</v>
      </c>
      <c r="AC4487">
        <v>2.90710000000001</v>
      </c>
      <c r="AD4487">
        <v>-1.1134543342759999</v>
      </c>
      <c r="AE4487">
        <v>-6.5892199999999903</v>
      </c>
      <c r="AF4487">
        <v>-2.3958027012022902</v>
      </c>
      <c r="AG4487">
        <v>-1.1134543342759999</v>
      </c>
      <c r="AH4487">
        <v>6.6133023657377397</v>
      </c>
      <c r="AI4487">
        <v>98.995194493996095</v>
      </c>
      <c r="AJ4487">
        <v>109.91394498301401</v>
      </c>
      <c r="AK4487">
        <v>7.1214759227479396</v>
      </c>
      <c r="AL4487">
        <v>83.888819356515995</v>
      </c>
      <c r="AM4487">
        <v>91.238685632195796</v>
      </c>
      <c r="AN4487">
        <v>0.99999996745285002</v>
      </c>
    </row>
    <row r="4488" spans="1:40" x14ac:dyDescent="0.25">
      <c r="A4488" t="str">
        <f>"20190312154650071"</f>
        <v>20190312154650071</v>
      </c>
      <c r="B4488" t="str">
        <f>"1552376810061921"</f>
        <v>1552376810061921</v>
      </c>
      <c r="C4488" t="s">
        <v>40</v>
      </c>
      <c r="D4488">
        <v>4.393904</v>
      </c>
      <c r="E4488">
        <v>0.37796089999999999</v>
      </c>
      <c r="F4488" t="s">
        <v>71</v>
      </c>
      <c r="G4488">
        <v>-418.0763</v>
      </c>
      <c r="H4488" s="1">
        <v>-1.5990320000000001E-6</v>
      </c>
      <c r="I4488">
        <v>37.885770000000001</v>
      </c>
      <c r="J4488">
        <v>-421.05810000000002</v>
      </c>
      <c r="K4488">
        <v>1.1135120000000001</v>
      </c>
      <c r="L4488">
        <v>44.589970000000001</v>
      </c>
      <c r="M4488">
        <v>7.2841589999999998E-2</v>
      </c>
      <c r="N4488">
        <v>0</v>
      </c>
      <c r="O4488">
        <v>-0.99724469999999998</v>
      </c>
      <c r="P4488">
        <v>9.7575579999999995E-2</v>
      </c>
      <c r="Q4488">
        <v>9.1984570000000002E-2</v>
      </c>
      <c r="R4488">
        <v>-0.99096850000000003</v>
      </c>
      <c r="S4488">
        <v>1.2753300000000001</v>
      </c>
      <c r="T4488">
        <v>-0.47251680000000001</v>
      </c>
      <c r="U4488">
        <v>-2.955597</v>
      </c>
      <c r="V4488">
        <v>-2.5962030000000001E-2</v>
      </c>
      <c r="W4488">
        <v>0.1057606</v>
      </c>
      <c r="X4488">
        <v>0.99405259999999995</v>
      </c>
      <c r="Y4488">
        <v>-0.3239745</v>
      </c>
      <c r="Z4488">
        <v>0.14662339999999999</v>
      </c>
      <c r="AA4488">
        <v>0.93463470000000004</v>
      </c>
      <c r="AB4488">
        <v>25</v>
      </c>
      <c r="AC4488">
        <v>2.9818000000000202</v>
      </c>
      <c r="AD4488">
        <v>-1.113513599032</v>
      </c>
      <c r="AE4488">
        <v>-6.7042000000000002</v>
      </c>
      <c r="AF4488">
        <v>-2.4295308835818701</v>
      </c>
      <c r="AG4488">
        <v>-1.113513599032</v>
      </c>
      <c r="AH4488">
        <v>6.7481919513922701</v>
      </c>
      <c r="AI4488">
        <v>98.824928714286898</v>
      </c>
      <c r="AJ4488">
        <v>109.800242684114</v>
      </c>
      <c r="AK4488">
        <v>7.2581421494995997</v>
      </c>
      <c r="AL4488">
        <v>83.929009965884802</v>
      </c>
      <c r="AM4488">
        <v>91.496074418486501</v>
      </c>
      <c r="AN4488">
        <v>0.99999995154041899</v>
      </c>
    </row>
    <row r="4489" spans="1:40" x14ac:dyDescent="0.25">
      <c r="A4489" t="str">
        <f>"20190312154650137"</f>
        <v>20190312154650137</v>
      </c>
      <c r="B4489" t="str">
        <f>"1552376810132193"</f>
        <v>1552376810132193</v>
      </c>
      <c r="C4489" t="s">
        <v>40</v>
      </c>
      <c r="D4489">
        <v>4.2173699999999998</v>
      </c>
      <c r="E4489">
        <v>0.37784010000000001</v>
      </c>
      <c r="F4489" t="s">
        <v>71</v>
      </c>
      <c r="G4489">
        <v>-417.99270000000001</v>
      </c>
      <c r="H4489" s="1">
        <v>-1.7640219999999999E-6</v>
      </c>
      <c r="I4489">
        <v>37.661180000000002</v>
      </c>
      <c r="J4489">
        <v>-420.98570000000001</v>
      </c>
      <c r="K4489">
        <v>1.1137079999999999</v>
      </c>
      <c r="L4489">
        <v>43.867220000000003</v>
      </c>
      <c r="M4489">
        <v>8.7268730000000003E-2</v>
      </c>
      <c r="N4489">
        <v>0</v>
      </c>
      <c r="O4489">
        <v>-0.99608560000000002</v>
      </c>
      <c r="P4489">
        <v>0.1188294</v>
      </c>
      <c r="Q4489">
        <v>9.1994350000000003E-2</v>
      </c>
      <c r="R4489">
        <v>-0.98864419999999997</v>
      </c>
      <c r="S4489">
        <v>1.3020320000000001</v>
      </c>
      <c r="T4489">
        <v>-0.47296830000000001</v>
      </c>
      <c r="U4489">
        <v>-2.9430239999999999</v>
      </c>
      <c r="V4489">
        <v>-3.2979090000000003E-2</v>
      </c>
      <c r="W4489">
        <v>0.10571270000000001</v>
      </c>
      <c r="X4489">
        <v>0.99384969999999995</v>
      </c>
      <c r="Y4489">
        <v>-0.31884309999999899</v>
      </c>
      <c r="Z4489">
        <v>0.14694689999999999</v>
      </c>
      <c r="AA4489">
        <v>0.93634700000000004</v>
      </c>
      <c r="AB4489">
        <v>25</v>
      </c>
      <c r="AC4489">
        <v>2.9929999999999901</v>
      </c>
      <c r="AD4489">
        <v>-1.1137097640219999</v>
      </c>
      <c r="AE4489">
        <v>-6.2060399999999998</v>
      </c>
      <c r="AF4489">
        <v>-2.37780602276244</v>
      </c>
      <c r="AG4489">
        <v>-1.1137097640219999</v>
      </c>
      <c r="AH4489">
        <v>6.2795113755927696</v>
      </c>
      <c r="AI4489">
        <v>99.417526437761197</v>
      </c>
      <c r="AJ4489">
        <v>110.7397222849</v>
      </c>
      <c r="AK4489">
        <v>6.8063627611641699</v>
      </c>
      <c r="AL4489">
        <v>83.9317702662904</v>
      </c>
      <c r="AM4489">
        <v>91.900558585399395</v>
      </c>
      <c r="AN4489">
        <v>1.0000000107542999</v>
      </c>
    </row>
    <row r="4490" spans="1:40" x14ac:dyDescent="0.25">
      <c r="A4490" t="str">
        <f>"20190312154650159"</f>
        <v>20190312154650159</v>
      </c>
      <c r="B4490" t="str">
        <f>"1552376810152689"</f>
        <v>1552376810152689</v>
      </c>
      <c r="C4490" t="s">
        <v>40</v>
      </c>
      <c r="D4490">
        <v>4.3400280000000002</v>
      </c>
      <c r="E4490">
        <v>0.37602239999999998</v>
      </c>
      <c r="F4490" t="s">
        <v>71</v>
      </c>
      <c r="G4490">
        <v>-417.7593</v>
      </c>
      <c r="H4490" s="1">
        <v>-2.260115E-6</v>
      </c>
      <c r="I4490">
        <v>36.978380000000001</v>
      </c>
      <c r="J4490">
        <v>-420.9581</v>
      </c>
      <c r="K4490">
        <v>1.1138319999999999</v>
      </c>
      <c r="L4490">
        <v>43.618560000000002</v>
      </c>
      <c r="M4490">
        <v>9.2550400000000005E-2</v>
      </c>
      <c r="N4490">
        <v>0</v>
      </c>
      <c r="O4490">
        <v>-0.99560850000000001</v>
      </c>
      <c r="P4490">
        <v>0.12553130000000001</v>
      </c>
      <c r="Q4490">
        <v>9.2100280000000007E-2</v>
      </c>
      <c r="R4490">
        <v>-0.98780539999999994</v>
      </c>
      <c r="S4490">
        <v>1.3648990000000001</v>
      </c>
      <c r="T4490">
        <v>-0.47114260000000002</v>
      </c>
      <c r="U4490">
        <v>-2.9142459999999999</v>
      </c>
      <c r="V4490">
        <v>-3.4482409999999998E-2</v>
      </c>
      <c r="W4490">
        <v>0.1058057</v>
      </c>
      <c r="X4490">
        <v>0.99378880000000003</v>
      </c>
      <c r="Y4490">
        <v>-0.33392539999999998</v>
      </c>
      <c r="Z4490">
        <v>0.14656620000000001</v>
      </c>
      <c r="AA4490">
        <v>0.93113489999999999</v>
      </c>
      <c r="AB4490">
        <v>25</v>
      </c>
      <c r="AC4490">
        <v>3.1987999999999999</v>
      </c>
      <c r="AD4490">
        <v>-1.113834260115</v>
      </c>
      <c r="AE4490">
        <v>-6.6401799999999902</v>
      </c>
      <c r="AF4490">
        <v>-2.5130639403765498</v>
      </c>
      <c r="AG4490">
        <v>-1.113834260115</v>
      </c>
      <c r="AH4490">
        <v>6.7535212913744997</v>
      </c>
      <c r="AI4490">
        <v>98.786768921914202</v>
      </c>
      <c r="AJ4490">
        <v>110.410820190577</v>
      </c>
      <c r="AK4490">
        <v>7.2915133518684296</v>
      </c>
      <c r="AL4490">
        <v>83.926411829502896</v>
      </c>
      <c r="AM4490">
        <v>91.987247446679504</v>
      </c>
      <c r="AN4490">
        <v>1.0000000308786601</v>
      </c>
    </row>
    <row r="4491" spans="1:40" x14ac:dyDescent="0.25">
      <c r="A4491" t="str">
        <f>"20190312154650204"</f>
        <v>20190312154650204</v>
      </c>
      <c r="B4491" t="str">
        <f>"1552376810192705"</f>
        <v>1552376810192705</v>
      </c>
      <c r="C4491" t="s">
        <v>40</v>
      </c>
      <c r="D4491">
        <v>4.3540039999999998</v>
      </c>
      <c r="E4491">
        <v>0.37632139999999997</v>
      </c>
      <c r="F4491" t="s">
        <v>71</v>
      </c>
      <c r="G4491">
        <v>-417.52510000000001</v>
      </c>
      <c r="H4491" s="1">
        <v>-2.6351680000000002E-6</v>
      </c>
      <c r="I4491">
        <v>36.486370000000001</v>
      </c>
      <c r="J4491">
        <v>-420.899</v>
      </c>
      <c r="K4491">
        <v>1.1141219999999901</v>
      </c>
      <c r="L4491">
        <v>43.12961</v>
      </c>
      <c r="M4491">
        <v>0.1036041</v>
      </c>
      <c r="N4491">
        <v>0</v>
      </c>
      <c r="O4491">
        <v>-0.99451880000000004</v>
      </c>
      <c r="P4491">
        <v>0.13831360000000001</v>
      </c>
      <c r="Q4491">
        <v>9.0160169999999998E-2</v>
      </c>
      <c r="R4491">
        <v>-0.98627629999999999</v>
      </c>
      <c r="S4491">
        <v>1.3967290000000001</v>
      </c>
      <c r="T4491">
        <v>-0.45317360000000001</v>
      </c>
      <c r="U4491">
        <v>-2.9017940000000002</v>
      </c>
      <c r="V4491">
        <v>-3.6356939999999997E-2</v>
      </c>
      <c r="W4491">
        <v>0.1038509</v>
      </c>
      <c r="X4491">
        <v>0.99392809999999998</v>
      </c>
      <c r="Y4491">
        <v>-0.3336768</v>
      </c>
      <c r="Z4491">
        <v>0.14109630000000001</v>
      </c>
      <c r="AA4491">
        <v>0.93206849999999997</v>
      </c>
      <c r="AB4491">
        <v>25</v>
      </c>
      <c r="AC4491">
        <v>3.3738999999999901</v>
      </c>
      <c r="AD4491">
        <v>-1.1141246351680001</v>
      </c>
      <c r="AE4491">
        <v>-6.6432399999999898</v>
      </c>
      <c r="AF4491">
        <v>-2.60906895309666</v>
      </c>
      <c r="AG4491">
        <v>-1.1141246351680001</v>
      </c>
      <c r="AH4491">
        <v>6.8049170964260899</v>
      </c>
      <c r="AI4491">
        <v>98.691644949476796</v>
      </c>
      <c r="AJ4491">
        <v>110.97729157341401</v>
      </c>
      <c r="AK4491">
        <v>7.3726122367810198</v>
      </c>
      <c r="AL4491">
        <v>84.039033675159104</v>
      </c>
      <c r="AM4491">
        <v>92.094890850293496</v>
      </c>
      <c r="AN4491">
        <v>0.99999995224328997</v>
      </c>
    </row>
    <row r="4492" spans="1:40" x14ac:dyDescent="0.25">
      <c r="A4492" t="str">
        <f>"20190312154650227"</f>
        <v>20190312154650227</v>
      </c>
      <c r="B4492" t="str">
        <f>"1552376810222492"</f>
        <v>1552376810222492</v>
      </c>
      <c r="C4492" t="s">
        <v>40</v>
      </c>
      <c r="D4492">
        <v>4.7064709999999996</v>
      </c>
      <c r="E4492">
        <v>0.37698399999999999</v>
      </c>
      <c r="F4492" t="s">
        <v>71</v>
      </c>
      <c r="G4492">
        <v>-417.38900000000001</v>
      </c>
      <c r="H4492" s="1">
        <v>-2.9435179999999999E-6</v>
      </c>
      <c r="I4492">
        <v>36.058250000000001</v>
      </c>
      <c r="J4492">
        <v>-420.8655</v>
      </c>
      <c r="K4492">
        <v>1.114296</v>
      </c>
      <c r="L4492">
        <v>42.87518</v>
      </c>
      <c r="M4492">
        <v>0.1098155</v>
      </c>
      <c r="N4492">
        <v>0</v>
      </c>
      <c r="O4492">
        <v>-0.9938517</v>
      </c>
      <c r="P4492">
        <v>0.14544079999999901</v>
      </c>
      <c r="Q4492">
        <v>8.7947860000000003E-2</v>
      </c>
      <c r="R4492">
        <v>-0.98545000000000005</v>
      </c>
      <c r="S4492">
        <v>1.430847</v>
      </c>
      <c r="T4492">
        <v>-0.45416669999999998</v>
      </c>
      <c r="U4492">
        <v>-2.8825989999999999</v>
      </c>
      <c r="V4492">
        <v>-3.7338530000000002E-2</v>
      </c>
      <c r="W4492">
        <v>0.1016331</v>
      </c>
      <c r="X4492">
        <v>0.99412100000000003</v>
      </c>
      <c r="Y4492">
        <v>-0.3390744</v>
      </c>
      <c r="Z4492">
        <v>0.14160039999999999</v>
      </c>
      <c r="AA4492">
        <v>0.93004180000000003</v>
      </c>
      <c r="AB4492">
        <v>25</v>
      </c>
      <c r="AC4492">
        <v>3.4764999999999802</v>
      </c>
      <c r="AD4492">
        <v>-1.114298943518</v>
      </c>
      <c r="AE4492">
        <v>-6.8169299999999904</v>
      </c>
      <c r="AF4492">
        <v>-2.65058636454404</v>
      </c>
      <c r="AG4492">
        <v>-1.114298943518</v>
      </c>
      <c r="AH4492">
        <v>7.0088847546968998</v>
      </c>
      <c r="AI4492">
        <v>98.458205405360005</v>
      </c>
      <c r="AJ4492">
        <v>110.71537465477</v>
      </c>
      <c r="AK4492">
        <v>7.5757333450996498</v>
      </c>
      <c r="AL4492">
        <v>84.166780643449997</v>
      </c>
      <c r="AM4492">
        <v>92.150980656131196</v>
      </c>
      <c r="AN4492">
        <v>1.0000000077395801</v>
      </c>
    </row>
    <row r="4493" spans="1:40" x14ac:dyDescent="0.25">
      <c r="A4493" t="str">
        <f>"20190312154650252"</f>
        <v>20190312154650252</v>
      </c>
      <c r="B4493" t="str">
        <f>"1552376810242987"</f>
        <v>1552376810242987</v>
      </c>
      <c r="C4493" t="s">
        <v>40</v>
      </c>
      <c r="D4493">
        <v>4.4436049999999998</v>
      </c>
      <c r="E4493">
        <v>0.37751899999999999</v>
      </c>
      <c r="F4493" t="s">
        <v>71</v>
      </c>
      <c r="G4493">
        <v>-417.30009999999999</v>
      </c>
      <c r="H4493" s="1">
        <v>-3.124113E-6</v>
      </c>
      <c r="I4493">
        <v>35.789629999999903</v>
      </c>
      <c r="J4493">
        <v>-420.82740000000001</v>
      </c>
      <c r="K4493">
        <v>1.1144849999999999</v>
      </c>
      <c r="L4493">
        <v>42.603119999999997</v>
      </c>
      <c r="M4493">
        <v>0.116768899999999</v>
      </c>
      <c r="N4493">
        <v>0</v>
      </c>
      <c r="O4493">
        <v>-0.99305860000000001</v>
      </c>
      <c r="P4493">
        <v>0.1525562</v>
      </c>
      <c r="Q4493">
        <v>8.6017789999999997E-2</v>
      </c>
      <c r="R4493">
        <v>-0.9845448</v>
      </c>
      <c r="S4493">
        <v>1.4448240000000001</v>
      </c>
      <c r="T4493">
        <v>-0.45155689999999998</v>
      </c>
      <c r="U4493">
        <v>-2.8713380000000002</v>
      </c>
      <c r="V4493">
        <v>-3.7570109999999997E-2</v>
      </c>
      <c r="W4493">
        <v>9.9707900000000002E-2</v>
      </c>
      <c r="X4493">
        <v>0.99430719999999995</v>
      </c>
      <c r="Y4493">
        <v>-0.33760770000000001</v>
      </c>
      <c r="Z4493">
        <v>0.14101420000000001</v>
      </c>
      <c r="AA4493">
        <v>0.9306643</v>
      </c>
      <c r="AB4493">
        <v>25</v>
      </c>
      <c r="AC4493">
        <v>3.5273000000000199</v>
      </c>
      <c r="AD4493">
        <v>-1.114488124113</v>
      </c>
      <c r="AE4493">
        <v>-6.8134899999999998</v>
      </c>
      <c r="AF4493">
        <v>-2.6515337928971601</v>
      </c>
      <c r="AG4493">
        <v>-1.114488124113</v>
      </c>
      <c r="AH4493">
        <v>7.0304453926476098</v>
      </c>
      <c r="AI4493">
        <v>98.436867472795896</v>
      </c>
      <c r="AJ4493">
        <v>110.66397679555099</v>
      </c>
      <c r="AK4493">
        <v>7.5960435525781698</v>
      </c>
      <c r="AL4493">
        <v>84.277649646529596</v>
      </c>
      <c r="AM4493">
        <v>92.1639038447762</v>
      </c>
      <c r="AN4493">
        <v>0.99999999322983102</v>
      </c>
    </row>
    <row r="4494" spans="1:40" x14ac:dyDescent="0.25">
      <c r="A4494" t="str">
        <f>"20190312154650276"</f>
        <v>20190312154650276</v>
      </c>
      <c r="B4494" t="str">
        <f>"1552376810272267"</f>
        <v>1552376810272267</v>
      </c>
      <c r="C4494" t="s">
        <v>40</v>
      </c>
      <c r="D4494">
        <v>4.4634479999999996</v>
      </c>
      <c r="E4494">
        <v>0.3781003</v>
      </c>
      <c r="F4494" t="s">
        <v>71</v>
      </c>
      <c r="G4494">
        <v>-417.21429999999998</v>
      </c>
      <c r="H4494" s="1">
        <v>-3.2839220000000002E-6</v>
      </c>
      <c r="I4494">
        <v>35.532220000000002</v>
      </c>
      <c r="J4494">
        <v>-420.79020000000003</v>
      </c>
      <c r="K4494">
        <v>1.114654</v>
      </c>
      <c r="L4494">
        <v>42.350740000000002</v>
      </c>
      <c r="M4494">
        <v>0.1235229</v>
      </c>
      <c r="N4494">
        <v>0</v>
      </c>
      <c r="O4494">
        <v>-0.99224069999999998</v>
      </c>
      <c r="P4494">
        <v>0.15904789999999999</v>
      </c>
      <c r="Q4494">
        <v>8.4505860000000002E-2</v>
      </c>
      <c r="R4494">
        <v>-0.98364779999999996</v>
      </c>
      <c r="S4494">
        <v>1.4614259999999999</v>
      </c>
      <c r="T4494">
        <v>-0.4507892</v>
      </c>
      <c r="U4494">
        <v>-2.8600460000000001</v>
      </c>
      <c r="V4494">
        <v>-3.7374209999999998E-2</v>
      </c>
      <c r="W4494">
        <v>9.8204689999999997E-2</v>
      </c>
      <c r="X4494">
        <v>0.99446420000000002</v>
      </c>
      <c r="Y4494">
        <v>-0.33698529999999999</v>
      </c>
      <c r="Z4494">
        <v>0.140935</v>
      </c>
      <c r="AA4494">
        <v>0.9309018</v>
      </c>
      <c r="AB4494">
        <v>25</v>
      </c>
      <c r="AC4494">
        <v>3.5759000000000398</v>
      </c>
      <c r="AD4494">
        <v>-1.1146572839219999</v>
      </c>
      <c r="AE4494">
        <v>-6.8185200000000004</v>
      </c>
      <c r="AF4494">
        <v>-2.6506257931811499</v>
      </c>
      <c r="AG4494">
        <v>-1.1146572839219999</v>
      </c>
      <c r="AH4494">
        <v>7.0600661054624503</v>
      </c>
      <c r="AI4494">
        <v>98.407906464784105</v>
      </c>
      <c r="AJ4494">
        <v>110.578105474296</v>
      </c>
      <c r="AK4494">
        <v>7.6231759372047296</v>
      </c>
      <c r="AL4494">
        <v>84.364202207645604</v>
      </c>
      <c r="AM4494">
        <v>92.152291823787706</v>
      </c>
      <c r="AN4494">
        <v>1.00000001889638</v>
      </c>
    </row>
    <row r="4495" spans="1:40" x14ac:dyDescent="0.25">
      <c r="A4495" t="str">
        <f>"20190312154650297"</f>
        <v>20190312154650297</v>
      </c>
      <c r="B4495" t="str">
        <f>"1552376810292763"</f>
        <v>1552376810292763</v>
      </c>
      <c r="C4495" t="s">
        <v>40</v>
      </c>
      <c r="D4495">
        <v>4.4880589999999998</v>
      </c>
      <c r="E4495">
        <v>0.37852839999999999</v>
      </c>
      <c r="F4495" t="s">
        <v>71</v>
      </c>
      <c r="G4495">
        <v>-417.07339999999999</v>
      </c>
      <c r="H4495" s="1">
        <v>-3.5095960000000001E-6</v>
      </c>
      <c r="I4495">
        <v>35.176729999999999</v>
      </c>
      <c r="J4495">
        <v>-420.75360000000001</v>
      </c>
      <c r="K4495">
        <v>1.114827</v>
      </c>
      <c r="L4495">
        <v>42.115630000000003</v>
      </c>
      <c r="M4495">
        <v>0.13011829999999999</v>
      </c>
      <c r="N4495">
        <v>0</v>
      </c>
      <c r="O4495">
        <v>-0.99139699999999997</v>
      </c>
      <c r="P4495">
        <v>0.16430610000000001</v>
      </c>
      <c r="Q4495">
        <v>8.3841849999999996E-2</v>
      </c>
      <c r="R4495">
        <v>-0.98284009999999999</v>
      </c>
      <c r="S4495">
        <v>1.476135</v>
      </c>
      <c r="T4495">
        <v>-0.4426949</v>
      </c>
      <c r="U4495">
        <v>-2.8492130000000002</v>
      </c>
      <c r="V4495">
        <v>-3.6105159999999997E-2</v>
      </c>
      <c r="W4495">
        <v>9.7561670000000003E-2</v>
      </c>
      <c r="X4495">
        <v>0.99457439999999997</v>
      </c>
      <c r="Y4495">
        <v>-0.33611419999999997</v>
      </c>
      <c r="Z4495">
        <v>0.1386087</v>
      </c>
      <c r="AA4495">
        <v>0.9315658</v>
      </c>
      <c r="AB4495">
        <v>25</v>
      </c>
      <c r="AC4495">
        <v>3.6802000000000099</v>
      </c>
      <c r="AD4495">
        <v>-1.1148305095960001</v>
      </c>
      <c r="AE4495">
        <v>-6.9388999999999896</v>
      </c>
      <c r="AF4495">
        <v>-2.6917106220439702</v>
      </c>
      <c r="AG4495">
        <v>-1.1148305095960001</v>
      </c>
      <c r="AH4495">
        <v>7.2134840347114499</v>
      </c>
      <c r="AI4495">
        <v>98.238928697503496</v>
      </c>
      <c r="AJ4495">
        <v>110.463053108309</v>
      </c>
      <c r="AK4495">
        <v>7.7796211383966103</v>
      </c>
      <c r="AL4495">
        <v>84.401222485928997</v>
      </c>
      <c r="AM4495">
        <v>92.079045343380798</v>
      </c>
      <c r="AN4495">
        <v>1.0000000495835799</v>
      </c>
    </row>
    <row r="4496" spans="1:40" x14ac:dyDescent="0.25">
      <c r="A4496" t="str">
        <f>"20190312154650315"</f>
        <v>20190312154650315</v>
      </c>
      <c r="B4496" t="str">
        <f>"1552376810312284"</f>
        <v>1552376810312284</v>
      </c>
      <c r="C4496" t="s">
        <v>40</v>
      </c>
      <c r="D4496">
        <v>4.5730719999999998</v>
      </c>
      <c r="E4496">
        <v>0.37889349999999999</v>
      </c>
      <c r="F4496" t="s">
        <v>71</v>
      </c>
      <c r="G4496">
        <v>-416.95690000000002</v>
      </c>
      <c r="H4496" s="1">
        <v>-3.7010389999999998E-6</v>
      </c>
      <c r="I4496">
        <v>34.873939999999997</v>
      </c>
      <c r="J4496">
        <v>-420.721</v>
      </c>
      <c r="K4496">
        <v>1.114989</v>
      </c>
      <c r="L4496">
        <v>41.916139999999999</v>
      </c>
      <c r="M4496">
        <v>0.13597200000000001</v>
      </c>
      <c r="N4496">
        <v>0</v>
      </c>
      <c r="O4496">
        <v>-0.99061100000000002</v>
      </c>
      <c r="P4496">
        <v>0.1684397</v>
      </c>
      <c r="Q4496">
        <v>8.275826E-2</v>
      </c>
      <c r="R4496">
        <v>-0.98223190000000005</v>
      </c>
      <c r="S4496">
        <v>1.4893190000000001</v>
      </c>
      <c r="T4496">
        <v>-0.4373147</v>
      </c>
      <c r="U4496">
        <v>-2.8406980000000002</v>
      </c>
      <c r="V4496">
        <v>-3.4427439999999997E-2</v>
      </c>
      <c r="W4496">
        <v>9.650715E-2</v>
      </c>
      <c r="X4496">
        <v>0.99473670000000003</v>
      </c>
      <c r="Y4496">
        <v>-0.33519719999999997</v>
      </c>
      <c r="Z4496">
        <v>0.13703870000000001</v>
      </c>
      <c r="AA4496">
        <v>0.93212839999999997</v>
      </c>
      <c r="AB4496">
        <v>25</v>
      </c>
      <c r="AC4496">
        <v>3.76409999999998</v>
      </c>
      <c r="AD4496">
        <v>-1.1149927010389999</v>
      </c>
      <c r="AE4496">
        <v>-7.0422000000000002</v>
      </c>
      <c r="AF4496">
        <v>-2.7184910608901598</v>
      </c>
      <c r="AG4496">
        <v>-1.1149927010389999</v>
      </c>
      <c r="AH4496">
        <v>7.3454266781129096</v>
      </c>
      <c r="AI4496">
        <v>98.102052207333003</v>
      </c>
      <c r="AJ4496">
        <v>110.309160890531</v>
      </c>
      <c r="AK4496">
        <v>7.9113017547710101</v>
      </c>
      <c r="AL4496">
        <v>84.461928172890794</v>
      </c>
      <c r="AM4496">
        <v>91.982192864340604</v>
      </c>
      <c r="AN4496">
        <v>0.99999999047648302</v>
      </c>
    </row>
    <row r="4497" spans="1:40" x14ac:dyDescent="0.25">
      <c r="A4497" t="str">
        <f>"20190312154650338"</f>
        <v>20190312154650338</v>
      </c>
      <c r="B4497" t="str">
        <f>"1552376810331805"</f>
        <v>1552376810331805</v>
      </c>
      <c r="C4497" t="s">
        <v>40</v>
      </c>
      <c r="D4497">
        <v>4.4677660000000001</v>
      </c>
      <c r="E4497">
        <v>0.37931599999999999</v>
      </c>
      <c r="F4497" t="s">
        <v>71</v>
      </c>
      <c r="G4497">
        <v>-416.8501</v>
      </c>
      <c r="H4497" s="1">
        <v>-3.871142E-6</v>
      </c>
      <c r="I4497">
        <v>34.60548</v>
      </c>
      <c r="J4497">
        <v>-420.67770000000002</v>
      </c>
      <c r="K4497">
        <v>1.115213</v>
      </c>
      <c r="L4497">
        <v>41.663789999999999</v>
      </c>
      <c r="M4497">
        <v>0.1437109</v>
      </c>
      <c r="N4497">
        <v>0</v>
      </c>
      <c r="O4497">
        <v>-0.98951730000000004</v>
      </c>
      <c r="P4497">
        <v>0.1737551</v>
      </c>
      <c r="Q4497">
        <v>8.0881510000000004E-2</v>
      </c>
      <c r="R4497">
        <v>-0.98146169999999999</v>
      </c>
      <c r="S4497">
        <v>1.5002439999999999</v>
      </c>
      <c r="T4497">
        <v>-0.43214000000000002</v>
      </c>
      <c r="U4497">
        <v>-2.833405</v>
      </c>
      <c r="V4497">
        <v>-3.2044299999999998E-2</v>
      </c>
      <c r="W4497">
        <v>9.4674980000000006E-2</v>
      </c>
      <c r="X4497">
        <v>0.9949924</v>
      </c>
      <c r="Y4497">
        <v>-0.33173619999999998</v>
      </c>
      <c r="Z4497">
        <v>0.13550029999999999</v>
      </c>
      <c r="AA4497">
        <v>0.93359020000000004</v>
      </c>
      <c r="AB4497">
        <v>25</v>
      </c>
      <c r="AC4497">
        <v>3.8276000000000101</v>
      </c>
      <c r="AD4497">
        <v>-1.1152168711419901</v>
      </c>
      <c r="AE4497">
        <v>-7.0583099999999996</v>
      </c>
      <c r="AF4497">
        <v>-2.72091176861101</v>
      </c>
      <c r="AG4497">
        <v>-1.1152168711419901</v>
      </c>
      <c r="AH4497">
        <v>7.3925404135969703</v>
      </c>
      <c r="AI4497">
        <v>98.057938349359105</v>
      </c>
      <c r="AJ4497">
        <v>110.206733913552</v>
      </c>
      <c r="AK4497">
        <v>7.9559237860169398</v>
      </c>
      <c r="AL4497">
        <v>84.567386954118106</v>
      </c>
      <c r="AM4497">
        <v>91.844605823487996</v>
      </c>
      <c r="AN4497">
        <v>1.0000000325291201</v>
      </c>
    </row>
    <row r="4498" spans="1:40" x14ac:dyDescent="0.25">
      <c r="A4498" t="str">
        <f>"20190312154650360"</f>
        <v>20190312154650360</v>
      </c>
      <c r="B4498" t="str">
        <f>"1552376810352300"</f>
        <v>1552376810352300</v>
      </c>
      <c r="C4498" t="s">
        <v>40</v>
      </c>
      <c r="D4498">
        <v>4.5028309999999996</v>
      </c>
      <c r="E4498">
        <v>0.37982470000000002</v>
      </c>
      <c r="F4498" t="s">
        <v>71</v>
      </c>
      <c r="G4498">
        <v>-416.75349999999997</v>
      </c>
      <c r="H4498" s="1">
        <v>-4.0250119999999999E-6</v>
      </c>
      <c r="I4498">
        <v>34.345550000000003</v>
      </c>
      <c r="J4498">
        <v>-420.63589999999999</v>
      </c>
      <c r="K4498">
        <v>1.115432</v>
      </c>
      <c r="L4498">
        <v>41.432560000000002</v>
      </c>
      <c r="M4498">
        <v>0.15114859999999999</v>
      </c>
      <c r="N4498">
        <v>0</v>
      </c>
      <c r="O4498">
        <v>-0.98840810000000001</v>
      </c>
      <c r="P4498">
        <v>0.17890039999999999</v>
      </c>
      <c r="Q4498">
        <v>7.8875509999999996E-2</v>
      </c>
      <c r="R4498">
        <v>-0.98070049999999998</v>
      </c>
      <c r="S4498">
        <v>1.514313</v>
      </c>
      <c r="T4498">
        <v>-0.4303515</v>
      </c>
      <c r="U4498">
        <v>-2.824036</v>
      </c>
      <c r="V4498">
        <v>-2.978043E-2</v>
      </c>
      <c r="W4498">
        <v>9.2717160000000007E-2</v>
      </c>
      <c r="X4498">
        <v>0.99524699999999999</v>
      </c>
      <c r="Y4498">
        <v>-0.32957950000000003</v>
      </c>
      <c r="Z4498">
        <v>0.13501740000000001</v>
      </c>
      <c r="AA4498">
        <v>0.93442369999999997</v>
      </c>
      <c r="AB4498">
        <v>25</v>
      </c>
      <c r="AC4498">
        <v>3.8824000000000098</v>
      </c>
      <c r="AD4498">
        <v>-1.1154360250119999</v>
      </c>
      <c r="AE4498">
        <v>-7.0870099999999896</v>
      </c>
      <c r="AF4498">
        <v>-2.71475869373843</v>
      </c>
      <c r="AG4498">
        <v>-1.1154360250119999</v>
      </c>
      <c r="AH4498">
        <v>7.4504890089055804</v>
      </c>
      <c r="AI4498">
        <v>98.007037766524206</v>
      </c>
      <c r="AJ4498">
        <v>110.02038595206599</v>
      </c>
      <c r="AK4498">
        <v>8.0077399285282702</v>
      </c>
      <c r="AL4498">
        <v>84.680057104573294</v>
      </c>
      <c r="AM4498">
        <v>91.713930283392997</v>
      </c>
      <c r="AN4498">
        <v>0.999999968389224</v>
      </c>
    </row>
    <row r="4499" spans="1:40" x14ac:dyDescent="0.25">
      <c r="A4499" t="str">
        <f>"20190312154650384"</f>
        <v>20190312154650384</v>
      </c>
      <c r="B4499" t="str">
        <f>"1552376810371819"</f>
        <v>1552376810371819</v>
      </c>
      <c r="C4499" t="s">
        <v>40</v>
      </c>
      <c r="D4499">
        <v>4.5085449999999998</v>
      </c>
      <c r="E4499">
        <v>0.38031549999999997</v>
      </c>
      <c r="F4499" t="s">
        <v>71</v>
      </c>
      <c r="G4499">
        <v>-416.6859</v>
      </c>
      <c r="H4499" s="1">
        <v>-4.1400969999999997E-6</v>
      </c>
      <c r="I4499">
        <v>34.149079999999998</v>
      </c>
      <c r="J4499">
        <v>-420.58850000000001</v>
      </c>
      <c r="K4499">
        <v>1.1156839999999999</v>
      </c>
      <c r="L4499">
        <v>41.184049999999999</v>
      </c>
      <c r="M4499">
        <v>0.15951499999999999</v>
      </c>
      <c r="N4499">
        <v>0</v>
      </c>
      <c r="O4499">
        <v>-0.98709190000000002</v>
      </c>
      <c r="P4499">
        <v>0.1845617</v>
      </c>
      <c r="Q4499">
        <v>7.6609189999999994E-2</v>
      </c>
      <c r="R4499">
        <v>-0.97983070000000005</v>
      </c>
      <c r="S4499">
        <v>1.5267329999999999</v>
      </c>
      <c r="T4499">
        <v>-0.43113950000000001</v>
      </c>
      <c r="U4499">
        <v>-2.8152159999999999</v>
      </c>
      <c r="V4499">
        <v>-2.709456E-2</v>
      </c>
      <c r="W4499">
        <v>9.0510140000000003E-2</v>
      </c>
      <c r="X4499">
        <v>0.99552689999999999</v>
      </c>
      <c r="Y4499">
        <v>-0.32597939999999997</v>
      </c>
      <c r="Z4499">
        <v>0.13531219999999999</v>
      </c>
      <c r="AA4499">
        <v>0.93564309999999995</v>
      </c>
      <c r="AB4499">
        <v>25</v>
      </c>
      <c r="AC4499">
        <v>3.9026000000000001</v>
      </c>
      <c r="AD4499">
        <v>-1.115688140097</v>
      </c>
      <c r="AE4499">
        <v>-7.0349700000000004</v>
      </c>
      <c r="AF4499">
        <v>-2.6788003506812701</v>
      </c>
      <c r="AG4499">
        <v>-1.115688140097</v>
      </c>
      <c r="AH4499">
        <v>7.4246629590395496</v>
      </c>
      <c r="AI4499">
        <v>98.045411769928407</v>
      </c>
      <c r="AJ4499">
        <v>109.839320539648</v>
      </c>
      <c r="AK4499">
        <v>7.9715965402231204</v>
      </c>
      <c r="AL4499">
        <v>84.807044282785697</v>
      </c>
      <c r="AM4499">
        <v>91.558994341083704</v>
      </c>
      <c r="AN4499">
        <v>1.0000000046240101</v>
      </c>
    </row>
    <row r="4500" spans="1:40" x14ac:dyDescent="0.25">
      <c r="A4500" t="str">
        <f>"20190312154650405"</f>
        <v>20190312154650405</v>
      </c>
      <c r="B4500" t="str">
        <f>"1552376810402076"</f>
        <v>1552376810402076</v>
      </c>
      <c r="C4500" t="s">
        <v>40</v>
      </c>
      <c r="D4500">
        <v>4.4958549999999997</v>
      </c>
      <c r="E4500">
        <v>0.38099060000000001</v>
      </c>
      <c r="F4500" t="s">
        <v>71</v>
      </c>
      <c r="G4500">
        <v>-416.6155</v>
      </c>
      <c r="H4500" s="1">
        <v>-4.2581360000000001E-6</v>
      </c>
      <c r="I4500">
        <v>33.948079999999997</v>
      </c>
      <c r="J4500">
        <v>-420.54160000000002</v>
      </c>
      <c r="K4500">
        <v>1.1159079999999999</v>
      </c>
      <c r="L4500">
        <v>40.951509999999999</v>
      </c>
      <c r="M4500">
        <v>0.16775019999999999</v>
      </c>
      <c r="N4500">
        <v>0</v>
      </c>
      <c r="O4500">
        <v>-0.98572499999999996</v>
      </c>
      <c r="P4500">
        <v>0.19028700000000001</v>
      </c>
      <c r="Q4500">
        <v>7.5095889999999998E-2</v>
      </c>
      <c r="R4500">
        <v>-0.97885219999999995</v>
      </c>
      <c r="S4500">
        <v>1.540375</v>
      </c>
      <c r="T4500">
        <v>-0.43255729999999998</v>
      </c>
      <c r="U4500">
        <v>-2.8054199999999998</v>
      </c>
      <c r="V4500">
        <v>-2.4611689999999999E-2</v>
      </c>
      <c r="W4500">
        <v>8.9057860000000003E-2</v>
      </c>
      <c r="X4500">
        <v>0.99572240000000001</v>
      </c>
      <c r="Y4500">
        <v>-0.32293149999999998</v>
      </c>
      <c r="Z4500">
        <v>0.1358026</v>
      </c>
      <c r="AA4500">
        <v>0.93662849999999997</v>
      </c>
      <c r="AB4500">
        <v>25</v>
      </c>
      <c r="AC4500">
        <v>3.9261000000000199</v>
      </c>
      <c r="AD4500">
        <v>-1.1159122581359999</v>
      </c>
      <c r="AE4500">
        <v>-7.0034299999999998</v>
      </c>
      <c r="AF4500">
        <v>-2.6444218955233998</v>
      </c>
      <c r="AG4500">
        <v>-1.1159122581359999</v>
      </c>
      <c r="AH4500">
        <v>7.4195119158932901</v>
      </c>
      <c r="AI4500">
        <v>98.063595089628905</v>
      </c>
      <c r="AJ4500">
        <v>109.61680634431001</v>
      </c>
      <c r="AK4500">
        <v>7.9553368501569004</v>
      </c>
      <c r="AL4500">
        <v>84.890591552517506</v>
      </c>
      <c r="AM4500">
        <v>91.415915612879999</v>
      </c>
      <c r="AN4500">
        <v>1.0000000677870899</v>
      </c>
    </row>
    <row r="4501" spans="1:40" x14ac:dyDescent="0.25">
      <c r="A4501" t="str">
        <f>"20190312154650428"</f>
        <v>20190312154650428</v>
      </c>
      <c r="B4501" t="str">
        <f>"1552376810422571"</f>
        <v>1552376810422571</v>
      </c>
      <c r="C4501" t="s">
        <v>40</v>
      </c>
      <c r="D4501">
        <v>4.4907139999999997</v>
      </c>
      <c r="E4501">
        <v>0.381407</v>
      </c>
      <c r="F4501" t="s">
        <v>71</v>
      </c>
      <c r="G4501">
        <v>-416.51940000000002</v>
      </c>
      <c r="H4501" s="1">
        <v>-4.399564E-6</v>
      </c>
      <c r="I4501">
        <v>33.712299999999999</v>
      </c>
      <c r="J4501">
        <v>-420.49020000000002</v>
      </c>
      <c r="K4501">
        <v>1.116112</v>
      </c>
      <c r="L4501">
        <v>40.70993</v>
      </c>
      <c r="M4501">
        <v>0.1766382</v>
      </c>
      <c r="N4501">
        <v>0</v>
      </c>
      <c r="O4501">
        <v>-0.98417080000000001</v>
      </c>
      <c r="P4501">
        <v>0.1969466</v>
      </c>
      <c r="Q4501">
        <v>7.306029E-2</v>
      </c>
      <c r="R4501">
        <v>-0.97768860000000002</v>
      </c>
      <c r="S4501">
        <v>1.5534059999999901</v>
      </c>
      <c r="T4501">
        <v>-0.43098330000000001</v>
      </c>
      <c r="U4501">
        <v>-2.7958980000000002</v>
      </c>
      <c r="V4501">
        <v>-2.23935E-2</v>
      </c>
      <c r="W4501">
        <v>8.708573E-2</v>
      </c>
      <c r="X4501">
        <v>0.99594910000000003</v>
      </c>
      <c r="Y4501">
        <v>-0.31911420000000001</v>
      </c>
      <c r="Z4501">
        <v>0.13534479999999999</v>
      </c>
      <c r="AA4501">
        <v>0.93800209999999995</v>
      </c>
      <c r="AB4501">
        <v>25</v>
      </c>
      <c r="AC4501">
        <v>3.9707999999999899</v>
      </c>
      <c r="AD4501">
        <v>-1.116116399564</v>
      </c>
      <c r="AE4501">
        <v>-6.99763</v>
      </c>
      <c r="AF4501">
        <v>-2.6217216131131198</v>
      </c>
      <c r="AG4501">
        <v>-1.116116399564</v>
      </c>
      <c r="AH4501">
        <v>7.4457596440082501</v>
      </c>
      <c r="AI4501">
        <v>98.047747639957095</v>
      </c>
      <c r="AJ4501">
        <v>109.397643068956</v>
      </c>
      <c r="AK4501">
        <v>7.9723570360579101</v>
      </c>
      <c r="AL4501">
        <v>85.004026753126197</v>
      </c>
      <c r="AM4501">
        <v>91.288054666150501</v>
      </c>
      <c r="AN4501">
        <v>1.0000000015013399</v>
      </c>
    </row>
    <row r="4502" spans="1:40" x14ac:dyDescent="0.25">
      <c r="A4502" t="str">
        <f>"20190312154650452"</f>
        <v>20190312154650452</v>
      </c>
      <c r="B4502" t="str">
        <f>"1552376810442091"</f>
        <v>1552376810442091</v>
      </c>
      <c r="C4502" t="s">
        <v>40</v>
      </c>
      <c r="D4502">
        <v>4.485703</v>
      </c>
      <c r="E4502">
        <v>0.3818086</v>
      </c>
      <c r="F4502" t="s">
        <v>71</v>
      </c>
      <c r="G4502">
        <v>-416.44389999999999</v>
      </c>
      <c r="H4502" s="1">
        <v>-4.5085379999999999E-6</v>
      </c>
      <c r="I4502">
        <v>33.531289999999998</v>
      </c>
      <c r="J4502">
        <v>-420.43369999999999</v>
      </c>
      <c r="K4502">
        <v>1.116295</v>
      </c>
      <c r="L4502">
        <v>40.456940000000003</v>
      </c>
      <c r="M4502">
        <v>0.1862983</v>
      </c>
      <c r="N4502">
        <v>0</v>
      </c>
      <c r="O4502">
        <v>-0.98238740000000002</v>
      </c>
      <c r="P4502">
        <v>0.2045254</v>
      </c>
      <c r="Q4502">
        <v>7.0724869999999995E-2</v>
      </c>
      <c r="R4502">
        <v>-0.97630289999999997</v>
      </c>
      <c r="S4502">
        <v>1.56958</v>
      </c>
      <c r="T4502">
        <v>-0.4329479</v>
      </c>
      <c r="U4502">
        <v>-2.784637</v>
      </c>
      <c r="V4502">
        <v>-2.030881E-2</v>
      </c>
      <c r="W4502">
        <v>8.4814879999999995E-2</v>
      </c>
      <c r="X4502">
        <v>0.99618969999999996</v>
      </c>
      <c r="Y4502">
        <v>-0.31552160000000001</v>
      </c>
      <c r="Z4502">
        <v>0.1359591</v>
      </c>
      <c r="AA4502">
        <v>0.93912790000000002</v>
      </c>
      <c r="AB4502">
        <v>25</v>
      </c>
      <c r="AC4502">
        <v>3.9897999999999998</v>
      </c>
      <c r="AD4502">
        <v>-1.1162995085380001</v>
      </c>
      <c r="AE4502">
        <v>-6.9256499999999903</v>
      </c>
      <c r="AF4502">
        <v>-2.5792540902680501</v>
      </c>
      <c r="AG4502">
        <v>-1.1162995085380001</v>
      </c>
      <c r="AH4502">
        <v>7.4033371947553697</v>
      </c>
      <c r="AI4502">
        <v>98.103834995058307</v>
      </c>
      <c r="AJ4502">
        <v>109.207863331943</v>
      </c>
      <c r="AK4502">
        <v>7.9188432156581401</v>
      </c>
      <c r="AL4502">
        <v>85.134619995347805</v>
      </c>
      <c r="AM4502">
        <v>91.167897979684597</v>
      </c>
      <c r="AN4502">
        <v>0.99999996500955901</v>
      </c>
    </row>
    <row r="4503" spans="1:40" x14ac:dyDescent="0.25">
      <c r="A4503" t="str">
        <f>"20190312154650473"</f>
        <v>20190312154650473</v>
      </c>
      <c r="B4503" t="str">
        <f>"1552376810462588"</f>
        <v>1552376810462588</v>
      </c>
      <c r="C4503" t="s">
        <v>40</v>
      </c>
      <c r="D4503">
        <v>4.4946299999999999</v>
      </c>
      <c r="E4503">
        <v>0.38215179999999999</v>
      </c>
      <c r="F4503" t="s">
        <v>71</v>
      </c>
      <c r="G4503">
        <v>-416.37240000000003</v>
      </c>
      <c r="H4503" s="1">
        <v>-4.6063259999999997E-6</v>
      </c>
      <c r="I4503">
        <v>33.3705</v>
      </c>
      <c r="J4503">
        <v>-420.38299999999998</v>
      </c>
      <c r="K4503">
        <v>1.1164459999999901</v>
      </c>
      <c r="L4503">
        <v>40.240780000000001</v>
      </c>
      <c r="M4503">
        <v>0.1948387</v>
      </c>
      <c r="N4503">
        <v>0</v>
      </c>
      <c r="O4503">
        <v>-0.98072859999999995</v>
      </c>
      <c r="P4503">
        <v>0.2117888</v>
      </c>
      <c r="Q4503">
        <v>6.8070629999999993E-2</v>
      </c>
      <c r="R4503">
        <v>-0.97494230000000004</v>
      </c>
      <c r="S4503">
        <v>1.5884400000000001</v>
      </c>
      <c r="T4503">
        <v>-0.43661</v>
      </c>
      <c r="U4503">
        <v>-2.7716669999999999</v>
      </c>
      <c r="V4503">
        <v>-1.9013769999999999E-2</v>
      </c>
      <c r="W4503">
        <v>8.2210469999999994E-2</v>
      </c>
      <c r="X4503">
        <v>0.99643360000000003</v>
      </c>
      <c r="Y4503">
        <v>-0.31389440000000002</v>
      </c>
      <c r="Z4503">
        <v>0.13711379999999901</v>
      </c>
      <c r="AA4503">
        <v>0.93950529999999999</v>
      </c>
      <c r="AB4503">
        <v>25</v>
      </c>
      <c r="AC4503">
        <v>4.0106000000000099</v>
      </c>
      <c r="AD4503">
        <v>-1.11645060632599</v>
      </c>
      <c r="AE4503">
        <v>-6.8702800000000002</v>
      </c>
      <c r="AF4503">
        <v>-2.5448621643959899</v>
      </c>
      <c r="AG4503">
        <v>-1.11645060632599</v>
      </c>
      <c r="AH4503">
        <v>7.3748338886884097</v>
      </c>
      <c r="AI4503">
        <v>98.144068645365707</v>
      </c>
      <c r="AJ4503">
        <v>109.038214399246</v>
      </c>
      <c r="AK4503">
        <v>7.8810507090036497</v>
      </c>
      <c r="AL4503">
        <v>85.284365021442795</v>
      </c>
      <c r="AM4503">
        <v>91.093175279110994</v>
      </c>
      <c r="AN4503">
        <v>1.0000000020180899</v>
      </c>
    </row>
    <row r="4504" spans="1:40" x14ac:dyDescent="0.25">
      <c r="A4504" t="str">
        <f>"20190312154650495"</f>
        <v>20190312154650495</v>
      </c>
      <c r="B4504" t="str">
        <f>"1552376810491867"</f>
        <v>1552376810491867</v>
      </c>
      <c r="C4504" t="s">
        <v>40</v>
      </c>
      <c r="D4504">
        <v>4.6027690000000003</v>
      </c>
      <c r="E4504">
        <v>0.38274599999999998</v>
      </c>
      <c r="F4504" t="s">
        <v>71</v>
      </c>
      <c r="G4504">
        <v>-416.31299999999999</v>
      </c>
      <c r="H4504" s="1">
        <v>-4.6792640000000001E-6</v>
      </c>
      <c r="I4504">
        <v>33.2532</v>
      </c>
      <c r="J4504">
        <v>-420.32530000000003</v>
      </c>
      <c r="K4504">
        <v>1.1166160000000001</v>
      </c>
      <c r="L4504">
        <v>40.005980000000001</v>
      </c>
      <c r="M4504">
        <v>0.20442370000000001</v>
      </c>
      <c r="N4504">
        <v>0</v>
      </c>
      <c r="O4504">
        <v>-0.97877519999999996</v>
      </c>
      <c r="P4504">
        <v>0.2203763</v>
      </c>
      <c r="Q4504">
        <v>6.6976499999999994E-2</v>
      </c>
      <c r="R4504">
        <v>-0.9731128</v>
      </c>
      <c r="S4504">
        <v>1.606903</v>
      </c>
      <c r="T4504">
        <v>-0.44079429999999997</v>
      </c>
      <c r="U4504">
        <v>-2.7588200000000001</v>
      </c>
      <c r="V4504">
        <v>-1.8053639999999999E-2</v>
      </c>
      <c r="W4504">
        <v>8.1165420000000002E-2</v>
      </c>
      <c r="X4504">
        <v>0.99653709999999995</v>
      </c>
      <c r="Y4504">
        <v>-0.31111549999999999</v>
      </c>
      <c r="Z4504">
        <v>0.13839009999999999</v>
      </c>
      <c r="AA4504">
        <v>0.94024220000000003</v>
      </c>
      <c r="AB4504">
        <v>25</v>
      </c>
      <c r="AC4504">
        <v>4.0122999999999802</v>
      </c>
      <c r="AD4504">
        <v>-1.1166206792640001</v>
      </c>
      <c r="AE4504">
        <v>-6.7527799999999996</v>
      </c>
      <c r="AF4504">
        <v>-2.4965276694215301</v>
      </c>
      <c r="AG4504">
        <v>-1.1166206792640001</v>
      </c>
      <c r="AH4504">
        <v>7.2832588407791903</v>
      </c>
      <c r="AI4504">
        <v>98.252055353089105</v>
      </c>
      <c r="AJ4504">
        <v>108.920493607382</v>
      </c>
      <c r="AK4504">
        <v>7.7798040776960198</v>
      </c>
      <c r="AL4504">
        <v>85.344442637262404</v>
      </c>
      <c r="AM4504">
        <v>91.037878303781198</v>
      </c>
      <c r="AN4504">
        <v>0.999999975498717</v>
      </c>
    </row>
    <row r="4505" spans="1:40" x14ac:dyDescent="0.25">
      <c r="A4505" t="str">
        <f>"20190312154650518"</f>
        <v>20190312154650518</v>
      </c>
      <c r="B4505" t="str">
        <f>"1552376810512365"</f>
        <v>1552376810512365</v>
      </c>
      <c r="C4505" t="s">
        <v>40</v>
      </c>
      <c r="D4505">
        <v>4.5340299999999996</v>
      </c>
      <c r="E4505">
        <v>0.38306210000000002</v>
      </c>
      <c r="F4505" t="s">
        <v>71</v>
      </c>
      <c r="G4505">
        <v>-416.18650000000002</v>
      </c>
      <c r="H4505" s="1">
        <v>-4.8226369999999997E-6</v>
      </c>
      <c r="I4505">
        <v>33.026879999999998</v>
      </c>
      <c r="J4505">
        <v>-420.26560000000001</v>
      </c>
      <c r="K4505">
        <v>1.1168020000000001</v>
      </c>
      <c r="L4505">
        <v>39.773769999999999</v>
      </c>
      <c r="M4505">
        <v>0.21420629999999999</v>
      </c>
      <c r="N4505">
        <v>0</v>
      </c>
      <c r="O4505">
        <v>-0.97668010000000005</v>
      </c>
      <c r="P4505">
        <v>0.22877449999999999</v>
      </c>
      <c r="Q4505">
        <v>6.7182939999999997E-2</v>
      </c>
      <c r="R4505">
        <v>-0.97115839999999998</v>
      </c>
      <c r="S4505">
        <v>1.627594</v>
      </c>
      <c r="T4505">
        <v>-0.4391118</v>
      </c>
      <c r="U4505">
        <v>-2.7445369999999998</v>
      </c>
      <c r="V4505">
        <v>-1.6733669999999999E-2</v>
      </c>
      <c r="W4505">
        <v>8.1428689999999998E-2</v>
      </c>
      <c r="X4505">
        <v>0.9965387</v>
      </c>
      <c r="Y4505">
        <v>-0.30903910000000001</v>
      </c>
      <c r="Z4505">
        <v>0.1378471</v>
      </c>
      <c r="AA4505">
        <v>0.94100640000000002</v>
      </c>
      <c r="AB4505">
        <v>24</v>
      </c>
      <c r="AC4505">
        <v>4.07909999999998</v>
      </c>
      <c r="AD4505">
        <v>-1.116806822637</v>
      </c>
      <c r="AE4505">
        <v>-6.7468899999999996</v>
      </c>
      <c r="AF4505">
        <v>-2.48907386259445</v>
      </c>
      <c r="AG4505">
        <v>-1.116806822637</v>
      </c>
      <c r="AH4505">
        <v>7.3172876489513001</v>
      </c>
      <c r="AI4505">
        <v>98.2220320685757</v>
      </c>
      <c r="AJ4505">
        <v>108.786427745693</v>
      </c>
      <c r="AK4505">
        <v>7.8093178133582599</v>
      </c>
      <c r="AL4505">
        <v>85.329308460893898</v>
      </c>
      <c r="AM4505">
        <v>90.962008368741095</v>
      </c>
      <c r="AN4505">
        <v>1.00000001393223</v>
      </c>
    </row>
    <row r="4506" spans="1:40" x14ac:dyDescent="0.25">
      <c r="A4506" t="str">
        <f>"20190312154650540"</f>
        <v>20190312154650540</v>
      </c>
      <c r="B4506" t="str">
        <f>"1552376810531883"</f>
        <v>1552376810531883</v>
      </c>
      <c r="C4506" t="s">
        <v>40</v>
      </c>
      <c r="D4506">
        <v>4.5274049999999999</v>
      </c>
      <c r="E4506">
        <v>0.38321769999999999</v>
      </c>
      <c r="F4506" t="s">
        <v>71</v>
      </c>
      <c r="G4506">
        <v>-416.0204</v>
      </c>
      <c r="H4506" s="1">
        <v>-5.0001160000000002E-6</v>
      </c>
      <c r="I4506">
        <v>32.750839999999997</v>
      </c>
      <c r="J4506">
        <v>-420.20240000000001</v>
      </c>
      <c r="K4506">
        <v>1.116987</v>
      </c>
      <c r="L4506">
        <v>39.539279999999998</v>
      </c>
      <c r="M4506">
        <v>0.2243821</v>
      </c>
      <c r="N4506">
        <v>0</v>
      </c>
      <c r="O4506">
        <v>-0.97439219999999904</v>
      </c>
      <c r="P4506">
        <v>0.23746980000000001</v>
      </c>
      <c r="Q4506">
        <v>6.831139E-2</v>
      </c>
      <c r="R4506">
        <v>-0.96899029999999997</v>
      </c>
      <c r="S4506">
        <v>1.6504209999999999</v>
      </c>
      <c r="T4506">
        <v>-0.43418770000000001</v>
      </c>
      <c r="U4506">
        <v>-2.7303470000000001</v>
      </c>
      <c r="V4506">
        <v>-1.534365E-2</v>
      </c>
      <c r="W4506">
        <v>8.2617709999999997E-2</v>
      </c>
      <c r="X4506">
        <v>0.99646319999999999</v>
      </c>
      <c r="Y4506">
        <v>-0.30716909999999997</v>
      </c>
      <c r="Z4506">
        <v>0.1362293</v>
      </c>
      <c r="AA4506">
        <v>0.94185390000000002</v>
      </c>
      <c r="AB4506">
        <v>24</v>
      </c>
      <c r="AC4506">
        <v>4.1820000000000102</v>
      </c>
      <c r="AD4506">
        <v>-1.1169920001160001</v>
      </c>
      <c r="AE4506">
        <v>-6.7884399999999898</v>
      </c>
      <c r="AF4506">
        <v>-2.5028536847454701</v>
      </c>
      <c r="AG4506">
        <v>-1.1169920001160001</v>
      </c>
      <c r="AH4506">
        <v>7.4083741334584001</v>
      </c>
      <c r="AI4506">
        <v>98.129289090677602</v>
      </c>
      <c r="AJ4506">
        <v>108.66708493848201</v>
      </c>
      <c r="AK4506">
        <v>7.8991110257333803</v>
      </c>
      <c r="AL4506">
        <v>85.260952285823706</v>
      </c>
      <c r="AM4506">
        <v>90.882177000008099</v>
      </c>
      <c r="AN4506">
        <v>1.0000000112776</v>
      </c>
    </row>
    <row r="4507" spans="1:40" x14ac:dyDescent="0.25">
      <c r="A4507" t="str">
        <f>"20190312154650584"</f>
        <v>20190312154650584</v>
      </c>
      <c r="B4507" t="str">
        <f>"1552376810571900"</f>
        <v>1552376810571900</v>
      </c>
      <c r="C4507" t="s">
        <v>40</v>
      </c>
      <c r="D4507">
        <v>4.541652</v>
      </c>
      <c r="E4507">
        <v>0.38379259999999998</v>
      </c>
      <c r="F4507" t="s">
        <v>71</v>
      </c>
      <c r="G4507">
        <v>-415.84739999999999</v>
      </c>
      <c r="H4507" s="1">
        <v>-5.1801639999999998E-6</v>
      </c>
      <c r="I4507">
        <v>32.472769999999997</v>
      </c>
      <c r="J4507">
        <v>-420.07339999999999</v>
      </c>
      <c r="K4507">
        <v>1.117292</v>
      </c>
      <c r="L4507">
        <v>39.091709999999999</v>
      </c>
      <c r="M4507">
        <v>0.2446005</v>
      </c>
      <c r="N4507">
        <v>0</v>
      </c>
      <c r="O4507">
        <v>-0.96951279999999995</v>
      </c>
      <c r="P4507">
        <v>0.25514540000000002</v>
      </c>
      <c r="Q4507">
        <v>6.6074049999999995E-2</v>
      </c>
      <c r="R4507">
        <v>-0.96464260000000002</v>
      </c>
      <c r="S4507">
        <v>1.673889</v>
      </c>
      <c r="T4507">
        <v>-0.42932389999999998</v>
      </c>
      <c r="U4507">
        <v>-2.7160639999999998</v>
      </c>
      <c r="V4507">
        <v>-1.282136E-2</v>
      </c>
      <c r="W4507">
        <v>8.0500489999999994E-2</v>
      </c>
      <c r="X4507">
        <v>0.99667209999999995</v>
      </c>
      <c r="Y4507">
        <v>-0.2956104</v>
      </c>
      <c r="Z4507">
        <v>0.1343058</v>
      </c>
      <c r="AA4507">
        <v>0.94582049999999995</v>
      </c>
      <c r="AB4507">
        <v>24</v>
      </c>
      <c r="AC4507">
        <v>4.2259999999999902</v>
      </c>
      <c r="AD4507">
        <v>-1.1172971801639999</v>
      </c>
      <c r="AE4507">
        <v>-6.6189399999999896</v>
      </c>
      <c r="AF4507">
        <v>-2.4292575450713598</v>
      </c>
      <c r="AG4507">
        <v>-1.1172971801639999</v>
      </c>
      <c r="AH4507">
        <v>7.3037838731992997</v>
      </c>
      <c r="AI4507">
        <v>98.259181890171007</v>
      </c>
      <c r="AJ4507">
        <v>108.39725969925099</v>
      </c>
      <c r="AK4507">
        <v>7.7778470077197301</v>
      </c>
      <c r="AL4507">
        <v>85.382665492108302</v>
      </c>
      <c r="AM4507">
        <v>90.737022032498999</v>
      </c>
      <c r="AN4507">
        <v>0.99999999554044905</v>
      </c>
    </row>
    <row r="4508" spans="1:40" x14ac:dyDescent="0.25">
      <c r="A4508" t="str">
        <f>"20190312154650607"</f>
        <v>20190312154650607</v>
      </c>
      <c r="B4508" t="str">
        <f>"1552376810602156"</f>
        <v>1552376810602156</v>
      </c>
      <c r="C4508" t="s">
        <v>40</v>
      </c>
      <c r="D4508">
        <v>4.3935190000000004</v>
      </c>
      <c r="E4508">
        <v>0.38396849999999999</v>
      </c>
      <c r="F4508" t="s">
        <v>71</v>
      </c>
      <c r="G4508">
        <v>-415.63470000000001</v>
      </c>
      <c r="H4508" s="1">
        <v>-5.3887919999999998E-6</v>
      </c>
      <c r="I4508">
        <v>32.155859999999997</v>
      </c>
      <c r="J4508">
        <v>-420.0027</v>
      </c>
      <c r="K4508">
        <v>1.1174029999999999</v>
      </c>
      <c r="L4508">
        <v>38.862670000000001</v>
      </c>
      <c r="M4508">
        <v>0.25531219999999999</v>
      </c>
      <c r="N4508">
        <v>0</v>
      </c>
      <c r="O4508">
        <v>-0.96674669999999896</v>
      </c>
      <c r="P4508">
        <v>0.2651598</v>
      </c>
      <c r="Q4508">
        <v>6.4581040000000006E-2</v>
      </c>
      <c r="R4508">
        <v>-0.96203939999999999</v>
      </c>
      <c r="S4508">
        <v>1.71835299999999</v>
      </c>
      <c r="T4508">
        <v>-0.43254209999999899</v>
      </c>
      <c r="U4508">
        <v>-2.6850890000000001</v>
      </c>
      <c r="V4508">
        <v>-1.2127000000000001E-2</v>
      </c>
      <c r="W4508">
        <v>7.9057909999999995E-2</v>
      </c>
      <c r="X4508">
        <v>0.99679629999999997</v>
      </c>
      <c r="Y4508">
        <v>-0.30101739999999999</v>
      </c>
      <c r="Z4508">
        <v>0.13535359999999999</v>
      </c>
      <c r="AA4508">
        <v>0.94396389999999997</v>
      </c>
      <c r="AB4508">
        <v>24</v>
      </c>
      <c r="AC4508">
        <v>4.3679999999999897</v>
      </c>
      <c r="AD4508">
        <v>-1.1174083887919899</v>
      </c>
      <c r="AE4508">
        <v>-6.7068099999999999</v>
      </c>
      <c r="AF4508">
        <v>-2.46269089000074</v>
      </c>
      <c r="AG4508">
        <v>-1.1174083887919899</v>
      </c>
      <c r="AH4508">
        <v>7.4545175484449704</v>
      </c>
      <c r="AI4508">
        <v>98.100554754175803</v>
      </c>
      <c r="AJ4508">
        <v>108.281602948841</v>
      </c>
      <c r="AK4508">
        <v>7.9298978434220402</v>
      </c>
      <c r="AL4508">
        <v>85.4655837459634</v>
      </c>
      <c r="AM4508">
        <v>90.697024698605404</v>
      </c>
      <c r="AN4508">
        <v>1.00000004047812</v>
      </c>
    </row>
    <row r="4509" spans="1:40" x14ac:dyDescent="0.25">
      <c r="A4509" t="str">
        <f>"20190312154650642"</f>
        <v>20190312154650642</v>
      </c>
      <c r="B4509" t="str">
        <f>"1552376810632412"</f>
        <v>1552376810632412</v>
      </c>
      <c r="C4509" t="s">
        <v>40</v>
      </c>
      <c r="D4509">
        <v>4.2648099999999998</v>
      </c>
      <c r="E4509">
        <v>0.3835789</v>
      </c>
      <c r="F4509" t="s">
        <v>71</v>
      </c>
      <c r="G4509">
        <v>-415.51560000000001</v>
      </c>
      <c r="H4509" s="1">
        <v>-5.4923900000000003E-6</v>
      </c>
      <c r="I4509">
        <v>32.004390000000001</v>
      </c>
      <c r="J4509">
        <v>-419.88959999999997</v>
      </c>
      <c r="K4509">
        <v>1.1174999999999999</v>
      </c>
      <c r="L4509">
        <v>38.51379</v>
      </c>
      <c r="M4509">
        <v>0.27194390000000002</v>
      </c>
      <c r="N4509">
        <v>0</v>
      </c>
      <c r="O4509">
        <v>-0.9621999</v>
      </c>
      <c r="P4509">
        <v>0.28120699999999998</v>
      </c>
      <c r="Q4509">
        <v>6.1616629999999999E-2</v>
      </c>
      <c r="R4509">
        <v>-0.9576673</v>
      </c>
      <c r="S4509">
        <v>1.74472</v>
      </c>
      <c r="T4509">
        <v>-0.43447429999999898</v>
      </c>
      <c r="U4509">
        <v>-2.6666560000000001</v>
      </c>
      <c r="V4509">
        <v>-1.1521679999999999E-2</v>
      </c>
      <c r="W4509">
        <v>7.6156059999999998E-2</v>
      </c>
      <c r="X4509">
        <v>0.99702939999999995</v>
      </c>
      <c r="Y4509">
        <v>-0.29407359999999999</v>
      </c>
      <c r="Z4509">
        <v>0.13559769999999999</v>
      </c>
      <c r="AA4509">
        <v>0.94611520000000005</v>
      </c>
      <c r="AB4509">
        <v>24</v>
      </c>
      <c r="AC4509">
        <v>4.3739999999999597</v>
      </c>
      <c r="AD4509">
        <v>-1.1175054923900001</v>
      </c>
      <c r="AE4509">
        <v>-6.5093999999999896</v>
      </c>
      <c r="AF4509">
        <v>-2.3902042329045701</v>
      </c>
      <c r="AG4509">
        <v>-1.1175054923900001</v>
      </c>
      <c r="AH4509">
        <v>7.30530717821099</v>
      </c>
      <c r="AI4509">
        <v>98.272134499758806</v>
      </c>
      <c r="AJ4509">
        <v>108.117442599363</v>
      </c>
      <c r="AK4509">
        <v>7.7672007678788502</v>
      </c>
      <c r="AL4509">
        <v>85.632350603683406</v>
      </c>
      <c r="AM4509">
        <v>90.662081031681396</v>
      </c>
      <c r="AN4509">
        <v>1.00000005952455</v>
      </c>
    </row>
    <row r="4510" spans="1:40" x14ac:dyDescent="0.25">
      <c r="A4510" t="str">
        <f>"20190312154650663"</f>
        <v>20190312154650663</v>
      </c>
      <c r="B4510" t="str">
        <f>"1552376810651931"</f>
        <v>1552376810651931</v>
      </c>
      <c r="C4510" t="s">
        <v>40</v>
      </c>
      <c r="D4510">
        <v>4.2687819999999999</v>
      </c>
      <c r="E4510">
        <v>0.38330910000000001</v>
      </c>
      <c r="F4510" t="s">
        <v>71</v>
      </c>
      <c r="G4510">
        <v>-415.32670000000002</v>
      </c>
      <c r="H4510" s="1">
        <v>-5.6176890000000003E-6</v>
      </c>
      <c r="I4510">
        <v>31.80911</v>
      </c>
      <c r="J4510">
        <v>-419.8143</v>
      </c>
      <c r="K4510">
        <v>1.1175360000000001</v>
      </c>
      <c r="L4510">
        <v>38.292819999999999</v>
      </c>
      <c r="M4510">
        <v>0.28267039999999999</v>
      </c>
      <c r="N4510">
        <v>0</v>
      </c>
      <c r="O4510">
        <v>-0.95910289999999998</v>
      </c>
      <c r="P4510">
        <v>0.2923018</v>
      </c>
      <c r="Q4510">
        <v>5.8899E-2</v>
      </c>
      <c r="R4510">
        <v>-0.95451030000000003</v>
      </c>
      <c r="S4510">
        <v>1.7928470000000001</v>
      </c>
      <c r="T4510">
        <v>-0.43908930000000002</v>
      </c>
      <c r="U4510">
        <v>-2.6343990000000002</v>
      </c>
      <c r="V4510">
        <v>-1.187305E-2</v>
      </c>
      <c r="W4510">
        <v>7.3460460000000005E-2</v>
      </c>
      <c r="X4510">
        <v>0.99722739999999999</v>
      </c>
      <c r="Y4510">
        <v>-0.30049429999999999</v>
      </c>
      <c r="Z4510">
        <v>0.1369541</v>
      </c>
      <c r="AA4510">
        <v>0.94389979999999996</v>
      </c>
      <c r="AB4510">
        <v>24</v>
      </c>
      <c r="AC4510">
        <v>4.48759999999998</v>
      </c>
      <c r="AD4510">
        <v>-1.1175416176890001</v>
      </c>
      <c r="AE4510">
        <v>-6.4837100000000003</v>
      </c>
      <c r="AF4510">
        <v>-2.4229207996539501</v>
      </c>
      <c r="AG4510">
        <v>-1.1175416176890001</v>
      </c>
      <c r="AH4510">
        <v>7.3404356916323303</v>
      </c>
      <c r="AI4510">
        <v>98.226392916951397</v>
      </c>
      <c r="AJ4510">
        <v>108.266951477026</v>
      </c>
      <c r="AK4510">
        <v>7.8103419010727402</v>
      </c>
      <c r="AL4510">
        <v>85.787230659532199</v>
      </c>
      <c r="AM4510">
        <v>90.682134800633904</v>
      </c>
      <c r="AN4510">
        <v>0.99999994790523505</v>
      </c>
    </row>
    <row r="4511" spans="1:40" x14ac:dyDescent="0.25">
      <c r="A4511" t="str">
        <f>"20190312154650707"</f>
        <v>20190312154650707</v>
      </c>
      <c r="B4511" t="str">
        <f>"1552376810702683"</f>
        <v>1552376810702683</v>
      </c>
      <c r="C4511" t="s">
        <v>40</v>
      </c>
      <c r="D4511">
        <v>4.3473269999999999</v>
      </c>
      <c r="E4511">
        <v>0.38168869999999999</v>
      </c>
      <c r="F4511" t="s">
        <v>71</v>
      </c>
      <c r="G4511">
        <v>-415.22379999999998</v>
      </c>
      <c r="H4511" s="1">
        <v>-5.6640140000000003E-6</v>
      </c>
      <c r="I4511">
        <v>31.729179999999999</v>
      </c>
      <c r="J4511">
        <v>-419.65530000000001</v>
      </c>
      <c r="K4511">
        <v>1.117612</v>
      </c>
      <c r="L4511">
        <v>37.853149999999999</v>
      </c>
      <c r="M4511">
        <v>0.30441049999999997</v>
      </c>
      <c r="N4511">
        <v>0</v>
      </c>
      <c r="O4511">
        <v>-0.95242519999999997</v>
      </c>
      <c r="P4511">
        <v>0.31508819999999998</v>
      </c>
      <c r="Q4511">
        <v>5.4671780000000003E-2</v>
      </c>
      <c r="R4511">
        <v>-0.94748679999999996</v>
      </c>
      <c r="S4511">
        <v>1.8262020000000001</v>
      </c>
      <c r="T4511">
        <v>-0.44458019999999998</v>
      </c>
      <c r="U4511">
        <v>-2.611145</v>
      </c>
      <c r="V4511">
        <v>-1.2950649999999999E-2</v>
      </c>
      <c r="W4511">
        <v>6.9268339999999998E-2</v>
      </c>
      <c r="X4511">
        <v>0.99751400000000001</v>
      </c>
      <c r="Y4511">
        <v>-0.2907477</v>
      </c>
      <c r="Z4511">
        <v>0.13797390000000001</v>
      </c>
      <c r="AA4511">
        <v>0.94679930000000001</v>
      </c>
      <c r="AB4511">
        <v>24</v>
      </c>
      <c r="AC4511">
        <v>4.4315000000000202</v>
      </c>
      <c r="AD4511">
        <v>-1.1176176640140001</v>
      </c>
      <c r="AE4511">
        <v>-6.1239699999999999</v>
      </c>
      <c r="AF4511">
        <v>-2.3063167569421701</v>
      </c>
      <c r="AG4511">
        <v>-1.1176176640140001</v>
      </c>
      <c r="AH4511">
        <v>7.0287661106488502</v>
      </c>
      <c r="AI4511">
        <v>98.591326812308594</v>
      </c>
      <c r="AJ4511">
        <v>108.165977700998</v>
      </c>
      <c r="AK4511">
        <v>7.4814249487964597</v>
      </c>
      <c r="AL4511">
        <v>86.028035824755307</v>
      </c>
      <c r="AM4511">
        <v>90.743825049646802</v>
      </c>
      <c r="AN4511">
        <v>1.0000000012288801</v>
      </c>
    </row>
    <row r="4512" spans="1:40" x14ac:dyDescent="0.25">
      <c r="A4512" t="str">
        <f>"20190312154650729"</f>
        <v>20190312154650729</v>
      </c>
      <c r="B4512" t="str">
        <f>"1552376810722208"</f>
        <v>1552376810722208</v>
      </c>
      <c r="C4512" t="s">
        <v>40</v>
      </c>
      <c r="D4512">
        <v>4.2846830000000002</v>
      </c>
      <c r="E4512">
        <v>0.38166480000000003</v>
      </c>
      <c r="F4512" t="s">
        <v>71</v>
      </c>
      <c r="G4512">
        <v>-414.86270000000002</v>
      </c>
      <c r="H4512" s="1">
        <v>-5.8462659999999997E-6</v>
      </c>
      <c r="I4512">
        <v>31.396629999999998</v>
      </c>
      <c r="J4512">
        <v>-419.5727</v>
      </c>
      <c r="K4512">
        <v>1.1176299999999999</v>
      </c>
      <c r="L4512">
        <v>37.636870000000002</v>
      </c>
      <c r="M4512">
        <v>0.31523790000000002</v>
      </c>
      <c r="N4512">
        <v>0</v>
      </c>
      <c r="O4512">
        <v>-0.94889619999999997</v>
      </c>
      <c r="P4512">
        <v>0.32647700000000002</v>
      </c>
      <c r="Q4512">
        <v>5.3185450000000002E-2</v>
      </c>
      <c r="R4512">
        <v>-0.94370770000000004</v>
      </c>
      <c r="S4512">
        <v>1.9002079999999999</v>
      </c>
      <c r="T4512">
        <v>-0.44311699999999998</v>
      </c>
      <c r="U4512">
        <v>-2.5599059999999998</v>
      </c>
      <c r="V4512">
        <v>-1.3557049999999999E-2</v>
      </c>
      <c r="W4512">
        <v>6.7793619999999999E-2</v>
      </c>
      <c r="X4512">
        <v>0.99760720000000003</v>
      </c>
      <c r="Y4512">
        <v>-0.30658829999999998</v>
      </c>
      <c r="Z4512">
        <v>0.13756849999999901</v>
      </c>
      <c r="AA4512">
        <v>0.94184849999999998</v>
      </c>
      <c r="AB4512">
        <v>24</v>
      </c>
      <c r="AC4512">
        <v>4.7099999999999804</v>
      </c>
      <c r="AD4512">
        <v>-1.1176358462660001</v>
      </c>
      <c r="AE4512">
        <v>-6.24024</v>
      </c>
      <c r="AF4512">
        <v>-2.4523036682998001</v>
      </c>
      <c r="AG4512">
        <v>-1.1176358462660001</v>
      </c>
      <c r="AH4512">
        <v>7.2585966964126296</v>
      </c>
      <c r="AI4512">
        <v>98.299419105072403</v>
      </c>
      <c r="AJ4512">
        <v>108.66744602557399</v>
      </c>
      <c r="AK4512">
        <v>7.7427468748234096</v>
      </c>
      <c r="AL4512">
        <v>86.112729970692996</v>
      </c>
      <c r="AM4512">
        <v>90.778576915284205</v>
      </c>
      <c r="AN4512">
        <v>0.99999994700462203</v>
      </c>
    </row>
    <row r="4513" spans="1:40" x14ac:dyDescent="0.25">
      <c r="A4513" t="str">
        <f>"20190312154650751"</f>
        <v>20190312154650751</v>
      </c>
      <c r="B4513" t="str">
        <f>"1552376810741723"</f>
        <v>1552376810741723</v>
      </c>
      <c r="C4513" t="s">
        <v>40</v>
      </c>
      <c r="D4513">
        <v>4.5119530000000001</v>
      </c>
      <c r="E4513">
        <v>0.38172319999999998</v>
      </c>
      <c r="F4513" t="s">
        <v>71</v>
      </c>
      <c r="G4513">
        <v>-414.72329999999999</v>
      </c>
      <c r="H4513" s="1">
        <v>-5.9164620000000002E-6</v>
      </c>
      <c r="I4513">
        <v>31.268660000000001</v>
      </c>
      <c r="J4513">
        <v>-419.4846</v>
      </c>
      <c r="K4513">
        <v>1.117653</v>
      </c>
      <c r="L4513">
        <v>37.414119999999997</v>
      </c>
      <c r="M4513">
        <v>0.32645980000000002</v>
      </c>
      <c r="N4513">
        <v>0</v>
      </c>
      <c r="O4513">
        <v>-0.94509359999999998</v>
      </c>
      <c r="P4513">
        <v>0.33842519999999998</v>
      </c>
      <c r="Q4513">
        <v>5.2442900000000001E-2</v>
      </c>
      <c r="R4513">
        <v>-0.93953070000000005</v>
      </c>
      <c r="S4513">
        <v>1.931122</v>
      </c>
      <c r="T4513">
        <v>-0.44506469999999998</v>
      </c>
      <c r="U4513">
        <v>-2.5359500000000001</v>
      </c>
      <c r="V4513">
        <v>-1.437216E-2</v>
      </c>
      <c r="W4513">
        <v>6.7054299999999997E-2</v>
      </c>
      <c r="X4513">
        <v>0.99764580000000003</v>
      </c>
      <c r="Y4513">
        <v>-0.30683480000000002</v>
      </c>
      <c r="Z4513">
        <v>0.13791689999999901</v>
      </c>
      <c r="AA4513">
        <v>0.94171729999999998</v>
      </c>
      <c r="AB4513">
        <v>24</v>
      </c>
      <c r="AC4513">
        <v>4.7613000000000003</v>
      </c>
      <c r="AD4513">
        <v>-1.1176589164620001</v>
      </c>
      <c r="AE4513">
        <v>-6.1454599999999999</v>
      </c>
      <c r="AF4513">
        <v>-2.4434029200676202</v>
      </c>
      <c r="AG4513">
        <v>-1.1176589164620001</v>
      </c>
      <c r="AH4513">
        <v>7.2141175001350302</v>
      </c>
      <c r="AI4513">
        <v>98.347918635213205</v>
      </c>
      <c r="AJ4513">
        <v>108.711107391182</v>
      </c>
      <c r="AK4513">
        <v>7.6982381483750197</v>
      </c>
      <c r="AL4513">
        <v>86.155186669367097</v>
      </c>
      <c r="AM4513">
        <v>90.825350191126901</v>
      </c>
      <c r="AN4513">
        <v>0.99999999019459795</v>
      </c>
    </row>
    <row r="4514" spans="1:40" x14ac:dyDescent="0.25">
      <c r="A4514" t="str">
        <f>"20190312154650773"</f>
        <v>20190312154650773</v>
      </c>
      <c r="B4514" t="str">
        <f>"1552376810762219"</f>
        <v>1552376810762219</v>
      </c>
      <c r="C4514" t="s">
        <v>40</v>
      </c>
      <c r="D4514">
        <v>4.6053899999999999</v>
      </c>
      <c r="E4514">
        <v>0.38183689999999998</v>
      </c>
      <c r="F4514" t="s">
        <v>71</v>
      </c>
      <c r="G4514">
        <v>-414.55579999999998</v>
      </c>
      <c r="H4514" s="1">
        <v>-6.0047219999999996E-6</v>
      </c>
      <c r="I4514">
        <v>31.104610000000001</v>
      </c>
      <c r="J4514">
        <v>-419.39749999999998</v>
      </c>
      <c r="K4514">
        <v>1.117664</v>
      </c>
      <c r="L4514">
        <v>37.201169999999998</v>
      </c>
      <c r="M4514">
        <v>0.33724500000000002</v>
      </c>
      <c r="N4514">
        <v>0</v>
      </c>
      <c r="O4514">
        <v>-0.941299</v>
      </c>
      <c r="P4514">
        <v>0.34852119999999998</v>
      </c>
      <c r="Q4514">
        <v>5.210542E-2</v>
      </c>
      <c r="R4514">
        <v>-0.93585169999999995</v>
      </c>
      <c r="S4514">
        <v>1.9617610000000001</v>
      </c>
      <c r="T4514">
        <v>-0.44484109999999999</v>
      </c>
      <c r="U4514">
        <v>-2.5112610000000002</v>
      </c>
      <c r="V4514">
        <v>-1.369455E-2</v>
      </c>
      <c r="W4514">
        <v>6.6744570000000003E-2</v>
      </c>
      <c r="X4514">
        <v>0.99767609999999995</v>
      </c>
      <c r="Y4514">
        <v>-0.30760419999999999</v>
      </c>
      <c r="Z4514">
        <v>0.13761950000000001</v>
      </c>
      <c r="AA4514">
        <v>0.9415097</v>
      </c>
      <c r="AB4514">
        <v>24</v>
      </c>
      <c r="AC4514">
        <v>4.8417000000000003</v>
      </c>
      <c r="AD4514">
        <v>-1.1176700047220001</v>
      </c>
      <c r="AE4514">
        <v>-6.0965600000000002</v>
      </c>
      <c r="AF4514">
        <v>-2.4512107618301799</v>
      </c>
      <c r="AG4514">
        <v>-1.1176700047220001</v>
      </c>
      <c r="AH4514">
        <v>7.2234662605209996</v>
      </c>
      <c r="AI4514">
        <v>98.335742188265101</v>
      </c>
      <c r="AJ4514">
        <v>108.744127672039</v>
      </c>
      <c r="AK4514">
        <v>7.70948021952535</v>
      </c>
      <c r="AL4514">
        <v>86.172972734136806</v>
      </c>
      <c r="AM4514">
        <v>90.786418200743398</v>
      </c>
      <c r="AN4514">
        <v>0.99999998941769797</v>
      </c>
    </row>
    <row r="4515" spans="1:40" x14ac:dyDescent="0.25">
      <c r="A4515" t="str">
        <f>"20190312154650796"</f>
        <v>20190312154650796</v>
      </c>
      <c r="B4515" t="str">
        <f>"1552376810792476"</f>
        <v>1552376810792476</v>
      </c>
      <c r="C4515" t="s">
        <v>40</v>
      </c>
      <c r="D4515">
        <v>4.5298669999999897</v>
      </c>
      <c r="E4515">
        <v>0.39276240000000001</v>
      </c>
      <c r="F4515" t="s">
        <v>71</v>
      </c>
      <c r="G4515">
        <v>-414.39789999999999</v>
      </c>
      <c r="H4515" s="1">
        <v>-6.0928280000000003E-6</v>
      </c>
      <c r="I4515">
        <v>30.936969999999999</v>
      </c>
      <c r="J4515">
        <v>-419.3064</v>
      </c>
      <c r="K4515">
        <v>1.117659</v>
      </c>
      <c r="L4515">
        <v>36.985840000000003</v>
      </c>
      <c r="M4515">
        <v>0.3481939</v>
      </c>
      <c r="N4515">
        <v>0</v>
      </c>
      <c r="O4515">
        <v>-0.93730400000000003</v>
      </c>
      <c r="P4515">
        <v>0.3585217</v>
      </c>
      <c r="Q4515">
        <v>5.1285839999999999E-2</v>
      </c>
      <c r="R4515">
        <v>-0.93211200000000005</v>
      </c>
      <c r="S4515">
        <v>1.9874879999999999</v>
      </c>
      <c r="T4515">
        <v>-0.44430639999999999</v>
      </c>
      <c r="U4515">
        <v>-2.4902039999999999</v>
      </c>
      <c r="V4515">
        <v>-1.2715209999999999E-2</v>
      </c>
      <c r="W4515">
        <v>6.5955710000000001E-2</v>
      </c>
      <c r="X4515">
        <v>0.99774149999999995</v>
      </c>
      <c r="Y4515">
        <v>-0.30637779999999998</v>
      </c>
      <c r="Z4515">
        <v>0.137142299999999</v>
      </c>
      <c r="AA4515">
        <v>0.94197909999999996</v>
      </c>
      <c r="AB4515">
        <v>24</v>
      </c>
      <c r="AC4515">
        <v>4.9085000000000001</v>
      </c>
      <c r="AD4515">
        <v>-1.1176650928280001</v>
      </c>
      <c r="AE4515">
        <v>-6.04887</v>
      </c>
      <c r="AF4515">
        <v>-2.44453227378024</v>
      </c>
      <c r="AG4515">
        <v>-1.1176650928280001</v>
      </c>
      <c r="AH4515">
        <v>7.2307117577036601</v>
      </c>
      <c r="AI4515">
        <v>98.330623691192798</v>
      </c>
      <c r="AJ4515">
        <v>108.679176581677</v>
      </c>
      <c r="AK4515">
        <v>7.7141497146654698</v>
      </c>
      <c r="AL4515">
        <v>86.218270816749296</v>
      </c>
      <c r="AM4515">
        <v>90.730137447981505</v>
      </c>
      <c r="AN4515">
        <v>0.99999996653459799</v>
      </c>
    </row>
    <row r="4516" spans="1:40" x14ac:dyDescent="0.25">
      <c r="A4516" t="str">
        <f>"20190312154650819"</f>
        <v>20190312154650819</v>
      </c>
      <c r="B4516" t="str">
        <f>"1552376810811995"</f>
        <v>1552376810811995</v>
      </c>
      <c r="C4516" t="s">
        <v>40</v>
      </c>
      <c r="D4516">
        <v>4.6072980000000001</v>
      </c>
      <c r="E4516">
        <v>0.3949125</v>
      </c>
      <c r="F4516" t="s">
        <v>71</v>
      </c>
      <c r="G4516">
        <v>-412.55270000000002</v>
      </c>
      <c r="H4516" s="1">
        <v>-9.7274820000000004E-6</v>
      </c>
      <c r="I4516">
        <v>28.2056</v>
      </c>
      <c r="J4516">
        <v>-419.20760000000001</v>
      </c>
      <c r="K4516">
        <v>1.11764</v>
      </c>
      <c r="L4516">
        <v>36.759920000000001</v>
      </c>
      <c r="M4516">
        <v>0.35971249999999999</v>
      </c>
      <c r="N4516">
        <v>0</v>
      </c>
      <c r="O4516">
        <v>-0.93294390000000005</v>
      </c>
      <c r="P4516">
        <v>0.36920639999999999</v>
      </c>
      <c r="Q4516">
        <v>4.9978380000000003E-2</v>
      </c>
      <c r="R4516">
        <v>-0.92800289999999996</v>
      </c>
      <c r="S4516">
        <v>1.9208069999999999</v>
      </c>
      <c r="T4516">
        <v>-0.31787680000000001</v>
      </c>
      <c r="U4516">
        <v>-2.4971920000000001</v>
      </c>
      <c r="V4516">
        <v>-1.1835089999999999E-2</v>
      </c>
      <c r="W4516">
        <v>6.4676719999999993E-2</v>
      </c>
      <c r="X4516">
        <v>0.9978361</v>
      </c>
      <c r="Y4516">
        <v>-0.28054980000000002</v>
      </c>
      <c r="Z4516">
        <v>9.8884369999999999E-2</v>
      </c>
      <c r="AA4516">
        <v>0.95473220000000003</v>
      </c>
      <c r="AB4516">
        <v>24</v>
      </c>
      <c r="AC4516">
        <v>6.6548999999999898</v>
      </c>
      <c r="AD4516">
        <v>-1.1176497274820001</v>
      </c>
      <c r="AE4516">
        <v>-8.5543200000000006</v>
      </c>
      <c r="AF4516">
        <v>-3.0989461938668899</v>
      </c>
      <c r="AG4516">
        <v>-1.1176497274820001</v>
      </c>
      <c r="AH4516">
        <v>10.2665295345956</v>
      </c>
      <c r="AI4516">
        <v>95.949833031115901</v>
      </c>
      <c r="AJ4516">
        <v>106.796410391157</v>
      </c>
      <c r="AK4516">
        <v>10.782125815930099</v>
      </c>
      <c r="AL4516">
        <v>86.291708550545195</v>
      </c>
      <c r="AM4516">
        <v>90.679539367235805</v>
      </c>
      <c r="AN4516">
        <v>1.0000000149642301</v>
      </c>
    </row>
    <row r="4517" spans="1:40" x14ac:dyDescent="0.25">
      <c r="A4517" t="str">
        <f>"20190312154650842"</f>
        <v>20190312154650842</v>
      </c>
      <c r="B4517" t="str">
        <f>"1552376810832495"</f>
        <v>1552376810832495</v>
      </c>
      <c r="C4517" t="s">
        <v>40</v>
      </c>
      <c r="D4517">
        <v>4.5749810000000002</v>
      </c>
      <c r="E4517">
        <v>0.39675909999999998</v>
      </c>
      <c r="F4517" t="s">
        <v>71</v>
      </c>
      <c r="G4517">
        <v>-412.4588</v>
      </c>
      <c r="H4517" s="1">
        <v>-9.7478720000000004E-6</v>
      </c>
      <c r="I4517">
        <v>28.093779999999999</v>
      </c>
      <c r="J4517">
        <v>-419.11099999999999</v>
      </c>
      <c r="K4517">
        <v>1.117613</v>
      </c>
      <c r="L4517">
        <v>36.545810000000003</v>
      </c>
      <c r="M4517">
        <v>0.37064750000000002</v>
      </c>
      <c r="N4517">
        <v>0</v>
      </c>
      <c r="O4517">
        <v>-0.92865359999999997</v>
      </c>
      <c r="P4517">
        <v>0.3796002</v>
      </c>
      <c r="Q4517">
        <v>4.972501E-2</v>
      </c>
      <c r="R4517">
        <v>-0.92381360000000001</v>
      </c>
      <c r="S4517">
        <v>1.9322809999999999</v>
      </c>
      <c r="T4517">
        <v>-0.3199979</v>
      </c>
      <c r="U4517">
        <v>-2.4812319999999999</v>
      </c>
      <c r="V4517">
        <v>-1.1299979999999999E-2</v>
      </c>
      <c r="W4517">
        <v>6.4440699999999906E-2</v>
      </c>
      <c r="X4517">
        <v>0.99785760000000001</v>
      </c>
      <c r="Y4517">
        <v>-0.27495170000000002</v>
      </c>
      <c r="Z4517">
        <v>9.9328189999999997E-2</v>
      </c>
      <c r="AA4517">
        <v>0.95631350000000004</v>
      </c>
      <c r="AB4517">
        <v>24</v>
      </c>
      <c r="AC4517">
        <v>6.6521999999999899</v>
      </c>
      <c r="AD4517">
        <v>-1.117622747872</v>
      </c>
      <c r="AE4517">
        <v>-8.4520299999999899</v>
      </c>
      <c r="AF4517">
        <v>-3.01267748318087</v>
      </c>
      <c r="AG4517">
        <v>-1.117622747872</v>
      </c>
      <c r="AH4517">
        <v>10.205590288235401</v>
      </c>
      <c r="AI4517">
        <v>95.995800483317694</v>
      </c>
      <c r="AJ4517">
        <v>106.4465344661</v>
      </c>
      <c r="AK4517">
        <v>10.699503696693199</v>
      </c>
      <c r="AL4517">
        <v>86.305259867935405</v>
      </c>
      <c r="AM4517">
        <v>90.648803485685306</v>
      </c>
      <c r="AN4517">
        <v>1.0000000416211201</v>
      </c>
    </row>
    <row r="4518" spans="1:40" x14ac:dyDescent="0.25">
      <c r="A4518" t="str">
        <f>"20190312154650864"</f>
        <v>20190312154650864</v>
      </c>
      <c r="B4518" t="str">
        <f>"1552376810861773"</f>
        <v>1552376810861773</v>
      </c>
      <c r="C4518" t="s">
        <v>40</v>
      </c>
      <c r="D4518">
        <v>4.5816369999999997</v>
      </c>
      <c r="E4518">
        <v>0.39891450000000001</v>
      </c>
      <c r="F4518" t="s">
        <v>71</v>
      </c>
      <c r="G4518">
        <v>-412.29079999999999</v>
      </c>
      <c r="H4518" s="1">
        <v>-9.7851019999999993E-6</v>
      </c>
      <c r="I4518">
        <v>27.90053</v>
      </c>
      <c r="J4518">
        <v>-419.0129</v>
      </c>
      <c r="K4518">
        <v>1.117583</v>
      </c>
      <c r="L4518">
        <v>36.335419999999999</v>
      </c>
      <c r="M4518">
        <v>0.38140259999999998</v>
      </c>
      <c r="N4518">
        <v>0</v>
      </c>
      <c r="O4518">
        <v>-0.92428829999999995</v>
      </c>
      <c r="P4518">
        <v>0.38905190000000001</v>
      </c>
      <c r="Q4518">
        <v>4.8912440000000001E-2</v>
      </c>
      <c r="R4518">
        <v>-0.91991650000000003</v>
      </c>
      <c r="S4518">
        <v>1.9449160000000001</v>
      </c>
      <c r="T4518">
        <v>-0.31871470000000002</v>
      </c>
      <c r="U4518">
        <v>-2.4653930000000002</v>
      </c>
      <c r="V4518">
        <v>-9.9106070000000001E-3</v>
      </c>
      <c r="W4518">
        <v>6.3659339999999995E-2</v>
      </c>
      <c r="X4518">
        <v>0.99792250000000005</v>
      </c>
      <c r="Y4518">
        <v>-0.26982339999999999</v>
      </c>
      <c r="Z4518">
        <v>9.8688079999999997E-2</v>
      </c>
      <c r="AA4518">
        <v>0.9578392</v>
      </c>
      <c r="AB4518">
        <v>24</v>
      </c>
      <c r="AC4518">
        <v>6.72210000000001</v>
      </c>
      <c r="AD4518">
        <v>-1.117592785102</v>
      </c>
      <c r="AE4518">
        <v>-8.4348899999999993</v>
      </c>
      <c r="AF4518">
        <v>-2.9645748186963701</v>
      </c>
      <c r="AG4518">
        <v>-1.117592785102</v>
      </c>
      <c r="AH4518">
        <v>10.251191551693701</v>
      </c>
      <c r="AI4518">
        <v>95.978751524161893</v>
      </c>
      <c r="AJ4518">
        <v>106.129509263662</v>
      </c>
      <c r="AK4518">
        <v>10.729615357433699</v>
      </c>
      <c r="AL4518">
        <v>86.3501205456013</v>
      </c>
      <c r="AM4518">
        <v>90.568999382373505</v>
      </c>
      <c r="AN4518">
        <v>1.00000002385329</v>
      </c>
    </row>
    <row r="4519" spans="1:40" x14ac:dyDescent="0.25">
      <c r="A4519" t="str">
        <f>"20190312154650886"</f>
        <v>20190312154650886</v>
      </c>
      <c r="B4519" t="str">
        <f>"1552376810882267"</f>
        <v>1552376810882267</v>
      </c>
      <c r="C4519" t="s">
        <v>40</v>
      </c>
      <c r="D4519">
        <v>4.5812359999999996</v>
      </c>
      <c r="E4519">
        <v>0.39920250000000002</v>
      </c>
      <c r="F4519" t="s">
        <v>71</v>
      </c>
      <c r="G4519">
        <v>-412.12369999999999</v>
      </c>
      <c r="H4519" s="1">
        <v>-9.8202800000000001E-6</v>
      </c>
      <c r="I4519">
        <v>27.691759999999999</v>
      </c>
      <c r="J4519">
        <v>-418.91629999999998</v>
      </c>
      <c r="K4519">
        <v>1.117548</v>
      </c>
      <c r="L4519">
        <v>36.134340000000002</v>
      </c>
      <c r="M4519">
        <v>0.39168579999999997</v>
      </c>
      <c r="N4519">
        <v>0</v>
      </c>
      <c r="O4519">
        <v>-0.91997770000000001</v>
      </c>
      <c r="P4519">
        <v>0.39783869999999999</v>
      </c>
      <c r="Q4519">
        <v>4.7230729999999999E-2</v>
      </c>
      <c r="R4519">
        <v>-0.91623889999999997</v>
      </c>
      <c r="S4519">
        <v>1.95401</v>
      </c>
      <c r="T4519">
        <v>-0.3169864</v>
      </c>
      <c r="U4519">
        <v>-2.4516300000000002</v>
      </c>
      <c r="V4519">
        <v>-8.2626450000000008E-3</v>
      </c>
      <c r="W4519">
        <v>6.2011780000000002E-2</v>
      </c>
      <c r="X4519">
        <v>0.99804119999999996</v>
      </c>
      <c r="Y4519">
        <v>-0.26391290000000001</v>
      </c>
      <c r="Z4519">
        <v>9.7904270000000002E-2</v>
      </c>
      <c r="AA4519">
        <v>0.95956490000000005</v>
      </c>
      <c r="AB4519">
        <v>24</v>
      </c>
      <c r="AC4519">
        <v>6.7925999999999904</v>
      </c>
      <c r="AD4519">
        <v>-1.1175578202800001</v>
      </c>
      <c r="AE4519">
        <v>-8.4425799999999995</v>
      </c>
      <c r="AF4519">
        <v>-2.9115606639046501</v>
      </c>
      <c r="AG4519">
        <v>-1.1175578202800001</v>
      </c>
      <c r="AH4519">
        <v>10.318953994689901</v>
      </c>
      <c r="AI4519">
        <v>95.950557148641494</v>
      </c>
      <c r="AJ4519">
        <v>105.756761515786</v>
      </c>
      <c r="AK4519">
        <v>10.7799319351187</v>
      </c>
      <c r="AL4519">
        <v>86.444705559010899</v>
      </c>
      <c r="AM4519">
        <v>90.474332994151993</v>
      </c>
      <c r="AN4519">
        <v>0.99999998452930206</v>
      </c>
    </row>
    <row r="4520" spans="1:40" x14ac:dyDescent="0.25">
      <c r="A4520" t="str">
        <f>"20190312154650908"</f>
        <v>20190312154650908</v>
      </c>
      <c r="B4520" t="str">
        <f>"1552376810901788"</f>
        <v>1552376810901788</v>
      </c>
      <c r="C4520" t="s">
        <v>40</v>
      </c>
      <c r="D4520">
        <v>4.586595</v>
      </c>
      <c r="E4520">
        <v>0.39893699999999999</v>
      </c>
      <c r="F4520" t="s">
        <v>71</v>
      </c>
      <c r="G4520">
        <v>-411.90429999999998</v>
      </c>
      <c r="H4520" s="1">
        <v>-9.8774949999999995E-6</v>
      </c>
      <c r="I4520">
        <v>27.496269999999999</v>
      </c>
      <c r="J4520">
        <v>-418.81240000000003</v>
      </c>
      <c r="K4520">
        <v>1.117513</v>
      </c>
      <c r="L4520">
        <v>35.924409999999902</v>
      </c>
      <c r="M4520">
        <v>0.4024239</v>
      </c>
      <c r="N4520">
        <v>0</v>
      </c>
      <c r="O4520">
        <v>-0.91533160000000002</v>
      </c>
      <c r="P4520">
        <v>0.40787600000000002</v>
      </c>
      <c r="Q4520">
        <v>4.6576909999999999E-2</v>
      </c>
      <c r="R4520">
        <v>-0.91184900000000002</v>
      </c>
      <c r="S4520">
        <v>1.974945</v>
      </c>
      <c r="T4520">
        <v>-0.31476140000000002</v>
      </c>
      <c r="U4520">
        <v>-2.432922</v>
      </c>
      <c r="V4520">
        <v>-7.5133909999999899E-3</v>
      </c>
      <c r="W4520">
        <v>6.1373570000000002E-2</v>
      </c>
      <c r="X4520">
        <v>0.99808660000000005</v>
      </c>
      <c r="Y4520">
        <v>-0.26127080000000003</v>
      </c>
      <c r="Z4520">
        <v>9.6893740000000006E-2</v>
      </c>
      <c r="AA4520">
        <v>0.96039010000000002</v>
      </c>
      <c r="AB4520">
        <v>24</v>
      </c>
      <c r="AC4520">
        <v>6.9081000000000401</v>
      </c>
      <c r="AD4520">
        <v>-1.1175228774949999</v>
      </c>
      <c r="AE4520">
        <v>-8.4281399999999902</v>
      </c>
      <c r="AF4520">
        <v>-2.90133322590607</v>
      </c>
      <c r="AG4520">
        <v>-1.1175228774949999</v>
      </c>
      <c r="AH4520">
        <v>10.386471715892601</v>
      </c>
      <c r="AI4520">
        <v>95.916274268867198</v>
      </c>
      <c r="AJ4520">
        <v>105.607052713299</v>
      </c>
      <c r="AK4520">
        <v>10.8418350187829</v>
      </c>
      <c r="AL4520">
        <v>86.481342187657802</v>
      </c>
      <c r="AM4520">
        <v>90.431302717485806</v>
      </c>
      <c r="AN4520">
        <v>1.00000001361921</v>
      </c>
    </row>
    <row r="4521" spans="1:40" x14ac:dyDescent="0.25">
      <c r="A4521" t="str">
        <f>"20190312154650964"</f>
        <v>20190312154650964</v>
      </c>
      <c r="B4521" t="str">
        <f>"1552376810952540"</f>
        <v>1552376810952540</v>
      </c>
      <c r="C4521" t="s">
        <v>40</v>
      </c>
      <c r="D4521">
        <v>4.5910929999999999</v>
      </c>
      <c r="E4521">
        <v>0.37692639999999999</v>
      </c>
      <c r="F4521" t="s">
        <v>71</v>
      </c>
      <c r="G4521">
        <v>-411.74990000000003</v>
      </c>
      <c r="H4521" s="1">
        <v>-9.9267889999999995E-6</v>
      </c>
      <c r="I4521">
        <v>27.427790000000002</v>
      </c>
      <c r="J4521">
        <v>-418.54649999999998</v>
      </c>
      <c r="K4521">
        <v>1.117443</v>
      </c>
      <c r="L4521">
        <v>35.412689999999998</v>
      </c>
      <c r="M4521">
        <v>0.42860589999999998</v>
      </c>
      <c r="N4521">
        <v>0</v>
      </c>
      <c r="O4521">
        <v>-0.90336830000000001</v>
      </c>
      <c r="P4521">
        <v>0.43397590000000003</v>
      </c>
      <c r="Q4521">
        <v>4.5469679999999998E-2</v>
      </c>
      <c r="R4521">
        <v>-0.89977659999999904</v>
      </c>
      <c r="S4521">
        <v>2.0033259999999999</v>
      </c>
      <c r="T4521">
        <v>-0.31699319999999997</v>
      </c>
      <c r="U4521">
        <v>-2.410126</v>
      </c>
      <c r="V4521">
        <v>-7.4815359999999996E-3</v>
      </c>
      <c r="W4521">
        <v>6.0266029999999998E-2</v>
      </c>
      <c r="X4521">
        <v>0.99815430000000005</v>
      </c>
      <c r="Y4521">
        <v>-0.2446169</v>
      </c>
      <c r="Z4521">
        <v>9.6335450000000003E-2</v>
      </c>
      <c r="AA4521">
        <v>0.96482230000000002</v>
      </c>
      <c r="AB4521">
        <v>24</v>
      </c>
      <c r="AC4521">
        <v>6.79659999999995</v>
      </c>
      <c r="AD4521">
        <v>-1.1174529267890001</v>
      </c>
      <c r="AE4521">
        <v>-7.9848999999999997</v>
      </c>
      <c r="AF4521">
        <v>-2.6872420573490801</v>
      </c>
      <c r="AG4521">
        <v>-1.1174529267890001</v>
      </c>
      <c r="AH4521">
        <v>10.013772313640001</v>
      </c>
      <c r="AI4521">
        <v>96.151495089362399</v>
      </c>
      <c r="AJ4521">
        <v>105.02167098831001</v>
      </c>
      <c r="AK4521">
        <v>10.428116170612901</v>
      </c>
      <c r="AL4521">
        <v>86.544917158810506</v>
      </c>
      <c r="AM4521">
        <v>90.4294450365865</v>
      </c>
      <c r="AN4521">
        <v>0.99999998718068495</v>
      </c>
    </row>
    <row r="4522" spans="1:40" x14ac:dyDescent="0.25">
      <c r="A4522" t="str">
        <f>"20190312154650987"</f>
        <v>20190312154650987</v>
      </c>
      <c r="B4522" t="str">
        <f>"1552376810981820"</f>
        <v>1552376810981820</v>
      </c>
      <c r="C4522" t="s">
        <v>40</v>
      </c>
      <c r="D4522">
        <v>4.575145</v>
      </c>
      <c r="E4522">
        <v>0.3793552</v>
      </c>
      <c r="F4522" t="s">
        <v>71</v>
      </c>
      <c r="G4522">
        <v>-411.9898</v>
      </c>
      <c r="H4522" s="1">
        <v>-9.9848790000000008E-6</v>
      </c>
      <c r="I4522">
        <v>28.737380000000002</v>
      </c>
      <c r="J4522">
        <v>-418.43189999999998</v>
      </c>
      <c r="K4522">
        <v>1.117416</v>
      </c>
      <c r="L4522">
        <v>35.203090000000003</v>
      </c>
      <c r="M4522">
        <v>0.43934659999999898</v>
      </c>
      <c r="N4522">
        <v>0</v>
      </c>
      <c r="O4522">
        <v>-0.89819349999999998</v>
      </c>
      <c r="P4522">
        <v>0.44490590000000002</v>
      </c>
      <c r="Q4522">
        <v>4.4719299999999997E-2</v>
      </c>
      <c r="R4522">
        <v>-0.89446019999999904</v>
      </c>
      <c r="S4522">
        <v>2.2350159999999999</v>
      </c>
      <c r="T4522">
        <v>-0.3809128</v>
      </c>
      <c r="U4522">
        <v>-2.275452</v>
      </c>
      <c r="V4522">
        <v>-7.7074880000000002E-3</v>
      </c>
      <c r="W4522">
        <v>5.9510639999999997E-2</v>
      </c>
      <c r="X4522">
        <v>0.99819789999999997</v>
      </c>
      <c r="Y4522">
        <v>-0.31090980000000001</v>
      </c>
      <c r="Z4522">
        <v>0.1149416</v>
      </c>
      <c r="AA4522">
        <v>0.94346359999999996</v>
      </c>
      <c r="AB4522">
        <v>24</v>
      </c>
      <c r="AC4522">
        <v>6.4420999999999804</v>
      </c>
      <c r="AD4522">
        <v>-1.117425984879</v>
      </c>
      <c r="AE4522">
        <v>-6.4657099999999996</v>
      </c>
      <c r="AF4522">
        <v>-2.9023903729927798</v>
      </c>
      <c r="AG4522">
        <v>-1.117425984879</v>
      </c>
      <c r="AH4522">
        <v>8.5111662757873194</v>
      </c>
      <c r="AI4522">
        <v>97.083432042991504</v>
      </c>
      <c r="AJ4522">
        <v>108.82987483874101</v>
      </c>
      <c r="AK4522">
        <v>9.0615926901965391</v>
      </c>
      <c r="AL4522">
        <v>86.588275635388896</v>
      </c>
      <c r="AM4522">
        <v>90.4423949971833</v>
      </c>
      <c r="AN4522">
        <v>0.99999998460444395</v>
      </c>
    </row>
    <row r="4523" spans="1:40" x14ac:dyDescent="0.25">
      <c r="A4523" t="str">
        <f>"20190312154651009"</f>
        <v>20190312154651009</v>
      </c>
      <c r="B4523" t="str">
        <f>"1552376811002317"</f>
        <v>1552376811002317</v>
      </c>
      <c r="C4523" t="s">
        <v>40</v>
      </c>
      <c r="D4523">
        <v>4.5648799999999996</v>
      </c>
      <c r="E4523">
        <v>0.38053199999999998</v>
      </c>
      <c r="F4523" t="s">
        <v>71</v>
      </c>
      <c r="G4523">
        <v>-411.38119999999998</v>
      </c>
      <c r="H4523" s="1">
        <v>-1.012916E-5</v>
      </c>
      <c r="I4523">
        <v>28.111789999999999</v>
      </c>
      <c r="J4523">
        <v>-418.32060000000001</v>
      </c>
      <c r="K4523">
        <v>1.1173959999999901</v>
      </c>
      <c r="L4523">
        <v>35.005040000000001</v>
      </c>
      <c r="M4523">
        <v>0.44949899999999998</v>
      </c>
      <c r="N4523">
        <v>0</v>
      </c>
      <c r="O4523">
        <v>-0.89315599999999995</v>
      </c>
      <c r="P4523">
        <v>0.45503349999999998</v>
      </c>
      <c r="Q4523">
        <v>4.4379639999999998E-2</v>
      </c>
      <c r="R4523">
        <v>-0.88936780000000004</v>
      </c>
      <c r="S4523">
        <v>2.2431030000000001</v>
      </c>
      <c r="T4523">
        <v>-0.35550019999999999</v>
      </c>
      <c r="U4523">
        <v>-2.2560419999999999</v>
      </c>
      <c r="V4523">
        <v>-7.710026E-3</v>
      </c>
      <c r="W4523">
        <v>5.9167930000000001E-2</v>
      </c>
      <c r="X4523">
        <v>0.9982183</v>
      </c>
      <c r="Y4523">
        <v>-0.30654520000000002</v>
      </c>
      <c r="Z4523">
        <v>0.1071339</v>
      </c>
      <c r="AA4523">
        <v>0.94580779999999998</v>
      </c>
      <c r="AB4523">
        <v>24</v>
      </c>
      <c r="AC4523">
        <v>6.9394000000000302</v>
      </c>
      <c r="AD4523">
        <v>-1.1174061291599999</v>
      </c>
      <c r="AE4523">
        <v>-6.8932499999999903</v>
      </c>
      <c r="AF4523">
        <v>-3.0598697373236701</v>
      </c>
      <c r="AG4523">
        <v>-1.1174061291599999</v>
      </c>
      <c r="AH4523">
        <v>9.1575226277524493</v>
      </c>
      <c r="AI4523">
        <v>96.601525756701804</v>
      </c>
      <c r="AJ4523">
        <v>108.476395492021</v>
      </c>
      <c r="AK4523">
        <v>9.7196512254643999</v>
      </c>
      <c r="AL4523">
        <v>86.607946293404297</v>
      </c>
      <c r="AM4523">
        <v>90.442531624129003</v>
      </c>
      <c r="AN4523">
        <v>1.0000000314481401</v>
      </c>
    </row>
    <row r="4524" spans="1:40" x14ac:dyDescent="0.25">
      <c r="A4524" t="str">
        <f>"20190312154651031"</f>
        <v>20190312154651031</v>
      </c>
      <c r="B4524" t="str">
        <f>"1552376811022812"</f>
        <v>1552376811022812</v>
      </c>
      <c r="C4524" t="s">
        <v>40</v>
      </c>
      <c r="D4524">
        <v>4.558541</v>
      </c>
      <c r="E4524">
        <v>0.38190839999999998</v>
      </c>
      <c r="F4524" t="s">
        <v>71</v>
      </c>
      <c r="G4524">
        <v>-411.1087</v>
      </c>
      <c r="H4524" s="1">
        <v>-1.020425E-5</v>
      </c>
      <c r="I4524">
        <v>27.871649999999999</v>
      </c>
      <c r="J4524">
        <v>-418.20589999999999</v>
      </c>
      <c r="K4524">
        <v>1.1173709999999999</v>
      </c>
      <c r="L4524">
        <v>34.806150000000002</v>
      </c>
      <c r="M4524">
        <v>0.45970519999999998</v>
      </c>
      <c r="N4524">
        <v>0</v>
      </c>
      <c r="O4524">
        <v>-0.88794619999999902</v>
      </c>
      <c r="P4524">
        <v>0.46533590000000002</v>
      </c>
      <c r="Q4524">
        <v>4.4620720000000003E-2</v>
      </c>
      <c r="R4524">
        <v>-0.88400919999999905</v>
      </c>
      <c r="S4524">
        <v>2.2593079999999999</v>
      </c>
      <c r="T4524">
        <v>-0.35005560000000002</v>
      </c>
      <c r="U4524">
        <v>-2.2347109999999999</v>
      </c>
      <c r="V4524">
        <v>-7.8741309999999995E-3</v>
      </c>
      <c r="W4524">
        <v>5.9403539999999998E-2</v>
      </c>
      <c r="X4524">
        <v>0.99820299999999995</v>
      </c>
      <c r="Y4524">
        <v>-0.3036895</v>
      </c>
      <c r="Z4524">
        <v>0.1051585</v>
      </c>
      <c r="AA4524">
        <v>0.94695010000000002</v>
      </c>
      <c r="AB4524">
        <v>24</v>
      </c>
      <c r="AC4524">
        <v>7.0971999999999804</v>
      </c>
      <c r="AD4524">
        <v>-1.11738120425</v>
      </c>
      <c r="AE4524">
        <v>-6.9344999999999999</v>
      </c>
      <c r="AF4524">
        <v>-3.0754529941798401</v>
      </c>
      <c r="AG4524">
        <v>-1.11738120425</v>
      </c>
      <c r="AH4524">
        <v>9.3031582358205096</v>
      </c>
      <c r="AI4524">
        <v>96.505790600233198</v>
      </c>
      <c r="AJ4524">
        <v>108.292935773409</v>
      </c>
      <c r="AK4524">
        <v>9.8618307142100097</v>
      </c>
      <c r="AL4524">
        <v>86.594422961270396</v>
      </c>
      <c r="AM4524">
        <v>90.451957283468602</v>
      </c>
      <c r="AN4524">
        <v>1.0000000058562599</v>
      </c>
    </row>
    <row r="4525" spans="1:40" x14ac:dyDescent="0.25">
      <c r="A4525" t="str">
        <f>"20190312154651054"</f>
        <v>20190312154651054</v>
      </c>
      <c r="B4525" t="str">
        <f>"1552376811042333"</f>
        <v>1552376811042333</v>
      </c>
      <c r="C4525" t="s">
        <v>40</v>
      </c>
      <c r="D4525">
        <v>4.5771199999999999</v>
      </c>
      <c r="E4525">
        <v>0.38989879999999999</v>
      </c>
      <c r="F4525" t="s">
        <v>71</v>
      </c>
      <c r="G4525">
        <v>-410.84379999999999</v>
      </c>
      <c r="H4525" s="1">
        <v>-1.02776299999999E-5</v>
      </c>
      <c r="I4525">
        <v>27.642050000000001</v>
      </c>
      <c r="J4525">
        <v>-418.08640000000003</v>
      </c>
      <c r="K4525">
        <v>1.1173519999999999</v>
      </c>
      <c r="L4525">
        <v>34.604309999999998</v>
      </c>
      <c r="M4525">
        <v>0.4700722</v>
      </c>
      <c r="N4525">
        <v>0</v>
      </c>
      <c r="O4525">
        <v>-0.8825018</v>
      </c>
      <c r="P4525">
        <v>0.4753811</v>
      </c>
      <c r="Q4525">
        <v>4.497806E-2</v>
      </c>
      <c r="R4525">
        <v>-0.87862960000000001</v>
      </c>
      <c r="S4525">
        <v>2.2748409999999999</v>
      </c>
      <c r="T4525">
        <v>-0.34526220000000002</v>
      </c>
      <c r="U4525">
        <v>-2.213654</v>
      </c>
      <c r="V4525">
        <v>-7.573148E-3</v>
      </c>
      <c r="W4525">
        <v>5.9762429999999998E-2</v>
      </c>
      <c r="X4525">
        <v>0.99818390000000001</v>
      </c>
      <c r="Y4525">
        <v>-0.30039670000000002</v>
      </c>
      <c r="Z4525">
        <v>0.1033496</v>
      </c>
      <c r="AA4525">
        <v>0.94819869999999995</v>
      </c>
      <c r="AB4525">
        <v>24</v>
      </c>
      <c r="AC4525">
        <v>7.2426000000000297</v>
      </c>
      <c r="AD4525">
        <v>-1.1173622776300001</v>
      </c>
      <c r="AE4525">
        <v>-6.9622599999999899</v>
      </c>
      <c r="AF4525">
        <v>-3.0810766219344901</v>
      </c>
      <c r="AG4525">
        <v>-1.1173622776300001</v>
      </c>
      <c r="AH4525">
        <v>9.4331261413173593</v>
      </c>
      <c r="AI4525">
        <v>96.424274861056304</v>
      </c>
      <c r="AJ4525">
        <v>108.088232297978</v>
      </c>
      <c r="AK4525">
        <v>9.9862605818047196</v>
      </c>
      <c r="AL4525">
        <v>86.573823458924593</v>
      </c>
      <c r="AM4525">
        <v>90.434690534308899</v>
      </c>
      <c r="AN4525">
        <v>0.99999999941467199</v>
      </c>
    </row>
    <row r="4526" spans="1:40" x14ac:dyDescent="0.25">
      <c r="A4526" t="str">
        <f>"20190312154651077"</f>
        <v>20190312154651077</v>
      </c>
      <c r="B4526" t="str">
        <f>"1552376811072589"</f>
        <v>1552376811072589</v>
      </c>
      <c r="C4526" t="s">
        <v>40</v>
      </c>
      <c r="D4526">
        <v>4.5933400000000004</v>
      </c>
      <c r="E4526">
        <v>0.39177830000000002</v>
      </c>
      <c r="F4526" t="s">
        <v>71</v>
      </c>
      <c r="G4526">
        <v>-409.12220000000002</v>
      </c>
      <c r="H4526" s="1">
        <v>-2.7249369999999999E-6</v>
      </c>
      <c r="I4526">
        <v>25.719580000000001</v>
      </c>
      <c r="J4526">
        <v>-417.96440000000001</v>
      </c>
      <c r="K4526">
        <v>1.117335</v>
      </c>
      <c r="L4526">
        <v>34.403779999999998</v>
      </c>
      <c r="M4526">
        <v>0.48038389999999997</v>
      </c>
      <c r="N4526">
        <v>0</v>
      </c>
      <c r="O4526">
        <v>-0.87693159999999903</v>
      </c>
      <c r="P4526">
        <v>0.4852668</v>
      </c>
      <c r="Q4526">
        <v>4.5427120000000001E-2</v>
      </c>
      <c r="R4526">
        <v>-0.87318560000000001</v>
      </c>
      <c r="S4526">
        <v>2.2377929999999999</v>
      </c>
      <c r="T4526">
        <v>-0.27893299999999999</v>
      </c>
      <c r="U4526">
        <v>-2.2179570000000002</v>
      </c>
      <c r="V4526">
        <v>-7.1536229999999996E-3</v>
      </c>
      <c r="W4526">
        <v>6.0215100000000001E-2</v>
      </c>
      <c r="X4526">
        <v>0.99815980000000004</v>
      </c>
      <c r="Y4526">
        <v>-0.2819178</v>
      </c>
      <c r="Z4526">
        <v>8.3487019999999995E-2</v>
      </c>
      <c r="AA4526">
        <v>0.95579930000000002</v>
      </c>
      <c r="AB4526">
        <v>23</v>
      </c>
      <c r="AC4526">
        <v>8.8421999999999894</v>
      </c>
      <c r="AD4526">
        <v>-1.117337724937</v>
      </c>
      <c r="AE4526">
        <v>-8.6841999999999899</v>
      </c>
      <c r="AF4526">
        <v>-3.5537682607530598</v>
      </c>
      <c r="AG4526">
        <v>-1.117337724937</v>
      </c>
      <c r="AH4526">
        <v>11.768763296344099</v>
      </c>
      <c r="AI4526">
        <v>95.1932087448901</v>
      </c>
      <c r="AJ4526">
        <v>106.80253929859801</v>
      </c>
      <c r="AK4526">
        <v>12.344290257770201</v>
      </c>
      <c r="AL4526">
        <v>86.547840619105799</v>
      </c>
      <c r="AM4526">
        <v>90.410621013682501</v>
      </c>
      <c r="AN4526">
        <v>1.0000000094630299</v>
      </c>
    </row>
    <row r="4527" spans="1:40" x14ac:dyDescent="0.25">
      <c r="A4527" t="str">
        <f>"20190312154651098"</f>
        <v>20190312154651098</v>
      </c>
      <c r="B4527" t="str">
        <f>"1552376811092112"</f>
        <v>1552376811092112</v>
      </c>
      <c r="C4527" t="s">
        <v>40</v>
      </c>
      <c r="D4527">
        <v>4.5570250000000003</v>
      </c>
      <c r="E4527">
        <v>0.39278689999999999</v>
      </c>
      <c r="F4527" t="s">
        <v>71</v>
      </c>
      <c r="G4527">
        <v>-409.6782</v>
      </c>
      <c r="H4527" s="1">
        <v>-2.527633E-6</v>
      </c>
      <c r="I4527">
        <v>26.312249999999999</v>
      </c>
      <c r="J4527">
        <v>-417.84620000000001</v>
      </c>
      <c r="K4527">
        <v>1.117318</v>
      </c>
      <c r="L4527">
        <v>34.214289999999998</v>
      </c>
      <c r="M4527">
        <v>0.49013689999999999</v>
      </c>
      <c r="N4527">
        <v>0</v>
      </c>
      <c r="O4527">
        <v>-0.87151800000000001</v>
      </c>
      <c r="P4527">
        <v>0.49480030000000003</v>
      </c>
      <c r="Q4527">
        <v>4.6206209999999998E-2</v>
      </c>
      <c r="R4527">
        <v>-0.86777760000000004</v>
      </c>
      <c r="S4527">
        <v>2.2525940000000002</v>
      </c>
      <c r="T4527">
        <v>-0.3037435</v>
      </c>
      <c r="U4527">
        <v>-2.199646</v>
      </c>
      <c r="V4527">
        <v>-6.9805190000000001E-3</v>
      </c>
      <c r="W4527">
        <v>6.0993289999999999E-2</v>
      </c>
      <c r="X4527">
        <v>0.99811380000000005</v>
      </c>
      <c r="Y4527">
        <v>-0.27782469999999998</v>
      </c>
      <c r="Z4527">
        <v>9.0437199999999995E-2</v>
      </c>
      <c r="AA4527">
        <v>0.95636529999999997</v>
      </c>
      <c r="AB4527">
        <v>23</v>
      </c>
      <c r="AC4527">
        <v>8.1679999999999993</v>
      </c>
      <c r="AD4527">
        <v>-1.117320527633</v>
      </c>
      <c r="AE4527">
        <v>-7.9020400000000004</v>
      </c>
      <c r="AF4527">
        <v>-3.21476534574315</v>
      </c>
      <c r="AG4527">
        <v>-1.117320527633</v>
      </c>
      <c r="AH4527">
        <v>10.787153133663599</v>
      </c>
      <c r="AI4527">
        <v>95.668866117057405</v>
      </c>
      <c r="AJ4527">
        <v>106.59500155487601</v>
      </c>
      <c r="AK4527">
        <v>11.311312661171099</v>
      </c>
      <c r="AL4527">
        <v>86.503171592227105</v>
      </c>
      <c r="AM4527">
        <v>90.400703563911605</v>
      </c>
      <c r="AN4527">
        <v>1.0000000334104799</v>
      </c>
    </row>
    <row r="4528" spans="1:40" x14ac:dyDescent="0.25">
      <c r="A4528" t="str">
        <f>"20190312154651120"</f>
        <v>20190312154651120</v>
      </c>
      <c r="B4528" t="str">
        <f>"1552376811112607"</f>
        <v>1552376811112607</v>
      </c>
      <c r="C4528" t="s">
        <v>40</v>
      </c>
      <c r="D4528">
        <v>4.6216379999999999</v>
      </c>
      <c r="E4528">
        <v>0.39424910000000002</v>
      </c>
      <c r="F4528" t="s">
        <v>71</v>
      </c>
      <c r="G4528">
        <v>-409.59730000000002</v>
      </c>
      <c r="H4528" s="1">
        <v>-2.5716749999999998E-6</v>
      </c>
      <c r="I4528">
        <v>26.295069999999999</v>
      </c>
      <c r="J4528">
        <v>-417.72559999999999</v>
      </c>
      <c r="K4528">
        <v>1.1172979999999999</v>
      </c>
      <c r="L4528">
        <v>34.02563</v>
      </c>
      <c r="M4528">
        <v>0.49985950000000001</v>
      </c>
      <c r="N4528">
        <v>0</v>
      </c>
      <c r="O4528">
        <v>-0.86597809999999897</v>
      </c>
      <c r="P4528">
        <v>0.5042548</v>
      </c>
      <c r="Q4528">
        <v>4.664741E-2</v>
      </c>
      <c r="R4528">
        <v>-0.86229449999999996</v>
      </c>
      <c r="S4528">
        <v>2.2699280000000002</v>
      </c>
      <c r="T4528">
        <v>-0.30746250000000003</v>
      </c>
      <c r="U4528">
        <v>-2.1791990000000001</v>
      </c>
      <c r="V4528">
        <v>-6.7352269999999999E-3</v>
      </c>
      <c r="W4528">
        <v>6.1434490000000001E-2</v>
      </c>
      <c r="X4528">
        <v>0.99808839999999999</v>
      </c>
      <c r="Y4528">
        <v>-0.27513919999999997</v>
      </c>
      <c r="Z4528">
        <v>9.1114580000000001E-2</v>
      </c>
      <c r="AA4528">
        <v>0.95707710000000001</v>
      </c>
      <c r="AB4528">
        <v>23</v>
      </c>
      <c r="AC4528">
        <v>8.1282999999999603</v>
      </c>
      <c r="AD4528">
        <v>-1.117300571675</v>
      </c>
      <c r="AE4528">
        <v>-7.7305599999999899</v>
      </c>
      <c r="AF4528">
        <v>-3.1438985968067099</v>
      </c>
      <c r="AG4528">
        <v>-1.117300571675</v>
      </c>
      <c r="AH4528">
        <v>10.653012183052599</v>
      </c>
      <c r="AI4528">
        <v>95.744180289180406</v>
      </c>
      <c r="AJ4528">
        <v>106.442293245437</v>
      </c>
      <c r="AK4528">
        <v>11.1632937579702</v>
      </c>
      <c r="AL4528">
        <v>86.477845106602004</v>
      </c>
      <c r="AM4528">
        <v>90.3866333119568</v>
      </c>
      <c r="AN4528">
        <v>1.0000000070294299</v>
      </c>
    </row>
    <row r="4529" spans="1:40" x14ac:dyDescent="0.25">
      <c r="A4529" t="str">
        <f>"20190312154651142"</f>
        <v>20190312154651142</v>
      </c>
      <c r="B4529" t="str">
        <f>"1552376811132124"</f>
        <v>1552376811132124</v>
      </c>
      <c r="C4529" t="s">
        <v>40</v>
      </c>
      <c r="D4529">
        <v>4.6205170000000004</v>
      </c>
      <c r="E4529">
        <v>0.394982</v>
      </c>
      <c r="F4529" t="s">
        <v>71</v>
      </c>
      <c r="G4529">
        <v>-409.54919999999998</v>
      </c>
      <c r="H4529" s="1">
        <v>-2.5982310000000002E-6</v>
      </c>
      <c r="I4529">
        <v>26.286370000000002</v>
      </c>
      <c r="J4529">
        <v>-417.5985</v>
      </c>
      <c r="K4529">
        <v>1.117278</v>
      </c>
      <c r="L4529">
        <v>33.831629999999997</v>
      </c>
      <c r="M4529">
        <v>0.50986589999999998</v>
      </c>
      <c r="N4529">
        <v>0</v>
      </c>
      <c r="O4529">
        <v>-0.86012459999999902</v>
      </c>
      <c r="P4529">
        <v>0.51410610000000001</v>
      </c>
      <c r="Q4529">
        <v>4.6808089999999997E-2</v>
      </c>
      <c r="R4529">
        <v>-0.85644859999999901</v>
      </c>
      <c r="S4529">
        <v>2.2829899999999999</v>
      </c>
      <c r="T4529">
        <v>-0.31196689999999999</v>
      </c>
      <c r="U4529">
        <v>-2.1609189999999998</v>
      </c>
      <c r="V4529">
        <v>-6.6085669999999897E-3</v>
      </c>
      <c r="W4529">
        <v>6.1592969999999997E-2</v>
      </c>
      <c r="X4529">
        <v>0.99807950000000001</v>
      </c>
      <c r="Y4529">
        <v>-0.27068109999999901</v>
      </c>
      <c r="Z4529">
        <v>9.1974109999999998E-2</v>
      </c>
      <c r="AA4529">
        <v>0.95826540000000004</v>
      </c>
      <c r="AB4529">
        <v>23</v>
      </c>
      <c r="AC4529">
        <v>8.0493000000000094</v>
      </c>
      <c r="AD4529">
        <v>-1.1172805982309999</v>
      </c>
      <c r="AE4529">
        <v>-7.5452599999999901</v>
      </c>
      <c r="AF4529">
        <v>-3.04544000025078</v>
      </c>
      <c r="AG4529">
        <v>-1.1172805982309999</v>
      </c>
      <c r="AH4529">
        <v>10.4875511875307</v>
      </c>
      <c r="AI4529">
        <v>95.841479087230397</v>
      </c>
      <c r="AJ4529">
        <v>106.192567279145</v>
      </c>
      <c r="AK4529">
        <v>10.9777844140513</v>
      </c>
      <c r="AL4529">
        <v>86.468747716223604</v>
      </c>
      <c r="AM4529">
        <v>90.379366036937</v>
      </c>
      <c r="AN4529">
        <v>1.0000000277157299</v>
      </c>
    </row>
    <row r="4530" spans="1:40" x14ac:dyDescent="0.25">
      <c r="A4530" t="str">
        <f>"20190312154651187"</f>
        <v>20190312154651187</v>
      </c>
      <c r="B4530" t="str">
        <f>"1552376811181900"</f>
        <v>1552376811181900</v>
      </c>
      <c r="C4530" t="s">
        <v>40</v>
      </c>
      <c r="D4530">
        <v>4.4307860000000003</v>
      </c>
      <c r="E4530">
        <v>0.37692629999999999</v>
      </c>
      <c r="F4530" t="s">
        <v>71</v>
      </c>
      <c r="G4530">
        <v>-409.40570000000002</v>
      </c>
      <c r="H4530" s="1">
        <v>-2.668964E-6</v>
      </c>
      <c r="I4530">
        <v>26.222580000000001</v>
      </c>
      <c r="J4530">
        <v>-417.3415</v>
      </c>
      <c r="K4530">
        <v>1.117245</v>
      </c>
      <c r="L4530">
        <v>33.454410000000003</v>
      </c>
      <c r="M4530">
        <v>0.52936819999999996</v>
      </c>
      <c r="N4530">
        <v>0</v>
      </c>
      <c r="O4530">
        <v>-0.8482615</v>
      </c>
      <c r="P4530">
        <v>0.53316649999999999</v>
      </c>
      <c r="Q4530">
        <v>4.6497299999999998E-2</v>
      </c>
      <c r="R4530">
        <v>-0.84473180000000003</v>
      </c>
      <c r="S4530">
        <v>2.3021240000000001</v>
      </c>
      <c r="T4530">
        <v>-0.31394820000000001</v>
      </c>
      <c r="U4530">
        <v>-2.1380919999999999</v>
      </c>
      <c r="V4530">
        <v>-6.1660789999999997E-3</v>
      </c>
      <c r="W4530">
        <v>6.1280759999999997E-2</v>
      </c>
      <c r="X4530">
        <v>0.99810149999999997</v>
      </c>
      <c r="Y4530">
        <v>-0.25776919999999998</v>
      </c>
      <c r="Z4530">
        <v>9.1333780000000003E-2</v>
      </c>
      <c r="AA4530">
        <v>0.96187999999999996</v>
      </c>
      <c r="AB4530">
        <v>23</v>
      </c>
      <c r="AC4530">
        <v>7.9357999999999702</v>
      </c>
      <c r="AD4530">
        <v>-1.1172476689640001</v>
      </c>
      <c r="AE4530">
        <v>-7.2318299999999898</v>
      </c>
      <c r="AF4530">
        <v>-2.8725499860152102</v>
      </c>
      <c r="AG4530">
        <v>-1.1172476689640001</v>
      </c>
      <c r="AH4530">
        <v>10.2258608415924</v>
      </c>
      <c r="AI4530">
        <v>96.004618527045494</v>
      </c>
      <c r="AJ4530">
        <v>105.690601397096</v>
      </c>
      <c r="AK4530">
        <v>10.680262905358401</v>
      </c>
      <c r="AL4530">
        <v>86.4866697123894</v>
      </c>
      <c r="AM4530">
        <v>90.353957797347803</v>
      </c>
      <c r="AN4530">
        <v>0.99999997818932995</v>
      </c>
    </row>
    <row r="4531" spans="1:40" x14ac:dyDescent="0.25">
      <c r="A4531" t="str">
        <f>"20190312154651210"</f>
        <v>20190312154651210</v>
      </c>
      <c r="B4531" t="str">
        <f>"1552376811202396"</f>
        <v>1552376811202396</v>
      </c>
      <c r="C4531" t="s">
        <v>40</v>
      </c>
      <c r="D4531">
        <v>4.6189749999999998</v>
      </c>
      <c r="E4531">
        <v>0.36927189999999999</v>
      </c>
      <c r="F4531" t="s">
        <v>71</v>
      </c>
      <c r="G4531">
        <v>-409.52760000000001</v>
      </c>
      <c r="H4531" s="1">
        <v>-2.7947940000000002E-6</v>
      </c>
      <c r="I4531">
        <v>27.112819999999999</v>
      </c>
      <c r="J4531">
        <v>-417.21159999999998</v>
      </c>
      <c r="K4531">
        <v>1.1172230000000001</v>
      </c>
      <c r="L4531">
        <v>33.270539999999997</v>
      </c>
      <c r="M4531">
        <v>0.53888950000000002</v>
      </c>
      <c r="N4531">
        <v>0</v>
      </c>
      <c r="O4531">
        <v>-0.84224489999999996</v>
      </c>
      <c r="P4531">
        <v>0.54280349999999999</v>
      </c>
      <c r="Q4531">
        <v>4.586494E-2</v>
      </c>
      <c r="R4531">
        <v>-0.83860679999999999</v>
      </c>
      <c r="S4531">
        <v>2.4750670000000001</v>
      </c>
      <c r="T4531">
        <v>-0.35388819999999999</v>
      </c>
      <c r="U4531">
        <v>-2.0086979999999999</v>
      </c>
      <c r="V4531">
        <v>-6.318148E-3</v>
      </c>
      <c r="W4531">
        <v>6.064203E-2</v>
      </c>
      <c r="X4531">
        <v>0.99813960000000002</v>
      </c>
      <c r="Y4531">
        <v>-0.30965949999999998</v>
      </c>
      <c r="Z4531">
        <v>0.1025078</v>
      </c>
      <c r="AA4531">
        <v>0.94530579999999997</v>
      </c>
      <c r="AB4531">
        <v>23</v>
      </c>
      <c r="AC4531">
        <v>7.6839999999999602</v>
      </c>
      <c r="AD4531">
        <v>-1.1172257947940001</v>
      </c>
      <c r="AE4531">
        <v>-6.1577200000000003</v>
      </c>
      <c r="AF4531">
        <v>-3.1137451249980099</v>
      </c>
      <c r="AG4531">
        <v>-1.1172257947940001</v>
      </c>
      <c r="AH4531">
        <v>9.2096126969015994</v>
      </c>
      <c r="AI4531">
        <v>96.555687476569503</v>
      </c>
      <c r="AJ4531">
        <v>108.680256050699</v>
      </c>
      <c r="AK4531">
        <v>9.7857328906389593</v>
      </c>
      <c r="AL4531">
        <v>86.523334577271598</v>
      </c>
      <c r="AM4531">
        <v>90.362673096977105</v>
      </c>
      <c r="AN4531">
        <v>1.00000001794241</v>
      </c>
    </row>
    <row r="4532" spans="1:40" x14ac:dyDescent="0.25">
      <c r="A4532" t="str">
        <f>"20190312154651232"</f>
        <v>20190312154651232</v>
      </c>
      <c r="B4532" t="str">
        <f>"1552376811222099"</f>
        <v>1552376811222099</v>
      </c>
      <c r="C4532" t="s">
        <v>40</v>
      </c>
      <c r="D4532">
        <v>4.4105470000000002</v>
      </c>
      <c r="E4532">
        <v>0.36643439999999999</v>
      </c>
      <c r="F4532" t="s">
        <v>71</v>
      </c>
      <c r="G4532">
        <v>-409.00799999999998</v>
      </c>
      <c r="H4532" s="1">
        <v>-3.0780509999999999E-6</v>
      </c>
      <c r="I4532">
        <v>27.00375</v>
      </c>
      <c r="J4532">
        <v>-417.07499999999999</v>
      </c>
      <c r="K4532">
        <v>1.1172070000000001</v>
      </c>
      <c r="L4532">
        <v>33.082000000000001</v>
      </c>
      <c r="M4532">
        <v>0.54866470000000001</v>
      </c>
      <c r="N4532">
        <v>0</v>
      </c>
      <c r="O4532">
        <v>-0.83591009999999999</v>
      </c>
      <c r="P4532">
        <v>0.55284949999999999</v>
      </c>
      <c r="Q4532">
        <v>4.634419E-2</v>
      </c>
      <c r="R4532">
        <v>-0.8319917</v>
      </c>
      <c r="S4532">
        <v>2.5484309999999999</v>
      </c>
      <c r="T4532">
        <v>-0.34706619999999999</v>
      </c>
      <c r="U4532">
        <v>-1.946777</v>
      </c>
      <c r="V4532">
        <v>-6.7139449999999998E-3</v>
      </c>
      <c r="W4532">
        <v>6.1108469999999998E-2</v>
      </c>
      <c r="X4532">
        <v>0.99810860000000001</v>
      </c>
      <c r="Y4532">
        <v>-0.32657180000000002</v>
      </c>
      <c r="Z4532">
        <v>9.9981929999999997E-2</v>
      </c>
      <c r="AA4532">
        <v>0.93986939999999997</v>
      </c>
      <c r="AB4532">
        <v>23</v>
      </c>
      <c r="AC4532">
        <v>8.0669999999999504</v>
      </c>
      <c r="AD4532">
        <v>-1.1172100780509999</v>
      </c>
      <c r="AE4532">
        <v>-6.0782499999999997</v>
      </c>
      <c r="AF4532">
        <v>-3.36754346675407</v>
      </c>
      <c r="AG4532">
        <v>-1.1172100780509999</v>
      </c>
      <c r="AH4532">
        <v>9.3930836888696998</v>
      </c>
      <c r="AI4532">
        <v>96.388332435730305</v>
      </c>
      <c r="AJ4532">
        <v>109.723421366471</v>
      </c>
      <c r="AK4532">
        <v>10.040843019641599</v>
      </c>
      <c r="AL4532">
        <v>86.496559988950096</v>
      </c>
      <c r="AM4532">
        <v>90.385403863389001</v>
      </c>
      <c r="AN4532">
        <v>1.0000000497785799</v>
      </c>
    </row>
    <row r="4533" spans="1:40" x14ac:dyDescent="0.25">
      <c r="A4533" t="str">
        <f>"20190312154651255"</f>
        <v>20190312154651255</v>
      </c>
      <c r="B4533" t="str">
        <f>"1552376811252355"</f>
        <v>1552376811252355</v>
      </c>
      <c r="C4533" t="s">
        <v>40</v>
      </c>
      <c r="D4533">
        <v>4.4436450000000001</v>
      </c>
      <c r="E4533">
        <v>0.36466510000000002</v>
      </c>
      <c r="F4533" t="s">
        <v>71</v>
      </c>
      <c r="G4533">
        <v>-408.34679999999997</v>
      </c>
      <c r="H4533" s="1">
        <v>-3.382101E-6</v>
      </c>
      <c r="I4533">
        <v>26.665050000000001</v>
      </c>
      <c r="J4533">
        <v>-416.94009999999997</v>
      </c>
      <c r="K4533">
        <v>1.117183</v>
      </c>
      <c r="L4533">
        <v>32.899990000000003</v>
      </c>
      <c r="M4533">
        <v>0.55810780000000004</v>
      </c>
      <c r="N4533">
        <v>0</v>
      </c>
      <c r="O4533">
        <v>-0.82963489999999995</v>
      </c>
      <c r="P4533">
        <v>0.56208219999999898</v>
      </c>
      <c r="Q4533">
        <v>4.7608329999999997E-2</v>
      </c>
      <c r="R4533">
        <v>-0.82571000000000006</v>
      </c>
      <c r="S4533">
        <v>2.5893549999999999</v>
      </c>
      <c r="T4533">
        <v>-0.3314375</v>
      </c>
      <c r="U4533">
        <v>-1.9036869999999999</v>
      </c>
      <c r="V4533">
        <v>-6.5725540000000004E-3</v>
      </c>
      <c r="W4533">
        <v>6.2369670000000002E-2</v>
      </c>
      <c r="X4533">
        <v>0.99803149999999996</v>
      </c>
      <c r="Y4533">
        <v>-0.33357560000000003</v>
      </c>
      <c r="Z4533">
        <v>9.5055879999999995E-2</v>
      </c>
      <c r="AA4533">
        <v>0.93791880000000005</v>
      </c>
      <c r="AB4533">
        <v>23</v>
      </c>
      <c r="AC4533">
        <v>8.5932999999999993</v>
      </c>
      <c r="AD4533">
        <v>-1.117186382101</v>
      </c>
      <c r="AE4533">
        <v>-6.2349399999999999</v>
      </c>
      <c r="AF4533">
        <v>-3.60996538523804</v>
      </c>
      <c r="AG4533">
        <v>-1.117186382101</v>
      </c>
      <c r="AH4533">
        <v>9.8606326723353792</v>
      </c>
      <c r="AI4533">
        <v>96.072966571637906</v>
      </c>
      <c r="AJ4533">
        <v>110.10761566115799</v>
      </c>
      <c r="AK4533">
        <v>10.559925766486</v>
      </c>
      <c r="AL4533">
        <v>86.424160345524498</v>
      </c>
      <c r="AM4533">
        <v>90.377316909333899</v>
      </c>
      <c r="AN4533">
        <v>1.0000000245971199</v>
      </c>
    </row>
    <row r="4534" spans="1:40" x14ac:dyDescent="0.25">
      <c r="A4534" t="str">
        <f>"20190312154651277"</f>
        <v>20190312154651277</v>
      </c>
      <c r="B4534" t="str">
        <f>"1552376811271875"</f>
        <v>1552376811271875</v>
      </c>
      <c r="C4534" t="s">
        <v>40</v>
      </c>
      <c r="D4534">
        <v>4.4907870000000001</v>
      </c>
      <c r="E4534">
        <v>0.36434080000000002</v>
      </c>
      <c r="F4534" t="s">
        <v>71</v>
      </c>
      <c r="G4534">
        <v>-407.49349999999998</v>
      </c>
      <c r="H4534" s="1">
        <v>-3.7237020000000001E-6</v>
      </c>
      <c r="I4534">
        <v>26.171849999999999</v>
      </c>
      <c r="J4534">
        <v>-416.80110000000002</v>
      </c>
      <c r="K4534">
        <v>1.117164</v>
      </c>
      <c r="L4534">
        <v>32.716920000000002</v>
      </c>
      <c r="M4534">
        <v>0.5676175</v>
      </c>
      <c r="N4534">
        <v>0</v>
      </c>
      <c r="O4534">
        <v>-0.82315780000000005</v>
      </c>
      <c r="P4534">
        <v>0.57136149999999997</v>
      </c>
      <c r="Q4534">
        <v>4.8233190000000002E-2</v>
      </c>
      <c r="R4534">
        <v>-0.81928020000000001</v>
      </c>
      <c r="S4534">
        <v>2.621124</v>
      </c>
      <c r="T4534">
        <v>-0.3099847</v>
      </c>
      <c r="U4534">
        <v>-1.866852</v>
      </c>
      <c r="V4534">
        <v>-6.3752840000000002E-3</v>
      </c>
      <c r="W4534">
        <v>6.2992160000000005E-2</v>
      </c>
      <c r="X4534">
        <v>0.99799360000000004</v>
      </c>
      <c r="Y4534">
        <v>-0.33743469999999998</v>
      </c>
      <c r="Z4534">
        <v>8.8488559999999994E-2</v>
      </c>
      <c r="AA4534">
        <v>0.93718060000000003</v>
      </c>
      <c r="AB4534">
        <v>23</v>
      </c>
      <c r="AC4534">
        <v>9.3076000000000292</v>
      </c>
      <c r="AD4534">
        <v>-1.1171677237019999</v>
      </c>
      <c r="AE4534">
        <v>-6.5450699999999999</v>
      </c>
      <c r="AF4534">
        <v>-3.9092798098458998</v>
      </c>
      <c r="AG4534">
        <v>-1.1171677237019999</v>
      </c>
      <c r="AH4534">
        <v>10.570070860659101</v>
      </c>
      <c r="AI4534">
        <v>95.661186587209698</v>
      </c>
      <c r="AJ4534">
        <v>110.296623484939</v>
      </c>
      <c r="AK4534">
        <v>11.325057631372299</v>
      </c>
      <c r="AL4534">
        <v>86.388423722655901</v>
      </c>
      <c r="AM4534">
        <v>90.366006252744995</v>
      </c>
      <c r="AN4534">
        <v>0.99999994105425105</v>
      </c>
    </row>
    <row r="4535" spans="1:40" x14ac:dyDescent="0.25">
      <c r="A4535" t="str">
        <f>"20190312154651299"</f>
        <v>20190312154651299</v>
      </c>
      <c r="B4535" t="str">
        <f>"1552376811292375"</f>
        <v>1552376811292375</v>
      </c>
      <c r="C4535" t="s">
        <v>40</v>
      </c>
      <c r="D4535">
        <v>4.5525200000000003</v>
      </c>
      <c r="E4535">
        <v>0.36472080000000001</v>
      </c>
      <c r="F4535" t="s">
        <v>71</v>
      </c>
      <c r="G4535">
        <v>-407.01080000000002</v>
      </c>
      <c r="H4535" s="1">
        <v>-3.9218689999999999E-6</v>
      </c>
      <c r="I4535">
        <v>25.920459999999999</v>
      </c>
      <c r="J4535">
        <v>-416.6678</v>
      </c>
      <c r="K4535">
        <v>1.1171530000000001</v>
      </c>
      <c r="L4535">
        <v>32.545200000000001</v>
      </c>
      <c r="M4535">
        <v>0.57654609999999995</v>
      </c>
      <c r="N4535">
        <v>0</v>
      </c>
      <c r="O4535">
        <v>-0.81692919999999902</v>
      </c>
      <c r="P4535">
        <v>0.57999040000000002</v>
      </c>
      <c r="Q4535">
        <v>4.8353750000000001E-2</v>
      </c>
      <c r="R4535">
        <v>-0.81318690000000005</v>
      </c>
      <c r="S4535">
        <v>2.644104</v>
      </c>
      <c r="T4535">
        <v>-0.30171690000000001</v>
      </c>
      <c r="U4535">
        <v>-1.8355410000000001</v>
      </c>
      <c r="V4535">
        <v>-6.0625820000000004E-3</v>
      </c>
      <c r="W4535">
        <v>6.3113500000000003E-2</v>
      </c>
      <c r="X4535">
        <v>0.99798790000000004</v>
      </c>
      <c r="Y4535">
        <v>-0.3387194</v>
      </c>
      <c r="Z4535">
        <v>8.5727049999999999E-2</v>
      </c>
      <c r="AA4535">
        <v>0.93697390000000003</v>
      </c>
      <c r="AB4535">
        <v>23</v>
      </c>
      <c r="AC4535">
        <v>9.6569999999999805</v>
      </c>
      <c r="AD4535">
        <v>-1.1171569218690001</v>
      </c>
      <c r="AE4535">
        <v>-6.6247399999999903</v>
      </c>
      <c r="AF4535">
        <v>-4.0333633613745903</v>
      </c>
      <c r="AG4535">
        <v>-1.1171569218690001</v>
      </c>
      <c r="AH4535">
        <v>10.8818377673573</v>
      </c>
      <c r="AI4535">
        <v>95.498512998841207</v>
      </c>
      <c r="AJ4535">
        <v>110.337271688398</v>
      </c>
      <c r="AK4535">
        <v>11.6589215962731</v>
      </c>
      <c r="AL4535">
        <v>86.381457654888806</v>
      </c>
      <c r="AM4535">
        <v>90.348056413045697</v>
      </c>
      <c r="AN4535">
        <v>0.99999995866458202</v>
      </c>
    </row>
    <row r="4536" spans="1:40" x14ac:dyDescent="0.25">
      <c r="A4536" t="str">
        <f>"20190312154651321"</f>
        <v>20190312154651321</v>
      </c>
      <c r="B4536" t="str">
        <f>"1552376811311891"</f>
        <v>1552376811311891</v>
      </c>
      <c r="C4536" t="s">
        <v>40</v>
      </c>
      <c r="D4536">
        <v>4.5386759999999997</v>
      </c>
      <c r="E4536">
        <v>0.36504720000000002</v>
      </c>
      <c r="F4536" t="s">
        <v>71</v>
      </c>
      <c r="G4536">
        <v>-406.71480000000003</v>
      </c>
      <c r="H4536" s="1">
        <v>-4.0447789999999999E-6</v>
      </c>
      <c r="I4536">
        <v>25.774239999999999</v>
      </c>
      <c r="J4536">
        <v>-416.52710000000002</v>
      </c>
      <c r="K4536">
        <v>1.117137</v>
      </c>
      <c r="L4536">
        <v>32.368160000000003</v>
      </c>
      <c r="M4536">
        <v>0.58575980000000005</v>
      </c>
      <c r="N4536">
        <v>0</v>
      </c>
      <c r="O4536">
        <v>-0.81034819999999996</v>
      </c>
      <c r="P4536">
        <v>0.5892541</v>
      </c>
      <c r="Q4536">
        <v>4.8109579999999999E-2</v>
      </c>
      <c r="R4536">
        <v>-0.80651379999999995</v>
      </c>
      <c r="S4536">
        <v>2.6600950000000001</v>
      </c>
      <c r="T4536">
        <v>-0.29858079999999998</v>
      </c>
      <c r="U4536">
        <v>-1.8096620000000001</v>
      </c>
      <c r="V4536">
        <v>-6.1611869999999899E-3</v>
      </c>
      <c r="W4536">
        <v>6.286224E-2</v>
      </c>
      <c r="X4536">
        <v>0.99800319999999998</v>
      </c>
      <c r="Y4536">
        <v>-0.33701379999999997</v>
      </c>
      <c r="Z4536">
        <v>8.4372030000000001E-2</v>
      </c>
      <c r="AA4536">
        <v>0.93771170000000004</v>
      </c>
      <c r="AB4536">
        <v>23</v>
      </c>
      <c r="AC4536">
        <v>9.8122999999999898</v>
      </c>
      <c r="AD4536">
        <v>-1.117141044779</v>
      </c>
      <c r="AE4536">
        <v>-6.59391999999999</v>
      </c>
      <c r="AF4536">
        <v>-4.0531856403094899</v>
      </c>
      <c r="AG4536">
        <v>-1.117141044779</v>
      </c>
      <c r="AH4536">
        <v>10.994076992535399</v>
      </c>
      <c r="AI4536">
        <v>95.446126778350703</v>
      </c>
      <c r="AJ4536">
        <v>110.237414048126</v>
      </c>
      <c r="AK4536">
        <v>11.770558477257399</v>
      </c>
      <c r="AL4536">
        <v>86.395882601269605</v>
      </c>
      <c r="AM4536">
        <v>90.353711819081795</v>
      </c>
      <c r="AN4536">
        <v>1.0000000043266499</v>
      </c>
    </row>
    <row r="4537" spans="1:40" x14ac:dyDescent="0.25">
      <c r="A4537" t="str">
        <f>"20190312154651344"</f>
        <v>20190312154651344</v>
      </c>
      <c r="B4537" t="str">
        <f>"1552376811332387"</f>
        <v>1552376811332387</v>
      </c>
      <c r="C4537" t="s">
        <v>40</v>
      </c>
      <c r="D4537">
        <v>4.6503990000000002</v>
      </c>
      <c r="E4537">
        <v>0.36550719999999998</v>
      </c>
      <c r="F4537" t="s">
        <v>71</v>
      </c>
      <c r="G4537">
        <v>-406.56389999999999</v>
      </c>
      <c r="H4537" s="1">
        <v>-4.1154259999999999E-6</v>
      </c>
      <c r="I4537">
        <v>25.744509999999998</v>
      </c>
      <c r="J4537">
        <v>-416.38350000000003</v>
      </c>
      <c r="K4537">
        <v>1.1171219999999999</v>
      </c>
      <c r="L4537">
        <v>32.19171</v>
      </c>
      <c r="M4537">
        <v>0.59495559999999903</v>
      </c>
      <c r="N4537">
        <v>0</v>
      </c>
      <c r="O4537">
        <v>-0.80362140000000004</v>
      </c>
      <c r="P4537">
        <v>0.59831239999999997</v>
      </c>
      <c r="Q4537">
        <v>4.8438219999999997E-2</v>
      </c>
      <c r="R4537">
        <v>-0.7997978</v>
      </c>
      <c r="S4537">
        <v>2.678436</v>
      </c>
      <c r="T4537">
        <v>-0.300326599999999</v>
      </c>
      <c r="U4537">
        <v>-1.78067</v>
      </c>
      <c r="V4537">
        <v>-6.058272E-3</v>
      </c>
      <c r="W4537">
        <v>6.3187729999999998E-2</v>
      </c>
      <c r="X4537">
        <v>0.99798330000000002</v>
      </c>
      <c r="Y4537">
        <v>-0.3362677</v>
      </c>
      <c r="Z4537">
        <v>8.4389329999999999E-2</v>
      </c>
      <c r="AA4537">
        <v>0.93797790000000003</v>
      </c>
      <c r="AB4537">
        <v>23</v>
      </c>
      <c r="AC4537">
        <v>9.8196000000000296</v>
      </c>
      <c r="AD4537">
        <v>-1.1171261154259999</v>
      </c>
      <c r="AE4537">
        <v>-6.4471999999999898</v>
      </c>
      <c r="AF4537">
        <v>-4.0195379589458504</v>
      </c>
      <c r="AG4537">
        <v>-1.1171261154259999</v>
      </c>
      <c r="AH4537">
        <v>10.925738454439699</v>
      </c>
      <c r="AI4537">
        <v>95.481278584660899</v>
      </c>
      <c r="AJ4537">
        <v>110.198378418015</v>
      </c>
      <c r="AK4537">
        <v>11.695145015603501</v>
      </c>
      <c r="AL4537">
        <v>86.377196339828899</v>
      </c>
      <c r="AM4537">
        <v>90.347810582596097</v>
      </c>
      <c r="AN4537">
        <v>1.00000002948053</v>
      </c>
    </row>
    <row r="4538" spans="1:40" x14ac:dyDescent="0.25">
      <c r="A4538" t="str">
        <f>"20190312154651366"</f>
        <v>20190312154651366</v>
      </c>
      <c r="B4538" t="str">
        <f>"1552376811362642"</f>
        <v>1552376811362642</v>
      </c>
      <c r="C4538" t="s">
        <v>40</v>
      </c>
      <c r="D4538">
        <v>4.5795969999999997</v>
      </c>
      <c r="E4538">
        <v>0.3666391</v>
      </c>
      <c r="F4538" t="s">
        <v>71</v>
      </c>
      <c r="G4538">
        <v>-406.34519999999998</v>
      </c>
      <c r="H4538" s="1">
        <v>-4.211407E-6</v>
      </c>
      <c r="I4538">
        <v>25.665379999999999</v>
      </c>
      <c r="J4538">
        <v>-416.24239999999998</v>
      </c>
      <c r="K4538">
        <v>1.1171009999999999</v>
      </c>
      <c r="L4538">
        <v>32.022459999999903</v>
      </c>
      <c r="M4538">
        <v>0.60378929999999997</v>
      </c>
      <c r="N4538">
        <v>0</v>
      </c>
      <c r="O4538">
        <v>-0.79700550000000003</v>
      </c>
      <c r="P4538">
        <v>0.60715929999999996</v>
      </c>
      <c r="Q4538">
        <v>4.9025989999999998E-2</v>
      </c>
      <c r="R4538">
        <v>-0.7930663</v>
      </c>
      <c r="S4538">
        <v>2.6956479999999998</v>
      </c>
      <c r="T4538">
        <v>-0.29999029999999999</v>
      </c>
      <c r="U4538">
        <v>-1.7525630000000001</v>
      </c>
      <c r="V4538">
        <v>-6.1570260000000003E-3</v>
      </c>
      <c r="W4538">
        <v>6.3768309999999995E-2</v>
      </c>
      <c r="X4538">
        <v>0.99794570000000005</v>
      </c>
      <c r="Y4538">
        <v>-0.33551589999999998</v>
      </c>
      <c r="Z4538">
        <v>8.3829059999999997E-2</v>
      </c>
      <c r="AA4538">
        <v>0.9382973</v>
      </c>
      <c r="AB4538">
        <v>23</v>
      </c>
      <c r="AC4538">
        <v>9.8971999999999891</v>
      </c>
      <c r="AD4538">
        <v>-1.1171052114069999</v>
      </c>
      <c r="AE4538">
        <v>-6.3570799999999901</v>
      </c>
      <c r="AF4538">
        <v>-4.01403064419054</v>
      </c>
      <c r="AG4538">
        <v>-1.1171052114069999</v>
      </c>
      <c r="AH4538">
        <v>10.944958072243599</v>
      </c>
      <c r="AI4538">
        <v>95.4736331924978</v>
      </c>
      <c r="AJ4538">
        <v>110.140361094268</v>
      </c>
      <c r="AK4538">
        <v>11.7112114347331</v>
      </c>
      <c r="AL4538">
        <v>86.343864091389406</v>
      </c>
      <c r="AM4538">
        <v>90.353493309452503</v>
      </c>
      <c r="AN4538">
        <v>0.99999996323895401</v>
      </c>
    </row>
    <row r="4539" spans="1:40" x14ac:dyDescent="0.25">
      <c r="A4539" t="str">
        <f>"20190312154651377"</f>
        <v>20190312154651377</v>
      </c>
      <c r="B4539" t="str">
        <f>"1552376811372403"</f>
        <v>1552376811372403</v>
      </c>
      <c r="C4539" t="s">
        <v>40</v>
      </c>
      <c r="D4539">
        <v>4.6239460000000001</v>
      </c>
      <c r="E4539">
        <v>0.36715930000000002</v>
      </c>
      <c r="F4539" t="s">
        <v>71</v>
      </c>
      <c r="G4539">
        <v>-406.22250000000003</v>
      </c>
      <c r="H4539" s="1">
        <v>-4.2665730000000003E-6</v>
      </c>
      <c r="I4539">
        <v>25.628350000000001</v>
      </c>
      <c r="J4539">
        <v>-416.16370000000001</v>
      </c>
      <c r="K4539">
        <v>1.1170910000000001</v>
      </c>
      <c r="L4539">
        <v>31.929749999999999</v>
      </c>
      <c r="M4539">
        <v>0.60863639999999997</v>
      </c>
      <c r="N4539">
        <v>0</v>
      </c>
      <c r="O4539">
        <v>-0.79331030000000002</v>
      </c>
      <c r="P4539">
        <v>0.61215039999999998</v>
      </c>
      <c r="Q4539">
        <v>4.9011689999999997E-2</v>
      </c>
      <c r="R4539">
        <v>-0.78922159999999997</v>
      </c>
      <c r="S4539">
        <v>2.7080989999999998</v>
      </c>
      <c r="T4539">
        <v>-0.30192229999999998</v>
      </c>
      <c r="U4539">
        <v>-1.7281489999999999</v>
      </c>
      <c r="V4539">
        <v>-6.3668869999999999E-3</v>
      </c>
      <c r="W4539">
        <v>6.3747380000000006E-2</v>
      </c>
      <c r="X4539">
        <v>0.99794579999999999</v>
      </c>
      <c r="Y4539">
        <v>-0.33769130000000003</v>
      </c>
      <c r="Z4539">
        <v>8.4238800000000003E-2</v>
      </c>
      <c r="AA4539">
        <v>0.93747990000000003</v>
      </c>
      <c r="AB4539">
        <v>23</v>
      </c>
      <c r="AC4539">
        <v>9.9411999999999807</v>
      </c>
      <c r="AD4539">
        <v>-1.1170952665729901</v>
      </c>
      <c r="AE4539">
        <v>-6.3013999999999903</v>
      </c>
      <c r="AF4539">
        <v>-4.0154709478062598</v>
      </c>
      <c r="AG4539">
        <v>-1.1170952665729901</v>
      </c>
      <c r="AH4539">
        <v>10.952105321831301</v>
      </c>
      <c r="AI4539">
        <v>95.470223911584</v>
      </c>
      <c r="AJ4539">
        <v>110.134915339488</v>
      </c>
      <c r="AK4539">
        <v>11.718383836850601</v>
      </c>
      <c r="AL4539">
        <v>86.345066027869507</v>
      </c>
      <c r="AM4539">
        <v>90.3655417000315</v>
      </c>
      <c r="AN4539">
        <v>1.0000000427222799</v>
      </c>
    </row>
    <row r="4540" spans="1:40" x14ac:dyDescent="0.25">
      <c r="A4540" t="str">
        <f>"20190312154651390"</f>
        <v>20190312154651390</v>
      </c>
      <c r="B4540" t="str">
        <f>"1552376811382163"</f>
        <v>1552376811382163</v>
      </c>
      <c r="C4540" t="s">
        <v>40</v>
      </c>
      <c r="D4540">
        <v>4.6359669999999999</v>
      </c>
      <c r="E4540">
        <v>0.36715930000000002</v>
      </c>
      <c r="F4540" t="s">
        <v>71</v>
      </c>
      <c r="G4540">
        <v>-406.17129999999997</v>
      </c>
      <c r="H4540" s="1">
        <v>-4.29164E-6</v>
      </c>
      <c r="I4540">
        <v>25.62435</v>
      </c>
      <c r="J4540">
        <v>-416.0772</v>
      </c>
      <c r="K4540">
        <v>1.1170789999999999</v>
      </c>
      <c r="L4540">
        <v>31.829129999999999</v>
      </c>
      <c r="M4540">
        <v>0.61389519999999997</v>
      </c>
      <c r="N4540">
        <v>0</v>
      </c>
      <c r="O4540">
        <v>-0.7892477</v>
      </c>
      <c r="P4540">
        <v>0.61744869999999996</v>
      </c>
      <c r="Q4540">
        <v>4.9055910000000001E-2</v>
      </c>
      <c r="R4540">
        <v>-0.78508009999999995</v>
      </c>
      <c r="S4540">
        <v>2.7156980000000002</v>
      </c>
      <c r="T4540">
        <v>-0.30359940000000002</v>
      </c>
      <c r="U4540">
        <v>-1.713654</v>
      </c>
      <c r="V4540">
        <v>-6.4525260000000001E-3</v>
      </c>
      <c r="W4540">
        <v>6.3786860000000001E-2</v>
      </c>
      <c r="X4540">
        <v>0.99794269999999996</v>
      </c>
      <c r="Y4540">
        <v>-0.336173</v>
      </c>
      <c r="Z4540">
        <v>8.4395529999999996E-2</v>
      </c>
      <c r="AA4540">
        <v>0.93801120000000004</v>
      </c>
      <c r="AB4540">
        <v>23</v>
      </c>
      <c r="AC4540">
        <v>9.9059000000000292</v>
      </c>
      <c r="AD4540">
        <v>-1.11708329164</v>
      </c>
      <c r="AE4540">
        <v>-6.2047800000000004</v>
      </c>
      <c r="AF4540">
        <v>-3.9732767879685298</v>
      </c>
      <c r="AG4540">
        <v>-1.11708329164</v>
      </c>
      <c r="AH4540">
        <v>10.8801310550901</v>
      </c>
      <c r="AI4540">
        <v>95.508696189192705</v>
      </c>
      <c r="AJ4540">
        <v>110.061510116866</v>
      </c>
      <c r="AK4540">
        <v>11.636668564937599</v>
      </c>
      <c r="AL4540">
        <v>86.342799277978997</v>
      </c>
      <c r="AM4540">
        <v>90.370459501417201</v>
      </c>
      <c r="AN4540">
        <v>1.00000001554186</v>
      </c>
    </row>
    <row r="4541" spans="1:40" x14ac:dyDescent="0.25">
      <c r="A4541" t="str">
        <f>"20190312154651411"</f>
        <v>20190312154651411</v>
      </c>
      <c r="B4541" t="str">
        <f>"1552376811402658"</f>
        <v>1552376811402658</v>
      </c>
      <c r="C4541" t="s">
        <v>40</v>
      </c>
      <c r="D4541">
        <v>4.6458519999999996</v>
      </c>
      <c r="E4541">
        <v>0.37900830000000002</v>
      </c>
      <c r="F4541" t="s">
        <v>71</v>
      </c>
      <c r="G4541">
        <v>-406.02609999999999</v>
      </c>
      <c r="H4541" s="1">
        <v>-4.3571439999999997E-6</v>
      </c>
      <c r="I4541">
        <v>25.581810000000001</v>
      </c>
      <c r="J4541">
        <v>-415.94670000000002</v>
      </c>
      <c r="K4541">
        <v>1.117062</v>
      </c>
      <c r="L4541">
        <v>31.67963</v>
      </c>
      <c r="M4541">
        <v>0.62171759999999998</v>
      </c>
      <c r="N4541">
        <v>0</v>
      </c>
      <c r="O4541">
        <v>-0.78310069999999998</v>
      </c>
      <c r="P4541">
        <v>0.62554909999999997</v>
      </c>
      <c r="Q4541">
        <v>4.8795709999999999E-2</v>
      </c>
      <c r="R4541">
        <v>-0.77865759999999995</v>
      </c>
      <c r="S4541">
        <v>2.7273559999999999</v>
      </c>
      <c r="T4541">
        <v>-0.30311690000000002</v>
      </c>
      <c r="U4541">
        <v>-1.69519</v>
      </c>
      <c r="V4541">
        <v>-6.8447489999999998E-3</v>
      </c>
      <c r="W4541">
        <v>6.3515630000000003E-2</v>
      </c>
      <c r="X4541">
        <v>0.99795730000000005</v>
      </c>
      <c r="Y4541">
        <v>-0.33322439999999998</v>
      </c>
      <c r="Z4541">
        <v>8.3716730000000003E-2</v>
      </c>
      <c r="AA4541">
        <v>0.93912359999999995</v>
      </c>
      <c r="AB4541">
        <v>23</v>
      </c>
      <c r="AC4541">
        <v>9.9206000000000305</v>
      </c>
      <c r="AD4541">
        <v>-1.117066357144</v>
      </c>
      <c r="AE4541">
        <v>-6.0978199999999898</v>
      </c>
      <c r="AF4541">
        <v>-3.9418714608430001</v>
      </c>
      <c r="AG4541">
        <v>-1.117066357144</v>
      </c>
      <c r="AH4541">
        <v>10.844432616502701</v>
      </c>
      <c r="AI4541">
        <v>95.529627871366301</v>
      </c>
      <c r="AJ4541">
        <v>109.97583324421601</v>
      </c>
      <c r="AK4541">
        <v>11.5925798092546</v>
      </c>
      <c r="AL4541">
        <v>86.358370874000002</v>
      </c>
      <c r="AM4541">
        <v>90.392971803558098</v>
      </c>
      <c r="AN4541">
        <v>0.999999929233227</v>
      </c>
    </row>
    <row r="4542" spans="1:40" x14ac:dyDescent="0.25">
      <c r="A4542" t="str">
        <f>"20190312154651433"</f>
        <v>20190312154651433</v>
      </c>
      <c r="B4542" t="str">
        <f>"1552376811422179"</f>
        <v>1552376811422179</v>
      </c>
      <c r="C4542" t="s">
        <v>40</v>
      </c>
      <c r="D4542">
        <v>4.6800629999999996</v>
      </c>
      <c r="E4542">
        <v>0.38049369999999999</v>
      </c>
      <c r="F4542" t="s">
        <v>71</v>
      </c>
      <c r="G4542">
        <v>-406.8621</v>
      </c>
      <c r="H4542" s="1">
        <v>-3.977912E-6</v>
      </c>
      <c r="I4542">
        <v>25.81476</v>
      </c>
      <c r="J4542">
        <v>-415.79579999999999</v>
      </c>
      <c r="K4542">
        <v>1.11704</v>
      </c>
      <c r="L4542">
        <v>31.510590000000001</v>
      </c>
      <c r="M4542">
        <v>0.6305712</v>
      </c>
      <c r="N4542">
        <v>0</v>
      </c>
      <c r="O4542">
        <v>-0.7759897</v>
      </c>
      <c r="P4542">
        <v>0.63462169999999996</v>
      </c>
      <c r="Q4542">
        <v>4.8390200000000001E-2</v>
      </c>
      <c r="R4542">
        <v>-0.77130679999999996</v>
      </c>
      <c r="S4542">
        <v>2.6732480000000001</v>
      </c>
      <c r="T4542">
        <v>-0.32870860000000002</v>
      </c>
      <c r="U4542">
        <v>-1.7258</v>
      </c>
      <c r="V4542">
        <v>-7.1680499999999996E-3</v>
      </c>
      <c r="W4542">
        <v>6.3099699999999995E-2</v>
      </c>
      <c r="X4542">
        <v>0.99798149999999997</v>
      </c>
      <c r="Y4542">
        <v>-0.30566719999999997</v>
      </c>
      <c r="Z4542">
        <v>9.0016949999999998E-2</v>
      </c>
      <c r="AA4542">
        <v>0.94787370000000004</v>
      </c>
      <c r="AB4542">
        <v>23</v>
      </c>
      <c r="AC4542">
        <v>8.9336999999999804</v>
      </c>
      <c r="AD4542">
        <v>-1.1170439779120001</v>
      </c>
      <c r="AE4542">
        <v>-5.6958299999999999</v>
      </c>
      <c r="AF4542">
        <v>-3.3044684761093199</v>
      </c>
      <c r="AG4542">
        <v>-1.1170439779120001</v>
      </c>
      <c r="AH4542">
        <v>9.9438116876625298</v>
      </c>
      <c r="AI4542">
        <v>96.084946989135702</v>
      </c>
      <c r="AJ4542">
        <v>108.382372926217</v>
      </c>
      <c r="AK4542">
        <v>10.537869331031001</v>
      </c>
      <c r="AL4542">
        <v>86.382250115231002</v>
      </c>
      <c r="AM4542">
        <v>90.411522608425898</v>
      </c>
      <c r="AN4542">
        <v>1.0000000137115701</v>
      </c>
    </row>
    <row r="4543" spans="1:40" x14ac:dyDescent="0.25">
      <c r="A4543" t="str">
        <f>"20190312154651446"</f>
        <v>20190312154651446</v>
      </c>
      <c r="B4543" t="str">
        <f>"1552376811442674"</f>
        <v>1552376811442674</v>
      </c>
      <c r="C4543" t="s">
        <v>40</v>
      </c>
      <c r="D4543">
        <v>4.6837580000000001</v>
      </c>
      <c r="E4543">
        <v>0.38141710000000001</v>
      </c>
      <c r="F4543" t="s">
        <v>71</v>
      </c>
      <c r="G4543">
        <v>-406.83120000000002</v>
      </c>
      <c r="H4543" s="1">
        <v>-3.9957590000000003E-6</v>
      </c>
      <c r="I4543">
        <v>25.827870000000001</v>
      </c>
      <c r="J4543">
        <v>-415.71109999999999</v>
      </c>
      <c r="K4543">
        <v>1.1170279999999999</v>
      </c>
      <c r="L4543">
        <v>31.417110000000001</v>
      </c>
      <c r="M4543">
        <v>0.63546449999999999</v>
      </c>
      <c r="N4543">
        <v>0</v>
      </c>
      <c r="O4543">
        <v>-0.77198739999999999</v>
      </c>
      <c r="P4543">
        <v>0.63949940000000005</v>
      </c>
      <c r="Q4543">
        <v>4.8090929999999997E-2</v>
      </c>
      <c r="R4543">
        <v>-0.76728619999999903</v>
      </c>
      <c r="S4543">
        <v>2.6845400000000001</v>
      </c>
      <c r="T4543">
        <v>-0.33451120000000001</v>
      </c>
      <c r="U4543">
        <v>-1.7017519999999999</v>
      </c>
      <c r="V4543">
        <v>-7.1672350000000001E-3</v>
      </c>
      <c r="W4543">
        <v>6.2797510000000001E-2</v>
      </c>
      <c r="X4543">
        <v>0.99800060000000002</v>
      </c>
      <c r="Y4543">
        <v>-0.3073514</v>
      </c>
      <c r="Z4543">
        <v>9.1414839999999997E-2</v>
      </c>
      <c r="AA4543">
        <v>0.94719509999999996</v>
      </c>
      <c r="AB4543">
        <v>23</v>
      </c>
      <c r="AC4543">
        <v>8.8798999999999602</v>
      </c>
      <c r="AD4543">
        <v>-1.117031995759</v>
      </c>
      <c r="AE4543">
        <v>-5.5892399999999904</v>
      </c>
      <c r="AF4543">
        <v>-3.2667467100929599</v>
      </c>
      <c r="AG4543">
        <v>-1.117031995759</v>
      </c>
      <c r="AH4543">
        <v>9.8471755395971101</v>
      </c>
      <c r="AI4543">
        <v>96.145180769825402</v>
      </c>
      <c r="AJ4543">
        <v>108.352981722669</v>
      </c>
      <c r="AK4543">
        <v>10.4348579604656</v>
      </c>
      <c r="AL4543">
        <v>86.399598853196593</v>
      </c>
      <c r="AM4543">
        <v>90.411467945669898</v>
      </c>
      <c r="AN4543">
        <v>1.0000000470600501</v>
      </c>
    </row>
    <row r="4544" spans="1:40" x14ac:dyDescent="0.25">
      <c r="A4544" t="str">
        <f>"20190312154651460"</f>
        <v>20190312154651460</v>
      </c>
      <c r="B4544" t="str">
        <f>"1552376811452435"</f>
        <v>1552376811452435</v>
      </c>
      <c r="C4544" t="s">
        <v>40</v>
      </c>
      <c r="D4544">
        <v>4.6626859999999999</v>
      </c>
      <c r="E4544">
        <v>0.38171270000000002</v>
      </c>
      <c r="F4544" t="s">
        <v>71</v>
      </c>
      <c r="G4544">
        <v>-406.76639999999998</v>
      </c>
      <c r="H4544" s="1">
        <v>-4.0230119999999998E-6</v>
      </c>
      <c r="I4544">
        <v>25.797740000000001</v>
      </c>
      <c r="J4544">
        <v>-415.6164</v>
      </c>
      <c r="K4544">
        <v>1.117011</v>
      </c>
      <c r="L4544">
        <v>31.314240000000002</v>
      </c>
      <c r="M4544">
        <v>0.64086129999999997</v>
      </c>
      <c r="N4544">
        <v>0</v>
      </c>
      <c r="O4544">
        <v>-0.76751329999999995</v>
      </c>
      <c r="P4544">
        <v>0.64497649999999995</v>
      </c>
      <c r="Q4544">
        <v>4.7762249999999999E-2</v>
      </c>
      <c r="R4544">
        <v>-0.76270850000000001</v>
      </c>
      <c r="S4544">
        <v>2.6893009999999999</v>
      </c>
      <c r="T4544">
        <v>-0.33584540000000002</v>
      </c>
      <c r="U4544">
        <v>-1.689514</v>
      </c>
      <c r="V4544">
        <v>-7.2949240000000004E-3</v>
      </c>
      <c r="W4544">
        <v>6.2463909999999997E-2</v>
      </c>
      <c r="X4544">
        <v>0.99802060000000004</v>
      </c>
      <c r="Y4544">
        <v>-0.30451020000000001</v>
      </c>
      <c r="Z4544">
        <v>9.1364909999999994E-2</v>
      </c>
      <c r="AA4544">
        <v>0.94811710000000005</v>
      </c>
      <c r="AB4544">
        <v>23</v>
      </c>
      <c r="AC4544">
        <v>8.8500000000000192</v>
      </c>
      <c r="AD4544">
        <v>-1.117015023012</v>
      </c>
      <c r="AE4544">
        <v>-5.5164999999999997</v>
      </c>
      <c r="AF4544">
        <v>-3.22059051718192</v>
      </c>
      <c r="AG4544">
        <v>-1.117015023012</v>
      </c>
      <c r="AH4544">
        <v>9.7943310668234602</v>
      </c>
      <c r="AI4544">
        <v>96.183325420093496</v>
      </c>
      <c r="AJ4544">
        <v>108.201997164137</v>
      </c>
      <c r="AK4544">
        <v>10.370576015224</v>
      </c>
      <c r="AL4544">
        <v>86.418750287083498</v>
      </c>
      <c r="AM4544">
        <v>90.418789866340305</v>
      </c>
      <c r="AN4544">
        <v>1.0000000369965001</v>
      </c>
    </row>
    <row r="4545" spans="1:40" x14ac:dyDescent="0.25">
      <c r="A4545" t="str">
        <f>"20190312154651473"</f>
        <v>20190312154651473</v>
      </c>
      <c r="B4545" t="str">
        <f>"1552376811462195"</f>
        <v>1552376811462195</v>
      </c>
      <c r="C4545" t="s">
        <v>40</v>
      </c>
      <c r="D4545">
        <v>4.6572259999999996</v>
      </c>
      <c r="E4545">
        <v>0.38171270000000002</v>
      </c>
      <c r="F4545" t="s">
        <v>71</v>
      </c>
      <c r="G4545">
        <v>-406.68680000000001</v>
      </c>
      <c r="H4545" s="1">
        <v>-4.0606760000000001E-6</v>
      </c>
      <c r="I4545">
        <v>25.78416</v>
      </c>
      <c r="J4545">
        <v>-415.52300000000002</v>
      </c>
      <c r="K4545">
        <v>1.1169929999999999</v>
      </c>
      <c r="L4545">
        <v>31.214449999999999</v>
      </c>
      <c r="M4545">
        <v>0.64610339999999999</v>
      </c>
      <c r="N4545">
        <v>0</v>
      </c>
      <c r="O4545">
        <v>-0.7631059</v>
      </c>
      <c r="P4545">
        <v>0.65002559999999998</v>
      </c>
      <c r="Q4545">
        <v>4.7542710000000002E-2</v>
      </c>
      <c r="R4545">
        <v>-0.75842390000000004</v>
      </c>
      <c r="S4545">
        <v>2.6994319999999998</v>
      </c>
      <c r="T4545">
        <v>-0.33767580000000003</v>
      </c>
      <c r="U4545">
        <v>-1.6717529999999901</v>
      </c>
      <c r="V4545">
        <v>-7.0699229999999997E-3</v>
      </c>
      <c r="W4545">
        <v>6.2244510000000003E-2</v>
      </c>
      <c r="X4545">
        <v>0.99803589999999998</v>
      </c>
      <c r="Y4545">
        <v>-0.30405969999999999</v>
      </c>
      <c r="Z4545">
        <v>9.148684E-2</v>
      </c>
      <c r="AA4545">
        <v>0.94824989999999998</v>
      </c>
      <c r="AB4545">
        <v>23</v>
      </c>
      <c r="AC4545">
        <v>8.8362000000000194</v>
      </c>
      <c r="AD4545">
        <v>-1.116997060676</v>
      </c>
      <c r="AE4545">
        <v>-5.4302899999999896</v>
      </c>
      <c r="AF4545">
        <v>-3.1976924202561299</v>
      </c>
      <c r="AG4545">
        <v>-1.116997060676</v>
      </c>
      <c r="AH4545">
        <v>9.7410796448880692</v>
      </c>
      <c r="AI4545">
        <v>96.2177763037636</v>
      </c>
      <c r="AJ4545">
        <v>108.173393935116</v>
      </c>
      <c r="AK4545">
        <v>10.313173706293</v>
      </c>
      <c r="AL4545">
        <v>86.431345394359596</v>
      </c>
      <c r="AM4545">
        <v>90.405867137547901</v>
      </c>
      <c r="AN4545">
        <v>1.0000000102625799</v>
      </c>
    </row>
    <row r="4546" spans="1:40" x14ac:dyDescent="0.25">
      <c r="A4546" t="str">
        <f>"20190312154651491"</f>
        <v>20190312154651491</v>
      </c>
      <c r="B4546" t="str">
        <f>"1552376811482690"</f>
        <v>1552376811482690</v>
      </c>
      <c r="C4546" t="s">
        <v>40</v>
      </c>
      <c r="D4546">
        <v>4.6969409999999998</v>
      </c>
      <c r="E4546">
        <v>0.3890846</v>
      </c>
      <c r="F4546" t="s">
        <v>71</v>
      </c>
      <c r="G4546">
        <v>-406.58519999999999</v>
      </c>
      <c r="H4546" s="1">
        <v>-4.1075250000000001E-6</v>
      </c>
      <c r="I4546">
        <v>25.760190000000001</v>
      </c>
      <c r="J4546">
        <v>-415.40519999999998</v>
      </c>
      <c r="K4546">
        <v>1.1169750000000001</v>
      </c>
      <c r="L4546">
        <v>31.09009</v>
      </c>
      <c r="M4546">
        <v>0.65263530000000003</v>
      </c>
      <c r="N4546">
        <v>0</v>
      </c>
      <c r="O4546">
        <v>-0.75752719999999996</v>
      </c>
      <c r="P4546">
        <v>0.65630999999999995</v>
      </c>
      <c r="Q4546">
        <v>4.7097069999999998E-2</v>
      </c>
      <c r="R4546">
        <v>-0.75302009999999997</v>
      </c>
      <c r="S4546">
        <v>2.7102360000000001</v>
      </c>
      <c r="T4546">
        <v>-0.33870889999999998</v>
      </c>
      <c r="U4546">
        <v>-1.6538999999999999</v>
      </c>
      <c r="V4546">
        <v>-6.7669619999999996E-3</v>
      </c>
      <c r="W4546">
        <v>6.1800479999999998E-2</v>
      </c>
      <c r="X4546">
        <v>0.9980656</v>
      </c>
      <c r="Y4546">
        <v>-0.30211440000000001</v>
      </c>
      <c r="Z4546">
        <v>9.1213619999999995E-2</v>
      </c>
      <c r="AA4546">
        <v>0.94889780000000001</v>
      </c>
      <c r="AB4546">
        <v>23</v>
      </c>
      <c r="AC4546">
        <v>8.8199999999999896</v>
      </c>
      <c r="AD4546">
        <v>-1.116979107525</v>
      </c>
      <c r="AE4546">
        <v>-5.3299000000000003</v>
      </c>
      <c r="AF4546">
        <v>-3.1660659249697898</v>
      </c>
      <c r="AG4546">
        <v>-1.116979107525</v>
      </c>
      <c r="AH4546">
        <v>9.6811295357123406</v>
      </c>
      <c r="AI4546">
        <v>96.258142089364</v>
      </c>
      <c r="AJ4546">
        <v>108.10954420825099</v>
      </c>
      <c r="AK4546">
        <v>10.246749965483801</v>
      </c>
      <c r="AL4546">
        <v>86.456835536234493</v>
      </c>
      <c r="AM4546">
        <v>90.388463866325694</v>
      </c>
      <c r="AN4546">
        <v>1.00000001650314</v>
      </c>
    </row>
    <row r="4547" spans="1:40" x14ac:dyDescent="0.25">
      <c r="A4547" t="str">
        <f>"20190312154651512"</f>
        <v>20190312154651512</v>
      </c>
      <c r="B4547" t="str">
        <f>"1552376811502211"</f>
        <v>1552376811502211</v>
      </c>
      <c r="C4547" t="s">
        <v>40</v>
      </c>
      <c r="D4547">
        <v>4.752059</v>
      </c>
      <c r="E4547">
        <v>0.38961059999999997</v>
      </c>
      <c r="F4547" t="s">
        <v>71</v>
      </c>
      <c r="G4547">
        <v>-406.34039999999999</v>
      </c>
      <c r="H4547" s="1">
        <v>-4.1732509999999996E-6</v>
      </c>
      <c r="I4547">
        <v>25.437439999999999</v>
      </c>
      <c r="J4547">
        <v>-415.25459999999998</v>
      </c>
      <c r="K4547">
        <v>1.1169579999999999</v>
      </c>
      <c r="L4547">
        <v>30.93439</v>
      </c>
      <c r="M4547">
        <v>0.66082510000000005</v>
      </c>
      <c r="N4547">
        <v>0</v>
      </c>
      <c r="O4547">
        <v>-0.7503938</v>
      </c>
      <c r="P4547">
        <v>0.66416500000000001</v>
      </c>
      <c r="Q4547">
        <v>4.7172520000000003E-2</v>
      </c>
      <c r="R4547">
        <v>-0.7460968</v>
      </c>
      <c r="S4547">
        <v>2.678375</v>
      </c>
      <c r="T4547">
        <v>-0.33003589999999999</v>
      </c>
      <c r="U4547">
        <v>-1.6701969999999999</v>
      </c>
      <c r="V4547">
        <v>-6.3852469999999897E-3</v>
      </c>
      <c r="W4547">
        <v>6.187662E-2</v>
      </c>
      <c r="X4547">
        <v>0.99806340000000004</v>
      </c>
      <c r="Y4547">
        <v>-0.28279900000000002</v>
      </c>
      <c r="Z4547">
        <v>8.8093640000000001E-2</v>
      </c>
      <c r="AA4547">
        <v>0.95512529999999995</v>
      </c>
      <c r="AB4547">
        <v>23</v>
      </c>
      <c r="AC4547">
        <v>8.9141999999999904</v>
      </c>
      <c r="AD4547">
        <v>-1.116962173251</v>
      </c>
      <c r="AE4547">
        <v>-5.49695</v>
      </c>
      <c r="AF4547">
        <v>-3.0225911390578499</v>
      </c>
      <c r="AG4547">
        <v>-1.116962173251</v>
      </c>
      <c r="AH4547">
        <v>9.9040442567268308</v>
      </c>
      <c r="AI4547">
        <v>96.156512953922103</v>
      </c>
      <c r="AJ4547">
        <v>106.971537367926</v>
      </c>
      <c r="AK4547">
        <v>10.4150734193085</v>
      </c>
      <c r="AL4547">
        <v>86.452464679233898</v>
      </c>
      <c r="AM4547">
        <v>90.366552578742798</v>
      </c>
      <c r="AN4547">
        <v>1.0000000189507099</v>
      </c>
    </row>
    <row r="4548" spans="1:40" x14ac:dyDescent="0.25">
      <c r="A4548" t="str">
        <f>"20190312154651527"</f>
        <v>20190312154651527</v>
      </c>
      <c r="B4548" t="str">
        <f>"1552376811522707"</f>
        <v>1552376811522707</v>
      </c>
      <c r="C4548" t="s">
        <v>40</v>
      </c>
      <c r="D4548">
        <v>4.9285129999999997</v>
      </c>
      <c r="E4548">
        <v>0.38995920000000001</v>
      </c>
      <c r="F4548" t="s">
        <v>71</v>
      </c>
      <c r="G4548">
        <v>-405.9597</v>
      </c>
      <c r="H4548" s="1">
        <v>-4.3325259999999999E-6</v>
      </c>
      <c r="I4548">
        <v>25.255849999999999</v>
      </c>
      <c r="J4548">
        <v>-415.1524</v>
      </c>
      <c r="K4548">
        <v>1.116946</v>
      </c>
      <c r="L4548">
        <v>30.830439999999999</v>
      </c>
      <c r="M4548">
        <v>0.66629119999999997</v>
      </c>
      <c r="N4548">
        <v>0</v>
      </c>
      <c r="O4548">
        <v>-0.7455446</v>
      </c>
      <c r="P4548">
        <v>0.66937259999999998</v>
      </c>
      <c r="Q4548">
        <v>4.7201430000000003E-2</v>
      </c>
      <c r="R4548">
        <v>-0.74142629999999998</v>
      </c>
      <c r="S4548">
        <v>2.6922609999999998</v>
      </c>
      <c r="T4548">
        <v>-0.32352579999999997</v>
      </c>
      <c r="U4548">
        <v>-1.6447750000000001</v>
      </c>
      <c r="V4548">
        <v>-6.0787469999999998E-3</v>
      </c>
      <c r="W4548">
        <v>6.190756E-2</v>
      </c>
      <c r="X4548">
        <v>0.99806340000000004</v>
      </c>
      <c r="Y4548">
        <v>-0.284726599999999</v>
      </c>
      <c r="Z4548">
        <v>8.6067989999999997E-2</v>
      </c>
      <c r="AA4548">
        <v>0.95473719999999995</v>
      </c>
      <c r="AB4548">
        <v>23</v>
      </c>
      <c r="AC4548">
        <v>9.1927000000000003</v>
      </c>
      <c r="AD4548">
        <v>-1.116950332526</v>
      </c>
      <c r="AE4548">
        <v>-5.5745899999999997</v>
      </c>
      <c r="AF4548">
        <v>-3.1060850733155498</v>
      </c>
      <c r="AG4548">
        <v>-1.116950332526</v>
      </c>
      <c r="AH4548">
        <v>10.172447660613701</v>
      </c>
      <c r="AI4548">
        <v>95.994948964260999</v>
      </c>
      <c r="AJ4548">
        <v>106.979680882983</v>
      </c>
      <c r="AK4548">
        <v>10.6945796521382</v>
      </c>
      <c r="AL4548">
        <v>86.450688559903696</v>
      </c>
      <c r="AM4548">
        <v>90.348958033522905</v>
      </c>
      <c r="AN4548">
        <v>1.0000000237849</v>
      </c>
    </row>
    <row r="4549" spans="1:40" x14ac:dyDescent="0.25">
      <c r="A4549" t="str">
        <f>"20190312154651546"</f>
        <v>20190312154651546</v>
      </c>
      <c r="B4549" t="str">
        <f>"1552376811542228"</f>
        <v>1552376811542228</v>
      </c>
      <c r="C4549" t="s">
        <v>40</v>
      </c>
      <c r="D4549">
        <v>4.7852739999999896</v>
      </c>
      <c r="E4549">
        <v>0.39137749999999999</v>
      </c>
      <c r="F4549" t="s">
        <v>71</v>
      </c>
      <c r="G4549">
        <v>-405.31760000000003</v>
      </c>
      <c r="H4549" s="1">
        <v>-4.5925160000000001E-6</v>
      </c>
      <c r="I4549">
        <v>24.90128</v>
      </c>
      <c r="J4549">
        <v>-415.0222</v>
      </c>
      <c r="K4549">
        <v>1.11693</v>
      </c>
      <c r="L4549">
        <v>30.700289999999999</v>
      </c>
      <c r="M4549">
        <v>0.67314799999999997</v>
      </c>
      <c r="N4549">
        <v>0</v>
      </c>
      <c r="O4549">
        <v>-0.73935930000000005</v>
      </c>
      <c r="P4549">
        <v>0.6759908</v>
      </c>
      <c r="Q4549">
        <v>4.7416800000000002E-2</v>
      </c>
      <c r="R4549">
        <v>-0.73538319999999902</v>
      </c>
      <c r="S4549">
        <v>2.7002869999999999</v>
      </c>
      <c r="T4549">
        <v>-0.30667349999999999</v>
      </c>
      <c r="U4549">
        <v>-1.6279300000000001</v>
      </c>
      <c r="V4549">
        <v>-5.8173929999999997E-3</v>
      </c>
      <c r="W4549">
        <v>6.2123150000000002E-2</v>
      </c>
      <c r="X4549">
        <v>0.99805149999999998</v>
      </c>
      <c r="Y4549">
        <v>-0.28194459999999999</v>
      </c>
      <c r="Z4549">
        <v>8.1066319999999997E-2</v>
      </c>
      <c r="AA4549">
        <v>0.95599970000000001</v>
      </c>
      <c r="AB4549">
        <v>23</v>
      </c>
      <c r="AC4549">
        <v>9.7045999999999708</v>
      </c>
      <c r="AD4549">
        <v>-1.1169345925159999</v>
      </c>
      <c r="AE4549">
        <v>-5.79901</v>
      </c>
      <c r="AF4549">
        <v>-3.2403244622699101</v>
      </c>
      <c r="AG4549">
        <v>-1.1169345925159999</v>
      </c>
      <c r="AH4549">
        <v>10.716765004089201</v>
      </c>
      <c r="AI4549">
        <v>95.697125092324399</v>
      </c>
      <c r="AJ4549">
        <v>106.823233396144</v>
      </c>
      <c r="AK4549">
        <v>11.251502017847001</v>
      </c>
      <c r="AL4549">
        <v>86.438312121779603</v>
      </c>
      <c r="AM4549">
        <v>90.333959011194395</v>
      </c>
      <c r="AN4549">
        <v>0.99999996223974297</v>
      </c>
    </row>
    <row r="4550" spans="1:40" x14ac:dyDescent="0.25">
      <c r="A4550" t="str">
        <f>"20190312154651569"</f>
        <v>20190312154651569</v>
      </c>
      <c r="B4550" t="str">
        <f>"1552376811562723"</f>
        <v>1552376811562723</v>
      </c>
      <c r="C4550" t="s">
        <v>40</v>
      </c>
      <c r="D4550">
        <v>4.7351839999999896</v>
      </c>
      <c r="E4550">
        <v>0.3900903</v>
      </c>
      <c r="F4550" t="s">
        <v>71</v>
      </c>
      <c r="G4550">
        <v>-405.14030000000002</v>
      </c>
      <c r="H4550" s="1">
        <v>-4.666655E-6</v>
      </c>
      <c r="I4550">
        <v>24.816479999999999</v>
      </c>
      <c r="J4550">
        <v>-414.86079999999998</v>
      </c>
      <c r="K4550">
        <v>1.116908</v>
      </c>
      <c r="L4550">
        <v>30.542539999999999</v>
      </c>
      <c r="M4550">
        <v>0.68146960000000001</v>
      </c>
      <c r="N4550">
        <v>0</v>
      </c>
      <c r="O4550">
        <v>-0.73169680000000004</v>
      </c>
      <c r="P4550">
        <v>0.68388309999999997</v>
      </c>
      <c r="Q4550">
        <v>4.7254600000000001E-2</v>
      </c>
      <c r="R4550">
        <v>-0.72805980000000003</v>
      </c>
      <c r="S4550">
        <v>2.7063899999999999</v>
      </c>
      <c r="T4550">
        <v>-0.30589909999999998</v>
      </c>
      <c r="U4550">
        <v>-1.6114200000000001</v>
      </c>
      <c r="V4550">
        <v>-5.2772879999999998E-3</v>
      </c>
      <c r="W4550">
        <v>6.1964199999999997E-2</v>
      </c>
      <c r="X4550">
        <v>0.99806439999999996</v>
      </c>
      <c r="Y4550">
        <v>-0.27639340000000001</v>
      </c>
      <c r="Z4550">
        <v>8.0127160000000003E-2</v>
      </c>
      <c r="AA4550">
        <v>0.95769850000000001</v>
      </c>
      <c r="AB4550">
        <v>23</v>
      </c>
      <c r="AC4550">
        <v>9.7204999999999604</v>
      </c>
      <c r="AD4550">
        <v>-1.116912666655</v>
      </c>
      <c r="AE4550">
        <v>-5.7260600000000004</v>
      </c>
      <c r="AF4550">
        <v>-3.17951052228887</v>
      </c>
      <c r="AG4550">
        <v>-1.116912666655</v>
      </c>
      <c r="AH4550">
        <v>10.7101735158171</v>
      </c>
      <c r="AI4550">
        <v>95.709054161291604</v>
      </c>
      <c r="AJ4550">
        <v>106.53448269796</v>
      </c>
      <c r="AK4550">
        <v>11.2278492065573</v>
      </c>
      <c r="AL4550">
        <v>86.447436926022505</v>
      </c>
      <c r="AM4550">
        <v>90.302949901709994</v>
      </c>
      <c r="AN4550">
        <v>0.999999979198817</v>
      </c>
    </row>
    <row r="4551" spans="1:40" x14ac:dyDescent="0.25">
      <c r="A4551" t="str">
        <f>"20190312154651590"</f>
        <v>20190312154651590</v>
      </c>
      <c r="B4551" t="str">
        <f>"1552376811582247"</f>
        <v>1552376811582247</v>
      </c>
      <c r="C4551" t="s">
        <v>40</v>
      </c>
      <c r="D4551">
        <v>4.7543150000000001</v>
      </c>
      <c r="E4551">
        <v>0.38861669999999998</v>
      </c>
      <c r="F4551" t="s">
        <v>71</v>
      </c>
      <c r="G4551">
        <v>-405.03539999999998</v>
      </c>
      <c r="H4551" s="1">
        <v>-4.7300560000000003E-6</v>
      </c>
      <c r="I4551">
        <v>24.876329999999999</v>
      </c>
      <c r="J4551">
        <v>-414.70710000000003</v>
      </c>
      <c r="K4551">
        <v>1.1168849999999999</v>
      </c>
      <c r="L4551">
        <v>30.395420000000001</v>
      </c>
      <c r="M4551">
        <v>0.68923650000000003</v>
      </c>
      <c r="N4551">
        <v>0</v>
      </c>
      <c r="O4551">
        <v>-0.7243851</v>
      </c>
      <c r="P4551">
        <v>0.69132769999999899</v>
      </c>
      <c r="Q4551">
        <v>4.7265500000000002E-2</v>
      </c>
      <c r="R4551">
        <v>-0.72099360000000001</v>
      </c>
      <c r="S4551">
        <v>2.7313230000000002</v>
      </c>
      <c r="T4551">
        <v>-0.31048730000000002</v>
      </c>
      <c r="U4551">
        <v>-1.575134</v>
      </c>
      <c r="V4551">
        <v>-4.8817979999999997E-3</v>
      </c>
      <c r="W4551">
        <v>6.1976089999999998E-2</v>
      </c>
      <c r="X4551">
        <v>0.99806569999999994</v>
      </c>
      <c r="Y4551">
        <v>-0.2794045</v>
      </c>
      <c r="Z4551">
        <v>8.0740210000000007E-2</v>
      </c>
      <c r="AA4551">
        <v>0.95677279999999998</v>
      </c>
      <c r="AB4551">
        <v>23</v>
      </c>
      <c r="AC4551">
        <v>9.6717000000000404</v>
      </c>
      <c r="AD4551">
        <v>-1.1168897300559999</v>
      </c>
      <c r="AE4551">
        <v>-5.5190900000000003</v>
      </c>
      <c r="AF4551">
        <v>-3.1705331383278299</v>
      </c>
      <c r="AG4551">
        <v>-1.1168897300559999</v>
      </c>
      <c r="AH4551">
        <v>10.558982818304401</v>
      </c>
      <c r="AI4551">
        <v>95.784772206546407</v>
      </c>
      <c r="AJ4551">
        <v>106.713372833495</v>
      </c>
      <c r="AK4551">
        <v>11.0811480094612</v>
      </c>
      <c r="AL4551">
        <v>86.446754457686794</v>
      </c>
      <c r="AM4551">
        <v>90.280246271626297</v>
      </c>
      <c r="AN4551">
        <v>1.00000000459994</v>
      </c>
    </row>
    <row r="4552" spans="1:40" x14ac:dyDescent="0.25">
      <c r="A4552" t="str">
        <f>"20190312154651601"</f>
        <v>20190312154651601</v>
      </c>
      <c r="B4552" t="str">
        <f>"1552376811592003"</f>
        <v>1552376811592003</v>
      </c>
      <c r="C4552" t="s">
        <v>40</v>
      </c>
      <c r="D4552">
        <v>4.7457060000000002</v>
      </c>
      <c r="E4552">
        <v>0.38807530000000001</v>
      </c>
      <c r="F4552" t="s">
        <v>71</v>
      </c>
      <c r="G4552">
        <v>-404.93369999999999</v>
      </c>
      <c r="H4552" s="1">
        <v>-4.7916379999999998E-6</v>
      </c>
      <c r="I4552">
        <v>24.939710000000002</v>
      </c>
      <c r="J4552">
        <v>-414.61590000000001</v>
      </c>
      <c r="K4552">
        <v>1.11687</v>
      </c>
      <c r="L4552">
        <v>30.309449999999998</v>
      </c>
      <c r="M4552">
        <v>0.69377349999999904</v>
      </c>
      <c r="N4552">
        <v>0</v>
      </c>
      <c r="O4552">
        <v>-0.72004109999999999</v>
      </c>
      <c r="P4552">
        <v>0.69578240000000002</v>
      </c>
      <c r="Q4552">
        <v>4.7542790000000001E-2</v>
      </c>
      <c r="R4552">
        <v>-0.71667749999999997</v>
      </c>
      <c r="S4552">
        <v>2.7563170000000001</v>
      </c>
      <c r="T4552">
        <v>-0.31498900000000002</v>
      </c>
      <c r="U4552">
        <v>-1.538635</v>
      </c>
      <c r="V4552">
        <v>-4.8122319999999996E-3</v>
      </c>
      <c r="W4552">
        <v>6.2251180000000003E-2</v>
      </c>
      <c r="X4552">
        <v>0.99804890000000002</v>
      </c>
      <c r="Y4552">
        <v>-0.28662919999999997</v>
      </c>
      <c r="Z4552">
        <v>8.1706459999999995E-2</v>
      </c>
      <c r="AA4552">
        <v>0.95455100000000004</v>
      </c>
      <c r="AB4552">
        <v>23</v>
      </c>
      <c r="AC4552">
        <v>9.6822000000000195</v>
      </c>
      <c r="AD4552">
        <v>-1.116874791638</v>
      </c>
      <c r="AE4552">
        <v>-5.3697399999999904</v>
      </c>
      <c r="AF4552">
        <v>-3.2138490864700602</v>
      </c>
      <c r="AG4552">
        <v>-1.116874791638</v>
      </c>
      <c r="AH4552">
        <v>10.478217023720999</v>
      </c>
      <c r="AI4552">
        <v>95.818613468599594</v>
      </c>
      <c r="AJ4552">
        <v>107.051675896764</v>
      </c>
      <c r="AK4552">
        <v>11.016772088365901</v>
      </c>
      <c r="AL4552">
        <v>86.430962405427593</v>
      </c>
      <c r="AM4552">
        <v>90.276257452914194</v>
      </c>
      <c r="AN4552">
        <v>0.99999998688971203</v>
      </c>
    </row>
    <row r="4553" spans="1:40" x14ac:dyDescent="0.25">
      <c r="A4553" t="str">
        <f>"20190312154651614"</f>
        <v>20190312154651614</v>
      </c>
      <c r="B4553" t="str">
        <f>"1552376811602740"</f>
        <v>1552376811602740</v>
      </c>
      <c r="C4553" t="s">
        <v>40</v>
      </c>
      <c r="D4553">
        <v>4.770105</v>
      </c>
      <c r="E4553">
        <v>0.38770339999999998</v>
      </c>
      <c r="F4553" t="s">
        <v>71</v>
      </c>
      <c r="G4553">
        <v>-404.82929999999999</v>
      </c>
      <c r="H4553" s="1">
        <v>-4.8407250000000001E-6</v>
      </c>
      <c r="I4553">
        <v>24.942139999999998</v>
      </c>
      <c r="J4553">
        <v>-414.52820000000003</v>
      </c>
      <c r="K4553">
        <v>1.116868</v>
      </c>
      <c r="L4553">
        <v>30.228149999999999</v>
      </c>
      <c r="M4553">
        <v>0.69807769999999902</v>
      </c>
      <c r="N4553">
        <v>0</v>
      </c>
      <c r="O4553">
        <v>-0.71586909999999904</v>
      </c>
      <c r="P4553">
        <v>0.70012769999999902</v>
      </c>
      <c r="Q4553">
        <v>4.7136570000000003E-2</v>
      </c>
      <c r="R4553">
        <v>-0.71246019999999999</v>
      </c>
      <c r="S4553">
        <v>2.7690730000000001</v>
      </c>
      <c r="T4553">
        <v>-0.31601289999999999</v>
      </c>
      <c r="U4553">
        <v>-1.5186459999999999</v>
      </c>
      <c r="V4553">
        <v>-4.8708930000000003E-3</v>
      </c>
      <c r="W4553">
        <v>6.1841409999999999E-2</v>
      </c>
      <c r="X4553">
        <v>0.99807409999999996</v>
      </c>
      <c r="Y4553">
        <v>-0.28803400000000001</v>
      </c>
      <c r="Z4553">
        <v>8.1632339999999998E-2</v>
      </c>
      <c r="AA4553">
        <v>0.9541345</v>
      </c>
      <c r="AB4553">
        <v>23</v>
      </c>
      <c r="AC4553">
        <v>9.6989000000000303</v>
      </c>
      <c r="AD4553">
        <v>-1.1168728407249999</v>
      </c>
      <c r="AE4553">
        <v>-5.2860100000000001</v>
      </c>
      <c r="AF4553">
        <v>-3.22052745968245</v>
      </c>
      <c r="AG4553">
        <v>-1.1168728407249999</v>
      </c>
      <c r="AH4553">
        <v>10.449004757546501</v>
      </c>
      <c r="AI4553">
        <v>95.832322750415599</v>
      </c>
      <c r="AJ4553">
        <v>107.13002010417701</v>
      </c>
      <c r="AK4553">
        <v>10.9909463871019</v>
      </c>
      <c r="AL4553">
        <v>86.454485857785002</v>
      </c>
      <c r="AM4553">
        <v>90.279617911875803</v>
      </c>
      <c r="AN4553">
        <v>0.99999999734010703</v>
      </c>
    </row>
    <row r="4554" spans="1:40" x14ac:dyDescent="0.25">
      <c r="A4554" t="str">
        <f>"20190312154651633"</f>
        <v>20190312154651633</v>
      </c>
      <c r="B4554" t="str">
        <f>"1552376811622262"</f>
        <v>1552376811622262</v>
      </c>
      <c r="C4554" t="s">
        <v>40</v>
      </c>
      <c r="D4554">
        <v>4.7821490000000004</v>
      </c>
      <c r="E4554">
        <v>0.38711879999999999</v>
      </c>
      <c r="F4554" t="s">
        <v>71</v>
      </c>
      <c r="G4554">
        <v>-404.77879999999999</v>
      </c>
      <c r="H4554" s="1">
        <v>-4.8692879999999998E-6</v>
      </c>
      <c r="I4554">
        <v>24.97062</v>
      </c>
      <c r="J4554">
        <v>-414.38479999999998</v>
      </c>
      <c r="K4554">
        <v>1.1168450000000001</v>
      </c>
      <c r="L4554">
        <v>30.096920000000001</v>
      </c>
      <c r="M4554">
        <v>0.70501480000000005</v>
      </c>
      <c r="N4554">
        <v>0</v>
      </c>
      <c r="O4554">
        <v>-0.70903819999999995</v>
      </c>
      <c r="P4554">
        <v>0.70667579999999997</v>
      </c>
      <c r="Q4554">
        <v>4.70736E-2</v>
      </c>
      <c r="R4554">
        <v>-0.70596959999999997</v>
      </c>
      <c r="S4554">
        <v>2.7805789999999999</v>
      </c>
      <c r="T4554">
        <v>-0.31853930000000003</v>
      </c>
      <c r="U4554">
        <v>-1.4994809999999901</v>
      </c>
      <c r="V4554">
        <v>-4.3597719999999996E-3</v>
      </c>
      <c r="W4554">
        <v>6.1780969999999998E-2</v>
      </c>
      <c r="X4554">
        <v>0.99808019999999997</v>
      </c>
      <c r="Y4554">
        <v>-0.28543479999999999</v>
      </c>
      <c r="Z4554">
        <v>8.1575629999999996E-2</v>
      </c>
      <c r="AA4554">
        <v>0.95492010000000005</v>
      </c>
      <c r="AB4554">
        <v>23</v>
      </c>
      <c r="AC4554">
        <v>9.6059999999999892</v>
      </c>
      <c r="AD4554">
        <v>-1.116849869288</v>
      </c>
      <c r="AE4554">
        <v>-5.1262999999999996</v>
      </c>
      <c r="AF4554">
        <v>-3.16396436814642</v>
      </c>
      <c r="AG4554">
        <v>-1.116849869288</v>
      </c>
      <c r="AH4554">
        <v>10.299885261391699</v>
      </c>
      <c r="AI4554">
        <v>95.9177462068821</v>
      </c>
      <c r="AJ4554">
        <v>107.076142543156</v>
      </c>
      <c r="AK4554">
        <v>10.8326202070996</v>
      </c>
      <c r="AL4554">
        <v>86.457955425676204</v>
      </c>
      <c r="AM4554">
        <v>90.250275425245903</v>
      </c>
      <c r="AN4554">
        <v>0.99999999074903601</v>
      </c>
    </row>
    <row r="4555" spans="1:40" x14ac:dyDescent="0.25">
      <c r="A4555" t="str">
        <f>"20190312154651646"</f>
        <v>20190312154651646</v>
      </c>
      <c r="B4555" t="str">
        <f>"1552376811642756"</f>
        <v>1552376811642756</v>
      </c>
      <c r="C4555" t="s">
        <v>40</v>
      </c>
      <c r="D4555">
        <v>4.7771759999999999</v>
      </c>
      <c r="E4555">
        <v>0.38714340000000003</v>
      </c>
      <c r="F4555" t="s">
        <v>71</v>
      </c>
      <c r="G4555">
        <v>-404.67590000000001</v>
      </c>
      <c r="H4555" s="1">
        <v>-4.9213279999999997E-6</v>
      </c>
      <c r="I4555">
        <v>24.993600000000001</v>
      </c>
      <c r="J4555">
        <v>-414.2971</v>
      </c>
      <c r="K4555">
        <v>1.116835</v>
      </c>
      <c r="L4555">
        <v>30.01773</v>
      </c>
      <c r="M4555">
        <v>0.70919719999999997</v>
      </c>
      <c r="N4555">
        <v>0</v>
      </c>
      <c r="O4555">
        <v>-0.70485489999999995</v>
      </c>
      <c r="P4555">
        <v>0.71078830000000004</v>
      </c>
      <c r="Q4555">
        <v>4.7086160000000002E-2</v>
      </c>
      <c r="R4555">
        <v>-0.70182819999999901</v>
      </c>
      <c r="S4555">
        <v>2.7976070000000002</v>
      </c>
      <c r="T4555">
        <v>-0.32181929999999997</v>
      </c>
      <c r="U4555">
        <v>-1.47052</v>
      </c>
      <c r="V4555">
        <v>-4.2850500000000003E-3</v>
      </c>
      <c r="W4555">
        <v>6.1791430000000001E-2</v>
      </c>
      <c r="X4555">
        <v>0.99807990000000002</v>
      </c>
      <c r="Y4555">
        <v>-0.289832599999999</v>
      </c>
      <c r="Z4555">
        <v>8.2180909999999996E-2</v>
      </c>
      <c r="AA4555">
        <v>0.95354249999999996</v>
      </c>
      <c r="AB4555">
        <v>23</v>
      </c>
      <c r="AC4555">
        <v>9.6211999999999804</v>
      </c>
      <c r="AD4555">
        <v>-1.116839921328</v>
      </c>
      <c r="AE4555">
        <v>-5.0241300000000004</v>
      </c>
      <c r="AF4555">
        <v>-3.1850806463211701</v>
      </c>
      <c r="AG4555">
        <v>-1.116839921328</v>
      </c>
      <c r="AH4555">
        <v>10.257145670677801</v>
      </c>
      <c r="AI4555">
        <v>95.936624562774995</v>
      </c>
      <c r="AJ4555">
        <v>107.250775712898</v>
      </c>
      <c r="AK4555">
        <v>10.798199268533001</v>
      </c>
      <c r="AL4555">
        <v>86.457355049288395</v>
      </c>
      <c r="AM4555">
        <v>90.245986089433401</v>
      </c>
      <c r="AN4555">
        <v>1.0000000146294701</v>
      </c>
    </row>
    <row r="4556" spans="1:40" x14ac:dyDescent="0.25">
      <c r="A4556" t="str">
        <f>"20190312154651658"</f>
        <v>20190312154651658</v>
      </c>
      <c r="B4556" t="str">
        <f>"1552376811652516"</f>
        <v>1552376811652516</v>
      </c>
      <c r="C4556" t="s">
        <v>40</v>
      </c>
      <c r="D4556">
        <v>4.7768899999999999</v>
      </c>
      <c r="E4556">
        <v>0.38724199999999998</v>
      </c>
      <c r="F4556" t="s">
        <v>71</v>
      </c>
      <c r="G4556">
        <v>-404.6234</v>
      </c>
      <c r="H4556" s="1">
        <v>-4.9478920000000003E-6</v>
      </c>
      <c r="I4556">
        <v>25.005490000000002</v>
      </c>
      <c r="J4556">
        <v>-414.20299999999997</v>
      </c>
      <c r="K4556">
        <v>1.1168209999999901</v>
      </c>
      <c r="L4556">
        <v>29.934139999999999</v>
      </c>
      <c r="M4556">
        <v>0.71362289999999995</v>
      </c>
      <c r="N4556">
        <v>0</v>
      </c>
      <c r="O4556">
        <v>-0.70037419999999995</v>
      </c>
      <c r="P4556">
        <v>0.71507759999999998</v>
      </c>
      <c r="Q4556">
        <v>4.6735199999999998E-2</v>
      </c>
      <c r="R4556">
        <v>-0.69748140000000003</v>
      </c>
      <c r="S4556">
        <v>2.8063660000000001</v>
      </c>
      <c r="T4556">
        <v>-0.3239995</v>
      </c>
      <c r="U4556">
        <v>-1.4540709999999999</v>
      </c>
      <c r="V4556">
        <v>-4.0919149999999998E-3</v>
      </c>
      <c r="W4556">
        <v>6.1440199999999903E-2</v>
      </c>
      <c r="X4556">
        <v>0.99810239999999995</v>
      </c>
      <c r="Y4556">
        <v>-0.28939500000000001</v>
      </c>
      <c r="Z4556">
        <v>8.2323250000000001E-2</v>
      </c>
      <c r="AA4556">
        <v>0.95366320000000004</v>
      </c>
      <c r="AB4556">
        <v>23</v>
      </c>
      <c r="AC4556">
        <v>9.5796000000000205</v>
      </c>
      <c r="AD4556">
        <v>-1.11682594789199</v>
      </c>
      <c r="AE4556">
        <v>-4.9286500000000002</v>
      </c>
      <c r="AF4556">
        <v>-3.1585111980368401</v>
      </c>
      <c r="AG4556">
        <v>-1.11682594789199</v>
      </c>
      <c r="AH4556">
        <v>10.179841806224999</v>
      </c>
      <c r="AI4556">
        <v>95.981729884036994</v>
      </c>
      <c r="AJ4556">
        <v>107.23760863223499</v>
      </c>
      <c r="AK4556">
        <v>10.7169339078756</v>
      </c>
      <c r="AL4556">
        <v>86.477517379248596</v>
      </c>
      <c r="AM4556">
        <v>90.234893880764901</v>
      </c>
      <c r="AN4556">
        <v>1.0000000214150799</v>
      </c>
    </row>
    <row r="4557" spans="1:40" x14ac:dyDescent="0.25">
      <c r="A4557" t="str">
        <f>"20190312154651681"</f>
        <v>20190312154651681</v>
      </c>
      <c r="B4557" t="str">
        <f>"1552376811672035"</f>
        <v>1552376811672035</v>
      </c>
      <c r="C4557" t="s">
        <v>40</v>
      </c>
      <c r="D4557">
        <v>4.7840069999999999</v>
      </c>
      <c r="E4557">
        <v>0.38767560000000001</v>
      </c>
      <c r="F4557" t="s">
        <v>71</v>
      </c>
      <c r="G4557">
        <v>-404.53379999999999</v>
      </c>
      <c r="H4557" s="1">
        <v>-4.9879189999999996E-6</v>
      </c>
      <c r="I4557">
        <v>24.995729999999998</v>
      </c>
      <c r="J4557">
        <v>-414.0403</v>
      </c>
      <c r="K4557">
        <v>1.1167990000000001</v>
      </c>
      <c r="L4557">
        <v>29.791840000000001</v>
      </c>
      <c r="M4557">
        <v>0.7211533</v>
      </c>
      <c r="N4557">
        <v>0</v>
      </c>
      <c r="O4557">
        <v>-0.69261790000000001</v>
      </c>
      <c r="P4557">
        <v>0.72220689999999998</v>
      </c>
      <c r="Q4557">
        <v>4.6664039999999997E-2</v>
      </c>
      <c r="R4557">
        <v>-0.69010109999999902</v>
      </c>
      <c r="S4557">
        <v>2.814514</v>
      </c>
      <c r="T4557">
        <v>-0.32508520000000002</v>
      </c>
      <c r="U4557">
        <v>-1.4374690000000001</v>
      </c>
      <c r="V4557">
        <v>-3.547939E-3</v>
      </c>
      <c r="W4557">
        <v>6.1371670000000003E-2</v>
      </c>
      <c r="X4557">
        <v>0.99810869999999996</v>
      </c>
      <c r="Y4557">
        <v>-0.28464830000000002</v>
      </c>
      <c r="Z4557">
        <v>8.174004E-2</v>
      </c>
      <c r="AA4557">
        <v>0.95514080000000001</v>
      </c>
      <c r="AB4557">
        <v>23</v>
      </c>
      <c r="AC4557">
        <v>9.5065000000000097</v>
      </c>
      <c r="AD4557">
        <v>-1.1168039879189999</v>
      </c>
      <c r="AE4557">
        <v>-4.7961099999999997</v>
      </c>
      <c r="AF4557">
        <v>-3.0919681046207499</v>
      </c>
      <c r="AG4557">
        <v>-1.1168039879189999</v>
      </c>
      <c r="AH4557">
        <v>10.0678702690085</v>
      </c>
      <c r="AI4557">
        <v>96.052994585445205</v>
      </c>
      <c r="AJ4557">
        <v>107.072372960973</v>
      </c>
      <c r="AK4557">
        <v>10.5910117392537</v>
      </c>
      <c r="AL4557">
        <v>86.481451289634606</v>
      </c>
      <c r="AM4557">
        <v>90.2036662684921</v>
      </c>
      <c r="AN4557">
        <v>1.00000002338271</v>
      </c>
    </row>
    <row r="4558" spans="1:40" x14ac:dyDescent="0.25">
      <c r="A4558" t="str">
        <f>"20190312154651703"</f>
        <v>20190312154651703</v>
      </c>
      <c r="B4558" t="str">
        <f>"1552376811692531"</f>
        <v>1552376811692531</v>
      </c>
      <c r="C4558" t="s">
        <v>40</v>
      </c>
      <c r="D4558">
        <v>4.727163</v>
      </c>
      <c r="E4558">
        <v>0.38791560000000003</v>
      </c>
      <c r="F4558" t="s">
        <v>71</v>
      </c>
      <c r="G4558">
        <v>-404.33929999999998</v>
      </c>
      <c r="H4558" s="1">
        <v>-5.0704919999999998E-6</v>
      </c>
      <c r="I4558">
        <v>24.950690000000002</v>
      </c>
      <c r="J4558">
        <v>-413.87580000000003</v>
      </c>
      <c r="K4558">
        <v>1.116773</v>
      </c>
      <c r="L4558">
        <v>29.650970000000001</v>
      </c>
      <c r="M4558">
        <v>0.72861119999999902</v>
      </c>
      <c r="N4558">
        <v>0</v>
      </c>
      <c r="O4558">
        <v>-0.6847683</v>
      </c>
      <c r="P4558">
        <v>0.72930030000000001</v>
      </c>
      <c r="Q4558">
        <v>4.7332970000000002E-2</v>
      </c>
      <c r="R4558">
        <v>-0.68255469999999996</v>
      </c>
      <c r="S4558">
        <v>2.8269350000000002</v>
      </c>
      <c r="T4558">
        <v>-0.32544260000000003</v>
      </c>
      <c r="U4558">
        <v>-1.410736</v>
      </c>
      <c r="V4558">
        <v>-3.0951949999999998E-3</v>
      </c>
      <c r="W4558">
        <v>6.2041289999999999E-2</v>
      </c>
      <c r="X4558">
        <v>0.99806879999999998</v>
      </c>
      <c r="Y4558">
        <v>-0.28320659999999998</v>
      </c>
      <c r="Z4558">
        <v>8.1104309999999999E-2</v>
      </c>
      <c r="AA4558">
        <v>0.95562340000000001</v>
      </c>
      <c r="AB4558">
        <v>22</v>
      </c>
      <c r="AC4558">
        <v>9.5365000000000393</v>
      </c>
      <c r="AD4558">
        <v>-1.1167780704920001</v>
      </c>
      <c r="AE4558">
        <v>-4.7002800000000002</v>
      </c>
      <c r="AF4558">
        <v>-3.0720595395769399</v>
      </c>
      <c r="AG4558">
        <v>-1.1167780704920001</v>
      </c>
      <c r="AH4558">
        <v>10.057147283366501</v>
      </c>
      <c r="AI4558">
        <v>96.062043650245599</v>
      </c>
      <c r="AJ4558">
        <v>106.985833095782</v>
      </c>
      <c r="AK4558">
        <v>10.5750155816795</v>
      </c>
      <c r="AL4558">
        <v>86.443011609689705</v>
      </c>
      <c r="AM4558">
        <v>90.177684185453899</v>
      </c>
      <c r="AN4558">
        <v>1.00000001571519</v>
      </c>
    </row>
    <row r="4559" spans="1:40" x14ac:dyDescent="0.25">
      <c r="A4559" t="str">
        <f>"20190312154651725"</f>
        <v>20190312154651725</v>
      </c>
      <c r="B4559" t="str">
        <f>"1552376811712051"</f>
        <v>1552376811712051</v>
      </c>
      <c r="C4559" t="s">
        <v>40</v>
      </c>
      <c r="D4559">
        <v>4.8389860000000002</v>
      </c>
      <c r="E4559">
        <v>0.38851540000000001</v>
      </c>
      <c r="F4559" t="s">
        <v>71</v>
      </c>
      <c r="G4559">
        <v>-404.01600000000002</v>
      </c>
      <c r="H4559" s="1">
        <v>-5.2033060000000004E-6</v>
      </c>
      <c r="I4559">
        <v>24.8508</v>
      </c>
      <c r="J4559">
        <v>-413.71499999999997</v>
      </c>
      <c r="K4559">
        <v>1.1167450000000001</v>
      </c>
      <c r="L4559">
        <v>29.51633</v>
      </c>
      <c r="M4559">
        <v>0.73574819999999996</v>
      </c>
      <c r="N4559">
        <v>0</v>
      </c>
      <c r="O4559">
        <v>-0.67709430000000004</v>
      </c>
      <c r="P4559">
        <v>0.73580709999999905</v>
      </c>
      <c r="Q4559">
        <v>4.7296669999999999E-2</v>
      </c>
      <c r="R4559">
        <v>-0.67553779999999997</v>
      </c>
      <c r="S4559">
        <v>2.8403019999999999</v>
      </c>
      <c r="T4559">
        <v>-0.32170959999999899</v>
      </c>
      <c r="U4559">
        <v>-1.382782</v>
      </c>
      <c r="V4559">
        <v>-2.191433E-3</v>
      </c>
      <c r="W4559">
        <v>6.2013690000000003E-2</v>
      </c>
      <c r="X4559">
        <v>0.99807290000000004</v>
      </c>
      <c r="Y4559">
        <v>-0.28266289999999999</v>
      </c>
      <c r="Z4559">
        <v>7.9496289999999997E-2</v>
      </c>
      <c r="AA4559">
        <v>0.95591939999999997</v>
      </c>
      <c r="AB4559">
        <v>22</v>
      </c>
      <c r="AC4559">
        <v>9.6990000000000105</v>
      </c>
      <c r="AD4559">
        <v>-1.1167502033059999</v>
      </c>
      <c r="AE4559">
        <v>-4.6655300000000004</v>
      </c>
      <c r="AF4559">
        <v>-3.1014332581214599</v>
      </c>
      <c r="AG4559">
        <v>-1.1167502033059999</v>
      </c>
      <c r="AH4559">
        <v>10.1864778449726</v>
      </c>
      <c r="AI4559">
        <v>95.987141389777506</v>
      </c>
      <c r="AJ4559">
        <v>106.93369477009099</v>
      </c>
      <c r="AK4559">
        <v>10.706556409849201</v>
      </c>
      <c r="AL4559">
        <v>86.444595992752198</v>
      </c>
      <c r="AM4559">
        <v>90.125802093428206</v>
      </c>
      <c r="AN4559">
        <v>1.0000000069202</v>
      </c>
    </row>
    <row r="4560" spans="1:40" x14ac:dyDescent="0.25">
      <c r="A4560" t="str">
        <f>"20190312154651736"</f>
        <v>20190312154651736</v>
      </c>
      <c r="B4560" t="str">
        <f>"1552376811732900"</f>
        <v>1552376811732900</v>
      </c>
      <c r="C4560" t="s">
        <v>40</v>
      </c>
      <c r="D4560">
        <v>4.9411350000000001</v>
      </c>
      <c r="E4560">
        <v>0.39976099999999998</v>
      </c>
      <c r="F4560" t="s">
        <v>71</v>
      </c>
      <c r="G4560">
        <v>-403.76920000000001</v>
      </c>
      <c r="H4560" s="1">
        <v>-5.3046769999999998E-6</v>
      </c>
      <c r="I4560">
        <v>24.774539999999998</v>
      </c>
      <c r="J4560">
        <v>-413.61520000000002</v>
      </c>
      <c r="K4560">
        <v>1.1167320000000001</v>
      </c>
      <c r="L4560">
        <v>29.434480000000001</v>
      </c>
      <c r="M4560">
        <v>0.74009720000000001</v>
      </c>
      <c r="N4560">
        <v>0</v>
      </c>
      <c r="O4560">
        <v>-0.67233809999999905</v>
      </c>
      <c r="P4560">
        <v>0.73981949999999996</v>
      </c>
      <c r="Q4560">
        <v>4.765337E-2</v>
      </c>
      <c r="R4560">
        <v>-0.67111589999999999</v>
      </c>
      <c r="S4560">
        <v>2.8501590000000001</v>
      </c>
      <c r="T4560">
        <v>-0.32002779999999997</v>
      </c>
      <c r="U4560">
        <v>-1.3588559999999901</v>
      </c>
      <c r="V4560">
        <v>-1.7278489999999901E-3</v>
      </c>
      <c r="W4560">
        <v>6.2373480000000002E-2</v>
      </c>
      <c r="X4560">
        <v>0.99805140000000003</v>
      </c>
      <c r="Y4560">
        <v>-0.284356099999999</v>
      </c>
      <c r="Z4560">
        <v>7.8772850000000005E-2</v>
      </c>
      <c r="AA4560">
        <v>0.95547709999999997</v>
      </c>
      <c r="AB4560">
        <v>22</v>
      </c>
      <c r="AC4560">
        <v>9.8460000000000001</v>
      </c>
      <c r="AD4560">
        <v>-1.1167373046769999</v>
      </c>
      <c r="AE4560">
        <v>-4.65993999999999</v>
      </c>
      <c r="AF4560">
        <v>-3.1383929976974501</v>
      </c>
      <c r="AG4560">
        <v>-1.1167373046769999</v>
      </c>
      <c r="AH4560">
        <v>10.312798795716001</v>
      </c>
      <c r="AI4560">
        <v>95.914498448476195</v>
      </c>
      <c r="AJ4560">
        <v>106.92606441035601</v>
      </c>
      <c r="AK4560">
        <v>10.837455043347401</v>
      </c>
      <c r="AL4560">
        <v>86.423941594678496</v>
      </c>
      <c r="AM4560">
        <v>90.099191641264397</v>
      </c>
      <c r="AN4560">
        <v>1.0000000167557099</v>
      </c>
    </row>
    <row r="4561" spans="1:40" x14ac:dyDescent="0.25">
      <c r="A4561" t="str">
        <f>"20190312154651749"</f>
        <v>20190312154651749</v>
      </c>
      <c r="B4561" t="str">
        <f>"1552376811742660"</f>
        <v>1552376811742660</v>
      </c>
      <c r="C4561" t="s">
        <v>40</v>
      </c>
      <c r="D4561">
        <v>4.8194809999999997</v>
      </c>
      <c r="E4561">
        <v>0.39990290000000001</v>
      </c>
      <c r="F4561" t="s">
        <v>71</v>
      </c>
      <c r="G4561">
        <v>-404.65699999999998</v>
      </c>
      <c r="H4561" s="1">
        <v>-4.9191689999999996E-6</v>
      </c>
      <c r="I4561">
        <v>24.932200000000002</v>
      </c>
      <c r="J4561">
        <v>-413.52359999999999</v>
      </c>
      <c r="K4561">
        <v>1.1167229999999999</v>
      </c>
      <c r="L4561">
        <v>29.359950000000001</v>
      </c>
      <c r="M4561">
        <v>0.74405250000000001</v>
      </c>
      <c r="N4561">
        <v>0</v>
      </c>
      <c r="O4561">
        <v>-0.6679583</v>
      </c>
      <c r="P4561">
        <v>0.74358080000000004</v>
      </c>
      <c r="Q4561">
        <v>4.7932959999999997E-2</v>
      </c>
      <c r="R4561">
        <v>-0.66692609999999997</v>
      </c>
      <c r="S4561">
        <v>2.8006899999999999</v>
      </c>
      <c r="T4561">
        <v>-0.34913689999999997</v>
      </c>
      <c r="U4561">
        <v>-1.4075930000000001</v>
      </c>
      <c r="V4561">
        <v>-1.4655979999999901E-3</v>
      </c>
      <c r="W4561">
        <v>6.2653299999999995E-2</v>
      </c>
      <c r="X4561">
        <v>0.99803430000000004</v>
      </c>
      <c r="Y4561">
        <v>-0.25799909999999998</v>
      </c>
      <c r="Z4561">
        <v>8.4931030000000005E-2</v>
      </c>
      <c r="AA4561">
        <v>0.96240490000000001</v>
      </c>
      <c r="AB4561">
        <v>22</v>
      </c>
      <c r="AC4561">
        <v>8.8666</v>
      </c>
      <c r="AD4561">
        <v>-1.1167279191689901</v>
      </c>
      <c r="AE4561">
        <v>-4.4277499999999996</v>
      </c>
      <c r="AF4561">
        <v>-2.5953741043098502</v>
      </c>
      <c r="AG4561">
        <v>-1.1167279191689901</v>
      </c>
      <c r="AH4561">
        <v>9.4360026466920903</v>
      </c>
      <c r="AI4561">
        <v>96.509857725790795</v>
      </c>
      <c r="AJ4561">
        <v>105.378923484678</v>
      </c>
      <c r="AK4561">
        <v>9.8499337020689506</v>
      </c>
      <c r="AL4561">
        <v>86.407877696825096</v>
      </c>
      <c r="AM4561">
        <v>90.084137909390506</v>
      </c>
      <c r="AN4561">
        <v>1.00000002397743</v>
      </c>
    </row>
    <row r="4562" spans="1:40" x14ac:dyDescent="0.25">
      <c r="A4562" t="str">
        <f>"20190312154651762"</f>
        <v>20190312154651762</v>
      </c>
      <c r="B4562" t="str">
        <f>"1552376811752421"</f>
        <v>1552376811752421</v>
      </c>
      <c r="C4562" t="s">
        <v>40</v>
      </c>
      <c r="D4562">
        <v>4.8312720000000002</v>
      </c>
      <c r="E4562">
        <v>0.40010679999999998</v>
      </c>
      <c r="F4562" t="s">
        <v>71</v>
      </c>
      <c r="G4562">
        <v>-404.16609999999997</v>
      </c>
      <c r="H4562" s="1">
        <v>-5.109394E-6</v>
      </c>
      <c r="I4562">
        <v>24.716000000000001</v>
      </c>
      <c r="J4562">
        <v>-413.42520000000002</v>
      </c>
      <c r="K4562">
        <v>1.116711</v>
      </c>
      <c r="L4562">
        <v>29.28079</v>
      </c>
      <c r="M4562">
        <v>0.74824869999999899</v>
      </c>
      <c r="N4562">
        <v>0</v>
      </c>
      <c r="O4562">
        <v>-0.66325409999999996</v>
      </c>
      <c r="P4562">
        <v>0.7474963</v>
      </c>
      <c r="Q4562">
        <v>4.8258450000000001E-2</v>
      </c>
      <c r="R4562">
        <v>-0.6625105</v>
      </c>
      <c r="S4562">
        <v>2.8067630000000001</v>
      </c>
      <c r="T4562">
        <v>-0.3349606</v>
      </c>
      <c r="U4562">
        <v>-1.392944</v>
      </c>
      <c r="V4562">
        <v>-1.073435E-3</v>
      </c>
      <c r="W4562">
        <v>6.2981679999999998E-2</v>
      </c>
      <c r="X4562">
        <v>0.99801410000000002</v>
      </c>
      <c r="Y4562">
        <v>-0.25716719999999998</v>
      </c>
      <c r="Z4562">
        <v>8.1062129999999996E-2</v>
      </c>
      <c r="AA4562">
        <v>0.96296110000000001</v>
      </c>
      <c r="AB4562">
        <v>22</v>
      </c>
      <c r="AC4562">
        <v>9.2591000000000392</v>
      </c>
      <c r="AD4562">
        <v>-1.1167161093939999</v>
      </c>
      <c r="AE4562">
        <v>-4.5647900000000003</v>
      </c>
      <c r="AF4562">
        <v>-2.6943062226079002</v>
      </c>
      <c r="AG4562">
        <v>-1.1167161093939999</v>
      </c>
      <c r="AH4562">
        <v>9.8416436868108192</v>
      </c>
      <c r="AI4562">
        <v>96.245671289044495</v>
      </c>
      <c r="AJ4562">
        <v>105.310492009491</v>
      </c>
      <c r="AK4562">
        <v>10.2647109724681</v>
      </c>
      <c r="AL4562">
        <v>86.389025568713095</v>
      </c>
      <c r="AM4562">
        <v>90.061625653750596</v>
      </c>
      <c r="AN4562">
        <v>0.99999999403856499</v>
      </c>
    </row>
    <row r="4563" spans="1:40" x14ac:dyDescent="0.25">
      <c r="A4563" t="str">
        <f>"20190312154651774"</f>
        <v>20190312154651774</v>
      </c>
      <c r="B4563" t="str">
        <f>"1552376811762181"</f>
        <v>1552376811762181</v>
      </c>
      <c r="C4563" t="s">
        <v>40</v>
      </c>
      <c r="D4563">
        <v>4.8226839999999997</v>
      </c>
      <c r="E4563">
        <v>0.40047430000000001</v>
      </c>
      <c r="F4563" t="s">
        <v>71</v>
      </c>
      <c r="G4563">
        <v>-403.87479999999999</v>
      </c>
      <c r="H4563" s="1">
        <v>-5.2250789999999901E-6</v>
      </c>
      <c r="I4563">
        <v>24.603649999999998</v>
      </c>
      <c r="J4563">
        <v>-413.3322</v>
      </c>
      <c r="K4563">
        <v>1.116698</v>
      </c>
      <c r="L4563">
        <v>29.20731</v>
      </c>
      <c r="M4563">
        <v>0.75216039999999995</v>
      </c>
      <c r="N4563">
        <v>0</v>
      </c>
      <c r="O4563">
        <v>-0.65881509999999999</v>
      </c>
      <c r="P4563">
        <v>0.75129209999999902</v>
      </c>
      <c r="Q4563">
        <v>4.8234649999999997E-2</v>
      </c>
      <c r="R4563">
        <v>-0.65820469999999998</v>
      </c>
      <c r="S4563">
        <v>2.8134459999999999</v>
      </c>
      <c r="T4563">
        <v>-0.32897310000000002</v>
      </c>
      <c r="U4563">
        <v>-1.3778379999999999</v>
      </c>
      <c r="V4563">
        <v>-9.0068720000000002E-4</v>
      </c>
      <c r="W4563">
        <v>6.2956940000000003E-2</v>
      </c>
      <c r="X4563">
        <v>0.99801580000000001</v>
      </c>
      <c r="Y4563">
        <v>-0.2566988</v>
      </c>
      <c r="Z4563">
        <v>7.9211970000000007E-2</v>
      </c>
      <c r="AA4563">
        <v>0.96323990000000004</v>
      </c>
      <c r="AB4563">
        <v>22</v>
      </c>
      <c r="AC4563">
        <v>9.4573999999999998</v>
      </c>
      <c r="AD4563">
        <v>-1.1167032250790001</v>
      </c>
      <c r="AE4563">
        <v>-4.6036599999999899</v>
      </c>
      <c r="AF4563">
        <v>-2.73743333997602</v>
      </c>
      <c r="AG4563">
        <v>-1.1167032250790001</v>
      </c>
      <c r="AH4563">
        <v>10.0344431357319</v>
      </c>
      <c r="AI4563">
        <v>96.128007503219493</v>
      </c>
      <c r="AJ4563">
        <v>105.259195090243</v>
      </c>
      <c r="AK4563">
        <v>10.4609089675779</v>
      </c>
      <c r="AL4563">
        <v>86.390445770227998</v>
      </c>
      <c r="AM4563">
        <v>90.0517081605432</v>
      </c>
      <c r="AN4563">
        <v>0.99999996229061705</v>
      </c>
    </row>
    <row r="4564" spans="1:40" x14ac:dyDescent="0.25">
      <c r="A4564" t="str">
        <f>"20190312154651791"</f>
        <v>20190312154651791</v>
      </c>
      <c r="B4564" t="str">
        <f>"1552376811782680"</f>
        <v>1552376811782680</v>
      </c>
      <c r="C4564" t="s">
        <v>40</v>
      </c>
      <c r="D4564">
        <v>4.813104</v>
      </c>
      <c r="E4564">
        <v>0.40171669999999998</v>
      </c>
      <c r="F4564" t="s">
        <v>71</v>
      </c>
      <c r="G4564">
        <v>-403.6628</v>
      </c>
      <c r="H4564" s="1">
        <v>-5.3103919999999998E-6</v>
      </c>
      <c r="I4564">
        <v>24.52825</v>
      </c>
      <c r="J4564">
        <v>-413.20159999999998</v>
      </c>
      <c r="K4564">
        <v>1.1166799999999999</v>
      </c>
      <c r="L4564">
        <v>29.105319999999999</v>
      </c>
      <c r="M4564">
        <v>0.75758369999999997</v>
      </c>
      <c r="N4564">
        <v>0</v>
      </c>
      <c r="O4564">
        <v>-0.65257140000000002</v>
      </c>
      <c r="P4564">
        <v>0.75660890000000003</v>
      </c>
      <c r="Q4564">
        <v>4.7805430000000003E-2</v>
      </c>
      <c r="R4564">
        <v>-0.65211759999999996</v>
      </c>
      <c r="S4564">
        <v>2.8189389999999999</v>
      </c>
      <c r="T4564">
        <v>-0.32555719999999999</v>
      </c>
      <c r="U4564">
        <v>-1.3641049999999999</v>
      </c>
      <c r="V4564">
        <v>-7.1130229999999905E-4</v>
      </c>
      <c r="W4564">
        <v>6.2526239999999997E-2</v>
      </c>
      <c r="X4564">
        <v>0.99804309999999996</v>
      </c>
      <c r="Y4564">
        <v>-0.25336809999999998</v>
      </c>
      <c r="Z4564">
        <v>7.7712489999999995E-2</v>
      </c>
      <c r="AA4564">
        <v>0.96424339999999997</v>
      </c>
      <c r="AB4564">
        <v>22</v>
      </c>
      <c r="AC4564">
        <v>9.5387999999999806</v>
      </c>
      <c r="AD4564">
        <v>-1.11668531039199</v>
      </c>
      <c r="AE4564">
        <v>-4.57707</v>
      </c>
      <c r="AF4564">
        <v>-2.7271540080941001</v>
      </c>
      <c r="AG4564">
        <v>-1.11668531039199</v>
      </c>
      <c r="AH4564">
        <v>10.1018808966669</v>
      </c>
      <c r="AI4564">
        <v>96.091646259449504</v>
      </c>
      <c r="AJ4564">
        <v>105.107704592931</v>
      </c>
      <c r="AK4564">
        <v>10.5229441087916</v>
      </c>
      <c r="AL4564">
        <v>86.415172032621996</v>
      </c>
      <c r="AM4564">
        <v>90.0408345219236</v>
      </c>
      <c r="AN4564">
        <v>1.0000000330485499</v>
      </c>
    </row>
    <row r="4565" spans="1:40" x14ac:dyDescent="0.25">
      <c r="A4565" t="str">
        <f>"20190312154651804"</f>
        <v>20190312154651804</v>
      </c>
      <c r="B4565" t="str">
        <f>"1552376811792436"</f>
        <v>1552376811792436</v>
      </c>
      <c r="C4565" t="s">
        <v>40</v>
      </c>
      <c r="D4565">
        <v>4.8476359999999996</v>
      </c>
      <c r="E4565">
        <v>0.40239780000000003</v>
      </c>
      <c r="F4565" t="s">
        <v>71</v>
      </c>
      <c r="G4565">
        <v>-403.41340000000002</v>
      </c>
      <c r="H4565" s="1">
        <v>-5.4089349999999999E-6</v>
      </c>
      <c r="I4565">
        <v>24.42916</v>
      </c>
      <c r="J4565">
        <v>-413.10199999999998</v>
      </c>
      <c r="K4565">
        <v>1.1166670000000001</v>
      </c>
      <c r="L4565">
        <v>29.02844</v>
      </c>
      <c r="M4565">
        <v>0.76166389999999995</v>
      </c>
      <c r="N4565">
        <v>0</v>
      </c>
      <c r="O4565">
        <v>-0.64780470000000001</v>
      </c>
      <c r="P4565">
        <v>0.76043179999999999</v>
      </c>
      <c r="Q4565">
        <v>4.7836879999999998E-2</v>
      </c>
      <c r="R4565">
        <v>-0.647653699999999</v>
      </c>
      <c r="S4565">
        <v>2.823029</v>
      </c>
      <c r="T4565">
        <v>-0.32206630000000003</v>
      </c>
      <c r="U4565">
        <v>-1.3486629999999999</v>
      </c>
      <c r="V4565">
        <v>-3.1915680000000002E-4</v>
      </c>
      <c r="W4565">
        <v>6.256051E-2</v>
      </c>
      <c r="X4565">
        <v>0.99804110000000001</v>
      </c>
      <c r="Y4565">
        <v>-0.25223820000000002</v>
      </c>
      <c r="Z4565">
        <v>7.6478030000000002E-2</v>
      </c>
      <c r="AA4565">
        <v>0.96463829999999995</v>
      </c>
      <c r="AB4565">
        <v>22</v>
      </c>
      <c r="AC4565">
        <v>9.6885999999999495</v>
      </c>
      <c r="AD4565">
        <v>-1.116672408935</v>
      </c>
      <c r="AE4565">
        <v>-4.5992800000000003</v>
      </c>
      <c r="AF4565">
        <v>-2.7437710366587602</v>
      </c>
      <c r="AG4565">
        <v>-1.116672408935</v>
      </c>
      <c r="AH4565">
        <v>10.248908667093</v>
      </c>
      <c r="AI4565">
        <v>96.008197405058397</v>
      </c>
      <c r="AJ4565">
        <v>104.987398778243</v>
      </c>
      <c r="AK4565">
        <v>10.6684284520682</v>
      </c>
      <c r="AL4565">
        <v>86.413204457985003</v>
      </c>
      <c r="AM4565">
        <v>90.018322228432794</v>
      </c>
      <c r="AN4565">
        <v>0.99999997828086595</v>
      </c>
    </row>
    <row r="4566" spans="1:40" x14ac:dyDescent="0.25">
      <c r="A4566" t="str">
        <f>"20190312154651815"</f>
        <v>20190312154651815</v>
      </c>
      <c r="B4566" t="str">
        <f>"1552376811811958"</f>
        <v>1552376811811958</v>
      </c>
      <c r="C4566" t="s">
        <v>40</v>
      </c>
      <c r="D4566">
        <v>4.7823200000000003</v>
      </c>
      <c r="E4566">
        <v>0.40305039999999998</v>
      </c>
      <c r="F4566" t="s">
        <v>71</v>
      </c>
      <c r="G4566">
        <v>-403.2149</v>
      </c>
      <c r="H4566" s="1">
        <v>-5.4882579999999997E-6</v>
      </c>
      <c r="I4566">
        <v>24.355329999999999</v>
      </c>
      <c r="J4566">
        <v>-413.00659999999999</v>
      </c>
      <c r="K4566">
        <v>1.1166560000000001</v>
      </c>
      <c r="L4566">
        <v>28.956209999999999</v>
      </c>
      <c r="M4566">
        <v>0.76551769999999997</v>
      </c>
      <c r="N4566">
        <v>0</v>
      </c>
      <c r="O4566">
        <v>-0.64324619999999999</v>
      </c>
      <c r="P4566">
        <v>0.76441099999999995</v>
      </c>
      <c r="Q4566">
        <v>4.7514800000000003E-2</v>
      </c>
      <c r="R4566">
        <v>-0.64297629999999995</v>
      </c>
      <c r="S4566">
        <v>2.8271480000000002</v>
      </c>
      <c r="T4566">
        <v>-0.31930449999999999</v>
      </c>
      <c r="U4566">
        <v>-1.3362430000000001</v>
      </c>
      <c r="V4566">
        <v>-4.8953980000000005E-4</v>
      </c>
      <c r="W4566">
        <v>6.2232139999999998E-2</v>
      </c>
      <c r="X4566">
        <v>0.99806159999999999</v>
      </c>
      <c r="Y4566">
        <v>-0.25055899999999998</v>
      </c>
      <c r="Z4566">
        <v>7.5384140000000002E-2</v>
      </c>
      <c r="AA4566">
        <v>0.96516190000000002</v>
      </c>
      <c r="AB4566">
        <v>22</v>
      </c>
      <c r="AC4566">
        <v>9.7916999999999899</v>
      </c>
      <c r="AD4566">
        <v>-1.1166614882579999</v>
      </c>
      <c r="AE4566">
        <v>-4.6008800000000001</v>
      </c>
      <c r="AF4566">
        <v>-2.7474503009050699</v>
      </c>
      <c r="AG4566">
        <v>-1.1166614882579999</v>
      </c>
      <c r="AH4566">
        <v>10.3461311779089</v>
      </c>
      <c r="AI4566">
        <v>95.955266284008999</v>
      </c>
      <c r="AJ4566">
        <v>104.87184987616899</v>
      </c>
      <c r="AK4566">
        <v>10.7627991891422</v>
      </c>
      <c r="AL4566">
        <v>86.432055548018994</v>
      </c>
      <c r="AM4566">
        <v>90.028103037121497</v>
      </c>
      <c r="AN4566">
        <v>1.00000001814637</v>
      </c>
    </row>
    <row r="4567" spans="1:40" x14ac:dyDescent="0.25">
      <c r="A4567" t="str">
        <f>"20190312154651836"</f>
        <v>20190312154651836</v>
      </c>
      <c r="B4567" t="str">
        <f>"1552376811822692"</f>
        <v>1552376811822692</v>
      </c>
      <c r="C4567" t="s">
        <v>40</v>
      </c>
      <c r="D4567">
        <v>4.7531359999999996</v>
      </c>
      <c r="E4567">
        <v>0.4027152</v>
      </c>
      <c r="F4567" t="s">
        <v>71</v>
      </c>
      <c r="G4567">
        <v>-403.024</v>
      </c>
      <c r="H4567" s="1">
        <v>-5.566093E-6</v>
      </c>
      <c r="I4567">
        <v>24.29288</v>
      </c>
      <c r="J4567">
        <v>-412.85160000000002</v>
      </c>
      <c r="K4567">
        <v>1.1166339999999999</v>
      </c>
      <c r="L4567">
        <v>28.84036</v>
      </c>
      <c r="M4567">
        <v>0.77168479999999995</v>
      </c>
      <c r="N4567">
        <v>0</v>
      </c>
      <c r="O4567">
        <v>-0.63583449999999997</v>
      </c>
      <c r="P4567">
        <v>0.77052080000000001</v>
      </c>
      <c r="Q4567">
        <v>4.7564240000000001E-2</v>
      </c>
      <c r="R4567">
        <v>-0.63563780000000003</v>
      </c>
      <c r="S4567">
        <v>2.8316349999999999</v>
      </c>
      <c r="T4567">
        <v>-0.31674869999999999</v>
      </c>
      <c r="U4567">
        <v>-1.322784</v>
      </c>
      <c r="V4567">
        <v>-4.0339839999999999E-4</v>
      </c>
      <c r="W4567">
        <v>6.227593E-2</v>
      </c>
      <c r="X4567">
        <v>0.99805889999999997</v>
      </c>
      <c r="Y4567">
        <v>-0.24568219999999999</v>
      </c>
      <c r="Z4567">
        <v>7.3956949999999994E-2</v>
      </c>
      <c r="AA4567">
        <v>0.96652499999999997</v>
      </c>
      <c r="AB4567">
        <v>22</v>
      </c>
      <c r="AC4567">
        <v>9.8276000000000092</v>
      </c>
      <c r="AD4567">
        <v>-1.116639566093</v>
      </c>
      <c r="AE4567">
        <v>-4.5474799999999904</v>
      </c>
      <c r="AF4567">
        <v>-2.71097645936895</v>
      </c>
      <c r="AG4567">
        <v>-1.116639566093</v>
      </c>
      <c r="AH4567">
        <v>10.3661639068801</v>
      </c>
      <c r="AI4567">
        <v>95.949589996549193</v>
      </c>
      <c r="AJ4567">
        <v>104.655850431649</v>
      </c>
      <c r="AK4567">
        <v>10.772819103100201</v>
      </c>
      <c r="AL4567">
        <v>86.429541664393199</v>
      </c>
      <c r="AM4567">
        <v>90.023157976471794</v>
      </c>
      <c r="AN4567">
        <v>1.00000001102842</v>
      </c>
    </row>
    <row r="4568" spans="1:40" x14ac:dyDescent="0.25">
      <c r="A4568" t="str">
        <f>"20190312154651849"</f>
        <v>20190312154651849</v>
      </c>
      <c r="B4568" t="str">
        <f>"1552376811842212"</f>
        <v>1552376811842212</v>
      </c>
      <c r="C4568" t="s">
        <v>40</v>
      </c>
      <c r="D4568">
        <v>4.7709729999999997</v>
      </c>
      <c r="E4568">
        <v>0.40253990000000001</v>
      </c>
      <c r="F4568" t="s">
        <v>71</v>
      </c>
      <c r="G4568">
        <v>-402.64240000000001</v>
      </c>
      <c r="H4568" s="1">
        <v>-5.7271749999999999E-6</v>
      </c>
      <c r="I4568">
        <v>24.199280000000002</v>
      </c>
      <c r="J4568">
        <v>-412.74950000000001</v>
      </c>
      <c r="K4568">
        <v>1.1166180000000001</v>
      </c>
      <c r="L4568">
        <v>28.76529</v>
      </c>
      <c r="M4568">
        <v>0.77568380000000003</v>
      </c>
      <c r="N4568">
        <v>0</v>
      </c>
      <c r="O4568">
        <v>-0.63095009999999996</v>
      </c>
      <c r="P4568">
        <v>0.77464500000000003</v>
      </c>
      <c r="Q4568">
        <v>4.756005E-2</v>
      </c>
      <c r="R4568">
        <v>-0.63060559999999999</v>
      </c>
      <c r="S4568">
        <v>2.845612</v>
      </c>
      <c r="T4568">
        <v>-0.31124089999999999</v>
      </c>
      <c r="U4568">
        <v>-1.2936099999999999</v>
      </c>
      <c r="V4568">
        <v>-6.0137820000000003E-4</v>
      </c>
      <c r="W4568">
        <v>6.2264979999999998E-2</v>
      </c>
      <c r="X4568">
        <v>0.99805949999999999</v>
      </c>
      <c r="Y4568">
        <v>-0.24970539999999999</v>
      </c>
      <c r="Z4568">
        <v>7.2396730000000006E-2</v>
      </c>
      <c r="AA4568">
        <v>0.96561169999999996</v>
      </c>
      <c r="AB4568">
        <v>22</v>
      </c>
      <c r="AC4568">
        <v>10.107100000000001</v>
      </c>
      <c r="AD4568">
        <v>-1.1166237271749999</v>
      </c>
      <c r="AE4568">
        <v>-4.5660100000000003</v>
      </c>
      <c r="AF4568">
        <v>-2.8071473469238</v>
      </c>
      <c r="AG4568">
        <v>-1.1166237271749999</v>
      </c>
      <c r="AH4568">
        <v>10.6144032138941</v>
      </c>
      <c r="AI4568">
        <v>95.807150185001404</v>
      </c>
      <c r="AJ4568">
        <v>104.813627818066</v>
      </c>
      <c r="AK4568">
        <v>11.0359630464476</v>
      </c>
      <c r="AL4568">
        <v>86.430170331857795</v>
      </c>
      <c r="AM4568">
        <v>90.034523421280198</v>
      </c>
      <c r="AN4568">
        <v>1.0000000274651899</v>
      </c>
    </row>
    <row r="4569" spans="1:40" x14ac:dyDescent="0.25">
      <c r="A4569" t="str">
        <f>"20190312154651871"</f>
        <v>20190312154651871</v>
      </c>
      <c r="B4569" t="str">
        <f>"1552376811862708"</f>
        <v>1552376811862708</v>
      </c>
      <c r="C4569" t="s">
        <v>40</v>
      </c>
      <c r="D4569">
        <v>4.8400860000000003</v>
      </c>
      <c r="E4569">
        <v>0.40323920000000002</v>
      </c>
      <c r="F4569" t="s">
        <v>71</v>
      </c>
      <c r="G4569">
        <v>-402.3021</v>
      </c>
      <c r="H4569" s="1">
        <v>-5.8682E-6</v>
      </c>
      <c r="I4569">
        <v>24.10107</v>
      </c>
      <c r="J4569">
        <v>-412.57659999999998</v>
      </c>
      <c r="K4569">
        <v>1.11659</v>
      </c>
      <c r="L4569">
        <v>28.640470000000001</v>
      </c>
      <c r="M4569">
        <v>0.78233319999999995</v>
      </c>
      <c r="N4569">
        <v>0</v>
      </c>
      <c r="O4569">
        <v>-0.62268639999999997</v>
      </c>
      <c r="P4569">
        <v>0.78134820000000005</v>
      </c>
      <c r="Q4569">
        <v>4.8184440000000002E-2</v>
      </c>
      <c r="R4569">
        <v>-0.62223249999999997</v>
      </c>
      <c r="S4569">
        <v>2.8541560000000001</v>
      </c>
      <c r="T4569">
        <v>-0.30505369999999998</v>
      </c>
      <c r="U4569">
        <v>-1.2742309999999999</v>
      </c>
      <c r="V4569">
        <v>-7.3650889999999996E-4</v>
      </c>
      <c r="W4569">
        <v>6.2879350000000001E-2</v>
      </c>
      <c r="X4569">
        <v>0.99802089999999999</v>
      </c>
      <c r="Y4569">
        <v>-0.24616969999999999</v>
      </c>
      <c r="Z4569">
        <v>7.010856E-2</v>
      </c>
      <c r="AA4569">
        <v>0.96668779999999999</v>
      </c>
      <c r="AB4569">
        <v>22</v>
      </c>
      <c r="AC4569">
        <v>10.2744999999999</v>
      </c>
      <c r="AD4569">
        <v>-1.1165958681999999</v>
      </c>
      <c r="AE4569">
        <v>-4.5393999999999997</v>
      </c>
      <c r="AF4569">
        <v>-2.8189204745746399</v>
      </c>
      <c r="AG4569">
        <v>-1.1165958681999999</v>
      </c>
      <c r="AH4569">
        <v>10.759558415316301</v>
      </c>
      <c r="AI4569">
        <v>95.732656318160494</v>
      </c>
      <c r="AJ4569">
        <v>104.681081754636</v>
      </c>
      <c r="AK4569">
        <v>11.1786043971267</v>
      </c>
      <c r="AL4569">
        <v>86.394900441454396</v>
      </c>
      <c r="AM4569">
        <v>90.042282525228998</v>
      </c>
      <c r="AN4569">
        <v>1.00000003596929</v>
      </c>
    </row>
    <row r="4570" spans="1:40" x14ac:dyDescent="0.25">
      <c r="A4570" t="str">
        <f>"20190312154651893"</f>
        <v>20190312154651893</v>
      </c>
      <c r="B4570" t="str">
        <f>"1552376811882228"</f>
        <v>1552376811882228</v>
      </c>
      <c r="C4570" t="s">
        <v>40</v>
      </c>
      <c r="D4570">
        <v>4.7780079999999998</v>
      </c>
      <c r="E4570">
        <v>0.40354250000000003</v>
      </c>
      <c r="F4570" t="s">
        <v>71</v>
      </c>
      <c r="G4570">
        <v>-401.93810000000002</v>
      </c>
      <c r="H4570" s="1">
        <v>-5.9925550000000003E-6</v>
      </c>
      <c r="I4570">
        <v>24.004639999999998</v>
      </c>
      <c r="J4570">
        <v>-412.40179999999998</v>
      </c>
      <c r="K4570">
        <v>1.116563</v>
      </c>
      <c r="L4570">
        <v>28.51709</v>
      </c>
      <c r="M4570">
        <v>0.78890579999999999</v>
      </c>
      <c r="N4570">
        <v>0</v>
      </c>
      <c r="O4570">
        <v>-0.61433789999999999</v>
      </c>
      <c r="P4570">
        <v>0.78797709999999999</v>
      </c>
      <c r="Q4570">
        <v>4.864284E-2</v>
      </c>
      <c r="R4570">
        <v>-0.6137804</v>
      </c>
      <c r="S4570">
        <v>2.8641359999999998</v>
      </c>
      <c r="T4570">
        <v>-0.300614099999999</v>
      </c>
      <c r="U4570">
        <v>-1.2480770000000001</v>
      </c>
      <c r="V4570">
        <v>-8.664031E-4</v>
      </c>
      <c r="W4570">
        <v>6.3327649999999999E-2</v>
      </c>
      <c r="X4570">
        <v>0.9979924</v>
      </c>
      <c r="Y4570">
        <v>-0.24465980000000001</v>
      </c>
      <c r="Z4570">
        <v>6.8345169999999997E-2</v>
      </c>
      <c r="AA4570">
        <v>0.96719719999999998</v>
      </c>
      <c r="AB4570">
        <v>22</v>
      </c>
      <c r="AC4570">
        <v>10.4636999999999</v>
      </c>
      <c r="AD4570">
        <v>-1.116568992555</v>
      </c>
      <c r="AE4570">
        <v>-4.5124500000000003</v>
      </c>
      <c r="AF4570">
        <v>-2.8413795497495302</v>
      </c>
      <c r="AG4570">
        <v>-1.116568992555</v>
      </c>
      <c r="AH4570">
        <v>10.9233597502727</v>
      </c>
      <c r="AI4570">
        <v>95.649685435127793</v>
      </c>
      <c r="AJ4570">
        <v>104.580632624795</v>
      </c>
      <c r="AK4570">
        <v>11.341955399962901</v>
      </c>
      <c r="AL4570">
        <v>86.369163269070398</v>
      </c>
      <c r="AM4570">
        <v>90.049741088725597</v>
      </c>
      <c r="AN4570">
        <v>0.99999998618330699</v>
      </c>
    </row>
    <row r="4571" spans="1:40" x14ac:dyDescent="0.25">
      <c r="A4571" t="str">
        <f>"20190312154651914"</f>
        <v>20190312154651914</v>
      </c>
      <c r="B4571" t="str">
        <f>"1552376811902724"</f>
        <v>1552376811902724</v>
      </c>
      <c r="C4571" t="s">
        <v>40</v>
      </c>
      <c r="D4571">
        <v>4.8360500000000002</v>
      </c>
      <c r="E4571">
        <v>0.40840769999999998</v>
      </c>
      <c r="F4571" t="s">
        <v>71</v>
      </c>
      <c r="G4571">
        <v>-401.63639999999998</v>
      </c>
      <c r="H4571" s="1">
        <v>-6.0877549999999998E-6</v>
      </c>
      <c r="I4571">
        <v>23.95298</v>
      </c>
      <c r="J4571">
        <v>-412.23219999999998</v>
      </c>
      <c r="K4571">
        <v>1.116533</v>
      </c>
      <c r="L4571">
        <v>28.39996</v>
      </c>
      <c r="M4571">
        <v>0.79514099999999999</v>
      </c>
      <c r="N4571">
        <v>0</v>
      </c>
      <c r="O4571">
        <v>-0.60624630000000002</v>
      </c>
      <c r="P4571">
        <v>0.79423080000000001</v>
      </c>
      <c r="Q4571">
        <v>4.8914359999999997E-2</v>
      </c>
      <c r="R4571">
        <v>-0.60564419999999897</v>
      </c>
      <c r="S4571">
        <v>2.8759160000000001</v>
      </c>
      <c r="T4571">
        <v>-0.29828290000000002</v>
      </c>
      <c r="U4571">
        <v>-1.2192689999999999</v>
      </c>
      <c r="V4571">
        <v>-9.2301739999999996E-4</v>
      </c>
      <c r="W4571">
        <v>6.3589859999999998E-2</v>
      </c>
      <c r="X4571">
        <v>0.99797570000000002</v>
      </c>
      <c r="Y4571">
        <v>-0.244477</v>
      </c>
      <c r="Z4571">
        <v>6.7127709999999993E-2</v>
      </c>
      <c r="AA4571">
        <v>0.96732870000000004</v>
      </c>
      <c r="AB4571">
        <v>22</v>
      </c>
      <c r="AC4571">
        <v>10.595799999999899</v>
      </c>
      <c r="AD4571">
        <v>-1.1165390877550001</v>
      </c>
      <c r="AE4571">
        <v>-4.4469799999999902</v>
      </c>
      <c r="AF4571">
        <v>-2.8609898831046898</v>
      </c>
      <c r="AG4571">
        <v>-1.1165390877550001</v>
      </c>
      <c r="AH4571">
        <v>11.0182982642743</v>
      </c>
      <c r="AI4571">
        <v>95.601792433231395</v>
      </c>
      <c r="AJ4571">
        <v>104.555863156537</v>
      </c>
      <c r="AK4571">
        <v>11.4383049131514</v>
      </c>
      <c r="AL4571">
        <v>86.354109487863994</v>
      </c>
      <c r="AM4571">
        <v>90.052992258586499</v>
      </c>
      <c r="AN4571">
        <v>1.00000001002321</v>
      </c>
    </row>
    <row r="4572" spans="1:40" x14ac:dyDescent="0.25">
      <c r="A4572" t="str">
        <f>"20190312154651926"</f>
        <v>20190312154651926</v>
      </c>
      <c r="B4572" t="str">
        <f>"1552376811922751"</f>
        <v>1552376811922751</v>
      </c>
      <c r="C4572" t="s">
        <v>40</v>
      </c>
      <c r="D4572">
        <v>4.8146079999999998</v>
      </c>
      <c r="E4572">
        <v>0.40924179999999999</v>
      </c>
      <c r="F4572" t="s">
        <v>42</v>
      </c>
      <c r="G4572">
        <v>-394.55099999999999</v>
      </c>
      <c r="H4572" s="1">
        <v>-2.8757529999999998E-6</v>
      </c>
      <c r="I4572">
        <v>20.817139999999998</v>
      </c>
      <c r="J4572">
        <v>-412.13440000000003</v>
      </c>
      <c r="K4572">
        <v>1.1165149999999999</v>
      </c>
      <c r="L4572">
        <v>28.333400000000001</v>
      </c>
      <c r="M4572">
        <v>0.79867699999999997</v>
      </c>
      <c r="N4572">
        <v>0</v>
      </c>
      <c r="O4572">
        <v>-0.60158040000000002</v>
      </c>
      <c r="P4572">
        <v>0.79767699999999997</v>
      </c>
      <c r="Q4572">
        <v>4.9079079999999997E-2</v>
      </c>
      <c r="R4572">
        <v>-0.60108430000000002</v>
      </c>
      <c r="S4572">
        <v>2.8547669999999998</v>
      </c>
      <c r="T4572">
        <v>-0.18027319999999999</v>
      </c>
      <c r="U4572">
        <v>-1.2243040000000001</v>
      </c>
      <c r="V4572">
        <v>-7.8976489999999996E-4</v>
      </c>
      <c r="W4572">
        <v>6.3751660000000002E-2</v>
      </c>
      <c r="X4572">
        <v>0.99796549999999995</v>
      </c>
      <c r="Y4572">
        <v>-0.23689279999999999</v>
      </c>
      <c r="Z4572">
        <v>4.0443979999999997E-2</v>
      </c>
      <c r="AA4572">
        <v>0.97069360000000005</v>
      </c>
      <c r="AB4572">
        <v>22</v>
      </c>
      <c r="AC4572">
        <v>17.583400000000001</v>
      </c>
      <c r="AD4572">
        <v>-1.1165178757530001</v>
      </c>
      <c r="AE4572">
        <v>-7.5162599999999999</v>
      </c>
      <c r="AF4572">
        <v>-4.5597145371029404</v>
      </c>
      <c r="AG4572">
        <v>-1.1165178757530001</v>
      </c>
      <c r="AH4572">
        <v>18.504015531410001</v>
      </c>
      <c r="AI4572">
        <v>93.352937554974702</v>
      </c>
      <c r="AJ4572">
        <v>103.842897096689</v>
      </c>
      <c r="AK4572">
        <v>19.0902121416554</v>
      </c>
      <c r="AL4572">
        <v>86.344820213594403</v>
      </c>
      <c r="AM4572">
        <v>90.045342435315803</v>
      </c>
      <c r="AN4572">
        <v>1.0000000185358</v>
      </c>
    </row>
    <row r="4573" spans="1:40" x14ac:dyDescent="0.25">
      <c r="A4573" t="str">
        <f>"20190312154651939"</f>
        <v>20190312154651939</v>
      </c>
      <c r="B4573" t="str">
        <f>"1552376811932510"</f>
        <v>1552376811932510</v>
      </c>
      <c r="C4573" t="s">
        <v>40</v>
      </c>
      <c r="D4573">
        <v>4.814476</v>
      </c>
      <c r="E4573">
        <v>0.41005789999999998</v>
      </c>
      <c r="F4573" t="s">
        <v>42</v>
      </c>
      <c r="G4573">
        <v>-396.86270000000002</v>
      </c>
      <c r="H4573" s="1">
        <v>-2.0604019999999998E-6</v>
      </c>
      <c r="I4573">
        <v>21.859670000000001</v>
      </c>
      <c r="J4573">
        <v>-412.0351</v>
      </c>
      <c r="K4573">
        <v>1.116495</v>
      </c>
      <c r="L4573">
        <v>28.266780000000001</v>
      </c>
      <c r="M4573">
        <v>0.80221779999999998</v>
      </c>
      <c r="N4573">
        <v>0</v>
      </c>
      <c r="O4573">
        <v>-0.59685059999999901</v>
      </c>
      <c r="P4573">
        <v>0.80117269999999996</v>
      </c>
      <c r="Q4573">
        <v>4.9445580000000003E-2</v>
      </c>
      <c r="R4573">
        <v>-0.596387</v>
      </c>
      <c r="S4573">
        <v>2.8601679999999998</v>
      </c>
      <c r="T4573">
        <v>-0.20910699999999999</v>
      </c>
      <c r="U4573">
        <v>-1.2124330000000001</v>
      </c>
      <c r="V4573">
        <v>-7.4596709999999997E-4</v>
      </c>
      <c r="W4573">
        <v>6.4113310000000007E-2</v>
      </c>
      <c r="X4573">
        <v>0.99794229999999995</v>
      </c>
      <c r="Y4573">
        <v>-0.23481850000000001</v>
      </c>
      <c r="Z4573">
        <v>4.6543309999999997E-2</v>
      </c>
      <c r="AA4573">
        <v>0.97092429999999996</v>
      </c>
      <c r="AB4573">
        <v>22</v>
      </c>
      <c r="AC4573">
        <v>15.1723999999999</v>
      </c>
      <c r="AD4573">
        <v>-1.1164970604019999</v>
      </c>
      <c r="AE4573">
        <v>-6.4071099999999896</v>
      </c>
      <c r="AF4573">
        <v>-3.8982664305459802</v>
      </c>
      <c r="AG4573">
        <v>-1.1164970604019999</v>
      </c>
      <c r="AH4573">
        <v>15.9242032508298</v>
      </c>
      <c r="AI4573">
        <v>93.895958486800396</v>
      </c>
      <c r="AJ4573">
        <v>103.75556281458201</v>
      </c>
      <c r="AK4573">
        <v>16.432385585274801</v>
      </c>
      <c r="AL4573">
        <v>86.324056478602103</v>
      </c>
      <c r="AM4573">
        <v>90.042828887526795</v>
      </c>
      <c r="AN4573">
        <v>0.99999995355767901</v>
      </c>
    </row>
    <row r="4574" spans="1:40" x14ac:dyDescent="0.25">
      <c r="A4574" t="str">
        <f>"20190312154651952"</f>
        <v>20190312154651952</v>
      </c>
      <c r="B4574" t="str">
        <f>"1552376811942270"</f>
        <v>1552376811942270</v>
      </c>
      <c r="C4574" t="s">
        <v>40</v>
      </c>
      <c r="D4574">
        <v>4.8600719999999997</v>
      </c>
      <c r="E4574">
        <v>0.4098656</v>
      </c>
      <c r="F4574" t="s">
        <v>42</v>
      </c>
      <c r="G4574">
        <v>-397.1841</v>
      </c>
      <c r="H4574" s="1">
        <v>-1.956667E-6</v>
      </c>
      <c r="I4574">
        <v>22.040839999999999</v>
      </c>
      <c r="J4574">
        <v>-411.93270000000001</v>
      </c>
      <c r="K4574">
        <v>1.1164769999999999</v>
      </c>
      <c r="L4574">
        <v>28.199100000000001</v>
      </c>
      <c r="M4574">
        <v>0.80581519999999995</v>
      </c>
      <c r="N4574">
        <v>0</v>
      </c>
      <c r="O4574">
        <v>-0.59198499999999998</v>
      </c>
      <c r="P4574">
        <v>0.80483549999999904</v>
      </c>
      <c r="Q4574">
        <v>4.953863E-2</v>
      </c>
      <c r="R4574">
        <v>-0.59142709999999998</v>
      </c>
      <c r="S4574">
        <v>2.8640439999999998</v>
      </c>
      <c r="T4574">
        <v>-0.21531839999999999</v>
      </c>
      <c r="U4574">
        <v>-1.2006840000000001</v>
      </c>
      <c r="V4574">
        <v>-8.6540300000000005E-4</v>
      </c>
      <c r="W4574">
        <v>6.4198969999999994E-2</v>
      </c>
      <c r="X4574">
        <v>0.99793670000000001</v>
      </c>
      <c r="Y4574">
        <v>-0.2327061</v>
      </c>
      <c r="Z4574">
        <v>4.7568579999999999E-2</v>
      </c>
      <c r="AA4574">
        <v>0.97138310000000005</v>
      </c>
      <c r="AB4574">
        <v>22</v>
      </c>
      <c r="AC4574">
        <v>14.7486</v>
      </c>
      <c r="AD4574">
        <v>-1.1164789566669999</v>
      </c>
      <c r="AE4574">
        <v>-6.1582600000000003</v>
      </c>
      <c r="AF4574">
        <v>-3.7506344252810502</v>
      </c>
      <c r="AG4574">
        <v>-1.1164789566669999</v>
      </c>
      <c r="AH4574">
        <v>15.4564934408633</v>
      </c>
      <c r="AI4574">
        <v>94.015378243927003</v>
      </c>
      <c r="AJ4574">
        <v>103.639618311045</v>
      </c>
      <c r="AK4574">
        <v>15.944183056532999</v>
      </c>
      <c r="AL4574">
        <v>86.319138402474294</v>
      </c>
      <c r="AM4574">
        <v>90.0496864450907</v>
      </c>
      <c r="AN4574">
        <v>0.99999995693915</v>
      </c>
    </row>
    <row r="4575" spans="1:40" x14ac:dyDescent="0.25">
      <c r="A4575" t="str">
        <f>"20190312154651963"</f>
        <v>20190312154651963</v>
      </c>
      <c r="B4575" t="str">
        <f>"1552376811952031"</f>
        <v>1552376811952031</v>
      </c>
      <c r="C4575" t="s">
        <v>40</v>
      </c>
      <c r="D4575">
        <v>4.8709610000000003</v>
      </c>
      <c r="E4575">
        <v>0.40933799999999998</v>
      </c>
      <c r="F4575" t="s">
        <v>42</v>
      </c>
      <c r="G4575">
        <v>-397.22629999999998</v>
      </c>
      <c r="H4575" s="1">
        <v>-1.9653859999999999E-6</v>
      </c>
      <c r="I4575">
        <v>22.14856</v>
      </c>
      <c r="J4575">
        <v>-411.83150000000001</v>
      </c>
      <c r="K4575">
        <v>1.116455</v>
      </c>
      <c r="L4575">
        <v>28.132660000000001</v>
      </c>
      <c r="M4575">
        <v>0.80933180000000005</v>
      </c>
      <c r="N4575">
        <v>0</v>
      </c>
      <c r="O4575">
        <v>-0.58716809999999997</v>
      </c>
      <c r="P4575">
        <v>0.80827859999999996</v>
      </c>
      <c r="Q4575">
        <v>4.966545E-2</v>
      </c>
      <c r="R4575">
        <v>-0.58670159999999905</v>
      </c>
      <c r="S4575">
        <v>2.8724669999999999</v>
      </c>
      <c r="T4575">
        <v>-0.21807099999999999</v>
      </c>
      <c r="U4575">
        <v>-1.1817930000000001</v>
      </c>
      <c r="V4575">
        <v>-7.5309569999999998E-4</v>
      </c>
      <c r="W4575">
        <v>6.4322199999999996E-2</v>
      </c>
      <c r="X4575">
        <v>0.99792890000000001</v>
      </c>
      <c r="Y4575">
        <v>-0.23333860000000001</v>
      </c>
      <c r="Z4575">
        <v>4.7877000000000003E-2</v>
      </c>
      <c r="AA4575">
        <v>0.97121619999999997</v>
      </c>
      <c r="AB4575">
        <v>22</v>
      </c>
      <c r="AC4575">
        <v>14.6052</v>
      </c>
      <c r="AD4575">
        <v>-1.1164569653859999</v>
      </c>
      <c r="AE4575">
        <v>-5.98409999999999</v>
      </c>
      <c r="AF4575">
        <v>-3.7144026807246302</v>
      </c>
      <c r="AG4575">
        <v>-1.1164569653859999</v>
      </c>
      <c r="AH4575">
        <v>15.2594287708748</v>
      </c>
      <c r="AI4575">
        <v>94.066274970808905</v>
      </c>
      <c r="AJ4575">
        <v>103.680700150326</v>
      </c>
      <c r="AK4575">
        <v>15.7446317785947</v>
      </c>
      <c r="AL4575">
        <v>86.312063382690496</v>
      </c>
      <c r="AM4575">
        <v>90.0432387487607</v>
      </c>
      <c r="AN4575">
        <v>1.0000000010105901</v>
      </c>
    </row>
    <row r="4576" spans="1:40" x14ac:dyDescent="0.25">
      <c r="A4576" t="str">
        <f>"20190312154651981"</f>
        <v>20190312154651981</v>
      </c>
      <c r="B4576" t="str">
        <f>"1552376811972529"</f>
        <v>1552376811972529</v>
      </c>
      <c r="C4576" t="s">
        <v>40</v>
      </c>
      <c r="D4576">
        <v>4.8543409999999998</v>
      </c>
      <c r="E4576">
        <v>0.40760380000000002</v>
      </c>
      <c r="F4576" t="s">
        <v>42</v>
      </c>
      <c r="G4576">
        <v>-397.58280000000002</v>
      </c>
      <c r="H4576" s="1">
        <v>-1.861528E-6</v>
      </c>
      <c r="I4576">
        <v>22.39152</v>
      </c>
      <c r="J4576">
        <v>-411.68970000000002</v>
      </c>
      <c r="K4576">
        <v>1.1164270000000001</v>
      </c>
      <c r="L4576">
        <v>28.041499999999999</v>
      </c>
      <c r="M4576">
        <v>0.81416290000000002</v>
      </c>
      <c r="N4576">
        <v>0</v>
      </c>
      <c r="O4576">
        <v>-0.5804511</v>
      </c>
      <c r="P4576">
        <v>0.81300099999999997</v>
      </c>
      <c r="Q4576">
        <v>4.9682030000000002E-2</v>
      </c>
      <c r="R4576">
        <v>-0.58013909999999902</v>
      </c>
      <c r="S4576">
        <v>2.8824459999999998</v>
      </c>
      <c r="T4576">
        <v>-0.22585440000000001</v>
      </c>
      <c r="U4576">
        <v>-1.1614070000000001</v>
      </c>
      <c r="V4576">
        <v>-5.6846589999999997E-4</v>
      </c>
      <c r="W4576">
        <v>6.4333139999999997E-2</v>
      </c>
      <c r="X4576">
        <v>0.99792829999999999</v>
      </c>
      <c r="Y4576">
        <v>-0.23226379999999999</v>
      </c>
      <c r="Z4576">
        <v>4.9076969999999998E-2</v>
      </c>
      <c r="AA4576">
        <v>0.97141390000000005</v>
      </c>
      <c r="AB4576">
        <v>22</v>
      </c>
      <c r="AC4576">
        <v>14.1068999999999</v>
      </c>
      <c r="AD4576">
        <v>-1.116428861528</v>
      </c>
      <c r="AE4576">
        <v>-5.6499799999999896</v>
      </c>
      <c r="AF4576">
        <v>-3.56948180422284</v>
      </c>
      <c r="AG4576">
        <v>-1.116428861528</v>
      </c>
      <c r="AH4576">
        <v>14.6871682940382</v>
      </c>
      <c r="AI4576">
        <v>94.2244117476112</v>
      </c>
      <c r="AJ4576">
        <v>103.65998955800301</v>
      </c>
      <c r="AK4576">
        <v>15.155874314962199</v>
      </c>
      <c r="AL4576">
        <v>86.311435203089303</v>
      </c>
      <c r="AM4576">
        <v>90.032638310131105</v>
      </c>
      <c r="AN4576">
        <v>0.99999998399831402</v>
      </c>
    </row>
    <row r="4577" spans="1:40" x14ac:dyDescent="0.25">
      <c r="A4577" t="str">
        <f>"20190312154652005"</f>
        <v>20190312154652005</v>
      </c>
      <c r="B4577" t="str">
        <f>"1552376812002783"</f>
        <v>1552376812002783</v>
      </c>
      <c r="C4577" t="s">
        <v>40</v>
      </c>
      <c r="D4577">
        <v>4.8910929999999997</v>
      </c>
      <c r="E4577">
        <v>0.40622019999999998</v>
      </c>
      <c r="F4577" t="s">
        <v>42</v>
      </c>
      <c r="G4577">
        <v>-398.43950000000001</v>
      </c>
      <c r="H4577" s="1">
        <v>-1.5915520000000001E-6</v>
      </c>
      <c r="I4577">
        <v>22.898859999999999</v>
      </c>
      <c r="J4577">
        <v>-411.49770000000001</v>
      </c>
      <c r="K4577">
        <v>1.1163860000000001</v>
      </c>
      <c r="L4577">
        <v>27.920470000000002</v>
      </c>
      <c r="M4577">
        <v>0.82056079999999998</v>
      </c>
      <c r="N4577">
        <v>0</v>
      </c>
      <c r="O4577">
        <v>-0.57137119999999997</v>
      </c>
      <c r="P4577">
        <v>0.81914339999999997</v>
      </c>
      <c r="Q4577">
        <v>4.9666290000000002E-2</v>
      </c>
      <c r="R4577">
        <v>-0.57143469999999996</v>
      </c>
      <c r="S4577">
        <v>2.901367</v>
      </c>
      <c r="T4577">
        <v>-0.24446080000000001</v>
      </c>
      <c r="U4577">
        <v>-1.1260680000000001</v>
      </c>
      <c r="V4577">
        <v>-1.19264E-4</v>
      </c>
      <c r="W4577">
        <v>6.4312679999999997E-2</v>
      </c>
      <c r="X4577">
        <v>0.99792979999999998</v>
      </c>
      <c r="Y4577">
        <v>-0.23360439999999999</v>
      </c>
      <c r="Z4577">
        <v>5.2419930000000003E-2</v>
      </c>
      <c r="AA4577">
        <v>0.97091769999999999</v>
      </c>
      <c r="AB4577">
        <v>22</v>
      </c>
      <c r="AC4577">
        <v>13.058199999999999</v>
      </c>
      <c r="AD4577">
        <v>-1.1163875915520001</v>
      </c>
      <c r="AE4577">
        <v>-5.0216099999999999</v>
      </c>
      <c r="AF4577">
        <v>-3.3197636940492798</v>
      </c>
      <c r="AG4577">
        <v>-1.1163875915520001</v>
      </c>
      <c r="AH4577">
        <v>13.499751400598001</v>
      </c>
      <c r="AI4577">
        <v>94.591251223208005</v>
      </c>
      <c r="AJ4577">
        <v>103.81563645212699</v>
      </c>
      <c r="AK4577">
        <v>13.9466999722819</v>
      </c>
      <c r="AL4577">
        <v>86.312610004823696</v>
      </c>
      <c r="AM4577">
        <v>90.006847499508794</v>
      </c>
      <c r="AN4577">
        <v>1.0000000103803599</v>
      </c>
    </row>
    <row r="4578" spans="1:40" x14ac:dyDescent="0.25">
      <c r="A4578" t="str">
        <f>"20190312154652018"</f>
        <v>20190312154652018</v>
      </c>
      <c r="B4578" t="str">
        <f>"1552376812012543"</f>
        <v>1552376812012543</v>
      </c>
      <c r="C4578" t="s">
        <v>40</v>
      </c>
      <c r="D4578">
        <v>4.8746400000000003</v>
      </c>
      <c r="E4578">
        <v>0.406055</v>
      </c>
      <c r="F4578" t="s">
        <v>42</v>
      </c>
      <c r="G4578">
        <v>-399.1669</v>
      </c>
      <c r="H4578" s="1">
        <v>-1.3649939999999999E-6</v>
      </c>
      <c r="I4578">
        <v>23.339739999999999</v>
      </c>
      <c r="J4578">
        <v>-411.38799999999998</v>
      </c>
      <c r="K4578">
        <v>1.1163559999999999</v>
      </c>
      <c r="L4578">
        <v>27.852779999999999</v>
      </c>
      <c r="M4578">
        <v>0.82413409999999998</v>
      </c>
      <c r="N4578">
        <v>0</v>
      </c>
      <c r="O4578">
        <v>-0.56620530000000002</v>
      </c>
      <c r="P4578">
        <v>0.82275169999999997</v>
      </c>
      <c r="Q4578">
        <v>4.9979330000000002E-2</v>
      </c>
      <c r="R4578">
        <v>-0.56619949999999997</v>
      </c>
      <c r="S4578">
        <v>2.9213260000000001</v>
      </c>
      <c r="T4578">
        <v>-0.26448709999999997</v>
      </c>
      <c r="U4578">
        <v>-1.0852360000000001</v>
      </c>
      <c r="V4578">
        <v>-2.030096E-4</v>
      </c>
      <c r="W4578">
        <v>6.4617240000000006E-2</v>
      </c>
      <c r="X4578">
        <v>0.99791010000000002</v>
      </c>
      <c r="Y4578">
        <v>-0.2412281</v>
      </c>
      <c r="Z4578">
        <v>5.6497659999999998E-2</v>
      </c>
      <c r="AA4578">
        <v>0.96882250000000003</v>
      </c>
      <c r="AB4578">
        <v>22</v>
      </c>
      <c r="AC4578">
        <v>12.2211</v>
      </c>
      <c r="AD4578">
        <v>-1.116357364994</v>
      </c>
      <c r="AE4578">
        <v>-4.5130400000000002</v>
      </c>
      <c r="AF4578">
        <v>-3.1773141630269799</v>
      </c>
      <c r="AG4578">
        <v>-1.116357364994</v>
      </c>
      <c r="AH4578">
        <v>12.5364336777675</v>
      </c>
      <c r="AI4578">
        <v>94.933531315604796</v>
      </c>
      <c r="AJ4578">
        <v>104.22194163354401</v>
      </c>
      <c r="AK4578">
        <v>12.9808993684572</v>
      </c>
      <c r="AL4578">
        <v>86.295123585347199</v>
      </c>
      <c r="AM4578">
        <v>90.011655952896106</v>
      </c>
      <c r="AN4578">
        <v>0.99999999830006203</v>
      </c>
    </row>
    <row r="4579" spans="1:40" x14ac:dyDescent="0.25">
      <c r="A4579" t="str">
        <f>"20190312154652031"</f>
        <v>20190312154652031</v>
      </c>
      <c r="B4579" t="str">
        <f>"1552376812022809"</f>
        <v>1552376812022809</v>
      </c>
      <c r="C4579" t="s">
        <v>40</v>
      </c>
      <c r="D4579">
        <v>4.8756740000000001</v>
      </c>
      <c r="E4579">
        <v>0.40596189999999999</v>
      </c>
      <c r="F4579" t="s">
        <v>42</v>
      </c>
      <c r="G4579">
        <v>-399.15019999999998</v>
      </c>
      <c r="H4579" s="1">
        <v>-1.3893110000000001E-6</v>
      </c>
      <c r="I4579">
        <v>23.401450000000001</v>
      </c>
      <c r="J4579">
        <v>-411.2851</v>
      </c>
      <c r="K4579">
        <v>1.116331</v>
      </c>
      <c r="L4579">
        <v>27.79007</v>
      </c>
      <c r="M4579">
        <v>0.82743860000000002</v>
      </c>
      <c r="N4579">
        <v>0</v>
      </c>
      <c r="O4579">
        <v>-0.561365</v>
      </c>
      <c r="P4579">
        <v>0.82588510000000004</v>
      </c>
      <c r="Q4579">
        <v>5.0127360000000003E-2</v>
      </c>
      <c r="R4579">
        <v>-0.56160589999999999</v>
      </c>
      <c r="S4579">
        <v>2.9292910000000001</v>
      </c>
      <c r="T4579">
        <v>-0.2672158</v>
      </c>
      <c r="U4579">
        <v>-1.065491</v>
      </c>
      <c r="V4579" s="1">
        <v>9.2114320000000001E-5</v>
      </c>
      <c r="W4579">
        <v>6.4762829999999993E-2</v>
      </c>
      <c r="X4579">
        <v>0.99790069999999997</v>
      </c>
      <c r="Y4579">
        <v>-0.24211769999999999</v>
      </c>
      <c r="Z4579">
        <v>5.6719949999999998E-2</v>
      </c>
      <c r="AA4579">
        <v>0.96858759999999999</v>
      </c>
      <c r="AB4579">
        <v>22</v>
      </c>
      <c r="AC4579">
        <v>12.1349</v>
      </c>
      <c r="AD4579">
        <v>-1.116332389311</v>
      </c>
      <c r="AE4579">
        <v>-4.3886200000000004</v>
      </c>
      <c r="AF4579">
        <v>-3.15750540864201</v>
      </c>
      <c r="AG4579">
        <v>-1.116332389311</v>
      </c>
      <c r="AH4579">
        <v>12.4129468698609</v>
      </c>
      <c r="AI4579">
        <v>94.981160191765696</v>
      </c>
      <c r="AJ4579">
        <v>104.271758793486</v>
      </c>
      <c r="AK4579">
        <v>12.856799306321101</v>
      </c>
      <c r="AL4579">
        <v>86.286764463775896</v>
      </c>
      <c r="AM4579">
        <v>89.994711135332594</v>
      </c>
      <c r="AN4579">
        <v>1.00000001984757</v>
      </c>
    </row>
    <row r="4580" spans="1:40" x14ac:dyDescent="0.25">
      <c r="A4580" t="str">
        <f>"20190312154652050"</f>
        <v>20190312154652050</v>
      </c>
      <c r="B4580" t="str">
        <f>"1552376812042328"</f>
        <v>1552376812042328</v>
      </c>
      <c r="C4580" t="s">
        <v>40</v>
      </c>
      <c r="D4580">
        <v>4.84274</v>
      </c>
      <c r="E4580">
        <v>0.40561920000000001</v>
      </c>
      <c r="F4580" t="s">
        <v>42</v>
      </c>
      <c r="G4580">
        <v>-399.18279999999999</v>
      </c>
      <c r="H4580" s="1">
        <v>-1.3914520000000001E-6</v>
      </c>
      <c r="I4580">
        <v>23.46743</v>
      </c>
      <c r="J4580">
        <v>-411.13319999999999</v>
      </c>
      <c r="K4580">
        <v>1.116293</v>
      </c>
      <c r="L4580">
        <v>27.698820000000001</v>
      </c>
      <c r="M4580">
        <v>0.83223579999999997</v>
      </c>
      <c r="N4580">
        <v>0</v>
      </c>
      <c r="O4580">
        <v>-0.55422859999999996</v>
      </c>
      <c r="P4580">
        <v>0.83066090000000004</v>
      </c>
      <c r="Q4580">
        <v>5.0413630000000001E-2</v>
      </c>
      <c r="R4580">
        <v>-0.55449190000000004</v>
      </c>
      <c r="S4580">
        <v>2.9358520000000001</v>
      </c>
      <c r="T4580">
        <v>-0.27080710000000002</v>
      </c>
      <c r="U4580">
        <v>-1.0486150000000001</v>
      </c>
      <c r="V4580">
        <v>1.147711E-4</v>
      </c>
      <c r="W4580">
        <v>6.5039780000000005E-2</v>
      </c>
      <c r="X4580">
        <v>0.99788270000000001</v>
      </c>
      <c r="Y4580">
        <v>-0.23936199999999999</v>
      </c>
      <c r="Z4580">
        <v>5.6799780000000001E-2</v>
      </c>
      <c r="AA4580">
        <v>0.96926749999999995</v>
      </c>
      <c r="AB4580">
        <v>22</v>
      </c>
      <c r="AC4580">
        <v>11.9504</v>
      </c>
      <c r="AD4580">
        <v>-1.116294391452</v>
      </c>
      <c r="AE4580">
        <v>-4.2313900000000002</v>
      </c>
      <c r="AF4580">
        <v>-3.0782047340849701</v>
      </c>
      <c r="AG4580">
        <v>-1.116294391452</v>
      </c>
      <c r="AH4580">
        <v>12.1974521570848</v>
      </c>
      <c r="AI4580">
        <v>95.070947506678394</v>
      </c>
      <c r="AJ4580">
        <v>104.163682677921</v>
      </c>
      <c r="AK4580">
        <v>12.629303095488</v>
      </c>
      <c r="AL4580">
        <v>86.270862927316799</v>
      </c>
      <c r="AM4580">
        <v>89.993410147694604</v>
      </c>
      <c r="AN4580">
        <v>1.0000000345570701</v>
      </c>
    </row>
    <row r="4581" spans="1:40" x14ac:dyDescent="0.25">
      <c r="A4581" t="str">
        <f>"20190312154652072"</f>
        <v>20190312154652072</v>
      </c>
      <c r="B4581" t="str">
        <f>"1552376812062824"</f>
        <v>1552376812062824</v>
      </c>
      <c r="C4581" t="s">
        <v>40</v>
      </c>
      <c r="D4581">
        <v>4.8613330000000001</v>
      </c>
      <c r="E4581">
        <v>0.40550629999999999</v>
      </c>
      <c r="F4581" t="s">
        <v>42</v>
      </c>
      <c r="G4581">
        <v>-399.08690000000001</v>
      </c>
      <c r="H4581" s="1">
        <v>-1.4519889999999999E-6</v>
      </c>
      <c r="I4581">
        <v>23.524519999999999</v>
      </c>
      <c r="J4581">
        <v>-410.947</v>
      </c>
      <c r="K4581">
        <v>1.116247</v>
      </c>
      <c r="L4581">
        <v>27.589479999999998</v>
      </c>
      <c r="M4581">
        <v>0.83796789999999999</v>
      </c>
      <c r="N4581">
        <v>0</v>
      </c>
      <c r="O4581">
        <v>-0.5455236</v>
      </c>
      <c r="P4581">
        <v>0.83624330000000002</v>
      </c>
      <c r="Q4581">
        <v>5.0679420000000003E-2</v>
      </c>
      <c r="R4581">
        <v>-0.54601189999999999</v>
      </c>
      <c r="S4581">
        <v>2.9465940000000002</v>
      </c>
      <c r="T4581">
        <v>-0.27305210000000002</v>
      </c>
      <c r="U4581">
        <v>-1.0210570000000001</v>
      </c>
      <c r="V4581">
        <v>3.7654790000000001E-4</v>
      </c>
      <c r="W4581">
        <v>6.529625E-2</v>
      </c>
      <c r="X4581">
        <v>0.99786589999999997</v>
      </c>
      <c r="Y4581">
        <v>-0.23842389999999999</v>
      </c>
      <c r="Z4581">
        <v>5.6515820000000001E-2</v>
      </c>
      <c r="AA4581">
        <v>0.96951529999999997</v>
      </c>
      <c r="AB4581">
        <v>22</v>
      </c>
      <c r="AC4581">
        <v>11.8600999999999</v>
      </c>
      <c r="AD4581">
        <v>-1.1162484519889999</v>
      </c>
      <c r="AE4581">
        <v>-4.0649599999999904</v>
      </c>
      <c r="AF4581">
        <v>-3.03988884772297</v>
      </c>
      <c r="AG4581">
        <v>-1.1162484519889999</v>
      </c>
      <c r="AH4581">
        <v>12.061602199475301</v>
      </c>
      <c r="AI4581">
        <v>95.1279532360644</v>
      </c>
      <c r="AJ4581">
        <v>104.145674210472</v>
      </c>
      <c r="AK4581">
        <v>12.488762245773801</v>
      </c>
      <c r="AL4581">
        <v>86.256137027559006</v>
      </c>
      <c r="AM4581">
        <v>89.978379254737007</v>
      </c>
      <c r="AN4581">
        <v>1.0000000482175899</v>
      </c>
    </row>
    <row r="4582" spans="1:40" x14ac:dyDescent="0.25">
      <c r="A4582" t="str">
        <f>"20190312154652095"</f>
        <v>20190312154652095</v>
      </c>
      <c r="B4582" t="str">
        <f>"1552376812082345"</f>
        <v>1552376812082345</v>
      </c>
      <c r="C4582" t="s">
        <v>40</v>
      </c>
      <c r="D4582">
        <v>4.9807410000000001</v>
      </c>
      <c r="E4582">
        <v>0.405611</v>
      </c>
      <c r="F4582" t="s">
        <v>42</v>
      </c>
      <c r="G4582">
        <v>-398.79930000000002</v>
      </c>
      <c r="H4582" s="1">
        <v>-1.586929E-6</v>
      </c>
      <c r="I4582">
        <v>23.520659999999999</v>
      </c>
      <c r="J4582">
        <v>-410.76119999999997</v>
      </c>
      <c r="K4582">
        <v>1.1161939999999999</v>
      </c>
      <c r="L4582">
        <v>27.482790000000001</v>
      </c>
      <c r="M4582">
        <v>0.84354099999999999</v>
      </c>
      <c r="N4582">
        <v>0</v>
      </c>
      <c r="O4582">
        <v>-0.53686610000000001</v>
      </c>
      <c r="P4582">
        <v>0.84181430000000002</v>
      </c>
      <c r="Q4582">
        <v>5.0645750000000003E-2</v>
      </c>
      <c r="R4582">
        <v>-0.53738649999999999</v>
      </c>
      <c r="S4582">
        <v>2.9572449999999999</v>
      </c>
      <c r="T4582">
        <v>-0.27173849999999999</v>
      </c>
      <c r="U4582">
        <v>-0.99050899999999997</v>
      </c>
      <c r="V4582">
        <v>4.0136950000000001E-4</v>
      </c>
      <c r="W4582">
        <v>6.5250089999999997E-2</v>
      </c>
      <c r="X4582">
        <v>0.9978688</v>
      </c>
      <c r="Y4582">
        <v>-0.2385399</v>
      </c>
      <c r="Z4582">
        <v>5.5552369999999997E-2</v>
      </c>
      <c r="AA4582">
        <v>0.96954249999999997</v>
      </c>
      <c r="AB4582">
        <v>22</v>
      </c>
      <c r="AC4582">
        <v>11.961899999999901</v>
      </c>
      <c r="AD4582">
        <v>-1.1161955869289999</v>
      </c>
      <c r="AE4582">
        <v>-3.9621300000000002</v>
      </c>
      <c r="AF4582">
        <v>-3.0560690164476298</v>
      </c>
      <c r="AG4582">
        <v>-1.1161955869289999</v>
      </c>
      <c r="AH4582">
        <v>12.123663067109</v>
      </c>
      <c r="AI4582">
        <v>95.101548389893296</v>
      </c>
      <c r="AJ4582">
        <v>104.14806911701901</v>
      </c>
      <c r="AK4582">
        <v>12.5526354438562</v>
      </c>
      <c r="AL4582">
        <v>86.258787042429205</v>
      </c>
      <c r="AM4582">
        <v>89.976954107458695</v>
      </c>
      <c r="AN4582">
        <v>0.99999993867796</v>
      </c>
    </row>
    <row r="4583" spans="1:40" x14ac:dyDescent="0.25">
      <c r="A4583" t="str">
        <f>"20190312154652115"</f>
        <v>20190312154652115</v>
      </c>
      <c r="B4583" t="str">
        <f>"1552376812102841"</f>
        <v>1552376812102841</v>
      </c>
      <c r="C4583" t="s">
        <v>40</v>
      </c>
      <c r="D4583">
        <v>4.8887839999999896</v>
      </c>
      <c r="E4583">
        <v>0.40577920000000001</v>
      </c>
      <c r="F4583" t="s">
        <v>42</v>
      </c>
      <c r="G4583">
        <v>-398.77910000000003</v>
      </c>
      <c r="H4583" s="1">
        <v>-1.6185499999999999E-6</v>
      </c>
      <c r="I4583">
        <v>23.603729999999999</v>
      </c>
      <c r="J4583">
        <v>-410.58690000000001</v>
      </c>
      <c r="K4583">
        <v>1.1161540000000001</v>
      </c>
      <c r="L4583">
        <v>27.38495</v>
      </c>
      <c r="M4583">
        <v>0.84863049999999995</v>
      </c>
      <c r="N4583">
        <v>0</v>
      </c>
      <c r="O4583">
        <v>-0.52878480000000005</v>
      </c>
      <c r="P4583">
        <v>0.84660569999999902</v>
      </c>
      <c r="Q4583">
        <v>5.112187E-2</v>
      </c>
      <c r="R4583">
        <v>-0.52976020000000001</v>
      </c>
      <c r="S4583">
        <v>2.9672239999999999</v>
      </c>
      <c r="T4583">
        <v>-0.27641199999999999</v>
      </c>
      <c r="U4583">
        <v>-0.96060179999999995</v>
      </c>
      <c r="V4583">
        <v>9.3503100000000001E-4</v>
      </c>
      <c r="W4583">
        <v>6.5721150000000006E-2</v>
      </c>
      <c r="X4583">
        <v>0.99783759999999999</v>
      </c>
      <c r="Y4583">
        <v>-0.2390041</v>
      </c>
      <c r="Z4583">
        <v>5.5860119999999999E-2</v>
      </c>
      <c r="AA4583">
        <v>0.96941049999999995</v>
      </c>
      <c r="AB4583">
        <v>22</v>
      </c>
      <c r="AC4583">
        <v>11.807799999999901</v>
      </c>
      <c r="AD4583">
        <v>-1.1161556185499999</v>
      </c>
      <c r="AE4583">
        <v>-3.7812199999999998</v>
      </c>
      <c r="AF4583">
        <v>-3.01084893074069</v>
      </c>
      <c r="AG4583">
        <v>-1.1161556185499999</v>
      </c>
      <c r="AH4583">
        <v>11.9245508301877</v>
      </c>
      <c r="AI4583">
        <v>95.185576951906995</v>
      </c>
      <c r="AJ4583">
        <v>104.170525179043</v>
      </c>
      <c r="AK4583">
        <v>12.3493290161973</v>
      </c>
      <c r="AL4583">
        <v>86.231739501643702</v>
      </c>
      <c r="AM4583">
        <v>89.946310587681296</v>
      </c>
      <c r="AN4583">
        <v>1.0000000099070201</v>
      </c>
    </row>
    <row r="4584" spans="1:40" x14ac:dyDescent="0.25">
      <c r="A4584" t="str">
        <f>"20190312154652128"</f>
        <v>20190312154652128</v>
      </c>
      <c r="B4584" t="str">
        <f>"1552376812122868"</f>
        <v>1552376812122868</v>
      </c>
      <c r="C4584" t="s">
        <v>40</v>
      </c>
      <c r="D4584">
        <v>4.9185939999999997</v>
      </c>
      <c r="E4584">
        <v>0.40586840000000002</v>
      </c>
      <c r="F4584" t="s">
        <v>42</v>
      </c>
      <c r="G4584">
        <v>-398.41899999999998</v>
      </c>
      <c r="H4584" s="1">
        <v>-1.777457E-6</v>
      </c>
      <c r="I4584">
        <v>23.56127</v>
      </c>
      <c r="J4584">
        <v>-410.47739999999999</v>
      </c>
      <c r="K4584">
        <v>1.1161219999999901</v>
      </c>
      <c r="L4584">
        <v>27.324490000000001</v>
      </c>
      <c r="M4584">
        <v>0.85176359999999995</v>
      </c>
      <c r="N4584">
        <v>0</v>
      </c>
      <c r="O4584">
        <v>-0.5237231</v>
      </c>
      <c r="P4584">
        <v>0.84960429999999998</v>
      </c>
      <c r="Q4584">
        <v>5.1678799999999997E-2</v>
      </c>
      <c r="R4584">
        <v>-0.52488259999999998</v>
      </c>
      <c r="S4584">
        <v>2.975006</v>
      </c>
      <c r="T4584">
        <v>-0.27289590000000002</v>
      </c>
      <c r="U4584">
        <v>-0.93487549999999997</v>
      </c>
      <c r="V4584">
        <v>1.1524510000000001E-3</v>
      </c>
      <c r="W4584">
        <v>6.6272109999999995E-2</v>
      </c>
      <c r="X4584">
        <v>0.99780089999999999</v>
      </c>
      <c r="Y4584">
        <v>-0.2416558</v>
      </c>
      <c r="Z4584">
        <v>5.4854890000000003E-2</v>
      </c>
      <c r="AA4584">
        <v>0.96881030000000001</v>
      </c>
      <c r="AB4584">
        <v>22</v>
      </c>
      <c r="AC4584">
        <v>12.058399999999899</v>
      </c>
      <c r="AD4584">
        <v>-1.1161237774570001</v>
      </c>
      <c r="AE4584">
        <v>-3.76322</v>
      </c>
      <c r="AF4584">
        <v>-3.0861266157629701</v>
      </c>
      <c r="AG4584">
        <v>-1.1161237774570001</v>
      </c>
      <c r="AH4584">
        <v>12.1482537286421</v>
      </c>
      <c r="AI4584">
        <v>95.088585398013606</v>
      </c>
      <c r="AJ4584">
        <v>104.25382446897</v>
      </c>
      <c r="AK4584">
        <v>12.583718783833101</v>
      </c>
      <c r="AL4584">
        <v>86.200102726087593</v>
      </c>
      <c r="AM4584">
        <v>89.933823923155401</v>
      </c>
      <c r="AN4584">
        <v>0.99999997837398402</v>
      </c>
    </row>
    <row r="4585" spans="1:40" x14ac:dyDescent="0.25">
      <c r="A4585" t="str">
        <f>"20190312154652140"</f>
        <v>20190312154652140</v>
      </c>
      <c r="B4585" t="str">
        <f>"1552376812132629"</f>
        <v>1552376812132629</v>
      </c>
      <c r="C4585" t="s">
        <v>40</v>
      </c>
      <c r="D4585">
        <v>4.9043070000000002</v>
      </c>
      <c r="E4585">
        <v>0.4060298</v>
      </c>
      <c r="F4585" t="s">
        <v>42</v>
      </c>
      <c r="G4585">
        <v>-398.05459999999999</v>
      </c>
      <c r="H4585" s="1">
        <v>-1.9319300000000001E-6</v>
      </c>
      <c r="I4585">
        <v>23.494389999999999</v>
      </c>
      <c r="J4585">
        <v>-410.3716</v>
      </c>
      <c r="K4585">
        <v>1.1160939999999999</v>
      </c>
      <c r="L4585">
        <v>27.266850000000002</v>
      </c>
      <c r="M4585">
        <v>0.85473869999999896</v>
      </c>
      <c r="N4585">
        <v>0</v>
      </c>
      <c r="O4585">
        <v>-0.51885369999999997</v>
      </c>
      <c r="P4585">
        <v>0.85256330000000002</v>
      </c>
      <c r="Q4585">
        <v>5.1812030000000002E-2</v>
      </c>
      <c r="R4585">
        <v>-0.5200496</v>
      </c>
      <c r="S4585">
        <v>2.9797669999999998</v>
      </c>
      <c r="T4585">
        <v>-0.26771719999999999</v>
      </c>
      <c r="U4585">
        <v>-0.9187012</v>
      </c>
      <c r="V4585">
        <v>1.188637E-3</v>
      </c>
      <c r="W4585">
        <v>6.6397250000000005E-2</v>
      </c>
      <c r="X4585">
        <v>0.99779249999999997</v>
      </c>
      <c r="Y4585">
        <v>-0.24147389999999999</v>
      </c>
      <c r="Z4585">
        <v>5.3430520000000002E-2</v>
      </c>
      <c r="AA4585">
        <v>0.96893530000000005</v>
      </c>
      <c r="AB4585">
        <v>22</v>
      </c>
      <c r="AC4585">
        <v>12.317</v>
      </c>
      <c r="AD4585">
        <v>-1.1160959319299999</v>
      </c>
      <c r="AE4585">
        <v>-3.7724600000000001</v>
      </c>
      <c r="AF4585">
        <v>-3.1429963847857501</v>
      </c>
      <c r="AG4585">
        <v>-1.1160959319299999</v>
      </c>
      <c r="AH4585">
        <v>12.3934640662647</v>
      </c>
      <c r="AI4585">
        <v>94.988812588672701</v>
      </c>
      <c r="AJ4585">
        <v>104.230270374594</v>
      </c>
      <c r="AK4585">
        <v>12.834408750146601</v>
      </c>
      <c r="AL4585">
        <v>86.192916759868098</v>
      </c>
      <c r="AM4585">
        <v>89.931745476882895</v>
      </c>
      <c r="AN4585">
        <v>0.99999994036086304</v>
      </c>
    </row>
    <row r="4586" spans="1:40" x14ac:dyDescent="0.25">
      <c r="A4586" t="str">
        <f>"20190312154652154"</f>
        <v>20190312154652154</v>
      </c>
      <c r="B4586" t="str">
        <f>"1552376812142388"</f>
        <v>1552376812142388</v>
      </c>
      <c r="C4586" t="s">
        <v>40</v>
      </c>
      <c r="D4586">
        <v>4.9004919999999998</v>
      </c>
      <c r="E4586">
        <v>0.40618480000000001</v>
      </c>
      <c r="F4586" t="s">
        <v>42</v>
      </c>
      <c r="G4586">
        <v>-397.87169999999998</v>
      </c>
      <c r="H4586" s="1">
        <v>-2.0155649999999999E-6</v>
      </c>
      <c r="I4586">
        <v>23.483750000000001</v>
      </c>
      <c r="J4586">
        <v>-410.26519999999999</v>
      </c>
      <c r="K4586">
        <v>1.1160570000000001</v>
      </c>
      <c r="L4586">
        <v>27.209869999999999</v>
      </c>
      <c r="M4586">
        <v>0.85767389999999999</v>
      </c>
      <c r="N4586">
        <v>0</v>
      </c>
      <c r="O4586">
        <v>-0.51398750000000004</v>
      </c>
      <c r="P4586">
        <v>0.85544259999999905</v>
      </c>
      <c r="Q4586">
        <v>5.2550840000000001E-2</v>
      </c>
      <c r="R4586">
        <v>-0.51522449999999997</v>
      </c>
      <c r="S4586">
        <v>2.9841000000000002</v>
      </c>
      <c r="T4586">
        <v>-0.26644519999999999</v>
      </c>
      <c r="U4586">
        <v>-0.90313719999999997</v>
      </c>
      <c r="V4586">
        <v>1.2409840000000001E-3</v>
      </c>
      <c r="W4586">
        <v>6.712709E-2</v>
      </c>
      <c r="X4586">
        <v>0.99774370000000001</v>
      </c>
      <c r="Y4586">
        <v>-0.2410206</v>
      </c>
      <c r="Z4586">
        <v>5.2783330000000003E-2</v>
      </c>
      <c r="AA4586">
        <v>0.96908360000000004</v>
      </c>
      <c r="AB4586">
        <v>22</v>
      </c>
      <c r="AC4586">
        <v>12.3935</v>
      </c>
      <c r="AD4586">
        <v>-1.1160590155650001</v>
      </c>
      <c r="AE4586">
        <v>-3.7261199999999999</v>
      </c>
      <c r="AF4586">
        <v>-3.1512093810664998</v>
      </c>
      <c r="AG4586">
        <v>-1.1160590155650001</v>
      </c>
      <c r="AH4586">
        <v>12.453474782630799</v>
      </c>
      <c r="AI4586">
        <v>94.965391149386704</v>
      </c>
      <c r="AJ4586">
        <v>104.199981878098</v>
      </c>
      <c r="AK4586">
        <v>12.894368633289799</v>
      </c>
      <c r="AL4586">
        <v>86.151006878029804</v>
      </c>
      <c r="AM4586">
        <v>89.928736098281107</v>
      </c>
      <c r="AN4586">
        <v>1.0000000385714201</v>
      </c>
    </row>
    <row r="4587" spans="1:40" x14ac:dyDescent="0.25">
      <c r="A4587" t="str">
        <f>"20190312154652173"</f>
        <v>20190312154652173</v>
      </c>
      <c r="B4587" t="str">
        <f>"1552376812162884"</f>
        <v>1552376812162884</v>
      </c>
      <c r="C4587" t="s">
        <v>40</v>
      </c>
      <c r="D4587">
        <v>4.9492059999999896</v>
      </c>
      <c r="E4587">
        <v>0.4065358</v>
      </c>
      <c r="F4587" t="s">
        <v>42</v>
      </c>
      <c r="G4587">
        <v>-397.58859999999999</v>
      </c>
      <c r="H4587" s="1">
        <v>-2.138847E-6</v>
      </c>
      <c r="I4587">
        <v>23.444199999999999</v>
      </c>
      <c r="J4587">
        <v>-410.10079999999999</v>
      </c>
      <c r="K4587">
        <v>1.1159969999999999</v>
      </c>
      <c r="L4587">
        <v>27.12302</v>
      </c>
      <c r="M4587">
        <v>0.86211879999999996</v>
      </c>
      <c r="N4587">
        <v>0</v>
      </c>
      <c r="O4587">
        <v>-0.50649679999999997</v>
      </c>
      <c r="P4587">
        <v>0.85981960000000002</v>
      </c>
      <c r="Q4587">
        <v>5.2941929999999998E-2</v>
      </c>
      <c r="R4587">
        <v>-0.50784589999999996</v>
      </c>
      <c r="S4587">
        <v>2.9884029999999999</v>
      </c>
      <c r="T4587">
        <v>-0.2631018</v>
      </c>
      <c r="U4587">
        <v>-0.88772580000000001</v>
      </c>
      <c r="V4587">
        <v>1.365706E-3</v>
      </c>
      <c r="W4587">
        <v>6.7504350000000005E-2</v>
      </c>
      <c r="X4587">
        <v>0.99771799999999999</v>
      </c>
      <c r="Y4587">
        <v>-0.23763690000000001</v>
      </c>
      <c r="Z4587">
        <v>5.1415820000000001E-2</v>
      </c>
      <c r="AA4587">
        <v>0.96999230000000003</v>
      </c>
      <c r="AB4587">
        <v>22</v>
      </c>
      <c r="AC4587">
        <v>12.5122</v>
      </c>
      <c r="AD4587">
        <v>-1.1159991388470001</v>
      </c>
      <c r="AE4587">
        <v>-3.67882</v>
      </c>
      <c r="AF4587">
        <v>-3.1431300993136002</v>
      </c>
      <c r="AG4587">
        <v>-1.1159991388470001</v>
      </c>
      <c r="AH4587">
        <v>12.559688881707</v>
      </c>
      <c r="AI4587">
        <v>94.926572455262999</v>
      </c>
      <c r="AJ4587">
        <v>104.050015774071</v>
      </c>
      <c r="AK4587">
        <v>12.995018495731101</v>
      </c>
      <c r="AL4587">
        <v>86.129342007721306</v>
      </c>
      <c r="AM4587">
        <v>89.921571886059894</v>
      </c>
      <c r="AN4587">
        <v>0.99999995497289895</v>
      </c>
    </row>
    <row r="4588" spans="1:40" x14ac:dyDescent="0.25">
      <c r="A4588" t="str">
        <f>"20190312154652194"</f>
        <v>20190312154652194</v>
      </c>
      <c r="B4588" t="str">
        <f>"1552376812182405"</f>
        <v>1552376812182405</v>
      </c>
      <c r="C4588" t="s">
        <v>40</v>
      </c>
      <c r="D4588">
        <v>4.9755200000000004</v>
      </c>
      <c r="E4588">
        <v>0.40699540000000001</v>
      </c>
      <c r="F4588" t="s">
        <v>42</v>
      </c>
      <c r="G4588">
        <v>-397.25279999999998</v>
      </c>
      <c r="H4588" s="1">
        <v>-2.2890750000000002E-6</v>
      </c>
      <c r="I4588">
        <v>23.412140000000001</v>
      </c>
      <c r="J4588">
        <v>-409.92099999999999</v>
      </c>
      <c r="K4588">
        <v>1.115926</v>
      </c>
      <c r="L4588">
        <v>27.030090000000001</v>
      </c>
      <c r="M4588">
        <v>0.86683869999999896</v>
      </c>
      <c r="N4588">
        <v>0</v>
      </c>
      <c r="O4588">
        <v>-0.4983764</v>
      </c>
      <c r="P4588">
        <v>0.86435919999999899</v>
      </c>
      <c r="Q4588">
        <v>5.2948460000000003E-2</v>
      </c>
      <c r="R4588">
        <v>-0.50007950000000001</v>
      </c>
      <c r="S4588">
        <v>2.9942929999999999</v>
      </c>
      <c r="T4588">
        <v>-0.26008900000000001</v>
      </c>
      <c r="U4588">
        <v>-0.86483759999999998</v>
      </c>
      <c r="V4588">
        <v>1.763169E-3</v>
      </c>
      <c r="W4588">
        <v>6.7498649999999993E-2</v>
      </c>
      <c r="X4588">
        <v>0.99771779999999999</v>
      </c>
      <c r="Y4588">
        <v>-0.2359504</v>
      </c>
      <c r="Z4588">
        <v>5.0150220000000002E-2</v>
      </c>
      <c r="AA4588">
        <v>0.97047019999999995</v>
      </c>
      <c r="AB4588">
        <v>22</v>
      </c>
      <c r="AC4588">
        <v>12.668200000000001</v>
      </c>
      <c r="AD4588">
        <v>-1.115928289075</v>
      </c>
      <c r="AE4588">
        <v>-3.61795</v>
      </c>
      <c r="AF4588">
        <v>-3.1550532200705699</v>
      </c>
      <c r="AG4588">
        <v>-1.115928289075</v>
      </c>
      <c r="AH4588">
        <v>12.694662251674099</v>
      </c>
      <c r="AI4588">
        <v>94.876098519158006</v>
      </c>
      <c r="AJ4588">
        <v>103.95715317961501</v>
      </c>
      <c r="AK4588">
        <v>13.1283702892596</v>
      </c>
      <c r="AL4588">
        <v>86.129669485641898</v>
      </c>
      <c r="AM4588">
        <v>89.898746883032103</v>
      </c>
      <c r="AN4588">
        <v>0.99999999247679205</v>
      </c>
    </row>
    <row r="4589" spans="1:40" x14ac:dyDescent="0.25">
      <c r="A4589" t="str">
        <f>"20190312154652206"</f>
        <v>20190312154652206</v>
      </c>
      <c r="B4589" t="str">
        <f>"1552376812202900"</f>
        <v>1552376812202900</v>
      </c>
      <c r="C4589" t="s">
        <v>40</v>
      </c>
      <c r="D4589">
        <v>4.9572159999999998</v>
      </c>
      <c r="E4589">
        <v>0.40757179999999998</v>
      </c>
      <c r="F4589" t="s">
        <v>42</v>
      </c>
      <c r="G4589">
        <v>-396.99059999999997</v>
      </c>
      <c r="H4589" s="1">
        <v>-2.4110229999999999E-6</v>
      </c>
      <c r="I4589">
        <v>23.404620000000001</v>
      </c>
      <c r="J4589">
        <v>-409.81700000000001</v>
      </c>
      <c r="K4589">
        <v>1.1158779999999999</v>
      </c>
      <c r="L4589">
        <v>26.97711</v>
      </c>
      <c r="M4589">
        <v>0.86950709999999998</v>
      </c>
      <c r="N4589">
        <v>0</v>
      </c>
      <c r="O4589">
        <v>-0.4937066</v>
      </c>
      <c r="P4589">
        <v>0.86695730000000004</v>
      </c>
      <c r="Q4589">
        <v>5.3056010000000001E-2</v>
      </c>
      <c r="R4589">
        <v>-0.4955502</v>
      </c>
      <c r="S4589">
        <v>3.0000309999999999</v>
      </c>
      <c r="T4589">
        <v>-0.25890980000000002</v>
      </c>
      <c r="U4589">
        <v>-0.84115599999999902</v>
      </c>
      <c r="V4589">
        <v>1.9192879999999999E-3</v>
      </c>
      <c r="W4589">
        <v>6.7597610000000002E-2</v>
      </c>
      <c r="X4589">
        <v>0.99771080000000001</v>
      </c>
      <c r="Y4589">
        <v>-0.2383344</v>
      </c>
      <c r="Z4589">
        <v>4.966856E-2</v>
      </c>
      <c r="AA4589">
        <v>0.9699122</v>
      </c>
      <c r="AB4589">
        <v>22</v>
      </c>
      <c r="AC4589">
        <v>12.8263999999999</v>
      </c>
      <c r="AD4589">
        <v>-1.1158804110230001</v>
      </c>
      <c r="AE4589">
        <v>-3.57248999999999</v>
      </c>
      <c r="AF4589">
        <v>-3.20400905102515</v>
      </c>
      <c r="AG4589">
        <v>-1.1158804110230001</v>
      </c>
      <c r="AH4589">
        <v>12.8276718149173</v>
      </c>
      <c r="AI4589">
        <v>94.824176213568805</v>
      </c>
      <c r="AJ4589">
        <v>104.024014263201</v>
      </c>
      <c r="AK4589">
        <v>13.2687613318644</v>
      </c>
      <c r="AL4589">
        <v>86.123986468917096</v>
      </c>
      <c r="AM4589">
        <v>89.889780719600594</v>
      </c>
      <c r="AN4589">
        <v>0.99999998049038896</v>
      </c>
    </row>
    <row r="4590" spans="1:40" x14ac:dyDescent="0.25">
      <c r="A4590" t="str">
        <f>"20190312154652218"</f>
        <v>20190312154652218</v>
      </c>
      <c r="B4590" t="str">
        <f>"1552376812212660"</f>
        <v>1552376812212660</v>
      </c>
      <c r="C4590" t="s">
        <v>40</v>
      </c>
      <c r="D4590">
        <v>4.9633979999999998</v>
      </c>
      <c r="E4590">
        <v>0.4078253</v>
      </c>
      <c r="F4590" t="s">
        <v>42</v>
      </c>
      <c r="G4590">
        <v>-396.82670000000002</v>
      </c>
      <c r="H4590" s="1">
        <v>-2.484027E-6</v>
      </c>
      <c r="I4590">
        <v>23.387840000000001</v>
      </c>
      <c r="J4590">
        <v>-409.71179999999998</v>
      </c>
      <c r="K4590">
        <v>1.115826</v>
      </c>
      <c r="L4590">
        <v>26.924379999999999</v>
      </c>
      <c r="M4590">
        <v>0.87215229999999999</v>
      </c>
      <c r="N4590">
        <v>0</v>
      </c>
      <c r="O4590">
        <v>-0.48901909999999998</v>
      </c>
      <c r="P4590">
        <v>0.8695638</v>
      </c>
      <c r="Q4590">
        <v>5.3253090000000003E-2</v>
      </c>
      <c r="R4590">
        <v>-0.49094120000000002</v>
      </c>
      <c r="S4590">
        <v>3.002014</v>
      </c>
      <c r="T4590">
        <v>-0.2578763</v>
      </c>
      <c r="U4590">
        <v>-0.82946779999999998</v>
      </c>
      <c r="V4590">
        <v>2.004933E-3</v>
      </c>
      <c r="W4590">
        <v>6.7784090000000005E-2</v>
      </c>
      <c r="X4590">
        <v>0.99769799999999997</v>
      </c>
      <c r="Y4590">
        <v>-0.23681540000000001</v>
      </c>
      <c r="Z4590">
        <v>4.9072570000000003E-2</v>
      </c>
      <c r="AA4590">
        <v>0.97031460000000003</v>
      </c>
      <c r="AB4590">
        <v>22</v>
      </c>
      <c r="AC4590">
        <v>12.8850999999999</v>
      </c>
      <c r="AD4590">
        <v>-1.1158284840270001</v>
      </c>
      <c r="AE4590">
        <v>-3.5365399999999898</v>
      </c>
      <c r="AF4590">
        <v>-3.19471772886831</v>
      </c>
      <c r="AG4590">
        <v>-1.1158284840270001</v>
      </c>
      <c r="AH4590">
        <v>12.878756088158401</v>
      </c>
      <c r="AI4590">
        <v>94.806827763643298</v>
      </c>
      <c r="AJ4590">
        <v>103.931637007463</v>
      </c>
      <c r="AK4590">
        <v>13.315917277874201</v>
      </c>
      <c r="AL4590">
        <v>86.113277468264599</v>
      </c>
      <c r="AM4590">
        <v>89.884860905330399</v>
      </c>
      <c r="AN4590">
        <v>1.00000000090873</v>
      </c>
    </row>
    <row r="4591" spans="1:40" x14ac:dyDescent="0.25">
      <c r="A4591" t="str">
        <f>"20190312154652239"</f>
        <v>20190312154652239</v>
      </c>
      <c r="B4591" t="str">
        <f>"1552376812232687"</f>
        <v>1552376812232687</v>
      </c>
      <c r="C4591" t="s">
        <v>40</v>
      </c>
      <c r="D4591">
        <v>4.96462</v>
      </c>
      <c r="E4591">
        <v>0.40814299999999998</v>
      </c>
      <c r="F4591" t="s">
        <v>42</v>
      </c>
      <c r="G4591">
        <v>-396.61900000000003</v>
      </c>
      <c r="H4591" s="1">
        <v>-2.5782760000000001E-6</v>
      </c>
      <c r="I4591">
        <v>23.37313</v>
      </c>
      <c r="J4591">
        <v>-409.53789999999998</v>
      </c>
      <c r="K4591">
        <v>1.1157440000000001</v>
      </c>
      <c r="L4591">
        <v>26.838560000000001</v>
      </c>
      <c r="M4591">
        <v>0.87642039999999999</v>
      </c>
      <c r="N4591">
        <v>0</v>
      </c>
      <c r="O4591">
        <v>-0.48132849999999999</v>
      </c>
      <c r="P4591">
        <v>0.87367609999999996</v>
      </c>
      <c r="Q4591">
        <v>5.3647930000000003E-2</v>
      </c>
      <c r="R4591">
        <v>-0.48354160000000002</v>
      </c>
      <c r="S4591">
        <v>3.0054319999999999</v>
      </c>
      <c r="T4591">
        <v>-0.25613740000000002</v>
      </c>
      <c r="U4591">
        <v>-0.81518550000000001</v>
      </c>
      <c r="V4591">
        <v>2.3319339999999999E-3</v>
      </c>
      <c r="W4591">
        <v>6.8164210000000003E-2</v>
      </c>
      <c r="X4591">
        <v>0.99767139999999999</v>
      </c>
      <c r="Y4591">
        <v>-0.23290839999999999</v>
      </c>
      <c r="Z4591">
        <v>4.8014759999999997E-2</v>
      </c>
      <c r="AA4591">
        <v>0.97131259999999997</v>
      </c>
      <c r="AB4591">
        <v>22</v>
      </c>
      <c r="AC4591">
        <v>12.918899999999899</v>
      </c>
      <c r="AD4591">
        <v>-1.1157465782760001</v>
      </c>
      <c r="AE4591">
        <v>-3.4654299999999898</v>
      </c>
      <c r="AF4591">
        <v>-3.15941138410773</v>
      </c>
      <c r="AG4591">
        <v>-1.1157465782760001</v>
      </c>
      <c r="AH4591">
        <v>12.9019870214491</v>
      </c>
      <c r="AI4591">
        <v>94.801395930723899</v>
      </c>
      <c r="AJ4591">
        <v>103.759700395968</v>
      </c>
      <c r="AK4591">
        <v>13.3299677352424</v>
      </c>
      <c r="AL4591">
        <v>86.091447741241794</v>
      </c>
      <c r="AM4591">
        <v>89.866078417216897</v>
      </c>
      <c r="AN4591">
        <v>1.0000000099095301</v>
      </c>
    </row>
    <row r="4592" spans="1:40" x14ac:dyDescent="0.25">
      <c r="A4592" t="str">
        <f>"20190312154652252"</f>
        <v>20190312154652252</v>
      </c>
      <c r="B4592" t="str">
        <f>"1552376812242448"</f>
        <v>1552376812242448</v>
      </c>
      <c r="C4592" t="s">
        <v>40</v>
      </c>
      <c r="D4592">
        <v>4.9482299999999997</v>
      </c>
      <c r="E4592">
        <v>0.42104229999999998</v>
      </c>
      <c r="F4592" t="s">
        <v>42</v>
      </c>
      <c r="G4592">
        <v>-396.37520000000001</v>
      </c>
      <c r="H4592" s="1">
        <v>-2.6938369999999999E-6</v>
      </c>
      <c r="I4592">
        <v>23.374320000000001</v>
      </c>
      <c r="J4592">
        <v>-409.4246</v>
      </c>
      <c r="K4592">
        <v>1.1156870000000001</v>
      </c>
      <c r="L4592">
        <v>26.783629999999999</v>
      </c>
      <c r="M4592">
        <v>0.87912479999999904</v>
      </c>
      <c r="N4592">
        <v>0</v>
      </c>
      <c r="O4592">
        <v>-0.4763713</v>
      </c>
      <c r="P4592">
        <v>0.8764478</v>
      </c>
      <c r="Q4592">
        <v>5.3794120000000001E-2</v>
      </c>
      <c r="R4592">
        <v>-0.47848289999999999</v>
      </c>
      <c r="S4592">
        <v>3.0108640000000002</v>
      </c>
      <c r="T4592">
        <v>-0.25521890000000003</v>
      </c>
      <c r="U4592">
        <v>-0.7924194</v>
      </c>
      <c r="V4592">
        <v>2.2106320000000001E-3</v>
      </c>
      <c r="W4592">
        <v>6.8294549999999996E-2</v>
      </c>
      <c r="X4592">
        <v>0.99766270000000001</v>
      </c>
      <c r="Y4592">
        <v>-0.23474120000000001</v>
      </c>
      <c r="Z4592">
        <v>4.7542559999999998E-2</v>
      </c>
      <c r="AA4592">
        <v>0.97089460000000005</v>
      </c>
      <c r="AB4592">
        <v>22</v>
      </c>
      <c r="AC4592">
        <v>13.049399999999901</v>
      </c>
      <c r="AD4592">
        <v>-1.115689693837</v>
      </c>
      <c r="AE4592">
        <v>-3.4093099999999898</v>
      </c>
      <c r="AF4592">
        <v>-3.19760830144816</v>
      </c>
      <c r="AG4592">
        <v>-1.115689693837</v>
      </c>
      <c r="AH4592">
        <v>13.0085099378678</v>
      </c>
      <c r="AI4592">
        <v>94.760997377073195</v>
      </c>
      <c r="AJ4592">
        <v>103.810017891326</v>
      </c>
      <c r="AK4592">
        <v>13.4421275528106</v>
      </c>
      <c r="AL4592">
        <v>86.083962121997899</v>
      </c>
      <c r="AM4592">
        <v>89.873043588414305</v>
      </c>
      <c r="AN4592">
        <v>0.99999994771241396</v>
      </c>
    </row>
    <row r="4593" spans="1:40" x14ac:dyDescent="0.25">
      <c r="A4593" t="str">
        <f>"20190312154652264"</f>
        <v>20190312154652264</v>
      </c>
      <c r="B4593" t="str">
        <f>"1552376812252208"</f>
        <v>1552376812252208</v>
      </c>
      <c r="C4593" t="s">
        <v>40</v>
      </c>
      <c r="D4593">
        <v>4.9213500000000003</v>
      </c>
      <c r="E4593">
        <v>0.42193449999999999</v>
      </c>
      <c r="F4593" t="s">
        <v>42</v>
      </c>
      <c r="G4593">
        <v>-395.65769999999998</v>
      </c>
      <c r="H4593" s="1">
        <v>-2.8697429999999999E-6</v>
      </c>
      <c r="I4593">
        <v>22.760729999999999</v>
      </c>
      <c r="J4593">
        <v>-409.32029999999997</v>
      </c>
      <c r="K4593">
        <v>1.115634</v>
      </c>
      <c r="L4593">
        <v>26.73358</v>
      </c>
      <c r="M4593">
        <v>0.88156880000000004</v>
      </c>
      <c r="N4593">
        <v>0</v>
      </c>
      <c r="O4593">
        <v>-0.47183370000000002</v>
      </c>
      <c r="P4593">
        <v>0.87876309999999902</v>
      </c>
      <c r="Q4593">
        <v>5.3880749999999998E-2</v>
      </c>
      <c r="R4593">
        <v>-0.4742072</v>
      </c>
      <c r="S4593">
        <v>2.9646910000000002</v>
      </c>
      <c r="T4593">
        <v>-0.24026429999999999</v>
      </c>
      <c r="U4593">
        <v>-0.86633300000000002</v>
      </c>
      <c r="V4593">
        <v>2.5032370000000002E-3</v>
      </c>
      <c r="W4593">
        <v>6.8373050000000005E-2</v>
      </c>
      <c r="X4593">
        <v>0.99765669999999995</v>
      </c>
      <c r="Y4593">
        <v>-0.20376050000000001</v>
      </c>
      <c r="Z4593">
        <v>4.3692460000000002E-2</v>
      </c>
      <c r="AA4593">
        <v>0.97804530000000001</v>
      </c>
      <c r="AB4593">
        <v>22</v>
      </c>
      <c r="AC4593">
        <v>13.6625999999999</v>
      </c>
      <c r="AD4593">
        <v>-1.1156368697429999</v>
      </c>
      <c r="AE4593">
        <v>-3.9728500000000002</v>
      </c>
      <c r="AF4593">
        <v>-2.9264512558563101</v>
      </c>
      <c r="AG4593">
        <v>-1.1156368697429999</v>
      </c>
      <c r="AH4593">
        <v>13.835444945906399</v>
      </c>
      <c r="AI4593">
        <v>94.510759618973594</v>
      </c>
      <c r="AJ4593">
        <v>101.943077282845</v>
      </c>
      <c r="AK4593">
        <v>14.185496093871301</v>
      </c>
      <c r="AL4593">
        <v>86.079454131686404</v>
      </c>
      <c r="AM4593">
        <v>89.856238509462202</v>
      </c>
      <c r="AN4593">
        <v>1.00000001560833</v>
      </c>
    </row>
    <row r="4594" spans="1:40" x14ac:dyDescent="0.25">
      <c r="A4594" t="str">
        <f>"20190312154652278"</f>
        <v>20190312154652278</v>
      </c>
      <c r="B4594" t="str">
        <f>"1552376812272705"</f>
        <v>1552376812272705</v>
      </c>
      <c r="C4594" t="s">
        <v>40</v>
      </c>
      <c r="D4594">
        <v>4.9815160000000001</v>
      </c>
      <c r="E4594">
        <v>0.42350460000000001</v>
      </c>
      <c r="F4594" t="s">
        <v>42</v>
      </c>
      <c r="G4594">
        <v>-395.76769999999999</v>
      </c>
      <c r="H4594" s="1">
        <v>-2.8314830000000001E-6</v>
      </c>
      <c r="I4594">
        <v>22.812290000000001</v>
      </c>
      <c r="J4594">
        <v>-409.19839999999999</v>
      </c>
      <c r="K4594">
        <v>1.115567</v>
      </c>
      <c r="L4594">
        <v>26.67606</v>
      </c>
      <c r="M4594">
        <v>0.88435450000000004</v>
      </c>
      <c r="N4594">
        <v>0</v>
      </c>
      <c r="O4594">
        <v>-0.46659200000000001</v>
      </c>
      <c r="P4594">
        <v>0.88154359999999998</v>
      </c>
      <c r="Q4594">
        <v>5.3748240000000003E-2</v>
      </c>
      <c r="R4594">
        <v>-0.46903309999999998</v>
      </c>
      <c r="S4594">
        <v>2.9658199999999999</v>
      </c>
      <c r="T4594">
        <v>-0.24414240000000001</v>
      </c>
      <c r="U4594">
        <v>-0.85812379999999999</v>
      </c>
      <c r="V4594">
        <v>2.5702849999999998E-3</v>
      </c>
      <c r="W4594">
        <v>6.8226049999999996E-2</v>
      </c>
      <c r="X4594">
        <v>0.99766659999999996</v>
      </c>
      <c r="Y4594">
        <v>-0.20050599999999999</v>
      </c>
      <c r="Z4594">
        <v>4.3904369999999998E-2</v>
      </c>
      <c r="AA4594">
        <v>0.97870820000000003</v>
      </c>
      <c r="AB4594">
        <v>22</v>
      </c>
      <c r="AC4594">
        <v>13.4307</v>
      </c>
      <c r="AD4594">
        <v>-1.115569831483</v>
      </c>
      <c r="AE4594">
        <v>-3.8637699999999899</v>
      </c>
      <c r="AF4594">
        <v>-2.8319678676959201</v>
      </c>
      <c r="AG4594">
        <v>-1.115569831483</v>
      </c>
      <c r="AH4594">
        <v>13.5951085179694</v>
      </c>
      <c r="AI4594">
        <v>94.592840082452895</v>
      </c>
      <c r="AJ4594">
        <v>101.766889742045</v>
      </c>
      <c r="AK4594">
        <v>13.931673039084099</v>
      </c>
      <c r="AL4594">
        <v>86.087896351899801</v>
      </c>
      <c r="AM4594">
        <v>89.852389408616403</v>
      </c>
      <c r="AN4594">
        <v>1.00000002250957</v>
      </c>
    </row>
    <row r="4595" spans="1:40" x14ac:dyDescent="0.25">
      <c r="A4595" t="str">
        <f>"20190312154652297"</f>
        <v>20190312154652297</v>
      </c>
      <c r="B4595" t="str">
        <f>"1552376812282464"</f>
        <v>1552376812282464</v>
      </c>
      <c r="C4595" t="s">
        <v>40</v>
      </c>
      <c r="D4595">
        <v>4.9516070000000001</v>
      </c>
      <c r="E4595">
        <v>0.42426979999999997</v>
      </c>
      <c r="F4595" t="s">
        <v>42</v>
      </c>
      <c r="G4595">
        <v>-395.80470000000003</v>
      </c>
      <c r="H4595" s="1">
        <v>-2.818478E-6</v>
      </c>
      <c r="I4595">
        <v>22.8291</v>
      </c>
      <c r="J4595">
        <v>-409.04649999999998</v>
      </c>
      <c r="K4595">
        <v>1.11548799999999</v>
      </c>
      <c r="L4595">
        <v>26.60547</v>
      </c>
      <c r="M4595">
        <v>0.88773799999999903</v>
      </c>
      <c r="N4595">
        <v>0</v>
      </c>
      <c r="O4595">
        <v>-0.46012229999999998</v>
      </c>
      <c r="P4595">
        <v>0.88467510000000005</v>
      </c>
      <c r="Q4595">
        <v>5.3079460000000002E-2</v>
      </c>
      <c r="R4595">
        <v>-0.46317659999999999</v>
      </c>
      <c r="S4595">
        <v>2.9650569999999998</v>
      </c>
      <c r="T4595">
        <v>-0.2469604</v>
      </c>
      <c r="U4595">
        <v>-0.85162349999999998</v>
      </c>
      <c r="V4595">
        <v>3.243513E-3</v>
      </c>
      <c r="W4595">
        <v>6.7546700000000001E-2</v>
      </c>
      <c r="X4595">
        <v>0.99771080000000001</v>
      </c>
      <c r="Y4595">
        <v>-0.19525039999999999</v>
      </c>
      <c r="Z4595">
        <v>4.3764110000000002E-2</v>
      </c>
      <c r="AA4595">
        <v>0.97977650000000005</v>
      </c>
      <c r="AB4595">
        <v>22</v>
      </c>
      <c r="AC4595">
        <v>13.2417999999999</v>
      </c>
      <c r="AD4595">
        <v>-1.1154908184779999</v>
      </c>
      <c r="AE4595">
        <v>-3.7763699999999898</v>
      </c>
      <c r="AF4595">
        <v>-2.7228373118061802</v>
      </c>
      <c r="AG4595">
        <v>-1.1154908184779999</v>
      </c>
      <c r="AH4595">
        <v>13.406268703574501</v>
      </c>
      <c r="AI4595">
        <v>94.661689515661294</v>
      </c>
      <c r="AJ4595">
        <v>101.48071478672</v>
      </c>
      <c r="AK4595">
        <v>13.7253853623537</v>
      </c>
      <c r="AL4595">
        <v>86.126909995000602</v>
      </c>
      <c r="AM4595">
        <v>89.813734650356494</v>
      </c>
      <c r="AN4595">
        <v>0.99999995874705405</v>
      </c>
    </row>
    <row r="4596" spans="1:40" x14ac:dyDescent="0.25">
      <c r="A4596" t="str">
        <f>"20190312154652319"</f>
        <v>20190312154652319</v>
      </c>
      <c r="B4596" t="str">
        <f>"1552376812312720"</f>
        <v>1552376812312720</v>
      </c>
      <c r="C4596" t="s">
        <v>40</v>
      </c>
      <c r="D4596">
        <v>5.0663199999999904</v>
      </c>
      <c r="E4596">
        <v>0.42583330000000003</v>
      </c>
      <c r="F4596" t="s">
        <v>42</v>
      </c>
      <c r="G4596">
        <v>-395.74669999999998</v>
      </c>
      <c r="H4596" s="1">
        <v>-2.8524629999999998E-6</v>
      </c>
      <c r="I4596">
        <v>22.85389</v>
      </c>
      <c r="J4596">
        <v>-408.8578</v>
      </c>
      <c r="K4596">
        <v>1.115386</v>
      </c>
      <c r="L4596">
        <v>26.519380000000002</v>
      </c>
      <c r="M4596">
        <v>0.89180469999999901</v>
      </c>
      <c r="N4596">
        <v>0</v>
      </c>
      <c r="O4596">
        <v>-0.4521908</v>
      </c>
      <c r="P4596">
        <v>0.88858999999999999</v>
      </c>
      <c r="Q4596">
        <v>5.3070119999999998E-2</v>
      </c>
      <c r="R4596">
        <v>-0.45562170000000002</v>
      </c>
      <c r="S4596">
        <v>2.9677120000000001</v>
      </c>
      <c r="T4596">
        <v>-0.2489104</v>
      </c>
      <c r="U4596">
        <v>-0.83712770000000003</v>
      </c>
      <c r="V4596">
        <v>3.6541339999999999E-3</v>
      </c>
      <c r="W4596">
        <v>6.7516740000000006E-2</v>
      </c>
      <c r="X4596">
        <v>0.99771149999999997</v>
      </c>
      <c r="Y4596">
        <v>-0.19117049999999999</v>
      </c>
      <c r="Z4596">
        <v>4.3371229999999997E-2</v>
      </c>
      <c r="AA4596">
        <v>0.98059819999999998</v>
      </c>
      <c r="AB4596">
        <v>22</v>
      </c>
      <c r="AC4596">
        <v>13.1111</v>
      </c>
      <c r="AD4596">
        <v>-1.115388852463</v>
      </c>
      <c r="AE4596">
        <v>-3.6654899999999899</v>
      </c>
      <c r="AF4596">
        <v>-2.6423569664814801</v>
      </c>
      <c r="AG4596">
        <v>-1.115388852463</v>
      </c>
      <c r="AH4596">
        <v>13.2624038605494</v>
      </c>
      <c r="AI4596">
        <v>94.715108678491603</v>
      </c>
      <c r="AJ4596">
        <v>101.267871965151</v>
      </c>
      <c r="AK4596">
        <v>13.5689903379296</v>
      </c>
      <c r="AL4596">
        <v>86.128630858350604</v>
      </c>
      <c r="AM4596">
        <v>89.790154248162807</v>
      </c>
      <c r="AN4596">
        <v>1.0000000500538799</v>
      </c>
    </row>
    <row r="4597" spans="1:40" x14ac:dyDescent="0.25">
      <c r="A4597" t="str">
        <f>"20190312154652341"</f>
        <v>20190312154652341</v>
      </c>
      <c r="B4597" t="str">
        <f>"1552376812332244"</f>
        <v>1552376812332244</v>
      </c>
      <c r="C4597" t="s">
        <v>40</v>
      </c>
      <c r="D4597">
        <v>4.9736089999999997</v>
      </c>
      <c r="E4597">
        <v>0.43357479999999998</v>
      </c>
      <c r="F4597" t="s">
        <v>42</v>
      </c>
      <c r="G4597">
        <v>-395.74329999999998</v>
      </c>
      <c r="H4597" s="1">
        <v>-2.8623219999999999E-6</v>
      </c>
      <c r="I4597">
        <v>22.88494</v>
      </c>
      <c r="J4597">
        <v>-408.66469999999998</v>
      </c>
      <c r="K4597">
        <v>1.1152820000000001</v>
      </c>
      <c r="L4597">
        <v>26.43317</v>
      </c>
      <c r="M4597">
        <v>0.89581069999999996</v>
      </c>
      <c r="N4597">
        <v>0</v>
      </c>
      <c r="O4597">
        <v>-0.44420300000000001</v>
      </c>
      <c r="P4597">
        <v>0.89252039999999999</v>
      </c>
      <c r="Q4597">
        <v>5.3401190000000001E-2</v>
      </c>
      <c r="R4597">
        <v>-0.44783489999999998</v>
      </c>
      <c r="S4597">
        <v>2.9692690000000002</v>
      </c>
      <c r="T4597">
        <v>-0.25253639999999999</v>
      </c>
      <c r="U4597">
        <v>-0.82287600000000005</v>
      </c>
      <c r="V4597">
        <v>3.8700739999999998E-3</v>
      </c>
      <c r="W4597">
        <v>6.7823590000000003E-2</v>
      </c>
      <c r="X4597">
        <v>0.99768979999999996</v>
      </c>
      <c r="Y4597">
        <v>-0.1868754</v>
      </c>
      <c r="Z4597">
        <v>4.325064E-2</v>
      </c>
      <c r="AA4597">
        <v>0.9814311</v>
      </c>
      <c r="AB4597">
        <v>22</v>
      </c>
      <c r="AC4597">
        <v>12.9214</v>
      </c>
      <c r="AD4597">
        <v>-1.115284862322</v>
      </c>
      <c r="AE4597">
        <v>-3.5482300000000002</v>
      </c>
      <c r="AF4597">
        <v>-2.5438247282936999</v>
      </c>
      <c r="AG4597">
        <v>-1.115284862322</v>
      </c>
      <c r="AH4597">
        <v>13.062134711111799</v>
      </c>
      <c r="AI4597">
        <v>94.790680340445803</v>
      </c>
      <c r="AJ4597">
        <v>101.020299218872</v>
      </c>
      <c r="AK4597">
        <v>13.354185403222299</v>
      </c>
      <c r="AL4597">
        <v>86.111008971232195</v>
      </c>
      <c r="AM4597">
        <v>89.777748760735804</v>
      </c>
      <c r="AN4597">
        <v>0.99999997692864595</v>
      </c>
    </row>
    <row r="4598" spans="1:40" x14ac:dyDescent="0.25">
      <c r="A4598" t="str">
        <f>"20190312154652354"</f>
        <v>20190312154652354</v>
      </c>
      <c r="B4598" t="str">
        <f>"1552376812342001"</f>
        <v>1552376812342001</v>
      </c>
      <c r="C4598" t="s">
        <v>40</v>
      </c>
      <c r="D4598">
        <v>4.9418899999999999</v>
      </c>
      <c r="E4598">
        <v>0.43472539999999998</v>
      </c>
      <c r="F4598" t="s">
        <v>42</v>
      </c>
      <c r="G4598">
        <v>-396.35890000000001</v>
      </c>
      <c r="H4598" s="1">
        <v>-2.5696229999999999E-6</v>
      </c>
      <c r="I4598">
        <v>22.878419999999998</v>
      </c>
      <c r="J4598">
        <v>-408.5521</v>
      </c>
      <c r="K4598">
        <v>1.115219</v>
      </c>
      <c r="L4598">
        <v>26.383939999999999</v>
      </c>
      <c r="M4598">
        <v>0.89806679999999905</v>
      </c>
      <c r="N4598">
        <v>0</v>
      </c>
      <c r="O4598">
        <v>-0.43962440000000003</v>
      </c>
      <c r="P4598">
        <v>0.89476639999999996</v>
      </c>
      <c r="Q4598">
        <v>5.3841670000000001E-2</v>
      </c>
      <c r="R4598">
        <v>-0.44327670000000002</v>
      </c>
      <c r="S4598">
        <v>2.949738</v>
      </c>
      <c r="T4598">
        <v>-0.26733639999999997</v>
      </c>
      <c r="U4598">
        <v>-0.85208130000000004</v>
      </c>
      <c r="V4598">
        <v>3.8917610000000001E-3</v>
      </c>
      <c r="W4598">
        <v>6.8247940000000007E-2</v>
      </c>
      <c r="X4598">
        <v>0.99766080000000001</v>
      </c>
      <c r="Y4598">
        <v>-0.1709898</v>
      </c>
      <c r="Z4598">
        <v>4.4921009999999997E-2</v>
      </c>
      <c r="AA4598">
        <v>0.98424820000000002</v>
      </c>
      <c r="AB4598">
        <v>22</v>
      </c>
      <c r="AC4598">
        <v>12.1931999999999</v>
      </c>
      <c r="AD4598">
        <v>-1.1152215696229999</v>
      </c>
      <c r="AE4598">
        <v>-3.5055200000000002</v>
      </c>
      <c r="AF4598">
        <v>-2.1955013659834299</v>
      </c>
      <c r="AG4598">
        <v>-1.1152215696229999</v>
      </c>
      <c r="AH4598">
        <v>12.396921702996201</v>
      </c>
      <c r="AI4598">
        <v>95.062112059689696</v>
      </c>
      <c r="AJ4598">
        <v>100.04297880092</v>
      </c>
      <c r="AK4598">
        <v>12.6391302354081</v>
      </c>
      <c r="AL4598">
        <v>86.086639126874303</v>
      </c>
      <c r="AM4598">
        <v>89.776496832235793</v>
      </c>
      <c r="AN4598">
        <v>0.99999999948728202</v>
      </c>
    </row>
    <row r="4599" spans="1:40" x14ac:dyDescent="0.25">
      <c r="A4599" t="str">
        <f>"20190312154652366"</f>
        <v>20190312154652366</v>
      </c>
      <c r="B4599" t="str">
        <f>"1552376812362496"</f>
        <v>1552376812362496</v>
      </c>
      <c r="C4599" t="s">
        <v>40</v>
      </c>
      <c r="D4599">
        <v>4.9861870000000001</v>
      </c>
      <c r="E4599">
        <v>0.43616129999999997</v>
      </c>
      <c r="F4599" t="s">
        <v>42</v>
      </c>
      <c r="G4599">
        <v>-395.94839999999999</v>
      </c>
      <c r="H4599" s="1">
        <v>-2.7346099999999999E-6</v>
      </c>
      <c r="I4599">
        <v>22.76925</v>
      </c>
      <c r="J4599">
        <v>-408.44290000000001</v>
      </c>
      <c r="K4599">
        <v>1.115157</v>
      </c>
      <c r="L4599">
        <v>26.336580000000001</v>
      </c>
      <c r="M4599">
        <v>0.90021249999999997</v>
      </c>
      <c r="N4599">
        <v>0</v>
      </c>
      <c r="O4599">
        <v>-0.43521399999999999</v>
      </c>
      <c r="P4599">
        <v>0.89684649999999999</v>
      </c>
      <c r="Q4599">
        <v>5.4103560000000002E-2</v>
      </c>
      <c r="R4599">
        <v>-0.43902140000000001</v>
      </c>
      <c r="S4599">
        <v>2.9494319999999998</v>
      </c>
      <c r="T4599">
        <v>-0.26097670000000001</v>
      </c>
      <c r="U4599">
        <v>-0.84588619999999903</v>
      </c>
      <c r="V4599">
        <v>4.0610380000000003E-3</v>
      </c>
      <c r="W4599">
        <v>6.8496260000000003E-2</v>
      </c>
      <c r="X4599">
        <v>0.9976431</v>
      </c>
      <c r="Y4599">
        <v>-0.16816120000000001</v>
      </c>
      <c r="Z4599">
        <v>4.3416400000000001E-2</v>
      </c>
      <c r="AA4599">
        <v>0.98480299999999998</v>
      </c>
      <c r="AB4599">
        <v>21</v>
      </c>
      <c r="AC4599">
        <v>12.4945</v>
      </c>
      <c r="AD4599">
        <v>-1.11515973461</v>
      </c>
      <c r="AE4599">
        <v>-3.5673299999999899</v>
      </c>
      <c r="AF4599">
        <v>-2.2103753295731701</v>
      </c>
      <c r="AG4599">
        <v>-1.11515973461</v>
      </c>
      <c r="AH4599">
        <v>12.707976371433199</v>
      </c>
      <c r="AI4599">
        <v>94.941202669928103</v>
      </c>
      <c r="AJ4599">
        <v>99.867086923737702</v>
      </c>
      <c r="AK4599">
        <v>12.946891665113499</v>
      </c>
      <c r="AL4599">
        <v>86.072378038217394</v>
      </c>
      <c r="AM4599">
        <v>89.766771250479806</v>
      </c>
      <c r="AN4599">
        <v>0.99999999232061698</v>
      </c>
    </row>
    <row r="4600" spans="1:40" x14ac:dyDescent="0.25">
      <c r="A4600" t="str">
        <f>"20190312154652384"</f>
        <v>20190312154652384</v>
      </c>
      <c r="B4600" t="str">
        <f>"1552376812372257"</f>
        <v>1552376812372257</v>
      </c>
      <c r="C4600" t="s">
        <v>40</v>
      </c>
      <c r="D4600">
        <v>5.0124269999999997</v>
      </c>
      <c r="E4600">
        <v>0.43677129999999997</v>
      </c>
      <c r="F4600" t="s">
        <v>42</v>
      </c>
      <c r="G4600">
        <v>-394.7208</v>
      </c>
      <c r="H4600" s="1">
        <v>-3.2197869999999999E-6</v>
      </c>
      <c r="I4600">
        <v>22.411829999999998</v>
      </c>
      <c r="J4600">
        <v>-408.28579999999999</v>
      </c>
      <c r="K4600">
        <v>1.115062</v>
      </c>
      <c r="L4600">
        <v>26.269500000000001</v>
      </c>
      <c r="M4600">
        <v>0.90321079999999998</v>
      </c>
      <c r="N4600">
        <v>0</v>
      </c>
      <c r="O4600">
        <v>-0.4289577</v>
      </c>
      <c r="P4600">
        <v>0.89961420000000003</v>
      </c>
      <c r="Q4600">
        <v>5.4527069999999997E-2</v>
      </c>
      <c r="R4600">
        <v>-0.43326890000000001</v>
      </c>
      <c r="S4600">
        <v>2.9468990000000002</v>
      </c>
      <c r="T4600">
        <v>-0.23948759999999999</v>
      </c>
      <c r="U4600">
        <v>-0.84286499999999998</v>
      </c>
      <c r="V4600">
        <v>4.61649E-3</v>
      </c>
      <c r="W4600">
        <v>6.8902519999999995E-2</v>
      </c>
      <c r="X4600">
        <v>0.99761270000000002</v>
      </c>
      <c r="Y4600">
        <v>-0.1623783</v>
      </c>
      <c r="Z4600">
        <v>3.922059E-2</v>
      </c>
      <c r="AA4600">
        <v>0.98594879999999996</v>
      </c>
      <c r="AB4600">
        <v>21</v>
      </c>
      <c r="AC4600">
        <v>13.5649999999999</v>
      </c>
      <c r="AD4600">
        <v>-1.1150652197869999</v>
      </c>
      <c r="AE4600">
        <v>-3.8576700000000002</v>
      </c>
      <c r="AF4600">
        <v>-2.3202568161308599</v>
      </c>
      <c r="AG4600">
        <v>-1.1150652197869999</v>
      </c>
      <c r="AH4600">
        <v>13.8218535752652</v>
      </c>
      <c r="AI4600">
        <v>94.548919077832196</v>
      </c>
      <c r="AJ4600">
        <v>99.529320071366399</v>
      </c>
      <c r="AK4600">
        <v>14.0595376308488</v>
      </c>
      <c r="AL4600">
        <v>86.049045898141898</v>
      </c>
      <c r="AM4600">
        <v>89.734863534575894</v>
      </c>
      <c r="AN4600">
        <v>0.99999998422178005</v>
      </c>
    </row>
    <row r="4601" spans="1:40" x14ac:dyDescent="0.25">
      <c r="A4601" t="str">
        <f>"20190312154652399"</f>
        <v>20190312154652399</v>
      </c>
      <c r="B4601" t="str">
        <f>"1552376812392752"</f>
        <v>1552376812392752</v>
      </c>
      <c r="C4601" t="s">
        <v>40</v>
      </c>
      <c r="D4601">
        <v>5.01884</v>
      </c>
      <c r="E4601">
        <v>0.43802619999999998</v>
      </c>
      <c r="F4601" t="s">
        <v>42</v>
      </c>
      <c r="G4601">
        <v>-394.55540000000002</v>
      </c>
      <c r="H4601" s="1">
        <v>-3.2986320000000001E-6</v>
      </c>
      <c r="I4601">
        <v>22.414239999999999</v>
      </c>
      <c r="J4601">
        <v>-408.15370000000001</v>
      </c>
      <c r="K4601">
        <v>1.114984</v>
      </c>
      <c r="L4601">
        <v>26.214110000000002</v>
      </c>
      <c r="M4601">
        <v>0.90564909999999998</v>
      </c>
      <c r="N4601">
        <v>0</v>
      </c>
      <c r="O4601">
        <v>-0.4237861</v>
      </c>
      <c r="P4601">
        <v>0.90189779999999997</v>
      </c>
      <c r="Q4601">
        <v>5.4561020000000002E-2</v>
      </c>
      <c r="R4601">
        <v>-0.42848960000000003</v>
      </c>
      <c r="S4601">
        <v>2.9503170000000001</v>
      </c>
      <c r="T4601">
        <v>-0.23960010000000001</v>
      </c>
      <c r="U4601">
        <v>-0.82839969999999996</v>
      </c>
      <c r="V4601">
        <v>5.0427500000000004E-3</v>
      </c>
      <c r="W4601">
        <v>6.8921540000000003E-2</v>
      </c>
      <c r="X4601">
        <v>0.99760930000000003</v>
      </c>
      <c r="Y4601">
        <v>-0.16152859999999999</v>
      </c>
      <c r="Z4601">
        <v>3.882874E-2</v>
      </c>
      <c r="AA4601">
        <v>0.98610390000000003</v>
      </c>
      <c r="AB4601">
        <v>21</v>
      </c>
      <c r="AC4601">
        <v>13.598299999999901</v>
      </c>
      <c r="AD4601">
        <v>-1.114987298632</v>
      </c>
      <c r="AE4601">
        <v>-3.7998699999999999</v>
      </c>
      <c r="AF4601">
        <v>-2.3072711948865701</v>
      </c>
      <c r="AG4601">
        <v>-1.114987298632</v>
      </c>
      <c r="AH4601">
        <v>13.8407350827316</v>
      </c>
      <c r="AI4601">
        <v>94.543282596276896</v>
      </c>
      <c r="AJ4601">
        <v>99.464263638494501</v>
      </c>
      <c r="AK4601">
        <v>14.0759598135694</v>
      </c>
      <c r="AL4601">
        <v>86.047953446519301</v>
      </c>
      <c r="AM4601">
        <v>89.710381778376401</v>
      </c>
      <c r="AN4601">
        <v>0.99999996172501104</v>
      </c>
    </row>
    <row r="4602" spans="1:40" x14ac:dyDescent="0.25">
      <c r="A4602" t="str">
        <f>"20190312154652418"</f>
        <v>20190312154652418</v>
      </c>
      <c r="B4602" t="str">
        <f>"1552376812412273"</f>
        <v>1552376812412273</v>
      </c>
      <c r="C4602" t="s">
        <v>40</v>
      </c>
      <c r="D4602">
        <v>4.960966</v>
      </c>
      <c r="E4602">
        <v>0.43944899999999998</v>
      </c>
      <c r="F4602" t="s">
        <v>42</v>
      </c>
      <c r="G4602">
        <v>-394.67930000000001</v>
      </c>
      <c r="H4602" s="1">
        <v>-3.2530649999999999E-6</v>
      </c>
      <c r="I4602">
        <v>22.463039999999999</v>
      </c>
      <c r="J4602">
        <v>-407.99689999999998</v>
      </c>
      <c r="K4602">
        <v>1.114897</v>
      </c>
      <c r="L4602">
        <v>26.149290000000001</v>
      </c>
      <c r="M4602">
        <v>0.90846300000000002</v>
      </c>
      <c r="N4602">
        <v>0</v>
      </c>
      <c r="O4602">
        <v>-0.41772090000000001</v>
      </c>
      <c r="P4602">
        <v>0.90457069999999995</v>
      </c>
      <c r="Q4602">
        <v>5.4831919999999999E-2</v>
      </c>
      <c r="R4602">
        <v>-0.42278320000000003</v>
      </c>
      <c r="S4602">
        <v>2.9508670000000001</v>
      </c>
      <c r="T4602">
        <v>-0.24417839999999999</v>
      </c>
      <c r="U4602">
        <v>-0.82147219999999999</v>
      </c>
      <c r="V4602">
        <v>5.4307189999999997E-3</v>
      </c>
      <c r="W4602">
        <v>6.9173659999999998E-2</v>
      </c>
      <c r="X4602">
        <v>0.99758979999999997</v>
      </c>
      <c r="Y4602">
        <v>-0.15708820000000001</v>
      </c>
      <c r="Z4602">
        <v>3.8957329999999998E-2</v>
      </c>
      <c r="AA4602">
        <v>0.98681589999999997</v>
      </c>
      <c r="AB4602">
        <v>21</v>
      </c>
      <c r="AC4602">
        <v>13.317599999999899</v>
      </c>
      <c r="AD4602">
        <v>-1.1149002530650001</v>
      </c>
      <c r="AE4602">
        <v>-3.6862499999999998</v>
      </c>
      <c r="AF4602">
        <v>-2.2001221773803699</v>
      </c>
      <c r="AG4602">
        <v>-1.1149002530650001</v>
      </c>
      <c r="AH4602">
        <v>13.5515472075947</v>
      </c>
      <c r="AI4602">
        <v>94.642675405715806</v>
      </c>
      <c r="AJ4602">
        <v>99.221630139084994</v>
      </c>
      <c r="AK4602">
        <v>13.7741777209876</v>
      </c>
      <c r="AL4602">
        <v>86.033473423089603</v>
      </c>
      <c r="AM4602">
        <v>89.688094039533794</v>
      </c>
      <c r="AN4602">
        <v>0.99999994850534502</v>
      </c>
    </row>
    <row r="4603" spans="1:40" x14ac:dyDescent="0.25">
      <c r="A4603" t="str">
        <f>"20190312154652430"</f>
        <v>20190312154652430</v>
      </c>
      <c r="B4603" t="str">
        <f>"1552376812422032"</f>
        <v>1552376812422032</v>
      </c>
      <c r="C4603" t="s">
        <v>40</v>
      </c>
      <c r="D4603">
        <v>5.0238709999999998</v>
      </c>
      <c r="E4603">
        <v>0.44013439999999998</v>
      </c>
      <c r="F4603" t="s">
        <v>42</v>
      </c>
      <c r="G4603">
        <v>-394.55360000000002</v>
      </c>
      <c r="H4603" s="1">
        <v>-3.308002E-6</v>
      </c>
      <c r="I4603">
        <v>22.44633</v>
      </c>
      <c r="J4603">
        <v>-407.88389999999998</v>
      </c>
      <c r="K4603">
        <v>1.1148290000000001</v>
      </c>
      <c r="L4603">
        <v>26.103300000000001</v>
      </c>
      <c r="M4603">
        <v>0.91043099999999999</v>
      </c>
      <c r="N4603">
        <v>0</v>
      </c>
      <c r="O4603">
        <v>-0.41341440000000002</v>
      </c>
      <c r="P4603">
        <v>0.90641989999999995</v>
      </c>
      <c r="Q4603">
        <v>5.5493769999999998E-2</v>
      </c>
      <c r="R4603">
        <v>-0.41871639999999999</v>
      </c>
      <c r="S4603">
        <v>2.951355</v>
      </c>
      <c r="T4603">
        <v>-0.2447675</v>
      </c>
      <c r="U4603">
        <v>-0.81295779999999995</v>
      </c>
      <c r="V4603">
        <v>5.695515E-3</v>
      </c>
      <c r="W4603">
        <v>6.9820610000000005E-2</v>
      </c>
      <c r="X4603">
        <v>0.99754330000000002</v>
      </c>
      <c r="Y4603">
        <v>-0.15510660000000001</v>
      </c>
      <c r="Z4603">
        <v>3.866936E-2</v>
      </c>
      <c r="AA4603">
        <v>0.98714069999999998</v>
      </c>
      <c r="AB4603">
        <v>21</v>
      </c>
      <c r="AC4603">
        <v>13.3302999999999</v>
      </c>
      <c r="AD4603">
        <v>-1.1148323080019999</v>
      </c>
      <c r="AE4603">
        <v>-3.6569699999999998</v>
      </c>
      <c r="AF4603">
        <v>-2.1676417796780201</v>
      </c>
      <c r="AG4603">
        <v>-1.1148323080019999</v>
      </c>
      <c r="AH4603">
        <v>13.5613420806761</v>
      </c>
      <c r="AI4603">
        <v>94.640877730863906</v>
      </c>
      <c r="AJ4603">
        <v>99.0813252690224</v>
      </c>
      <c r="AK4603">
        <v>13.778661799648299</v>
      </c>
      <c r="AL4603">
        <v>85.996316265260603</v>
      </c>
      <c r="AM4603">
        <v>89.672870916241905</v>
      </c>
      <c r="AN4603">
        <v>0.99999999592338795</v>
      </c>
    </row>
    <row r="4604" spans="1:40" x14ac:dyDescent="0.25">
      <c r="A4604" t="str">
        <f>"20190312154652444"</f>
        <v>20190312154652444</v>
      </c>
      <c r="B4604" t="str">
        <f>"1552376812432768"</f>
        <v>1552376812432768</v>
      </c>
      <c r="C4604" t="s">
        <v>40</v>
      </c>
      <c r="D4604">
        <v>4.9734930000000004</v>
      </c>
      <c r="E4604">
        <v>0.44089780000000001</v>
      </c>
      <c r="F4604" t="s">
        <v>42</v>
      </c>
      <c r="G4604">
        <v>-394.36739999999998</v>
      </c>
      <c r="H4604" s="1">
        <v>-3.3885959999999999E-6</v>
      </c>
      <c r="I4604">
        <v>22.418399999999998</v>
      </c>
      <c r="J4604">
        <v>-407.76909999999998</v>
      </c>
      <c r="K4604">
        <v>1.11476</v>
      </c>
      <c r="L4604">
        <v>26.057009999999998</v>
      </c>
      <c r="M4604">
        <v>0.912385</v>
      </c>
      <c r="N4604">
        <v>0</v>
      </c>
      <c r="O4604">
        <v>-0.40908430000000001</v>
      </c>
      <c r="P4604">
        <v>0.90832250000000003</v>
      </c>
      <c r="Q4604">
        <v>5.5711089999999998E-2</v>
      </c>
      <c r="R4604">
        <v>-0.41454429999999998</v>
      </c>
      <c r="S4604">
        <v>2.9527589999999999</v>
      </c>
      <c r="T4604">
        <v>-0.24354290000000001</v>
      </c>
      <c r="U4604">
        <v>-0.80499270000000001</v>
      </c>
      <c r="V4604">
        <v>5.8633280000000001E-3</v>
      </c>
      <c r="W4604">
        <v>7.0022769999999998E-2</v>
      </c>
      <c r="X4604">
        <v>0.99752810000000003</v>
      </c>
      <c r="Y4604">
        <v>-0.15304509999999999</v>
      </c>
      <c r="Z4604">
        <v>3.807816E-2</v>
      </c>
      <c r="AA4604">
        <v>0.98748530000000001</v>
      </c>
      <c r="AB4604">
        <v>21</v>
      </c>
      <c r="AC4604">
        <v>13.4017</v>
      </c>
      <c r="AD4604">
        <v>-1.114763388596</v>
      </c>
      <c r="AE4604">
        <v>-3.6386099999999999</v>
      </c>
      <c r="AF4604">
        <v>-2.1489840201839798</v>
      </c>
      <c r="AG4604">
        <v>-1.114763388596</v>
      </c>
      <c r="AH4604">
        <v>13.6295758413969</v>
      </c>
      <c r="AI4604">
        <v>94.619005118064905</v>
      </c>
      <c r="AJ4604">
        <v>98.960099003816694</v>
      </c>
      <c r="AK4604">
        <v>13.842910364079801</v>
      </c>
      <c r="AL4604">
        <v>85.984704700974305</v>
      </c>
      <c r="AM4604">
        <v>89.663227452424394</v>
      </c>
      <c r="AN4604">
        <v>0.99999993861165704</v>
      </c>
    </row>
    <row r="4605" spans="1:40" x14ac:dyDescent="0.25">
      <c r="A4605" t="str">
        <f>"20190312154652456"</f>
        <v>20190312154652456</v>
      </c>
      <c r="B4605" t="str">
        <f>"1552376812442529"</f>
        <v>1552376812442529</v>
      </c>
      <c r="C4605" t="s">
        <v>40</v>
      </c>
      <c r="D4605">
        <v>5.014227</v>
      </c>
      <c r="E4605">
        <v>0.44158900000000001</v>
      </c>
      <c r="F4605" t="s">
        <v>42</v>
      </c>
      <c r="G4605">
        <v>-394.2131</v>
      </c>
      <c r="H4605" s="1">
        <v>-3.4561989999999998E-6</v>
      </c>
      <c r="I4605">
        <v>22.398250000000001</v>
      </c>
      <c r="J4605">
        <v>-407.65699999999998</v>
      </c>
      <c r="K4605">
        <v>1.1146879999999999</v>
      </c>
      <c r="L4605">
        <v>26.01248</v>
      </c>
      <c r="M4605">
        <v>0.91423089999999996</v>
      </c>
      <c r="N4605">
        <v>0</v>
      </c>
      <c r="O4605">
        <v>-0.40494289999999999</v>
      </c>
      <c r="P4605">
        <v>0.91003270000000003</v>
      </c>
      <c r="Q4605">
        <v>5.5941400000000002E-2</v>
      </c>
      <c r="R4605">
        <v>-0.41074519999999998</v>
      </c>
      <c r="S4605">
        <v>2.9538570000000002</v>
      </c>
      <c r="T4605">
        <v>-0.24290600000000001</v>
      </c>
      <c r="U4605">
        <v>-0.79724119999999998</v>
      </c>
      <c r="V4605">
        <v>6.2348430000000003E-3</v>
      </c>
      <c r="W4605">
        <v>7.0239190000000007E-2</v>
      </c>
      <c r="X4605">
        <v>0.99751069999999997</v>
      </c>
      <c r="Y4605">
        <v>-0.1510966</v>
      </c>
      <c r="Z4605">
        <v>3.7602219999999999E-2</v>
      </c>
      <c r="AA4605">
        <v>0.9878036</v>
      </c>
      <c r="AB4605">
        <v>21</v>
      </c>
      <c r="AC4605">
        <v>13.4438999999999</v>
      </c>
      <c r="AD4605">
        <v>-1.114691456199</v>
      </c>
      <c r="AE4605">
        <v>-3.6142299999999898</v>
      </c>
      <c r="AF4605">
        <v>-2.1263555215953698</v>
      </c>
      <c r="AG4605">
        <v>-1.114691456199</v>
      </c>
      <c r="AH4605">
        <v>13.6681505827697</v>
      </c>
      <c r="AI4605">
        <v>94.607202255742493</v>
      </c>
      <c r="AJ4605">
        <v>98.842628076988206</v>
      </c>
      <c r="AK4605">
        <v>13.8774012408667</v>
      </c>
      <c r="AL4605">
        <v>85.972274416238903</v>
      </c>
      <c r="AM4605">
        <v>89.641883001453095</v>
      </c>
      <c r="AN4605">
        <v>1.00000000684679</v>
      </c>
    </row>
    <row r="4606" spans="1:40" x14ac:dyDescent="0.25">
      <c r="A4606" t="str">
        <f>"20190312154652473"</f>
        <v>20190312154652473</v>
      </c>
      <c r="B4606" t="str">
        <f>"1552376812462048"</f>
        <v>1552376812462048</v>
      </c>
      <c r="C4606" t="s">
        <v>40</v>
      </c>
      <c r="D4606">
        <v>5.0003710000000003</v>
      </c>
      <c r="E4606">
        <v>0.45304929999999899</v>
      </c>
      <c r="F4606" t="s">
        <v>42</v>
      </c>
      <c r="G4606">
        <v>-394.07260000000002</v>
      </c>
      <c r="H4606" s="1">
        <v>-3.517844E-6</v>
      </c>
      <c r="I4606">
        <v>22.380320000000001</v>
      </c>
      <c r="J4606">
        <v>-407.51049999999998</v>
      </c>
      <c r="K4606">
        <v>1.11459</v>
      </c>
      <c r="L4606">
        <v>25.95505</v>
      </c>
      <c r="M4606">
        <v>0.91657829999999996</v>
      </c>
      <c r="N4606">
        <v>0</v>
      </c>
      <c r="O4606">
        <v>-0.39960180000000001</v>
      </c>
      <c r="P4606">
        <v>0.91217809999999999</v>
      </c>
      <c r="Q4606">
        <v>5.6491710000000001E-2</v>
      </c>
      <c r="R4606">
        <v>-0.40588190000000002</v>
      </c>
      <c r="S4606">
        <v>2.954895</v>
      </c>
      <c r="T4606">
        <v>-0.24246809999999999</v>
      </c>
      <c r="U4606">
        <v>-0.79006960000000004</v>
      </c>
      <c r="V4606">
        <v>6.7560919999999896E-3</v>
      </c>
      <c r="W4606">
        <v>7.0770949999999999E-2</v>
      </c>
      <c r="X4606">
        <v>0.99746970000000001</v>
      </c>
      <c r="Y4606">
        <v>-0.14768220000000001</v>
      </c>
      <c r="Z4606">
        <v>3.7010790000000002E-2</v>
      </c>
      <c r="AA4606">
        <v>0.9883421</v>
      </c>
      <c r="AB4606">
        <v>21</v>
      </c>
      <c r="AC4606">
        <v>13.4378999999999</v>
      </c>
      <c r="AD4606">
        <v>-1.1145935178440001</v>
      </c>
      <c r="AE4606">
        <v>-3.57472999999999</v>
      </c>
      <c r="AF4606">
        <v>-2.08013623213153</v>
      </c>
      <c r="AG4606">
        <v>-1.1145935178440001</v>
      </c>
      <c r="AH4606">
        <v>13.6589893166179</v>
      </c>
      <c r="AI4606">
        <v>94.612139718147205</v>
      </c>
      <c r="AJ4606">
        <v>98.659078302438601</v>
      </c>
      <c r="AK4606">
        <v>13.8613590461299</v>
      </c>
      <c r="AL4606">
        <v>85.9417307226351</v>
      </c>
      <c r="AM4606">
        <v>89.611928424275902</v>
      </c>
      <c r="AN4606">
        <v>0.99999998728055195</v>
      </c>
    </row>
    <row r="4607" spans="1:40" x14ac:dyDescent="0.25">
      <c r="A4607" t="str">
        <f>"20190312154652499"</f>
        <v>20190312154652499</v>
      </c>
      <c r="B4607" t="str">
        <f>"1552376812492305"</f>
        <v>1552376812492305</v>
      </c>
      <c r="C4607" t="s">
        <v>40</v>
      </c>
      <c r="D4607">
        <v>4.9670100000000001</v>
      </c>
      <c r="E4607">
        <v>0.45506720000000001</v>
      </c>
      <c r="F4607" t="s">
        <v>42</v>
      </c>
      <c r="G4607">
        <v>-393.84879999999998</v>
      </c>
      <c r="H4607" s="1">
        <v>-3.5068259999999999E-6</v>
      </c>
      <c r="I4607">
        <v>21.94135</v>
      </c>
      <c r="J4607">
        <v>-407.29390000000001</v>
      </c>
      <c r="K4607">
        <v>1.1144449999999999</v>
      </c>
      <c r="L4607">
        <v>25.87152</v>
      </c>
      <c r="M4607">
        <v>0.91990419999999995</v>
      </c>
      <c r="N4607">
        <v>0</v>
      </c>
      <c r="O4607">
        <v>-0.39188640000000002</v>
      </c>
      <c r="P4607">
        <v>0.91516770000000003</v>
      </c>
      <c r="Q4607">
        <v>5.7335879999999999E-2</v>
      </c>
      <c r="R4607">
        <v>-0.39897529999999998</v>
      </c>
      <c r="S4607">
        <v>2.9216920000000002</v>
      </c>
      <c r="T4607">
        <v>-0.2383662</v>
      </c>
      <c r="U4607">
        <v>-0.85836789999999996</v>
      </c>
      <c r="V4607">
        <v>7.6371649999999996E-3</v>
      </c>
      <c r="W4607">
        <v>7.1587609999999996E-2</v>
      </c>
      <c r="X4607">
        <v>0.99740510000000004</v>
      </c>
      <c r="Y4607">
        <v>-0.11524710000000001</v>
      </c>
      <c r="Z4607">
        <v>3.4782500000000001E-2</v>
      </c>
      <c r="AA4607">
        <v>0.99272769999999999</v>
      </c>
      <c r="AB4607">
        <v>21</v>
      </c>
      <c r="AC4607">
        <v>13.4451</v>
      </c>
      <c r="AD4607">
        <v>-1.1144485068259999</v>
      </c>
      <c r="AE4607">
        <v>-3.9301699999999999</v>
      </c>
      <c r="AF4607">
        <v>-1.64333657797578</v>
      </c>
      <c r="AG4607">
        <v>-1.1144485068259999</v>
      </c>
      <c r="AH4607">
        <v>13.822293264783999</v>
      </c>
      <c r="AI4607">
        <v>94.577509803351404</v>
      </c>
      <c r="AJ4607">
        <v>96.780086592033996</v>
      </c>
      <c r="AK4607">
        <v>13.964180666282299</v>
      </c>
      <c r="AL4607">
        <v>85.894820709858706</v>
      </c>
      <c r="AM4607">
        <v>89.5612928282589</v>
      </c>
      <c r="AN4607">
        <v>1.00000002285037</v>
      </c>
    </row>
    <row r="4608" spans="1:40" x14ac:dyDescent="0.25">
      <c r="A4608" t="str">
        <f>"20190312154652521"</f>
        <v>20190312154652521</v>
      </c>
      <c r="B4608" t="str">
        <f>"1552376812512800"</f>
        <v>1552376812512800</v>
      </c>
      <c r="C4608" t="s">
        <v>40</v>
      </c>
      <c r="D4608">
        <v>4.9870710000000003</v>
      </c>
      <c r="E4608">
        <v>0.45598729999999998</v>
      </c>
      <c r="F4608" t="s">
        <v>42</v>
      </c>
      <c r="G4608">
        <v>-393.53660000000002</v>
      </c>
      <c r="H4608" s="1">
        <v>-3.633654E-6</v>
      </c>
      <c r="I4608">
        <v>21.86337</v>
      </c>
      <c r="J4608">
        <v>-407.10109999999997</v>
      </c>
      <c r="K4608">
        <v>1.1143019999999999</v>
      </c>
      <c r="L4608">
        <v>25.798680000000001</v>
      </c>
      <c r="M4608">
        <v>0.92271119999999995</v>
      </c>
      <c r="N4608">
        <v>0</v>
      </c>
      <c r="O4608">
        <v>-0.3852313</v>
      </c>
      <c r="P4608">
        <v>0.91763380000000005</v>
      </c>
      <c r="Q4608">
        <v>5.8309050000000001E-2</v>
      </c>
      <c r="R4608">
        <v>-0.39312629999999998</v>
      </c>
      <c r="S4608">
        <v>2.921783</v>
      </c>
      <c r="T4608">
        <v>-0.2366878</v>
      </c>
      <c r="U4608">
        <v>-0.85125729999999999</v>
      </c>
      <c r="V4608">
        <v>8.5175730000000005E-3</v>
      </c>
      <c r="W4608">
        <v>7.2535489999999994E-2</v>
      </c>
      <c r="X4608">
        <v>0.99732949999999998</v>
      </c>
      <c r="Y4608">
        <v>-0.1103552</v>
      </c>
      <c r="Z4608">
        <v>3.3879050000000001E-2</v>
      </c>
      <c r="AA4608">
        <v>0.99331460000000005</v>
      </c>
      <c r="AB4608">
        <v>21</v>
      </c>
      <c r="AC4608">
        <v>13.564499999999899</v>
      </c>
      <c r="AD4608">
        <v>-1.114305633654</v>
      </c>
      <c r="AE4608">
        <v>-3.9353099999999901</v>
      </c>
      <c r="AF4608">
        <v>-1.58461210644119</v>
      </c>
      <c r="AG4608">
        <v>-1.114305633654</v>
      </c>
      <c r="AH4608">
        <v>13.946719002171299</v>
      </c>
      <c r="AI4608">
        <v>94.538995740454396</v>
      </c>
      <c r="AJ4608">
        <v>96.482090862620694</v>
      </c>
      <c r="AK4608">
        <v>14.0806123268343</v>
      </c>
      <c r="AL4608">
        <v>85.8403696900494</v>
      </c>
      <c r="AM4608">
        <v>89.510684162047397</v>
      </c>
      <c r="AN4608">
        <v>1.0000000389647901</v>
      </c>
    </row>
    <row r="4609" spans="1:40" x14ac:dyDescent="0.25">
      <c r="A4609" t="str">
        <f>"20190312154652545"</f>
        <v>20190312154652545</v>
      </c>
      <c r="B4609" t="str">
        <f>"1552376812532320"</f>
        <v>1552376812532320</v>
      </c>
      <c r="C4609" t="s">
        <v>40</v>
      </c>
      <c r="D4609">
        <v>4.9822059999999997</v>
      </c>
      <c r="E4609">
        <v>0.45647080000000001</v>
      </c>
      <c r="F4609" t="s">
        <v>42</v>
      </c>
      <c r="G4609">
        <v>-393.20909999999998</v>
      </c>
      <c r="H4609" s="1">
        <v>-3.7747620000000001E-6</v>
      </c>
      <c r="I4609">
        <v>21.811879999999999</v>
      </c>
      <c r="J4609">
        <v>-406.89100000000002</v>
      </c>
      <c r="K4609">
        <v>1.1141259999999999</v>
      </c>
      <c r="L4609">
        <v>25.720759999999999</v>
      </c>
      <c r="M4609">
        <v>0.92559999999999998</v>
      </c>
      <c r="N4609">
        <v>0</v>
      </c>
      <c r="O4609">
        <v>-0.37823950000000001</v>
      </c>
      <c r="P4609">
        <v>0.92027780000000003</v>
      </c>
      <c r="Q4609">
        <v>5.9751220000000001E-2</v>
      </c>
      <c r="R4609">
        <v>-0.3866771</v>
      </c>
      <c r="S4609">
        <v>2.9246219999999998</v>
      </c>
      <c r="T4609">
        <v>-0.2345902</v>
      </c>
      <c r="U4609">
        <v>-0.83932499999999999</v>
      </c>
      <c r="V4609">
        <v>9.1179380000000008E-3</v>
      </c>
      <c r="W4609">
        <v>7.3944549999999998E-2</v>
      </c>
      <c r="X4609">
        <v>0.99722069999999996</v>
      </c>
      <c r="Y4609">
        <v>-0.1068877</v>
      </c>
      <c r="Z4609">
        <v>3.2935880000000001E-2</v>
      </c>
      <c r="AA4609">
        <v>0.99372539999999998</v>
      </c>
      <c r="AB4609">
        <v>21</v>
      </c>
      <c r="AC4609">
        <v>13.681899999999899</v>
      </c>
      <c r="AD4609">
        <v>-1.114129774762</v>
      </c>
      <c r="AE4609">
        <v>-3.9088799999999999</v>
      </c>
      <c r="AF4609">
        <v>-1.54764305643742</v>
      </c>
      <c r="AG4609">
        <v>-1.114129774762</v>
      </c>
      <c r="AH4609">
        <v>14.0576884798199</v>
      </c>
      <c r="AI4609">
        <v>94.504353066591307</v>
      </c>
      <c r="AJ4609">
        <v>96.282522803613105</v>
      </c>
      <c r="AK4609">
        <v>14.186440342129901</v>
      </c>
      <c r="AL4609">
        <v>85.759419046982302</v>
      </c>
      <c r="AM4609">
        <v>89.476139225993194</v>
      </c>
      <c r="AN4609">
        <v>1.00000002888828</v>
      </c>
    </row>
    <row r="4610" spans="1:40" x14ac:dyDescent="0.25">
      <c r="A4610" t="str">
        <f>"20190312154652564"</f>
        <v>20190312154652564</v>
      </c>
      <c r="B4610" t="str">
        <f>"1552376812552816"</f>
        <v>1552376812552816</v>
      </c>
      <c r="C4610" t="s">
        <v>40</v>
      </c>
      <c r="D4610">
        <v>4.9629320000000003</v>
      </c>
      <c r="E4610">
        <v>0.46322370000000002</v>
      </c>
      <c r="F4610" t="s">
        <v>42</v>
      </c>
      <c r="G4610">
        <v>-392.83339999999998</v>
      </c>
      <c r="H4610" s="1">
        <v>-3.9418080000000003E-6</v>
      </c>
      <c r="I4610">
        <v>21.772200000000002</v>
      </c>
      <c r="J4610">
        <v>-406.71859999999998</v>
      </c>
      <c r="K4610">
        <v>1.1139650000000001</v>
      </c>
      <c r="L4610">
        <v>25.657900000000001</v>
      </c>
      <c r="M4610">
        <v>0.92783079999999996</v>
      </c>
      <c r="N4610">
        <v>0</v>
      </c>
      <c r="O4610">
        <v>-0.37273479999999998</v>
      </c>
      <c r="P4610">
        <v>0.92250129999999997</v>
      </c>
      <c r="Q4610">
        <v>6.0164299999999997E-2</v>
      </c>
      <c r="R4610">
        <v>-0.38127640000000002</v>
      </c>
      <c r="S4610">
        <v>2.9292600000000002</v>
      </c>
      <c r="T4610">
        <v>-0.23215720000000001</v>
      </c>
      <c r="U4610">
        <v>-0.82278439999999997</v>
      </c>
      <c r="V4610">
        <v>9.2331830000000007E-3</v>
      </c>
      <c r="W4610">
        <v>7.4324489999999993E-2</v>
      </c>
      <c r="X4610">
        <v>0.99719139999999995</v>
      </c>
      <c r="Y4610">
        <v>-0.10663640000000001</v>
      </c>
      <c r="Z4610">
        <v>3.2176950000000003E-2</v>
      </c>
      <c r="AA4610">
        <v>0.99377729999999997</v>
      </c>
      <c r="AB4610">
        <v>21</v>
      </c>
      <c r="AC4610">
        <v>13.8851999999999</v>
      </c>
      <c r="AD4610">
        <v>-1.1139689418080001</v>
      </c>
      <c r="AE4610">
        <v>-3.8856999999999999</v>
      </c>
      <c r="AF4610">
        <v>-1.56106330081379</v>
      </c>
      <c r="AG4610">
        <v>-1.1139689418080001</v>
      </c>
      <c r="AH4610">
        <v>14.247832003471</v>
      </c>
      <c r="AI4610">
        <v>94.444097241224796</v>
      </c>
      <c r="AJ4610">
        <v>96.252669993886997</v>
      </c>
      <c r="AK4610">
        <v>14.376319495322599</v>
      </c>
      <c r="AL4610">
        <v>85.737590046491803</v>
      </c>
      <c r="AM4610">
        <v>89.469502745411503</v>
      </c>
      <c r="AN4610">
        <v>1.00000003485801</v>
      </c>
    </row>
    <row r="4611" spans="1:40" x14ac:dyDescent="0.25">
      <c r="A4611" t="str">
        <f>"20190312154652579"</f>
        <v>20190312154652579</v>
      </c>
      <c r="B4611" t="str">
        <f>"1552376812572336"</f>
        <v>1552376812572336</v>
      </c>
      <c r="C4611" t="s">
        <v>40</v>
      </c>
      <c r="D4611">
        <v>4.9674149999999999</v>
      </c>
      <c r="E4611">
        <v>0.46433770000000002</v>
      </c>
      <c r="F4611" t="s">
        <v>42</v>
      </c>
      <c r="G4611">
        <v>-393.39330000000001</v>
      </c>
      <c r="H4611" s="1">
        <v>-3.6697280000000001E-6</v>
      </c>
      <c r="I4611">
        <v>21.74436</v>
      </c>
      <c r="J4611">
        <v>-406.58589999999998</v>
      </c>
      <c r="K4611">
        <v>1.113842</v>
      </c>
      <c r="L4611">
        <v>25.610199999999999</v>
      </c>
      <c r="M4611">
        <v>0.92946669999999998</v>
      </c>
      <c r="N4611">
        <v>0</v>
      </c>
      <c r="O4611">
        <v>-0.3686371</v>
      </c>
      <c r="P4611">
        <v>0.92417930000000004</v>
      </c>
      <c r="Q4611">
        <v>6.0203069999999997E-2</v>
      </c>
      <c r="R4611">
        <v>-0.37718469999999998</v>
      </c>
      <c r="S4611">
        <v>2.9141539999999999</v>
      </c>
      <c r="T4611">
        <v>-0.2436179</v>
      </c>
      <c r="U4611">
        <v>-0.85586549999999995</v>
      </c>
      <c r="V4611">
        <v>9.2372670000000004E-3</v>
      </c>
      <c r="W4611">
        <v>7.4337340000000002E-2</v>
      </c>
      <c r="X4611">
        <v>0.99719040000000003</v>
      </c>
      <c r="Y4611">
        <v>-9.0398939999999997E-2</v>
      </c>
      <c r="Z4611">
        <v>3.2889599999999998E-2</v>
      </c>
      <c r="AA4611">
        <v>0.99536239999999998</v>
      </c>
      <c r="AB4611">
        <v>21</v>
      </c>
      <c r="AC4611">
        <v>13.192599999999899</v>
      </c>
      <c r="AD4611">
        <v>-1.1138456697279999</v>
      </c>
      <c r="AE4611">
        <v>-3.8658399999999902</v>
      </c>
      <c r="AF4611">
        <v>-1.2619539303258001</v>
      </c>
      <c r="AG4611">
        <v>-1.1138456697279999</v>
      </c>
      <c r="AH4611">
        <v>13.5992574380855</v>
      </c>
      <c r="AI4611">
        <v>94.662410498764601</v>
      </c>
      <c r="AJ4611">
        <v>95.301624766037705</v>
      </c>
      <c r="AK4611">
        <v>13.7030282334074</v>
      </c>
      <c r="AL4611">
        <v>85.736851734900398</v>
      </c>
      <c r="AM4611">
        <v>89.469267578323795</v>
      </c>
      <c r="AN4611">
        <v>1.0000000305360299</v>
      </c>
    </row>
    <row r="4612" spans="1:40" x14ac:dyDescent="0.25">
      <c r="A4612" t="str">
        <f>"20190312154652596"</f>
        <v>20190312154652596</v>
      </c>
      <c r="B4612" t="str">
        <f>"1552376812592832"</f>
        <v>1552376812592832</v>
      </c>
      <c r="C4612" t="s">
        <v>40</v>
      </c>
      <c r="D4612">
        <v>4.9172010000000004</v>
      </c>
      <c r="E4612">
        <v>0.4633005</v>
      </c>
      <c r="F4612" t="s">
        <v>42</v>
      </c>
      <c r="G4612">
        <v>-393.435</v>
      </c>
      <c r="H4612" s="1">
        <v>-3.6566420000000002E-6</v>
      </c>
      <c r="I4612">
        <v>21.76923</v>
      </c>
      <c r="J4612">
        <v>-406.43310000000002</v>
      </c>
      <c r="K4612">
        <v>1.1137030000000001</v>
      </c>
      <c r="L4612">
        <v>25.555879999999998</v>
      </c>
      <c r="M4612">
        <v>0.93127530000000003</v>
      </c>
      <c r="N4612">
        <v>0</v>
      </c>
      <c r="O4612">
        <v>-0.36404530000000002</v>
      </c>
      <c r="P4612">
        <v>0.9259115</v>
      </c>
      <c r="Q4612">
        <v>6.0121420000000002E-2</v>
      </c>
      <c r="R4612">
        <v>-0.37292589999999998</v>
      </c>
      <c r="S4612">
        <v>2.9147949999999998</v>
      </c>
      <c r="T4612">
        <v>-0.2468746</v>
      </c>
      <c r="U4612">
        <v>-0.85131840000000003</v>
      </c>
      <c r="V4612">
        <v>9.5923129999999999E-3</v>
      </c>
      <c r="W4612">
        <v>7.423035E-2</v>
      </c>
      <c r="X4612">
        <v>0.99719500000000005</v>
      </c>
      <c r="Y4612">
        <v>-8.6958869999999994E-2</v>
      </c>
      <c r="Z4612">
        <v>3.2838220000000001E-2</v>
      </c>
      <c r="AA4612">
        <v>0.99567059999999996</v>
      </c>
      <c r="AB4612">
        <v>21</v>
      </c>
      <c r="AC4612">
        <v>12.998100000000001</v>
      </c>
      <c r="AD4612">
        <v>-1.113706656642</v>
      </c>
      <c r="AE4612">
        <v>-3.7866499999999901</v>
      </c>
      <c r="AF4612">
        <v>-1.19749892900141</v>
      </c>
      <c r="AG4612">
        <v>-1.113706656642</v>
      </c>
      <c r="AH4612">
        <v>13.3940131586006</v>
      </c>
      <c r="AI4612">
        <v>94.7343884268343</v>
      </c>
      <c r="AJ4612">
        <v>95.108976176112705</v>
      </c>
      <c r="AK4612">
        <v>13.4934774870963</v>
      </c>
      <c r="AL4612">
        <v>85.742998717472901</v>
      </c>
      <c r="AM4612">
        <v>89.448871985931305</v>
      </c>
      <c r="AN4612">
        <v>1.0000000126774</v>
      </c>
    </row>
    <row r="4613" spans="1:40" x14ac:dyDescent="0.25">
      <c r="A4613" t="str">
        <f>"20190312154652611"</f>
        <v>20190312154652611</v>
      </c>
      <c r="B4613" t="str">
        <f>"1552376812602592"</f>
        <v>1552376812602592</v>
      </c>
      <c r="C4613" t="s">
        <v>40</v>
      </c>
      <c r="D4613">
        <v>4.9361290000000002</v>
      </c>
      <c r="E4613">
        <v>0.44740970000000002</v>
      </c>
      <c r="F4613" t="s">
        <v>42</v>
      </c>
      <c r="G4613">
        <v>-393.17349999999999</v>
      </c>
      <c r="H4613" s="1">
        <v>-3.7848959999999999E-6</v>
      </c>
      <c r="I4613">
        <v>21.786660000000001</v>
      </c>
      <c r="J4613">
        <v>-406.30220000000003</v>
      </c>
      <c r="K4613">
        <v>1.1135820000000001</v>
      </c>
      <c r="L4613">
        <v>25.509830000000001</v>
      </c>
      <c r="M4613">
        <v>0.93275160000000001</v>
      </c>
      <c r="N4613">
        <v>0</v>
      </c>
      <c r="O4613">
        <v>-0.36024650000000003</v>
      </c>
      <c r="P4613">
        <v>0.92750339999999998</v>
      </c>
      <c r="Q4613">
        <v>6.0513150000000002E-2</v>
      </c>
      <c r="R4613">
        <v>-0.3688844</v>
      </c>
      <c r="S4613">
        <v>2.9215089999999999</v>
      </c>
      <c r="T4613">
        <v>-0.24538399999999999</v>
      </c>
      <c r="U4613">
        <v>-0.83047490000000002</v>
      </c>
      <c r="V4613">
        <v>9.3360549999999994E-3</v>
      </c>
      <c r="W4613">
        <v>7.4595069999999999E-2</v>
      </c>
      <c r="X4613">
        <v>0.99717020000000001</v>
      </c>
      <c r="Y4613">
        <v>-9.0094350000000004E-2</v>
      </c>
      <c r="Z4613">
        <v>3.2451010000000002E-2</v>
      </c>
      <c r="AA4613">
        <v>0.99540439999999997</v>
      </c>
      <c r="AB4613">
        <v>21</v>
      </c>
      <c r="AC4613">
        <v>13.1287</v>
      </c>
      <c r="AD4613">
        <v>-1.113585784896</v>
      </c>
      <c r="AE4613">
        <v>-3.7231699999999899</v>
      </c>
      <c r="AF4613">
        <v>-1.2485848610532599</v>
      </c>
      <c r="AG4613">
        <v>-1.113585784896</v>
      </c>
      <c r="AH4613">
        <v>13.498525943398</v>
      </c>
      <c r="AI4613">
        <v>94.696085120278198</v>
      </c>
      <c r="AJ4613">
        <v>95.284699932731399</v>
      </c>
      <c r="AK4613">
        <v>13.6018101773316</v>
      </c>
      <c r="AL4613">
        <v>85.722043636940299</v>
      </c>
      <c r="AM4613">
        <v>89.463581122019903</v>
      </c>
      <c r="AN4613">
        <v>0.99999999707965304</v>
      </c>
    </row>
    <row r="4614" spans="1:40" x14ac:dyDescent="0.25">
      <c r="A4614" t="str">
        <f>"20190312154652624"</f>
        <v>20190312154652624</v>
      </c>
      <c r="B4614" t="str">
        <f>"1552376812612353"</f>
        <v>1552376812612353</v>
      </c>
      <c r="C4614" t="s">
        <v>40</v>
      </c>
      <c r="D4614">
        <v>4.8980040000000002</v>
      </c>
      <c r="E4614">
        <v>0.44639659999999898</v>
      </c>
      <c r="F4614" t="s">
        <v>42</v>
      </c>
      <c r="G4614">
        <v>-391.45800000000003</v>
      </c>
      <c r="H4614" s="1">
        <v>-4.5757519999999998E-6</v>
      </c>
      <c r="I4614">
        <v>22.008700000000001</v>
      </c>
      <c r="J4614">
        <v>-406.18830000000003</v>
      </c>
      <c r="K4614">
        <v>1.1134729999999999</v>
      </c>
      <c r="L4614">
        <v>25.47</v>
      </c>
      <c r="M4614">
        <v>0.93398950000000003</v>
      </c>
      <c r="N4614">
        <v>0</v>
      </c>
      <c r="O4614">
        <v>-0.3570257</v>
      </c>
      <c r="P4614">
        <v>0.92875920000000001</v>
      </c>
      <c r="Q4614">
        <v>6.0991839999999999E-2</v>
      </c>
      <c r="R4614">
        <v>-0.36563190000000001</v>
      </c>
      <c r="S4614">
        <v>2.9703979999999999</v>
      </c>
      <c r="T4614">
        <v>-0.2228339</v>
      </c>
      <c r="U4614">
        <v>-0.70059199999999999</v>
      </c>
      <c r="V4614">
        <v>9.3104490000000002E-3</v>
      </c>
      <c r="W4614">
        <v>7.5051549999999995E-2</v>
      </c>
      <c r="X4614">
        <v>0.99713620000000003</v>
      </c>
      <c r="Y4614">
        <v>-0.13185539999999901</v>
      </c>
      <c r="Z4614">
        <v>3.0542369999999999E-2</v>
      </c>
      <c r="AA4614">
        <v>0.99079830000000002</v>
      </c>
      <c r="AB4614">
        <v>21</v>
      </c>
      <c r="AC4614">
        <v>14.7303</v>
      </c>
      <c r="AD4614">
        <v>-1.1134775757519999</v>
      </c>
      <c r="AE4614">
        <v>-3.4612999999999898</v>
      </c>
      <c r="AF4614">
        <v>-2.0155624022196599</v>
      </c>
      <c r="AG4614">
        <v>-1.1134775757519999</v>
      </c>
      <c r="AH4614">
        <v>14.9144284508279</v>
      </c>
      <c r="AI4614">
        <v>94.2313300780975</v>
      </c>
      <c r="AJ4614">
        <v>97.696425592718896</v>
      </c>
      <c r="AK4614">
        <v>15.0911397887572</v>
      </c>
      <c r="AL4614">
        <v>85.695815795144199</v>
      </c>
      <c r="AM4614">
        <v>89.465034033172401</v>
      </c>
      <c r="AN4614">
        <v>1.0000000104842099</v>
      </c>
    </row>
    <row r="4615" spans="1:40" x14ac:dyDescent="0.25">
      <c r="A4615" t="str">
        <f>"20190312154652643"</f>
        <v>20190312154652643</v>
      </c>
      <c r="B4615" t="str">
        <f>"1552376812632848"</f>
        <v>1552376812632848</v>
      </c>
      <c r="C4615" t="s">
        <v>40</v>
      </c>
      <c r="D4615">
        <v>4.9012529999999996</v>
      </c>
      <c r="E4615">
        <v>0.44666460000000002</v>
      </c>
      <c r="F4615" t="s">
        <v>42</v>
      </c>
      <c r="G4615">
        <v>-391.0539</v>
      </c>
      <c r="H4615" s="1">
        <v>-4.7286799999999996E-6</v>
      </c>
      <c r="I4615">
        <v>21.995940000000001</v>
      </c>
      <c r="J4615">
        <v>-406.02</v>
      </c>
      <c r="K4615">
        <v>1.113297</v>
      </c>
      <c r="L4615">
        <v>25.411829999999998</v>
      </c>
      <c r="M4615">
        <v>0.93570200000000003</v>
      </c>
      <c r="N4615">
        <v>0</v>
      </c>
      <c r="O4615">
        <v>-0.352514099999999</v>
      </c>
      <c r="P4615">
        <v>0.9304848</v>
      </c>
      <c r="Q4615">
        <v>6.1996719999999998E-2</v>
      </c>
      <c r="R4615">
        <v>-0.36104619999999998</v>
      </c>
      <c r="S4615">
        <v>2.975616</v>
      </c>
      <c r="T4615">
        <v>-0.2189236</v>
      </c>
      <c r="U4615">
        <v>-0.6830444</v>
      </c>
      <c r="V4615">
        <v>9.253542E-3</v>
      </c>
      <c r="W4615">
        <v>7.6021050000000007E-2</v>
      </c>
      <c r="X4615">
        <v>0.99706329999999999</v>
      </c>
      <c r="Y4615">
        <v>-0.1330557</v>
      </c>
      <c r="Z4615">
        <v>2.972298E-2</v>
      </c>
      <c r="AA4615">
        <v>0.99066279999999995</v>
      </c>
      <c r="AB4615">
        <v>21</v>
      </c>
      <c r="AC4615">
        <v>14.9660999999999</v>
      </c>
      <c r="AD4615">
        <v>-1.11330172867999</v>
      </c>
      <c r="AE4615">
        <v>-3.4158899999999899</v>
      </c>
      <c r="AF4615">
        <v>-2.0688283117811999</v>
      </c>
      <c r="AG4615">
        <v>-1.11330172867999</v>
      </c>
      <c r="AH4615">
        <v>15.129869210388501</v>
      </c>
      <c r="AI4615">
        <v>94.169750760744094</v>
      </c>
      <c r="AJ4615">
        <v>97.786223796812294</v>
      </c>
      <c r="AK4615">
        <v>15.311186552523299</v>
      </c>
      <c r="AL4615">
        <v>85.640108450528999</v>
      </c>
      <c r="AM4615">
        <v>89.468264772511105</v>
      </c>
      <c r="AN4615">
        <v>1.0000000261447599</v>
      </c>
    </row>
    <row r="4616" spans="1:40" x14ac:dyDescent="0.25">
      <c r="A4616" t="str">
        <f>"20190312154652657"</f>
        <v>20190312154652657</v>
      </c>
      <c r="B4616" t="str">
        <f>"1552376812652369"</f>
        <v>1552376812652369</v>
      </c>
      <c r="C4616" t="s">
        <v>40</v>
      </c>
      <c r="D4616">
        <v>4.8675459999999999</v>
      </c>
      <c r="E4616">
        <v>0.44757940000000002</v>
      </c>
      <c r="F4616" t="s">
        <v>42</v>
      </c>
      <c r="G4616">
        <v>-390.26240000000001</v>
      </c>
      <c r="H4616" s="1">
        <v>-5.0089240000000003E-6</v>
      </c>
      <c r="I4616">
        <v>21.862349999999999</v>
      </c>
      <c r="J4616">
        <v>-405.90019999999998</v>
      </c>
      <c r="K4616">
        <v>1.113173</v>
      </c>
      <c r="L4616">
        <v>25.37088</v>
      </c>
      <c r="M4616">
        <v>0.93684350000000005</v>
      </c>
      <c r="N4616">
        <v>0</v>
      </c>
      <c r="O4616">
        <v>-0.34947009999999901</v>
      </c>
      <c r="P4616">
        <v>0.93165399999999998</v>
      </c>
      <c r="Q4616">
        <v>6.2677640000000007E-2</v>
      </c>
      <c r="R4616">
        <v>-0.3579002</v>
      </c>
      <c r="S4616">
        <v>2.9778440000000002</v>
      </c>
      <c r="T4616">
        <v>-0.2103903</v>
      </c>
      <c r="U4616">
        <v>-0.67077640000000005</v>
      </c>
      <c r="V4616">
        <v>9.1621629999999992E-3</v>
      </c>
      <c r="W4616">
        <v>7.6675729999999997E-2</v>
      </c>
      <c r="X4616">
        <v>0.99701399999999996</v>
      </c>
      <c r="Y4616">
        <v>-0.1339717</v>
      </c>
      <c r="Z4616">
        <v>2.839831E-2</v>
      </c>
      <c r="AA4616">
        <v>0.99057819999999996</v>
      </c>
      <c r="AB4616">
        <v>21</v>
      </c>
      <c r="AC4616">
        <v>15.637799999999899</v>
      </c>
      <c r="AD4616">
        <v>-1.113178008924</v>
      </c>
      <c r="AE4616">
        <v>-3.5085299999999999</v>
      </c>
      <c r="AF4616">
        <v>-2.1677540456423099</v>
      </c>
      <c r="AG4616">
        <v>-1.113178008924</v>
      </c>
      <c r="AH4616">
        <v>15.8016107935977</v>
      </c>
      <c r="AI4616">
        <v>93.992394948223193</v>
      </c>
      <c r="AJ4616">
        <v>97.811398313710797</v>
      </c>
      <c r="AK4616">
        <v>15.988409131439401</v>
      </c>
      <c r="AL4616">
        <v>85.602488192800706</v>
      </c>
      <c r="AM4616">
        <v>89.473489344548796</v>
      </c>
      <c r="AN4616">
        <v>1.0000000144989301</v>
      </c>
    </row>
    <row r="4617" spans="1:40" x14ac:dyDescent="0.25">
      <c r="A4617" t="str">
        <f>"20190312154652675"</f>
        <v>20190312154652675</v>
      </c>
      <c r="B4617" t="str">
        <f>"1552376812662129"</f>
        <v>1552376812662129</v>
      </c>
      <c r="C4617" t="s">
        <v>40</v>
      </c>
      <c r="D4617">
        <v>4.8649990000000001</v>
      </c>
      <c r="E4617">
        <v>0.44825029999999999</v>
      </c>
      <c r="F4617" t="s">
        <v>80</v>
      </c>
      <c r="G4617">
        <v>-389.59910000000002</v>
      </c>
      <c r="H4617" s="1">
        <v>-7.4824630000000002E-7</v>
      </c>
      <c r="I4617">
        <v>21.714590000000001</v>
      </c>
      <c r="J4617">
        <v>-405.73390000000001</v>
      </c>
      <c r="K4617">
        <v>1.1129770000000001</v>
      </c>
      <c r="L4617">
        <v>25.31439</v>
      </c>
      <c r="M4617">
        <v>0.93834479999999998</v>
      </c>
      <c r="N4617">
        <v>0</v>
      </c>
      <c r="O4617">
        <v>-0.34542030000000001</v>
      </c>
      <c r="P4617">
        <v>0.93330299999999999</v>
      </c>
      <c r="Q4617">
        <v>6.3630249999999999E-2</v>
      </c>
      <c r="R4617">
        <v>-0.353408</v>
      </c>
      <c r="S4617">
        <v>2.9772340000000002</v>
      </c>
      <c r="T4617">
        <v>-0.2033103</v>
      </c>
      <c r="U4617">
        <v>-0.66778559999999998</v>
      </c>
      <c r="V4617">
        <v>8.7180139999999996E-3</v>
      </c>
      <c r="W4617">
        <v>7.7590439999999997E-2</v>
      </c>
      <c r="X4617">
        <v>0.99694720000000003</v>
      </c>
      <c r="Y4617">
        <v>-0.1306813</v>
      </c>
      <c r="Z4617">
        <v>2.70893E-2</v>
      </c>
      <c r="AA4617">
        <v>0.99105430000000005</v>
      </c>
      <c r="AB4617">
        <v>21</v>
      </c>
      <c r="AC4617">
        <v>16.134799999999899</v>
      </c>
      <c r="AD4617">
        <v>-1.1129777482462999</v>
      </c>
      <c r="AE4617">
        <v>-3.5997999999999899</v>
      </c>
      <c r="AF4617">
        <v>-2.1857395588654498</v>
      </c>
      <c r="AG4617">
        <v>-1.1129777482462999</v>
      </c>
      <c r="AH4617">
        <v>16.311105953074499</v>
      </c>
      <c r="AI4617">
        <v>93.869013149814705</v>
      </c>
      <c r="AJ4617">
        <v>97.632347305452697</v>
      </c>
      <c r="AK4617">
        <v>16.494494666394001</v>
      </c>
      <c r="AL4617">
        <v>85.549922500763699</v>
      </c>
      <c r="AM4617">
        <v>89.498977803302296</v>
      </c>
      <c r="AN4617">
        <v>0.99999999986766896</v>
      </c>
    </row>
    <row r="4618" spans="1:40" x14ac:dyDescent="0.25">
      <c r="A4618" t="str">
        <f>"20190312154652698"</f>
        <v>20190312154652698</v>
      </c>
      <c r="B4618" t="str">
        <f>"1552376812692385"</f>
        <v>1552376812692385</v>
      </c>
      <c r="C4618" t="s">
        <v>40</v>
      </c>
      <c r="D4618">
        <v>4.8783799999999999</v>
      </c>
      <c r="E4618">
        <v>0.44975409999999999</v>
      </c>
      <c r="F4618" t="s">
        <v>80</v>
      </c>
      <c r="G4618">
        <v>-389.13010000000003</v>
      </c>
      <c r="H4618" s="1">
        <v>-9.5104090000000001E-7</v>
      </c>
      <c r="I4618">
        <v>21.643550000000001</v>
      </c>
      <c r="J4618">
        <v>-405.53649999999999</v>
      </c>
      <c r="K4618">
        <v>1.1127419999999999</v>
      </c>
      <c r="L4618">
        <v>25.247959999999999</v>
      </c>
      <c r="M4618">
        <v>0.93998720000000002</v>
      </c>
      <c r="N4618">
        <v>0</v>
      </c>
      <c r="O4618">
        <v>-0.34092630000000002</v>
      </c>
      <c r="P4618">
        <v>0.93517859999999997</v>
      </c>
      <c r="Q4618">
        <v>6.4336019999999994E-2</v>
      </c>
      <c r="R4618">
        <v>-0.34828409999999999</v>
      </c>
      <c r="S4618">
        <v>2.9786679999999999</v>
      </c>
      <c r="T4618">
        <v>-0.1996648</v>
      </c>
      <c r="U4618">
        <v>-0.65853879999999998</v>
      </c>
      <c r="V4618">
        <v>8.0787740000000004E-3</v>
      </c>
      <c r="W4618">
        <v>7.8251689999999999E-2</v>
      </c>
      <c r="X4618">
        <v>0.99690089999999998</v>
      </c>
      <c r="Y4618">
        <v>-0.12901850000000001</v>
      </c>
      <c r="Z4618">
        <v>2.6271550000000001E-2</v>
      </c>
      <c r="AA4618">
        <v>0.99129409999999896</v>
      </c>
      <c r="AB4618">
        <v>21</v>
      </c>
      <c r="AC4618">
        <v>16.406399999999898</v>
      </c>
      <c r="AD4618">
        <v>-1.1127429510408999</v>
      </c>
      <c r="AE4618">
        <v>-3.6044099999999899</v>
      </c>
      <c r="AF4618">
        <v>-2.1958512302112898</v>
      </c>
      <c r="AG4618">
        <v>-1.1127429510408999</v>
      </c>
      <c r="AH4618">
        <v>16.579498838607499</v>
      </c>
      <c r="AI4618">
        <v>93.806540245752004</v>
      </c>
      <c r="AJ4618">
        <v>97.544559252856104</v>
      </c>
      <c r="AK4618">
        <v>16.761257149739698</v>
      </c>
      <c r="AL4618">
        <v>85.511920116906097</v>
      </c>
      <c r="AM4618">
        <v>89.535691540313806</v>
      </c>
      <c r="AN4618">
        <v>0.99999999899900405</v>
      </c>
    </row>
    <row r="4619" spans="1:40" x14ac:dyDescent="0.25">
      <c r="A4619" t="str">
        <f>"20190312154652722"</f>
        <v>20190312154652722</v>
      </c>
      <c r="B4619" t="str">
        <f>"1552376812711904"</f>
        <v>1552376812711904</v>
      </c>
      <c r="C4619" t="s">
        <v>40</v>
      </c>
      <c r="D4619">
        <v>4.8386129999999996</v>
      </c>
      <c r="E4619">
        <v>0.4506811</v>
      </c>
      <c r="F4619" t="s">
        <v>80</v>
      </c>
      <c r="G4619">
        <v>-388.78879999999998</v>
      </c>
      <c r="H4619" s="1">
        <v>-1.0934359999999999E-6</v>
      </c>
      <c r="I4619">
        <v>21.57246</v>
      </c>
      <c r="J4619">
        <v>-405.32659999999998</v>
      </c>
      <c r="K4619">
        <v>1.112487</v>
      </c>
      <c r="L4619">
        <v>25.177949999999999</v>
      </c>
      <c r="M4619">
        <v>0.94157250000000003</v>
      </c>
      <c r="N4619">
        <v>0</v>
      </c>
      <c r="O4619">
        <v>-0.33652500000000002</v>
      </c>
      <c r="P4619">
        <v>0.93706239999999996</v>
      </c>
      <c r="Q4619">
        <v>6.4786549999999998E-2</v>
      </c>
      <c r="R4619">
        <v>-0.34309859999999998</v>
      </c>
      <c r="S4619">
        <v>2.9781490000000002</v>
      </c>
      <c r="T4619">
        <v>-0.19787350000000001</v>
      </c>
      <c r="U4619">
        <v>-0.65359500000000004</v>
      </c>
      <c r="V4619">
        <v>7.2771440000000001E-3</v>
      </c>
      <c r="W4619">
        <v>7.8657179999999993E-2</v>
      </c>
      <c r="X4619">
        <v>0.99687519999999996</v>
      </c>
      <c r="Y4619">
        <v>-0.1259429</v>
      </c>
      <c r="Z4619">
        <v>2.567608E-2</v>
      </c>
      <c r="AA4619">
        <v>0.99170519999999995</v>
      </c>
      <c r="AB4619">
        <v>21</v>
      </c>
      <c r="AC4619">
        <v>16.537800000000001</v>
      </c>
      <c r="AD4619">
        <v>-1.112488093436</v>
      </c>
      <c r="AE4619">
        <v>-3.6054900000000001</v>
      </c>
      <c r="AF4619">
        <v>-2.1614244524950701</v>
      </c>
      <c r="AG4619">
        <v>-1.112488093436</v>
      </c>
      <c r="AH4619">
        <v>16.7142848795635</v>
      </c>
      <c r="AI4619">
        <v>93.776585926639697</v>
      </c>
      <c r="AJ4619">
        <v>97.368369723003298</v>
      </c>
      <c r="AK4619">
        <v>16.890136306646099</v>
      </c>
      <c r="AL4619">
        <v>85.488615588932603</v>
      </c>
      <c r="AM4619">
        <v>89.581750822949601</v>
      </c>
      <c r="AN4619">
        <v>1.00000003658269</v>
      </c>
    </row>
    <row r="4620" spans="1:40" x14ac:dyDescent="0.25">
      <c r="A4620" t="str">
        <f>"20190312154652743"</f>
        <v>20190312154652743</v>
      </c>
      <c r="B4620" t="str">
        <f>"1552376812732404"</f>
        <v>1552376812732404</v>
      </c>
      <c r="C4620" t="s">
        <v>40</v>
      </c>
      <c r="D4620">
        <v>4.874689</v>
      </c>
      <c r="E4620">
        <v>0.45149289999999997</v>
      </c>
      <c r="F4620" t="s">
        <v>80</v>
      </c>
      <c r="G4620">
        <v>-388.44650000000001</v>
      </c>
      <c r="H4620" s="1">
        <v>-1.242708E-6</v>
      </c>
      <c r="I4620">
        <v>21.52533</v>
      </c>
      <c r="J4620">
        <v>-405.13979999999998</v>
      </c>
      <c r="K4620">
        <v>1.1122639999999999</v>
      </c>
      <c r="L4620">
        <v>25.116060000000001</v>
      </c>
      <c r="M4620">
        <v>0.94283969999999995</v>
      </c>
      <c r="N4620">
        <v>0</v>
      </c>
      <c r="O4620">
        <v>-0.33295950000000002</v>
      </c>
      <c r="P4620">
        <v>0.93857420000000003</v>
      </c>
      <c r="Q4620">
        <v>6.4861710000000003E-2</v>
      </c>
      <c r="R4620">
        <v>-0.33892749999999999</v>
      </c>
      <c r="S4620">
        <v>2.979034</v>
      </c>
      <c r="T4620">
        <v>-0.19633439999999999</v>
      </c>
      <c r="U4620">
        <v>-0.64462280000000005</v>
      </c>
      <c r="V4620">
        <v>6.6595279999999996E-3</v>
      </c>
      <c r="W4620">
        <v>7.8694280000000005E-2</v>
      </c>
      <c r="X4620">
        <v>0.99687650000000005</v>
      </c>
      <c r="Y4620">
        <v>-0.1251244</v>
      </c>
      <c r="Z4620">
        <v>2.5236169999999999E-2</v>
      </c>
      <c r="AA4620">
        <v>0.99182000000000003</v>
      </c>
      <c r="AB4620">
        <v>21</v>
      </c>
      <c r="AC4620">
        <v>16.693299999999901</v>
      </c>
      <c r="AD4620">
        <v>-1.112265242708</v>
      </c>
      <c r="AE4620">
        <v>-3.5907300000000002</v>
      </c>
      <c r="AF4620">
        <v>-2.1637367632870501</v>
      </c>
      <c r="AG4620">
        <v>-1.112265242708</v>
      </c>
      <c r="AH4620">
        <v>16.8647336636995</v>
      </c>
      <c r="AI4620">
        <v>93.742724537214798</v>
      </c>
      <c r="AJ4620">
        <v>97.311078692636102</v>
      </c>
      <c r="AK4620">
        <v>17.039311379819701</v>
      </c>
      <c r="AL4620">
        <v>85.486482903770394</v>
      </c>
      <c r="AM4620">
        <v>89.617247299926703</v>
      </c>
      <c r="AN4620">
        <v>0.99999994763507405</v>
      </c>
    </row>
    <row r="4621" spans="1:40" x14ac:dyDescent="0.25">
      <c r="A4621" t="str">
        <f>"20190312154652755"</f>
        <v>20190312154652755</v>
      </c>
      <c r="B4621" t="str">
        <f>"1552376812742162"</f>
        <v>1552376812742162</v>
      </c>
      <c r="C4621" t="s">
        <v>40</v>
      </c>
      <c r="D4621">
        <v>4.8290199999999999</v>
      </c>
      <c r="E4621">
        <v>0.45149289999999997</v>
      </c>
      <c r="F4621" t="s">
        <v>80</v>
      </c>
      <c r="G4621">
        <v>-388.20819999999998</v>
      </c>
      <c r="H4621" s="1">
        <v>-1.345888E-6</v>
      </c>
      <c r="I4621">
        <v>21.489730000000002</v>
      </c>
      <c r="J4621">
        <v>-405.02910000000003</v>
      </c>
      <c r="K4621">
        <v>1.1121299999999901</v>
      </c>
      <c r="L4621">
        <v>25.079619999999998</v>
      </c>
      <c r="M4621">
        <v>0.94351470000000004</v>
      </c>
      <c r="N4621">
        <v>0</v>
      </c>
      <c r="O4621">
        <v>-0.33104250000000002</v>
      </c>
      <c r="P4621">
        <v>0.93930449999999999</v>
      </c>
      <c r="Q4621">
        <v>6.4919320000000003E-2</v>
      </c>
      <c r="R4621">
        <v>-0.33688669999999998</v>
      </c>
      <c r="S4621">
        <v>2.9794309999999999</v>
      </c>
      <c r="T4621">
        <v>-0.1957246</v>
      </c>
      <c r="U4621">
        <v>-0.63812259999999998</v>
      </c>
      <c r="V4621">
        <v>6.5448809999999998E-3</v>
      </c>
      <c r="W4621">
        <v>7.8732289999999996E-2</v>
      </c>
      <c r="X4621">
        <v>0.99687429999999999</v>
      </c>
      <c r="Y4621">
        <v>-0.12521199999999999</v>
      </c>
      <c r="Z4621">
        <v>2.5048460000000002E-2</v>
      </c>
      <c r="AA4621">
        <v>0.99181379999999997</v>
      </c>
      <c r="AB4621">
        <v>21</v>
      </c>
      <c r="AC4621">
        <v>16.820900000000002</v>
      </c>
      <c r="AD4621">
        <v>-1.11213134588799</v>
      </c>
      <c r="AE4621">
        <v>-3.58989</v>
      </c>
      <c r="AF4621">
        <v>-2.17244423423285</v>
      </c>
      <c r="AG4621">
        <v>-1.11213134588799</v>
      </c>
      <c r="AH4621">
        <v>16.989768334263001</v>
      </c>
      <c r="AI4621">
        <v>93.715013252371506</v>
      </c>
      <c r="AJ4621">
        <v>97.286743566336497</v>
      </c>
      <c r="AK4621">
        <v>17.164165523942099</v>
      </c>
      <c r="AL4621">
        <v>85.484298502280893</v>
      </c>
      <c r="AM4621">
        <v>89.623835551908201</v>
      </c>
      <c r="AN4621">
        <v>0.999999989478219</v>
      </c>
    </row>
    <row r="4622" spans="1:40" x14ac:dyDescent="0.25">
      <c r="A4622" t="str">
        <f>"20190312154652768"</f>
        <v>20190312154652768</v>
      </c>
      <c r="B4622" t="str">
        <f>"1552376812762657"</f>
        <v>1552376812762657</v>
      </c>
      <c r="C4622" t="s">
        <v>40</v>
      </c>
      <c r="D4622">
        <v>4.8599500000000004</v>
      </c>
      <c r="E4622">
        <v>0.45896379999999998</v>
      </c>
      <c r="F4622" t="s">
        <v>80</v>
      </c>
      <c r="G4622">
        <v>-388.0949</v>
      </c>
      <c r="H4622" s="1">
        <v>-1.399533E-6</v>
      </c>
      <c r="I4622">
        <v>21.490100000000002</v>
      </c>
      <c r="J4622">
        <v>-404.91759999999999</v>
      </c>
      <c r="K4622">
        <v>1.111999</v>
      </c>
      <c r="L4622">
        <v>25.042999999999999</v>
      </c>
      <c r="M4622">
        <v>0.94416369999999905</v>
      </c>
      <c r="N4622">
        <v>0</v>
      </c>
      <c r="O4622">
        <v>-0.32918779999999997</v>
      </c>
      <c r="P4622">
        <v>0.94002909999999995</v>
      </c>
      <c r="Q4622">
        <v>6.5164639999999996E-2</v>
      </c>
      <c r="R4622">
        <v>-0.33481240000000001</v>
      </c>
      <c r="S4622">
        <v>2.9807739999999998</v>
      </c>
      <c r="T4622">
        <v>-0.1957595</v>
      </c>
      <c r="U4622">
        <v>-0.63183590000000001</v>
      </c>
      <c r="V4622">
        <v>6.3325309999999998E-3</v>
      </c>
      <c r="W4622">
        <v>7.8956659999999998E-2</v>
      </c>
      <c r="X4622">
        <v>0.99685789999999996</v>
      </c>
      <c r="Y4622">
        <v>-0.125358</v>
      </c>
      <c r="Z4622">
        <v>2.4940980000000001E-2</v>
      </c>
      <c r="AA4622">
        <v>0.99179799999999996</v>
      </c>
      <c r="AB4622">
        <v>21</v>
      </c>
      <c r="AC4622">
        <v>16.822699999999902</v>
      </c>
      <c r="AD4622">
        <v>-1.1120003995329999</v>
      </c>
      <c r="AE4622">
        <v>-3.5529000000000002</v>
      </c>
      <c r="AF4622">
        <v>-2.1744210034466702</v>
      </c>
      <c r="AG4622">
        <v>-1.1120003995329999</v>
      </c>
      <c r="AH4622">
        <v>16.983538140906099</v>
      </c>
      <c r="AI4622">
        <v>93.715859710047098</v>
      </c>
      <c r="AJ4622">
        <v>97.295949255258606</v>
      </c>
      <c r="AK4622">
        <v>17.158240567505899</v>
      </c>
      <c r="AL4622">
        <v>85.471402787299994</v>
      </c>
      <c r="AM4622">
        <v>89.6360339627889</v>
      </c>
      <c r="AN4622">
        <v>0.99999996394981505</v>
      </c>
    </row>
    <row r="4623" spans="1:40" x14ac:dyDescent="0.25">
      <c r="A4623" t="str">
        <f>"20190312154652787"</f>
        <v>20190312154652787</v>
      </c>
      <c r="B4623" t="str">
        <f>"1552376812772417"</f>
        <v>1552376812772417</v>
      </c>
      <c r="C4623" t="s">
        <v>40</v>
      </c>
      <c r="D4623">
        <v>4.8673479999999998</v>
      </c>
      <c r="E4623">
        <v>0.45926339999999999</v>
      </c>
      <c r="F4623" t="s">
        <v>80</v>
      </c>
      <c r="G4623">
        <v>-387.68180000000001</v>
      </c>
      <c r="H4623" s="1">
        <v>-1.4842459999999999E-6</v>
      </c>
      <c r="I4623">
        <v>21.0745</v>
      </c>
      <c r="J4623">
        <v>-404.75389999999999</v>
      </c>
      <c r="K4623">
        <v>1.11181</v>
      </c>
      <c r="L4623">
        <v>24.989409999999999</v>
      </c>
      <c r="M4623">
        <v>0.94503749999999997</v>
      </c>
      <c r="N4623">
        <v>0</v>
      </c>
      <c r="O4623">
        <v>-0.32667200000000002</v>
      </c>
      <c r="P4623">
        <v>0.94097699999999995</v>
      </c>
      <c r="Q4623">
        <v>6.5705529999999998E-2</v>
      </c>
      <c r="R4623">
        <v>-0.33203240000000001</v>
      </c>
      <c r="S4623">
        <v>2.961792</v>
      </c>
      <c r="T4623">
        <v>-0.1910857</v>
      </c>
      <c r="U4623">
        <v>-0.68194580000000005</v>
      </c>
      <c r="V4623">
        <v>6.0867949999999999E-3</v>
      </c>
      <c r="W4623">
        <v>7.9469059999999994E-2</v>
      </c>
      <c r="X4623">
        <v>0.99681869999999995</v>
      </c>
      <c r="Y4623">
        <v>-0.1054884</v>
      </c>
      <c r="Z4623">
        <v>2.3658080000000001E-2</v>
      </c>
      <c r="AA4623">
        <v>0.99413910000000005</v>
      </c>
      <c r="AB4623">
        <v>21</v>
      </c>
      <c r="AC4623">
        <v>17.072099999999899</v>
      </c>
      <c r="AD4623">
        <v>-1.1118114842460001</v>
      </c>
      <c r="AE4623">
        <v>-3.9149099999999901</v>
      </c>
      <c r="AF4623">
        <v>-1.86988386743135</v>
      </c>
      <c r="AG4623">
        <v>-1.1118114842460001</v>
      </c>
      <c r="AH4623">
        <v>17.344430397386301</v>
      </c>
      <c r="AI4623">
        <v>93.646678449533695</v>
      </c>
      <c r="AJ4623">
        <v>96.153228928289906</v>
      </c>
      <c r="AK4623">
        <v>17.480327693265998</v>
      </c>
      <c r="AL4623">
        <v>85.441951824749395</v>
      </c>
      <c r="AM4623">
        <v>89.650143672166394</v>
      </c>
      <c r="AN4623">
        <v>0.999999950620171</v>
      </c>
    </row>
    <row r="4624" spans="1:40" x14ac:dyDescent="0.25">
      <c r="A4624" t="str">
        <f>"20190312154652800"</f>
        <v>20190312154652800</v>
      </c>
      <c r="B4624" t="str">
        <f>"1552376812791936"</f>
        <v>1552376812791936</v>
      </c>
      <c r="C4624" t="s">
        <v>40</v>
      </c>
      <c r="D4624">
        <v>4.878177</v>
      </c>
      <c r="E4624">
        <v>0.46031509999999998</v>
      </c>
      <c r="F4624" t="s">
        <v>80</v>
      </c>
      <c r="G4624">
        <v>-387.36290000000002</v>
      </c>
      <c r="H4624" s="1">
        <v>-1.621029E-6</v>
      </c>
      <c r="I4624">
        <v>21.021889999999999</v>
      </c>
      <c r="J4624">
        <v>-404.62560000000002</v>
      </c>
      <c r="K4624">
        <v>1.1116779999999999</v>
      </c>
      <c r="L4624">
        <v>24.94754</v>
      </c>
      <c r="M4624">
        <v>0.94566570000000005</v>
      </c>
      <c r="N4624">
        <v>0</v>
      </c>
      <c r="O4624">
        <v>-0.32484960000000002</v>
      </c>
      <c r="P4624">
        <v>0.9415926</v>
      </c>
      <c r="Q4624">
        <v>6.6182980000000002E-2</v>
      </c>
      <c r="R4624">
        <v>-0.3301868</v>
      </c>
      <c r="S4624">
        <v>2.96286</v>
      </c>
      <c r="T4624">
        <v>-0.1894158</v>
      </c>
      <c r="U4624">
        <v>-0.67593380000000003</v>
      </c>
      <c r="V4624">
        <v>6.0889129999999996E-3</v>
      </c>
      <c r="W4624">
        <v>7.9926330000000004E-2</v>
      </c>
      <c r="X4624">
        <v>0.99678219999999995</v>
      </c>
      <c r="Y4624">
        <v>-0.1055837</v>
      </c>
      <c r="Z4624">
        <v>2.3345540000000001E-2</v>
      </c>
      <c r="AA4624">
        <v>0.99413629999999997</v>
      </c>
      <c r="AB4624">
        <v>21</v>
      </c>
      <c r="AC4624">
        <v>17.262699999999899</v>
      </c>
      <c r="AD4624">
        <v>-1.1116796210290001</v>
      </c>
      <c r="AE4624">
        <v>-3.9256500000000001</v>
      </c>
      <c r="AF4624">
        <v>-1.88816256752031</v>
      </c>
      <c r="AG4624">
        <v>-1.1116796210290001</v>
      </c>
      <c r="AH4624">
        <v>17.532520096353601</v>
      </c>
      <c r="AI4624">
        <v>93.607277537883206</v>
      </c>
      <c r="AJ4624">
        <v>96.1467710927067</v>
      </c>
      <c r="AK4624">
        <v>17.668906315622301</v>
      </c>
      <c r="AL4624">
        <v>85.415668912764502</v>
      </c>
      <c r="AM4624">
        <v>89.6500091218373</v>
      </c>
      <c r="AN4624">
        <v>1.0000000236628099</v>
      </c>
    </row>
    <row r="4625" spans="1:40" x14ac:dyDescent="0.25">
      <c r="A4625" t="str">
        <f>"20190312154652822"</f>
        <v>20190312154652822</v>
      </c>
      <c r="B4625" t="str">
        <f>"1552376812812436"</f>
        <v>1552376812812436</v>
      </c>
      <c r="C4625" t="s">
        <v>40</v>
      </c>
      <c r="D4625">
        <v>4.9565849999999996</v>
      </c>
      <c r="E4625">
        <v>0.46101779999999998</v>
      </c>
      <c r="F4625" t="s">
        <v>80</v>
      </c>
      <c r="G4625">
        <v>-387.47199999999998</v>
      </c>
      <c r="H4625" s="1">
        <v>-1.568941E-6</v>
      </c>
      <c r="I4625">
        <v>21.020050000000001</v>
      </c>
      <c r="J4625">
        <v>-404.44549999999998</v>
      </c>
      <c r="K4625">
        <v>1.111523</v>
      </c>
      <c r="L4625">
        <v>24.888950000000001</v>
      </c>
      <c r="M4625">
        <v>0.94647599999999998</v>
      </c>
      <c r="N4625">
        <v>0</v>
      </c>
      <c r="O4625">
        <v>-0.32248189999999999</v>
      </c>
      <c r="P4625">
        <v>0.94239209999999995</v>
      </c>
      <c r="Q4625">
        <v>6.6447679999999995E-2</v>
      </c>
      <c r="R4625">
        <v>-0.32784449999999998</v>
      </c>
      <c r="S4625">
        <v>2.961792</v>
      </c>
      <c r="T4625">
        <v>-0.1919458</v>
      </c>
      <c r="U4625">
        <v>-0.67813109999999999</v>
      </c>
      <c r="V4625">
        <v>6.1417440000000002E-3</v>
      </c>
      <c r="W4625">
        <v>8.0164929999999995E-2</v>
      </c>
      <c r="X4625">
        <v>0.9967627</v>
      </c>
      <c r="Y4625">
        <v>-0.10230450000000001</v>
      </c>
      <c r="Z4625">
        <v>2.3415519999999999E-2</v>
      </c>
      <c r="AA4625">
        <v>0.99447750000000001</v>
      </c>
      <c r="AB4625">
        <v>21</v>
      </c>
      <c r="AC4625">
        <v>16.973500000000001</v>
      </c>
      <c r="AD4625">
        <v>-1.111524568941</v>
      </c>
      <c r="AE4625">
        <v>-3.8689</v>
      </c>
      <c r="AF4625">
        <v>-1.80463962675171</v>
      </c>
      <c r="AG4625">
        <v>-1.111524568941</v>
      </c>
      <c r="AH4625">
        <v>17.243996624387599</v>
      </c>
      <c r="AI4625">
        <v>93.668128373465805</v>
      </c>
      <c r="AJ4625">
        <v>95.974439400228107</v>
      </c>
      <c r="AK4625">
        <v>17.373762707936699</v>
      </c>
      <c r="AL4625">
        <v>85.401954062517703</v>
      </c>
      <c r="AM4625">
        <v>89.646965564884695</v>
      </c>
      <c r="AN4625">
        <v>1.0000000085662699</v>
      </c>
    </row>
    <row r="4626" spans="1:40" x14ac:dyDescent="0.25">
      <c r="A4626" t="str">
        <f>"20190312154652842"</f>
        <v>20190312154652842</v>
      </c>
      <c r="B4626" t="str">
        <f>"1552376812831952"</f>
        <v>1552376812831952</v>
      </c>
      <c r="C4626" t="s">
        <v>40</v>
      </c>
      <c r="D4626">
        <v>4.8731119999999999</v>
      </c>
      <c r="E4626">
        <v>0.45971260000000003</v>
      </c>
      <c r="F4626" t="s">
        <v>80</v>
      </c>
      <c r="G4626">
        <v>-387.2516</v>
      </c>
      <c r="H4626" s="1">
        <v>-1.6579069999999901E-6</v>
      </c>
      <c r="I4626">
        <v>20.962879999999998</v>
      </c>
      <c r="J4626">
        <v>-404.2577</v>
      </c>
      <c r="K4626">
        <v>1.1113820000000001</v>
      </c>
      <c r="L4626">
        <v>24.82809</v>
      </c>
      <c r="M4626">
        <v>0.94723460000000004</v>
      </c>
      <c r="N4626">
        <v>0</v>
      </c>
      <c r="O4626">
        <v>-0.32024770000000002</v>
      </c>
      <c r="P4626">
        <v>0.9430267</v>
      </c>
      <c r="Q4626">
        <v>6.6235310000000006E-2</v>
      </c>
      <c r="R4626">
        <v>-0.32605800000000001</v>
      </c>
      <c r="S4626">
        <v>2.9616699999999998</v>
      </c>
      <c r="T4626">
        <v>-0.1914612</v>
      </c>
      <c r="U4626">
        <v>-0.67626949999999997</v>
      </c>
      <c r="V4626">
        <v>6.6298969999999896E-3</v>
      </c>
      <c r="W4626">
        <v>7.9930139999999997E-2</v>
      </c>
      <c r="X4626">
        <v>0.99677839999999995</v>
      </c>
      <c r="Y4626">
        <v>-0.1005535</v>
      </c>
      <c r="Z4626">
        <v>2.3169800000000001E-2</v>
      </c>
      <c r="AA4626">
        <v>0.99466180000000004</v>
      </c>
      <c r="AB4626">
        <v>21</v>
      </c>
      <c r="AC4626">
        <v>17.0061</v>
      </c>
      <c r="AD4626">
        <v>-1.11138365790699</v>
      </c>
      <c r="AE4626">
        <v>-3.8652099999999998</v>
      </c>
      <c r="AF4626">
        <v>-1.7778515487184099</v>
      </c>
      <c r="AG4626">
        <v>-1.11138365790699</v>
      </c>
      <c r="AH4626">
        <v>17.278053987237499</v>
      </c>
      <c r="AI4626">
        <v>93.661113297708397</v>
      </c>
      <c r="AJ4626">
        <v>95.874860537979004</v>
      </c>
      <c r="AK4626">
        <v>17.404800468555699</v>
      </c>
      <c r="AL4626">
        <v>85.415449718085299</v>
      </c>
      <c r="AM4626">
        <v>89.618912774298394</v>
      </c>
      <c r="AN4626">
        <v>0.99999998076060403</v>
      </c>
    </row>
    <row r="4627" spans="1:40" x14ac:dyDescent="0.25">
      <c r="A4627" t="str">
        <f>"20190312154652855"</f>
        <v>20190312154652855</v>
      </c>
      <c r="B4627" t="str">
        <f>"1552376812842688"</f>
        <v>1552376812842688</v>
      </c>
      <c r="C4627" t="s">
        <v>40</v>
      </c>
      <c r="D4627">
        <v>4.8657620000000001</v>
      </c>
      <c r="E4627">
        <v>0.4666902</v>
      </c>
      <c r="F4627" t="s">
        <v>42</v>
      </c>
      <c r="G4627">
        <v>-392.4187</v>
      </c>
      <c r="H4627" s="1">
        <v>-4.2426029999999997E-6</v>
      </c>
      <c r="I4627">
        <v>22.210290000000001</v>
      </c>
      <c r="J4627">
        <v>-404.14949999999999</v>
      </c>
      <c r="K4627">
        <v>1.111307</v>
      </c>
      <c r="L4627">
        <v>24.793150000000001</v>
      </c>
      <c r="M4627">
        <v>0.94762369999999996</v>
      </c>
      <c r="N4627">
        <v>0</v>
      </c>
      <c r="O4627">
        <v>-0.31909500000000002</v>
      </c>
      <c r="P4627">
        <v>0.94333449999999996</v>
      </c>
      <c r="Q4627">
        <v>6.6228839999999997E-2</v>
      </c>
      <c r="R4627">
        <v>-0.32516729999999999</v>
      </c>
      <c r="S4627">
        <v>2.973541</v>
      </c>
      <c r="T4627">
        <v>-0.27914109999999998</v>
      </c>
      <c r="U4627">
        <v>-0.65750120000000001</v>
      </c>
      <c r="V4627">
        <v>6.9168600000000004E-3</v>
      </c>
      <c r="W4627">
        <v>7.9911120000000002E-2</v>
      </c>
      <c r="X4627">
        <v>0.99677800000000005</v>
      </c>
      <c r="Y4627">
        <v>-0.1052723</v>
      </c>
      <c r="Z4627">
        <v>3.3760159999999997E-2</v>
      </c>
      <c r="AA4627">
        <v>0.99387020000000004</v>
      </c>
      <c r="AB4627">
        <v>21</v>
      </c>
      <c r="AC4627">
        <v>11.730799999999901</v>
      </c>
      <c r="AD4627">
        <v>-1.1113112426029901</v>
      </c>
      <c r="AE4627">
        <v>-2.5828599999999899</v>
      </c>
      <c r="AF4627">
        <v>-1.28478456869939</v>
      </c>
      <c r="AG4627">
        <v>-1.1113112426029901</v>
      </c>
      <c r="AH4627">
        <v>11.8403333333658</v>
      </c>
      <c r="AI4627">
        <v>95.330855260576897</v>
      </c>
      <c r="AJ4627">
        <v>96.192886979650197</v>
      </c>
      <c r="AK4627">
        <v>11.961570863022899</v>
      </c>
      <c r="AL4627">
        <v>85.416543095334603</v>
      </c>
      <c r="AM4627">
        <v>89.602418467725002</v>
      </c>
      <c r="AN4627">
        <v>1.0000000056679501</v>
      </c>
    </row>
    <row r="4628" spans="1:40" x14ac:dyDescent="0.25">
      <c r="A4628" t="str">
        <f>"20190312154652876"</f>
        <v>20190312154652876</v>
      </c>
      <c r="B4628" t="str">
        <f>"1552376812871969"</f>
        <v>1552376812871969</v>
      </c>
      <c r="C4628" t="s">
        <v>40</v>
      </c>
      <c r="D4628">
        <v>4.8381860000000003</v>
      </c>
      <c r="E4628">
        <v>0.46158890000000002</v>
      </c>
      <c r="F4628" t="s">
        <v>80</v>
      </c>
      <c r="G4628">
        <v>-387.88369999999998</v>
      </c>
      <c r="H4628" s="1">
        <v>-1.33659E-6</v>
      </c>
      <c r="I4628">
        <v>20.87828</v>
      </c>
      <c r="J4628">
        <v>-403.96370000000002</v>
      </c>
      <c r="K4628">
        <v>1.111181</v>
      </c>
      <c r="L4628">
        <v>24.733180000000001</v>
      </c>
      <c r="M4628">
        <v>0.94824609999999998</v>
      </c>
      <c r="N4628">
        <v>0</v>
      </c>
      <c r="O4628">
        <v>-0.31724170000000002</v>
      </c>
      <c r="P4628">
        <v>0.9438223</v>
      </c>
      <c r="Q4628">
        <v>6.7278379999999999E-2</v>
      </c>
      <c r="R4628">
        <v>-0.323532599999999</v>
      </c>
      <c r="S4628">
        <v>2.9496769999999999</v>
      </c>
      <c r="T4628">
        <v>-0.20152700000000001</v>
      </c>
      <c r="U4628">
        <v>-0.70993039999999996</v>
      </c>
      <c r="V4628">
        <v>7.1851090000000003E-3</v>
      </c>
      <c r="W4628">
        <v>8.0939170000000005E-2</v>
      </c>
      <c r="X4628">
        <v>0.9966931</v>
      </c>
      <c r="Y4628">
        <v>-8.5700709999999999E-2</v>
      </c>
      <c r="Z4628">
        <v>2.375064E-2</v>
      </c>
      <c r="AA4628">
        <v>0.99603779999999997</v>
      </c>
      <c r="AB4628">
        <v>21</v>
      </c>
      <c r="AC4628">
        <v>16.079999999999998</v>
      </c>
      <c r="AD4628">
        <v>-1.11118233659</v>
      </c>
      <c r="AE4628">
        <v>-3.85489999999999</v>
      </c>
      <c r="AF4628">
        <v>-1.43948751395404</v>
      </c>
      <c r="AG4628">
        <v>-1.11118233659</v>
      </c>
      <c r="AH4628">
        <v>16.398222596654598</v>
      </c>
      <c r="AI4628">
        <v>93.861765938092702</v>
      </c>
      <c r="AJ4628">
        <v>95.016743819357501</v>
      </c>
      <c r="AK4628">
        <v>16.498744037574902</v>
      </c>
      <c r="AL4628">
        <v>85.357448505354199</v>
      </c>
      <c r="AM4628">
        <v>89.586964844241294</v>
      </c>
      <c r="AN4628">
        <v>0.99999995530961905</v>
      </c>
    </row>
    <row r="4629" spans="1:40" x14ac:dyDescent="0.25">
      <c r="A4629" t="str">
        <f>"20190312154652900"</f>
        <v>20190312154652900</v>
      </c>
      <c r="B4629" t="str">
        <f>"1552376812892465"</f>
        <v>1552376812892465</v>
      </c>
      <c r="C4629" t="s">
        <v>40</v>
      </c>
      <c r="D4629">
        <v>4.9961520000000004</v>
      </c>
      <c r="E4629">
        <v>0.4225526</v>
      </c>
      <c r="F4629" t="s">
        <v>80</v>
      </c>
      <c r="G4629">
        <v>-386.9314</v>
      </c>
      <c r="H4629" s="1">
        <v>-1.793711E-6</v>
      </c>
      <c r="I4629">
        <v>20.90437</v>
      </c>
      <c r="J4629">
        <v>-403.75650000000002</v>
      </c>
      <c r="K4629">
        <v>1.1110549999999999</v>
      </c>
      <c r="L4629">
        <v>24.666499999999999</v>
      </c>
      <c r="M4629">
        <v>0.94886729999999997</v>
      </c>
      <c r="N4629">
        <v>0</v>
      </c>
      <c r="O4629">
        <v>-0.31537969999999999</v>
      </c>
      <c r="P4629">
        <v>0.94412799999999997</v>
      </c>
      <c r="Q4629">
        <v>6.8435339999999997E-2</v>
      </c>
      <c r="R4629">
        <v>-0.32239610000000002</v>
      </c>
      <c r="S4629">
        <v>2.963959</v>
      </c>
      <c r="T4629">
        <v>-0.19336780000000001</v>
      </c>
      <c r="U4629">
        <v>-0.6662903</v>
      </c>
      <c r="V4629">
        <v>7.9918430000000002E-3</v>
      </c>
      <c r="W4629">
        <v>8.2074549999999996E-2</v>
      </c>
      <c r="X4629">
        <v>0.99659410000000004</v>
      </c>
      <c r="Y4629">
        <v>-9.8793599999999995E-2</v>
      </c>
      <c r="Z4629">
        <v>2.304206E-2</v>
      </c>
      <c r="AA4629">
        <v>0.99484119999999998</v>
      </c>
      <c r="AB4629">
        <v>21</v>
      </c>
      <c r="AC4629">
        <v>16.825099999999999</v>
      </c>
      <c r="AD4629">
        <v>-1.1110567937110001</v>
      </c>
      <c r="AE4629">
        <v>-3.7621299999999902</v>
      </c>
      <c r="AF4629">
        <v>-1.7295120260580199</v>
      </c>
      <c r="AG4629">
        <v>-1.1110567937110001</v>
      </c>
      <c r="AH4629">
        <v>17.081943724102899</v>
      </c>
      <c r="AI4629">
        <v>93.702557429120006</v>
      </c>
      <c r="AJ4629">
        <v>95.781379483454899</v>
      </c>
      <c r="AK4629">
        <v>17.205187021376702</v>
      </c>
      <c r="AL4629">
        <v>85.292178828647195</v>
      </c>
      <c r="AM4629">
        <v>89.5405460864513</v>
      </c>
      <c r="AN4629">
        <v>0.99999995073352299</v>
      </c>
    </row>
    <row r="4630" spans="1:40" x14ac:dyDescent="0.25">
      <c r="A4630" t="str">
        <f>"20190312154652923"</f>
        <v>20190312154652923</v>
      </c>
      <c r="B4630" t="str">
        <f>"1552376812911985"</f>
        <v>1552376812911985</v>
      </c>
      <c r="C4630" t="s">
        <v>40</v>
      </c>
      <c r="D4630">
        <v>4.9068610000000001</v>
      </c>
      <c r="E4630">
        <v>0.4159255</v>
      </c>
      <c r="F4630" t="s">
        <v>42</v>
      </c>
      <c r="G4630">
        <v>-356.23849999999999</v>
      </c>
      <c r="H4630" s="1">
        <v>-1.726151E-6</v>
      </c>
      <c r="I4630">
        <v>18.88232</v>
      </c>
      <c r="J4630">
        <v>-403.5532</v>
      </c>
      <c r="K4630">
        <v>1.1109519999999999</v>
      </c>
      <c r="L4630">
        <v>24.60126</v>
      </c>
      <c r="M4630">
        <v>0.94941520000000001</v>
      </c>
      <c r="N4630">
        <v>0</v>
      </c>
      <c r="O4630">
        <v>-0.31372709999999998</v>
      </c>
      <c r="P4630">
        <v>0.94429949999999996</v>
      </c>
      <c r="Q4630">
        <v>6.938909E-2</v>
      </c>
      <c r="R4630">
        <v>-0.32168920000000001</v>
      </c>
      <c r="S4630">
        <v>3.0556640000000002</v>
      </c>
      <c r="T4630">
        <v>-7.1447010000000005E-2</v>
      </c>
      <c r="U4630">
        <v>-0.37194820000000001</v>
      </c>
      <c r="V4630">
        <v>9.0235469999999998E-3</v>
      </c>
      <c r="W4630">
        <v>8.3010730000000005E-2</v>
      </c>
      <c r="X4630">
        <v>0.99650780000000005</v>
      </c>
      <c r="Y4630">
        <v>-0.19659270000000001</v>
      </c>
      <c r="Z4630">
        <v>9.4687620000000004E-3</v>
      </c>
      <c r="AA4630">
        <v>0.98043950000000002</v>
      </c>
      <c r="AB4630">
        <v>21</v>
      </c>
      <c r="AC4630">
        <v>47.314700000000002</v>
      </c>
      <c r="AD4630">
        <v>-1.1109537261510001</v>
      </c>
      <c r="AE4630">
        <v>-5.7189399999999999</v>
      </c>
      <c r="AF4630">
        <v>-9.4100179195376406</v>
      </c>
      <c r="AG4630">
        <v>-1.1109537261510001</v>
      </c>
      <c r="AH4630">
        <v>46.694456284261001</v>
      </c>
      <c r="AI4630">
        <v>91.336073088341493</v>
      </c>
      <c r="AJ4630">
        <v>101.393826085893</v>
      </c>
      <c r="AK4630">
        <v>47.646142583743703</v>
      </c>
      <c r="AL4630">
        <v>85.238356230392</v>
      </c>
      <c r="AM4630">
        <v>89.481191186794604</v>
      </c>
      <c r="AN4630">
        <v>1.0000000005782099</v>
      </c>
    </row>
    <row r="4631" spans="1:40" x14ac:dyDescent="0.25">
      <c r="A4631" t="str">
        <f>"20190312154652944"</f>
        <v>20190312154652944</v>
      </c>
      <c r="B4631" t="str">
        <f>"1552376812932485"</f>
        <v>1552376812932485</v>
      </c>
      <c r="C4631" t="s">
        <v>40</v>
      </c>
      <c r="D4631">
        <v>4.807569</v>
      </c>
      <c r="E4631">
        <v>0.41400769999999998</v>
      </c>
      <c r="F4631" t="s">
        <v>81</v>
      </c>
      <c r="G4631">
        <v>-365.92930000000001</v>
      </c>
      <c r="H4631" s="1">
        <v>-2.2137449999999998E-6</v>
      </c>
      <c r="I4631">
        <v>20.702719999999999</v>
      </c>
      <c r="J4631">
        <v>-403.37009999999998</v>
      </c>
      <c r="K4631">
        <v>1.110873</v>
      </c>
      <c r="L4631">
        <v>24.542570000000001</v>
      </c>
      <c r="M4631">
        <v>0.94985779999999997</v>
      </c>
      <c r="N4631">
        <v>0</v>
      </c>
      <c r="O4631">
        <v>-0.31238510000000003</v>
      </c>
      <c r="P4631">
        <v>0.94423380000000001</v>
      </c>
      <c r="Q4631">
        <v>6.9730390000000003E-2</v>
      </c>
      <c r="R4631">
        <v>-0.32180819999999999</v>
      </c>
      <c r="S4631">
        <v>3.0750730000000002</v>
      </c>
      <c r="T4631">
        <v>-9.0800400000000003E-2</v>
      </c>
      <c r="U4631">
        <v>-0.31863399999999997</v>
      </c>
      <c r="V4631">
        <v>1.0582370000000001E-2</v>
      </c>
      <c r="W4631">
        <v>8.3338590000000004E-2</v>
      </c>
      <c r="X4631">
        <v>0.99646509999999999</v>
      </c>
      <c r="Y4631">
        <v>-0.21262159999999999</v>
      </c>
      <c r="Z4631">
        <v>1.217352E-2</v>
      </c>
      <c r="AA4631">
        <v>0.97705880000000001</v>
      </c>
      <c r="AB4631">
        <v>21</v>
      </c>
      <c r="AC4631">
        <v>37.440799999999903</v>
      </c>
      <c r="AD4631">
        <v>-1.110875213745</v>
      </c>
      <c r="AE4631">
        <v>-3.83984999999999</v>
      </c>
      <c r="AF4631">
        <v>-8.0423778651305309</v>
      </c>
      <c r="AG4631">
        <v>-1.110875213745</v>
      </c>
      <c r="AH4631">
        <v>36.734360547717998</v>
      </c>
      <c r="AI4631">
        <v>91.692086750081401</v>
      </c>
      <c r="AJ4631">
        <v>102.349114203284</v>
      </c>
      <c r="AK4631">
        <v>37.620833727016098</v>
      </c>
      <c r="AL4631">
        <v>85.219505923024002</v>
      </c>
      <c r="AM4631">
        <v>89.391546833400497</v>
      </c>
      <c r="AN4631">
        <v>1.0000000013279999</v>
      </c>
    </row>
    <row r="4632" spans="1:40" x14ac:dyDescent="0.25">
      <c r="A4632" t="str">
        <f>"20190312154652956"</f>
        <v>20190312154652956</v>
      </c>
      <c r="B4632" t="str">
        <f>"1552376812952001"</f>
        <v>1552376812952001</v>
      </c>
      <c r="C4632" t="s">
        <v>40</v>
      </c>
      <c r="D4632">
        <v>4.9037169999999897</v>
      </c>
      <c r="E4632">
        <v>0.41344619999999999</v>
      </c>
      <c r="F4632" t="s">
        <v>81</v>
      </c>
      <c r="G4632">
        <v>-365.82010000000002</v>
      </c>
      <c r="H4632" s="1">
        <v>-2.3010850000000001E-6</v>
      </c>
      <c r="I4632">
        <v>20.836939999999998</v>
      </c>
      <c r="J4632">
        <v>-403.2516</v>
      </c>
      <c r="K4632">
        <v>1.110824</v>
      </c>
      <c r="L4632">
        <v>24.504639999999998</v>
      </c>
      <c r="M4632">
        <v>0.95011699999999999</v>
      </c>
      <c r="N4632">
        <v>0</v>
      </c>
      <c r="O4632">
        <v>-0.31159589999999998</v>
      </c>
      <c r="P4632">
        <v>0.94420090000000001</v>
      </c>
      <c r="Q4632">
        <v>6.9599170000000002E-2</v>
      </c>
      <c r="R4632">
        <v>-0.32193290000000002</v>
      </c>
      <c r="S4632">
        <v>3.0803530000000001</v>
      </c>
      <c r="T4632">
        <v>-9.1128829999999994E-2</v>
      </c>
      <c r="U4632">
        <v>-0.30398560000000002</v>
      </c>
      <c r="V4632">
        <v>1.154878E-2</v>
      </c>
      <c r="W4632">
        <v>8.3199839999999997E-2</v>
      </c>
      <c r="X4632">
        <v>0.99646599999999996</v>
      </c>
      <c r="Y4632">
        <v>-0.21657680000000001</v>
      </c>
      <c r="Z4632">
        <v>1.223752E-2</v>
      </c>
      <c r="AA4632">
        <v>0.97618890000000003</v>
      </c>
      <c r="AB4632">
        <v>21</v>
      </c>
      <c r="AC4632">
        <v>37.4314999999999</v>
      </c>
      <c r="AD4632">
        <v>-1.1108263010849999</v>
      </c>
      <c r="AE4632">
        <v>-3.6677</v>
      </c>
      <c r="AF4632">
        <v>-8.1723884262904001</v>
      </c>
      <c r="AG4632">
        <v>-1.1108263010849999</v>
      </c>
      <c r="AH4632">
        <v>36.678558288967203</v>
      </c>
      <c r="AI4632">
        <v>91.693202517402298</v>
      </c>
      <c r="AJ4632">
        <v>102.56095391226501</v>
      </c>
      <c r="AK4632">
        <v>37.594394606357397</v>
      </c>
      <c r="AL4632">
        <v>85.227483595021297</v>
      </c>
      <c r="AM4632">
        <v>89.335986648702999</v>
      </c>
      <c r="AN4632">
        <v>1.0000000384257499</v>
      </c>
    </row>
    <row r="4633" spans="1:40" x14ac:dyDescent="0.25">
      <c r="A4633" t="str">
        <f>"20190312154652977"</f>
        <v>20190312154652977</v>
      </c>
      <c r="B4633" t="str">
        <f>"1552376812972497"</f>
        <v>1552376812972497</v>
      </c>
      <c r="C4633" t="s">
        <v>40</v>
      </c>
      <c r="D4633">
        <v>4.8677359999999998</v>
      </c>
      <c r="E4633">
        <v>0.41343059999999998</v>
      </c>
      <c r="F4633" t="s">
        <v>81</v>
      </c>
      <c r="G4633">
        <v>-367.51159999999999</v>
      </c>
      <c r="H4633" s="1">
        <v>-1.5530619999999901E-6</v>
      </c>
      <c r="I4633">
        <v>21.030750000000001</v>
      </c>
      <c r="J4633">
        <v>-403.0813</v>
      </c>
      <c r="K4633">
        <v>1.110771</v>
      </c>
      <c r="L4633">
        <v>24.450289999999999</v>
      </c>
      <c r="M4633">
        <v>0.95047029999999999</v>
      </c>
      <c r="N4633">
        <v>0</v>
      </c>
      <c r="O4633">
        <v>-0.31051780000000001</v>
      </c>
      <c r="P4633">
        <v>0.94414629999999999</v>
      </c>
      <c r="Q4633">
        <v>6.9541179999999994E-2</v>
      </c>
      <c r="R4633">
        <v>-0.32210609999999901</v>
      </c>
      <c r="S4633">
        <v>3.0822449999999999</v>
      </c>
      <c r="T4633">
        <v>-9.579849E-2</v>
      </c>
      <c r="U4633">
        <v>-0.299591099999999</v>
      </c>
      <c r="V4633">
        <v>1.287262E-2</v>
      </c>
      <c r="W4633">
        <v>8.313189E-2</v>
      </c>
      <c r="X4633">
        <v>0.99645539999999999</v>
      </c>
      <c r="Y4633">
        <v>-0.2168833</v>
      </c>
      <c r="Z4633">
        <v>1.283077E-2</v>
      </c>
      <c r="AA4633">
        <v>0.97611320000000001</v>
      </c>
      <c r="AB4633">
        <v>21</v>
      </c>
      <c r="AC4633">
        <v>35.569699999999997</v>
      </c>
      <c r="AD4633">
        <v>-1.1107725530619901</v>
      </c>
      <c r="AE4633">
        <v>-3.4195399999999898</v>
      </c>
      <c r="AF4633">
        <v>-7.7880492448022398</v>
      </c>
      <c r="AG4633">
        <v>-1.1107725530619901</v>
      </c>
      <c r="AH4633">
        <v>34.839331817568599</v>
      </c>
      <c r="AI4633">
        <v>91.782170365930298</v>
      </c>
      <c r="AJ4633">
        <v>102.60083944219799</v>
      </c>
      <c r="AK4633">
        <v>35.716474744839402</v>
      </c>
      <c r="AL4633">
        <v>85.231390145034197</v>
      </c>
      <c r="AM4633">
        <v>89.259870765111302</v>
      </c>
      <c r="AN4633">
        <v>0.99999998983489802</v>
      </c>
    </row>
    <row r="4634" spans="1:40" x14ac:dyDescent="0.25">
      <c r="A4634" t="str">
        <f>"20190312154652992"</f>
        <v>20190312154652992</v>
      </c>
      <c r="B4634" t="str">
        <f>"1552376812982257"</f>
        <v>1552376812982257</v>
      </c>
      <c r="C4634" t="s">
        <v>40</v>
      </c>
      <c r="D4634">
        <v>4.8712569999999999</v>
      </c>
      <c r="E4634">
        <v>0.41341149999999999</v>
      </c>
      <c r="F4634" t="s">
        <v>81</v>
      </c>
      <c r="G4634">
        <v>-369.48649999999998</v>
      </c>
      <c r="H4634" s="1">
        <v>-6.6186429999999995E-7</v>
      </c>
      <c r="I4634">
        <v>21.189910000000001</v>
      </c>
      <c r="J4634">
        <v>-402.95269999999999</v>
      </c>
      <c r="K4634">
        <v>1.1107370000000001</v>
      </c>
      <c r="L4634">
        <v>24.409269999999999</v>
      </c>
      <c r="M4634">
        <v>0.95072029999999996</v>
      </c>
      <c r="N4634">
        <v>0</v>
      </c>
      <c r="O4634">
        <v>-0.3097512</v>
      </c>
      <c r="P4634">
        <v>0.94412759999999996</v>
      </c>
      <c r="Q4634">
        <v>6.9073319999999994E-2</v>
      </c>
      <c r="R4634">
        <v>-0.32226090000000002</v>
      </c>
      <c r="S4634">
        <v>3.0828859999999998</v>
      </c>
      <c r="T4634">
        <v>-0.1019318</v>
      </c>
      <c r="U4634">
        <v>-0.29919430000000002</v>
      </c>
      <c r="V4634">
        <v>1.383653E-2</v>
      </c>
      <c r="W4634">
        <v>8.2657649999999999E-2</v>
      </c>
      <c r="X4634">
        <v>0.99648199999999998</v>
      </c>
      <c r="Y4634">
        <v>-0.21620829999999999</v>
      </c>
      <c r="Z4634">
        <v>1.361389E-2</v>
      </c>
      <c r="AA4634">
        <v>0.97625229999999996</v>
      </c>
      <c r="AB4634">
        <v>21</v>
      </c>
      <c r="AC4634">
        <v>33.466200000000001</v>
      </c>
      <c r="AD4634">
        <v>-1.1107376618642999</v>
      </c>
      <c r="AE4634">
        <v>-3.21936</v>
      </c>
      <c r="AF4634">
        <v>-7.2981952168463096</v>
      </c>
      <c r="AG4634">
        <v>-1.1107376618642999</v>
      </c>
      <c r="AH4634">
        <v>32.781453985353103</v>
      </c>
      <c r="AI4634">
        <v>91.894274818111001</v>
      </c>
      <c r="AJ4634">
        <v>102.551170361104</v>
      </c>
      <c r="AK4634">
        <v>33.602397488430903</v>
      </c>
      <c r="AL4634">
        <v>85.258656253345293</v>
      </c>
      <c r="AM4634">
        <v>89.204477523910995</v>
      </c>
      <c r="AN4634">
        <v>1.00000005649498</v>
      </c>
    </row>
    <row r="4635" spans="1:40" x14ac:dyDescent="0.25">
      <c r="A4635" t="str">
        <f>"20190312154653010"</f>
        <v>20190312154653010</v>
      </c>
      <c r="B4635" t="str">
        <f>"1552376813002753"</f>
        <v>1552376813002753</v>
      </c>
      <c r="C4635" t="s">
        <v>40</v>
      </c>
      <c r="D4635">
        <v>5.0092280000000002</v>
      </c>
      <c r="E4635">
        <v>0.41342649999999997</v>
      </c>
      <c r="F4635" t="s">
        <v>82</v>
      </c>
      <c r="G4635">
        <v>-370.56849999999997</v>
      </c>
      <c r="H4635" s="1">
        <v>-4.7856380000000002E-6</v>
      </c>
      <c r="I4635">
        <v>21.266279999999998</v>
      </c>
      <c r="J4635">
        <v>-402.7842</v>
      </c>
      <c r="K4635">
        <v>1.110698</v>
      </c>
      <c r="L4635">
        <v>24.355650000000001</v>
      </c>
      <c r="M4635">
        <v>0.9510286</v>
      </c>
      <c r="N4635">
        <v>0</v>
      </c>
      <c r="O4635">
        <v>-0.30880380000000002</v>
      </c>
      <c r="P4635">
        <v>0.94397070000000005</v>
      </c>
      <c r="Q4635">
        <v>6.717215E-2</v>
      </c>
      <c r="R4635">
        <v>-0.3231214</v>
      </c>
      <c r="S4635">
        <v>3.0830989999999998</v>
      </c>
      <c r="T4635">
        <v>-0.10574699999999999</v>
      </c>
      <c r="U4635">
        <v>-0.29922490000000002</v>
      </c>
      <c r="V4635">
        <v>1.5705400000000001E-2</v>
      </c>
      <c r="W4635">
        <v>8.0750500000000003E-2</v>
      </c>
      <c r="X4635">
        <v>0.99661060000000001</v>
      </c>
      <c r="Y4635">
        <v>-0.21521219999999999</v>
      </c>
      <c r="Z4635">
        <v>1.407422E-2</v>
      </c>
      <c r="AA4635">
        <v>0.9764659</v>
      </c>
      <c r="AB4635">
        <v>21</v>
      </c>
      <c r="AC4635">
        <v>32.215699999999998</v>
      </c>
      <c r="AD4635">
        <v>-1.1107027856380001</v>
      </c>
      <c r="AE4635">
        <v>-3.0893700000000002</v>
      </c>
      <c r="AF4635">
        <v>-7.0026512654113402</v>
      </c>
      <c r="AG4635">
        <v>-1.1107027856380001</v>
      </c>
      <c r="AH4635">
        <v>31.557811072725102</v>
      </c>
      <c r="AI4635">
        <v>91.967911382702297</v>
      </c>
      <c r="AJ4635">
        <v>102.511166594153</v>
      </c>
      <c r="AK4635">
        <v>32.344492964410499</v>
      </c>
      <c r="AL4635">
        <v>85.368294187407997</v>
      </c>
      <c r="AM4635">
        <v>89.097161261615895</v>
      </c>
      <c r="AN4635">
        <v>0.99999999543588403</v>
      </c>
    </row>
    <row r="4636" spans="1:40" x14ac:dyDescent="0.25">
      <c r="A4636" t="str">
        <f>"20190312154653033"</f>
        <v>20190312154653033</v>
      </c>
      <c r="B4636" t="str">
        <f>"1552376813022276"</f>
        <v>1552376813022276</v>
      </c>
      <c r="C4636" t="s">
        <v>40</v>
      </c>
      <c r="D4636">
        <v>5.1999820000000003</v>
      </c>
      <c r="E4636">
        <v>0.41349380000000002</v>
      </c>
      <c r="F4636" t="s">
        <v>82</v>
      </c>
      <c r="G4636">
        <v>-371.93709999999999</v>
      </c>
      <c r="H4636" s="1">
        <v>-4.250517E-6</v>
      </c>
      <c r="I4636">
        <v>21.340170000000001</v>
      </c>
      <c r="J4636">
        <v>-402.59190000000001</v>
      </c>
      <c r="K4636">
        <v>1.1106670000000001</v>
      </c>
      <c r="L4636">
        <v>24.294560000000001</v>
      </c>
      <c r="M4636">
        <v>0.95135700000000001</v>
      </c>
      <c r="N4636">
        <v>0</v>
      </c>
      <c r="O4636">
        <v>-0.30779050000000002</v>
      </c>
      <c r="P4636">
        <v>0.94379930000000001</v>
      </c>
      <c r="Q4636">
        <v>6.4373979999999997E-2</v>
      </c>
      <c r="R4636">
        <v>-0.32418930000000001</v>
      </c>
      <c r="S4636">
        <v>3.0827939999999998</v>
      </c>
      <c r="T4636">
        <v>-0.1110013</v>
      </c>
      <c r="U4636">
        <v>-0.30136109999999999</v>
      </c>
      <c r="V4636">
        <v>1.7845110000000001E-2</v>
      </c>
      <c r="W4636">
        <v>7.7947450000000001E-2</v>
      </c>
      <c r="X4636">
        <v>0.99679770000000001</v>
      </c>
      <c r="Y4636">
        <v>-0.2134634</v>
      </c>
      <c r="Z4636">
        <v>1.4707639999999999E-2</v>
      </c>
      <c r="AA4636">
        <v>0.97684040000000005</v>
      </c>
      <c r="AB4636">
        <v>21</v>
      </c>
      <c r="AC4636">
        <v>30.654800000000002</v>
      </c>
      <c r="AD4636">
        <v>-1.110671250517</v>
      </c>
      <c r="AE4636">
        <v>-2.9543900000000001</v>
      </c>
      <c r="AF4636">
        <v>-6.6165832019172202</v>
      </c>
      <c r="AG4636">
        <v>-1.110671250517</v>
      </c>
      <c r="AH4636">
        <v>30.0367047767885</v>
      </c>
      <c r="AI4636">
        <v>92.068130168923702</v>
      </c>
      <c r="AJ4636">
        <v>102.42289787668901</v>
      </c>
      <c r="AK4636">
        <v>30.776880896909699</v>
      </c>
      <c r="AL4636">
        <v>85.529404989604899</v>
      </c>
      <c r="AM4636">
        <v>88.974375364055504</v>
      </c>
      <c r="AN4636">
        <v>0.99999995381885098</v>
      </c>
    </row>
    <row r="4637" spans="1:40" x14ac:dyDescent="0.25">
      <c r="A4637" t="str">
        <f>"20190312154653055"</f>
        <v>20190312154653055</v>
      </c>
      <c r="B4637" t="str">
        <f>"1552376813052531"</f>
        <v>1552376813052531</v>
      </c>
      <c r="C4637" t="s">
        <v>40</v>
      </c>
      <c r="D4637">
        <v>4.8727790000000004</v>
      </c>
      <c r="E4637">
        <v>0.41338029999999998</v>
      </c>
      <c r="F4637" t="s">
        <v>82</v>
      </c>
      <c r="G4637">
        <v>-373.09410000000003</v>
      </c>
      <c r="H4637" s="1">
        <v>-3.7142680000000001E-6</v>
      </c>
      <c r="I4637">
        <v>21.380120000000002</v>
      </c>
      <c r="J4637">
        <v>-402.39170000000001</v>
      </c>
      <c r="K4637">
        <v>1.1106309999999999</v>
      </c>
      <c r="L4637">
        <v>24.23114</v>
      </c>
      <c r="M4637">
        <v>0.95167849999999998</v>
      </c>
      <c r="N4637">
        <v>0</v>
      </c>
      <c r="O4637">
        <v>-0.30679580000000001</v>
      </c>
      <c r="P4637">
        <v>0.94353109999999996</v>
      </c>
      <c r="Q4637">
        <v>6.2170709999999997E-2</v>
      </c>
      <c r="R4637">
        <v>-0.32539829999999997</v>
      </c>
      <c r="S4637">
        <v>3.0819700000000001</v>
      </c>
      <c r="T4637">
        <v>-0.1160443</v>
      </c>
      <c r="U4637">
        <v>-0.30450440000000001</v>
      </c>
      <c r="V4637">
        <v>2.0127570000000001E-2</v>
      </c>
      <c r="W4637">
        <v>7.5739089999999995E-2</v>
      </c>
      <c r="X4637">
        <v>0.99692449999999999</v>
      </c>
      <c r="Y4637">
        <v>-0.21140110000000001</v>
      </c>
      <c r="Z4637">
        <v>1.5303890000000001E-2</v>
      </c>
      <c r="AA4637">
        <v>0.97727960000000003</v>
      </c>
      <c r="AB4637">
        <v>21</v>
      </c>
      <c r="AC4637">
        <v>29.2975999999999</v>
      </c>
      <c r="AD4637">
        <v>-1.110634714268</v>
      </c>
      <c r="AE4637">
        <v>-2.8510199999999899</v>
      </c>
      <c r="AF4637">
        <v>-6.2667834108423</v>
      </c>
      <c r="AG4637">
        <v>-1.110634714268</v>
      </c>
      <c r="AH4637">
        <v>28.718345105536699</v>
      </c>
      <c r="AI4637">
        <v>92.163846546019997</v>
      </c>
      <c r="AJ4637">
        <v>102.30984912993701</v>
      </c>
      <c r="AK4637">
        <v>29.415122460864399</v>
      </c>
      <c r="AL4637">
        <v>85.656310137885797</v>
      </c>
      <c r="AM4637">
        <v>88.843374641004502</v>
      </c>
      <c r="AN4637">
        <v>0.99999999376419102</v>
      </c>
    </row>
    <row r="4638" spans="1:40" x14ac:dyDescent="0.25">
      <c r="A4638" t="str">
        <f>"20190312154653076"</f>
        <v>20190312154653076</v>
      </c>
      <c r="B4638" t="str">
        <f>"1552376813062289"</f>
        <v>1552376813062289</v>
      </c>
      <c r="C4638" t="s">
        <v>40</v>
      </c>
      <c r="D4638">
        <v>5.0037409999999998</v>
      </c>
      <c r="E4638">
        <v>0.41332940000000001</v>
      </c>
      <c r="F4638" t="s">
        <v>82</v>
      </c>
      <c r="G4638">
        <v>-375.10090000000002</v>
      </c>
      <c r="H4638" s="1">
        <v>-2.8022149999999998E-6</v>
      </c>
      <c r="I4638">
        <v>21.517600000000002</v>
      </c>
      <c r="J4638">
        <v>-402.20359999999999</v>
      </c>
      <c r="K4638">
        <v>1.1106069999999999</v>
      </c>
      <c r="L4638">
        <v>24.171659999999999</v>
      </c>
      <c r="M4638">
        <v>0.95196570000000003</v>
      </c>
      <c r="N4638">
        <v>0</v>
      </c>
      <c r="O4638">
        <v>-0.30590349999999999</v>
      </c>
      <c r="P4638">
        <v>0.94307200000000002</v>
      </c>
      <c r="Q4638">
        <v>6.0678309999999999E-2</v>
      </c>
      <c r="R4638">
        <v>-0.32700600000000002</v>
      </c>
      <c r="S4638">
        <v>3.0821230000000002</v>
      </c>
      <c r="T4638">
        <v>-0.12543070000000001</v>
      </c>
      <c r="U4638">
        <v>-0.30645749999999999</v>
      </c>
      <c r="V4638">
        <v>2.273849E-2</v>
      </c>
      <c r="W4638">
        <v>7.4242249999999996E-2</v>
      </c>
      <c r="X4638">
        <v>0.99698100000000001</v>
      </c>
      <c r="Y4638">
        <v>-0.20981830000000001</v>
      </c>
      <c r="Z4638">
        <v>1.6472489999999999E-2</v>
      </c>
      <c r="AA4638">
        <v>0.97760159999999996</v>
      </c>
      <c r="AB4638">
        <v>21</v>
      </c>
      <c r="AC4638">
        <v>27.102699999999899</v>
      </c>
      <c r="AD4638">
        <v>-1.1106098022149999</v>
      </c>
      <c r="AE4638">
        <v>-2.6540599999999901</v>
      </c>
      <c r="AF4638">
        <v>-5.7551958783120298</v>
      </c>
      <c r="AG4638">
        <v>-1.1106098022149999</v>
      </c>
      <c r="AH4638">
        <v>26.570986712095799</v>
      </c>
      <c r="AI4638">
        <v>92.339265363148201</v>
      </c>
      <c r="AJ4638">
        <v>102.22130972740401</v>
      </c>
      <c r="AK4638">
        <v>27.2097972904042</v>
      </c>
      <c r="AL4638">
        <v>85.742315095637807</v>
      </c>
      <c r="AM4638">
        <v>88.693461879483394</v>
      </c>
      <c r="AN4638">
        <v>1.0000000324867699</v>
      </c>
    </row>
    <row r="4639" spans="1:40" x14ac:dyDescent="0.25">
      <c r="A4639" t="str">
        <f>"20190312154653090"</f>
        <v>20190312154653090</v>
      </c>
      <c r="B4639" t="str">
        <f>"1552376813082784"</f>
        <v>1552376813082784</v>
      </c>
      <c r="C4639" t="s">
        <v>40</v>
      </c>
      <c r="D4639">
        <v>4.903206</v>
      </c>
      <c r="E4639">
        <v>0.41316449999999999</v>
      </c>
      <c r="F4639" t="s">
        <v>82</v>
      </c>
      <c r="G4639">
        <v>-375.64490000000001</v>
      </c>
      <c r="H4639" s="1">
        <v>-2.5383260000000002E-6</v>
      </c>
      <c r="I4639">
        <v>21.492339999999999</v>
      </c>
      <c r="J4639">
        <v>-402.0915</v>
      </c>
      <c r="K4639">
        <v>1.1106</v>
      </c>
      <c r="L4639">
        <v>24.136289999999999</v>
      </c>
      <c r="M4639">
        <v>0.95213139999999996</v>
      </c>
      <c r="N4639">
        <v>0</v>
      </c>
      <c r="O4639">
        <v>-0.3053884</v>
      </c>
      <c r="P4639">
        <v>0.94286029999999998</v>
      </c>
      <c r="Q4639">
        <v>5.9877899999999998E-2</v>
      </c>
      <c r="R4639">
        <v>-0.32776460000000002</v>
      </c>
      <c r="S4639">
        <v>3.081604</v>
      </c>
      <c r="T4639">
        <v>-0.12886400000000001</v>
      </c>
      <c r="U4639">
        <v>-0.31088259999999901</v>
      </c>
      <c r="V4639">
        <v>2.4067370000000001E-2</v>
      </c>
      <c r="W4639">
        <v>7.3440019999999995E-2</v>
      </c>
      <c r="X4639">
        <v>0.99700920000000004</v>
      </c>
      <c r="Y4639">
        <v>-0.20786189999999999</v>
      </c>
      <c r="Z4639">
        <v>1.686265E-2</v>
      </c>
      <c r="AA4639">
        <v>0.97801280000000002</v>
      </c>
      <c r="AB4639">
        <v>21</v>
      </c>
      <c r="AC4639">
        <v>26.446599999999901</v>
      </c>
      <c r="AD4639">
        <v>-1.1106025383259901</v>
      </c>
      <c r="AE4639">
        <v>-2.6439499999999998</v>
      </c>
      <c r="AF4639">
        <v>-5.5499173045214603</v>
      </c>
      <c r="AG4639">
        <v>-1.1106025383259901</v>
      </c>
      <c r="AH4639">
        <v>25.945155829782401</v>
      </c>
      <c r="AI4639">
        <v>92.396934122167295</v>
      </c>
      <c r="AJ4639">
        <v>102.074150546932</v>
      </c>
      <c r="AK4639">
        <v>26.555340915093801</v>
      </c>
      <c r="AL4639">
        <v>85.788405218643504</v>
      </c>
      <c r="AM4639">
        <v>88.617173271566003</v>
      </c>
      <c r="AN4639">
        <v>1.00000000986047</v>
      </c>
    </row>
    <row r="4640" spans="1:40" x14ac:dyDescent="0.25">
      <c r="A4640" t="str">
        <f>"20190312154653113"</f>
        <v>20190312154653113</v>
      </c>
      <c r="B4640" t="str">
        <f>"1552376813102305"</f>
        <v>1552376813102305</v>
      </c>
      <c r="C4640" t="s">
        <v>40</v>
      </c>
      <c r="D4640">
        <v>4.9002980000000003</v>
      </c>
      <c r="E4640">
        <v>0.41303800000000002</v>
      </c>
      <c r="F4640" t="s">
        <v>82</v>
      </c>
      <c r="G4640">
        <v>-376.42430000000002</v>
      </c>
      <c r="H4640" s="1">
        <v>-2.182161E-6</v>
      </c>
      <c r="I4640">
        <v>21.538440000000001</v>
      </c>
      <c r="J4640">
        <v>-401.89359999999999</v>
      </c>
      <c r="K4640">
        <v>1.110587</v>
      </c>
      <c r="L4640">
        <v>24.073969999999999</v>
      </c>
      <c r="M4640">
        <v>0.95241480000000001</v>
      </c>
      <c r="N4640">
        <v>0</v>
      </c>
      <c r="O4640">
        <v>-0.30450339999999998</v>
      </c>
      <c r="P4640">
        <v>0.94238259999999996</v>
      </c>
      <c r="Q4640">
        <v>5.8498689999999999E-2</v>
      </c>
      <c r="R4640">
        <v>-0.3293835</v>
      </c>
      <c r="S4640">
        <v>3.0818180000000002</v>
      </c>
      <c r="T4640">
        <v>-0.1333482</v>
      </c>
      <c r="U4640">
        <v>-0.31192019999999998</v>
      </c>
      <c r="V4640">
        <v>2.668471E-2</v>
      </c>
      <c r="W4640">
        <v>7.2057040000000003E-2</v>
      </c>
      <c r="X4640">
        <v>0.99704349999999997</v>
      </c>
      <c r="Y4640">
        <v>-0.20660480000000001</v>
      </c>
      <c r="Z4640">
        <v>1.7383659999999999E-2</v>
      </c>
      <c r="AA4640">
        <v>0.97827010000000003</v>
      </c>
      <c r="AB4640">
        <v>21</v>
      </c>
      <c r="AC4640">
        <v>25.469299999999901</v>
      </c>
      <c r="AD4640">
        <v>-1.1105891821610001</v>
      </c>
      <c r="AE4640">
        <v>-2.5355300000000001</v>
      </c>
      <c r="AF4640">
        <v>-5.3310658253754601</v>
      </c>
      <c r="AG4640">
        <v>-1.1105891821610001</v>
      </c>
      <c r="AH4640">
        <v>24.9846757929826</v>
      </c>
      <c r="AI4640">
        <v>92.489207586347405</v>
      </c>
      <c r="AJ4640">
        <v>102.044772169887</v>
      </c>
      <c r="AK4640">
        <v>25.571227886952801</v>
      </c>
      <c r="AL4640">
        <v>85.8678546821195</v>
      </c>
      <c r="AM4640">
        <v>88.466911062164996</v>
      </c>
      <c r="AN4640">
        <v>1.0000000158267901</v>
      </c>
    </row>
    <row r="4641" spans="1:40" x14ac:dyDescent="0.25">
      <c r="A4641" t="str">
        <f>"20190312154653134"</f>
        <v>20190312154653134</v>
      </c>
      <c r="B4641" t="str">
        <f>"1552376813122801"</f>
        <v>1552376813122801</v>
      </c>
      <c r="C4641" t="s">
        <v>40</v>
      </c>
      <c r="D4641">
        <v>4.9233989999999999</v>
      </c>
      <c r="E4641">
        <v>0.41289429999999999</v>
      </c>
      <c r="F4641" t="s">
        <v>82</v>
      </c>
      <c r="G4641">
        <v>-376.96929999999998</v>
      </c>
      <c r="H4641" s="1">
        <v>-1.919783E-6</v>
      </c>
      <c r="I4641">
        <v>21.520530000000001</v>
      </c>
      <c r="J4641">
        <v>-401.70209999999997</v>
      </c>
      <c r="K4641">
        <v>1.1105830000000001</v>
      </c>
      <c r="L4641">
        <v>24.013850000000001</v>
      </c>
      <c r="M4641">
        <v>0.95268079999999999</v>
      </c>
      <c r="N4641">
        <v>0</v>
      </c>
      <c r="O4641">
        <v>-0.303670099999999</v>
      </c>
      <c r="P4641">
        <v>0.94188760000000005</v>
      </c>
      <c r="Q4641">
        <v>5.7456649999999998E-2</v>
      </c>
      <c r="R4641">
        <v>-0.33097789999999999</v>
      </c>
      <c r="S4641">
        <v>3.081604</v>
      </c>
      <c r="T4641">
        <v>-0.13731170000000001</v>
      </c>
      <c r="U4641">
        <v>-0.31570429999999999</v>
      </c>
      <c r="V4641">
        <v>2.922837E-2</v>
      </c>
      <c r="W4641">
        <v>7.1012119999999998E-2</v>
      </c>
      <c r="X4641">
        <v>0.99704709999999996</v>
      </c>
      <c r="Y4641">
        <v>-0.20452770000000001</v>
      </c>
      <c r="Z4641">
        <v>1.7817880000000001E-2</v>
      </c>
      <c r="AA4641">
        <v>0.97869859999999997</v>
      </c>
      <c r="AB4641">
        <v>20</v>
      </c>
      <c r="AC4641">
        <v>24.732800000000001</v>
      </c>
      <c r="AD4641">
        <v>-1.110584919783</v>
      </c>
      <c r="AE4641">
        <v>-2.4933200000000002</v>
      </c>
      <c r="AF4641">
        <v>-5.1255150122606903</v>
      </c>
      <c r="AG4641">
        <v>-1.110584919783</v>
      </c>
      <c r="AH4641">
        <v>24.273394996693899</v>
      </c>
      <c r="AI4641">
        <v>92.563194684813197</v>
      </c>
      <c r="AJ4641">
        <v>101.92329567410199</v>
      </c>
      <c r="AK4641">
        <v>24.833485612585399</v>
      </c>
      <c r="AL4641">
        <v>85.927877772144399</v>
      </c>
      <c r="AM4641">
        <v>88.320858889542706</v>
      </c>
      <c r="AN4641">
        <v>0.99999996920907996</v>
      </c>
    </row>
    <row r="4642" spans="1:40" x14ac:dyDescent="0.25">
      <c r="A4642" t="str">
        <f>"20190312154653155"</f>
        <v>20190312154653155</v>
      </c>
      <c r="B4642" t="str">
        <f>"1552376813152081"</f>
        <v>1552376813152081</v>
      </c>
      <c r="C4642" t="s">
        <v>40</v>
      </c>
      <c r="D4642">
        <v>4.9149190000000003</v>
      </c>
      <c r="E4642">
        <v>0.41271629999999998</v>
      </c>
      <c r="F4642" t="s">
        <v>82</v>
      </c>
      <c r="G4642">
        <v>-377.47480000000002</v>
      </c>
      <c r="H4642" s="1">
        <v>-1.675657E-6</v>
      </c>
      <c r="I4642">
        <v>21.501159999999999</v>
      </c>
      <c r="J4642">
        <v>-401.51560000000001</v>
      </c>
      <c r="K4642">
        <v>1.110574</v>
      </c>
      <c r="L4642">
        <v>23.955439999999999</v>
      </c>
      <c r="M4642">
        <v>0.95293470000000002</v>
      </c>
      <c r="N4642">
        <v>0</v>
      </c>
      <c r="O4642">
        <v>-0.30287269999999999</v>
      </c>
      <c r="P4642">
        <v>0.94134530000000005</v>
      </c>
      <c r="Q4642">
        <v>5.619499E-2</v>
      </c>
      <c r="R4642">
        <v>-0.332733099999999</v>
      </c>
      <c r="S4642">
        <v>3.0813899999999999</v>
      </c>
      <c r="T4642">
        <v>-0.1412513</v>
      </c>
      <c r="U4642">
        <v>-0.31958009999999998</v>
      </c>
      <c r="V4642">
        <v>3.1901199999999998E-2</v>
      </c>
      <c r="W4642">
        <v>6.9748770000000002E-2</v>
      </c>
      <c r="X4642">
        <v>0.99705440000000001</v>
      </c>
      <c r="Y4642">
        <v>-0.20245769999999999</v>
      </c>
      <c r="Z4642">
        <v>1.8245910000000001E-2</v>
      </c>
      <c r="AA4642">
        <v>0.97912100000000002</v>
      </c>
      <c r="AB4642">
        <v>20</v>
      </c>
      <c r="AC4642">
        <v>24.040799999999901</v>
      </c>
      <c r="AD4642">
        <v>-1.110575675657</v>
      </c>
      <c r="AE4642">
        <v>-2.45427999999999</v>
      </c>
      <c r="AF4642">
        <v>-4.93256955128507</v>
      </c>
      <c r="AG4642">
        <v>-1.110575675657</v>
      </c>
      <c r="AH4642">
        <v>23.604964492373501</v>
      </c>
      <c r="AI4642">
        <v>92.636817010157799</v>
      </c>
      <c r="AJ4642">
        <v>101.802873563259</v>
      </c>
      <c r="AK4642">
        <v>24.140380473303299</v>
      </c>
      <c r="AL4642">
        <v>86.000442577978205</v>
      </c>
      <c r="AM4642">
        <v>88.167421164461899</v>
      </c>
      <c r="AN4642">
        <v>1.00000002701865</v>
      </c>
    </row>
    <row r="4643" spans="1:40" x14ac:dyDescent="0.25">
      <c r="A4643" t="str">
        <f>"20190312154653177"</f>
        <v>20190312154653177</v>
      </c>
      <c r="B4643" t="str">
        <f>"1552376813172577"</f>
        <v>1552376813172577</v>
      </c>
      <c r="C4643" t="s">
        <v>40</v>
      </c>
      <c r="D4643">
        <v>5.1345839999999896</v>
      </c>
      <c r="E4643">
        <v>0.41261029999999999</v>
      </c>
      <c r="F4643" t="s">
        <v>82</v>
      </c>
      <c r="G4643">
        <v>-377.80700000000002</v>
      </c>
      <c r="H4643" s="1">
        <v>-1.508528E-6</v>
      </c>
      <c r="I4643">
        <v>21.463149999999999</v>
      </c>
      <c r="J4643">
        <v>-401.32589999999999</v>
      </c>
      <c r="K4643">
        <v>1.1105780000000001</v>
      </c>
      <c r="L4643">
        <v>23.896180000000001</v>
      </c>
      <c r="M4643">
        <v>0.95318950000000002</v>
      </c>
      <c r="N4643">
        <v>0</v>
      </c>
      <c r="O4643">
        <v>-0.30207020000000001</v>
      </c>
      <c r="P4643">
        <v>0.94091919999999996</v>
      </c>
      <c r="Q4643">
        <v>5.5106919999999997E-2</v>
      </c>
      <c r="R4643">
        <v>-0.33411790000000002</v>
      </c>
      <c r="S4643">
        <v>3.0810240000000002</v>
      </c>
      <c r="T4643">
        <v>-0.14432329999999999</v>
      </c>
      <c r="U4643">
        <v>-0.32388309999999998</v>
      </c>
      <c r="V4643">
        <v>3.4190079999999998E-2</v>
      </c>
      <c r="W4643">
        <v>6.8658960000000005E-2</v>
      </c>
      <c r="X4643">
        <v>0.9970542</v>
      </c>
      <c r="Y4643">
        <v>-0.2002486</v>
      </c>
      <c r="Z4643">
        <v>1.855507E-2</v>
      </c>
      <c r="AA4643">
        <v>0.97956940000000003</v>
      </c>
      <c r="AB4643">
        <v>20</v>
      </c>
      <c r="AC4643">
        <v>23.518899999999999</v>
      </c>
      <c r="AD4643">
        <v>-1.1105795085279999</v>
      </c>
      <c r="AE4643">
        <v>-2.4330299999999898</v>
      </c>
      <c r="AF4643">
        <v>-4.7751241597599599</v>
      </c>
      <c r="AG4643">
        <v>-1.1105795085279999</v>
      </c>
      <c r="AH4643">
        <v>23.1040655958553</v>
      </c>
      <c r="AI4643">
        <v>92.6951338552972</v>
      </c>
      <c r="AJ4643">
        <v>101.67741312134</v>
      </c>
      <c r="AK4643">
        <v>23.618489465744201</v>
      </c>
      <c r="AL4643">
        <v>86.063034228825998</v>
      </c>
      <c r="AM4643">
        <v>88.036034552540698</v>
      </c>
      <c r="AN4643">
        <v>1.00000004604816</v>
      </c>
    </row>
    <row r="4644" spans="1:40" x14ac:dyDescent="0.25">
      <c r="A4644" t="str">
        <f>"20190312154653190"</f>
        <v>20190312154653190</v>
      </c>
      <c r="B4644" t="str">
        <f>"1552376813182338"</f>
        <v>1552376813182338</v>
      </c>
      <c r="C4644" t="s">
        <v>40</v>
      </c>
      <c r="D4644">
        <v>4.9218400000000004</v>
      </c>
      <c r="E4644">
        <v>0.41261029999999999</v>
      </c>
      <c r="F4644" t="s">
        <v>82</v>
      </c>
      <c r="G4644">
        <v>-377.69450000000001</v>
      </c>
      <c r="H4644" s="1">
        <v>-1.539927E-6</v>
      </c>
      <c r="I4644">
        <v>21.381309999999999</v>
      </c>
      <c r="J4644">
        <v>-401.21949999999998</v>
      </c>
      <c r="K4644">
        <v>1.110582</v>
      </c>
      <c r="L4644">
        <v>23.863040000000002</v>
      </c>
      <c r="M4644">
        <v>0.95333140000000005</v>
      </c>
      <c r="N4644">
        <v>0</v>
      </c>
      <c r="O4644">
        <v>-0.30162159999999999</v>
      </c>
      <c r="P4644">
        <v>0.94069669999999905</v>
      </c>
      <c r="Q4644">
        <v>5.4681309999999997E-2</v>
      </c>
      <c r="R4644">
        <v>-0.33481290000000002</v>
      </c>
      <c r="S4644">
        <v>3.0804140000000002</v>
      </c>
      <c r="T4644">
        <v>-0.144766899999999</v>
      </c>
      <c r="U4644">
        <v>-0.32781979999999999</v>
      </c>
      <c r="V4644">
        <v>3.5389249999999997E-2</v>
      </c>
      <c r="W4644">
        <v>6.8232719999999997E-2</v>
      </c>
      <c r="X4644">
        <v>0.99704159999999997</v>
      </c>
      <c r="Y4644">
        <v>-0.19852800000000001</v>
      </c>
      <c r="Z4644">
        <v>1.8553420000000001E-2</v>
      </c>
      <c r="AA4644">
        <v>0.9799196</v>
      </c>
      <c r="AB4644">
        <v>20</v>
      </c>
      <c r="AC4644">
        <v>23.524999999999899</v>
      </c>
      <c r="AD4644">
        <v>-1.1105835399270001</v>
      </c>
      <c r="AE4644">
        <v>-2.4817300000000002</v>
      </c>
      <c r="AF4644">
        <v>-4.7197684066603198</v>
      </c>
      <c r="AG4644">
        <v>-1.1105835399270001</v>
      </c>
      <c r="AH4644">
        <v>23.1268185266443</v>
      </c>
      <c r="AI4644">
        <v>92.693872210603402</v>
      </c>
      <c r="AJ4644">
        <v>101.534643304759</v>
      </c>
      <c r="AK4644">
        <v>23.629628536564098</v>
      </c>
      <c r="AL4644">
        <v>86.087513316405307</v>
      </c>
      <c r="AM4644">
        <v>87.967182312258899</v>
      </c>
      <c r="AN4644">
        <v>1.00000002761236</v>
      </c>
    </row>
    <row r="4645" spans="1:40" x14ac:dyDescent="0.25">
      <c r="A4645" t="str">
        <f>"20190312154653202"</f>
        <v>20190312154653202</v>
      </c>
      <c r="B4645" t="str">
        <f>"1552376813192097"</f>
        <v>1552376813192097</v>
      </c>
      <c r="C4645" t="s">
        <v>40</v>
      </c>
      <c r="D4645">
        <v>5.0270239999999999</v>
      </c>
      <c r="E4645">
        <v>0.40928829999999999</v>
      </c>
      <c r="F4645" t="s">
        <v>82</v>
      </c>
      <c r="G4645">
        <v>-377.80990000000003</v>
      </c>
      <c r="H4645" s="1">
        <v>-1.4782230000000001E-6</v>
      </c>
      <c r="I4645">
        <v>21.354399999999998</v>
      </c>
      <c r="J4645">
        <v>-401.10599999999999</v>
      </c>
      <c r="K4645">
        <v>1.110589</v>
      </c>
      <c r="L4645">
        <v>23.8277</v>
      </c>
      <c r="M4645">
        <v>0.95348279999999996</v>
      </c>
      <c r="N4645">
        <v>0</v>
      </c>
      <c r="O4645">
        <v>-0.30114279999999999</v>
      </c>
      <c r="P4645">
        <v>0.94055940000000005</v>
      </c>
      <c r="Q4645">
        <v>5.4220560000000001E-2</v>
      </c>
      <c r="R4645">
        <v>-0.3352734</v>
      </c>
      <c r="S4645">
        <v>3.0801699999999999</v>
      </c>
      <c r="T4645">
        <v>-0.1461269</v>
      </c>
      <c r="U4645">
        <v>-0.33007809999999999</v>
      </c>
      <c r="V4645">
        <v>3.6370420000000001E-2</v>
      </c>
      <c r="W4645">
        <v>6.7770789999999997E-2</v>
      </c>
      <c r="X4645">
        <v>0.99703779999999997</v>
      </c>
      <c r="Y4645">
        <v>-0.19730890000000001</v>
      </c>
      <c r="Z4645">
        <v>1.8677429999999998E-2</v>
      </c>
      <c r="AA4645">
        <v>0.98016349999999997</v>
      </c>
      <c r="AB4645">
        <v>20</v>
      </c>
      <c r="AC4645">
        <v>23.2960999999999</v>
      </c>
      <c r="AD4645">
        <v>-1.1105904782230001</v>
      </c>
      <c r="AE4645">
        <v>-2.4733000000000001</v>
      </c>
      <c r="AF4645">
        <v>-4.6471873540812396</v>
      </c>
      <c r="AG4645">
        <v>-1.1105904782230001</v>
      </c>
      <c r="AH4645">
        <v>22.907872146989</v>
      </c>
      <c r="AI4645">
        <v>92.720244124620706</v>
      </c>
      <c r="AJ4645">
        <v>101.467640463389</v>
      </c>
      <c r="AK4645">
        <v>23.400862544296299</v>
      </c>
      <c r="AL4645">
        <v>86.114041375717505</v>
      </c>
      <c r="AM4645">
        <v>87.910863579242701</v>
      </c>
      <c r="AN4645">
        <v>1.00000003102851</v>
      </c>
    </row>
    <row r="4646" spans="1:40" x14ac:dyDescent="0.25">
      <c r="A4646" t="str">
        <f>"20190312154653214"</f>
        <v>20190312154653214</v>
      </c>
      <c r="B4646" t="str">
        <f>"1552376813202833"</f>
        <v>1552376813202833</v>
      </c>
      <c r="C4646" t="s">
        <v>40</v>
      </c>
      <c r="D4646">
        <v>5.1251889999999998</v>
      </c>
      <c r="E4646">
        <v>0.40901609999999999</v>
      </c>
      <c r="F4646" t="s">
        <v>42</v>
      </c>
      <c r="G4646">
        <v>-345.27519999999998</v>
      </c>
      <c r="H4646" s="1">
        <v>-2.2616850000000001E-6</v>
      </c>
      <c r="I4646">
        <v>18.193020000000001</v>
      </c>
      <c r="J4646">
        <v>-401.00830000000002</v>
      </c>
      <c r="K4646">
        <v>1.110592</v>
      </c>
      <c r="L4646">
        <v>23.797360000000001</v>
      </c>
      <c r="M4646">
        <v>0.95361289999999999</v>
      </c>
      <c r="N4646">
        <v>0</v>
      </c>
      <c r="O4646">
        <v>-0.30073109999999997</v>
      </c>
      <c r="P4646">
        <v>0.94044430000000001</v>
      </c>
      <c r="Q4646">
        <v>5.3941860000000001E-2</v>
      </c>
      <c r="R4646">
        <v>-0.33564110000000003</v>
      </c>
      <c r="S4646">
        <v>3.082214</v>
      </c>
      <c r="T4646">
        <v>-6.131172E-2</v>
      </c>
      <c r="U4646">
        <v>-0.3110657</v>
      </c>
      <c r="V4646">
        <v>3.7186280000000002E-2</v>
      </c>
      <c r="W4646">
        <v>6.7491029999999994E-2</v>
      </c>
      <c r="X4646">
        <v>0.99702659999999999</v>
      </c>
      <c r="Y4646">
        <v>-0.20337839999999999</v>
      </c>
      <c r="Z4646">
        <v>7.8913630000000002E-3</v>
      </c>
      <c r="AA4646">
        <v>0.97906839999999995</v>
      </c>
      <c r="AB4646">
        <v>20</v>
      </c>
      <c r="AC4646">
        <v>55.7331</v>
      </c>
      <c r="AD4646">
        <v>-1.110594261685</v>
      </c>
      <c r="AE4646">
        <v>-5.6043399999999997</v>
      </c>
      <c r="AF4646">
        <v>-11.412865147603</v>
      </c>
      <c r="AG4646">
        <v>-1.110594261685</v>
      </c>
      <c r="AH4646">
        <v>54.816677993016</v>
      </c>
      <c r="AI4646">
        <v>91.1363023726081</v>
      </c>
      <c r="AJ4646">
        <v>101.760999928595</v>
      </c>
      <c r="AK4646">
        <v>56.003170416338598</v>
      </c>
      <c r="AL4646">
        <v>86.130106912065798</v>
      </c>
      <c r="AM4646">
        <v>87.864019103400096</v>
      </c>
      <c r="AN4646">
        <v>0.99999994982912799</v>
      </c>
    </row>
    <row r="4647" spans="1:40" x14ac:dyDescent="0.25">
      <c r="A4647" t="str">
        <f>"20190312154653234"</f>
        <v>20190312154653234</v>
      </c>
      <c r="B4647" t="str">
        <f>"1552376813222357"</f>
        <v>1552376813222357</v>
      </c>
      <c r="C4647" t="s">
        <v>40</v>
      </c>
      <c r="D4647">
        <v>4.8680329999999996</v>
      </c>
      <c r="E4647">
        <v>0.4088794</v>
      </c>
      <c r="F4647" t="s">
        <v>42</v>
      </c>
      <c r="G4647">
        <v>-343.94799999999998</v>
      </c>
      <c r="H4647" s="1">
        <v>-2.8560010000000001E-6</v>
      </c>
      <c r="I4647">
        <v>18.052379999999999</v>
      </c>
      <c r="J4647">
        <v>-400.83510000000001</v>
      </c>
      <c r="K4647">
        <v>1.1105969999999901</v>
      </c>
      <c r="L4647">
        <v>23.74371</v>
      </c>
      <c r="M4647">
        <v>0.95384310000000005</v>
      </c>
      <c r="N4647">
        <v>0</v>
      </c>
      <c r="O4647">
        <v>-0.29999989999999999</v>
      </c>
      <c r="P4647">
        <v>0.94017899999999999</v>
      </c>
      <c r="Q4647">
        <v>5.3677030000000001E-2</v>
      </c>
      <c r="R4647">
        <v>-0.3364259</v>
      </c>
      <c r="S4647">
        <v>3.0826419999999999</v>
      </c>
      <c r="T4647">
        <v>-5.9999110000000001E-2</v>
      </c>
      <c r="U4647">
        <v>-0.31036380000000002</v>
      </c>
      <c r="V4647">
        <v>3.8778519999999997E-2</v>
      </c>
      <c r="W4647">
        <v>6.7225090000000001E-2</v>
      </c>
      <c r="X4647">
        <v>0.99698390000000003</v>
      </c>
      <c r="Y4647">
        <v>-0.2028663</v>
      </c>
      <c r="Z4647">
        <v>7.7029849999999999E-3</v>
      </c>
      <c r="AA4647">
        <v>0.97917619999999905</v>
      </c>
      <c r="AB4647">
        <v>20</v>
      </c>
      <c r="AC4647">
        <v>56.887099999999897</v>
      </c>
      <c r="AD4647">
        <v>-1.11059985600099</v>
      </c>
      <c r="AE4647">
        <v>-5.6913299999999998</v>
      </c>
      <c r="AF4647">
        <v>-11.6341654351142</v>
      </c>
      <c r="AG4647">
        <v>-1.11059985600099</v>
      </c>
      <c r="AH4647">
        <v>55.952784647318197</v>
      </c>
      <c r="AI4647">
        <v>91.113301971220196</v>
      </c>
      <c r="AJ4647">
        <v>101.74604384989701</v>
      </c>
      <c r="AK4647">
        <v>57.160312693344601</v>
      </c>
      <c r="AL4647">
        <v>86.145378805286398</v>
      </c>
      <c r="AM4647">
        <v>87.772555723815202</v>
      </c>
      <c r="AN4647">
        <v>0.99999994159905203</v>
      </c>
    </row>
    <row r="4648" spans="1:40" x14ac:dyDescent="0.25">
      <c r="A4648" t="str">
        <f>"20190312154653246"</f>
        <v>20190312154653246</v>
      </c>
      <c r="B4648" t="str">
        <f>"1552376813241873"</f>
        <v>1552376813241873</v>
      </c>
      <c r="C4648" t="s">
        <v>40</v>
      </c>
      <c r="D4648">
        <v>4.8343040000000004</v>
      </c>
      <c r="E4648">
        <v>0.40980129999999998</v>
      </c>
      <c r="F4648" t="s">
        <v>42</v>
      </c>
      <c r="G4648">
        <v>-346.5523</v>
      </c>
      <c r="H4648" s="1">
        <v>-1.7034779999999999E-6</v>
      </c>
      <c r="I4648">
        <v>18.2514</v>
      </c>
      <c r="J4648">
        <v>-400.72519999999997</v>
      </c>
      <c r="K4648">
        <v>1.1106009999999999</v>
      </c>
      <c r="L4648">
        <v>23.709720000000001</v>
      </c>
      <c r="M4648">
        <v>0.95398910000000003</v>
      </c>
      <c r="N4648">
        <v>0</v>
      </c>
      <c r="O4648">
        <v>-0.29953570000000002</v>
      </c>
      <c r="P4648">
        <v>0.94013670000000005</v>
      </c>
      <c r="Q4648">
        <v>5.3791279999999997E-2</v>
      </c>
      <c r="R4648">
        <v>-0.33652650000000001</v>
      </c>
      <c r="S4648">
        <v>3.0828859999999998</v>
      </c>
      <c r="T4648">
        <v>-6.3074229999999995E-2</v>
      </c>
      <c r="U4648">
        <v>-0.31192019999999998</v>
      </c>
      <c r="V4648">
        <v>3.937181E-2</v>
      </c>
      <c r="W4648">
        <v>6.7338330000000002E-2</v>
      </c>
      <c r="X4648">
        <v>0.99695310000000004</v>
      </c>
      <c r="Y4648">
        <v>-0.20189860000000001</v>
      </c>
      <c r="Z4648">
        <v>8.077819E-3</v>
      </c>
      <c r="AA4648">
        <v>0.9793731</v>
      </c>
      <c r="AB4648">
        <v>20</v>
      </c>
      <c r="AC4648">
        <v>54.172899999999899</v>
      </c>
      <c r="AD4648">
        <v>-1.1106027034779999</v>
      </c>
      <c r="AE4648">
        <v>-5.4583199999999996</v>
      </c>
      <c r="AF4648">
        <v>-11.015965640430499</v>
      </c>
      <c r="AG4648">
        <v>-1.1106027034779999</v>
      </c>
      <c r="AH4648">
        <v>53.298025429167701</v>
      </c>
      <c r="AI4648">
        <v>91.169031696168901</v>
      </c>
      <c r="AJ4648">
        <v>101.67781043626201</v>
      </c>
      <c r="AK4648">
        <v>54.435874678417001</v>
      </c>
      <c r="AL4648">
        <v>86.1388762637078</v>
      </c>
      <c r="AM4648">
        <v>87.738442376145898</v>
      </c>
      <c r="AN4648">
        <v>1.0000000368547299</v>
      </c>
    </row>
    <row r="4649" spans="1:40" x14ac:dyDescent="0.25">
      <c r="A4649" t="str">
        <f>"20190312154653259"</f>
        <v>20190312154653259</v>
      </c>
      <c r="B4649" t="str">
        <f>"1552376813252609"</f>
        <v>1552376813252609</v>
      </c>
      <c r="C4649" t="s">
        <v>40</v>
      </c>
      <c r="D4649">
        <v>5.0896350000000004</v>
      </c>
      <c r="E4649">
        <v>0.40980129999999998</v>
      </c>
      <c r="F4649" t="s">
        <v>82</v>
      </c>
      <c r="G4649">
        <v>-371.84480000000002</v>
      </c>
      <c r="H4649" s="1">
        <v>-4.1363840000000003E-6</v>
      </c>
      <c r="I4649">
        <v>20.74718</v>
      </c>
      <c r="J4649">
        <v>-400.61369999999999</v>
      </c>
      <c r="K4649">
        <v>1.1106039999999999</v>
      </c>
      <c r="L4649">
        <v>23.67529</v>
      </c>
      <c r="M4649">
        <v>0.95413680000000001</v>
      </c>
      <c r="N4649">
        <v>0</v>
      </c>
      <c r="O4649">
        <v>-0.29906460000000001</v>
      </c>
      <c r="P4649">
        <v>0.94015530000000003</v>
      </c>
      <c r="Q4649">
        <v>5.4056939999999998E-2</v>
      </c>
      <c r="R4649">
        <v>-0.3364317</v>
      </c>
      <c r="S4649">
        <v>3.0845030000000002</v>
      </c>
      <c r="T4649">
        <v>-0.1186155</v>
      </c>
      <c r="U4649">
        <v>-0.31640629999999997</v>
      </c>
      <c r="V4649">
        <v>3.9767879999999999E-2</v>
      </c>
      <c r="W4649">
        <v>6.760236E-2</v>
      </c>
      <c r="X4649">
        <v>0.99691949999999996</v>
      </c>
      <c r="Y4649">
        <v>-0.19980100000000001</v>
      </c>
      <c r="Z4649">
        <v>1.5119779999999999E-2</v>
      </c>
      <c r="AA4649">
        <v>0.97971980000000003</v>
      </c>
      <c r="AB4649">
        <v>20</v>
      </c>
      <c r="AC4649">
        <v>28.768899999999899</v>
      </c>
      <c r="AD4649">
        <v>-1.1106081363839999</v>
      </c>
      <c r="AE4649">
        <v>-2.92810999999999</v>
      </c>
      <c r="AF4649">
        <v>-5.8019167406653196</v>
      </c>
      <c r="AG4649">
        <v>-1.1106081363839999</v>
      </c>
      <c r="AH4649">
        <v>28.286034434806599</v>
      </c>
      <c r="AI4649">
        <v>92.2026648133577</v>
      </c>
      <c r="AJ4649">
        <v>101.591501430435</v>
      </c>
      <c r="AK4649">
        <v>28.896287518386899</v>
      </c>
      <c r="AL4649">
        <v>86.123713868282096</v>
      </c>
      <c r="AM4649">
        <v>87.715638777122393</v>
      </c>
      <c r="AN4649">
        <v>1.0000000264187501</v>
      </c>
    </row>
    <row r="4650" spans="1:40" x14ac:dyDescent="0.25">
      <c r="A4650" t="str">
        <f>"20190312154653277"</f>
        <v>20190312154653277</v>
      </c>
      <c r="B4650" t="str">
        <f>"1552376813272130"</f>
        <v>1552376813272130</v>
      </c>
      <c r="C4650" t="s">
        <v>40</v>
      </c>
      <c r="D4650">
        <v>5.0255789999999996</v>
      </c>
      <c r="E4650">
        <v>0.41175709999999999</v>
      </c>
      <c r="F4650" t="s">
        <v>82</v>
      </c>
      <c r="G4650">
        <v>-371.60390000000001</v>
      </c>
      <c r="H4650" s="1">
        <v>-4.2379499999999998E-6</v>
      </c>
      <c r="I4650">
        <v>20.700980000000001</v>
      </c>
      <c r="J4650">
        <v>-400.4554</v>
      </c>
      <c r="K4650">
        <v>1.1106100000000001</v>
      </c>
      <c r="L4650">
        <v>23.626560000000001</v>
      </c>
      <c r="M4650">
        <v>0.95434569999999996</v>
      </c>
      <c r="N4650">
        <v>0</v>
      </c>
      <c r="O4650">
        <v>-0.29839749999999998</v>
      </c>
      <c r="P4650">
        <v>0.94019439999999999</v>
      </c>
      <c r="Q4650">
        <v>5.4375819999999998E-2</v>
      </c>
      <c r="R4650">
        <v>-0.33627050000000003</v>
      </c>
      <c r="S4650">
        <v>3.0845639999999999</v>
      </c>
      <c r="T4650">
        <v>-0.11808920000000001</v>
      </c>
      <c r="U4650">
        <v>-0.31625370000000003</v>
      </c>
      <c r="V4650">
        <v>4.0298889999999997E-2</v>
      </c>
      <c r="W4650">
        <v>6.7918729999999997E-2</v>
      </c>
      <c r="X4650">
        <v>0.99687669999999995</v>
      </c>
      <c r="Y4650">
        <v>-0.19917000000000001</v>
      </c>
      <c r="Z4650">
        <v>1.5016109999999999E-2</v>
      </c>
      <c r="AA4650">
        <v>0.97984990000000005</v>
      </c>
      <c r="AB4650">
        <v>20</v>
      </c>
      <c r="AC4650">
        <v>28.851499999999898</v>
      </c>
      <c r="AD4650">
        <v>-1.1106142379499999</v>
      </c>
      <c r="AE4650">
        <v>-2.9255800000000001</v>
      </c>
      <c r="AF4650">
        <v>-5.8092132717526797</v>
      </c>
      <c r="AG4650">
        <v>-1.1106142379499999</v>
      </c>
      <c r="AH4650">
        <v>28.368285119474599</v>
      </c>
      <c r="AI4650">
        <v>92.196442406395306</v>
      </c>
      <c r="AJ4650">
        <v>101.572943402882</v>
      </c>
      <c r="AK4650">
        <v>28.978268123579301</v>
      </c>
      <c r="AL4650">
        <v>86.105545555207698</v>
      </c>
      <c r="AM4650">
        <v>87.685069991110197</v>
      </c>
      <c r="AN4650">
        <v>1.00000005471146</v>
      </c>
    </row>
    <row r="4651" spans="1:40" x14ac:dyDescent="0.25">
      <c r="A4651" t="str">
        <f>"20190312154653290"</f>
        <v>20190312154653290</v>
      </c>
      <c r="B4651" t="str">
        <f>"1552376813281888"</f>
        <v>1552376813281888</v>
      </c>
      <c r="C4651" t="s">
        <v>40</v>
      </c>
      <c r="D4651">
        <v>4.9055980000000003</v>
      </c>
      <c r="E4651">
        <v>0.44796550000000002</v>
      </c>
      <c r="F4651" t="s">
        <v>81</v>
      </c>
      <c r="G4651">
        <v>-367.54509999999999</v>
      </c>
      <c r="H4651" s="1">
        <v>-1.285654E-6</v>
      </c>
      <c r="I4651">
        <v>20.08531</v>
      </c>
      <c r="J4651">
        <v>-400.3492</v>
      </c>
      <c r="K4651">
        <v>1.110619</v>
      </c>
      <c r="L4651">
        <v>23.59393</v>
      </c>
      <c r="M4651">
        <v>0.95448489999999997</v>
      </c>
      <c r="N4651">
        <v>0</v>
      </c>
      <c r="O4651">
        <v>-0.29795189999999999</v>
      </c>
      <c r="P4651">
        <v>0.94034759999999995</v>
      </c>
      <c r="Q4651">
        <v>5.4374159999999998E-2</v>
      </c>
      <c r="R4651">
        <v>-0.33584229999999998</v>
      </c>
      <c r="S4651">
        <v>3.0783390000000002</v>
      </c>
      <c r="T4651">
        <v>-0.1038835</v>
      </c>
      <c r="U4651">
        <v>-0.33123780000000003</v>
      </c>
      <c r="V4651">
        <v>4.0310430000000001E-2</v>
      </c>
      <c r="W4651">
        <v>6.7915390000000006E-2</v>
      </c>
      <c r="X4651">
        <v>0.9968764</v>
      </c>
      <c r="Y4651">
        <v>-0.1938732</v>
      </c>
      <c r="Z4651">
        <v>1.312875E-2</v>
      </c>
      <c r="AA4651">
        <v>0.98093869999999905</v>
      </c>
      <c r="AB4651">
        <v>20</v>
      </c>
      <c r="AC4651">
        <v>32.804099999999998</v>
      </c>
      <c r="AD4651">
        <v>-1.110620285654</v>
      </c>
      <c r="AE4651">
        <v>-3.5086200000000001</v>
      </c>
      <c r="AF4651">
        <v>-6.41843402183145</v>
      </c>
      <c r="AG4651">
        <v>-1.110620285654</v>
      </c>
      <c r="AH4651">
        <v>32.322752485826697</v>
      </c>
      <c r="AI4651">
        <v>91.930268152930196</v>
      </c>
      <c r="AJ4651">
        <v>101.231308323413</v>
      </c>
      <c r="AK4651">
        <v>32.972565883951503</v>
      </c>
      <c r="AL4651">
        <v>86.105737128899406</v>
      </c>
      <c r="AM4651">
        <v>87.684407112587294</v>
      </c>
      <c r="AN4651">
        <v>0.99999999392129801</v>
      </c>
    </row>
    <row r="4652" spans="1:40" x14ac:dyDescent="0.25">
      <c r="A4652" t="str">
        <f>"20190312154653313"</f>
        <v>20190312154653313</v>
      </c>
      <c r="B4652" t="str">
        <f>"1552376813302385"</f>
        <v>1552376813302385</v>
      </c>
      <c r="C4652" t="s">
        <v>40</v>
      </c>
      <c r="D4652">
        <v>4.8165809999999896</v>
      </c>
      <c r="E4652">
        <v>0.45824379999999998</v>
      </c>
      <c r="F4652" t="s">
        <v>81</v>
      </c>
      <c r="G4652">
        <v>-367.02379999999999</v>
      </c>
      <c r="H4652" s="1">
        <v>-1.897121E-6</v>
      </c>
      <c r="I4652">
        <v>16.85501</v>
      </c>
      <c r="J4652">
        <v>-400.15629999999999</v>
      </c>
      <c r="K4652">
        <v>1.110616</v>
      </c>
      <c r="L4652">
        <v>23.53473</v>
      </c>
      <c r="M4652">
        <v>0.95473529999999995</v>
      </c>
      <c r="N4652">
        <v>0</v>
      </c>
      <c r="O4652">
        <v>-0.2971491</v>
      </c>
      <c r="P4652">
        <v>0.94074720000000001</v>
      </c>
      <c r="Q4652">
        <v>5.4390710000000002E-2</v>
      </c>
      <c r="R4652">
        <v>-0.33471879999999998</v>
      </c>
      <c r="S4652">
        <v>2.9807429999999999</v>
      </c>
      <c r="T4652">
        <v>-9.9337700000000001E-2</v>
      </c>
      <c r="U4652">
        <v>-0.60275269999999903</v>
      </c>
      <c r="V4652">
        <v>3.9958300000000002E-2</v>
      </c>
      <c r="W4652">
        <v>6.7928249999999996E-2</v>
      </c>
      <c r="X4652">
        <v>0.99688969999999999</v>
      </c>
      <c r="Y4652">
        <v>-0.101825</v>
      </c>
      <c r="Z4652">
        <v>1.1296219999999999E-2</v>
      </c>
      <c r="AA4652">
        <v>0.99473820000000002</v>
      </c>
      <c r="AB4652">
        <v>20</v>
      </c>
      <c r="AC4652">
        <v>33.132499999999901</v>
      </c>
      <c r="AD4652">
        <v>-1.1106178971209999</v>
      </c>
      <c r="AE4652">
        <v>-6.6797199999999997</v>
      </c>
      <c r="AF4652">
        <v>-3.4645045403401</v>
      </c>
      <c r="AG4652">
        <v>-1.1106178971209999</v>
      </c>
      <c r="AH4652">
        <v>33.584452791826003</v>
      </c>
      <c r="AI4652">
        <v>91.884056281967702</v>
      </c>
      <c r="AJ4652">
        <v>95.889684398590006</v>
      </c>
      <c r="AK4652">
        <v>33.780937422603202</v>
      </c>
      <c r="AL4652">
        <v>86.104998597715195</v>
      </c>
      <c r="AM4652">
        <v>87.7046437327174</v>
      </c>
      <c r="AN4652">
        <v>0.99999999342652102</v>
      </c>
    </row>
    <row r="4653" spans="1:40" x14ac:dyDescent="0.25">
      <c r="A4653" t="str">
        <f>"20190312154653335"</f>
        <v>20190312154653335</v>
      </c>
      <c r="B4653" t="str">
        <f>"1552376813322880"</f>
        <v>1552376813322880</v>
      </c>
      <c r="C4653" t="s">
        <v>40</v>
      </c>
      <c r="D4653">
        <v>4.8026879999999998</v>
      </c>
      <c r="E4653">
        <v>0.46197890000000003</v>
      </c>
      <c r="F4653" t="s">
        <v>82</v>
      </c>
      <c r="G4653">
        <v>-375.06880000000001</v>
      </c>
      <c r="H4653" s="1">
        <v>-2.6328110000000001E-6</v>
      </c>
      <c r="I4653">
        <v>17.8049</v>
      </c>
      <c r="J4653">
        <v>-399.96409999999997</v>
      </c>
      <c r="K4653">
        <v>1.1106130000000001</v>
      </c>
      <c r="L4653">
        <v>23.476009999999999</v>
      </c>
      <c r="M4653">
        <v>0.95497949999999998</v>
      </c>
      <c r="N4653">
        <v>0</v>
      </c>
      <c r="O4653">
        <v>-0.2963635</v>
      </c>
      <c r="P4653">
        <v>0.94143829999999995</v>
      </c>
      <c r="Q4653">
        <v>5.479295E-2</v>
      </c>
      <c r="R4653">
        <v>-0.33270359999999899</v>
      </c>
      <c r="S4653">
        <v>2.956299</v>
      </c>
      <c r="T4653">
        <v>-0.13087489999999999</v>
      </c>
      <c r="U4653">
        <v>-0.67520139999999995</v>
      </c>
      <c r="V4653">
        <v>3.8650650000000002E-2</v>
      </c>
      <c r="W4653">
        <v>6.8325499999999997E-2</v>
      </c>
      <c r="X4653">
        <v>0.99691410000000003</v>
      </c>
      <c r="Y4653">
        <v>-7.595971E-2</v>
      </c>
      <c r="Z4653">
        <v>1.435237E-2</v>
      </c>
      <c r="AA4653">
        <v>0.99700759999999999</v>
      </c>
      <c r="AB4653">
        <v>20</v>
      </c>
      <c r="AC4653">
        <v>24.895299999999899</v>
      </c>
      <c r="AD4653">
        <v>-1.110615632811</v>
      </c>
      <c r="AE4653">
        <v>-5.6711099999999997</v>
      </c>
      <c r="AF4653">
        <v>-1.95873791832053</v>
      </c>
      <c r="AG4653">
        <v>-1.110615632811</v>
      </c>
      <c r="AH4653">
        <v>25.4094637068367</v>
      </c>
      <c r="AI4653">
        <v>92.495339565238197</v>
      </c>
      <c r="AJ4653">
        <v>94.408038929065498</v>
      </c>
      <c r="AK4653">
        <v>25.5090369709553</v>
      </c>
      <c r="AL4653">
        <v>86.082184810926293</v>
      </c>
      <c r="AM4653">
        <v>87.7797379473527</v>
      </c>
      <c r="AN4653">
        <v>0.99999998473724105</v>
      </c>
    </row>
    <row r="4654" spans="1:40" x14ac:dyDescent="0.25">
      <c r="A4654" t="str">
        <f>"20190312154653357"</f>
        <v>20190312154653357</v>
      </c>
      <c r="B4654" t="str">
        <f>"1552376813352161"</f>
        <v>1552376813352161</v>
      </c>
      <c r="C4654" t="s">
        <v>40</v>
      </c>
      <c r="D4654">
        <v>4.7667199999999896</v>
      </c>
      <c r="E4654">
        <v>0.46446009999999999</v>
      </c>
      <c r="F4654" t="s">
        <v>82</v>
      </c>
      <c r="G4654">
        <v>-377.38119999999998</v>
      </c>
      <c r="H4654" s="1">
        <v>-1.4796110000000001E-6</v>
      </c>
      <c r="I4654">
        <v>18.143689999999999</v>
      </c>
      <c r="J4654">
        <v>-399.77699999999999</v>
      </c>
      <c r="K4654">
        <v>1.1106</v>
      </c>
      <c r="L4654">
        <v>23.41891</v>
      </c>
      <c r="M4654">
        <v>0.95521040000000002</v>
      </c>
      <c r="N4654">
        <v>0</v>
      </c>
      <c r="O4654">
        <v>-0.29561799999999999</v>
      </c>
      <c r="P4654">
        <v>0.94229929999999995</v>
      </c>
      <c r="Q4654">
        <v>5.4767910000000003E-2</v>
      </c>
      <c r="R4654">
        <v>-0.33026070000000002</v>
      </c>
      <c r="S4654">
        <v>2.9489749999999999</v>
      </c>
      <c r="T4654">
        <v>-0.1450292</v>
      </c>
      <c r="U4654">
        <v>-0.69631960000000004</v>
      </c>
      <c r="V4654">
        <v>3.6843109999999998E-2</v>
      </c>
      <c r="W4654">
        <v>6.8295990000000001E-2</v>
      </c>
      <c r="X4654">
        <v>0.9969846</v>
      </c>
      <c r="Y4654">
        <v>-6.7800869999999999E-2</v>
      </c>
      <c r="Z4654">
        <v>1.5692749999999998E-2</v>
      </c>
      <c r="AA4654">
        <v>0.99757549999999995</v>
      </c>
      <c r="AB4654">
        <v>20</v>
      </c>
      <c r="AC4654">
        <v>22.395800000000001</v>
      </c>
      <c r="AD4654">
        <v>-1.110601479611</v>
      </c>
      <c r="AE4654">
        <v>-5.27522</v>
      </c>
      <c r="AF4654">
        <v>-1.5781245767692</v>
      </c>
      <c r="AG4654">
        <v>-1.110601479611</v>
      </c>
      <c r="AH4654">
        <v>22.900896265561201</v>
      </c>
      <c r="AI4654">
        <v>92.7698812665936</v>
      </c>
      <c r="AJ4654">
        <v>93.942079672335495</v>
      </c>
      <c r="AK4654">
        <v>22.982057405556901</v>
      </c>
      <c r="AL4654">
        <v>86.083879725418498</v>
      </c>
      <c r="AM4654">
        <v>87.883623718701898</v>
      </c>
      <c r="AN4654">
        <v>1.00000002482085</v>
      </c>
    </row>
    <row r="4655" spans="1:40" x14ac:dyDescent="0.25">
      <c r="A4655" t="str">
        <f>"20190312154653379"</f>
        <v>20190312154653379</v>
      </c>
      <c r="B4655" t="str">
        <f>"1552376813372658"</f>
        <v>1552376813372658</v>
      </c>
      <c r="C4655" t="s">
        <v>40</v>
      </c>
      <c r="D4655">
        <v>4.7635569999999996</v>
      </c>
      <c r="E4655">
        <v>0.46556930000000002</v>
      </c>
      <c r="F4655" t="s">
        <v>82</v>
      </c>
      <c r="G4655">
        <v>-379.40309999999999</v>
      </c>
      <c r="H4655" s="1">
        <v>-5.021497E-7</v>
      </c>
      <c r="I4655">
        <v>18.531210000000002</v>
      </c>
      <c r="J4655">
        <v>-399.58890000000002</v>
      </c>
      <c r="K4655">
        <v>1.110581</v>
      </c>
      <c r="L4655">
        <v>23.361719999999998</v>
      </c>
      <c r="M4655">
        <v>0.9554338</v>
      </c>
      <c r="N4655">
        <v>0</v>
      </c>
      <c r="O4655">
        <v>-0.29489589999999999</v>
      </c>
      <c r="P4655">
        <v>0.9433106</v>
      </c>
      <c r="Q4655">
        <v>5.4495509999999997E-2</v>
      </c>
      <c r="R4655">
        <v>-0.327407</v>
      </c>
      <c r="S4655">
        <v>2.9454039999999999</v>
      </c>
      <c r="T4655">
        <v>-0.1605568</v>
      </c>
      <c r="U4655">
        <v>-0.70660400000000001</v>
      </c>
      <c r="V4655">
        <v>3.4575389999999998E-2</v>
      </c>
      <c r="W4655">
        <v>6.8018640000000005E-2</v>
      </c>
      <c r="X4655">
        <v>0.99708470000000005</v>
      </c>
      <c r="Y4655">
        <v>-6.3395270000000004E-2</v>
      </c>
      <c r="Z4655">
        <v>1.7227039999999999E-2</v>
      </c>
      <c r="AA4655">
        <v>0.99783980000000005</v>
      </c>
      <c r="AB4655">
        <v>20</v>
      </c>
      <c r="AC4655">
        <v>20.1858</v>
      </c>
      <c r="AD4655">
        <v>-1.1105815021496901</v>
      </c>
      <c r="AE4655">
        <v>-4.8305099999999896</v>
      </c>
      <c r="AF4655">
        <v>-1.33378065823172</v>
      </c>
      <c r="AG4655">
        <v>-1.1105815021496901</v>
      </c>
      <c r="AH4655">
        <v>20.6534536699493</v>
      </c>
      <c r="AI4655">
        <v>93.071569461664396</v>
      </c>
      <c r="AJ4655">
        <v>93.694976800197296</v>
      </c>
      <c r="AK4655">
        <v>20.726251726106501</v>
      </c>
      <c r="AL4655">
        <v>86.099807440783906</v>
      </c>
      <c r="AM4655">
        <v>88.0139796935688</v>
      </c>
      <c r="AN4655">
        <v>0.99999994597759401</v>
      </c>
    </row>
    <row r="4656" spans="1:40" x14ac:dyDescent="0.25">
      <c r="A4656" t="str">
        <f>"20190312154653402"</f>
        <v>20190312154653402</v>
      </c>
      <c r="B4656" t="str">
        <f>"1552376813392181"</f>
        <v>1552376813392181</v>
      </c>
      <c r="C4656" t="s">
        <v>40</v>
      </c>
      <c r="D4656">
        <v>4.7366570000000001</v>
      </c>
      <c r="E4656">
        <v>0.46630379999999999</v>
      </c>
      <c r="F4656" t="s">
        <v>82</v>
      </c>
      <c r="G4656">
        <v>-379.39940000000001</v>
      </c>
      <c r="H4656" s="1">
        <v>-5.0514559999999997E-7</v>
      </c>
      <c r="I4656">
        <v>18.52525</v>
      </c>
      <c r="J4656">
        <v>-399.38929999999999</v>
      </c>
      <c r="K4656">
        <v>1.1105590000000001</v>
      </c>
      <c r="L4656">
        <v>23.301089999999999</v>
      </c>
      <c r="M4656">
        <v>0.95565829999999996</v>
      </c>
      <c r="N4656">
        <v>0</v>
      </c>
      <c r="O4656">
        <v>-0.29416779999999998</v>
      </c>
      <c r="P4656">
        <v>0.94424989999999998</v>
      </c>
      <c r="Q4656">
        <v>5.5014180000000003E-2</v>
      </c>
      <c r="R4656">
        <v>-0.32460169999999999</v>
      </c>
      <c r="S4656">
        <v>2.9448240000000001</v>
      </c>
      <c r="T4656">
        <v>-0.16198860000000001</v>
      </c>
      <c r="U4656">
        <v>-0.70544430000000002</v>
      </c>
      <c r="V4656">
        <v>3.2381819999999999E-2</v>
      </c>
      <c r="W4656">
        <v>6.8530049999999995E-2</v>
      </c>
      <c r="X4656">
        <v>0.99712339999999999</v>
      </c>
      <c r="Y4656">
        <v>-6.2954469999999998E-2</v>
      </c>
      <c r="Z4656">
        <v>1.7335380000000001E-2</v>
      </c>
      <c r="AA4656">
        <v>0.99786589999999997</v>
      </c>
      <c r="AB4656">
        <v>20</v>
      </c>
      <c r="AC4656">
        <v>19.989899999999899</v>
      </c>
      <c r="AD4656">
        <v>-1.1105595051456001</v>
      </c>
      <c r="AE4656">
        <v>-4.7758399999999899</v>
      </c>
      <c r="AF4656">
        <v>-1.3126013633070199</v>
      </c>
      <c r="AG4656">
        <v>-1.1105595051456001</v>
      </c>
      <c r="AH4656">
        <v>20.450572217563501</v>
      </c>
      <c r="AI4656">
        <v>93.101999061792995</v>
      </c>
      <c r="AJ4656">
        <v>93.672439993111496</v>
      </c>
      <c r="AK4656">
        <v>20.522723230097998</v>
      </c>
      <c r="AL4656">
        <v>86.070437532972605</v>
      </c>
      <c r="AM4656">
        <v>88.139959616305603</v>
      </c>
      <c r="AN4656">
        <v>1.00000001242353</v>
      </c>
    </row>
    <row r="4657" spans="1:40" x14ac:dyDescent="0.25">
      <c r="A4657" t="str">
        <f>"20190312154653426"</f>
        <v>20190312154653426</v>
      </c>
      <c r="B4657" t="str">
        <f>"1552376813422433"</f>
        <v>1552376813422433</v>
      </c>
      <c r="C4657" t="s">
        <v>40</v>
      </c>
      <c r="D4657">
        <v>4.764367</v>
      </c>
      <c r="E4657">
        <v>0.46680929999999998</v>
      </c>
      <c r="F4657" t="s">
        <v>82</v>
      </c>
      <c r="G4657">
        <v>-379.4615</v>
      </c>
      <c r="H4657" s="1">
        <v>-4.7418840000000001E-7</v>
      </c>
      <c r="I4657">
        <v>18.552029999999998</v>
      </c>
      <c r="J4657">
        <v>-399.1859</v>
      </c>
      <c r="K4657">
        <v>1.11053</v>
      </c>
      <c r="L4657">
        <v>23.239439999999998</v>
      </c>
      <c r="M4657">
        <v>0.95587080000000002</v>
      </c>
      <c r="N4657">
        <v>0</v>
      </c>
      <c r="O4657">
        <v>-0.29347659999999998</v>
      </c>
      <c r="P4657">
        <v>0.94508990000000004</v>
      </c>
      <c r="Q4657">
        <v>5.5521040000000001E-2</v>
      </c>
      <c r="R4657">
        <v>-0.3220597</v>
      </c>
      <c r="S4657">
        <v>2.9454349999999998</v>
      </c>
      <c r="T4657">
        <v>-0.16414619999999999</v>
      </c>
      <c r="U4657">
        <v>-0.70193479999999997</v>
      </c>
      <c r="V4657">
        <v>3.0432089999999998E-2</v>
      </c>
      <c r="W4657">
        <v>6.9030010000000003E-2</v>
      </c>
      <c r="X4657">
        <v>0.99715030000000004</v>
      </c>
      <c r="Y4657">
        <v>-6.339148E-2</v>
      </c>
      <c r="Z4657">
        <v>1.754147E-2</v>
      </c>
      <c r="AA4657">
        <v>0.99783460000000002</v>
      </c>
      <c r="AB4657">
        <v>20</v>
      </c>
      <c r="AC4657">
        <v>19.724399999999999</v>
      </c>
      <c r="AD4657">
        <v>-1.1105304741883999</v>
      </c>
      <c r="AE4657">
        <v>-4.6874099999999999</v>
      </c>
      <c r="AF4657">
        <v>-1.3042973337218999</v>
      </c>
      <c r="AG4657">
        <v>-1.1105304741883999</v>
      </c>
      <c r="AH4657">
        <v>20.170946372930199</v>
      </c>
      <c r="AI4657">
        <v>93.144737418953099</v>
      </c>
      <c r="AJ4657">
        <v>93.699719236937</v>
      </c>
      <c r="AK4657">
        <v>20.243555691836399</v>
      </c>
      <c r="AL4657">
        <v>86.041723838519303</v>
      </c>
      <c r="AM4657">
        <v>88.251929248355594</v>
      </c>
      <c r="AN4657">
        <v>0.99999998758622899</v>
      </c>
    </row>
    <row r="4658" spans="1:40" x14ac:dyDescent="0.25">
      <c r="A4658" t="str">
        <f>"20190312154653439"</f>
        <v>20190312154653439</v>
      </c>
      <c r="B4658" t="str">
        <f>"1552376813432193"</f>
        <v>1552376813432193</v>
      </c>
      <c r="C4658" t="s">
        <v>40</v>
      </c>
      <c r="D4658">
        <v>4.78789</v>
      </c>
      <c r="E4658">
        <v>0.46706389999999998</v>
      </c>
      <c r="F4658" t="s">
        <v>80</v>
      </c>
      <c r="G4658">
        <v>-380.12619999999998</v>
      </c>
      <c r="H4658" s="1">
        <v>-4.8256769999999998E-6</v>
      </c>
      <c r="I4658">
        <v>18.726579999999998</v>
      </c>
      <c r="J4658">
        <v>-399.07350000000002</v>
      </c>
      <c r="K4658">
        <v>1.110509</v>
      </c>
      <c r="L4658">
        <v>23.205410000000001</v>
      </c>
      <c r="M4658">
        <v>0.95598090000000002</v>
      </c>
      <c r="N4658">
        <v>0</v>
      </c>
      <c r="O4658">
        <v>-0.2931183</v>
      </c>
      <c r="P4658">
        <v>0.94552000000000003</v>
      </c>
      <c r="Q4658">
        <v>5.5417389999999997E-2</v>
      </c>
      <c r="R4658">
        <v>-0.32081389999999999</v>
      </c>
      <c r="S4658">
        <v>2.9466549999999998</v>
      </c>
      <c r="T4658">
        <v>-0.17168989999999901</v>
      </c>
      <c r="U4658">
        <v>-0.69769289999999995</v>
      </c>
      <c r="V4658">
        <v>2.949208E-2</v>
      </c>
      <c r="W4658">
        <v>6.8923449999999997E-2</v>
      </c>
      <c r="X4658">
        <v>0.99718589999999996</v>
      </c>
      <c r="Y4658">
        <v>-6.4421909999999999E-2</v>
      </c>
      <c r="Z4658">
        <v>1.835291E-2</v>
      </c>
      <c r="AA4658">
        <v>0.99775400000000003</v>
      </c>
      <c r="AB4658">
        <v>20</v>
      </c>
      <c r="AC4658">
        <v>18.947299999999998</v>
      </c>
      <c r="AD4658">
        <v>-1.110513825677</v>
      </c>
      <c r="AE4658">
        <v>-4.4788300000000003</v>
      </c>
      <c r="AF4658">
        <v>-1.2681146185637799</v>
      </c>
      <c r="AG4658">
        <v>-1.110513825677</v>
      </c>
      <c r="AH4658">
        <v>19.3648517578021</v>
      </c>
      <c r="AI4658">
        <v>93.275139762321302</v>
      </c>
      <c r="AJ4658">
        <v>93.746686153367193</v>
      </c>
      <c r="AK4658">
        <v>19.438077045955001</v>
      </c>
      <c r="AL4658">
        <v>86.047843791199298</v>
      </c>
      <c r="AM4658">
        <v>88.305953492704901</v>
      </c>
      <c r="AN4658">
        <v>0.99999997195071899</v>
      </c>
    </row>
    <row r="4659" spans="1:40" x14ac:dyDescent="0.25">
      <c r="A4659" t="str">
        <f>"20190312154653457"</f>
        <v>20190312154653457</v>
      </c>
      <c r="B4659" t="str">
        <f>"1552376813452689"</f>
        <v>1552376813452689</v>
      </c>
      <c r="C4659" t="s">
        <v>40</v>
      </c>
      <c r="D4659">
        <v>4.7806170000000003</v>
      </c>
      <c r="E4659">
        <v>0.46769070000000001</v>
      </c>
      <c r="F4659" t="s">
        <v>80</v>
      </c>
      <c r="G4659">
        <v>-380.04430000000002</v>
      </c>
      <c r="H4659" s="1">
        <v>-4.8670390000000002E-6</v>
      </c>
      <c r="I4659">
        <v>18.711680000000001</v>
      </c>
      <c r="J4659">
        <v>-398.9194</v>
      </c>
      <c r="K4659">
        <v>1.1104830000000001</v>
      </c>
      <c r="L4659">
        <v>23.15878</v>
      </c>
      <c r="M4659">
        <v>0.95612459999999999</v>
      </c>
      <c r="N4659">
        <v>0</v>
      </c>
      <c r="O4659">
        <v>-0.2926491</v>
      </c>
      <c r="P4659">
        <v>0.94603990000000004</v>
      </c>
      <c r="Q4659">
        <v>5.4101799999999999E-2</v>
      </c>
      <c r="R4659">
        <v>-0.31950260000000003</v>
      </c>
      <c r="S4659">
        <v>2.9468380000000001</v>
      </c>
      <c r="T4659">
        <v>-0.1719724</v>
      </c>
      <c r="U4659">
        <v>-0.69589230000000002</v>
      </c>
      <c r="V4659">
        <v>2.8580979999999999E-2</v>
      </c>
      <c r="W4659">
        <v>6.7604269999999994E-2</v>
      </c>
      <c r="X4659">
        <v>0.99730280000000004</v>
      </c>
      <c r="Y4659">
        <v>-6.4522090000000004E-2</v>
      </c>
      <c r="Z4659">
        <v>1.8360850000000001E-2</v>
      </c>
      <c r="AA4659">
        <v>0.99774739999999995</v>
      </c>
      <c r="AB4659">
        <v>20</v>
      </c>
      <c r="AC4659">
        <v>18.8750999999999</v>
      </c>
      <c r="AD4659">
        <v>-1.1104878670389999</v>
      </c>
      <c r="AE4659">
        <v>-4.4470999999999998</v>
      </c>
      <c r="AF4659">
        <v>-1.26775781965318</v>
      </c>
      <c r="AG4659">
        <v>-1.1104878670389999</v>
      </c>
      <c r="AH4659">
        <v>19.286902322029</v>
      </c>
      <c r="AI4659">
        <v>93.288218030677001</v>
      </c>
      <c r="AJ4659">
        <v>93.760729885274202</v>
      </c>
      <c r="AK4659">
        <v>19.3603975778293</v>
      </c>
      <c r="AL4659">
        <v>86.123604244125602</v>
      </c>
      <c r="AM4659">
        <v>88.358450975064102</v>
      </c>
      <c r="AN4659">
        <v>1.0000000423139099</v>
      </c>
    </row>
    <row r="4660" spans="1:40" x14ac:dyDescent="0.25">
      <c r="A4660" t="str">
        <f>"20190312154653479"</f>
        <v>20190312154653479</v>
      </c>
      <c r="B4660" t="str">
        <f>"1552376813472210"</f>
        <v>1552376813472210</v>
      </c>
      <c r="C4660" t="s">
        <v>40</v>
      </c>
      <c r="D4660">
        <v>4.4796820000000004</v>
      </c>
      <c r="E4660">
        <v>0.48050739999999997</v>
      </c>
      <c r="F4660" t="s">
        <v>80</v>
      </c>
      <c r="G4660">
        <v>-380.40649999999999</v>
      </c>
      <c r="H4660" s="1">
        <v>-4.6839019999999998E-6</v>
      </c>
      <c r="I4660">
        <v>18.77901</v>
      </c>
      <c r="J4660">
        <v>-398.73259999999999</v>
      </c>
      <c r="K4660">
        <v>1.110452</v>
      </c>
      <c r="L4660">
        <v>23.102360000000001</v>
      </c>
      <c r="M4660">
        <v>0.95628709999999995</v>
      </c>
      <c r="N4660">
        <v>0</v>
      </c>
      <c r="O4660">
        <v>-0.29211749999999997</v>
      </c>
      <c r="P4660">
        <v>0.94649989999999995</v>
      </c>
      <c r="Q4660">
        <v>5.2799480000000003E-2</v>
      </c>
      <c r="R4660">
        <v>-0.31835619999999998</v>
      </c>
      <c r="S4660">
        <v>2.945862</v>
      </c>
      <c r="T4660">
        <v>-0.176706</v>
      </c>
      <c r="U4660">
        <v>-0.69692989999999999</v>
      </c>
      <c r="V4660">
        <v>2.7910460000000002E-2</v>
      </c>
      <c r="W4660">
        <v>6.6298280000000001E-2</v>
      </c>
      <c r="X4660">
        <v>0.9974094</v>
      </c>
      <c r="Y4660">
        <v>-6.3531699999999997E-2</v>
      </c>
      <c r="Z4660">
        <v>1.8811350000000001E-2</v>
      </c>
      <c r="AA4660">
        <v>0.99780250000000004</v>
      </c>
      <c r="AB4660">
        <v>20</v>
      </c>
      <c r="AC4660">
        <v>18.3261</v>
      </c>
      <c r="AD4660">
        <v>-1.110456683902</v>
      </c>
      <c r="AE4660">
        <v>-4.3233499999999996</v>
      </c>
      <c r="AF4660">
        <v>-1.2148963169909699</v>
      </c>
      <c r="AG4660">
        <v>-1.110456683902</v>
      </c>
      <c r="AH4660">
        <v>18.724526763774001</v>
      </c>
      <c r="AI4660">
        <v>93.386842028388003</v>
      </c>
      <c r="AJ4660">
        <v>93.712296724000197</v>
      </c>
      <c r="AK4660">
        <v>18.7967281630381</v>
      </c>
      <c r="AL4660">
        <v>86.198600009922203</v>
      </c>
      <c r="AM4660">
        <v>88.397113206090495</v>
      </c>
      <c r="AN4660">
        <v>0.99999998345836405</v>
      </c>
    </row>
    <row r="4661" spans="1:40" x14ac:dyDescent="0.25">
      <c r="A4661" t="str">
        <f>"20190312154653580"</f>
        <v>20190312154653580</v>
      </c>
      <c r="B4661" t="str">
        <f>"1552376813572738"</f>
        <v>1552376813572738</v>
      </c>
      <c r="C4661" t="s">
        <v>40</v>
      </c>
      <c r="D4661">
        <v>4.3207240000000002</v>
      </c>
      <c r="E4661">
        <v>0.5039399</v>
      </c>
      <c r="F4661" t="s">
        <v>41</v>
      </c>
      <c r="G4661">
        <v>-397.36180000000002</v>
      </c>
      <c r="H4661">
        <v>0.91431059999999997</v>
      </c>
      <c r="I4661">
        <v>22.720400000000001</v>
      </c>
      <c r="J4661">
        <v>-397.8664</v>
      </c>
      <c r="K4661">
        <v>1.110355</v>
      </c>
      <c r="L4661">
        <v>22.841370000000001</v>
      </c>
      <c r="M4661">
        <v>0.95689709999999994</v>
      </c>
      <c r="N4661">
        <v>0</v>
      </c>
      <c r="O4661">
        <v>-0.29011379999999998</v>
      </c>
      <c r="P4661">
        <v>0.94727360000000005</v>
      </c>
      <c r="Q4661">
        <v>5.0084900000000002E-2</v>
      </c>
      <c r="R4661">
        <v>-0.31648809999999999</v>
      </c>
      <c r="S4661">
        <v>2.9603579999999998</v>
      </c>
      <c r="T4661">
        <v>-0.8532537</v>
      </c>
      <c r="U4661">
        <v>-0.75564580000000003</v>
      </c>
      <c r="V4661">
        <v>2.8004919999999999E-2</v>
      </c>
      <c r="W4661">
        <v>6.3567499999999999E-2</v>
      </c>
      <c r="X4661">
        <v>0.99758449999999999</v>
      </c>
      <c r="Y4661">
        <v>-3.2564709999999997E-2</v>
      </c>
      <c r="Z4661">
        <v>8.3656869999999994E-2</v>
      </c>
      <c r="AA4661">
        <v>0.99596240000000003</v>
      </c>
      <c r="AB4661">
        <v>20</v>
      </c>
      <c r="AC4661">
        <v>0.50459999999998195</v>
      </c>
      <c r="AD4661">
        <v>-0.19604440000000001</v>
      </c>
      <c r="AE4661">
        <v>-0.12096999999999899</v>
      </c>
      <c r="AF4661">
        <v>-2.6811323743743402E-2</v>
      </c>
      <c r="AG4661">
        <v>-0.19604440000000001</v>
      </c>
      <c r="AH4661">
        <v>0.45328992262814799</v>
      </c>
      <c r="AI4661">
        <v>113.35167988778301</v>
      </c>
      <c r="AJ4661">
        <v>93.385003550545406</v>
      </c>
      <c r="AK4661">
        <v>0.49459479152987901</v>
      </c>
      <c r="AL4661">
        <v>86.355393067586903</v>
      </c>
      <c r="AM4661">
        <v>88.391973398149403</v>
      </c>
      <c r="AN4661">
        <v>0.99999996862035201</v>
      </c>
    </row>
    <row r="4662" spans="1:40" x14ac:dyDescent="0.25">
      <c r="A4662" t="str">
        <f>"20190312154653602"</f>
        <v>20190312154653602</v>
      </c>
      <c r="B4662" t="str">
        <f>"1552376813592261"</f>
        <v>1552376813592261</v>
      </c>
      <c r="C4662" t="s">
        <v>40</v>
      </c>
      <c r="D4662">
        <v>4.92483</v>
      </c>
      <c r="E4662">
        <v>0.50282859999999996</v>
      </c>
      <c r="F4662" t="s">
        <v>41</v>
      </c>
      <c r="G4662">
        <v>-397.23009999999999</v>
      </c>
      <c r="H4662">
        <v>0.85321259999999999</v>
      </c>
      <c r="I4662">
        <v>22.641570000000002</v>
      </c>
      <c r="J4662">
        <v>-397.67809999999997</v>
      </c>
      <c r="K4662">
        <v>1.1103590000000001</v>
      </c>
      <c r="L4662">
        <v>22.784790000000001</v>
      </c>
      <c r="M4662">
        <v>0.95701440000000004</v>
      </c>
      <c r="N4662">
        <v>0</v>
      </c>
      <c r="O4662">
        <v>-0.28972629999999999</v>
      </c>
      <c r="P4662">
        <v>0.94692589999999999</v>
      </c>
      <c r="Q4662">
        <v>5.1119959999999999E-2</v>
      </c>
      <c r="R4662">
        <v>-0.31736140000000002</v>
      </c>
      <c r="S4662">
        <v>2.9226679999999998</v>
      </c>
      <c r="T4662">
        <v>-1.180968</v>
      </c>
      <c r="U4662">
        <v>-0.91815190000000002</v>
      </c>
      <c r="V4662">
        <v>2.9345619999999999E-2</v>
      </c>
      <c r="W4662">
        <v>6.4599139999999999E-2</v>
      </c>
      <c r="X4662">
        <v>0.99747969999999997</v>
      </c>
      <c r="Y4662">
        <v>2.8281919999999999E-2</v>
      </c>
      <c r="Z4662">
        <v>0.1024916</v>
      </c>
      <c r="AA4662">
        <v>0.99433170000000004</v>
      </c>
      <c r="AB4662">
        <v>20</v>
      </c>
      <c r="AC4662">
        <v>0.44799999999997903</v>
      </c>
      <c r="AD4662">
        <v>-0.2571464</v>
      </c>
      <c r="AE4662">
        <v>-0.14321999999999899</v>
      </c>
      <c r="AF4662">
        <v>5.5945880450941898E-3</v>
      </c>
      <c r="AG4662">
        <v>-0.2571464</v>
      </c>
      <c r="AH4662">
        <v>0.36205655766346501</v>
      </c>
      <c r="AI4662">
        <v>125.380595991021</v>
      </c>
      <c r="AJ4662">
        <v>89.114721809406902</v>
      </c>
      <c r="AK4662">
        <v>0.44411768867662998</v>
      </c>
      <c r="AL4662">
        <v>86.296162753850894</v>
      </c>
      <c r="AM4662">
        <v>88.314857601544801</v>
      </c>
      <c r="AN4662">
        <v>0.999999983107006</v>
      </c>
    </row>
    <row r="4663" spans="1:40" x14ac:dyDescent="0.25">
      <c r="A4663" t="str">
        <f>"20190312154653625"</f>
        <v>20190312154653625</v>
      </c>
      <c r="B4663" t="str">
        <f>"1552376813622513"</f>
        <v>1552376813622513</v>
      </c>
      <c r="C4663" t="s">
        <v>40</v>
      </c>
      <c r="D4663">
        <v>4.8184909999999999</v>
      </c>
      <c r="E4663">
        <v>0.50016210000000005</v>
      </c>
      <c r="F4663" t="s">
        <v>41</v>
      </c>
      <c r="G4663">
        <v>-397.04629999999997</v>
      </c>
      <c r="H4663">
        <v>0.88829230000000003</v>
      </c>
      <c r="I4663">
        <v>22.585370000000001</v>
      </c>
      <c r="J4663">
        <v>-397.49</v>
      </c>
      <c r="K4663">
        <v>1.1103730000000001</v>
      </c>
      <c r="L4663">
        <v>22.728359999999999</v>
      </c>
      <c r="M4663">
        <v>0.95713090000000001</v>
      </c>
      <c r="N4663">
        <v>0</v>
      </c>
      <c r="O4663">
        <v>-0.28934140000000003</v>
      </c>
      <c r="P4663">
        <v>0.94641209999999998</v>
      </c>
      <c r="Q4663">
        <v>5.2885769999999999E-2</v>
      </c>
      <c r="R4663">
        <v>-0.31860250000000001</v>
      </c>
      <c r="S4663">
        <v>2.915314</v>
      </c>
      <c r="T4663">
        <v>-1.0245949999999999</v>
      </c>
      <c r="U4663">
        <v>-0.91943359999999996</v>
      </c>
      <c r="V4663">
        <v>3.1082370000000002E-2</v>
      </c>
      <c r="W4663">
        <v>6.6361580000000003E-2</v>
      </c>
      <c r="X4663">
        <v>0.99731139999999996</v>
      </c>
      <c r="Y4663">
        <v>2.5681860000000001E-2</v>
      </c>
      <c r="Z4663">
        <v>9.0193679999999998E-2</v>
      </c>
      <c r="AA4663">
        <v>0.99559310000000001</v>
      </c>
      <c r="AB4663">
        <v>20</v>
      </c>
      <c r="AC4663">
        <v>0.44370000000003501</v>
      </c>
      <c r="AD4663">
        <v>-0.22208069999999999</v>
      </c>
      <c r="AE4663">
        <v>-0.14299000000000101</v>
      </c>
      <c r="AF4663">
        <v>6.91156086880122E-3</v>
      </c>
      <c r="AG4663">
        <v>-0.22208069999999999</v>
      </c>
      <c r="AH4663">
        <v>0.37988043966273</v>
      </c>
      <c r="AI4663">
        <v>120.306717034063</v>
      </c>
      <c r="AJ4663">
        <v>88.957673153065201</v>
      </c>
      <c r="AK4663">
        <v>0.44008721342988599</v>
      </c>
      <c r="AL4663">
        <v>86.1949652482744</v>
      </c>
      <c r="AM4663">
        <v>88.214888204372897</v>
      </c>
      <c r="AN4663">
        <v>1.0000000007974299</v>
      </c>
    </row>
    <row r="4664" spans="1:40" x14ac:dyDescent="0.25">
      <c r="A4664" t="str">
        <f>"20190312154653638"</f>
        <v>20190312154653638</v>
      </c>
      <c r="B4664" t="str">
        <f>"1552376813632483"</f>
        <v>1552376813632483</v>
      </c>
      <c r="C4664" t="s">
        <v>40</v>
      </c>
      <c r="D4664">
        <v>4.7708370000000002</v>
      </c>
      <c r="E4664">
        <v>0.49998019999999999</v>
      </c>
      <c r="F4664" t="s">
        <v>41</v>
      </c>
      <c r="G4664">
        <v>-396.70870000000002</v>
      </c>
      <c r="H4664">
        <v>0.88654849999999996</v>
      </c>
      <c r="I4664">
        <v>22.483460000000001</v>
      </c>
      <c r="J4664">
        <v>-397.3725</v>
      </c>
      <c r="K4664">
        <v>1.1103780000000001</v>
      </c>
      <c r="L4664">
        <v>22.69312</v>
      </c>
      <c r="M4664">
        <v>0.95720419999999995</v>
      </c>
      <c r="N4664">
        <v>0</v>
      </c>
      <c r="O4664">
        <v>-0.28909899999999999</v>
      </c>
      <c r="P4664">
        <v>0.94626779999999999</v>
      </c>
      <c r="Q4664">
        <v>5.361337E-2</v>
      </c>
      <c r="R4664">
        <v>-0.3189091</v>
      </c>
      <c r="S4664">
        <v>2.909637</v>
      </c>
      <c r="T4664">
        <v>-0.83341469999999995</v>
      </c>
      <c r="U4664">
        <v>-0.91137699999999999</v>
      </c>
      <c r="V4664">
        <v>3.1669549999999998E-2</v>
      </c>
      <c r="W4664">
        <v>6.7087610000000006E-2</v>
      </c>
      <c r="X4664">
        <v>0.99724440000000003</v>
      </c>
      <c r="Y4664">
        <v>1.966594E-2</v>
      </c>
      <c r="Z4664">
        <v>7.4963989999999994E-2</v>
      </c>
      <c r="AA4664">
        <v>0.99699230000000005</v>
      </c>
      <c r="AB4664">
        <v>20</v>
      </c>
      <c r="AC4664">
        <v>0.66379999999997996</v>
      </c>
      <c r="AD4664">
        <v>-0.22382949999999999</v>
      </c>
      <c r="AE4664">
        <v>-0.20965999999999901</v>
      </c>
      <c r="AF4664">
        <v>7.9612342173357702E-3</v>
      </c>
      <c r="AG4664">
        <v>-0.22382949999999999</v>
      </c>
      <c r="AH4664">
        <v>0.63084711805013305</v>
      </c>
      <c r="AI4664">
        <v>109.53364609026499</v>
      </c>
      <c r="AJ4664">
        <v>89.276970768223194</v>
      </c>
      <c r="AK4664">
        <v>0.66942595757310697</v>
      </c>
      <c r="AL4664">
        <v>86.153274072243406</v>
      </c>
      <c r="AM4664">
        <v>88.181065813616399</v>
      </c>
      <c r="AN4664">
        <v>1.0000000505720299</v>
      </c>
    </row>
    <row r="4665" spans="1:40" x14ac:dyDescent="0.25">
      <c r="A4665" t="str">
        <f>"20190312154653651"</f>
        <v>20190312154653651</v>
      </c>
      <c r="B4665" t="str">
        <f>"1552376813642243"</f>
        <v>1552376813642243</v>
      </c>
      <c r="C4665" t="s">
        <v>40</v>
      </c>
      <c r="D4665">
        <v>5.1951419999999997</v>
      </c>
      <c r="E4665">
        <v>0.49949979999999999</v>
      </c>
      <c r="F4665" t="s">
        <v>41</v>
      </c>
      <c r="G4665">
        <v>-396.69119999999998</v>
      </c>
      <c r="H4665">
        <v>0.92802130000000005</v>
      </c>
      <c r="I4665">
        <v>22.478729999999999</v>
      </c>
      <c r="J4665">
        <v>-397.2706</v>
      </c>
      <c r="K4665">
        <v>1.110382</v>
      </c>
      <c r="L4665">
        <v>22.662659999999999</v>
      </c>
      <c r="M4665">
        <v>0.95726829999999996</v>
      </c>
      <c r="N4665">
        <v>0</v>
      </c>
      <c r="O4665">
        <v>-0.28888709999999901</v>
      </c>
      <c r="P4665">
        <v>0.9459978</v>
      </c>
      <c r="Q4665">
        <v>5.4102999999999998E-2</v>
      </c>
      <c r="R4665">
        <v>-0.31962679999999999</v>
      </c>
      <c r="S4665">
        <v>2.9064030000000001</v>
      </c>
      <c r="T4665">
        <v>-0.77785190000000004</v>
      </c>
      <c r="U4665">
        <v>-0.91384889999999996</v>
      </c>
      <c r="V4665">
        <v>3.2655000000000003E-2</v>
      </c>
      <c r="W4665">
        <v>6.7575730000000001E-2</v>
      </c>
      <c r="X4665">
        <v>0.99717960000000005</v>
      </c>
      <c r="Y4665">
        <v>1.9784800000000002E-2</v>
      </c>
      <c r="Z4665">
        <v>7.0124399999999906E-2</v>
      </c>
      <c r="AA4665">
        <v>0.99734210000000001</v>
      </c>
      <c r="AB4665">
        <v>20</v>
      </c>
      <c r="AC4665">
        <v>0.57940000000002101</v>
      </c>
      <c r="AD4665">
        <v>-0.18236069999999999</v>
      </c>
      <c r="AE4665">
        <v>-0.18393000000000001</v>
      </c>
      <c r="AF4665">
        <v>7.9724953993307503E-3</v>
      </c>
      <c r="AG4665">
        <v>-0.18236069999999999</v>
      </c>
      <c r="AH4665">
        <v>0.55764726911736096</v>
      </c>
      <c r="AI4665">
        <v>108.106947326745</v>
      </c>
      <c r="AJ4665">
        <v>89.180917318426694</v>
      </c>
      <c r="AK4665">
        <v>0.58676184465371695</v>
      </c>
      <c r="AL4665">
        <v>86.125243016371897</v>
      </c>
      <c r="AM4665">
        <v>88.124384716053598</v>
      </c>
      <c r="AN4665">
        <v>0.99999999148309604</v>
      </c>
    </row>
    <row r="4666" spans="1:40" x14ac:dyDescent="0.25">
      <c r="A4666" t="str">
        <f>"20190312154653669"</f>
        <v>20190312154653669</v>
      </c>
      <c r="B4666" t="str">
        <f>"1552376813662738"</f>
        <v>1552376813662738</v>
      </c>
      <c r="C4666" t="s">
        <v>40</v>
      </c>
      <c r="D4666">
        <v>4.8041269999999896</v>
      </c>
      <c r="E4666">
        <v>0.49927709999999997</v>
      </c>
      <c r="F4666" t="s">
        <v>41</v>
      </c>
      <c r="G4666">
        <v>-396.52429999999998</v>
      </c>
      <c r="H4666">
        <v>0.9241625</v>
      </c>
      <c r="I4666">
        <v>22.427379999999999</v>
      </c>
      <c r="J4666">
        <v>-397.11849999999998</v>
      </c>
      <c r="K4666">
        <v>1.1103799999999999</v>
      </c>
      <c r="L4666">
        <v>22.61713</v>
      </c>
      <c r="M4666">
        <v>0.95736500000000002</v>
      </c>
      <c r="N4666">
        <v>0</v>
      </c>
      <c r="O4666">
        <v>-0.2885665</v>
      </c>
      <c r="P4666">
        <v>0.94524929999999996</v>
      </c>
      <c r="Q4666">
        <v>5.4413990000000002E-2</v>
      </c>
      <c r="R4666">
        <v>-0.32178179999999901</v>
      </c>
      <c r="S4666">
        <v>2.9034119999999999</v>
      </c>
      <c r="T4666">
        <v>-0.72445499999999996</v>
      </c>
      <c r="U4666">
        <v>-0.91522219999999999</v>
      </c>
      <c r="V4666">
        <v>3.5267449999999999E-2</v>
      </c>
      <c r="W4666">
        <v>6.7884940000000005E-2</v>
      </c>
      <c r="X4666">
        <v>0.9970696</v>
      </c>
      <c r="Y4666">
        <v>1.9771199999999999E-2</v>
      </c>
      <c r="Z4666">
        <v>6.5434110000000004E-2</v>
      </c>
      <c r="AA4666">
        <v>0.99766100000000002</v>
      </c>
      <c r="AB4666">
        <v>20</v>
      </c>
      <c r="AC4666">
        <v>0.59419999999999995</v>
      </c>
      <c r="AD4666">
        <v>-0.18621749999999901</v>
      </c>
      <c r="AE4666">
        <v>-0.18975</v>
      </c>
      <c r="AF4666">
        <v>9.3604615502052499E-3</v>
      </c>
      <c r="AG4666">
        <v>-0.18621749999999901</v>
      </c>
      <c r="AH4666">
        <v>0.57264129547255904</v>
      </c>
      <c r="AI4666">
        <v>108.01178160472099</v>
      </c>
      <c r="AJ4666">
        <v>89.063519892764901</v>
      </c>
      <c r="AK4666">
        <v>0.60223137482795897</v>
      </c>
      <c r="AL4666">
        <v>86.107485738342902</v>
      </c>
      <c r="AM4666">
        <v>87.974229710778502</v>
      </c>
      <c r="AN4666">
        <v>0.99999997267623197</v>
      </c>
    </row>
    <row r="4667" spans="1:40" x14ac:dyDescent="0.25">
      <c r="A4667" t="str">
        <f>"20190312154653702"</f>
        <v>20190312154653702</v>
      </c>
      <c r="B4667" t="str">
        <f>"1552376813692022"</f>
        <v>1552376813692022</v>
      </c>
      <c r="C4667" t="s">
        <v>40</v>
      </c>
      <c r="D4667">
        <v>4.8176969999999999</v>
      </c>
      <c r="E4667">
        <v>0.4986506</v>
      </c>
      <c r="F4667" t="s">
        <v>41</v>
      </c>
      <c r="G4667">
        <v>-396.35039999999998</v>
      </c>
      <c r="H4667">
        <v>0.93846130000000005</v>
      </c>
      <c r="I4667">
        <v>22.37181</v>
      </c>
      <c r="J4667">
        <v>-396.83409999999998</v>
      </c>
      <c r="K4667">
        <v>1.110395</v>
      </c>
      <c r="L4667">
        <v>22.532260000000001</v>
      </c>
      <c r="M4667">
        <v>0.95754930000000005</v>
      </c>
      <c r="N4667">
        <v>0</v>
      </c>
      <c r="O4667">
        <v>-0.28795419999999999</v>
      </c>
      <c r="P4667">
        <v>0.94401089999999999</v>
      </c>
      <c r="Q4667">
        <v>5.4447959999999997E-2</v>
      </c>
      <c r="R4667">
        <v>-0.32539089999999998</v>
      </c>
      <c r="S4667">
        <v>2.8963320000000001</v>
      </c>
      <c r="T4667">
        <v>-0.64831549999999905</v>
      </c>
      <c r="U4667">
        <v>-0.92449950000000003</v>
      </c>
      <c r="V4667">
        <v>3.9716609999999999E-2</v>
      </c>
      <c r="W4667">
        <v>6.7916359999999995E-2</v>
      </c>
      <c r="X4667">
        <v>0.99690020000000001</v>
      </c>
      <c r="Y4667">
        <v>2.2549920000000001E-2</v>
      </c>
      <c r="Z4667">
        <v>5.8394160000000001E-2</v>
      </c>
      <c r="AA4667">
        <v>0.99803889999999995</v>
      </c>
      <c r="AB4667">
        <v>20</v>
      </c>
      <c r="AC4667">
        <v>0.48369999999999802</v>
      </c>
      <c r="AD4667">
        <v>-0.171933699999999</v>
      </c>
      <c r="AE4667">
        <v>-0.16045000000000001</v>
      </c>
      <c r="AF4667">
        <v>1.28895087537281E-2</v>
      </c>
      <c r="AG4667">
        <v>-0.171933699999999</v>
      </c>
      <c r="AH4667">
        <v>0.45735697254907898</v>
      </c>
      <c r="AI4667">
        <v>110.595200427178</v>
      </c>
      <c r="AJ4667">
        <v>88.385683251555207</v>
      </c>
      <c r="AK4667">
        <v>0.48877677621881799</v>
      </c>
      <c r="AL4667">
        <v>86.105681544248696</v>
      </c>
      <c r="AM4667">
        <v>87.718536611781801</v>
      </c>
      <c r="AN4667">
        <v>1.0000000249127901</v>
      </c>
    </row>
    <row r="4668" spans="1:40" x14ac:dyDescent="0.25">
      <c r="A4668" t="str">
        <f>"20190312154653726"</f>
        <v>20190312154653726</v>
      </c>
      <c r="B4668" t="str">
        <f>"1552376813722275"</f>
        <v>1552376813722275</v>
      </c>
      <c r="C4668" t="s">
        <v>40</v>
      </c>
      <c r="D4668">
        <v>4.8378500000000004</v>
      </c>
      <c r="E4668">
        <v>0.48983349999999998</v>
      </c>
      <c r="F4668" t="s">
        <v>41</v>
      </c>
      <c r="G4668">
        <v>-396.16430000000003</v>
      </c>
      <c r="H4668">
        <v>0.97706249999999994</v>
      </c>
      <c r="I4668">
        <v>22.315819999999999</v>
      </c>
      <c r="J4668">
        <v>-396.64100000000002</v>
      </c>
      <c r="K4668">
        <v>1.1104000000000001</v>
      </c>
      <c r="L4668">
        <v>22.47476</v>
      </c>
      <c r="M4668">
        <v>0.95767769999999997</v>
      </c>
      <c r="N4668">
        <v>0</v>
      </c>
      <c r="O4668">
        <v>-0.28752850000000002</v>
      </c>
      <c r="P4668">
        <v>0.94349930000000004</v>
      </c>
      <c r="Q4668">
        <v>5.6038379999999999E-2</v>
      </c>
      <c r="R4668">
        <v>-0.32660220000000001</v>
      </c>
      <c r="S4668">
        <v>2.8893740000000001</v>
      </c>
      <c r="T4668">
        <v>-0.57513400000000003</v>
      </c>
      <c r="U4668">
        <v>-0.93350219999999995</v>
      </c>
      <c r="V4668">
        <v>4.1465830000000002E-2</v>
      </c>
      <c r="W4668">
        <v>6.9478579999999998E-2</v>
      </c>
      <c r="X4668">
        <v>0.99672130000000003</v>
      </c>
      <c r="Y4668">
        <v>2.5269409999999999E-2</v>
      </c>
      <c r="Z4668">
        <v>5.1675100000000002E-2</v>
      </c>
      <c r="AA4668">
        <v>0.99834420000000001</v>
      </c>
      <c r="AB4668">
        <v>20</v>
      </c>
      <c r="AC4668">
        <v>0.47669999999993701</v>
      </c>
      <c r="AD4668">
        <v>-0.1333375</v>
      </c>
      <c r="AE4668">
        <v>-0.158939999999997</v>
      </c>
      <c r="AF4668">
        <v>1.41532924557042E-2</v>
      </c>
      <c r="AG4668">
        <v>-0.1333375</v>
      </c>
      <c r="AH4668">
        <v>0.46923150602701003</v>
      </c>
      <c r="AI4668">
        <v>105.85625702253</v>
      </c>
      <c r="AJ4668">
        <v>88.272327999132102</v>
      </c>
      <c r="AK4668">
        <v>0.48801374042332302</v>
      </c>
      <c r="AL4668">
        <v>86.015960939522202</v>
      </c>
      <c r="AM4668">
        <v>87.617741459335207</v>
      </c>
      <c r="AN4668">
        <v>1.00000001900504</v>
      </c>
    </row>
    <row r="4669" spans="1:40" x14ac:dyDescent="0.25">
      <c r="A4669" t="str">
        <f>"20190312154653748"</f>
        <v>20190312154653748</v>
      </c>
      <c r="B4669" t="str">
        <f>"1552376813742303"</f>
        <v>1552376813742303</v>
      </c>
      <c r="C4669" t="s">
        <v>40</v>
      </c>
      <c r="D4669">
        <v>4.8412629999999996</v>
      </c>
      <c r="E4669">
        <v>0.4906006</v>
      </c>
      <c r="F4669" t="s">
        <v>80</v>
      </c>
      <c r="G4669">
        <v>-380.55119999999999</v>
      </c>
      <c r="H4669" s="1">
        <v>-4.8376040000000002E-6</v>
      </c>
      <c r="I4669">
        <v>17.526689999999999</v>
      </c>
      <c r="J4669">
        <v>-396.45420000000001</v>
      </c>
      <c r="K4669">
        <v>1.1103909999999999</v>
      </c>
      <c r="L4669">
        <v>22.41919</v>
      </c>
      <c r="M4669">
        <v>0.95780489999999996</v>
      </c>
      <c r="N4669">
        <v>0</v>
      </c>
      <c r="O4669">
        <v>-0.28710960000000002</v>
      </c>
      <c r="P4669">
        <v>0.94324520000000001</v>
      </c>
      <c r="Q4669">
        <v>5.7730129999999998E-2</v>
      </c>
      <c r="R4669">
        <v>-0.32704149999999998</v>
      </c>
      <c r="S4669">
        <v>2.8844599999999998</v>
      </c>
      <c r="T4669">
        <v>-0.1990653</v>
      </c>
      <c r="U4669">
        <v>-0.88705440000000002</v>
      </c>
      <c r="V4669">
        <v>4.2394149999999999E-2</v>
      </c>
      <c r="W4669">
        <v>7.1057780000000001E-2</v>
      </c>
      <c r="X4669">
        <v>0.99657090000000004</v>
      </c>
      <c r="Y4669">
        <v>7.6957299999999996E-3</v>
      </c>
      <c r="Z4669">
        <v>1.8675529999999999E-2</v>
      </c>
      <c r="AA4669">
        <v>0.99979600000000002</v>
      </c>
      <c r="AB4669">
        <v>20</v>
      </c>
      <c r="AC4669">
        <v>15.903</v>
      </c>
      <c r="AD4669">
        <v>-1.110395837604</v>
      </c>
      <c r="AE4669">
        <v>-4.8925000000000001</v>
      </c>
      <c r="AF4669">
        <v>0.11963437186348</v>
      </c>
      <c r="AG4669">
        <v>-1.110395837604</v>
      </c>
      <c r="AH4669">
        <v>16.564361497143</v>
      </c>
      <c r="AI4669">
        <v>93.834998470073401</v>
      </c>
      <c r="AJ4669">
        <v>89.586194408226604</v>
      </c>
      <c r="AK4669">
        <v>16.6019686515525</v>
      </c>
      <c r="AL4669">
        <v>85.925255209741096</v>
      </c>
      <c r="AM4669">
        <v>87.5641048317366</v>
      </c>
      <c r="AN4669">
        <v>1.0000000153897799</v>
      </c>
    </row>
    <row r="4670" spans="1:40" x14ac:dyDescent="0.25">
      <c r="A4670" t="str">
        <f>"20190312154653770"</f>
        <v>20190312154653770</v>
      </c>
      <c r="B4670" t="str">
        <f>"1552376813762798"</f>
        <v>1552376813762798</v>
      </c>
      <c r="C4670" t="s">
        <v>40</v>
      </c>
      <c r="D4670">
        <v>4.8927829999999997</v>
      </c>
      <c r="E4670">
        <v>0.4920503</v>
      </c>
      <c r="F4670" t="s">
        <v>80</v>
      </c>
      <c r="G4670">
        <v>-382.10559999999998</v>
      </c>
      <c r="H4670" s="1">
        <v>-4.0231280000000004E-6</v>
      </c>
      <c r="I4670">
        <v>17.97608</v>
      </c>
      <c r="J4670">
        <v>-396.26819999999998</v>
      </c>
      <c r="K4670">
        <v>1.11036</v>
      </c>
      <c r="L4670">
        <v>22.363980000000002</v>
      </c>
      <c r="M4670">
        <v>0.95793130000000004</v>
      </c>
      <c r="N4670">
        <v>0</v>
      </c>
      <c r="O4670">
        <v>-0.28669519999999998</v>
      </c>
      <c r="P4670">
        <v>0.94323920000000006</v>
      </c>
      <c r="Q4670">
        <v>5.7965540000000003E-2</v>
      </c>
      <c r="R4670">
        <v>-0.32701669999999999</v>
      </c>
      <c r="S4670">
        <v>2.8844599999999998</v>
      </c>
      <c r="T4670">
        <v>-0.22322020000000001</v>
      </c>
      <c r="U4670">
        <v>-0.89318850000000005</v>
      </c>
      <c r="V4670">
        <v>4.2803519999999998E-2</v>
      </c>
      <c r="W4670">
        <v>7.1120080000000002E-2</v>
      </c>
      <c r="X4670">
        <v>0.99654900000000002</v>
      </c>
      <c r="Y4670">
        <v>1.0211370000000001E-2</v>
      </c>
      <c r="Z4670">
        <v>2.0803180000000001E-2</v>
      </c>
      <c r="AA4670">
        <v>0.99973140000000005</v>
      </c>
      <c r="AB4670">
        <v>20</v>
      </c>
      <c r="AC4670">
        <v>14.1625999999999</v>
      </c>
      <c r="AD4670">
        <v>-1.1103640231280001</v>
      </c>
      <c r="AE4670">
        <v>-4.3878999999999904</v>
      </c>
      <c r="AF4670">
        <v>0.14217235620531099</v>
      </c>
      <c r="AG4670">
        <v>-1.1103640231280001</v>
      </c>
      <c r="AH4670">
        <v>14.7433871789452</v>
      </c>
      <c r="AI4670">
        <v>94.306768549268497</v>
      </c>
      <c r="AJ4670">
        <v>89.447506641826195</v>
      </c>
      <c r="AK4670">
        <v>14.785823844176299</v>
      </c>
      <c r="AL4670">
        <v>85.921676803959301</v>
      </c>
      <c r="AM4670">
        <v>87.540557896797594</v>
      </c>
      <c r="AN4670">
        <v>1.0000000582522901</v>
      </c>
    </row>
    <row r="4671" spans="1:40" x14ac:dyDescent="0.25">
      <c r="A4671" t="str">
        <f>"20190312154653792"</f>
        <v>20190312154653792</v>
      </c>
      <c r="B4671" t="str">
        <f>"1552376813782321"</f>
        <v>1552376813782321</v>
      </c>
      <c r="C4671" t="s">
        <v>40</v>
      </c>
      <c r="D4671">
        <v>4.9057870000000001</v>
      </c>
      <c r="E4671">
        <v>0.49293429999999999</v>
      </c>
      <c r="F4671" t="s">
        <v>41</v>
      </c>
      <c r="G4671">
        <v>-395.45429999999999</v>
      </c>
      <c r="H4671">
        <v>1.043979</v>
      </c>
      <c r="I4671">
        <v>22.109069999999999</v>
      </c>
      <c r="J4671">
        <v>-396.07780000000002</v>
      </c>
      <c r="K4671">
        <v>1.1103149999999999</v>
      </c>
      <c r="L4671">
        <v>22.307559999999999</v>
      </c>
      <c r="M4671">
        <v>0.95806179999999996</v>
      </c>
      <c r="N4671">
        <v>0</v>
      </c>
      <c r="O4671">
        <v>-0.2862691</v>
      </c>
      <c r="P4671">
        <v>0.94340290000000004</v>
      </c>
      <c r="Q4671">
        <v>5.683763E-2</v>
      </c>
      <c r="R4671">
        <v>-0.32674259999999999</v>
      </c>
      <c r="S4671">
        <v>2.8818049999999999</v>
      </c>
      <c r="T4671">
        <v>-0.23508080000000001</v>
      </c>
      <c r="U4671">
        <v>-0.90322880000000005</v>
      </c>
      <c r="V4671">
        <v>4.2939159999999997E-2</v>
      </c>
      <c r="W4671">
        <v>6.9775889999999993E-2</v>
      </c>
      <c r="X4671">
        <v>0.99663809999999997</v>
      </c>
      <c r="Y4671">
        <v>1.415781E-2</v>
      </c>
      <c r="Z4671">
        <v>2.1721580000000001E-2</v>
      </c>
      <c r="AA4671">
        <v>0.99966379999999999</v>
      </c>
      <c r="AB4671">
        <v>20</v>
      </c>
      <c r="AC4671">
        <v>0.62350000000003503</v>
      </c>
      <c r="AD4671">
        <v>-6.6335999999999895E-2</v>
      </c>
      <c r="AE4671">
        <v>-0.198489999999999</v>
      </c>
      <c r="AF4671">
        <v>1.1559078994454901E-2</v>
      </c>
      <c r="AG4671">
        <v>-6.6335999999999895E-2</v>
      </c>
      <c r="AH4671">
        <v>0.64757226170721705</v>
      </c>
      <c r="AI4671">
        <v>95.847937822515703</v>
      </c>
      <c r="AJ4671">
        <v>88.977386532282296</v>
      </c>
      <c r="AK4671">
        <v>0.65106367686717104</v>
      </c>
      <c r="AL4671">
        <v>85.998884710309099</v>
      </c>
      <c r="AM4671">
        <v>87.532994089547699</v>
      </c>
      <c r="AN4671">
        <v>0.99999997432920296</v>
      </c>
    </row>
    <row r="4672" spans="1:40" x14ac:dyDescent="0.25">
      <c r="A4672" t="str">
        <f>"20190312154653814"</f>
        <v>20190312154653814</v>
      </c>
      <c r="B4672" t="str">
        <f>"1552376813802813"</f>
        <v>1552376813802813</v>
      </c>
      <c r="C4672" t="s">
        <v>40</v>
      </c>
      <c r="D4672">
        <v>4.9141089999999998</v>
      </c>
      <c r="E4672">
        <v>0.493641</v>
      </c>
      <c r="F4672" t="s">
        <v>41</v>
      </c>
      <c r="G4672">
        <v>-395.28789999999998</v>
      </c>
      <c r="H4672">
        <v>1.0418750000000001</v>
      </c>
      <c r="I4672">
        <v>22.058160000000001</v>
      </c>
      <c r="J4672">
        <v>-395.89319999999998</v>
      </c>
      <c r="K4672">
        <v>1.110257</v>
      </c>
      <c r="L4672">
        <v>22.252960000000002</v>
      </c>
      <c r="M4672">
        <v>0.95818910000000002</v>
      </c>
      <c r="N4672">
        <v>0</v>
      </c>
      <c r="O4672">
        <v>-0.28585389999999999</v>
      </c>
      <c r="P4672">
        <v>0.94369729999999996</v>
      </c>
      <c r="Q4672">
        <v>5.5612719999999997E-2</v>
      </c>
      <c r="R4672">
        <v>-0.32610270000000002</v>
      </c>
      <c r="S4672">
        <v>2.8803709999999998</v>
      </c>
      <c r="T4672">
        <v>-0.2496196</v>
      </c>
      <c r="U4672">
        <v>-0.90850830000000005</v>
      </c>
      <c r="V4672">
        <v>4.2676440000000003E-2</v>
      </c>
      <c r="W4672">
        <v>6.8304550000000006E-2</v>
      </c>
      <c r="X4672">
        <v>0.99675130000000001</v>
      </c>
      <c r="Y4672">
        <v>1.6492900000000001E-2</v>
      </c>
      <c r="Z4672">
        <v>2.2931799999999999E-2</v>
      </c>
      <c r="AA4672">
        <v>0.99960099999999996</v>
      </c>
      <c r="AB4672">
        <v>20</v>
      </c>
      <c r="AC4672">
        <v>0.60529999999999895</v>
      </c>
      <c r="AD4672">
        <v>-6.8381999999999901E-2</v>
      </c>
      <c r="AE4672">
        <v>-0.1948</v>
      </c>
      <c r="AF4672">
        <v>1.34731537634397E-2</v>
      </c>
      <c r="AG4672">
        <v>-6.8381999999999901E-2</v>
      </c>
      <c r="AH4672">
        <v>0.62845936877056097</v>
      </c>
      <c r="AI4672">
        <v>96.208447740926204</v>
      </c>
      <c r="AJ4672">
        <v>88.771859162688202</v>
      </c>
      <c r="AK4672">
        <v>0.63231226620383096</v>
      </c>
      <c r="AL4672">
        <v>86.083387918639204</v>
      </c>
      <c r="AM4672">
        <v>87.548347923488606</v>
      </c>
      <c r="AN4672">
        <v>0.99999997206673197</v>
      </c>
    </row>
    <row r="4673" spans="1:40" x14ac:dyDescent="0.25">
      <c r="A4673" t="str">
        <f>"20190312154653836"</f>
        <v>20190312154653836</v>
      </c>
      <c r="B4673" t="str">
        <f>"1552376813833069"</f>
        <v>1552376813833069</v>
      </c>
      <c r="C4673" t="s">
        <v>40</v>
      </c>
      <c r="D4673">
        <v>4.8965990000000001</v>
      </c>
      <c r="E4673">
        <v>0.4941141</v>
      </c>
      <c r="F4673" t="s">
        <v>41</v>
      </c>
      <c r="G4673">
        <v>-395.12009999999998</v>
      </c>
      <c r="H4673">
        <v>1.0404370000000001</v>
      </c>
      <c r="I4673">
        <v>22.007989999999999</v>
      </c>
      <c r="J4673">
        <v>-395.7054</v>
      </c>
      <c r="K4673">
        <v>1.1102000000000001</v>
      </c>
      <c r="L4673">
        <v>22.19745</v>
      </c>
      <c r="M4673">
        <v>0.95831880000000003</v>
      </c>
      <c r="N4673">
        <v>0</v>
      </c>
      <c r="O4673">
        <v>-0.28543109999999999</v>
      </c>
      <c r="P4673">
        <v>0.94406350000000006</v>
      </c>
      <c r="Q4673">
        <v>5.5252669999999997E-2</v>
      </c>
      <c r="R4673">
        <v>-0.3251019</v>
      </c>
      <c r="S4673">
        <v>2.8789669999999998</v>
      </c>
      <c r="T4673">
        <v>-0.2600384</v>
      </c>
      <c r="U4673">
        <v>-0.91247560000000005</v>
      </c>
      <c r="V4673">
        <v>4.2054569999999999E-2</v>
      </c>
      <c r="W4673">
        <v>6.7653270000000001E-2</v>
      </c>
      <c r="X4673">
        <v>0.99682219999999999</v>
      </c>
      <c r="Y4673">
        <v>1.839381E-2</v>
      </c>
      <c r="Z4673">
        <v>2.3771520000000001E-2</v>
      </c>
      <c r="AA4673">
        <v>0.9995482</v>
      </c>
      <c r="AB4673">
        <v>20</v>
      </c>
      <c r="AC4673">
        <v>0.58530000000001703</v>
      </c>
      <c r="AD4673">
        <v>-6.9763000000000006E-2</v>
      </c>
      <c r="AE4673">
        <v>-0.18945999999999999</v>
      </c>
      <c r="AF4673">
        <v>1.43172647936712E-2</v>
      </c>
      <c r="AG4673">
        <v>-6.9763000000000006E-2</v>
      </c>
      <c r="AH4673">
        <v>0.60722074313847996</v>
      </c>
      <c r="AI4673">
        <v>96.552115801711693</v>
      </c>
      <c r="AJ4673">
        <v>88.649310170748507</v>
      </c>
      <c r="AK4673">
        <v>0.61138276974234396</v>
      </c>
      <c r="AL4673">
        <v>86.120790241840695</v>
      </c>
      <c r="AM4673">
        <v>87.584201751806503</v>
      </c>
      <c r="AN4673">
        <v>1.0000000251062</v>
      </c>
    </row>
    <row r="4674" spans="1:40" x14ac:dyDescent="0.25">
      <c r="A4674" t="str">
        <f>"20190312154653859"</f>
        <v>20190312154653859</v>
      </c>
      <c r="B4674" t="str">
        <f>"1552376813852589"</f>
        <v>1552376813852589</v>
      </c>
      <c r="C4674" t="s">
        <v>40</v>
      </c>
      <c r="D4674">
        <v>4.9210770000000004</v>
      </c>
      <c r="E4674">
        <v>0.49427529999999997</v>
      </c>
      <c r="F4674" t="s">
        <v>41</v>
      </c>
      <c r="G4674">
        <v>-394.95139999999998</v>
      </c>
      <c r="H4674">
        <v>1.0395299999999901</v>
      </c>
      <c r="I4674">
        <v>21.958020000000001</v>
      </c>
      <c r="J4674">
        <v>-395.51600000000002</v>
      </c>
      <c r="K4674">
        <v>1.1101430000000001</v>
      </c>
      <c r="L4674">
        <v>22.141570000000002</v>
      </c>
      <c r="M4674">
        <v>0.958449</v>
      </c>
      <c r="N4674">
        <v>0</v>
      </c>
      <c r="O4674">
        <v>-0.28500799999999998</v>
      </c>
      <c r="P4674">
        <v>0.94452380000000002</v>
      </c>
      <c r="Q4674">
        <v>5.5675849999999999E-2</v>
      </c>
      <c r="R4674">
        <v>-0.32369009999999998</v>
      </c>
      <c r="S4674">
        <v>2.8789980000000002</v>
      </c>
      <c r="T4674">
        <v>-0.26985819999999999</v>
      </c>
      <c r="U4674">
        <v>-0.91329959999999999</v>
      </c>
      <c r="V4674">
        <v>4.1011569999999997E-2</v>
      </c>
      <c r="W4674">
        <v>6.7749840000000006E-2</v>
      </c>
      <c r="X4674">
        <v>0.9968591</v>
      </c>
      <c r="Y4674">
        <v>1.9161190000000002E-2</v>
      </c>
      <c r="Z4674">
        <v>2.459244E-2</v>
      </c>
      <c r="AA4674">
        <v>0.99951389999999996</v>
      </c>
      <c r="AB4674">
        <v>20</v>
      </c>
      <c r="AC4674">
        <v>0.564599999999984</v>
      </c>
      <c r="AD4674">
        <v>-7.0613000000000203E-2</v>
      </c>
      <c r="AE4674">
        <v>-0.18354999999999999</v>
      </c>
      <c r="AF4674">
        <v>1.47995281517717E-2</v>
      </c>
      <c r="AG4674">
        <v>-7.0613000000000203E-2</v>
      </c>
      <c r="AH4674">
        <v>0.58521794001215</v>
      </c>
      <c r="AI4674">
        <v>96.877929233582094</v>
      </c>
      <c r="AJ4674">
        <v>88.551360527125496</v>
      </c>
      <c r="AK4674">
        <v>0.58964841992036199</v>
      </c>
      <c r="AL4674">
        <v>86.115244473626404</v>
      </c>
      <c r="AM4674">
        <v>87.6441349702867</v>
      </c>
      <c r="AN4674">
        <v>1.00000002747334</v>
      </c>
    </row>
    <row r="4675" spans="1:40" x14ac:dyDescent="0.25">
      <c r="A4675" t="str">
        <f>"20190312154653880"</f>
        <v>20190312154653880</v>
      </c>
      <c r="B4675" t="str">
        <f>"1552376813872113"</f>
        <v>1552376813872113</v>
      </c>
      <c r="C4675" t="s">
        <v>40</v>
      </c>
      <c r="D4675">
        <v>4.9535119999999999</v>
      </c>
      <c r="E4675">
        <v>0.49424820000000003</v>
      </c>
      <c r="F4675" t="s">
        <v>41</v>
      </c>
      <c r="G4675">
        <v>-394.78019999999998</v>
      </c>
      <c r="H4675">
        <v>1.040276</v>
      </c>
      <c r="I4675">
        <v>21.908950000000001</v>
      </c>
      <c r="J4675">
        <v>-395.33069999999998</v>
      </c>
      <c r="K4675">
        <v>1.110085</v>
      </c>
      <c r="L4675">
        <v>22.087009999999999</v>
      </c>
      <c r="M4675">
        <v>0.95857490000000001</v>
      </c>
      <c r="N4675">
        <v>0</v>
      </c>
      <c r="O4675">
        <v>-0.28459800000000002</v>
      </c>
      <c r="P4675">
        <v>0.94490799999999997</v>
      </c>
      <c r="Q4675">
        <v>5.5954080000000003E-2</v>
      </c>
      <c r="R4675">
        <v>-0.32251859999999999</v>
      </c>
      <c r="S4675">
        <v>2.880341</v>
      </c>
      <c r="T4675">
        <v>-0.273453</v>
      </c>
      <c r="U4675">
        <v>-0.91046139999999998</v>
      </c>
      <c r="V4675">
        <v>4.0206739999999998E-2</v>
      </c>
      <c r="W4675">
        <v>6.7691799999999996E-2</v>
      </c>
      <c r="X4675">
        <v>0.9968958</v>
      </c>
      <c r="Y4675">
        <v>1.8587909999999999E-2</v>
      </c>
      <c r="Z4675">
        <v>2.490272E-2</v>
      </c>
      <c r="AA4675">
        <v>0.99951710000000005</v>
      </c>
      <c r="AB4675">
        <v>20</v>
      </c>
      <c r="AC4675">
        <v>0.55049999999999899</v>
      </c>
      <c r="AD4675">
        <v>-6.9808999999999996E-2</v>
      </c>
      <c r="AE4675">
        <v>-0.178059999999998</v>
      </c>
      <c r="AF4675">
        <v>1.3812535872254301E-2</v>
      </c>
      <c r="AG4675">
        <v>-6.9808999999999996E-2</v>
      </c>
      <c r="AH4675">
        <v>0.57011140161442697</v>
      </c>
      <c r="AI4675">
        <v>96.978974247566697</v>
      </c>
      <c r="AJ4675">
        <v>88.612121744373994</v>
      </c>
      <c r="AK4675">
        <v>0.57453554535728202</v>
      </c>
      <c r="AL4675">
        <v>86.118577461236995</v>
      </c>
      <c r="AM4675">
        <v>87.690401921468293</v>
      </c>
      <c r="AN4675">
        <v>0.99999999889315305</v>
      </c>
    </row>
    <row r="4676" spans="1:40" x14ac:dyDescent="0.25">
      <c r="A4676" t="str">
        <f>"20190312154653903"</f>
        <v>20190312154653903</v>
      </c>
      <c r="B4676" t="str">
        <f>"1552376813892606"</f>
        <v>1552376813892606</v>
      </c>
      <c r="C4676" t="s">
        <v>40</v>
      </c>
      <c r="D4676">
        <v>4.9521220000000001</v>
      </c>
      <c r="E4676">
        <v>0.49420750000000002</v>
      </c>
      <c r="F4676" t="s">
        <v>41</v>
      </c>
      <c r="G4676">
        <v>-394.60860000000002</v>
      </c>
      <c r="H4676">
        <v>1.0409889999999999</v>
      </c>
      <c r="I4676">
        <v>21.85962</v>
      </c>
      <c r="J4676">
        <v>-395.13369999999998</v>
      </c>
      <c r="K4676">
        <v>1.1100380000000001</v>
      </c>
      <c r="L4676">
        <v>22.02908</v>
      </c>
      <c r="M4676">
        <v>0.95870770000000005</v>
      </c>
      <c r="N4676">
        <v>0</v>
      </c>
      <c r="O4676">
        <v>-0.28416540000000001</v>
      </c>
      <c r="P4676">
        <v>0.94527260000000002</v>
      </c>
      <c r="Q4676">
        <v>5.580852E-2</v>
      </c>
      <c r="R4676">
        <v>-0.32147300000000001</v>
      </c>
      <c r="S4676">
        <v>2.8817140000000001</v>
      </c>
      <c r="T4676">
        <v>-0.2757599</v>
      </c>
      <c r="U4676">
        <v>-0.90682980000000002</v>
      </c>
      <c r="V4676">
        <v>3.9552129999999998E-2</v>
      </c>
      <c r="W4676">
        <v>6.7177029999999999E-2</v>
      </c>
      <c r="X4676">
        <v>0.99695679999999998</v>
      </c>
      <c r="Y4676">
        <v>1.777668E-2</v>
      </c>
      <c r="Z4676">
        <v>2.5105889999999999E-2</v>
      </c>
      <c r="AA4676">
        <v>0.99952669999999999</v>
      </c>
      <c r="AB4676">
        <v>20</v>
      </c>
      <c r="AC4676">
        <v>0.52509999999995205</v>
      </c>
      <c r="AD4676">
        <v>-6.9048999999999902E-2</v>
      </c>
      <c r="AE4676">
        <v>-0.16946</v>
      </c>
      <c r="AF4676">
        <v>1.3043939995030699E-2</v>
      </c>
      <c r="AG4676">
        <v>-6.9048999999999902E-2</v>
      </c>
      <c r="AH4676">
        <v>0.54310260243775199</v>
      </c>
      <c r="AI4676">
        <v>97.243533766450696</v>
      </c>
      <c r="AJ4676">
        <v>88.624165942291597</v>
      </c>
      <c r="AK4676">
        <v>0.54762975224712995</v>
      </c>
      <c r="AL4676">
        <v>86.148138876591503</v>
      </c>
      <c r="AM4676">
        <v>87.728103859979001</v>
      </c>
      <c r="AN4676">
        <v>0.99999999270669804</v>
      </c>
    </row>
    <row r="4677" spans="1:40" x14ac:dyDescent="0.25">
      <c r="A4677" t="str">
        <f>"20190312154653926"</f>
        <v>20190312154653926</v>
      </c>
      <c r="B4677" t="str">
        <f>"1552376813922862"</f>
        <v>1552376813922862</v>
      </c>
      <c r="C4677" t="s">
        <v>40</v>
      </c>
      <c r="D4677">
        <v>5.0034979999999996</v>
      </c>
      <c r="E4677">
        <v>0.49429620000000002</v>
      </c>
      <c r="F4677" t="s">
        <v>41</v>
      </c>
      <c r="G4677">
        <v>-394.43560000000002</v>
      </c>
      <c r="H4677">
        <v>1.042546</v>
      </c>
      <c r="I4677">
        <v>21.81024</v>
      </c>
      <c r="J4677">
        <v>-394.93979999999999</v>
      </c>
      <c r="K4677">
        <v>1.1099840000000001</v>
      </c>
      <c r="L4677">
        <v>21.97214</v>
      </c>
      <c r="M4677">
        <v>0.95883850000000004</v>
      </c>
      <c r="N4677">
        <v>0</v>
      </c>
      <c r="O4677">
        <v>-0.28373989999999999</v>
      </c>
      <c r="P4677">
        <v>0.94554760000000004</v>
      </c>
      <c r="Q4677">
        <v>5.5614650000000002E-2</v>
      </c>
      <c r="R4677">
        <v>-0.32069769999999997</v>
      </c>
      <c r="S4677">
        <v>2.8827210000000001</v>
      </c>
      <c r="T4677">
        <v>-0.27864850000000002</v>
      </c>
      <c r="U4677">
        <v>-0.90390009999999998</v>
      </c>
      <c r="V4677">
        <v>3.9174609999999999E-2</v>
      </c>
      <c r="W4677">
        <v>6.6602800000000004E-2</v>
      </c>
      <c r="X4677">
        <v>0.99701019999999896</v>
      </c>
      <c r="Y4677">
        <v>1.7219720000000001E-2</v>
      </c>
      <c r="Z4677">
        <v>2.535219E-2</v>
      </c>
      <c r="AA4677">
        <v>0.99953029999999998</v>
      </c>
      <c r="AB4677">
        <v>20</v>
      </c>
      <c r="AC4677">
        <v>0.50419999999996801</v>
      </c>
      <c r="AD4677">
        <v>-6.7438000000000095E-2</v>
      </c>
      <c r="AE4677">
        <v>-0.16189999999999899</v>
      </c>
      <c r="AF4677">
        <v>1.19807300786382E-2</v>
      </c>
      <c r="AG4677">
        <v>-6.7438000000000095E-2</v>
      </c>
      <c r="AH4677">
        <v>0.52096691067390699</v>
      </c>
      <c r="AI4677">
        <v>97.373866627526397</v>
      </c>
      <c r="AJ4677">
        <v>88.682595227037893</v>
      </c>
      <c r="AK4677">
        <v>0.52545022956920595</v>
      </c>
      <c r="AL4677">
        <v>86.1811135630292</v>
      </c>
      <c r="AM4677">
        <v>87.749886816779494</v>
      </c>
      <c r="AN4677">
        <v>0.999999960970265</v>
      </c>
    </row>
    <row r="4678" spans="1:40" x14ac:dyDescent="0.25">
      <c r="A4678" t="str">
        <f>"20190312154653950"</f>
        <v>20190312154653950</v>
      </c>
      <c r="B4678" t="str">
        <f>"1552376813942381"</f>
        <v>1552376813942381</v>
      </c>
      <c r="C4678" t="s">
        <v>40</v>
      </c>
      <c r="D4678">
        <v>5.0047449999999998</v>
      </c>
      <c r="E4678">
        <v>0.49427320000000002</v>
      </c>
      <c r="F4678" t="s">
        <v>41</v>
      </c>
      <c r="G4678">
        <v>-394.10120000000001</v>
      </c>
      <c r="H4678">
        <v>1.027784</v>
      </c>
      <c r="I4678">
        <v>21.709510000000002</v>
      </c>
      <c r="J4678">
        <v>-394.73610000000002</v>
      </c>
      <c r="K4678">
        <v>1.1099289999999999</v>
      </c>
      <c r="L4678">
        <v>21.91245</v>
      </c>
      <c r="M4678">
        <v>0.95897569999999999</v>
      </c>
      <c r="N4678">
        <v>0</v>
      </c>
      <c r="O4678">
        <v>-0.28329179999999998</v>
      </c>
      <c r="P4678">
        <v>0.94560699999999998</v>
      </c>
      <c r="Q4678">
        <v>5.524449E-2</v>
      </c>
      <c r="R4678">
        <v>-0.32058680000000001</v>
      </c>
      <c r="S4678">
        <v>2.8831479999999998</v>
      </c>
      <c r="T4678">
        <v>-0.28268910000000003</v>
      </c>
      <c r="U4678">
        <v>-0.90280150000000003</v>
      </c>
      <c r="V4678">
        <v>3.9518959999999999E-2</v>
      </c>
      <c r="W4678">
        <v>6.5810590000000002E-2</v>
      </c>
      <c r="X4678">
        <v>0.99704930000000003</v>
      </c>
      <c r="Y4678">
        <v>1.7328369999999999E-2</v>
      </c>
      <c r="Z4678">
        <v>2.567053E-2</v>
      </c>
      <c r="AA4678">
        <v>0.99952019999999997</v>
      </c>
      <c r="AB4678">
        <v>20</v>
      </c>
      <c r="AC4678">
        <v>0.63490000000001601</v>
      </c>
      <c r="AD4678">
        <v>-8.2145000000000107E-2</v>
      </c>
      <c r="AE4678">
        <v>-0.20293999999999801</v>
      </c>
      <c r="AF4678">
        <v>1.45326629848517E-2</v>
      </c>
      <c r="AG4678">
        <v>-8.2145000000000107E-2</v>
      </c>
      <c r="AH4678">
        <v>0.65641237155023302</v>
      </c>
      <c r="AI4678">
        <v>97.131318396897498</v>
      </c>
      <c r="AJ4678">
        <v>88.731705426466604</v>
      </c>
      <c r="AK4678">
        <v>0.66169192290871404</v>
      </c>
      <c r="AL4678">
        <v>86.226603978844906</v>
      </c>
      <c r="AM4678">
        <v>87.730217544536004</v>
      </c>
      <c r="AN4678">
        <v>1.0000000442930499</v>
      </c>
    </row>
    <row r="4679" spans="1:40" x14ac:dyDescent="0.25">
      <c r="A4679" t="str">
        <f>"20190312154653971"</f>
        <v>20190312154653971</v>
      </c>
      <c r="B4679" t="str">
        <f>"1552376813962877"</f>
        <v>1552376813962877</v>
      </c>
      <c r="C4679" t="s">
        <v>40</v>
      </c>
      <c r="D4679">
        <v>5.0006370000000002</v>
      </c>
      <c r="E4679">
        <v>0.49423410000000001</v>
      </c>
      <c r="F4679" t="s">
        <v>41</v>
      </c>
      <c r="G4679">
        <v>-393.92689999999999</v>
      </c>
      <c r="H4679">
        <v>1.0296890000000001</v>
      </c>
      <c r="I4679">
        <v>21.659020000000002</v>
      </c>
      <c r="J4679">
        <v>-394.5471</v>
      </c>
      <c r="K4679">
        <v>1.109882</v>
      </c>
      <c r="L4679">
        <v>21.857209999999998</v>
      </c>
      <c r="M4679">
        <v>0.95910280000000003</v>
      </c>
      <c r="N4679">
        <v>0</v>
      </c>
      <c r="O4679">
        <v>-0.28287519999999999</v>
      </c>
      <c r="P4679">
        <v>0.94563600000000003</v>
      </c>
      <c r="Q4679">
        <v>5.6006279999999999E-2</v>
      </c>
      <c r="R4679">
        <v>-0.32036809999999899</v>
      </c>
      <c r="S4679">
        <v>2.8832089999999999</v>
      </c>
      <c r="T4679">
        <v>-0.28594709999999901</v>
      </c>
      <c r="U4679">
        <v>-0.90274049999999995</v>
      </c>
      <c r="V4679">
        <v>3.9734999999999999E-2</v>
      </c>
      <c r="W4679">
        <v>6.617982E-2</v>
      </c>
      <c r="X4679">
        <v>0.99701629999999997</v>
      </c>
      <c r="Y4679">
        <v>1.7760669999999999E-2</v>
      </c>
      <c r="Z4679">
        <v>2.5905500000000001E-2</v>
      </c>
      <c r="AA4679">
        <v>0.99950660000000002</v>
      </c>
      <c r="AB4679">
        <v>20</v>
      </c>
      <c r="AC4679">
        <v>0.62020000000001096</v>
      </c>
      <c r="AD4679">
        <v>-8.0193000000000098E-2</v>
      </c>
      <c r="AE4679">
        <v>-0.19819000000000001</v>
      </c>
      <c r="AF4679">
        <v>1.44272825817732E-2</v>
      </c>
      <c r="AG4679">
        <v>-8.0193000000000098E-2</v>
      </c>
      <c r="AH4679">
        <v>0.64120526668147604</v>
      </c>
      <c r="AI4679">
        <v>97.126956341145601</v>
      </c>
      <c r="AJ4679">
        <v>88.711047785508896</v>
      </c>
      <c r="AK4679">
        <v>0.64636155342946999</v>
      </c>
      <c r="AL4679">
        <v>86.205402538462195</v>
      </c>
      <c r="AM4679">
        <v>87.717746854201195</v>
      </c>
      <c r="AN4679">
        <v>1.0000000706329499</v>
      </c>
    </row>
    <row r="4680" spans="1:40" x14ac:dyDescent="0.25">
      <c r="A4680" t="str">
        <f>"20190312154653994"</f>
        <v>20190312154653994</v>
      </c>
      <c r="B4680" t="str">
        <f>"1552376813982397"</f>
        <v>1552376813982397</v>
      </c>
      <c r="C4680" t="s">
        <v>40</v>
      </c>
      <c r="D4680">
        <v>5.0146569999999997</v>
      </c>
      <c r="E4680">
        <v>0.49421409999999999</v>
      </c>
      <c r="F4680" t="s">
        <v>41</v>
      </c>
      <c r="G4680">
        <v>-393.75209999999998</v>
      </c>
      <c r="H4680">
        <v>1.031131</v>
      </c>
      <c r="I4680">
        <v>21.608260000000001</v>
      </c>
      <c r="J4680">
        <v>-394.35129999999998</v>
      </c>
      <c r="K4680">
        <v>1.1098330000000001</v>
      </c>
      <c r="L4680">
        <v>21.799990000000001</v>
      </c>
      <c r="M4680">
        <v>0.95923449999999999</v>
      </c>
      <c r="N4680">
        <v>0</v>
      </c>
      <c r="O4680">
        <v>-0.28244249999999999</v>
      </c>
      <c r="P4680">
        <v>0.94581320000000002</v>
      </c>
      <c r="Q4680">
        <v>5.6414510000000001E-2</v>
      </c>
      <c r="R4680">
        <v>-0.31977309999999998</v>
      </c>
      <c r="S4680">
        <v>2.883575</v>
      </c>
      <c r="T4680">
        <v>-0.28561399999999998</v>
      </c>
      <c r="U4680">
        <v>-0.90271000000000001</v>
      </c>
      <c r="V4680">
        <v>3.9565080000000002E-2</v>
      </c>
      <c r="W4680">
        <v>6.6176949999999998E-2</v>
      </c>
      <c r="X4680">
        <v>0.9970232</v>
      </c>
      <c r="Y4680">
        <v>1.8160639999999999E-2</v>
      </c>
      <c r="Z4680">
        <v>2.581348E-2</v>
      </c>
      <c r="AA4680">
        <v>0.9995018</v>
      </c>
      <c r="AB4680">
        <v>20</v>
      </c>
      <c r="AC4680">
        <v>0.59919999999999596</v>
      </c>
      <c r="AD4680">
        <v>-7.8701999999999994E-2</v>
      </c>
      <c r="AE4680">
        <v>-0.19172999999999901</v>
      </c>
      <c r="AF4680">
        <v>1.4449067138812799E-2</v>
      </c>
      <c r="AG4680">
        <v>-7.8701999999999994E-2</v>
      </c>
      <c r="AH4680">
        <v>0.61926496099638795</v>
      </c>
      <c r="AI4680">
        <v>97.240906986695194</v>
      </c>
      <c r="AJ4680">
        <v>88.663382506205195</v>
      </c>
      <c r="AK4680">
        <v>0.62441322236403596</v>
      </c>
      <c r="AL4680">
        <v>86.205567156856006</v>
      </c>
      <c r="AM4680">
        <v>87.727511979791302</v>
      </c>
      <c r="AN4680">
        <v>1.0000000228024699</v>
      </c>
    </row>
    <row r="4681" spans="1:40" x14ac:dyDescent="0.25">
      <c r="A4681" t="str">
        <f>"20190312154654015"</f>
        <v>20190312154654015</v>
      </c>
      <c r="B4681" t="str">
        <f>"1552376814002894"</f>
        <v>1552376814002894</v>
      </c>
      <c r="C4681" t="s">
        <v>40</v>
      </c>
      <c r="D4681">
        <v>5.0085879999999996</v>
      </c>
      <c r="E4681">
        <v>0.49416359999999898</v>
      </c>
      <c r="F4681" t="s">
        <v>41</v>
      </c>
      <c r="G4681">
        <v>-393.57619999999997</v>
      </c>
      <c r="H4681">
        <v>1.0328440000000001</v>
      </c>
      <c r="I4681">
        <v>21.557680000000001</v>
      </c>
      <c r="J4681">
        <v>-394.16180000000003</v>
      </c>
      <c r="K4681">
        <v>1.109785</v>
      </c>
      <c r="L4681">
        <v>21.744689999999999</v>
      </c>
      <c r="M4681">
        <v>0.95936200000000005</v>
      </c>
      <c r="N4681">
        <v>0</v>
      </c>
      <c r="O4681">
        <v>-0.28202319999999997</v>
      </c>
      <c r="P4681">
        <v>0.94624799999999998</v>
      </c>
      <c r="Q4681">
        <v>5.6612530000000001E-2</v>
      </c>
      <c r="R4681">
        <v>-0.31844909999999998</v>
      </c>
      <c r="S4681">
        <v>2.884125</v>
      </c>
      <c r="T4681">
        <v>-0.2865124</v>
      </c>
      <c r="U4681">
        <v>-0.90155030000000003</v>
      </c>
      <c r="V4681">
        <v>3.8609409999999997E-2</v>
      </c>
      <c r="W4681">
        <v>6.5966179999999999E-2</v>
      </c>
      <c r="X4681">
        <v>0.99707460000000003</v>
      </c>
      <c r="Y4681">
        <v>1.8183669999999999E-2</v>
      </c>
      <c r="Z4681">
        <v>2.5851849999999999E-2</v>
      </c>
      <c r="AA4681">
        <v>0.99950039999999996</v>
      </c>
      <c r="AB4681">
        <v>20</v>
      </c>
      <c r="AC4681">
        <v>0.58560000000005596</v>
      </c>
      <c r="AD4681">
        <v>-7.6940999999999898E-2</v>
      </c>
      <c r="AE4681">
        <v>-0.18701000000000001</v>
      </c>
      <c r="AF4681">
        <v>1.40382125010088E-2</v>
      </c>
      <c r="AG4681">
        <v>-7.6940999999999898E-2</v>
      </c>
      <c r="AH4681">
        <v>0.60509148580518601</v>
      </c>
      <c r="AI4681">
        <v>97.244683203901005</v>
      </c>
      <c r="AJ4681">
        <v>88.670967805313296</v>
      </c>
      <c r="AK4681">
        <v>0.61012514706832999</v>
      </c>
      <c r="AL4681">
        <v>86.217669712188496</v>
      </c>
      <c r="AM4681">
        <v>87.782461246071605</v>
      </c>
      <c r="AN4681">
        <v>0.99999999070474999</v>
      </c>
    </row>
    <row r="4682" spans="1:40" x14ac:dyDescent="0.25">
      <c r="A4682" t="str">
        <f>"20190312154654038"</f>
        <v>20190312154654038</v>
      </c>
      <c r="B4682" t="str">
        <f>"1552376814032173"</f>
        <v>1552376814032173</v>
      </c>
      <c r="C4682" t="s">
        <v>40</v>
      </c>
      <c r="D4682">
        <v>4.9622739999999999</v>
      </c>
      <c r="E4682">
        <v>0.49420700000000001</v>
      </c>
      <c r="F4682" t="s">
        <v>41</v>
      </c>
      <c r="G4682">
        <v>-393.39960000000002</v>
      </c>
      <c r="H4682">
        <v>1.033757</v>
      </c>
      <c r="I4682">
        <v>21.507560000000002</v>
      </c>
      <c r="J4682">
        <v>-393.96690000000001</v>
      </c>
      <c r="K4682">
        <v>1.109729</v>
      </c>
      <c r="L4682">
        <v>21.687930000000001</v>
      </c>
      <c r="M4682">
        <v>0.95949289999999998</v>
      </c>
      <c r="N4682">
        <v>0</v>
      </c>
      <c r="O4682">
        <v>-0.28159200000000001</v>
      </c>
      <c r="P4682">
        <v>0.94656050000000003</v>
      </c>
      <c r="Q4682">
        <v>5.6605610000000001E-2</v>
      </c>
      <c r="R4682">
        <v>-0.31752039999999998</v>
      </c>
      <c r="S4682">
        <v>2.8854980000000001</v>
      </c>
      <c r="T4682">
        <v>-0.28784280000000001</v>
      </c>
      <c r="U4682">
        <v>-0.89773559999999997</v>
      </c>
      <c r="V4682">
        <v>3.8079590000000003E-2</v>
      </c>
      <c r="W4682">
        <v>6.5523200000000004E-2</v>
      </c>
      <c r="X4682">
        <v>0.99712420000000002</v>
      </c>
      <c r="Y4682">
        <v>1.7306539999999999E-2</v>
      </c>
      <c r="Z4682">
        <v>2.5968629999999999E-2</v>
      </c>
      <c r="AA4682">
        <v>0.99951290000000004</v>
      </c>
      <c r="AB4682">
        <v>20</v>
      </c>
      <c r="AC4682">
        <v>0.56729999999998804</v>
      </c>
      <c r="AD4682">
        <v>-7.5972000000000095E-2</v>
      </c>
      <c r="AE4682">
        <v>-0.18036999999999601</v>
      </c>
      <c r="AF4682">
        <v>1.31036922081618E-2</v>
      </c>
      <c r="AG4682">
        <v>-7.5972000000000095E-2</v>
      </c>
      <c r="AH4682">
        <v>0.58559666423204604</v>
      </c>
      <c r="AI4682">
        <v>97.390114220148803</v>
      </c>
      <c r="AJ4682">
        <v>88.7181262578992</v>
      </c>
      <c r="AK4682">
        <v>0.59064956166341598</v>
      </c>
      <c r="AL4682">
        <v>86.243105691672099</v>
      </c>
      <c r="AM4682">
        <v>87.812970489224597</v>
      </c>
      <c r="AN4682">
        <v>1.0000000075692199</v>
      </c>
    </row>
    <row r="4683" spans="1:40" x14ac:dyDescent="0.25">
      <c r="A4683" t="str">
        <f>"20190312154654060"</f>
        <v>20190312154654060</v>
      </c>
      <c r="B4683" t="str">
        <f>"1552376814052669"</f>
        <v>1552376814052669</v>
      </c>
      <c r="C4683" t="s">
        <v>40</v>
      </c>
      <c r="D4683">
        <v>4.9613909999999999</v>
      </c>
      <c r="E4683">
        <v>0.49427569999999998</v>
      </c>
      <c r="F4683" t="s">
        <v>41</v>
      </c>
      <c r="G4683">
        <v>-393.22199999999998</v>
      </c>
      <c r="H4683">
        <v>1.0347280000000001</v>
      </c>
      <c r="I4683">
        <v>21.456630000000001</v>
      </c>
      <c r="J4683">
        <v>-393.76409999999998</v>
      </c>
      <c r="K4683">
        <v>1.109664</v>
      </c>
      <c r="L4683">
        <v>21.62894</v>
      </c>
      <c r="M4683">
        <v>0.95962879999999995</v>
      </c>
      <c r="N4683">
        <v>0</v>
      </c>
      <c r="O4683">
        <v>-0.28114309999999998</v>
      </c>
      <c r="P4683">
        <v>0.94676269999999996</v>
      </c>
      <c r="Q4683">
        <v>5.6424330000000002E-2</v>
      </c>
      <c r="R4683">
        <v>-0.31694909999999998</v>
      </c>
      <c r="S4683">
        <v>2.8863530000000002</v>
      </c>
      <c r="T4683">
        <v>-0.2905798</v>
      </c>
      <c r="U4683">
        <v>-0.89556880000000005</v>
      </c>
      <c r="V4683">
        <v>3.7942320000000002E-2</v>
      </c>
      <c r="W4683">
        <v>6.4873730000000004E-2</v>
      </c>
      <c r="X4683">
        <v>0.9971719</v>
      </c>
      <c r="Y4683">
        <v>1.7028149999999999E-2</v>
      </c>
      <c r="Z4683">
        <v>2.618241E-2</v>
      </c>
      <c r="AA4683">
        <v>0.99951210000000001</v>
      </c>
      <c r="AB4683">
        <v>21</v>
      </c>
      <c r="AC4683">
        <v>0.54210000000000402</v>
      </c>
      <c r="AD4683">
        <v>-7.4935999999999794E-2</v>
      </c>
      <c r="AE4683">
        <v>-0.17230999999999899</v>
      </c>
      <c r="AF4683">
        <v>1.27255734459336E-2</v>
      </c>
      <c r="AG4683">
        <v>-7.4935999999999794E-2</v>
      </c>
      <c r="AH4683">
        <v>0.55897776379484998</v>
      </c>
      <c r="AI4683">
        <v>97.633536292941102</v>
      </c>
      <c r="AJ4683">
        <v>88.695841277950393</v>
      </c>
      <c r="AK4683">
        <v>0.56412187046117901</v>
      </c>
      <c r="AL4683">
        <v>86.280396932439004</v>
      </c>
      <c r="AM4683">
        <v>87.820950858597101</v>
      </c>
      <c r="AN4683">
        <v>1.00000000932035</v>
      </c>
    </row>
    <row r="4684" spans="1:40" x14ac:dyDescent="0.25">
      <c r="A4684" t="str">
        <f>"20190312154654082"</f>
        <v>20190312154654082</v>
      </c>
      <c r="B4684" t="str">
        <f>"1552376814072193"</f>
        <v>1552376814072193</v>
      </c>
      <c r="C4684" t="s">
        <v>40</v>
      </c>
      <c r="D4684">
        <v>4.9263700000000004</v>
      </c>
      <c r="E4684">
        <v>0.4942648</v>
      </c>
      <c r="F4684" t="s">
        <v>41</v>
      </c>
      <c r="G4684">
        <v>-393.04300000000001</v>
      </c>
      <c r="H4684">
        <v>1.03654</v>
      </c>
      <c r="I4684">
        <v>21.40521</v>
      </c>
      <c r="J4684">
        <v>-393.5652</v>
      </c>
      <c r="K4684">
        <v>1.1096029999999999</v>
      </c>
      <c r="L4684">
        <v>21.57123</v>
      </c>
      <c r="M4684">
        <v>0.95976150000000005</v>
      </c>
      <c r="N4684">
        <v>0</v>
      </c>
      <c r="O4684">
        <v>-0.28070319999999999</v>
      </c>
      <c r="P4684">
        <v>0.9469301</v>
      </c>
      <c r="Q4684">
        <v>5.6342959999999997E-2</v>
      </c>
      <c r="R4684">
        <v>-0.31646299999999999</v>
      </c>
      <c r="S4684">
        <v>2.8866269999999998</v>
      </c>
      <c r="T4684">
        <v>-0.29278019999999999</v>
      </c>
      <c r="U4684">
        <v>-0.8947754</v>
      </c>
      <c r="V4684">
        <v>3.7887160000000003E-2</v>
      </c>
      <c r="W4684">
        <v>6.432649E-2</v>
      </c>
      <c r="X4684">
        <v>0.99720940000000002</v>
      </c>
      <c r="Y4684">
        <v>1.722479E-2</v>
      </c>
      <c r="Z4684">
        <v>2.6327619999999999E-2</v>
      </c>
      <c r="AA4684">
        <v>0.99950499999999998</v>
      </c>
      <c r="AB4684">
        <v>21</v>
      </c>
      <c r="AC4684">
        <v>0.522199999999998</v>
      </c>
      <c r="AD4684">
        <v>-7.30630000000001E-2</v>
      </c>
      <c r="AE4684">
        <v>-0.166019999999999</v>
      </c>
      <c r="AF4684">
        <v>1.2533959132972901E-2</v>
      </c>
      <c r="AG4684">
        <v>-7.30630000000001E-2</v>
      </c>
      <c r="AH4684">
        <v>0.53823795421348997</v>
      </c>
      <c r="AI4684">
        <v>97.728283496207297</v>
      </c>
      <c r="AJ4684">
        <v>88.665993019081</v>
      </c>
      <c r="AK4684">
        <v>0.54331887272252</v>
      </c>
      <c r="AL4684">
        <v>86.311816925297805</v>
      </c>
      <c r="AM4684">
        <v>87.824197427163298</v>
      </c>
      <c r="AN4684">
        <v>0.99999996082847198</v>
      </c>
    </row>
    <row r="4685" spans="1:40" x14ac:dyDescent="0.25">
      <c r="A4685" t="str">
        <f>"20190312154654105"</f>
        <v>20190312154654105</v>
      </c>
      <c r="B4685" t="str">
        <f>"1552376814092685"</f>
        <v>1552376814092685</v>
      </c>
      <c r="C4685" t="s">
        <v>40</v>
      </c>
      <c r="D4685">
        <v>4.9545019999999997</v>
      </c>
      <c r="E4685">
        <v>0.47356819999999999</v>
      </c>
      <c r="F4685" t="s">
        <v>41</v>
      </c>
      <c r="G4685">
        <v>-392.86290000000002</v>
      </c>
      <c r="H4685">
        <v>1.03807</v>
      </c>
      <c r="I4685">
        <v>21.353760000000001</v>
      </c>
      <c r="J4685">
        <v>-393.3639</v>
      </c>
      <c r="K4685">
        <v>1.109545</v>
      </c>
      <c r="L4685">
        <v>21.512879999999999</v>
      </c>
      <c r="M4685">
        <v>0.95989539999999995</v>
      </c>
      <c r="N4685">
        <v>0</v>
      </c>
      <c r="O4685">
        <v>-0.28025809999999901</v>
      </c>
      <c r="P4685">
        <v>0.94702699999999995</v>
      </c>
      <c r="Q4685">
        <v>5.6552129999999999E-2</v>
      </c>
      <c r="R4685">
        <v>-0.31613560000000002</v>
      </c>
      <c r="S4685">
        <v>2.8870849999999999</v>
      </c>
      <c r="T4685">
        <v>-0.294124</v>
      </c>
      <c r="U4685">
        <v>-0.8933411</v>
      </c>
      <c r="V4685">
        <v>3.8009229999999998E-2</v>
      </c>
      <c r="W4685">
        <v>6.4062389999999997E-2</v>
      </c>
      <c r="X4685">
        <v>0.99722180000000005</v>
      </c>
      <c r="Y4685">
        <v>1.7200549999999998E-2</v>
      </c>
      <c r="Z4685">
        <v>2.640545E-2</v>
      </c>
      <c r="AA4685">
        <v>0.99950329999999998</v>
      </c>
      <c r="AB4685">
        <v>21</v>
      </c>
      <c r="AC4685">
        <v>0.50099999999997602</v>
      </c>
      <c r="AD4685">
        <v>-7.14749999999999E-2</v>
      </c>
      <c r="AE4685">
        <v>-0.15911999999999701</v>
      </c>
      <c r="AF4685">
        <v>1.21057798800853E-2</v>
      </c>
      <c r="AG4685">
        <v>-7.14749999999999E-2</v>
      </c>
      <c r="AH4685">
        <v>0.51597751660047697</v>
      </c>
      <c r="AI4685">
        <v>97.884478946760296</v>
      </c>
      <c r="AJ4685">
        <v>88.655982389028793</v>
      </c>
      <c r="AK4685">
        <v>0.52104512584679397</v>
      </c>
      <c r="AL4685">
        <v>86.326980178598504</v>
      </c>
      <c r="AM4685">
        <v>87.8172210170342</v>
      </c>
      <c r="AN4685">
        <v>1.0000000048864699</v>
      </c>
    </row>
    <row r="4686" spans="1:40" x14ac:dyDescent="0.25">
      <c r="A4686" t="str">
        <f>"20190312154654126"</f>
        <v>20190312154654126</v>
      </c>
      <c r="B4686" t="str">
        <f>"1552376814122941"</f>
        <v>1552376814122941</v>
      </c>
      <c r="C4686" t="s">
        <v>40</v>
      </c>
      <c r="D4686">
        <v>4.8809110000000002</v>
      </c>
      <c r="E4686">
        <v>0.46528019999999998</v>
      </c>
      <c r="F4686" t="s">
        <v>82</v>
      </c>
      <c r="G4686">
        <v>-377.95389999999998</v>
      </c>
      <c r="H4686" s="1">
        <v>-1.29901E-6</v>
      </c>
      <c r="I4686">
        <v>17.6357</v>
      </c>
      <c r="J4686">
        <v>-393.16840000000002</v>
      </c>
      <c r="K4686">
        <v>1.1094930000000001</v>
      </c>
      <c r="L4686">
        <v>21.45636</v>
      </c>
      <c r="M4686">
        <v>0.96002469999999995</v>
      </c>
      <c r="N4686">
        <v>0</v>
      </c>
      <c r="O4686">
        <v>-0.27982699999999999</v>
      </c>
      <c r="P4686">
        <v>0.9471214</v>
      </c>
      <c r="Q4686">
        <v>5.7084450000000002E-2</v>
      </c>
      <c r="R4686">
        <v>-0.31575700000000001</v>
      </c>
      <c r="S4686">
        <v>2.9339599999999999</v>
      </c>
      <c r="T4686">
        <v>-0.2112504</v>
      </c>
      <c r="U4686">
        <v>-0.73818969999999995</v>
      </c>
      <c r="V4686">
        <v>3.8067620000000003E-2</v>
      </c>
      <c r="W4686">
        <v>6.4139000000000002E-2</v>
      </c>
      <c r="X4686">
        <v>0.99721459999999995</v>
      </c>
      <c r="Y4686">
        <v>-3.6383980000000003E-2</v>
      </c>
      <c r="Z4686">
        <v>2.0732440000000001E-2</v>
      </c>
      <c r="AA4686">
        <v>0.99912279999999998</v>
      </c>
      <c r="AB4686">
        <v>21</v>
      </c>
      <c r="AC4686">
        <v>15.214499999999999</v>
      </c>
      <c r="AD4686">
        <v>-1.1094942990100001</v>
      </c>
      <c r="AE4686">
        <v>-3.82065999999999</v>
      </c>
      <c r="AF4686">
        <v>-0.58658019365443403</v>
      </c>
      <c r="AG4686">
        <v>-1.1094942990100001</v>
      </c>
      <c r="AH4686">
        <v>15.5977810140441</v>
      </c>
      <c r="AI4686">
        <v>94.065820186719293</v>
      </c>
      <c r="AJ4686">
        <v>92.153687059392396</v>
      </c>
      <c r="AK4686">
        <v>15.648189239819301</v>
      </c>
      <c r="AL4686">
        <v>86.322581525880196</v>
      </c>
      <c r="AM4686">
        <v>87.8138553014835</v>
      </c>
      <c r="AN4686">
        <v>0.99999995673331099</v>
      </c>
    </row>
    <row r="4687" spans="1:40" x14ac:dyDescent="0.25">
      <c r="A4687" t="str">
        <f>"20190312154654150"</f>
        <v>20190312154654150</v>
      </c>
      <c r="B4687" t="str">
        <f>"1552376814142462"</f>
        <v>1552376814142462</v>
      </c>
      <c r="C4687" t="s">
        <v>40</v>
      </c>
      <c r="D4687">
        <v>4.8834720000000003</v>
      </c>
      <c r="E4687">
        <v>0.46391539999999998</v>
      </c>
      <c r="F4687" t="s">
        <v>82</v>
      </c>
      <c r="G4687">
        <v>-374.4427</v>
      </c>
      <c r="H4687" s="1">
        <v>-3.0409099999999998E-6</v>
      </c>
      <c r="I4687">
        <v>17.17277</v>
      </c>
      <c r="J4687">
        <v>-392.95060000000001</v>
      </c>
      <c r="K4687">
        <v>1.1094299999999999</v>
      </c>
      <c r="L4687">
        <v>21.393460000000001</v>
      </c>
      <c r="M4687">
        <v>0.96016769999999996</v>
      </c>
      <c r="N4687">
        <v>0</v>
      </c>
      <c r="O4687">
        <v>-0.27934740000000002</v>
      </c>
      <c r="P4687">
        <v>0.9472488</v>
      </c>
      <c r="Q4687">
        <v>5.6556910000000002E-2</v>
      </c>
      <c r="R4687">
        <v>-0.31546990000000003</v>
      </c>
      <c r="S4687">
        <v>2.9528500000000002</v>
      </c>
      <c r="T4687">
        <v>-0.17495550000000001</v>
      </c>
      <c r="U4687">
        <v>-0.67547609999999902</v>
      </c>
      <c r="V4687">
        <v>3.825568E-2</v>
      </c>
      <c r="W4687">
        <v>6.3124440000000004E-2</v>
      </c>
      <c r="X4687">
        <v>0.99727220000000005</v>
      </c>
      <c r="Y4687">
        <v>-5.7659679999999998E-2</v>
      </c>
      <c r="Z4687">
        <v>1.7719249999999999E-2</v>
      </c>
      <c r="AA4687">
        <v>0.99817900000000004</v>
      </c>
      <c r="AB4687">
        <v>21</v>
      </c>
      <c r="AC4687">
        <v>18.507899999999999</v>
      </c>
      <c r="AD4687">
        <v>-1.1094330409099999</v>
      </c>
      <c r="AE4687">
        <v>-4.2206900000000003</v>
      </c>
      <c r="AF4687">
        <v>-1.11378331106694</v>
      </c>
      <c r="AG4687">
        <v>-1.1094330409099999</v>
      </c>
      <c r="AH4687">
        <v>18.885627999910199</v>
      </c>
      <c r="AI4687">
        <v>93.356149118558704</v>
      </c>
      <c r="AJ4687">
        <v>93.3751195642825</v>
      </c>
      <c r="AK4687">
        <v>18.950944564513598</v>
      </c>
      <c r="AL4687">
        <v>86.380829796033296</v>
      </c>
      <c r="AM4687">
        <v>87.803192726325406</v>
      </c>
      <c r="AN4687">
        <v>1.0000000164352001</v>
      </c>
    </row>
    <row r="4688" spans="1:40" x14ac:dyDescent="0.25">
      <c r="A4688" t="str">
        <f>"20190312154654172"</f>
        <v>20190312154654172</v>
      </c>
      <c r="B4688" t="str">
        <f>"1552376814162957"</f>
        <v>1552376814162957</v>
      </c>
      <c r="C4688" t="s">
        <v>40</v>
      </c>
      <c r="D4688">
        <v>4.8909089999999997</v>
      </c>
      <c r="E4688">
        <v>0.46342620000000001</v>
      </c>
      <c r="F4688" t="s">
        <v>82</v>
      </c>
      <c r="G4688">
        <v>-372.76190000000003</v>
      </c>
      <c r="H4688" s="1">
        <v>-3.8920470000000004E-6</v>
      </c>
      <c r="I4688">
        <v>16.853529999999999</v>
      </c>
      <c r="J4688">
        <v>-392.74380000000002</v>
      </c>
      <c r="K4688">
        <v>1.1093789999999999</v>
      </c>
      <c r="L4688">
        <v>21.333829999999999</v>
      </c>
      <c r="M4688">
        <v>0.96030269999999995</v>
      </c>
      <c r="N4688">
        <v>0</v>
      </c>
      <c r="O4688">
        <v>-0.27889320000000001</v>
      </c>
      <c r="P4688">
        <v>0.94739280000000003</v>
      </c>
      <c r="Q4688">
        <v>5.6701040000000001E-2</v>
      </c>
      <c r="R4688">
        <v>-0.31501089999999998</v>
      </c>
      <c r="S4688">
        <v>2.9554749999999999</v>
      </c>
      <c r="T4688">
        <v>-0.1624129</v>
      </c>
      <c r="U4688">
        <v>-0.66461179999999997</v>
      </c>
      <c r="V4688">
        <v>3.8246990000000002E-2</v>
      </c>
      <c r="W4688">
        <v>6.2824640000000001E-2</v>
      </c>
      <c r="X4688">
        <v>0.99729140000000005</v>
      </c>
      <c r="Y4688">
        <v>-6.0940290000000001E-2</v>
      </c>
      <c r="Z4688">
        <v>1.651058E-2</v>
      </c>
      <c r="AA4688">
        <v>0.99800489999999997</v>
      </c>
      <c r="AB4688">
        <v>21</v>
      </c>
      <c r="AC4688">
        <v>19.9819</v>
      </c>
      <c r="AD4688">
        <v>-1.1093828920469999</v>
      </c>
      <c r="AE4688">
        <v>-4.4802999999999997</v>
      </c>
      <c r="AF4688">
        <v>-1.26667802568094</v>
      </c>
      <c r="AG4688">
        <v>-1.1093828920469999</v>
      </c>
      <c r="AH4688">
        <v>20.3787702151198</v>
      </c>
      <c r="AI4688">
        <v>93.110011429511104</v>
      </c>
      <c r="AJ4688">
        <v>93.556743425460894</v>
      </c>
      <c r="AK4688">
        <v>20.448214570044101</v>
      </c>
      <c r="AL4688">
        <v>86.3980410007822</v>
      </c>
      <c r="AM4688">
        <v>87.803733497360895</v>
      </c>
      <c r="AN4688">
        <v>0.99999995207457304</v>
      </c>
    </row>
    <row r="4689" spans="1:40" x14ac:dyDescent="0.25">
      <c r="A4689" t="str">
        <f>"20190312154654194"</f>
        <v>20190312154654194</v>
      </c>
      <c r="B4689" t="str">
        <f>"1552376814182478"</f>
        <v>1552376814182478</v>
      </c>
      <c r="C4689" t="s">
        <v>40</v>
      </c>
      <c r="D4689">
        <v>4.8448929999999999</v>
      </c>
      <c r="E4689">
        <v>0.46289039999999998</v>
      </c>
      <c r="F4689" t="s">
        <v>82</v>
      </c>
      <c r="G4689">
        <v>-371.3938</v>
      </c>
      <c r="H4689" s="1">
        <v>-4.5892419999999999E-6</v>
      </c>
      <c r="I4689">
        <v>16.5688</v>
      </c>
      <c r="J4689">
        <v>-392.54360000000003</v>
      </c>
      <c r="K4689">
        <v>1.109343</v>
      </c>
      <c r="L4689">
        <v>21.276209999999999</v>
      </c>
      <c r="M4689">
        <v>0.96043270000000003</v>
      </c>
      <c r="N4689">
        <v>0</v>
      </c>
      <c r="O4689">
        <v>-0.27845389999999998</v>
      </c>
      <c r="P4689">
        <v>0.94752689999999995</v>
      </c>
      <c r="Q4689">
        <v>5.7123340000000002E-2</v>
      </c>
      <c r="R4689">
        <v>-0.31453179999999997</v>
      </c>
      <c r="S4689">
        <v>2.9563600000000001</v>
      </c>
      <c r="T4689">
        <v>-0.153617899999999</v>
      </c>
      <c r="U4689">
        <v>-0.65982059999999998</v>
      </c>
      <c r="V4689">
        <v>3.820581E-2</v>
      </c>
      <c r="W4689">
        <v>6.2831299999999896E-2</v>
      </c>
      <c r="X4689">
        <v>0.99729259999999997</v>
      </c>
      <c r="Y4689">
        <v>-6.2135950000000002E-2</v>
      </c>
      <c r="Z4689">
        <v>1.5625790000000001E-2</v>
      </c>
      <c r="AA4689">
        <v>0.99794539999999998</v>
      </c>
      <c r="AB4689">
        <v>22</v>
      </c>
      <c r="AC4689">
        <v>21.149799999999999</v>
      </c>
      <c r="AD4689">
        <v>-1.1093475892419999</v>
      </c>
      <c r="AE4689">
        <v>-4.7074099999999897</v>
      </c>
      <c r="AF4689">
        <v>-1.36453907278885</v>
      </c>
      <c r="AG4689">
        <v>-1.1093475892419999</v>
      </c>
      <c r="AH4689">
        <v>21.567571075362601</v>
      </c>
      <c r="AI4689">
        <v>92.938600375229896</v>
      </c>
      <c r="AJ4689">
        <v>93.620169465847198</v>
      </c>
      <c r="AK4689">
        <v>21.639148343817599</v>
      </c>
      <c r="AL4689">
        <v>86.397658803468602</v>
      </c>
      <c r="AM4689">
        <v>87.8060985121313</v>
      </c>
      <c r="AN4689">
        <v>0.99999999309610299</v>
      </c>
    </row>
    <row r="4690" spans="1:40" x14ac:dyDescent="0.25">
      <c r="A4690" t="str">
        <f>"20190312154654216"</f>
        <v>20190312154654216</v>
      </c>
      <c r="B4690" t="str">
        <f>"1552376814212733"</f>
        <v>1552376814212733</v>
      </c>
      <c r="C4690" t="s">
        <v>40</v>
      </c>
      <c r="D4690">
        <v>4.8317610000000002</v>
      </c>
      <c r="E4690">
        <v>0.46254099999999998</v>
      </c>
      <c r="F4690" t="s">
        <v>82</v>
      </c>
      <c r="G4690">
        <v>-370.1026</v>
      </c>
      <c r="H4690" s="1">
        <v>-5.2452549999999998E-6</v>
      </c>
      <c r="I4690">
        <v>16.311509999999998</v>
      </c>
      <c r="J4690">
        <v>-392.33659999999998</v>
      </c>
      <c r="K4690">
        <v>1.109308</v>
      </c>
      <c r="L4690">
        <v>21.21677</v>
      </c>
      <c r="M4690">
        <v>0.96056649999999999</v>
      </c>
      <c r="N4690">
        <v>0</v>
      </c>
      <c r="O4690">
        <v>-0.27800069999999999</v>
      </c>
      <c r="P4690">
        <v>0.94761589999999996</v>
      </c>
      <c r="Q4690">
        <v>5.8034549999999997E-2</v>
      </c>
      <c r="R4690">
        <v>-0.3140965</v>
      </c>
      <c r="S4690">
        <v>2.9577640000000001</v>
      </c>
      <c r="T4690">
        <v>-0.14621419999999999</v>
      </c>
      <c r="U4690">
        <v>-0.65435790000000005</v>
      </c>
      <c r="V4690">
        <v>3.823356E-2</v>
      </c>
      <c r="W4690">
        <v>6.3328590000000004E-2</v>
      </c>
      <c r="X4690">
        <v>0.99726009999999998</v>
      </c>
      <c r="Y4690">
        <v>-6.3560249999999999E-2</v>
      </c>
      <c r="Z4690">
        <v>1.488416E-2</v>
      </c>
      <c r="AA4690">
        <v>0.99786699999999995</v>
      </c>
      <c r="AB4690">
        <v>22</v>
      </c>
      <c r="AC4690">
        <v>22.233999999999899</v>
      </c>
      <c r="AD4690">
        <v>-1.1093132452550001</v>
      </c>
      <c r="AE4690">
        <v>-4.9052599999999904</v>
      </c>
      <c r="AF4690">
        <v>-1.4657800370804901</v>
      </c>
      <c r="AG4690">
        <v>-1.1093132452550001</v>
      </c>
      <c r="AH4690">
        <v>22.667408417041901</v>
      </c>
      <c r="AI4690">
        <v>92.795914835026593</v>
      </c>
      <c r="AJ4690">
        <v>93.699860270646894</v>
      </c>
      <c r="AK4690">
        <v>22.741822515756802</v>
      </c>
      <c r="AL4690">
        <v>86.369109393802106</v>
      </c>
      <c r="AM4690">
        <v>87.804435096412604</v>
      </c>
      <c r="AN4690">
        <v>1.0000000112368299</v>
      </c>
    </row>
    <row r="4691" spans="1:40" x14ac:dyDescent="0.25">
      <c r="A4691" t="str">
        <f>"20190312154654229"</f>
        <v>20190312154654229</v>
      </c>
      <c r="B4691" t="str">
        <f>"1552376814222494"</f>
        <v>1552376814222494</v>
      </c>
      <c r="C4691" t="s">
        <v>40</v>
      </c>
      <c r="D4691">
        <v>4.825634</v>
      </c>
      <c r="E4691">
        <v>0.46259289999999997</v>
      </c>
      <c r="F4691" t="s">
        <v>81</v>
      </c>
      <c r="G4691">
        <v>-368.46019999999999</v>
      </c>
      <c r="H4691" s="1">
        <v>-1.563072E-6</v>
      </c>
      <c r="I4691">
        <v>15.96571</v>
      </c>
      <c r="J4691">
        <v>-392.214</v>
      </c>
      <c r="K4691">
        <v>1.1092869999999999</v>
      </c>
      <c r="L4691">
        <v>21.18158</v>
      </c>
      <c r="M4691">
        <v>0.96064510000000003</v>
      </c>
      <c r="N4691">
        <v>0</v>
      </c>
      <c r="O4691">
        <v>-0.2777328</v>
      </c>
      <c r="P4691">
        <v>0.94773300000000005</v>
      </c>
      <c r="Q4691">
        <v>5.8452209999999998E-2</v>
      </c>
      <c r="R4691">
        <v>-0.31366519999999998</v>
      </c>
      <c r="S4691">
        <v>2.9585569999999999</v>
      </c>
      <c r="T4691">
        <v>-0.13745589999999999</v>
      </c>
      <c r="U4691">
        <v>-0.6506653</v>
      </c>
      <c r="V4691">
        <v>3.8064720000000003E-2</v>
      </c>
      <c r="W4691">
        <v>6.3511349999999994E-2</v>
      </c>
      <c r="X4691">
        <v>0.99725490000000006</v>
      </c>
      <c r="Y4691">
        <v>-6.4569760000000004E-2</v>
      </c>
      <c r="Z4691">
        <v>1.4003699999999999E-2</v>
      </c>
      <c r="AA4691">
        <v>0.99781500000000001</v>
      </c>
      <c r="AB4691">
        <v>22</v>
      </c>
      <c r="AC4691">
        <v>23.753799999999998</v>
      </c>
      <c r="AD4691">
        <v>-1.109288563072</v>
      </c>
      <c r="AE4691">
        <v>-5.21586999999999</v>
      </c>
      <c r="AF4691">
        <v>-1.5833354795946</v>
      </c>
      <c r="AG4691">
        <v>-1.109288563072</v>
      </c>
      <c r="AH4691">
        <v>24.2175139093872</v>
      </c>
      <c r="AI4691">
        <v>92.617033136436902</v>
      </c>
      <c r="AJ4691">
        <v>93.740661088768107</v>
      </c>
      <c r="AK4691">
        <v>24.294556022048798</v>
      </c>
      <c r="AL4691">
        <v>86.358616763062699</v>
      </c>
      <c r="AM4691">
        <v>87.814109932642594</v>
      </c>
      <c r="AN4691">
        <v>0.999999975030755</v>
      </c>
    </row>
    <row r="4692" spans="1:40" x14ac:dyDescent="0.25">
      <c r="A4692" t="str">
        <f>"20190312154654242"</f>
        <v>20190312154654242</v>
      </c>
      <c r="B4692" t="str">
        <f>"1552376814232254"</f>
        <v>1552376814232254</v>
      </c>
      <c r="C4692" t="s">
        <v>40</v>
      </c>
      <c r="D4692">
        <v>4.8010190000000001</v>
      </c>
      <c r="E4692">
        <v>0.46255590000000002</v>
      </c>
      <c r="F4692" t="s">
        <v>81</v>
      </c>
      <c r="G4692">
        <v>-367.88799999999998</v>
      </c>
      <c r="H4692" s="1">
        <v>-1.8163380000000001E-6</v>
      </c>
      <c r="I4692">
        <v>15.83975</v>
      </c>
      <c r="J4692">
        <v>-392.08980000000003</v>
      </c>
      <c r="K4692">
        <v>1.1092660000000001</v>
      </c>
      <c r="L4692">
        <v>21.145969999999998</v>
      </c>
      <c r="M4692">
        <v>0.96072469999999999</v>
      </c>
      <c r="N4692">
        <v>0</v>
      </c>
      <c r="O4692">
        <v>-0.27746130000000002</v>
      </c>
      <c r="P4692">
        <v>0.94771950000000005</v>
      </c>
      <c r="Q4692">
        <v>5.8861749999999997E-2</v>
      </c>
      <c r="R4692">
        <v>-0.31362889999999999</v>
      </c>
      <c r="S4692">
        <v>2.9587400000000001</v>
      </c>
      <c r="T4692">
        <v>-0.13492119999999999</v>
      </c>
      <c r="U4692">
        <v>-0.64971919999999905</v>
      </c>
      <c r="V4692">
        <v>3.8315450000000001E-2</v>
      </c>
      <c r="W4692">
        <v>6.3692650000000003E-2</v>
      </c>
      <c r="X4692">
        <v>0.9972337</v>
      </c>
      <c r="Y4692">
        <v>-6.4617380000000002E-2</v>
      </c>
      <c r="Z4692">
        <v>1.373488E-2</v>
      </c>
      <c r="AA4692">
        <v>0.99781560000000002</v>
      </c>
      <c r="AB4692">
        <v>22</v>
      </c>
      <c r="AC4692">
        <v>24.201799999999899</v>
      </c>
      <c r="AD4692">
        <v>-1.1092678163380001</v>
      </c>
      <c r="AE4692">
        <v>-5.3062199999999997</v>
      </c>
      <c r="AF4692">
        <v>-1.61402991390568</v>
      </c>
      <c r="AG4692">
        <v>-1.1092678163380001</v>
      </c>
      <c r="AH4692">
        <v>24.6743678866012</v>
      </c>
      <c r="AI4692">
        <v>92.568589858976196</v>
      </c>
      <c r="AJ4692">
        <v>93.742569630403693</v>
      </c>
      <c r="AK4692">
        <v>24.7519695833419</v>
      </c>
      <c r="AL4692">
        <v>86.348207835230099</v>
      </c>
      <c r="AM4692">
        <v>87.799678983446498</v>
      </c>
      <c r="AN4692">
        <v>0.99999993989420499</v>
      </c>
    </row>
    <row r="4693" spans="1:40" x14ac:dyDescent="0.25">
      <c r="A4693" t="str">
        <f>"20190312154654254"</f>
        <v>20190312154654254</v>
      </c>
      <c r="B4693" t="str">
        <f>"1552376814242989"</f>
        <v>1552376814242989</v>
      </c>
      <c r="C4693" t="s">
        <v>40</v>
      </c>
      <c r="D4693">
        <v>4.799258</v>
      </c>
      <c r="E4693">
        <v>0.4626072</v>
      </c>
      <c r="F4693" t="s">
        <v>81</v>
      </c>
      <c r="G4693">
        <v>-367.11829999999998</v>
      </c>
      <c r="H4693" s="1">
        <v>-2.1586529999999999E-6</v>
      </c>
      <c r="I4693">
        <v>15.66412</v>
      </c>
      <c r="J4693">
        <v>-391.97019999999998</v>
      </c>
      <c r="K4693">
        <v>1.109245</v>
      </c>
      <c r="L4693">
        <v>21.111689999999999</v>
      </c>
      <c r="M4693">
        <v>0.96080109999999996</v>
      </c>
      <c r="N4693">
        <v>0</v>
      </c>
      <c r="O4693">
        <v>-0.27720030000000001</v>
      </c>
      <c r="P4693">
        <v>0.94772109999999998</v>
      </c>
      <c r="Q4693">
        <v>5.8807720000000001E-2</v>
      </c>
      <c r="R4693">
        <v>-0.31363469999999999</v>
      </c>
      <c r="S4693">
        <v>2.95871</v>
      </c>
      <c r="T4693">
        <v>-0.131429399999999</v>
      </c>
      <c r="U4693">
        <v>-0.64950559999999902</v>
      </c>
      <c r="V4693">
        <v>3.8591590000000002E-2</v>
      </c>
      <c r="W4693">
        <v>6.343472E-2</v>
      </c>
      <c r="X4693">
        <v>0.99723949999999995</v>
      </c>
      <c r="Y4693">
        <v>-6.4429739999999999E-2</v>
      </c>
      <c r="Z4693">
        <v>1.336497E-2</v>
      </c>
      <c r="AA4693">
        <v>0.99783270000000002</v>
      </c>
      <c r="AB4693">
        <v>22</v>
      </c>
      <c r="AC4693">
        <v>24.851900000000001</v>
      </c>
      <c r="AD4693">
        <v>-1.1092471586529999</v>
      </c>
      <c r="AE4693">
        <v>-5.44756999999999</v>
      </c>
      <c r="AF4693">
        <v>-1.6518005803139399</v>
      </c>
      <c r="AG4693">
        <v>-1.1092471586529999</v>
      </c>
      <c r="AH4693">
        <v>25.339902284942202</v>
      </c>
      <c r="AI4693">
        <v>92.501204940544298</v>
      </c>
      <c r="AJ4693">
        <v>93.729591861665497</v>
      </c>
      <c r="AK4693">
        <v>25.417897675191899</v>
      </c>
      <c r="AL4693">
        <v>86.363016109524295</v>
      </c>
      <c r="AM4693">
        <v>87.783849869876406</v>
      </c>
      <c r="AN4693">
        <v>0.99999994744022602</v>
      </c>
    </row>
    <row r="4694" spans="1:40" x14ac:dyDescent="0.25">
      <c r="A4694" t="str">
        <f>"20190312154654273"</f>
        <v>20190312154654273</v>
      </c>
      <c r="B4694" t="str">
        <f>"1552376814262513"</f>
        <v>1552376814262513</v>
      </c>
      <c r="C4694" t="s">
        <v>40</v>
      </c>
      <c r="D4694">
        <v>5.0537900000000002</v>
      </c>
      <c r="E4694">
        <v>0.46260020000000002</v>
      </c>
      <c r="F4694" t="s">
        <v>81</v>
      </c>
      <c r="G4694">
        <v>-366.78789999999998</v>
      </c>
      <c r="H4694" s="1">
        <v>-2.308222E-6</v>
      </c>
      <c r="I4694">
        <v>15.578729999999901</v>
      </c>
      <c r="J4694">
        <v>-391.7921</v>
      </c>
      <c r="K4694">
        <v>1.109232</v>
      </c>
      <c r="L4694">
        <v>21.060759999999998</v>
      </c>
      <c r="M4694">
        <v>0.9609143</v>
      </c>
      <c r="N4694">
        <v>0</v>
      </c>
      <c r="O4694">
        <v>-0.27681280000000003</v>
      </c>
      <c r="P4694">
        <v>0.94734229999999997</v>
      </c>
      <c r="Q4694">
        <v>5.8879920000000002E-2</v>
      </c>
      <c r="R4694">
        <v>-0.31476379999999998</v>
      </c>
      <c r="S4694">
        <v>2.958466</v>
      </c>
      <c r="T4694">
        <v>-0.13031690000000001</v>
      </c>
      <c r="U4694">
        <v>-0.65002439999999995</v>
      </c>
      <c r="V4694">
        <v>4.0183539999999997E-2</v>
      </c>
      <c r="W4694">
        <v>6.3228660000000006E-2</v>
      </c>
      <c r="X4694">
        <v>0.99718980000000002</v>
      </c>
      <c r="Y4694">
        <v>-6.3848799999999997E-2</v>
      </c>
      <c r="Z4694">
        <v>1.322394E-2</v>
      </c>
      <c r="AA4694">
        <v>0.99787190000000003</v>
      </c>
      <c r="AB4694">
        <v>22</v>
      </c>
      <c r="AC4694">
        <v>25.004200000000001</v>
      </c>
      <c r="AD4694">
        <v>-1.109234308222</v>
      </c>
      <c r="AE4694">
        <v>-5.48203</v>
      </c>
      <c r="AF4694">
        <v>-1.65063735602422</v>
      </c>
      <c r="AG4694">
        <v>-1.109234308222</v>
      </c>
      <c r="AH4694">
        <v>25.4967484028084</v>
      </c>
      <c r="AI4694">
        <v>92.4858808256609</v>
      </c>
      <c r="AJ4694">
        <v>93.704109960778197</v>
      </c>
      <c r="AK4694">
        <v>25.574189792596599</v>
      </c>
      <c r="AL4694">
        <v>86.374846558615701</v>
      </c>
      <c r="AM4694">
        <v>87.692412965585206</v>
      </c>
      <c r="AN4694">
        <v>1.00000003877818</v>
      </c>
    </row>
    <row r="4695" spans="1:40" x14ac:dyDescent="0.25">
      <c r="A4695" t="str">
        <f>"20190312154654284"</f>
        <v>20190312154654284</v>
      </c>
      <c r="B4695" t="str">
        <f>"1552376814272270"</f>
        <v>1552376814272270</v>
      </c>
      <c r="C4695" t="s">
        <v>40</v>
      </c>
      <c r="D4695">
        <v>4.7726759999999997</v>
      </c>
      <c r="E4695">
        <v>0.46258300000000002</v>
      </c>
      <c r="F4695" t="s">
        <v>81</v>
      </c>
      <c r="G4695">
        <v>-366.04059999999998</v>
      </c>
      <c r="H4695" s="1">
        <v>-2.6513820000000001E-6</v>
      </c>
      <c r="I4695">
        <v>15.36754</v>
      </c>
      <c r="J4695">
        <v>-391.67290000000003</v>
      </c>
      <c r="K4695">
        <v>1.1092249999999999</v>
      </c>
      <c r="L4695">
        <v>21.026730000000001</v>
      </c>
      <c r="M4695">
        <v>0.96098950000000005</v>
      </c>
      <c r="N4695">
        <v>0</v>
      </c>
      <c r="O4695">
        <v>-0.27655370000000001</v>
      </c>
      <c r="P4695">
        <v>0.94705220000000001</v>
      </c>
      <c r="Q4695">
        <v>5.9283189999999999E-2</v>
      </c>
      <c r="R4695">
        <v>-0.31555939999999999</v>
      </c>
      <c r="S4695">
        <v>2.9574280000000002</v>
      </c>
      <c r="T4695">
        <v>-0.12739039999999999</v>
      </c>
      <c r="U4695">
        <v>-0.65383910000000001</v>
      </c>
      <c r="V4695">
        <v>4.129704E-2</v>
      </c>
      <c r="W4695">
        <v>6.3463270000000002E-2</v>
      </c>
      <c r="X4695">
        <v>0.99712940000000005</v>
      </c>
      <c r="Y4695">
        <v>-6.2293639999999997E-2</v>
      </c>
      <c r="Z4695">
        <v>1.288577E-2</v>
      </c>
      <c r="AA4695">
        <v>0.99797469999999999</v>
      </c>
      <c r="AB4695">
        <v>22</v>
      </c>
      <c r="AC4695">
        <v>25.632300000000001</v>
      </c>
      <c r="AD4695">
        <v>-1.1092276513820001</v>
      </c>
      <c r="AE4695">
        <v>-5.6591899999999997</v>
      </c>
      <c r="AF4695">
        <v>-1.6473578516123</v>
      </c>
      <c r="AG4695">
        <v>-1.1092276513820001</v>
      </c>
      <c r="AH4695">
        <v>26.1509703518926</v>
      </c>
      <c r="AI4695">
        <v>92.424020551760407</v>
      </c>
      <c r="AJ4695">
        <v>93.604535399405805</v>
      </c>
      <c r="AK4695">
        <v>26.226273548093399</v>
      </c>
      <c r="AL4695">
        <v>86.361377335860695</v>
      </c>
      <c r="AM4695">
        <v>87.628397455744405</v>
      </c>
      <c r="AN4695">
        <v>1.0000000362481001</v>
      </c>
    </row>
    <row r="4696" spans="1:40" x14ac:dyDescent="0.25">
      <c r="A4696" t="str">
        <f>"20190312154654298"</f>
        <v>20190312154654298</v>
      </c>
      <c r="B4696" t="str">
        <f>"1552376814292766"</f>
        <v>1552376814292766</v>
      </c>
      <c r="C4696" t="s">
        <v>40</v>
      </c>
      <c r="D4696">
        <v>4.7950759999999999</v>
      </c>
      <c r="E4696">
        <v>0.46250960000000002</v>
      </c>
      <c r="F4696" t="s">
        <v>81</v>
      </c>
      <c r="G4696">
        <v>-365.04309999999998</v>
      </c>
      <c r="H4696" s="1">
        <v>-3.1419599999999999E-6</v>
      </c>
      <c r="I4696">
        <v>15.115640000000001</v>
      </c>
      <c r="J4696">
        <v>-391.54270000000002</v>
      </c>
      <c r="K4696">
        <v>1.1092200000000001</v>
      </c>
      <c r="L4696">
        <v>20.989560000000001</v>
      </c>
      <c r="M4696">
        <v>0.96107129999999996</v>
      </c>
      <c r="N4696">
        <v>0</v>
      </c>
      <c r="O4696">
        <v>-0.2762713</v>
      </c>
      <c r="P4696">
        <v>0.94666859999999997</v>
      </c>
      <c r="Q4696">
        <v>5.9703399999999997E-2</v>
      </c>
      <c r="R4696">
        <v>-0.316629299999999</v>
      </c>
      <c r="S4696">
        <v>2.9567260000000002</v>
      </c>
      <c r="T4696">
        <v>-0.123158</v>
      </c>
      <c r="U4696">
        <v>-0.65631099999999998</v>
      </c>
      <c r="V4696">
        <v>4.2723919999999999E-2</v>
      </c>
      <c r="W4696">
        <v>6.3730720000000005E-2</v>
      </c>
      <c r="X4696">
        <v>0.99705220000000006</v>
      </c>
      <c r="Y4696">
        <v>-6.1174930000000002E-2</v>
      </c>
      <c r="Z4696">
        <v>1.242536E-2</v>
      </c>
      <c r="AA4696">
        <v>0.99804970000000004</v>
      </c>
      <c r="AB4696">
        <v>23</v>
      </c>
      <c r="AC4696">
        <v>26.499600000000001</v>
      </c>
      <c r="AD4696">
        <v>-1.10922314196</v>
      </c>
      <c r="AE4696">
        <v>-5.87392</v>
      </c>
      <c r="AF4696">
        <v>-1.67304246448629</v>
      </c>
      <c r="AG4696">
        <v>-1.10922314196</v>
      </c>
      <c r="AH4696">
        <v>27.045851140928399</v>
      </c>
      <c r="AI4696">
        <v>92.344062330006807</v>
      </c>
      <c r="AJ4696">
        <v>93.539777000501104</v>
      </c>
      <c r="AK4696">
        <v>27.120241720970899</v>
      </c>
      <c r="AL4696">
        <v>86.346022414507203</v>
      </c>
      <c r="AM4696">
        <v>87.546363452810894</v>
      </c>
      <c r="AN4696">
        <v>1.00000001376836</v>
      </c>
    </row>
    <row r="4697" spans="1:40" x14ac:dyDescent="0.25">
      <c r="A4697" t="str">
        <f>"20190312154654316"</f>
        <v>20190312154654316</v>
      </c>
      <c r="B4697" t="str">
        <f>"1552376814312286"</f>
        <v>1552376814312286</v>
      </c>
      <c r="C4697" t="s">
        <v>40</v>
      </c>
      <c r="D4697">
        <v>4.6963999999999997</v>
      </c>
      <c r="E4697">
        <v>0.4624721</v>
      </c>
      <c r="F4697" t="s">
        <v>81</v>
      </c>
      <c r="G4697">
        <v>-363.6155</v>
      </c>
      <c r="H4697" s="1">
        <v>-3.8797670000000003E-6</v>
      </c>
      <c r="I4697">
        <v>14.76052</v>
      </c>
      <c r="J4697">
        <v>-391.37099999999998</v>
      </c>
      <c r="K4697">
        <v>1.109224</v>
      </c>
      <c r="L4697">
        <v>20.940639999999998</v>
      </c>
      <c r="M4697">
        <v>0.9611788</v>
      </c>
      <c r="N4697">
        <v>0</v>
      </c>
      <c r="O4697">
        <v>-0.27589960000000002</v>
      </c>
      <c r="P4697">
        <v>0.94591150000000002</v>
      </c>
      <c r="Q4697">
        <v>5.988781E-2</v>
      </c>
      <c r="R4697">
        <v>-0.31884980000000002</v>
      </c>
      <c r="S4697">
        <v>2.955902</v>
      </c>
      <c r="T4697">
        <v>-0.1174037</v>
      </c>
      <c r="U4697">
        <v>-0.65930180000000005</v>
      </c>
      <c r="V4697">
        <v>4.5452350000000002E-2</v>
      </c>
      <c r="W4697">
        <v>6.3751180000000005E-2</v>
      </c>
      <c r="X4697">
        <v>0.99693019999999999</v>
      </c>
      <c r="Y4697">
        <v>-5.9793480000000003E-2</v>
      </c>
      <c r="Z4697">
        <v>1.180581E-2</v>
      </c>
      <c r="AA4697">
        <v>0.9981409</v>
      </c>
      <c r="AB4697">
        <v>23</v>
      </c>
      <c r="AC4697">
        <v>27.755499999999898</v>
      </c>
      <c r="AD4697">
        <v>-1.1092278797670001</v>
      </c>
      <c r="AE4697">
        <v>-6.1801199999999898</v>
      </c>
      <c r="AF4697">
        <v>-1.7149340565861599</v>
      </c>
      <c r="AG4697">
        <v>-1.1092278797670001</v>
      </c>
      <c r="AH4697">
        <v>28.340174613472399</v>
      </c>
      <c r="AI4697">
        <v>92.237311142140399</v>
      </c>
      <c r="AJ4697">
        <v>93.462886688618894</v>
      </c>
      <c r="AK4697">
        <v>28.413674215592</v>
      </c>
      <c r="AL4697">
        <v>86.344847617301696</v>
      </c>
      <c r="AM4697">
        <v>87.389560836336003</v>
      </c>
      <c r="AN4697">
        <v>0.99999997637197702</v>
      </c>
    </row>
    <row r="4698" spans="1:40" x14ac:dyDescent="0.25">
      <c r="A4698" t="str">
        <f>"20190312154654328"</f>
        <v>20190312154654328</v>
      </c>
      <c r="B4698" t="str">
        <f>"1552376814323022"</f>
        <v>1552376814323022</v>
      </c>
      <c r="C4698" t="s">
        <v>40</v>
      </c>
      <c r="D4698">
        <v>4.6916580000000003</v>
      </c>
      <c r="E4698">
        <v>0.46253870000000002</v>
      </c>
      <c r="F4698" t="s">
        <v>81</v>
      </c>
      <c r="G4698">
        <v>-362.1617</v>
      </c>
      <c r="H4698" s="1">
        <v>-4.639407E-6</v>
      </c>
      <c r="I4698">
        <v>14.35234</v>
      </c>
      <c r="J4698">
        <v>-391.24400000000003</v>
      </c>
      <c r="K4698">
        <v>1.109229</v>
      </c>
      <c r="L4698">
        <v>20.90448</v>
      </c>
      <c r="M4698">
        <v>0.9612581</v>
      </c>
      <c r="N4698">
        <v>0</v>
      </c>
      <c r="O4698">
        <v>-0.2756247</v>
      </c>
      <c r="P4698">
        <v>0.94548480000000001</v>
      </c>
      <c r="Q4698">
        <v>6.018478E-2</v>
      </c>
      <c r="R4698">
        <v>-0.32005689999999998</v>
      </c>
      <c r="S4698">
        <v>2.9540099999999998</v>
      </c>
      <c r="T4698">
        <v>-0.1121789</v>
      </c>
      <c r="U4698">
        <v>-0.6662903</v>
      </c>
      <c r="V4698">
        <v>4.7015139999999997E-2</v>
      </c>
      <c r="W4698">
        <v>6.395816E-2</v>
      </c>
      <c r="X4698">
        <v>0.99684450000000002</v>
      </c>
      <c r="Y4698">
        <v>-5.7146719999999998E-2</v>
      </c>
      <c r="Z4698">
        <v>1.1224659999999999E-2</v>
      </c>
      <c r="AA4698">
        <v>0.99830269999999999</v>
      </c>
      <c r="AB4698">
        <v>23</v>
      </c>
      <c r="AC4698">
        <v>29.0823</v>
      </c>
      <c r="AD4698">
        <v>-1.1092336394069999</v>
      </c>
      <c r="AE4698">
        <v>-6.5521399999999996</v>
      </c>
      <c r="AF4698">
        <v>-1.71513992235261</v>
      </c>
      <c r="AG4698">
        <v>-1.1092336394069999</v>
      </c>
      <c r="AH4698">
        <v>29.720587298079899</v>
      </c>
      <c r="AI4698">
        <v>92.133857695619795</v>
      </c>
      <c r="AJ4698">
        <v>93.302808427804194</v>
      </c>
      <c r="AK4698">
        <v>29.790693405203399</v>
      </c>
      <c r="AL4698">
        <v>86.3329644211166</v>
      </c>
      <c r="AM4698">
        <v>87.299704837421601</v>
      </c>
      <c r="AN4698">
        <v>1.00000001340002</v>
      </c>
    </row>
    <row r="4699" spans="1:40" x14ac:dyDescent="0.25">
      <c r="A4699" t="str">
        <f>"20190312154654343"</f>
        <v>20190312154654343</v>
      </c>
      <c r="B4699" t="str">
        <f>"1552376814332781"</f>
        <v>1552376814332781</v>
      </c>
      <c r="C4699" t="s">
        <v>40</v>
      </c>
      <c r="D4699">
        <v>4.7189459999999999</v>
      </c>
      <c r="E4699">
        <v>0.462584</v>
      </c>
      <c r="F4699" t="s">
        <v>81</v>
      </c>
      <c r="G4699">
        <v>-361.38389999999998</v>
      </c>
      <c r="H4699" s="1">
        <v>-5.0480559999999996E-6</v>
      </c>
      <c r="I4699">
        <v>14.121370000000001</v>
      </c>
      <c r="J4699">
        <v>-391.10289999999998</v>
      </c>
      <c r="K4699">
        <v>1.10924</v>
      </c>
      <c r="L4699">
        <v>20.864350000000002</v>
      </c>
      <c r="M4699">
        <v>0.96134569999999997</v>
      </c>
      <c r="N4699">
        <v>0</v>
      </c>
      <c r="O4699">
        <v>-0.27531990000000001</v>
      </c>
      <c r="P4699">
        <v>0.94520780000000004</v>
      </c>
      <c r="Q4699">
        <v>6.0204010000000002E-2</v>
      </c>
      <c r="R4699">
        <v>-0.32087070000000001</v>
      </c>
      <c r="S4699">
        <v>2.9528500000000002</v>
      </c>
      <c r="T4699">
        <v>-0.10969139999999999</v>
      </c>
      <c r="U4699">
        <v>-0.67077640000000005</v>
      </c>
      <c r="V4699">
        <v>4.8189160000000002E-2</v>
      </c>
      <c r="W4699">
        <v>6.3905359999999994E-2</v>
      </c>
      <c r="X4699">
        <v>0.99679180000000001</v>
      </c>
      <c r="Y4699">
        <v>-5.5314149999999999E-2</v>
      </c>
      <c r="Z4699">
        <v>1.093352E-2</v>
      </c>
      <c r="AA4699">
        <v>0.9984092</v>
      </c>
      <c r="AB4699">
        <v>23</v>
      </c>
      <c r="AC4699">
        <v>29.718999999999902</v>
      </c>
      <c r="AD4699">
        <v>-1.1092450480560001</v>
      </c>
      <c r="AE4699">
        <v>-6.7429800000000002</v>
      </c>
      <c r="AF4699">
        <v>-1.6976594247241099</v>
      </c>
      <c r="AG4699">
        <v>-1.1092450480560001</v>
      </c>
      <c r="AH4699">
        <v>30.386653741042799</v>
      </c>
      <c r="AI4699">
        <v>92.087364677329802</v>
      </c>
      <c r="AJ4699">
        <v>93.197710035249003</v>
      </c>
      <c r="AK4699">
        <v>30.454247613050999</v>
      </c>
      <c r="AL4699">
        <v>86.335995758835793</v>
      </c>
      <c r="AM4699">
        <v>87.232232952760697</v>
      </c>
      <c r="AN4699">
        <v>0.99999999136273698</v>
      </c>
    </row>
    <row r="4700" spans="1:40" x14ac:dyDescent="0.25">
      <c r="A4700" t="str">
        <f>"20190312154654364"</f>
        <v>20190312154654364</v>
      </c>
      <c r="B4700" t="str">
        <f>"1552376814352301"</f>
        <v>1552376814352301</v>
      </c>
      <c r="C4700" t="s">
        <v>40</v>
      </c>
      <c r="D4700">
        <v>4.748577</v>
      </c>
      <c r="E4700">
        <v>0.43900329999999899</v>
      </c>
      <c r="F4700" t="s">
        <v>81</v>
      </c>
      <c r="G4700">
        <v>-360.9579</v>
      </c>
      <c r="H4700" s="1">
        <v>-5.2736660000000003E-6</v>
      </c>
      <c r="I4700">
        <v>13.98461</v>
      </c>
      <c r="J4700">
        <v>-390.90629999999999</v>
      </c>
      <c r="K4700">
        <v>1.109262</v>
      </c>
      <c r="L4700">
        <v>20.808530000000001</v>
      </c>
      <c r="M4700">
        <v>0.96146750000000003</v>
      </c>
      <c r="N4700">
        <v>0</v>
      </c>
      <c r="O4700">
        <v>-0.27489469999999999</v>
      </c>
      <c r="P4700">
        <v>0.94483110000000003</v>
      </c>
      <c r="Q4700">
        <v>6.0695069999999997E-2</v>
      </c>
      <c r="R4700">
        <v>-0.32188630000000001</v>
      </c>
      <c r="S4700">
        <v>2.952118</v>
      </c>
      <c r="T4700">
        <v>-0.10862910000000001</v>
      </c>
      <c r="U4700">
        <v>-0.67373660000000002</v>
      </c>
      <c r="V4700">
        <v>4.9709099999999999E-2</v>
      </c>
      <c r="W4700">
        <v>6.4369319999999994E-2</v>
      </c>
      <c r="X4700">
        <v>0.99668730000000005</v>
      </c>
      <c r="Y4700">
        <v>-5.3872349999999999E-2</v>
      </c>
      <c r="Z4700">
        <v>1.078787E-2</v>
      </c>
      <c r="AA4700">
        <v>0.99848959999999998</v>
      </c>
      <c r="AB4700">
        <v>23</v>
      </c>
      <c r="AC4700">
        <v>29.9483999999999</v>
      </c>
      <c r="AD4700">
        <v>-1.1092672736660001</v>
      </c>
      <c r="AE4700">
        <v>-6.8239199999999904</v>
      </c>
      <c r="AF4700">
        <v>-1.66951274937634</v>
      </c>
      <c r="AG4700">
        <v>-1.1092672736660001</v>
      </c>
      <c r="AH4700">
        <v>30.630526148262302</v>
      </c>
      <c r="AI4700">
        <v>92.070956839784998</v>
      </c>
      <c r="AJ4700">
        <v>93.119811851902796</v>
      </c>
      <c r="AK4700">
        <v>30.696040116342999</v>
      </c>
      <c r="AL4700">
        <v>86.309357954639793</v>
      </c>
      <c r="AM4700">
        <v>87.144777871853194</v>
      </c>
      <c r="AN4700">
        <v>0.99999998898068099</v>
      </c>
    </row>
    <row r="4701" spans="1:40" x14ac:dyDescent="0.25">
      <c r="A4701" t="str">
        <f>"20190312154654385"</f>
        <v>20190312154654385</v>
      </c>
      <c r="B4701" t="str">
        <f>"1552376814382557"</f>
        <v>1552376814382557</v>
      </c>
      <c r="C4701" t="s">
        <v>40</v>
      </c>
      <c r="D4701">
        <v>4.8898339999999996</v>
      </c>
      <c r="E4701">
        <v>0.42033870000000001</v>
      </c>
      <c r="F4701" t="s">
        <v>42</v>
      </c>
      <c r="G4701">
        <v>-324.52019999999999</v>
      </c>
      <c r="H4701" s="1">
        <v>-4.7069849999999998E-6</v>
      </c>
      <c r="I4701">
        <v>9.7752789999999994</v>
      </c>
      <c r="J4701">
        <v>-390.68880000000001</v>
      </c>
      <c r="K4701">
        <v>1.109291</v>
      </c>
      <c r="L4701">
        <v>20.746919999999999</v>
      </c>
      <c r="M4701">
        <v>0.96160159999999995</v>
      </c>
      <c r="N4701">
        <v>0</v>
      </c>
      <c r="O4701">
        <v>-0.27442470000000002</v>
      </c>
      <c r="P4701">
        <v>0.94503269999999995</v>
      </c>
      <c r="Q4701">
        <v>6.027445E-2</v>
      </c>
      <c r="R4701">
        <v>-0.32137270000000001</v>
      </c>
      <c r="S4701">
        <v>3.0080870000000002</v>
      </c>
      <c r="T4701">
        <v>-5.0263170000000003E-2</v>
      </c>
      <c r="U4701">
        <v>-0.49993900000000002</v>
      </c>
      <c r="V4701">
        <v>4.9646750000000003E-2</v>
      </c>
      <c r="W4701">
        <v>6.4004809999999995E-2</v>
      </c>
      <c r="X4701">
        <v>0.99671390000000004</v>
      </c>
      <c r="Y4701">
        <v>-0.1130068</v>
      </c>
      <c r="Z4701">
        <v>5.4215349999999999E-3</v>
      </c>
      <c r="AA4701">
        <v>0.9935794</v>
      </c>
      <c r="AB4701">
        <v>23</v>
      </c>
      <c r="AC4701">
        <v>66.168599999999998</v>
      </c>
      <c r="AD4701">
        <v>-1.109295706985</v>
      </c>
      <c r="AE4701">
        <v>-10.971641</v>
      </c>
      <c r="AF4701">
        <v>-7.6059213377258503</v>
      </c>
      <c r="AG4701">
        <v>-1.109295706985</v>
      </c>
      <c r="AH4701">
        <v>66.620945867492495</v>
      </c>
      <c r="AI4701">
        <v>90.947779948397695</v>
      </c>
      <c r="AJ4701">
        <v>96.513094160149606</v>
      </c>
      <c r="AK4701">
        <v>67.062888430491697</v>
      </c>
      <c r="AL4701">
        <v>86.330286061732593</v>
      </c>
      <c r="AM4701">
        <v>87.148429233151305</v>
      </c>
      <c r="AN4701">
        <v>1.00000000697095</v>
      </c>
    </row>
    <row r="4702" spans="1:40" x14ac:dyDescent="0.25">
      <c r="A4702" t="str">
        <f>"20190312154654406"</f>
        <v>20190312154654406</v>
      </c>
      <c r="B4702" t="str">
        <f>"1552376814403053"</f>
        <v>1552376814403053</v>
      </c>
      <c r="C4702" t="s">
        <v>40</v>
      </c>
      <c r="D4702">
        <v>4.7369139999999996</v>
      </c>
      <c r="E4702">
        <v>0.416572</v>
      </c>
      <c r="F4702" t="s">
        <v>81</v>
      </c>
      <c r="G4702">
        <v>-361.74560000000002</v>
      </c>
      <c r="H4702" s="1">
        <v>-4.2982830000000002E-6</v>
      </c>
      <c r="I4702">
        <v>17.384350000000001</v>
      </c>
      <c r="J4702">
        <v>-390.4676</v>
      </c>
      <c r="K4702">
        <v>1.109329</v>
      </c>
      <c r="L4702">
        <v>20.68439</v>
      </c>
      <c r="M4702">
        <v>0.96173790000000003</v>
      </c>
      <c r="N4702">
        <v>0</v>
      </c>
      <c r="O4702">
        <v>-0.27394439999999998</v>
      </c>
      <c r="P4702">
        <v>0.94539099999999998</v>
      </c>
      <c r="Q4702">
        <v>5.9561219999999998E-2</v>
      </c>
      <c r="R4702">
        <v>-0.32045050000000003</v>
      </c>
      <c r="S4702">
        <v>3.0610050000000002</v>
      </c>
      <c r="T4702">
        <v>-0.1173177</v>
      </c>
      <c r="U4702">
        <v>-0.35562129999999997</v>
      </c>
      <c r="V4702">
        <v>4.915895E-2</v>
      </c>
      <c r="W4702">
        <v>6.341426E-2</v>
      </c>
      <c r="X4702">
        <v>0.99677579999999999</v>
      </c>
      <c r="Y4702">
        <v>-0.16082050000000001</v>
      </c>
      <c r="Z4702">
        <v>1.3387680000000001E-2</v>
      </c>
      <c r="AA4702">
        <v>0.98689289999999996</v>
      </c>
      <c r="AB4702">
        <v>23</v>
      </c>
      <c r="AC4702">
        <v>28.721999999999898</v>
      </c>
      <c r="AD4702">
        <v>-1.109333298283</v>
      </c>
      <c r="AE4702">
        <v>-3.3000399999999899</v>
      </c>
      <c r="AF4702">
        <v>-4.6875903852168301</v>
      </c>
      <c r="AG4702">
        <v>-1.109333298283</v>
      </c>
      <c r="AH4702">
        <v>28.485333569397799</v>
      </c>
      <c r="AI4702">
        <v>92.200632385599206</v>
      </c>
      <c r="AJ4702">
        <v>99.344927335202399</v>
      </c>
      <c r="AK4702">
        <v>28.889762071469502</v>
      </c>
      <c r="AL4702">
        <v>86.3641908760316</v>
      </c>
      <c r="AM4702">
        <v>87.176576600544294</v>
      </c>
      <c r="AN4702">
        <v>0.99999998310104399</v>
      </c>
    </row>
    <row r="4703" spans="1:40" x14ac:dyDescent="0.25">
      <c r="A4703" t="str">
        <f>"20190312154654428"</f>
        <v>20190312154654428</v>
      </c>
      <c r="B4703" t="str">
        <f>"1552376814422576"</f>
        <v>1552376814422576</v>
      </c>
      <c r="C4703" t="s">
        <v>40</v>
      </c>
      <c r="D4703">
        <v>4.9460430000000004</v>
      </c>
      <c r="E4703">
        <v>0.41469050000000002</v>
      </c>
      <c r="F4703" t="s">
        <v>81</v>
      </c>
      <c r="G4703">
        <v>-362.8972</v>
      </c>
      <c r="H4703" s="1">
        <v>-3.683723E-6</v>
      </c>
      <c r="I4703">
        <v>17.779810000000001</v>
      </c>
      <c r="J4703">
        <v>-390.25150000000002</v>
      </c>
      <c r="K4703">
        <v>1.109362</v>
      </c>
      <c r="L4703">
        <v>20.623380000000001</v>
      </c>
      <c r="M4703">
        <v>0.96187140000000004</v>
      </c>
      <c r="N4703">
        <v>0</v>
      </c>
      <c r="O4703">
        <v>-0.27347359999999998</v>
      </c>
      <c r="P4703">
        <v>0.94585699999999995</v>
      </c>
      <c r="Q4703">
        <v>5.9358540000000001E-2</v>
      </c>
      <c r="R4703">
        <v>-0.31911040000000002</v>
      </c>
      <c r="S4703">
        <v>3.0714109999999999</v>
      </c>
      <c r="T4703">
        <v>-0.1235826</v>
      </c>
      <c r="U4703">
        <v>-0.32357789999999997</v>
      </c>
      <c r="V4703">
        <v>4.8230040000000002E-2</v>
      </c>
      <c r="W4703">
        <v>6.3359070000000003E-2</v>
      </c>
      <c r="X4703">
        <v>0.99682470000000001</v>
      </c>
      <c r="Y4703">
        <v>-0.1708441</v>
      </c>
      <c r="Z4703">
        <v>1.424945E-2</v>
      </c>
      <c r="AA4703">
        <v>0.98519500000000004</v>
      </c>
      <c r="AB4703">
        <v>23</v>
      </c>
      <c r="AC4703">
        <v>27.354299999999999</v>
      </c>
      <c r="AD4703">
        <v>-1.1093656837229999</v>
      </c>
      <c r="AE4703">
        <v>-2.8435699999999899</v>
      </c>
      <c r="AF4703">
        <v>-4.73785800118221</v>
      </c>
      <c r="AG4703">
        <v>-1.1093656837229999</v>
      </c>
      <c r="AH4703">
        <v>27.0451646426474</v>
      </c>
      <c r="AI4703">
        <v>92.313703603981907</v>
      </c>
      <c r="AJ4703">
        <v>99.936428872887205</v>
      </c>
      <c r="AK4703">
        <v>27.479427235797601</v>
      </c>
      <c r="AL4703">
        <v>86.367359447098707</v>
      </c>
      <c r="AM4703">
        <v>87.229979930955494</v>
      </c>
      <c r="AN4703">
        <v>0.99999999551987795</v>
      </c>
    </row>
    <row r="4704" spans="1:40" x14ac:dyDescent="0.25">
      <c r="A4704" t="str">
        <f>"20190312154654441"</f>
        <v>20190312154654441</v>
      </c>
      <c r="B4704" t="str">
        <f>"1552376814432334"</f>
        <v>1552376814432334</v>
      </c>
      <c r="C4704" t="s">
        <v>40</v>
      </c>
      <c r="D4704">
        <v>4.9774830000000003</v>
      </c>
      <c r="E4704">
        <v>0.41401389999999999</v>
      </c>
      <c r="F4704" t="s">
        <v>81</v>
      </c>
      <c r="G4704">
        <v>-364.15019999999998</v>
      </c>
      <c r="H4704" s="1">
        <v>-3.0451310000000001E-6</v>
      </c>
      <c r="I4704">
        <v>18.040800000000001</v>
      </c>
      <c r="J4704">
        <v>-390.12180000000001</v>
      </c>
      <c r="K4704">
        <v>1.10938</v>
      </c>
      <c r="L4704">
        <v>20.586790000000001</v>
      </c>
      <c r="M4704">
        <v>0.96195160000000002</v>
      </c>
      <c r="N4704">
        <v>0</v>
      </c>
      <c r="O4704">
        <v>-0.27318999999999999</v>
      </c>
      <c r="P4704">
        <v>0.94623769999999996</v>
      </c>
      <c r="Q4704">
        <v>5.9302729999999998E-2</v>
      </c>
      <c r="R4704">
        <v>-0.3179902</v>
      </c>
      <c r="S4704">
        <v>3.0772089999999999</v>
      </c>
      <c r="T4704">
        <v>-0.1307886</v>
      </c>
      <c r="U4704">
        <v>-0.30447390000000002</v>
      </c>
      <c r="V4704">
        <v>4.7341899999999999E-2</v>
      </c>
      <c r="W4704">
        <v>6.3398090000000004E-2</v>
      </c>
      <c r="X4704">
        <v>0.9968648</v>
      </c>
      <c r="Y4704">
        <v>-0.1767514</v>
      </c>
      <c r="Z4704">
        <v>1.517217E-2</v>
      </c>
      <c r="AA4704">
        <v>0.98413859999999997</v>
      </c>
      <c r="AB4704">
        <v>23</v>
      </c>
      <c r="AC4704">
        <v>25.971599999999999</v>
      </c>
      <c r="AD4704">
        <v>-1.1093830451310001</v>
      </c>
      <c r="AE4704">
        <v>-2.5459900000000002</v>
      </c>
      <c r="AF4704">
        <v>-4.6377188177665296</v>
      </c>
      <c r="AG4704">
        <v>-1.1093830451310001</v>
      </c>
      <c r="AH4704">
        <v>25.632846718674799</v>
      </c>
      <c r="AI4704">
        <v>92.438655542260506</v>
      </c>
      <c r="AJ4704">
        <v>100.25550859827599</v>
      </c>
      <c r="AK4704">
        <v>26.072629278163902</v>
      </c>
      <c r="AL4704">
        <v>86.365119283391806</v>
      </c>
      <c r="AM4704">
        <v>87.281020865959704</v>
      </c>
      <c r="AN4704">
        <v>1.00000000139514</v>
      </c>
    </row>
    <row r="4705" spans="1:40" x14ac:dyDescent="0.25">
      <c r="A4705" t="str">
        <f>"20190312154654453"</f>
        <v>20190312154654453</v>
      </c>
      <c r="B4705" t="str">
        <f>"1552376814442094"</f>
        <v>1552376814442094</v>
      </c>
      <c r="C4705" t="s">
        <v>40</v>
      </c>
      <c r="D4705">
        <v>4.6870710000000004</v>
      </c>
      <c r="E4705">
        <v>0.41342859999999998</v>
      </c>
      <c r="F4705" t="s">
        <v>81</v>
      </c>
      <c r="G4705">
        <v>-364.27260000000001</v>
      </c>
      <c r="H4705" s="1">
        <v>-2.9756980000000001E-6</v>
      </c>
      <c r="I4705">
        <v>18.106010000000001</v>
      </c>
      <c r="J4705">
        <v>-390.00040000000001</v>
      </c>
      <c r="K4705">
        <v>1.109402</v>
      </c>
      <c r="L4705">
        <v>20.552669999999999</v>
      </c>
      <c r="M4705">
        <v>0.96202650000000001</v>
      </c>
      <c r="N4705">
        <v>0</v>
      </c>
      <c r="O4705">
        <v>-0.27292470000000002</v>
      </c>
      <c r="P4705">
        <v>0.94648239999999995</v>
      </c>
      <c r="Q4705">
        <v>5.9076179999999999E-2</v>
      </c>
      <c r="R4705">
        <v>-0.31730360000000002</v>
      </c>
      <c r="S4705">
        <v>3.0793759999999999</v>
      </c>
      <c r="T4705">
        <v>-0.13215959999999999</v>
      </c>
      <c r="U4705">
        <v>-0.29553220000000002</v>
      </c>
      <c r="V4705">
        <v>4.6889140000000003E-2</v>
      </c>
      <c r="W4705">
        <v>6.3269119999999998E-2</v>
      </c>
      <c r="X4705">
        <v>0.99689439999999996</v>
      </c>
      <c r="Y4705">
        <v>-0.1793681</v>
      </c>
      <c r="Z4705">
        <v>1.5368720000000001E-2</v>
      </c>
      <c r="AA4705">
        <v>0.98366189999999998</v>
      </c>
      <c r="AB4705">
        <v>23</v>
      </c>
      <c r="AC4705">
        <v>25.727799999999998</v>
      </c>
      <c r="AD4705">
        <v>-1.109404975698</v>
      </c>
      <c r="AE4705">
        <v>-2.4466600000000001</v>
      </c>
      <c r="AF4705">
        <v>-4.6594541214987499</v>
      </c>
      <c r="AG4705">
        <v>-1.109404975698</v>
      </c>
      <c r="AH4705">
        <v>25.3720427604806</v>
      </c>
      <c r="AI4705">
        <v>92.462561837119495</v>
      </c>
      <c r="AJ4705">
        <v>100.40614500304</v>
      </c>
      <c r="AK4705">
        <v>25.8201829186028</v>
      </c>
      <c r="AL4705">
        <v>86.372523612020601</v>
      </c>
      <c r="AM4705">
        <v>87.307065531539706</v>
      </c>
      <c r="AN4705">
        <v>1.00000000887343</v>
      </c>
    </row>
    <row r="4706" spans="1:40" x14ac:dyDescent="0.25">
      <c r="A4706" t="str">
        <f>"20190312154654473"</f>
        <v>20190312154654473</v>
      </c>
      <c r="B4706" t="str">
        <f>"1552376814462589"</f>
        <v>1552376814462589</v>
      </c>
      <c r="C4706" t="s">
        <v>40</v>
      </c>
      <c r="D4706">
        <v>4.6681589999999904</v>
      </c>
      <c r="E4706">
        <v>0.41262209999999999</v>
      </c>
      <c r="F4706" t="s">
        <v>81</v>
      </c>
      <c r="G4706">
        <v>-364.30590000000001</v>
      </c>
      <c r="H4706" s="1">
        <v>-2.953278E-6</v>
      </c>
      <c r="I4706">
        <v>18.143830000000001</v>
      </c>
      <c r="J4706">
        <v>-389.79379999999998</v>
      </c>
      <c r="K4706">
        <v>1.1094269999999999</v>
      </c>
      <c r="L4706">
        <v>20.49457</v>
      </c>
      <c r="M4706">
        <v>0.96215360000000005</v>
      </c>
      <c r="N4706">
        <v>0</v>
      </c>
      <c r="O4706">
        <v>-0.27247290000000002</v>
      </c>
      <c r="P4706">
        <v>0.94680960000000003</v>
      </c>
      <c r="Q4706">
        <v>5.879761E-2</v>
      </c>
      <c r="R4706">
        <v>-0.31637769999999998</v>
      </c>
      <c r="S4706">
        <v>3.0810849999999999</v>
      </c>
      <c r="T4706">
        <v>-0.13303099999999901</v>
      </c>
      <c r="U4706">
        <v>-0.28884890000000002</v>
      </c>
      <c r="V4706">
        <v>4.6376920000000002E-2</v>
      </c>
      <c r="W4706">
        <v>6.3168719999999998E-2</v>
      </c>
      <c r="X4706">
        <v>0.9969247</v>
      </c>
      <c r="Y4706">
        <v>-0.18106649999999999</v>
      </c>
      <c r="Z4706">
        <v>1.5481699999999999E-2</v>
      </c>
      <c r="AA4706">
        <v>0.98334900000000003</v>
      </c>
      <c r="AB4706">
        <v>23</v>
      </c>
      <c r="AC4706">
        <v>25.4878999999999</v>
      </c>
      <c r="AD4706">
        <v>-1.1094299532780001</v>
      </c>
      <c r="AE4706">
        <v>-2.3507400000000001</v>
      </c>
      <c r="AF4706">
        <v>-4.6742520615534398</v>
      </c>
      <c r="AG4706">
        <v>-1.1094299532780001</v>
      </c>
      <c r="AH4706">
        <v>25.116839822762302</v>
      </c>
      <c r="AI4706">
        <v>92.486517522108201</v>
      </c>
      <c r="AJ4706">
        <v>100.542163843522</v>
      </c>
      <c r="AK4706">
        <v>25.5721549705626</v>
      </c>
      <c r="AL4706">
        <v>86.378287539503006</v>
      </c>
      <c r="AM4706">
        <v>87.336521561448194</v>
      </c>
      <c r="AN4706">
        <v>0.99999998168260695</v>
      </c>
    </row>
    <row r="4707" spans="1:40" x14ac:dyDescent="0.25">
      <c r="A4707" t="str">
        <f>"20190312154654495"</f>
        <v>20190312154654495</v>
      </c>
      <c r="B4707" t="str">
        <f>"1552376814492845"</f>
        <v>1552376814492845</v>
      </c>
      <c r="C4707" t="s">
        <v>40</v>
      </c>
      <c r="D4707">
        <v>4.6484680000000003</v>
      </c>
      <c r="E4707">
        <v>0.41195379999999998</v>
      </c>
      <c r="F4707" t="s">
        <v>81</v>
      </c>
      <c r="G4707">
        <v>-365.4769</v>
      </c>
      <c r="H4707" s="1">
        <v>-2.3740940000000001E-6</v>
      </c>
      <c r="I4707">
        <v>18.288340000000002</v>
      </c>
      <c r="J4707">
        <v>-389.57260000000002</v>
      </c>
      <c r="K4707">
        <v>1.1094569999999999</v>
      </c>
      <c r="L4707">
        <v>20.432459999999999</v>
      </c>
      <c r="M4707">
        <v>0.96228959999999997</v>
      </c>
      <c r="N4707">
        <v>0</v>
      </c>
      <c r="O4707">
        <v>-0.27198939999999999</v>
      </c>
      <c r="P4707">
        <v>0.94711500000000004</v>
      </c>
      <c r="Q4707">
        <v>5.8305410000000002E-2</v>
      </c>
      <c r="R4707">
        <v>-0.31555349999999999</v>
      </c>
      <c r="S4707">
        <v>3.083771</v>
      </c>
      <c r="T4707">
        <v>-0.1406935</v>
      </c>
      <c r="U4707">
        <v>-0.27978520000000001</v>
      </c>
      <c r="V4707">
        <v>4.600129E-2</v>
      </c>
      <c r="W4707">
        <v>6.2887929999999995E-2</v>
      </c>
      <c r="X4707">
        <v>0.99695990000000001</v>
      </c>
      <c r="Y4707">
        <v>-0.1834673</v>
      </c>
      <c r="Z4707">
        <v>1.6395219999999999E-2</v>
      </c>
      <c r="AA4707">
        <v>0.98288909999999996</v>
      </c>
      <c r="AB4707">
        <v>24</v>
      </c>
      <c r="AC4707">
        <v>24.095700000000001</v>
      </c>
      <c r="AD4707">
        <v>-1.109459374094</v>
      </c>
      <c r="AE4707">
        <v>-2.14412</v>
      </c>
      <c r="AF4707">
        <v>-4.4811310813171801</v>
      </c>
      <c r="AG4707">
        <v>-1.109459374094</v>
      </c>
      <c r="AH4707">
        <v>23.720569523732401</v>
      </c>
      <c r="AI4707">
        <v>92.631412322443296</v>
      </c>
      <c r="AJ4707">
        <v>100.697861234268</v>
      </c>
      <c r="AK4707">
        <v>24.1656130565921</v>
      </c>
      <c r="AL4707">
        <v>86.394407833959804</v>
      </c>
      <c r="AM4707">
        <v>87.358156870504104</v>
      </c>
      <c r="AN4707">
        <v>1.00000002631467</v>
      </c>
    </row>
    <row r="4708" spans="1:40" x14ac:dyDescent="0.25">
      <c r="A4708" t="str">
        <f>"20190312154654507"</f>
        <v>20190312154654507</v>
      </c>
      <c r="B4708" t="str">
        <f>"1552376814502606"</f>
        <v>1552376814502606</v>
      </c>
      <c r="C4708" t="s">
        <v>40</v>
      </c>
      <c r="D4708">
        <v>4.6640220000000001</v>
      </c>
      <c r="E4708">
        <v>0.41189609999999899</v>
      </c>
      <c r="F4708" t="s">
        <v>81</v>
      </c>
      <c r="G4708">
        <v>-366.8098</v>
      </c>
      <c r="H4708" s="1">
        <v>-1.7196269999999999E-6</v>
      </c>
      <c r="I4708">
        <v>18.425989999999999</v>
      </c>
      <c r="J4708">
        <v>-389.45100000000002</v>
      </c>
      <c r="K4708">
        <v>1.10947</v>
      </c>
      <c r="L4708">
        <v>20.398409999999998</v>
      </c>
      <c r="M4708">
        <v>0.96236379999999999</v>
      </c>
      <c r="N4708">
        <v>0</v>
      </c>
      <c r="O4708">
        <v>-0.27172400000000002</v>
      </c>
      <c r="P4708">
        <v>0.94723389999999996</v>
      </c>
      <c r="Q4708">
        <v>5.8324800000000003E-2</v>
      </c>
      <c r="R4708">
        <v>-0.31519249999999999</v>
      </c>
      <c r="S4708">
        <v>3.0861510000000001</v>
      </c>
      <c r="T4708">
        <v>-0.15041889999999999</v>
      </c>
      <c r="U4708">
        <v>-0.27203369999999999</v>
      </c>
      <c r="V4708">
        <v>4.5896239999999998E-2</v>
      </c>
      <c r="W4708">
        <v>6.3030219999999998E-2</v>
      </c>
      <c r="X4708">
        <v>0.99695579999999995</v>
      </c>
      <c r="Y4708">
        <v>-0.18564559999999999</v>
      </c>
      <c r="Z4708">
        <v>1.7557389999999999E-2</v>
      </c>
      <c r="AA4708">
        <v>0.98245990000000005</v>
      </c>
      <c r="AB4708">
        <v>24</v>
      </c>
      <c r="AC4708">
        <v>22.641199999999898</v>
      </c>
      <c r="AD4708">
        <v>-1.1094717196269901</v>
      </c>
      <c r="AE4708">
        <v>-1.9724200000000001</v>
      </c>
      <c r="AF4708">
        <v>-4.2439047525623304</v>
      </c>
      <c r="AG4708">
        <v>-1.1094717196269901</v>
      </c>
      <c r="AH4708">
        <v>22.272192709780398</v>
      </c>
      <c r="AI4708">
        <v>92.801464563515694</v>
      </c>
      <c r="AJ4708">
        <v>100.78822588936499</v>
      </c>
      <c r="AK4708">
        <v>22.700048967944301</v>
      </c>
      <c r="AL4708">
        <v>86.386239170875797</v>
      </c>
      <c r="AM4708">
        <v>87.364170524384406</v>
      </c>
      <c r="AN4708">
        <v>1.0000000703165099</v>
      </c>
    </row>
    <row r="4709" spans="1:40" x14ac:dyDescent="0.25">
      <c r="A4709" t="str">
        <f>"20190312154654520"</f>
        <v>20190312154654520</v>
      </c>
      <c r="B4709" t="str">
        <f>"1552376814512366"</f>
        <v>1552376814512366</v>
      </c>
      <c r="C4709" t="s">
        <v>40</v>
      </c>
      <c r="D4709">
        <v>4.6391730000000004</v>
      </c>
      <c r="E4709">
        <v>0.4117498</v>
      </c>
      <c r="F4709" t="s">
        <v>81</v>
      </c>
      <c r="G4709">
        <v>-367.20060000000001</v>
      </c>
      <c r="H4709" s="1">
        <v>-1.530962E-6</v>
      </c>
      <c r="I4709">
        <v>18.448149999999998</v>
      </c>
      <c r="J4709">
        <v>-389.31709999999998</v>
      </c>
      <c r="K4709">
        <v>1.1094919999999999</v>
      </c>
      <c r="L4709">
        <v>20.36093</v>
      </c>
      <c r="M4709">
        <v>0.96244569999999996</v>
      </c>
      <c r="N4709">
        <v>0</v>
      </c>
      <c r="O4709">
        <v>-0.2714316</v>
      </c>
      <c r="P4709">
        <v>0.94739879999999999</v>
      </c>
      <c r="Q4709">
        <v>5.8039680000000003E-2</v>
      </c>
      <c r="R4709">
        <v>-0.31474859999999999</v>
      </c>
      <c r="S4709">
        <v>3.0865779999999998</v>
      </c>
      <c r="T4709">
        <v>-0.1539055</v>
      </c>
      <c r="U4709">
        <v>-0.27053829999999901</v>
      </c>
      <c r="V4709">
        <v>4.5727039999999997E-2</v>
      </c>
      <c r="W4709">
        <v>6.2886510000000007E-2</v>
      </c>
      <c r="X4709">
        <v>0.99697259999999999</v>
      </c>
      <c r="Y4709">
        <v>-0.185807</v>
      </c>
      <c r="Z4709">
        <v>1.7951979999999999E-2</v>
      </c>
      <c r="AA4709">
        <v>0.98242220000000002</v>
      </c>
      <c r="AB4709">
        <v>24</v>
      </c>
      <c r="AC4709">
        <v>22.116499999999899</v>
      </c>
      <c r="AD4709">
        <v>-1.109493530962</v>
      </c>
      <c r="AE4709">
        <v>-1.9127799999999999</v>
      </c>
      <c r="AF4709">
        <v>-4.1518472704897702</v>
      </c>
      <c r="AG4709">
        <v>-1.109493530962</v>
      </c>
      <c r="AH4709">
        <v>21.751039195386699</v>
      </c>
      <c r="AI4709">
        <v>92.868357405331693</v>
      </c>
      <c r="AJ4709">
        <v>100.806645399806</v>
      </c>
      <c r="AK4709">
        <v>22.171524930233598</v>
      </c>
      <c r="AL4709">
        <v>86.3944893333896</v>
      </c>
      <c r="AM4709">
        <v>87.373918273659896</v>
      </c>
      <c r="AN4709">
        <v>1.0000000202389501</v>
      </c>
    </row>
    <row r="4710" spans="1:40" x14ac:dyDescent="0.25">
      <c r="A4710" t="str">
        <f>"20190312154654542"</f>
        <v>20190312154654542</v>
      </c>
      <c r="B4710" t="str">
        <f>"1552376814532862"</f>
        <v>1552376814532862</v>
      </c>
      <c r="C4710" t="s">
        <v>40</v>
      </c>
      <c r="D4710">
        <v>5.0096769999999999</v>
      </c>
      <c r="E4710">
        <v>0.41169099999999997</v>
      </c>
      <c r="F4710" t="s">
        <v>81</v>
      </c>
      <c r="G4710">
        <v>-367.60570000000001</v>
      </c>
      <c r="H4710" s="1">
        <v>-1.3344619999999999E-6</v>
      </c>
      <c r="I4710">
        <v>18.47634</v>
      </c>
      <c r="J4710">
        <v>-389.09589999999997</v>
      </c>
      <c r="K4710">
        <v>1.109521</v>
      </c>
      <c r="L4710">
        <v>20.299099999999999</v>
      </c>
      <c r="M4710">
        <v>0.9625804</v>
      </c>
      <c r="N4710">
        <v>0</v>
      </c>
      <c r="O4710">
        <v>-0.27094960000000001</v>
      </c>
      <c r="P4710">
        <v>0.94754179999999999</v>
      </c>
      <c r="Q4710">
        <v>5.8568250000000002E-2</v>
      </c>
      <c r="R4710">
        <v>-0.31422109999999998</v>
      </c>
      <c r="S4710">
        <v>3.087189</v>
      </c>
      <c r="T4710">
        <v>-0.15776109999999999</v>
      </c>
      <c r="U4710">
        <v>-0.26797490000000002</v>
      </c>
      <c r="V4710">
        <v>4.5678160000000002E-2</v>
      </c>
      <c r="W4710">
        <v>6.3658859999999998E-2</v>
      </c>
      <c r="X4710">
        <v>0.99692579999999997</v>
      </c>
      <c r="Y4710">
        <v>-0.186114</v>
      </c>
      <c r="Z4710">
        <v>1.838269E-2</v>
      </c>
      <c r="AA4710">
        <v>0.98235620000000001</v>
      </c>
      <c r="AB4710">
        <v>24</v>
      </c>
      <c r="AC4710">
        <v>21.490199999999898</v>
      </c>
      <c r="AD4710">
        <v>-1.109522334462</v>
      </c>
      <c r="AE4710">
        <v>-1.8227599999999899</v>
      </c>
      <c r="AF4710">
        <v>-4.0575211025617701</v>
      </c>
      <c r="AG4710">
        <v>-1.109522334462</v>
      </c>
      <c r="AH4710">
        <v>21.124283006543301</v>
      </c>
      <c r="AI4710">
        <v>92.952737075786501</v>
      </c>
      <c r="AJ4710">
        <v>100.872864418463</v>
      </c>
      <c r="AK4710">
        <v>21.539030847485598</v>
      </c>
      <c r="AL4710">
        <v>86.350148008000701</v>
      </c>
      <c r="AM4710">
        <v>87.376598528922102</v>
      </c>
      <c r="AN4710">
        <v>0.99999999773156201</v>
      </c>
    </row>
    <row r="4711" spans="1:40" x14ac:dyDescent="0.25">
      <c r="A4711" t="str">
        <f>"20190312154654565"</f>
        <v>20190312154654565</v>
      </c>
      <c r="B4711" t="str">
        <f>"1552376814552387"</f>
        <v>1552376814552387</v>
      </c>
      <c r="C4711" t="s">
        <v>40</v>
      </c>
      <c r="D4711">
        <v>4.6515110000000002</v>
      </c>
      <c r="E4711">
        <v>0.41157650000000001</v>
      </c>
      <c r="F4711" t="s">
        <v>81</v>
      </c>
      <c r="G4711">
        <v>-367.67489999999998</v>
      </c>
      <c r="H4711" s="1">
        <v>-1.3056090000000001E-6</v>
      </c>
      <c r="I4711">
        <v>18.454499999999999</v>
      </c>
      <c r="J4711">
        <v>-388.87110000000001</v>
      </c>
      <c r="K4711">
        <v>1.109551</v>
      </c>
      <c r="L4711">
        <v>20.236419999999999</v>
      </c>
      <c r="M4711">
        <v>0.96271660000000003</v>
      </c>
      <c r="N4711">
        <v>0</v>
      </c>
      <c r="O4711">
        <v>-0.27045989999999998</v>
      </c>
      <c r="P4711">
        <v>0.94772690000000004</v>
      </c>
      <c r="Q4711">
        <v>5.8595000000000001E-2</v>
      </c>
      <c r="R4711">
        <v>-0.31365660000000001</v>
      </c>
      <c r="S4711">
        <v>3.0878299999999999</v>
      </c>
      <c r="T4711">
        <v>-0.15993760000000001</v>
      </c>
      <c r="U4711">
        <v>-0.26589970000000002</v>
      </c>
      <c r="V4711">
        <v>4.5591180000000002E-2</v>
      </c>
      <c r="W4711">
        <v>6.3938659999999994E-2</v>
      </c>
      <c r="X4711">
        <v>0.99691189999999996</v>
      </c>
      <c r="Y4711">
        <v>-0.18627199999999999</v>
      </c>
      <c r="Z4711">
        <v>1.8612670000000001E-2</v>
      </c>
      <c r="AA4711">
        <v>0.98232189999999997</v>
      </c>
      <c r="AB4711">
        <v>24</v>
      </c>
      <c r="AC4711">
        <v>21.196200000000001</v>
      </c>
      <c r="AD4711">
        <v>-1.109552305609</v>
      </c>
      <c r="AE4711">
        <v>-1.7819199999999999</v>
      </c>
      <c r="AF4711">
        <v>-4.0063935861841902</v>
      </c>
      <c r="AG4711">
        <v>-1.109552305609</v>
      </c>
      <c r="AH4711">
        <v>20.8314844438124</v>
      </c>
      <c r="AI4711">
        <v>92.994109275184002</v>
      </c>
      <c r="AJ4711">
        <v>100.886425895309</v>
      </c>
      <c r="AK4711">
        <v>21.242246585968601</v>
      </c>
      <c r="AL4711">
        <v>86.334084012426302</v>
      </c>
      <c r="AM4711">
        <v>87.3815505728967</v>
      </c>
      <c r="AN4711">
        <v>1.00000002214899</v>
      </c>
    </row>
    <row r="4712" spans="1:40" x14ac:dyDescent="0.25">
      <c r="A4712" t="str">
        <f>"20190312154654587"</f>
        <v>20190312154654587</v>
      </c>
      <c r="B4712" t="str">
        <f>"1552376814582642"</f>
        <v>1552376814582642</v>
      </c>
      <c r="C4712" t="s">
        <v>40</v>
      </c>
      <c r="D4712">
        <v>4.6234469999999996</v>
      </c>
      <c r="E4712">
        <v>0.41163260000000002</v>
      </c>
      <c r="F4712" t="s">
        <v>81</v>
      </c>
      <c r="G4712">
        <v>-367.58229999999998</v>
      </c>
      <c r="H4712" s="1">
        <v>-1.3549689999999999E-6</v>
      </c>
      <c r="I4712">
        <v>18.42306</v>
      </c>
      <c r="J4712">
        <v>-388.63479999999998</v>
      </c>
      <c r="K4712">
        <v>1.1095649999999999</v>
      </c>
      <c r="L4712">
        <v>20.170649999999998</v>
      </c>
      <c r="M4712">
        <v>0.96285960000000004</v>
      </c>
      <c r="N4712">
        <v>0</v>
      </c>
      <c r="O4712">
        <v>-0.2699454</v>
      </c>
      <c r="P4712">
        <v>0.94794140000000005</v>
      </c>
      <c r="Q4712">
        <v>5.8262620000000001E-2</v>
      </c>
      <c r="R4712">
        <v>-0.31307020000000002</v>
      </c>
      <c r="S4712">
        <v>3.0883479999999999</v>
      </c>
      <c r="T4712">
        <v>-0.16096170000000001</v>
      </c>
      <c r="U4712">
        <v>-0.2630615</v>
      </c>
      <c r="V4712">
        <v>4.5500800000000001E-2</v>
      </c>
      <c r="W4712">
        <v>6.3858730000000002E-2</v>
      </c>
      <c r="X4712">
        <v>0.9969211</v>
      </c>
      <c r="Y4712">
        <v>-0.18665019999999999</v>
      </c>
      <c r="Z4712">
        <v>1.8713759999999999E-2</v>
      </c>
      <c r="AA4712">
        <v>0.98224820000000002</v>
      </c>
      <c r="AB4712">
        <v>24</v>
      </c>
      <c r="AC4712">
        <v>21.052499999999998</v>
      </c>
      <c r="AD4712">
        <v>-1.10956635496899</v>
      </c>
      <c r="AE4712">
        <v>-1.74758999999999</v>
      </c>
      <c r="AF4712">
        <v>-3.9893976112338398</v>
      </c>
      <c r="AG4712">
        <v>-1.10956635496899</v>
      </c>
      <c r="AH4712">
        <v>20.685608782940001</v>
      </c>
      <c r="AI4712">
        <v>93.014924326200202</v>
      </c>
      <c r="AJ4712">
        <v>100.915963089371</v>
      </c>
      <c r="AK4712">
        <v>21.095991124321198</v>
      </c>
      <c r="AL4712">
        <v>86.338672850649004</v>
      </c>
      <c r="AM4712">
        <v>87.386758269438204</v>
      </c>
      <c r="AN4712">
        <v>0.99999996991153095</v>
      </c>
    </row>
    <row r="4713" spans="1:40" x14ac:dyDescent="0.25">
      <c r="A4713" t="str">
        <f>"20190312154654607"</f>
        <v>20190312154654607</v>
      </c>
      <c r="B4713" t="str">
        <f>"1552376814602163"</f>
        <v>1552376814602163</v>
      </c>
      <c r="C4713" t="s">
        <v>40</v>
      </c>
      <c r="D4713">
        <v>4.6563739999999996</v>
      </c>
      <c r="E4713">
        <v>0.41160269999999999</v>
      </c>
      <c r="F4713" t="s">
        <v>81</v>
      </c>
      <c r="G4713">
        <v>-367.94940000000003</v>
      </c>
      <c r="H4713" s="1">
        <v>-1.1819320000000001E-6</v>
      </c>
      <c r="I4713">
        <v>18.420300000000001</v>
      </c>
      <c r="J4713">
        <v>-388.42180000000002</v>
      </c>
      <c r="K4713">
        <v>1.109575</v>
      </c>
      <c r="L4713">
        <v>20.11148</v>
      </c>
      <c r="M4713">
        <v>0.96298819999999996</v>
      </c>
      <c r="N4713">
        <v>0</v>
      </c>
      <c r="O4713">
        <v>-0.26948149999999998</v>
      </c>
      <c r="P4713">
        <v>0.94805070000000002</v>
      </c>
      <c r="Q4713">
        <v>5.7842890000000001E-2</v>
      </c>
      <c r="R4713">
        <v>-0.31281629999999999</v>
      </c>
      <c r="S4713">
        <v>3.0886230000000001</v>
      </c>
      <c r="T4713">
        <v>-0.16567399999999999</v>
      </c>
      <c r="U4713">
        <v>-0.26135249999999999</v>
      </c>
      <c r="V4713">
        <v>4.570664E-2</v>
      </c>
      <c r="W4713">
        <v>6.3647910000000002E-2</v>
      </c>
      <c r="X4713">
        <v>0.99692519999999996</v>
      </c>
      <c r="Y4713">
        <v>-0.18668899999999999</v>
      </c>
      <c r="Z4713">
        <v>1.9236940000000001E-2</v>
      </c>
      <c r="AA4713">
        <v>0.98223070000000001</v>
      </c>
      <c r="AB4713">
        <v>24</v>
      </c>
      <c r="AC4713">
        <v>20.4724</v>
      </c>
      <c r="AD4713">
        <v>-1.109576181932</v>
      </c>
      <c r="AE4713">
        <v>-1.6911799999999899</v>
      </c>
      <c r="AF4713">
        <v>-3.8770999473363599</v>
      </c>
      <c r="AG4713">
        <v>-1.109576181932</v>
      </c>
      <c r="AH4713">
        <v>20.112080031734202</v>
      </c>
      <c r="AI4713">
        <v>93.100810044947295</v>
      </c>
      <c r="AJ4713">
        <v>100.911327445013</v>
      </c>
      <c r="AK4713">
        <v>20.512406648368401</v>
      </c>
      <c r="AL4713">
        <v>86.350776694184106</v>
      </c>
      <c r="AM4713">
        <v>87.374963566790896</v>
      </c>
      <c r="AN4713">
        <v>1.00000000389124</v>
      </c>
    </row>
    <row r="4714" spans="1:40" x14ac:dyDescent="0.25">
      <c r="A4714" t="str">
        <f>"20190312154654629"</f>
        <v>20190312154654629</v>
      </c>
      <c r="B4714" t="str">
        <f>"1552376814622665"</f>
        <v>1552376814622665</v>
      </c>
      <c r="C4714" t="s">
        <v>40</v>
      </c>
      <c r="D4714">
        <v>4.7011830000000003</v>
      </c>
      <c r="E4714">
        <v>0.41152719999999998</v>
      </c>
      <c r="F4714" t="s">
        <v>81</v>
      </c>
      <c r="G4714">
        <v>-368.15699999999998</v>
      </c>
      <c r="H4714" s="1">
        <v>-1.086441E-6</v>
      </c>
      <c r="I4714">
        <v>18.405480000000001</v>
      </c>
      <c r="J4714">
        <v>-388.18860000000001</v>
      </c>
      <c r="K4714">
        <v>1.109588</v>
      </c>
      <c r="L4714">
        <v>20.046810000000001</v>
      </c>
      <c r="M4714">
        <v>0.96312880000000001</v>
      </c>
      <c r="N4714">
        <v>0</v>
      </c>
      <c r="O4714">
        <v>-0.2689744</v>
      </c>
      <c r="P4714">
        <v>0.9480999</v>
      </c>
      <c r="Q4714">
        <v>5.7478059999999997E-2</v>
      </c>
      <c r="R4714">
        <v>-0.31273479999999998</v>
      </c>
      <c r="S4714">
        <v>3.0888979999999999</v>
      </c>
      <c r="T4714">
        <v>-0.16912849999999999</v>
      </c>
      <c r="U4714">
        <v>-0.2600403</v>
      </c>
      <c r="V4714">
        <v>4.613979E-2</v>
      </c>
      <c r="W4714">
        <v>6.349088E-2</v>
      </c>
      <c r="X4714">
        <v>0.99691529999999995</v>
      </c>
      <c r="Y4714">
        <v>-0.1865677</v>
      </c>
      <c r="Z4714">
        <v>1.960626E-2</v>
      </c>
      <c r="AA4714">
        <v>0.98224650000000002</v>
      </c>
      <c r="AB4714">
        <v>24</v>
      </c>
      <c r="AC4714">
        <v>20.031600000000001</v>
      </c>
      <c r="AD4714">
        <v>-1.1095890864409901</v>
      </c>
      <c r="AE4714">
        <v>-1.64133</v>
      </c>
      <c r="AF4714">
        <v>-3.7956748575456301</v>
      </c>
      <c r="AG4714">
        <v>-1.1095890864409901</v>
      </c>
      <c r="AH4714">
        <v>19.6748735932579</v>
      </c>
      <c r="AI4714">
        <v>93.169527298950797</v>
      </c>
      <c r="AJ4714">
        <v>100.919349761387</v>
      </c>
      <c r="AK4714">
        <v>20.0683578420266</v>
      </c>
      <c r="AL4714">
        <v>86.359792229936204</v>
      </c>
      <c r="AM4714">
        <v>87.350095791040502</v>
      </c>
      <c r="AN4714">
        <v>1.00000004371925</v>
      </c>
    </row>
    <row r="4715" spans="1:40" x14ac:dyDescent="0.25">
      <c r="A4715" t="str">
        <f>"20190312154654641"</f>
        <v>20190312154654641</v>
      </c>
      <c r="B4715" t="str">
        <f>"1552376814632419"</f>
        <v>1552376814632419</v>
      </c>
      <c r="C4715" t="s">
        <v>40</v>
      </c>
      <c r="D4715">
        <v>4.7022309999999896</v>
      </c>
      <c r="E4715">
        <v>0.41148509999999999</v>
      </c>
      <c r="F4715" t="s">
        <v>81</v>
      </c>
      <c r="G4715">
        <v>-368.20890000000003</v>
      </c>
      <c r="H4715" s="1">
        <v>-1.067756E-6</v>
      </c>
      <c r="I4715">
        <v>18.372479999999999</v>
      </c>
      <c r="J4715">
        <v>-388.0548</v>
      </c>
      <c r="K4715">
        <v>1.1095900000000001</v>
      </c>
      <c r="L4715">
        <v>20.009799999999998</v>
      </c>
      <c r="M4715">
        <v>0.96320930000000005</v>
      </c>
      <c r="N4715">
        <v>0</v>
      </c>
      <c r="O4715">
        <v>-0.26868350000000002</v>
      </c>
      <c r="P4715">
        <v>0.94820280000000001</v>
      </c>
      <c r="Q4715">
        <v>5.7303109999999997E-2</v>
      </c>
      <c r="R4715">
        <v>-0.31245410000000001</v>
      </c>
      <c r="S4715">
        <v>3.0892029999999999</v>
      </c>
      <c r="T4715">
        <v>-0.17156109999999999</v>
      </c>
      <c r="U4715">
        <v>-0.25888060000000002</v>
      </c>
      <c r="V4715">
        <v>4.6142740000000002E-2</v>
      </c>
      <c r="W4715">
        <v>6.3427600000000001E-2</v>
      </c>
      <c r="X4715">
        <v>0.99691920000000001</v>
      </c>
      <c r="Y4715">
        <v>-0.1866266</v>
      </c>
      <c r="Z4715">
        <v>1.987245E-2</v>
      </c>
      <c r="AA4715">
        <v>0.98222989999999999</v>
      </c>
      <c r="AB4715">
        <v>24</v>
      </c>
      <c r="AC4715">
        <v>19.845899999999901</v>
      </c>
      <c r="AD4715">
        <v>-1.1095910677559999</v>
      </c>
      <c r="AE4715">
        <v>-1.6373199999999899</v>
      </c>
      <c r="AF4715">
        <v>-3.74363018667183</v>
      </c>
      <c r="AG4715">
        <v>-1.1095910677559999</v>
      </c>
      <c r="AH4715">
        <v>19.495508010621599</v>
      </c>
      <c r="AI4715">
        <v>93.199163547926204</v>
      </c>
      <c r="AJ4715">
        <v>100.869921713446</v>
      </c>
      <c r="AK4715">
        <v>19.882675672665801</v>
      </c>
      <c r="AL4715">
        <v>86.363425259829398</v>
      </c>
      <c r="AM4715">
        <v>87.349936960366193</v>
      </c>
      <c r="AN4715">
        <v>1.0000000521125501</v>
      </c>
    </row>
    <row r="4716" spans="1:40" x14ac:dyDescent="0.25">
      <c r="A4716" t="str">
        <f>"20190312154654653"</f>
        <v>20190312154654653</v>
      </c>
      <c r="B4716" t="str">
        <f>"1552376814642437"</f>
        <v>1552376814642437</v>
      </c>
      <c r="C4716" t="s">
        <v>40</v>
      </c>
      <c r="D4716">
        <v>4.6996409999999997</v>
      </c>
      <c r="E4716">
        <v>0.41146650000000001</v>
      </c>
      <c r="F4716" t="s">
        <v>81</v>
      </c>
      <c r="G4716">
        <v>-368.2774</v>
      </c>
      <c r="H4716" s="1">
        <v>-1.037383E-6</v>
      </c>
      <c r="I4716">
        <v>18.360949999999999</v>
      </c>
      <c r="J4716">
        <v>-387.93860000000001</v>
      </c>
      <c r="K4716">
        <v>1.1095889999999999</v>
      </c>
      <c r="L4716">
        <v>19.97766</v>
      </c>
      <c r="M4716">
        <v>0.9632792</v>
      </c>
      <c r="N4716">
        <v>0</v>
      </c>
      <c r="O4716">
        <v>-0.26843040000000001</v>
      </c>
      <c r="P4716">
        <v>0.94833279999999998</v>
      </c>
      <c r="Q4716">
        <v>5.711952E-2</v>
      </c>
      <c r="R4716">
        <v>-0.31209369999999997</v>
      </c>
      <c r="S4716">
        <v>3.0894469999999998</v>
      </c>
      <c r="T4716">
        <v>-0.17333029999999999</v>
      </c>
      <c r="U4716">
        <v>-0.25756839999999998</v>
      </c>
      <c r="V4716">
        <v>4.6022220000000003E-2</v>
      </c>
      <c r="W4716">
        <v>6.3332890000000003E-2</v>
      </c>
      <c r="X4716">
        <v>0.99693069999999895</v>
      </c>
      <c r="Y4716">
        <v>-0.18677550000000001</v>
      </c>
      <c r="Z4716">
        <v>2.0066549999999999E-2</v>
      </c>
      <c r="AA4716">
        <v>0.9821976</v>
      </c>
      <c r="AB4716">
        <v>24</v>
      </c>
      <c r="AC4716">
        <v>19.661200000000001</v>
      </c>
      <c r="AD4716">
        <v>-1.1095900373830001</v>
      </c>
      <c r="AE4716">
        <v>-1.6167100000000001</v>
      </c>
      <c r="AF4716">
        <v>-3.7086592869179702</v>
      </c>
      <c r="AG4716">
        <v>-1.1095900373830001</v>
      </c>
      <c r="AH4716">
        <v>19.3124736545129</v>
      </c>
      <c r="AI4716">
        <v>93.229411368069293</v>
      </c>
      <c r="AJ4716">
        <v>100.87042621710199</v>
      </c>
      <c r="AK4716">
        <v>19.696623629793901</v>
      </c>
      <c r="AL4716">
        <v>86.368862340623096</v>
      </c>
      <c r="AM4716">
        <v>87.356879264992997</v>
      </c>
      <c r="AN4716">
        <v>0.99999996014598402</v>
      </c>
    </row>
    <row r="4717" spans="1:40" x14ac:dyDescent="0.25">
      <c r="A4717" t="str">
        <f>"20190312154654665"</f>
        <v>20190312154654665</v>
      </c>
      <c r="B4717" t="str">
        <f>"1552376814662933"</f>
        <v>1552376814662933</v>
      </c>
      <c r="C4717" t="s">
        <v>40</v>
      </c>
      <c r="D4717">
        <v>4.7186909999999997</v>
      </c>
      <c r="E4717">
        <v>0.4114254</v>
      </c>
      <c r="F4717" t="s">
        <v>81</v>
      </c>
      <c r="G4717">
        <v>-368.2928</v>
      </c>
      <c r="H4717" s="1">
        <v>-1.0321780000000001E-6</v>
      </c>
      <c r="I4717">
        <v>18.3492</v>
      </c>
      <c r="J4717">
        <v>-387.81009999999998</v>
      </c>
      <c r="K4717">
        <v>1.1095900000000001</v>
      </c>
      <c r="L4717">
        <v>19.942170000000001</v>
      </c>
      <c r="M4717">
        <v>0.9633564</v>
      </c>
      <c r="N4717">
        <v>0</v>
      </c>
      <c r="O4717">
        <v>-0.26815090000000003</v>
      </c>
      <c r="P4717">
        <v>0.94848350000000003</v>
      </c>
      <c r="Q4717">
        <v>5.704977E-2</v>
      </c>
      <c r="R4717">
        <v>-0.31164799999999998</v>
      </c>
      <c r="S4717">
        <v>3.0896300000000001</v>
      </c>
      <c r="T4717">
        <v>-0.1745024</v>
      </c>
      <c r="U4717">
        <v>-0.25610349999999998</v>
      </c>
      <c r="V4717">
        <v>4.584133E-2</v>
      </c>
      <c r="W4717">
        <v>6.335905E-2</v>
      </c>
      <c r="X4717">
        <v>0.99693739999999997</v>
      </c>
      <c r="Y4717">
        <v>-0.1869487</v>
      </c>
      <c r="Z4717">
        <v>2.0191150000000001E-2</v>
      </c>
      <c r="AA4717">
        <v>0.98216219999999999</v>
      </c>
      <c r="AB4717">
        <v>24</v>
      </c>
      <c r="AC4717">
        <v>19.517299999999899</v>
      </c>
      <c r="AD4717">
        <v>-1.10959103217799</v>
      </c>
      <c r="AE4717">
        <v>-1.59297</v>
      </c>
      <c r="AF4717">
        <v>-3.6872182113007401</v>
      </c>
      <c r="AG4717">
        <v>-1.10959103217799</v>
      </c>
      <c r="AH4717">
        <v>19.1681088932786</v>
      </c>
      <c r="AI4717">
        <v>93.253487340166004</v>
      </c>
      <c r="AJ4717">
        <v>100.888534713235</v>
      </c>
      <c r="AK4717">
        <v>19.551040098701201</v>
      </c>
      <c r="AL4717">
        <v>86.367360568462104</v>
      </c>
      <c r="AM4717">
        <v>87.367271054549903</v>
      </c>
      <c r="AN4717">
        <v>0.99999998813591495</v>
      </c>
    </row>
    <row r="4718" spans="1:40" x14ac:dyDescent="0.25">
      <c r="A4718" t="str">
        <f>"20190312154654677"</f>
        <v>20190312154654677</v>
      </c>
      <c r="B4718" t="str">
        <f>"1552376814672692"</f>
        <v>1552376814672692</v>
      </c>
      <c r="C4718" t="s">
        <v>40</v>
      </c>
      <c r="D4718">
        <v>4.7130429999999999</v>
      </c>
      <c r="E4718">
        <v>0.41136539999999999</v>
      </c>
      <c r="F4718" t="s">
        <v>81</v>
      </c>
      <c r="G4718">
        <v>-368.36430000000001</v>
      </c>
      <c r="H4718" s="1">
        <v>-9.9964230000000005E-7</v>
      </c>
      <c r="I4718">
        <v>18.342369999999999</v>
      </c>
      <c r="J4718">
        <v>-387.68239999999997</v>
      </c>
      <c r="K4718">
        <v>1.1095919999999999</v>
      </c>
      <c r="L4718">
        <v>19.906949999999998</v>
      </c>
      <c r="M4718">
        <v>0.96343319999999999</v>
      </c>
      <c r="N4718">
        <v>0</v>
      </c>
      <c r="O4718">
        <v>-0.26787260000000002</v>
      </c>
      <c r="P4718">
        <v>0.94864389999999998</v>
      </c>
      <c r="Q4718">
        <v>5.6762569999999998E-2</v>
      </c>
      <c r="R4718">
        <v>-0.31121179999999998</v>
      </c>
      <c r="S4718">
        <v>3.0899960000000002</v>
      </c>
      <c r="T4718">
        <v>-0.176317</v>
      </c>
      <c r="U4718">
        <v>-0.25421139999999998</v>
      </c>
      <c r="V4718">
        <v>4.5666079999999998E-2</v>
      </c>
      <c r="W4718">
        <v>6.3159199999999999E-2</v>
      </c>
      <c r="X4718">
        <v>0.99695809999999996</v>
      </c>
      <c r="Y4718">
        <v>-0.18725729999999999</v>
      </c>
      <c r="Z4718">
        <v>2.039268E-2</v>
      </c>
      <c r="AA4718">
        <v>0.98209919999999995</v>
      </c>
      <c r="AB4718">
        <v>24</v>
      </c>
      <c r="AC4718">
        <v>19.318099999999902</v>
      </c>
      <c r="AD4718">
        <v>-1.1095929996423</v>
      </c>
      <c r="AE4718">
        <v>-1.5645799999999901</v>
      </c>
      <c r="AF4718">
        <v>-3.6555146607139601</v>
      </c>
      <c r="AG4718">
        <v>-1.1095929996423</v>
      </c>
      <c r="AH4718">
        <v>18.969021350921601</v>
      </c>
      <c r="AI4718">
        <v>93.287353633719405</v>
      </c>
      <c r="AJ4718">
        <v>100.907738014899</v>
      </c>
      <c r="AK4718">
        <v>19.349877391634099</v>
      </c>
      <c r="AL4718">
        <v>86.378834023602806</v>
      </c>
      <c r="AM4718">
        <v>87.377376195484501</v>
      </c>
      <c r="AN4718">
        <v>0.99999996428140703</v>
      </c>
    </row>
    <row r="4719" spans="1:40" x14ac:dyDescent="0.25">
      <c r="A4719" t="str">
        <f>"20190312154654696"</f>
        <v>20190312154654696</v>
      </c>
      <c r="B4719" t="str">
        <f>"1552376814692213"</f>
        <v>1552376814692213</v>
      </c>
      <c r="C4719" t="s">
        <v>40</v>
      </c>
      <c r="D4719">
        <v>5.0152960000000002</v>
      </c>
      <c r="E4719">
        <v>0.41135169999999999</v>
      </c>
      <c r="F4719" t="s">
        <v>81</v>
      </c>
      <c r="G4719">
        <v>-368.45749999999998</v>
      </c>
      <c r="H4719" s="1">
        <v>-9.5643649999999991E-7</v>
      </c>
      <c r="I4719">
        <v>18.33745</v>
      </c>
      <c r="J4719">
        <v>-387.48930000000001</v>
      </c>
      <c r="K4719">
        <v>1.109591</v>
      </c>
      <c r="L4719">
        <v>19.853760000000001</v>
      </c>
      <c r="M4719">
        <v>0.96354949999999995</v>
      </c>
      <c r="N4719">
        <v>0</v>
      </c>
      <c r="O4719">
        <v>-0.26745099999999999</v>
      </c>
      <c r="P4719">
        <v>0.94900220000000002</v>
      </c>
      <c r="Q4719">
        <v>5.6469470000000001E-2</v>
      </c>
      <c r="R4719">
        <v>-0.31017099999999997</v>
      </c>
      <c r="S4719">
        <v>3.0903019999999999</v>
      </c>
      <c r="T4719">
        <v>-0.17836089999999999</v>
      </c>
      <c r="U4719">
        <v>-0.25228879999999998</v>
      </c>
      <c r="V4719">
        <v>4.5003509999999997E-2</v>
      </c>
      <c r="W4719">
        <v>6.2988349999999999E-2</v>
      </c>
      <c r="X4719">
        <v>0.99699910000000003</v>
      </c>
      <c r="Y4719">
        <v>-0.18742610000000001</v>
      </c>
      <c r="Z4719">
        <v>2.0608939999999999E-2</v>
      </c>
      <c r="AA4719">
        <v>0.98206249999999995</v>
      </c>
      <c r="AB4719">
        <v>24</v>
      </c>
      <c r="AC4719">
        <v>19.0318</v>
      </c>
      <c r="AD4719">
        <v>-1.1095919564365</v>
      </c>
      <c r="AE4719">
        <v>-1.51631</v>
      </c>
      <c r="AF4719">
        <v>-3.6168942787054501</v>
      </c>
      <c r="AG4719">
        <v>-1.1095919564365</v>
      </c>
      <c r="AH4719">
        <v>18.680918452100698</v>
      </c>
      <c r="AI4719">
        <v>93.337374327460196</v>
      </c>
      <c r="AJ4719">
        <v>100.957706695174</v>
      </c>
      <c r="AK4719">
        <v>19.060163502634399</v>
      </c>
      <c r="AL4719">
        <v>86.388642763934797</v>
      </c>
      <c r="AM4719">
        <v>87.415482057526802</v>
      </c>
      <c r="AN4719">
        <v>1.00000002677442</v>
      </c>
    </row>
    <row r="4720" spans="1:40" x14ac:dyDescent="0.25">
      <c r="A4720" t="str">
        <f>"20190312154654709"</f>
        <v>20190312154654709</v>
      </c>
      <c r="B4720" t="str">
        <f>"1552376814702948"</f>
        <v>1552376814702948</v>
      </c>
      <c r="C4720" t="s">
        <v>40</v>
      </c>
      <c r="D4720">
        <v>4.7092809999999998</v>
      </c>
      <c r="E4720">
        <v>0.41118749999999998</v>
      </c>
      <c r="F4720" t="s">
        <v>81</v>
      </c>
      <c r="G4720">
        <v>-368.3211</v>
      </c>
      <c r="H4720" s="1">
        <v>-1.0252820000000001E-6</v>
      </c>
      <c r="I4720">
        <v>18.312729999999998</v>
      </c>
      <c r="J4720">
        <v>-387.34930000000003</v>
      </c>
      <c r="K4720">
        <v>1.109591</v>
      </c>
      <c r="L4720">
        <v>19.81522</v>
      </c>
      <c r="M4720">
        <v>0.96363430000000005</v>
      </c>
      <c r="N4720">
        <v>0</v>
      </c>
      <c r="O4720">
        <v>-0.2671442</v>
      </c>
      <c r="P4720">
        <v>0.94919909999999996</v>
      </c>
      <c r="Q4720">
        <v>5.6614089999999999E-2</v>
      </c>
      <c r="R4720">
        <v>-0.30954199999999998</v>
      </c>
      <c r="S4720">
        <v>3.090668</v>
      </c>
      <c r="T4720">
        <v>-0.17891000000000001</v>
      </c>
      <c r="U4720">
        <v>-0.2484741</v>
      </c>
      <c r="V4720">
        <v>4.4661640000000002E-2</v>
      </c>
      <c r="W4720">
        <v>6.3214870000000006E-2</v>
      </c>
      <c r="X4720">
        <v>0.99700009999999994</v>
      </c>
      <c r="Y4720">
        <v>-0.18832160000000001</v>
      </c>
      <c r="Z4720">
        <v>2.0680230000000001E-2</v>
      </c>
      <c r="AA4720">
        <v>0.98188969999999998</v>
      </c>
      <c r="AB4720">
        <v>24</v>
      </c>
      <c r="AC4720">
        <v>19.028199999999998</v>
      </c>
      <c r="AD4720">
        <v>-1.109592025282</v>
      </c>
      <c r="AE4720">
        <v>-1.5024900000000001</v>
      </c>
      <c r="AF4720">
        <v>-3.62325615764196</v>
      </c>
      <c r="AG4720">
        <v>-1.109592025282</v>
      </c>
      <c r="AH4720">
        <v>18.6749008886433</v>
      </c>
      <c r="AI4720">
        <v>93.338196722398195</v>
      </c>
      <c r="AJ4720">
        <v>100.9799638226</v>
      </c>
      <c r="AK4720">
        <v>19.055474353767998</v>
      </c>
      <c r="AL4720">
        <v>86.375638076453399</v>
      </c>
      <c r="AM4720">
        <v>87.435091645435804</v>
      </c>
      <c r="AN4720">
        <v>0.99999999063830802</v>
      </c>
    </row>
    <row r="4721" spans="1:40" x14ac:dyDescent="0.25">
      <c r="A4721" t="str">
        <f>"20190312154654731"</f>
        <v>20190312154654731</v>
      </c>
      <c r="B4721" t="str">
        <f>"1552376814722472"</f>
        <v>1552376814722472</v>
      </c>
      <c r="C4721" t="s">
        <v>40</v>
      </c>
      <c r="D4721">
        <v>4.8321480000000001</v>
      </c>
      <c r="E4721">
        <v>0.41139920000000002</v>
      </c>
      <c r="F4721" t="s">
        <v>81</v>
      </c>
      <c r="G4721">
        <v>-367.93180000000001</v>
      </c>
      <c r="H4721" s="1">
        <v>-1.215859E-6</v>
      </c>
      <c r="I4721">
        <v>18.275880000000001</v>
      </c>
      <c r="J4721">
        <v>-387.125</v>
      </c>
      <c r="K4721">
        <v>1.109594</v>
      </c>
      <c r="L4721">
        <v>19.753599999999999</v>
      </c>
      <c r="M4721">
        <v>0.96377089999999999</v>
      </c>
      <c r="N4721">
        <v>0</v>
      </c>
      <c r="O4721">
        <v>-0.26664670000000001</v>
      </c>
      <c r="P4721">
        <v>0.94945389999999996</v>
      </c>
      <c r="Q4721">
        <v>5.6610899999999999E-2</v>
      </c>
      <c r="R4721">
        <v>-0.30875970000000003</v>
      </c>
      <c r="S4721">
        <v>3.0911870000000001</v>
      </c>
      <c r="T4721">
        <v>-0.1766422</v>
      </c>
      <c r="U4721">
        <v>-0.2450562</v>
      </c>
      <c r="V4721">
        <v>4.4353370000000003E-2</v>
      </c>
      <c r="W4721">
        <v>6.3330029999999995E-2</v>
      </c>
      <c r="X4721">
        <v>0.99700650000000002</v>
      </c>
      <c r="Y4721">
        <v>-0.1889255</v>
      </c>
      <c r="Z4721">
        <v>2.040639E-2</v>
      </c>
      <c r="AA4721">
        <v>0.98177930000000002</v>
      </c>
      <c r="AB4721">
        <v>24</v>
      </c>
      <c r="AC4721">
        <v>19.193199999999901</v>
      </c>
      <c r="AD4721">
        <v>-1.1095952158589999</v>
      </c>
      <c r="AE4721">
        <v>-1.4777199999999999</v>
      </c>
      <c r="AF4721">
        <v>-3.6814716051435901</v>
      </c>
      <c r="AG4721">
        <v>-1.1095952158589999</v>
      </c>
      <c r="AH4721">
        <v>18.829741482740701</v>
      </c>
      <c r="AI4721">
        <v>93.3098895424679</v>
      </c>
      <c r="AJ4721">
        <v>101.06255851137701</v>
      </c>
      <c r="AK4721">
        <v>19.218314156797899</v>
      </c>
      <c r="AL4721">
        <v>86.369026454150003</v>
      </c>
      <c r="AM4721">
        <v>87.4527884556244</v>
      </c>
      <c r="AN4721">
        <v>0.99999993758620198</v>
      </c>
    </row>
    <row r="4722" spans="1:40" x14ac:dyDescent="0.25">
      <c r="A4722" t="str">
        <f>"20190312154654743"</f>
        <v>20190312154654743</v>
      </c>
      <c r="B4722" t="str">
        <f>"1552376814732228"</f>
        <v>1552376814732228</v>
      </c>
      <c r="C4722" t="s">
        <v>40</v>
      </c>
      <c r="D4722">
        <v>4.7544320000000004</v>
      </c>
      <c r="E4722">
        <v>0.43488520000000003</v>
      </c>
      <c r="F4722" t="s">
        <v>81</v>
      </c>
      <c r="G4722">
        <v>-367.6327</v>
      </c>
      <c r="H4722" s="1">
        <v>-1.3682779999999999E-6</v>
      </c>
      <c r="I4722">
        <v>18.213709999999999</v>
      </c>
      <c r="J4722">
        <v>-386.9819</v>
      </c>
      <c r="K4722">
        <v>1.1095969999999999</v>
      </c>
      <c r="L4722">
        <v>19.71442</v>
      </c>
      <c r="M4722">
        <v>0.96385929999999997</v>
      </c>
      <c r="N4722">
        <v>0</v>
      </c>
      <c r="O4722">
        <v>-0.26632600000000001</v>
      </c>
      <c r="P4722">
        <v>0.94956989999999997</v>
      </c>
      <c r="Q4722">
        <v>5.6504440000000003E-2</v>
      </c>
      <c r="R4722">
        <v>-0.30842269999999999</v>
      </c>
      <c r="S4722">
        <v>3.0907589999999998</v>
      </c>
      <c r="T4722">
        <v>-0.17594109999999999</v>
      </c>
      <c r="U4722">
        <v>-0.2441711</v>
      </c>
      <c r="V4722">
        <v>4.4328779999999998E-2</v>
      </c>
      <c r="W4722">
        <v>6.32934E-2</v>
      </c>
      <c r="X4722">
        <v>0.99700999999999995</v>
      </c>
      <c r="Y4722">
        <v>-0.18887370000000001</v>
      </c>
      <c r="Z4722">
        <v>2.030962E-2</v>
      </c>
      <c r="AA4722">
        <v>0.98179130000000003</v>
      </c>
      <c r="AB4722">
        <v>25</v>
      </c>
      <c r="AC4722">
        <v>19.3492</v>
      </c>
      <c r="AD4722">
        <v>-1.109598368278</v>
      </c>
      <c r="AE4722">
        <v>-1.50071</v>
      </c>
      <c r="AF4722">
        <v>-3.6947287922137999</v>
      </c>
      <c r="AG4722">
        <v>-1.109598368278</v>
      </c>
      <c r="AH4722">
        <v>18.987950254856798</v>
      </c>
      <c r="AI4722">
        <v>93.282954096123703</v>
      </c>
      <c r="AJ4722">
        <v>101.011179817391</v>
      </c>
      <c r="AK4722">
        <v>19.375873767854099</v>
      </c>
      <c r="AL4722">
        <v>86.371129708614902</v>
      </c>
      <c r="AM4722">
        <v>87.454207724728406</v>
      </c>
      <c r="AN4722">
        <v>1.00000001765992</v>
      </c>
    </row>
    <row r="4723" spans="1:40" x14ac:dyDescent="0.25">
      <c r="A4723" t="str">
        <f>"20190312154654765"</f>
        <v>20190312154654765</v>
      </c>
      <c r="B4723" t="str">
        <f>"1552376814752725"</f>
        <v>1552376814752725</v>
      </c>
      <c r="C4723" t="s">
        <v>40</v>
      </c>
      <c r="D4723">
        <v>4.7875379999999996</v>
      </c>
      <c r="E4723">
        <v>0.434396</v>
      </c>
      <c r="F4723" t="s">
        <v>81</v>
      </c>
      <c r="G4723">
        <v>-367.23070000000001</v>
      </c>
      <c r="H4723" s="1">
        <v>-1.7790459999999901E-6</v>
      </c>
      <c r="I4723">
        <v>16.969329999999999</v>
      </c>
      <c r="J4723">
        <v>-386.75619999999998</v>
      </c>
      <c r="K4723">
        <v>1.109612</v>
      </c>
      <c r="L4723">
        <v>19.652619999999999</v>
      </c>
      <c r="M4723">
        <v>0.96400229999999998</v>
      </c>
      <c r="N4723">
        <v>0</v>
      </c>
      <c r="O4723">
        <v>-0.26580549999999997</v>
      </c>
      <c r="P4723">
        <v>0.94967440000000003</v>
      </c>
      <c r="Q4723">
        <v>5.6311689999999998E-2</v>
      </c>
      <c r="R4723">
        <v>-0.30813590000000002</v>
      </c>
      <c r="S4723">
        <v>3.0325929999999999</v>
      </c>
      <c r="T4723">
        <v>-0.17036689999999999</v>
      </c>
      <c r="U4723">
        <v>-0.42147829999999997</v>
      </c>
      <c r="V4723">
        <v>4.4561120000000003E-2</v>
      </c>
      <c r="W4723">
        <v>6.3199649999999996E-2</v>
      </c>
      <c r="X4723">
        <v>0.99700560000000005</v>
      </c>
      <c r="Y4723">
        <v>-0.1299747</v>
      </c>
      <c r="Z4723">
        <v>1.827695E-2</v>
      </c>
      <c r="AA4723">
        <v>0.99134889999999998</v>
      </c>
      <c r="AB4723">
        <v>25</v>
      </c>
      <c r="AC4723">
        <v>19.525499999999901</v>
      </c>
      <c r="AD4723">
        <v>-1.1096137790459999</v>
      </c>
      <c r="AE4723">
        <v>-2.68329</v>
      </c>
      <c r="AF4723">
        <v>-2.59512305898647</v>
      </c>
      <c r="AG4723">
        <v>-1.1096137790459999</v>
      </c>
      <c r="AH4723">
        <v>19.4745912644361</v>
      </c>
      <c r="AI4723">
        <v>93.232532173841093</v>
      </c>
      <c r="AJ4723">
        <v>97.590338773250593</v>
      </c>
      <c r="AK4723">
        <v>19.678048972059798</v>
      </c>
      <c r="AL4723">
        <v>86.376512000282702</v>
      </c>
      <c r="AM4723">
        <v>87.440870902680004</v>
      </c>
      <c r="AN4723">
        <v>1.0000000278035599</v>
      </c>
    </row>
    <row r="4724" spans="1:40" x14ac:dyDescent="0.25">
      <c r="A4724" t="str">
        <f>"20190312154654786"</f>
        <v>20190312154654786</v>
      </c>
      <c r="B4724" t="str">
        <f>"1552376814772244"</f>
        <v>1552376814772244</v>
      </c>
      <c r="C4724" t="s">
        <v>40</v>
      </c>
      <c r="D4724">
        <v>4.7744339999999896</v>
      </c>
      <c r="E4724">
        <v>0.43478929999999999</v>
      </c>
      <c r="F4724" t="s">
        <v>81</v>
      </c>
      <c r="G4724">
        <v>-367.77080000000001</v>
      </c>
      <c r="H4724" s="1">
        <v>-1.540396E-6</v>
      </c>
      <c r="I4724">
        <v>17.046009999999999</v>
      </c>
      <c r="J4724">
        <v>-386.52499999999998</v>
      </c>
      <c r="K4724">
        <v>1.109631</v>
      </c>
      <c r="L4724">
        <v>19.589510000000001</v>
      </c>
      <c r="M4724">
        <v>0.96415450000000003</v>
      </c>
      <c r="N4724">
        <v>0</v>
      </c>
      <c r="O4724">
        <v>-0.26524969999999998</v>
      </c>
      <c r="P4724">
        <v>0.94967469999999998</v>
      </c>
      <c r="Q4724">
        <v>5.6108720000000001E-2</v>
      </c>
      <c r="R4724">
        <v>-0.30817139999999998</v>
      </c>
      <c r="S4724">
        <v>3.0343019999999998</v>
      </c>
      <c r="T4724">
        <v>-0.1773412</v>
      </c>
      <c r="U4724">
        <v>-0.41659550000000001</v>
      </c>
      <c r="V4724">
        <v>4.5167279999999997E-2</v>
      </c>
      <c r="W4724">
        <v>6.3086379999999997E-2</v>
      </c>
      <c r="X4724">
        <v>0.99698549999999997</v>
      </c>
      <c r="Y4724">
        <v>-0.13099439999999901</v>
      </c>
      <c r="Z4724">
        <v>1.901477E-2</v>
      </c>
      <c r="AA4724">
        <v>0.99120070000000005</v>
      </c>
      <c r="AB4724">
        <v>25</v>
      </c>
      <c r="AC4724">
        <v>18.754199999999901</v>
      </c>
      <c r="AD4724">
        <v>-1.1096325403959999</v>
      </c>
      <c r="AE4724">
        <v>-2.5434999999999999</v>
      </c>
      <c r="AF4724">
        <v>-2.5136396727349002</v>
      </c>
      <c r="AG4724">
        <v>-1.1096325403959999</v>
      </c>
      <c r="AH4724">
        <v>18.692808683891201</v>
      </c>
      <c r="AI4724">
        <v>93.366940745718495</v>
      </c>
      <c r="AJ4724">
        <v>97.658675698126999</v>
      </c>
      <c r="AK4724">
        <v>18.893669978900601</v>
      </c>
      <c r="AL4724">
        <v>86.383014880694901</v>
      </c>
      <c r="AM4724">
        <v>87.406054355930095</v>
      </c>
      <c r="AN4724">
        <v>1.0000000308671699</v>
      </c>
    </row>
    <row r="4725" spans="1:40" x14ac:dyDescent="0.25">
      <c r="A4725" t="str">
        <f>"20190312154654809"</f>
        <v>20190312154654809</v>
      </c>
      <c r="B4725" t="str">
        <f>"1552376814802500"</f>
        <v>1552376814802500</v>
      </c>
      <c r="C4725" t="s">
        <v>40</v>
      </c>
      <c r="D4725">
        <v>4.8199610000000002</v>
      </c>
      <c r="E4725">
        <v>0.43464960000000002</v>
      </c>
      <c r="F4725" t="s">
        <v>81</v>
      </c>
      <c r="G4725">
        <v>-367.08679999999998</v>
      </c>
      <c r="H4725" s="1">
        <v>-1.8593660000000001E-6</v>
      </c>
      <c r="I4725">
        <v>16.900040000000001</v>
      </c>
      <c r="J4725">
        <v>-386.28149999999999</v>
      </c>
      <c r="K4725">
        <v>1.109658</v>
      </c>
      <c r="L4725">
        <v>19.52319</v>
      </c>
      <c r="M4725">
        <v>0.96432390000000001</v>
      </c>
      <c r="N4725">
        <v>0</v>
      </c>
      <c r="O4725">
        <v>-0.26463219999999998</v>
      </c>
      <c r="P4725">
        <v>0.9497485</v>
      </c>
      <c r="Q4725">
        <v>5.6013769999999997E-2</v>
      </c>
      <c r="R4725">
        <v>-0.3079617</v>
      </c>
      <c r="S4725">
        <v>3.03302</v>
      </c>
      <c r="T4725">
        <v>-0.17313979999999901</v>
      </c>
      <c r="U4725">
        <v>-0.4196472</v>
      </c>
      <c r="V4725">
        <v>4.5580420000000003E-2</v>
      </c>
      <c r="W4725">
        <v>6.3068299999999994E-2</v>
      </c>
      <c r="X4725">
        <v>0.99696779999999996</v>
      </c>
      <c r="Y4725">
        <v>-0.1293579</v>
      </c>
      <c r="Z4725">
        <v>1.8490800000000002E-2</v>
      </c>
      <c r="AA4725">
        <v>0.99142560000000002</v>
      </c>
      <c r="AB4725">
        <v>25</v>
      </c>
      <c r="AC4725">
        <v>19.194700000000001</v>
      </c>
      <c r="AD4725">
        <v>-1.1096598593660001</v>
      </c>
      <c r="AE4725">
        <v>-2.6231499999999901</v>
      </c>
      <c r="AF4725">
        <v>-2.54169338920696</v>
      </c>
      <c r="AG4725">
        <v>-1.1096598593660001</v>
      </c>
      <c r="AH4725">
        <v>19.1417500596853</v>
      </c>
      <c r="AI4725">
        <v>93.288957532699996</v>
      </c>
      <c r="AJ4725">
        <v>97.563643635835106</v>
      </c>
      <c r="AK4725">
        <v>19.3416169343643</v>
      </c>
      <c r="AL4725">
        <v>86.384052706259595</v>
      </c>
      <c r="AM4725">
        <v>87.382314272549607</v>
      </c>
      <c r="AN4725">
        <v>0.99999998969455295</v>
      </c>
    </row>
    <row r="4726" spans="1:40" x14ac:dyDescent="0.25">
      <c r="A4726" t="str">
        <f>"20190312154654822"</f>
        <v>20190312154654822</v>
      </c>
      <c r="B4726" t="str">
        <f>"1552376814812261"</f>
        <v>1552376814812261</v>
      </c>
      <c r="C4726" t="s">
        <v>40</v>
      </c>
      <c r="D4726">
        <v>4.8655549999999996</v>
      </c>
      <c r="E4726">
        <v>0.4346121</v>
      </c>
      <c r="F4726" t="s">
        <v>81</v>
      </c>
      <c r="G4726">
        <v>-367.54640000000001</v>
      </c>
      <c r="H4726" s="1">
        <v>-1.65368599999999E-6</v>
      </c>
      <c r="I4726">
        <v>16.944050000000001</v>
      </c>
      <c r="J4726">
        <v>-386.1431</v>
      </c>
      <c r="K4726">
        <v>1.109675</v>
      </c>
      <c r="L4726">
        <v>19.48563</v>
      </c>
      <c r="M4726">
        <v>0.96442399999999995</v>
      </c>
      <c r="N4726">
        <v>0</v>
      </c>
      <c r="O4726">
        <v>-0.26426650000000002</v>
      </c>
      <c r="P4726">
        <v>0.94983629999999997</v>
      </c>
      <c r="Q4726">
        <v>5.6330779999999997E-2</v>
      </c>
      <c r="R4726">
        <v>-0.3076335</v>
      </c>
      <c r="S4726">
        <v>3.0339360000000002</v>
      </c>
      <c r="T4726">
        <v>-0.17969689999999999</v>
      </c>
      <c r="U4726">
        <v>-0.41766360000000002</v>
      </c>
      <c r="V4726">
        <v>4.561577E-2</v>
      </c>
      <c r="W4726">
        <v>6.342093E-2</v>
      </c>
      <c r="X4726">
        <v>0.99694380000000005</v>
      </c>
      <c r="Y4726">
        <v>-0.12961149999999999</v>
      </c>
      <c r="Z4726">
        <v>1.9172080000000001E-2</v>
      </c>
      <c r="AA4726">
        <v>0.99137949999999997</v>
      </c>
      <c r="AB4726">
        <v>25</v>
      </c>
      <c r="AC4726">
        <v>18.596699999999998</v>
      </c>
      <c r="AD4726">
        <v>-1.1096766536860001</v>
      </c>
      <c r="AE4726">
        <v>-2.5415800000000002</v>
      </c>
      <c r="AF4726">
        <v>-2.4548048481161202</v>
      </c>
      <c r="AG4726">
        <v>-1.1096766536860001</v>
      </c>
      <c r="AH4726">
        <v>18.542408166674299</v>
      </c>
      <c r="AI4726">
        <v>93.395246112599494</v>
      </c>
      <c r="AJ4726">
        <v>97.541457278844405</v>
      </c>
      <c r="AK4726">
        <v>18.737084878326701</v>
      </c>
      <c r="AL4726">
        <v>86.363807918676997</v>
      </c>
      <c r="AM4726">
        <v>87.380223969502097</v>
      </c>
      <c r="AN4726">
        <v>0.99999997659659801</v>
      </c>
    </row>
    <row r="4727" spans="1:40" x14ac:dyDescent="0.25">
      <c r="A4727" t="str">
        <f>"20190312154654834"</f>
        <v>20190312154654834</v>
      </c>
      <c r="B4727" t="str">
        <f>"1552376814822997"</f>
        <v>1552376814822997</v>
      </c>
      <c r="C4727" t="s">
        <v>40</v>
      </c>
      <c r="D4727">
        <v>4.8303890000000003</v>
      </c>
      <c r="E4727">
        <v>0.43474800000000002</v>
      </c>
      <c r="F4727" t="s">
        <v>81</v>
      </c>
      <c r="G4727">
        <v>-367.38830000000002</v>
      </c>
      <c r="H4727" s="1">
        <v>-1.7227489999999999E-6</v>
      </c>
      <c r="I4727">
        <v>16.912569999999999</v>
      </c>
      <c r="J4727">
        <v>-386.01440000000002</v>
      </c>
      <c r="K4727">
        <v>1.109694</v>
      </c>
      <c r="L4727">
        <v>19.450780000000002</v>
      </c>
      <c r="M4727">
        <v>0.96452309999999997</v>
      </c>
      <c r="N4727">
        <v>0</v>
      </c>
      <c r="O4727">
        <v>-0.26390360000000002</v>
      </c>
      <c r="P4727">
        <v>0.94980469999999895</v>
      </c>
      <c r="Q4727">
        <v>5.6468049999999999E-2</v>
      </c>
      <c r="R4727">
        <v>-0.30770540000000002</v>
      </c>
      <c r="S4727">
        <v>3.0343019999999998</v>
      </c>
      <c r="T4727">
        <v>-0.17953259999999999</v>
      </c>
      <c r="U4727">
        <v>-0.4162903</v>
      </c>
      <c r="V4727">
        <v>4.6065620000000002E-2</v>
      </c>
      <c r="W4727">
        <v>6.3583669999999995E-2</v>
      </c>
      <c r="X4727">
        <v>0.99691280000000004</v>
      </c>
      <c r="Y4727">
        <v>-0.1296968</v>
      </c>
      <c r="Z4727">
        <v>1.9135059999999999E-2</v>
      </c>
      <c r="AA4727">
        <v>0.9913691</v>
      </c>
      <c r="AB4727">
        <v>25</v>
      </c>
      <c r="AC4727">
        <v>18.626100000000001</v>
      </c>
      <c r="AD4727">
        <v>-1.1096957227490001</v>
      </c>
      <c r="AE4727">
        <v>-2.5382099999999901</v>
      </c>
      <c r="AF4727">
        <v>-2.4588260270252902</v>
      </c>
      <c r="AG4727">
        <v>-1.1096957227490001</v>
      </c>
      <c r="AH4727">
        <v>18.570897950739798</v>
      </c>
      <c r="AI4727">
        <v>93.390101800281897</v>
      </c>
      <c r="AJ4727">
        <v>97.542213648080903</v>
      </c>
      <c r="AK4727">
        <v>18.765806689962901</v>
      </c>
      <c r="AL4727">
        <v>86.354464932150606</v>
      </c>
      <c r="AM4727">
        <v>87.354342846150701</v>
      </c>
      <c r="AN4727">
        <v>1.0000000276202401</v>
      </c>
    </row>
    <row r="4728" spans="1:40" x14ac:dyDescent="0.25">
      <c r="A4728" t="str">
        <f>"20190312154654853"</f>
        <v>20190312154654853</v>
      </c>
      <c r="B4728" t="str">
        <f>"1552376814842517"</f>
        <v>1552376814842517</v>
      </c>
      <c r="C4728" t="s">
        <v>40</v>
      </c>
      <c r="D4728">
        <v>4.8696849999999996</v>
      </c>
      <c r="E4728">
        <v>0.43483100000000002</v>
      </c>
      <c r="F4728" t="s">
        <v>81</v>
      </c>
      <c r="G4728">
        <v>-367.20620000000002</v>
      </c>
      <c r="H4728" s="1">
        <v>-1.809652E-6</v>
      </c>
      <c r="I4728">
        <v>16.861920000000001</v>
      </c>
      <c r="J4728">
        <v>-385.80650000000003</v>
      </c>
      <c r="K4728">
        <v>1.109723</v>
      </c>
      <c r="L4728">
        <v>19.394590000000001</v>
      </c>
      <c r="M4728">
        <v>0.9646922</v>
      </c>
      <c r="N4728">
        <v>0</v>
      </c>
      <c r="O4728">
        <v>-0.26328430000000003</v>
      </c>
      <c r="P4728">
        <v>0.94991899999999996</v>
      </c>
      <c r="Q4728">
        <v>5.6640889999999999E-2</v>
      </c>
      <c r="R4728">
        <v>-0.30732090000000001</v>
      </c>
      <c r="S4728">
        <v>3.0339049999999999</v>
      </c>
      <c r="T4728">
        <v>-0.17900289999999999</v>
      </c>
      <c r="U4728">
        <v>-0.41760249999999999</v>
      </c>
      <c r="V4728">
        <v>4.6298659999999998E-2</v>
      </c>
      <c r="W4728">
        <v>6.3788780000000003E-2</v>
      </c>
      <c r="X4728">
        <v>0.99688889999999997</v>
      </c>
      <c r="Y4728">
        <v>-0.12862850000000001</v>
      </c>
      <c r="Z4728">
        <v>1.9014030000000001E-2</v>
      </c>
      <c r="AA4728">
        <v>0.99151060000000002</v>
      </c>
      <c r="AB4728">
        <v>25</v>
      </c>
      <c r="AC4728">
        <v>18.600300000000001</v>
      </c>
      <c r="AD4728">
        <v>-1.109724809652</v>
      </c>
      <c r="AE4728">
        <v>-2.5326699999999902</v>
      </c>
      <c r="AF4728">
        <v>-2.4454356201289298</v>
      </c>
      <c r="AG4728">
        <v>-1.109724809652</v>
      </c>
      <c r="AH4728">
        <v>18.5460317850678</v>
      </c>
      <c r="AI4728">
        <v>93.394964815535999</v>
      </c>
      <c r="AJ4728">
        <v>97.511552136654899</v>
      </c>
      <c r="AK4728">
        <v>18.7394487511799</v>
      </c>
      <c r="AL4728">
        <v>86.3426890863024</v>
      </c>
      <c r="AM4728">
        <v>87.340914312995906</v>
      </c>
      <c r="AN4728">
        <v>1.00000002665744</v>
      </c>
    </row>
    <row r="4729" spans="1:40" x14ac:dyDescent="0.25">
      <c r="A4729" t="str">
        <f>"20190312154654866"</f>
        <v>20190312154654866</v>
      </c>
      <c r="B4729" t="str">
        <f>"1552376814852277"</f>
        <v>1552376814852277</v>
      </c>
      <c r="C4729" t="s">
        <v>40</v>
      </c>
      <c r="D4729">
        <v>4.8407269999999896</v>
      </c>
      <c r="E4729">
        <v>0.4349228</v>
      </c>
      <c r="F4729" t="s">
        <v>81</v>
      </c>
      <c r="G4729">
        <v>-367.18169999999998</v>
      </c>
      <c r="H4729" s="1">
        <v>-1.825902E-6</v>
      </c>
      <c r="I4729">
        <v>16.83577</v>
      </c>
      <c r="J4729">
        <v>-385.6678</v>
      </c>
      <c r="K4729">
        <v>1.1097459999999999</v>
      </c>
      <c r="L4729">
        <v>19.35718</v>
      </c>
      <c r="M4729">
        <v>0.96481229999999996</v>
      </c>
      <c r="N4729">
        <v>0</v>
      </c>
      <c r="O4729">
        <v>-0.2628433</v>
      </c>
      <c r="P4729">
        <v>0.95005839999999997</v>
      </c>
      <c r="Q4729">
        <v>5.6709240000000001E-2</v>
      </c>
      <c r="R4729">
        <v>-0.30687690000000001</v>
      </c>
      <c r="S4729">
        <v>3.0340579999999999</v>
      </c>
      <c r="T4729">
        <v>-0.18077799999999999</v>
      </c>
      <c r="U4729">
        <v>-0.41683959999999998</v>
      </c>
      <c r="V4729">
        <v>4.6284890000000002E-2</v>
      </c>
      <c r="W4729">
        <v>6.3873479999999996E-2</v>
      </c>
      <c r="X4729">
        <v>0.99688410000000005</v>
      </c>
      <c r="Y4729">
        <v>-0.12841469999999999</v>
      </c>
      <c r="Z4729">
        <v>1.917025E-2</v>
      </c>
      <c r="AA4729">
        <v>0.99153519999999995</v>
      </c>
      <c r="AB4729">
        <v>25</v>
      </c>
      <c r="AC4729">
        <v>18.4861</v>
      </c>
      <c r="AD4729">
        <v>-1.1097478259019999</v>
      </c>
      <c r="AE4729">
        <v>-2.5214099999999902</v>
      </c>
      <c r="AF4729">
        <v>-2.4177676013104401</v>
      </c>
      <c r="AG4729">
        <v>-1.1097478259019999</v>
      </c>
      <c r="AH4729">
        <v>18.433603309639601</v>
      </c>
      <c r="AI4729">
        <v>93.415999798417801</v>
      </c>
      <c r="AJ4729">
        <v>97.472310428978403</v>
      </c>
      <c r="AK4729">
        <v>18.624577079445299</v>
      </c>
      <c r="AL4729">
        <v>86.337826158464495</v>
      </c>
      <c r="AM4729">
        <v>87.341691253842299</v>
      </c>
      <c r="AN4729">
        <v>1.0000000106612099</v>
      </c>
    </row>
    <row r="4730" spans="1:40" x14ac:dyDescent="0.25">
      <c r="A4730" t="str">
        <f>"20190312154654886"</f>
        <v>20190312154654886</v>
      </c>
      <c r="B4730" t="str">
        <f>"1552376814872773"</f>
        <v>1552376814872773</v>
      </c>
      <c r="C4730" t="s">
        <v>40</v>
      </c>
      <c r="D4730">
        <v>5.2787980000000001</v>
      </c>
      <c r="E4730">
        <v>0.43492350000000002</v>
      </c>
      <c r="F4730" t="s">
        <v>81</v>
      </c>
      <c r="G4730">
        <v>-367.0797</v>
      </c>
      <c r="H4730" s="1">
        <v>-1.879026E-6</v>
      </c>
      <c r="I4730">
        <v>16.808129999999998</v>
      </c>
      <c r="J4730">
        <v>-385.45240000000001</v>
      </c>
      <c r="K4730">
        <v>1.1097889999999999</v>
      </c>
      <c r="L4730">
        <v>19.29935</v>
      </c>
      <c r="M4730">
        <v>0.96501429999999999</v>
      </c>
      <c r="N4730">
        <v>0</v>
      </c>
      <c r="O4730">
        <v>-0.26210040000000001</v>
      </c>
      <c r="P4730">
        <v>0.95051129999999995</v>
      </c>
      <c r="Q4730">
        <v>5.626391E-2</v>
      </c>
      <c r="R4730">
        <v>-0.30555399999999999</v>
      </c>
      <c r="S4730">
        <v>3.034119</v>
      </c>
      <c r="T4730">
        <v>-0.18114240000000001</v>
      </c>
      <c r="U4730">
        <v>-0.41607670000000002</v>
      </c>
      <c r="V4730">
        <v>4.56494E-2</v>
      </c>
      <c r="W4730">
        <v>6.3441860000000003E-2</v>
      </c>
      <c r="X4730">
        <v>0.99694099999999997</v>
      </c>
      <c r="Y4730">
        <v>-0.12789809999999999</v>
      </c>
      <c r="Z4730">
        <v>1.9151049999999999E-2</v>
      </c>
      <c r="AA4730">
        <v>0.99160239999999999</v>
      </c>
      <c r="AB4730">
        <v>25</v>
      </c>
      <c r="AC4730">
        <v>18.372699999999998</v>
      </c>
      <c r="AD4730">
        <v>-1.1097908790259901</v>
      </c>
      <c r="AE4730">
        <v>-2.4912200000000002</v>
      </c>
      <c r="AF4730">
        <v>-2.4028812515614701</v>
      </c>
      <c r="AG4730">
        <v>-1.1097908790259901</v>
      </c>
      <c r="AH4730">
        <v>18.317705852029</v>
      </c>
      <c r="AI4730">
        <v>93.437686851341297</v>
      </c>
      <c r="AJ4730">
        <v>97.473278626452398</v>
      </c>
      <c r="AK4730">
        <v>18.507939425709498</v>
      </c>
      <c r="AL4730">
        <v>86.362606556051205</v>
      </c>
      <c r="AM4730">
        <v>87.378287893405201</v>
      </c>
      <c r="AN4730">
        <v>1.0000000474008</v>
      </c>
    </row>
    <row r="4731" spans="1:40" x14ac:dyDescent="0.25">
      <c r="A4731" t="str">
        <f>"20190312154654899"</f>
        <v>20190312154654899</v>
      </c>
      <c r="B4731" t="str">
        <f>"1552376814892292"</f>
        <v>1552376814892292</v>
      </c>
      <c r="C4731" t="s">
        <v>40</v>
      </c>
      <c r="D4731">
        <v>4.9360489999999997</v>
      </c>
      <c r="E4731">
        <v>0.43496030000000002</v>
      </c>
      <c r="F4731" t="s">
        <v>81</v>
      </c>
      <c r="G4731">
        <v>-366.97570000000002</v>
      </c>
      <c r="H4731" s="1">
        <v>-1.9313679999999998E-6</v>
      </c>
      <c r="I4731">
        <v>16.79007</v>
      </c>
      <c r="J4731">
        <v>-385.30630000000002</v>
      </c>
      <c r="K4731">
        <v>1.1098250000000001</v>
      </c>
      <c r="L4731">
        <v>19.260190000000001</v>
      </c>
      <c r="M4731">
        <v>0.96516190000000002</v>
      </c>
      <c r="N4731">
        <v>0</v>
      </c>
      <c r="O4731">
        <v>-0.2615557</v>
      </c>
      <c r="P4731">
        <v>0.95085719999999996</v>
      </c>
      <c r="Q4731">
        <v>5.6015879999999997E-2</v>
      </c>
      <c r="R4731">
        <v>-0.30452050000000003</v>
      </c>
      <c r="S4731">
        <v>3.0345149999999999</v>
      </c>
      <c r="T4731">
        <v>-0.18226609999999999</v>
      </c>
      <c r="U4731">
        <v>-0.41210940000000001</v>
      </c>
      <c r="V4731">
        <v>4.5118499999999999E-2</v>
      </c>
      <c r="W4731">
        <v>6.319632E-2</v>
      </c>
      <c r="X4731">
        <v>0.99698070000000005</v>
      </c>
      <c r="Y4731">
        <v>-0.12861989999999901</v>
      </c>
      <c r="Z4731">
        <v>1.9259689999999999E-2</v>
      </c>
      <c r="AA4731">
        <v>0.99150689999999997</v>
      </c>
      <c r="AB4731">
        <v>25</v>
      </c>
      <c r="AC4731">
        <v>18.3306</v>
      </c>
      <c r="AD4731">
        <v>-1.109826931368</v>
      </c>
      <c r="AE4731">
        <v>-2.4701199999999899</v>
      </c>
      <c r="AF4731">
        <v>-2.4018214793505801</v>
      </c>
      <c r="AG4731">
        <v>-1.109826931368</v>
      </c>
      <c r="AH4731">
        <v>18.272751606562199</v>
      </c>
      <c r="AI4731">
        <v>93.446118022036799</v>
      </c>
      <c r="AJ4731">
        <v>97.488189110537306</v>
      </c>
      <c r="AK4731">
        <v>18.4633126364524</v>
      </c>
      <c r="AL4731">
        <v>86.376703022225698</v>
      </c>
      <c r="AM4731">
        <v>87.408839500835597</v>
      </c>
      <c r="AN4731">
        <v>0.99999998503814103</v>
      </c>
    </row>
    <row r="4732" spans="1:40" x14ac:dyDescent="0.25">
      <c r="A4732" t="str">
        <f>"20190312154654921"</f>
        <v>20190312154654921</v>
      </c>
      <c r="B4732" t="str">
        <f>"1552376814912788"</f>
        <v>1552376814912788</v>
      </c>
      <c r="C4732" t="s">
        <v>40</v>
      </c>
      <c r="D4732">
        <v>4.9312630000000004</v>
      </c>
      <c r="E4732">
        <v>0.43511559999999999</v>
      </c>
      <c r="F4732" t="s">
        <v>81</v>
      </c>
      <c r="G4732">
        <v>-367.23099999999999</v>
      </c>
      <c r="H4732" s="1">
        <v>-1.8067100000000001E-6</v>
      </c>
      <c r="I4732">
        <v>16.82404</v>
      </c>
      <c r="J4732">
        <v>-385.07490000000001</v>
      </c>
      <c r="K4732">
        <v>1.1098779999999999</v>
      </c>
      <c r="L4732">
        <v>19.198550000000001</v>
      </c>
      <c r="M4732">
        <v>0.96541169999999998</v>
      </c>
      <c r="N4732">
        <v>0</v>
      </c>
      <c r="O4732">
        <v>-0.26063310000000001</v>
      </c>
      <c r="P4732">
        <v>0.95156320000000005</v>
      </c>
      <c r="Q4732">
        <v>5.6055840000000003E-2</v>
      </c>
      <c r="R4732">
        <v>-0.30230069999999998</v>
      </c>
      <c r="S4732">
        <v>3.035034</v>
      </c>
      <c r="T4732">
        <v>-0.1863524</v>
      </c>
      <c r="U4732">
        <v>-0.40905760000000002</v>
      </c>
      <c r="V4732">
        <v>4.3734439999999999E-2</v>
      </c>
      <c r="W4732">
        <v>6.3232940000000001E-2</v>
      </c>
      <c r="X4732">
        <v>0.99704009999999998</v>
      </c>
      <c r="Y4732">
        <v>-0.1286447</v>
      </c>
      <c r="Z4732">
        <v>1.9635619999999999E-2</v>
      </c>
      <c r="AA4732">
        <v>0.9914963</v>
      </c>
      <c r="AB4732">
        <v>25</v>
      </c>
      <c r="AC4732">
        <v>17.843900000000001</v>
      </c>
      <c r="AD4732">
        <v>-1.10987980671</v>
      </c>
      <c r="AE4732">
        <v>-2.3745099999999999</v>
      </c>
      <c r="AF4732">
        <v>-2.3494595977921202</v>
      </c>
      <c r="AG4732">
        <v>-1.10987980671</v>
      </c>
      <c r="AH4732">
        <v>17.778453688740999</v>
      </c>
      <c r="AI4732">
        <v>93.541534240817597</v>
      </c>
      <c r="AJ4732">
        <v>97.528134358464797</v>
      </c>
      <c r="AK4732">
        <v>17.9673372860229</v>
      </c>
      <c r="AL4732">
        <v>86.374600821741197</v>
      </c>
      <c r="AM4732">
        <v>87.488372263478198</v>
      </c>
      <c r="AN4732">
        <v>1.0000000334755801</v>
      </c>
    </row>
    <row r="4733" spans="1:40" x14ac:dyDescent="0.25">
      <c r="A4733" t="str">
        <f>"20190312154654934"</f>
        <v>20190312154654934</v>
      </c>
      <c r="B4733" t="str">
        <f>"1552376814922549"</f>
        <v>1552376814922549</v>
      </c>
      <c r="C4733" t="s">
        <v>40</v>
      </c>
      <c r="D4733">
        <v>4.9667539999999999</v>
      </c>
      <c r="E4733">
        <v>0.43515540000000003</v>
      </c>
      <c r="F4733" t="s">
        <v>81</v>
      </c>
      <c r="G4733">
        <v>-367.137</v>
      </c>
      <c r="H4733" s="1">
        <v>-1.850404E-6</v>
      </c>
      <c r="I4733">
        <v>16.816800000000001</v>
      </c>
      <c r="J4733">
        <v>-384.9307</v>
      </c>
      <c r="K4733">
        <v>1.1099190000000001</v>
      </c>
      <c r="L4733">
        <v>19.160309999999999</v>
      </c>
      <c r="M4733">
        <v>0.96558250000000001</v>
      </c>
      <c r="N4733">
        <v>0</v>
      </c>
      <c r="O4733">
        <v>-0.2599997</v>
      </c>
      <c r="P4733">
        <v>0.95204949999999999</v>
      </c>
      <c r="Q4733">
        <v>5.5763300000000002E-2</v>
      </c>
      <c r="R4733">
        <v>-0.30081980000000003</v>
      </c>
      <c r="S4733">
        <v>3.035736</v>
      </c>
      <c r="T4733">
        <v>-0.18783079999999999</v>
      </c>
      <c r="U4733">
        <v>-0.4030762</v>
      </c>
      <c r="V4733">
        <v>4.2826040000000003E-2</v>
      </c>
      <c r="W4733">
        <v>6.2934580000000004E-2</v>
      </c>
      <c r="X4733">
        <v>0.99709840000000005</v>
      </c>
      <c r="Y4733">
        <v>-0.1299312</v>
      </c>
      <c r="Z4733">
        <v>1.979214E-2</v>
      </c>
      <c r="AA4733">
        <v>0.99132540000000002</v>
      </c>
      <c r="AB4733">
        <v>25</v>
      </c>
      <c r="AC4733">
        <v>17.793700000000001</v>
      </c>
      <c r="AD4733">
        <v>-1.1099208504039999</v>
      </c>
      <c r="AE4733">
        <v>-2.34350999999999</v>
      </c>
      <c r="AF4733">
        <v>-2.3545590271746901</v>
      </c>
      <c r="AG4733">
        <v>-1.1099208504039999</v>
      </c>
      <c r="AH4733">
        <v>17.723263385186499</v>
      </c>
      <c r="AI4733">
        <v>93.552342791086502</v>
      </c>
      <c r="AJ4733">
        <v>97.567507017605806</v>
      </c>
      <c r="AK4733">
        <v>17.913401059745901</v>
      </c>
      <c r="AL4733">
        <v>86.391729676701701</v>
      </c>
      <c r="AM4733">
        <v>87.540619709512498</v>
      </c>
      <c r="AN4733">
        <v>1.0000000251722001</v>
      </c>
    </row>
    <row r="4734" spans="1:40" x14ac:dyDescent="0.25">
      <c r="A4734" t="str">
        <f>"20190312154654954"</f>
        <v>20190312154654954</v>
      </c>
      <c r="B4734" t="str">
        <f>"1552376814942072"</f>
        <v>1552376814942072</v>
      </c>
      <c r="C4734" t="s">
        <v>40</v>
      </c>
      <c r="D4734">
        <v>4.9179830000000004</v>
      </c>
      <c r="E4734">
        <v>0.435332</v>
      </c>
      <c r="F4734" t="s">
        <v>81</v>
      </c>
      <c r="G4734">
        <v>-367.18779999999998</v>
      </c>
      <c r="H4734" s="1">
        <v>-1.8236180000000001E-6</v>
      </c>
      <c r="I4734">
        <v>16.83222</v>
      </c>
      <c r="J4734">
        <v>-384.70409999999998</v>
      </c>
      <c r="K4734">
        <v>1.1099870000000001</v>
      </c>
      <c r="L4734">
        <v>19.100429999999999</v>
      </c>
      <c r="M4734">
        <v>0.96587190000000001</v>
      </c>
      <c r="N4734">
        <v>0</v>
      </c>
      <c r="O4734">
        <v>-0.25892389999999998</v>
      </c>
      <c r="P4734">
        <v>0.9527274</v>
      </c>
      <c r="Q4734">
        <v>5.5847580000000001E-2</v>
      </c>
      <c r="R4734">
        <v>-0.29864990000000002</v>
      </c>
      <c r="S4734">
        <v>3.036346</v>
      </c>
      <c r="T4734">
        <v>-0.18994140000000001</v>
      </c>
      <c r="U4734">
        <v>-0.39840700000000001</v>
      </c>
      <c r="V4734">
        <v>4.1653349999999999E-2</v>
      </c>
      <c r="W4734">
        <v>6.3007389999999996E-2</v>
      </c>
      <c r="X4734">
        <v>0.99714340000000001</v>
      </c>
      <c r="Y4734">
        <v>-0.13033599999999901</v>
      </c>
      <c r="Z4734">
        <v>1.996092E-2</v>
      </c>
      <c r="AA4734">
        <v>0.99126890000000001</v>
      </c>
      <c r="AB4734">
        <v>25</v>
      </c>
      <c r="AC4734">
        <v>17.516300000000001</v>
      </c>
      <c r="AD4734">
        <v>-1.109988823618</v>
      </c>
      <c r="AE4734">
        <v>-2.2682099999999998</v>
      </c>
      <c r="AF4734">
        <v>-2.3354233817710002</v>
      </c>
      <c r="AG4734">
        <v>-1.109988823618</v>
      </c>
      <c r="AH4734">
        <v>17.437365366003199</v>
      </c>
      <c r="AI4734">
        <v>93.610143626333894</v>
      </c>
      <c r="AJ4734">
        <v>97.628349633488696</v>
      </c>
      <c r="AK4734">
        <v>17.628045509022499</v>
      </c>
      <c r="AL4734">
        <v>86.387549390580602</v>
      </c>
      <c r="AM4734">
        <v>87.607992530894293</v>
      </c>
      <c r="AN4734">
        <v>0.99999994646219503</v>
      </c>
    </row>
    <row r="4735" spans="1:40" x14ac:dyDescent="0.25">
      <c r="A4735" t="str">
        <f>"20190312154654977"</f>
        <v>20190312154654977</v>
      </c>
      <c r="B4735" t="str">
        <f>"1552376814962566"</f>
        <v>1552376814962566</v>
      </c>
      <c r="C4735" t="s">
        <v>40</v>
      </c>
      <c r="D4735">
        <v>4.9383499999999998</v>
      </c>
      <c r="E4735">
        <v>0.43548049999999999</v>
      </c>
      <c r="F4735" t="s">
        <v>81</v>
      </c>
      <c r="G4735">
        <v>-367.13350000000003</v>
      </c>
      <c r="H4735" s="1">
        <v>-1.849774E-6</v>
      </c>
      <c r="I4735">
        <v>16.829560000000001</v>
      </c>
      <c r="J4735">
        <v>-384.46409999999997</v>
      </c>
      <c r="K4735">
        <v>1.1100719999999999</v>
      </c>
      <c r="L4735">
        <v>19.037479999999999</v>
      </c>
      <c r="M4735">
        <v>0.96621060000000003</v>
      </c>
      <c r="N4735">
        <v>0</v>
      </c>
      <c r="O4735">
        <v>-0.25765650000000001</v>
      </c>
      <c r="P4735">
        <v>0.95332289999999997</v>
      </c>
      <c r="Q4735">
        <v>5.5835740000000002E-2</v>
      </c>
      <c r="R4735">
        <v>-0.29674539999999999</v>
      </c>
      <c r="S4735">
        <v>3.037048</v>
      </c>
      <c r="T4735">
        <v>-0.19185959999999999</v>
      </c>
      <c r="U4735">
        <v>-0.39251710000000001</v>
      </c>
      <c r="V4735">
        <v>4.0953349999999999E-2</v>
      </c>
      <c r="W4735">
        <v>6.2983590000000006E-2</v>
      </c>
      <c r="X4735">
        <v>0.997174</v>
      </c>
      <c r="Y4735">
        <v>-0.13094159999999999</v>
      </c>
      <c r="Z4735">
        <v>2.0103159999999998E-2</v>
      </c>
      <c r="AA4735">
        <v>0.99118629999999996</v>
      </c>
      <c r="AB4735">
        <v>25</v>
      </c>
      <c r="AC4735">
        <v>17.330599999999901</v>
      </c>
      <c r="AD4735">
        <v>-1.1100738497739999</v>
      </c>
      <c r="AE4735">
        <v>-2.2079199999999899</v>
      </c>
      <c r="AF4735">
        <v>-2.3227072534886299</v>
      </c>
      <c r="AG4735">
        <v>-1.1100738497739999</v>
      </c>
      <c r="AH4735">
        <v>17.244708031273198</v>
      </c>
      <c r="AI4735">
        <v>93.650281946240995</v>
      </c>
      <c r="AJ4735">
        <v>97.671060476481799</v>
      </c>
      <c r="AK4735">
        <v>17.435801903589599</v>
      </c>
      <c r="AL4735">
        <v>86.388916110758302</v>
      </c>
      <c r="AM4735">
        <v>87.648217669781602</v>
      </c>
      <c r="AN4735">
        <v>1.00000004788075</v>
      </c>
    </row>
    <row r="4736" spans="1:40" x14ac:dyDescent="0.25">
      <c r="A4736" t="str">
        <f>"20190312154655000"</f>
        <v>20190312154655000</v>
      </c>
      <c r="B4736" t="str">
        <f>"1552376814992821"</f>
        <v>1552376814992821</v>
      </c>
      <c r="C4736" t="s">
        <v>40</v>
      </c>
      <c r="D4736">
        <v>4.9476209999999998</v>
      </c>
      <c r="E4736">
        <v>0.4357916</v>
      </c>
      <c r="F4736" t="s">
        <v>81</v>
      </c>
      <c r="G4736">
        <v>-367.0145</v>
      </c>
      <c r="H4736" s="1">
        <v>-1.9088229999999998E-6</v>
      </c>
      <c r="I4736">
        <v>16.813749999999999</v>
      </c>
      <c r="J4736">
        <v>-384.21120000000002</v>
      </c>
      <c r="K4736">
        <v>1.1101730000000001</v>
      </c>
      <c r="L4736">
        <v>18.97165</v>
      </c>
      <c r="M4736">
        <v>0.96660539999999995</v>
      </c>
      <c r="N4736">
        <v>0</v>
      </c>
      <c r="O4736">
        <v>-0.25617279999999998</v>
      </c>
      <c r="P4736">
        <v>0.95373459999999999</v>
      </c>
      <c r="Q4736">
        <v>5.5517660000000003E-2</v>
      </c>
      <c r="R4736">
        <v>-0.29548020000000003</v>
      </c>
      <c r="S4736">
        <v>3.0376889999999999</v>
      </c>
      <c r="T4736">
        <v>-0.19324640000000001</v>
      </c>
      <c r="U4736">
        <v>-0.3871155</v>
      </c>
      <c r="V4736">
        <v>4.1139549999999997E-2</v>
      </c>
      <c r="W4736">
        <v>6.2656160000000002E-2</v>
      </c>
      <c r="X4736">
        <v>0.99718689999999999</v>
      </c>
      <c r="Y4736">
        <v>-0.1311717</v>
      </c>
      <c r="Z4736">
        <v>2.0163710000000001E-2</v>
      </c>
      <c r="AA4736">
        <v>0.9911546</v>
      </c>
      <c r="AB4736">
        <v>26</v>
      </c>
      <c r="AC4736">
        <v>17.1967</v>
      </c>
      <c r="AD4736">
        <v>-1.110174908823</v>
      </c>
      <c r="AE4736">
        <v>-2.1579000000000002</v>
      </c>
      <c r="AF4736">
        <v>-2.3100680650290402</v>
      </c>
      <c r="AG4736">
        <v>-1.110174908823</v>
      </c>
      <c r="AH4736">
        <v>17.1054587927797</v>
      </c>
      <c r="AI4736">
        <v>93.680076486662799</v>
      </c>
      <c r="AJ4736">
        <v>97.691181837620206</v>
      </c>
      <c r="AK4736">
        <v>17.296404924282101</v>
      </c>
      <c r="AL4736">
        <v>86.407713368994806</v>
      </c>
      <c r="AM4736">
        <v>87.637567585186602</v>
      </c>
      <c r="AN4736">
        <v>0.99999998524587896</v>
      </c>
    </row>
    <row r="4737" spans="1:40" x14ac:dyDescent="0.25">
      <c r="A4737" t="str">
        <f>"20190312154655022"</f>
        <v>20190312154655022</v>
      </c>
      <c r="B4737" t="str">
        <f>"1552376815012344"</f>
        <v>1552376815012344</v>
      </c>
      <c r="C4737" t="s">
        <v>40</v>
      </c>
      <c r="D4737">
        <v>5.0117859999999999</v>
      </c>
      <c r="E4737">
        <v>0.43601430000000002</v>
      </c>
      <c r="F4737" t="s">
        <v>81</v>
      </c>
      <c r="G4737">
        <v>-367.04840000000002</v>
      </c>
      <c r="H4737" s="1">
        <v>-1.895833E-6</v>
      </c>
      <c r="I4737">
        <v>16.796700000000001</v>
      </c>
      <c r="J4737">
        <v>-383.96030000000002</v>
      </c>
      <c r="K4737">
        <v>1.1103000000000001</v>
      </c>
      <c r="L4737">
        <v>18.90692</v>
      </c>
      <c r="M4737">
        <v>0.96704069999999998</v>
      </c>
      <c r="N4737">
        <v>0</v>
      </c>
      <c r="O4737">
        <v>-0.2545249</v>
      </c>
      <c r="P4737">
        <v>0.9543758</v>
      </c>
      <c r="Q4737">
        <v>5.5323219999999999E-2</v>
      </c>
      <c r="R4737">
        <v>-0.29343940000000002</v>
      </c>
      <c r="S4737">
        <v>3.0376889999999999</v>
      </c>
      <c r="T4737">
        <v>-0.19649259999999999</v>
      </c>
      <c r="U4737">
        <v>-0.38494869999999998</v>
      </c>
      <c r="V4737">
        <v>4.0683789999999997E-2</v>
      </c>
      <c r="W4737">
        <v>6.245581E-2</v>
      </c>
      <c r="X4737">
        <v>0.99721819999999906</v>
      </c>
      <c r="Y4737">
        <v>-0.13015739999999901</v>
      </c>
      <c r="Z4737">
        <v>2.036789E-2</v>
      </c>
      <c r="AA4737">
        <v>0.9912841</v>
      </c>
      <c r="AB4737">
        <v>26</v>
      </c>
      <c r="AC4737">
        <v>16.911899999999999</v>
      </c>
      <c r="AD4737">
        <v>-1.110301895833</v>
      </c>
      <c r="AE4737">
        <v>-2.1102199999999902</v>
      </c>
      <c r="AF4737">
        <v>-2.2543192993989498</v>
      </c>
      <c r="AG4737">
        <v>-1.110301895833</v>
      </c>
      <c r="AH4737">
        <v>16.820627267787099</v>
      </c>
      <c r="AI4737">
        <v>93.7431509073065</v>
      </c>
      <c r="AJ4737">
        <v>97.633358790354194</v>
      </c>
      <c r="AK4737">
        <v>17.007299241365601</v>
      </c>
      <c r="AL4737">
        <v>86.419215225178704</v>
      </c>
      <c r="AM4737">
        <v>87.6637836197675</v>
      </c>
      <c r="AN4737">
        <v>1.00000001869137</v>
      </c>
    </row>
    <row r="4738" spans="1:40" x14ac:dyDescent="0.25">
      <c r="A4738" t="str">
        <f>"20190312154655042"</f>
        <v>20190312154655042</v>
      </c>
      <c r="B4738" t="str">
        <f>"1552376815032836"</f>
        <v>1552376815032836</v>
      </c>
      <c r="C4738" t="s">
        <v>40</v>
      </c>
      <c r="D4738">
        <v>4.9584890000000001</v>
      </c>
      <c r="E4738">
        <v>0.43633470000000002</v>
      </c>
      <c r="F4738" t="s">
        <v>81</v>
      </c>
      <c r="G4738">
        <v>-366.97340000000003</v>
      </c>
      <c r="H4738" s="1">
        <v>-1.9335790000000001E-6</v>
      </c>
      <c r="I4738">
        <v>16.783629999999999</v>
      </c>
      <c r="J4738">
        <v>-383.72559999999999</v>
      </c>
      <c r="K4738">
        <v>1.110439</v>
      </c>
      <c r="L4738">
        <v>18.847020000000001</v>
      </c>
      <c r="M4738">
        <v>0.96749470000000004</v>
      </c>
      <c r="N4738">
        <v>0</v>
      </c>
      <c r="O4738">
        <v>-0.25279449999999998</v>
      </c>
      <c r="P4738">
        <v>0.95485399999999998</v>
      </c>
      <c r="Q4738">
        <v>5.5080299999999999E-2</v>
      </c>
      <c r="R4738">
        <v>-0.29192499999999999</v>
      </c>
      <c r="S4738">
        <v>3.0381770000000001</v>
      </c>
      <c r="T4738">
        <v>-0.1985828</v>
      </c>
      <c r="U4738">
        <v>-0.37976070000000001</v>
      </c>
      <c r="V4738">
        <v>4.0862059999999999E-2</v>
      </c>
      <c r="W4738">
        <v>6.2213570000000003E-2</v>
      </c>
      <c r="X4738">
        <v>0.9972261</v>
      </c>
      <c r="Y4738">
        <v>-0.13005700000000001</v>
      </c>
      <c r="Z4738">
        <v>2.047183E-2</v>
      </c>
      <c r="AA4738">
        <v>0.99129520000000004</v>
      </c>
      <c r="AB4738">
        <v>26</v>
      </c>
      <c r="AC4738">
        <v>16.752199999999899</v>
      </c>
      <c r="AD4738">
        <v>-1.110440933579</v>
      </c>
      <c r="AE4738">
        <v>-2.0633900000000001</v>
      </c>
      <c r="AF4738">
        <v>-2.22895255357904</v>
      </c>
      <c r="AG4738">
        <v>-1.110440933579</v>
      </c>
      <c r="AH4738">
        <v>16.657590302088298</v>
      </c>
      <c r="AI4738">
        <v>93.7802581080267</v>
      </c>
      <c r="AJ4738">
        <v>97.621476967101103</v>
      </c>
      <c r="AK4738">
        <v>16.842702372995301</v>
      </c>
      <c r="AL4738">
        <v>86.4331217650235</v>
      </c>
      <c r="AM4738">
        <v>87.653576670155005</v>
      </c>
      <c r="AN4738">
        <v>1.00000006538039</v>
      </c>
    </row>
    <row r="4739" spans="1:40" x14ac:dyDescent="0.25">
      <c r="A4739" t="str">
        <f>"20190312154655056"</f>
        <v>20190312154655056</v>
      </c>
      <c r="B4739" t="str">
        <f>"1552376815042596"</f>
        <v>1552376815042596</v>
      </c>
      <c r="C4739" t="s">
        <v>40</v>
      </c>
      <c r="D4739">
        <v>5.0145429999999998</v>
      </c>
      <c r="E4739">
        <v>0.4364613</v>
      </c>
      <c r="F4739" t="s">
        <v>81</v>
      </c>
      <c r="G4739">
        <v>-366.92309999999998</v>
      </c>
      <c r="H4739" s="1">
        <v>-1.9617359999999999E-6</v>
      </c>
      <c r="I4739">
        <v>16.7591</v>
      </c>
      <c r="J4739">
        <v>-383.58359999999999</v>
      </c>
      <c r="K4739">
        <v>1.1105400000000001</v>
      </c>
      <c r="L4739">
        <v>18.811129999999999</v>
      </c>
      <c r="M4739">
        <v>0.96779930000000003</v>
      </c>
      <c r="N4739">
        <v>0</v>
      </c>
      <c r="O4739">
        <v>-0.25162570000000001</v>
      </c>
      <c r="P4739">
        <v>0.95522419999999997</v>
      </c>
      <c r="Q4739">
        <v>5.4977900000000003E-2</v>
      </c>
      <c r="R4739">
        <v>-0.29073110000000002</v>
      </c>
      <c r="S4739">
        <v>3.0379640000000001</v>
      </c>
      <c r="T4739">
        <v>-0.2007717</v>
      </c>
      <c r="U4739">
        <v>-0.37750240000000002</v>
      </c>
      <c r="V4739">
        <v>4.0804060000000003E-2</v>
      </c>
      <c r="W4739">
        <v>6.2119349999999997E-2</v>
      </c>
      <c r="X4739">
        <v>0.99723430000000002</v>
      </c>
      <c r="Y4739">
        <v>-0.12956219999999999</v>
      </c>
      <c r="Z4739">
        <v>2.0609160000000001E-2</v>
      </c>
      <c r="AA4739">
        <v>0.99135709999999999</v>
      </c>
      <c r="AB4739">
        <v>26</v>
      </c>
      <c r="AC4739">
        <v>16.660499999999999</v>
      </c>
      <c r="AD4739">
        <v>-1.1105419617359999</v>
      </c>
      <c r="AE4739">
        <v>-2.05202999999999</v>
      </c>
      <c r="AF4739">
        <v>-2.1966963932363801</v>
      </c>
      <c r="AG4739">
        <v>-1.1105419617359999</v>
      </c>
      <c r="AH4739">
        <v>16.568255947649501</v>
      </c>
      <c r="AI4739">
        <v>93.801533883889604</v>
      </c>
      <c r="AJ4739">
        <v>97.552492051667599</v>
      </c>
      <c r="AK4739">
        <v>16.750101003864302</v>
      </c>
      <c r="AL4739">
        <v>86.438530462447403</v>
      </c>
      <c r="AM4739">
        <v>87.656922736471401</v>
      </c>
      <c r="AN4739">
        <v>1.0000000170266901</v>
      </c>
    </row>
    <row r="4740" spans="1:40" x14ac:dyDescent="0.25">
      <c r="A4740" t="str">
        <f>"20190312154655067"</f>
        <v>20190312154655067</v>
      </c>
      <c r="B4740" t="str">
        <f>"1552376815062117"</f>
        <v>1552376815062117</v>
      </c>
      <c r="C4740" t="s">
        <v>40</v>
      </c>
      <c r="D4740">
        <v>4.9628670000000001</v>
      </c>
      <c r="E4740">
        <v>0.44310539999999998</v>
      </c>
      <c r="F4740" t="s">
        <v>81</v>
      </c>
      <c r="G4740">
        <v>-366.86660000000001</v>
      </c>
      <c r="H4740" s="1">
        <v>-1.990129E-6</v>
      </c>
      <c r="I4740">
        <v>16.74963</v>
      </c>
      <c r="J4740">
        <v>-383.44529999999997</v>
      </c>
      <c r="K4740">
        <v>1.1106389999999999</v>
      </c>
      <c r="L4740">
        <v>18.77637</v>
      </c>
      <c r="M4740">
        <v>0.96810700000000005</v>
      </c>
      <c r="N4740">
        <v>0</v>
      </c>
      <c r="O4740">
        <v>-0.25043880000000002</v>
      </c>
      <c r="P4740">
        <v>0.95536319999999997</v>
      </c>
      <c r="Q4740">
        <v>5.4737510000000003E-2</v>
      </c>
      <c r="R4740">
        <v>-0.29031940000000001</v>
      </c>
      <c r="S4740">
        <v>3.038208</v>
      </c>
      <c r="T4740">
        <v>-0.20183409999999999</v>
      </c>
      <c r="U4740">
        <v>-0.37466430000000001</v>
      </c>
      <c r="V4740">
        <v>4.1579850000000002E-2</v>
      </c>
      <c r="W4740">
        <v>6.1894240000000003E-2</v>
      </c>
      <c r="X4740">
        <v>0.9972162</v>
      </c>
      <c r="Y4740">
        <v>-0.12926279999999901</v>
      </c>
      <c r="Z4740">
        <v>2.0632190000000002E-2</v>
      </c>
      <c r="AA4740">
        <v>0.99139569999999999</v>
      </c>
      <c r="AB4740">
        <v>26</v>
      </c>
      <c r="AC4740">
        <v>16.578699999999898</v>
      </c>
      <c r="AD4740">
        <v>-1.110640990129</v>
      </c>
      <c r="AE4740">
        <v>-2.0267400000000002</v>
      </c>
      <c r="AF4740">
        <v>-2.1802616838785198</v>
      </c>
      <c r="AG4740">
        <v>-1.110640990129</v>
      </c>
      <c r="AH4740">
        <v>16.485043169773</v>
      </c>
      <c r="AI4740">
        <v>93.821168628536796</v>
      </c>
      <c r="AJ4740">
        <v>97.534040392117205</v>
      </c>
      <c r="AK4740">
        <v>16.665644683852602</v>
      </c>
      <c r="AL4740">
        <v>86.451452997896894</v>
      </c>
      <c r="AM4740">
        <v>87.612382606026699</v>
      </c>
      <c r="AN4740">
        <v>0.999999965206819</v>
      </c>
    </row>
    <row r="4741" spans="1:40" x14ac:dyDescent="0.25">
      <c r="A4741" t="str">
        <f>"20190312154655086"</f>
        <v>20190312154655086</v>
      </c>
      <c r="B4741" t="str">
        <f>"1552376815082613"</f>
        <v>1552376815082613</v>
      </c>
      <c r="C4741" t="s">
        <v>40</v>
      </c>
      <c r="D4741">
        <v>4.9972810000000001</v>
      </c>
      <c r="E4741">
        <v>0.4419534</v>
      </c>
      <c r="F4741" t="s">
        <v>82</v>
      </c>
      <c r="G4741">
        <v>-370.20030000000003</v>
      </c>
      <c r="H4741" s="1">
        <v>-5.089892E-6</v>
      </c>
      <c r="I4741">
        <v>16.927150000000001</v>
      </c>
      <c r="J4741">
        <v>-383.2373</v>
      </c>
      <c r="K4741">
        <v>1.1108070000000001</v>
      </c>
      <c r="L4741">
        <v>18.724609999999998</v>
      </c>
      <c r="M4741">
        <v>0.96860440000000003</v>
      </c>
      <c r="N4741">
        <v>0</v>
      </c>
      <c r="O4741">
        <v>-0.2485076</v>
      </c>
      <c r="P4741">
        <v>0.95570299999999997</v>
      </c>
      <c r="Q4741">
        <v>5.402759E-2</v>
      </c>
      <c r="R4741">
        <v>-0.2893329</v>
      </c>
      <c r="S4741">
        <v>3.0262760000000002</v>
      </c>
      <c r="T4741">
        <v>-0.25376320000000002</v>
      </c>
      <c r="U4741">
        <v>-0.4225159</v>
      </c>
      <c r="V4741">
        <v>4.2508280000000002E-2</v>
      </c>
      <c r="W4741">
        <v>6.122317E-2</v>
      </c>
      <c r="X4741">
        <v>0.99721850000000001</v>
      </c>
      <c r="Y4741">
        <v>-0.11097650000000001</v>
      </c>
      <c r="Z4741">
        <v>2.5071110000000001E-2</v>
      </c>
      <c r="AA4741">
        <v>0.99350669999999996</v>
      </c>
      <c r="AB4741">
        <v>26</v>
      </c>
      <c r="AC4741">
        <v>13.0369999999999</v>
      </c>
      <c r="AD4741">
        <v>-1.110812089892</v>
      </c>
      <c r="AE4741">
        <v>-1.7974600000000001</v>
      </c>
      <c r="AF4741">
        <v>-1.4882004812366501</v>
      </c>
      <c r="AG4741">
        <v>-1.110812089892</v>
      </c>
      <c r="AH4741">
        <v>12.9822112103845</v>
      </c>
      <c r="AI4741">
        <v>94.858886843587598</v>
      </c>
      <c r="AJ4741">
        <v>96.539488897737996</v>
      </c>
      <c r="AK4741">
        <v>13.1143605289177</v>
      </c>
      <c r="AL4741">
        <v>86.489975602658703</v>
      </c>
      <c r="AM4741">
        <v>87.559139268783298</v>
      </c>
      <c r="AN4741">
        <v>0.99999998357782804</v>
      </c>
    </row>
    <row r="4742" spans="1:40" x14ac:dyDescent="0.25">
      <c r="A4742" t="str">
        <f>"20190312154655110"</f>
        <v>20190312154655110</v>
      </c>
      <c r="B4742" t="str">
        <f>"1552376815102132"</f>
        <v>1552376815102132</v>
      </c>
      <c r="C4742" t="s">
        <v>40</v>
      </c>
      <c r="D4742">
        <v>5.0037839999999996</v>
      </c>
      <c r="E4742">
        <v>0.44149690000000003</v>
      </c>
      <c r="F4742" t="s">
        <v>81</v>
      </c>
      <c r="G4742">
        <v>-369.48930000000001</v>
      </c>
      <c r="H4742" s="1">
        <v>-9.2978670000000001E-7</v>
      </c>
      <c r="I4742">
        <v>16.860489999999999</v>
      </c>
      <c r="J4742">
        <v>-382.96039999999999</v>
      </c>
      <c r="K4742">
        <v>1.1110279999999999</v>
      </c>
      <c r="L4742">
        <v>18.656739999999999</v>
      </c>
      <c r="M4742">
        <v>0.96932660000000004</v>
      </c>
      <c r="N4742">
        <v>0</v>
      </c>
      <c r="O4742">
        <v>-0.245674</v>
      </c>
      <c r="P4742">
        <v>0.9564028</v>
      </c>
      <c r="Q4742">
        <v>5.3501769999999997E-2</v>
      </c>
      <c r="R4742">
        <v>-0.2871088</v>
      </c>
      <c r="S4742">
        <v>3.0285340000000001</v>
      </c>
      <c r="T4742">
        <v>-0.244699</v>
      </c>
      <c r="U4742">
        <v>-0.41064450000000002</v>
      </c>
      <c r="V4742">
        <v>4.3068759999999998E-2</v>
      </c>
      <c r="W4742">
        <v>6.0773870000000001E-2</v>
      </c>
      <c r="X4742">
        <v>0.99722189999999999</v>
      </c>
      <c r="Y4742">
        <v>-0.1120849</v>
      </c>
      <c r="Z4742">
        <v>2.3993859999999999E-2</v>
      </c>
      <c r="AA4742">
        <v>0.99340890000000004</v>
      </c>
      <c r="AB4742">
        <v>26</v>
      </c>
      <c r="AC4742">
        <v>13.4710999999999</v>
      </c>
      <c r="AD4742">
        <v>-1.1110289297867</v>
      </c>
      <c r="AE4742">
        <v>-1.7962499999999999</v>
      </c>
      <c r="AF4742">
        <v>-1.5579731078805401</v>
      </c>
      <c r="AG4742">
        <v>-1.1110289297867</v>
      </c>
      <c r="AH4742">
        <v>13.4099041412898</v>
      </c>
      <c r="AI4742">
        <v>94.704714438146894</v>
      </c>
      <c r="AJ4742">
        <v>96.626958028422294</v>
      </c>
      <c r="AK4742">
        <v>13.5457445187145</v>
      </c>
      <c r="AL4742">
        <v>86.515766505091605</v>
      </c>
      <c r="AM4742">
        <v>87.527004159430305</v>
      </c>
      <c r="AN4742">
        <v>0.99999994960116101</v>
      </c>
    </row>
    <row r="4743" spans="1:40" x14ac:dyDescent="0.25">
      <c r="A4743" t="str">
        <f>"20190312154655123"</f>
        <v>20190312154655123</v>
      </c>
      <c r="B4743" t="str">
        <f>"1552376815112869"</f>
        <v>1552376815112869</v>
      </c>
      <c r="C4743" t="s">
        <v>40</v>
      </c>
      <c r="D4743">
        <v>4.9635910000000001</v>
      </c>
      <c r="E4743">
        <v>0.44155369999999999</v>
      </c>
      <c r="F4743" t="s">
        <v>81</v>
      </c>
      <c r="G4743">
        <v>-369.15449999999998</v>
      </c>
      <c r="H4743" s="1">
        <v>-1.0660480000000001E-6</v>
      </c>
      <c r="I4743">
        <v>16.83165</v>
      </c>
      <c r="J4743">
        <v>-382.81380000000001</v>
      </c>
      <c r="K4743">
        <v>1.111145</v>
      </c>
      <c r="L4743">
        <v>18.62115</v>
      </c>
      <c r="M4743">
        <v>0.96972720000000001</v>
      </c>
      <c r="N4743">
        <v>0</v>
      </c>
      <c r="O4743">
        <v>-0.2440871</v>
      </c>
      <c r="P4743">
        <v>0.95680460000000001</v>
      </c>
      <c r="Q4743">
        <v>5.3237760000000002E-2</v>
      </c>
      <c r="R4743">
        <v>-0.28581669999999998</v>
      </c>
      <c r="S4743">
        <v>3.030151</v>
      </c>
      <c r="T4743">
        <v>-0.2438505</v>
      </c>
      <c r="U4743">
        <v>-0.40057369999999998</v>
      </c>
      <c r="V4743">
        <v>4.3335600000000002E-2</v>
      </c>
      <c r="W4743">
        <v>6.0556359999999997E-2</v>
      </c>
      <c r="X4743">
        <v>0.99722359999999999</v>
      </c>
      <c r="Y4743">
        <v>-0.1137803</v>
      </c>
      <c r="Z4743">
        <v>2.3850409999999999E-2</v>
      </c>
      <c r="AA4743">
        <v>0.99321959999999998</v>
      </c>
      <c r="AB4743">
        <v>26</v>
      </c>
      <c r="AC4743">
        <v>13.6593</v>
      </c>
      <c r="AD4743">
        <v>-1.1111460660479999</v>
      </c>
      <c r="AE4743">
        <v>-1.7895000000000001</v>
      </c>
      <c r="AF4743">
        <v>-1.5884386663282</v>
      </c>
      <c r="AG4743">
        <v>-1.1111460660479999</v>
      </c>
      <c r="AH4743">
        <v>13.5944932815796</v>
      </c>
      <c r="AI4743">
        <v>94.641248449605797</v>
      </c>
      <c r="AJ4743">
        <v>96.664464211305003</v>
      </c>
      <c r="AK4743">
        <v>13.732007521105301</v>
      </c>
      <c r="AL4743">
        <v>86.5282520042676</v>
      </c>
      <c r="AM4743">
        <v>87.511705718818902</v>
      </c>
      <c r="AN4743">
        <v>0.99999997768038396</v>
      </c>
    </row>
    <row r="4744" spans="1:40" x14ac:dyDescent="0.25">
      <c r="A4744" t="str">
        <f>"20190312154655143"</f>
        <v>20190312154655143</v>
      </c>
      <c r="B4744" t="str">
        <f>"1552376815132899"</f>
        <v>1552376815132899</v>
      </c>
      <c r="C4744" t="s">
        <v>40</v>
      </c>
      <c r="D4744">
        <v>5.0078620000000003</v>
      </c>
      <c r="E4744">
        <v>0.44150479999999998</v>
      </c>
      <c r="F4744" t="s">
        <v>81</v>
      </c>
      <c r="G4744">
        <v>-369.00020000000001</v>
      </c>
      <c r="H4744" s="1">
        <v>-1.1311099999999999E-6</v>
      </c>
      <c r="I4744">
        <v>16.809889999999999</v>
      </c>
      <c r="J4744">
        <v>-382.58960000000002</v>
      </c>
      <c r="K4744">
        <v>1.111313</v>
      </c>
      <c r="L4744">
        <v>18.56757</v>
      </c>
      <c r="M4744">
        <v>0.97037799999999996</v>
      </c>
      <c r="N4744">
        <v>0</v>
      </c>
      <c r="O4744">
        <v>-0.24148449999999999</v>
      </c>
      <c r="P4744">
        <v>0.95765100000000003</v>
      </c>
      <c r="Q4744">
        <v>5.2720789999999997E-2</v>
      </c>
      <c r="R4744">
        <v>-0.28306389999999998</v>
      </c>
      <c r="S4744">
        <v>3.0303040000000001</v>
      </c>
      <c r="T4744">
        <v>-0.2437532</v>
      </c>
      <c r="U4744">
        <v>-0.39733889999999999</v>
      </c>
      <c r="V4744">
        <v>4.3115750000000001E-2</v>
      </c>
      <c r="W4744">
        <v>6.0120369999999999E-2</v>
      </c>
      <c r="X4744">
        <v>0.99725960000000002</v>
      </c>
      <c r="Y4744">
        <v>-0.112177399999999</v>
      </c>
      <c r="Z4744">
        <v>2.3576260000000002E-2</v>
      </c>
      <c r="AA4744">
        <v>0.99340850000000003</v>
      </c>
      <c r="AB4744">
        <v>26</v>
      </c>
      <c r="AC4744">
        <v>13.589399999999999</v>
      </c>
      <c r="AD4744">
        <v>-1.1113141311100001</v>
      </c>
      <c r="AE4744">
        <v>-1.7576799999999999</v>
      </c>
      <c r="AF4744">
        <v>-1.5657573284005</v>
      </c>
      <c r="AG4744">
        <v>-1.1113141311100001</v>
      </c>
      <c r="AH4744">
        <v>13.5227125809791</v>
      </c>
      <c r="AI4744">
        <v>94.667042670651895</v>
      </c>
      <c r="AJ4744">
        <v>96.604708211361995</v>
      </c>
      <c r="AK4744">
        <v>13.658344360031901</v>
      </c>
      <c r="AL4744">
        <v>86.553278302441498</v>
      </c>
      <c r="AM4744">
        <v>87.524402835931397</v>
      </c>
      <c r="AN4744">
        <v>1.00000006828957</v>
      </c>
    </row>
    <row r="4745" spans="1:40" x14ac:dyDescent="0.25">
      <c r="A4745" t="str">
        <f>"20190312154655157"</f>
        <v>20190312154655157</v>
      </c>
      <c r="B4745" t="str">
        <f>"1552376815152420"</f>
        <v>1552376815152420</v>
      </c>
      <c r="C4745" t="s">
        <v>40</v>
      </c>
      <c r="D4745">
        <v>5.0165439999999997</v>
      </c>
      <c r="E4745">
        <v>0.441521</v>
      </c>
      <c r="F4745" t="s">
        <v>81</v>
      </c>
      <c r="G4745">
        <v>-368.90550000000002</v>
      </c>
      <c r="H4745" s="1">
        <v>-1.1670490000000001E-6</v>
      </c>
      <c r="I4745">
        <v>16.811429999999898</v>
      </c>
      <c r="J4745">
        <v>-382.43110000000001</v>
      </c>
      <c r="K4745">
        <v>1.111435</v>
      </c>
      <c r="L4745">
        <v>18.53021</v>
      </c>
      <c r="M4745">
        <v>0.97086700000000004</v>
      </c>
      <c r="N4745">
        <v>0</v>
      </c>
      <c r="O4745">
        <v>-0.2395091</v>
      </c>
      <c r="P4745">
        <v>0.95821409999999996</v>
      </c>
      <c r="Q4745">
        <v>5.2368779999999997E-2</v>
      </c>
      <c r="R4745">
        <v>-0.28121770000000001</v>
      </c>
      <c r="S4745">
        <v>3.0312190000000001</v>
      </c>
      <c r="T4745">
        <v>-0.24617149999999999</v>
      </c>
      <c r="U4745">
        <v>-0.38900760000000001</v>
      </c>
      <c r="V4745">
        <v>4.320417E-2</v>
      </c>
      <c r="W4745">
        <v>5.9843830000000001E-2</v>
      </c>
      <c r="X4745">
        <v>0.9972723</v>
      </c>
      <c r="Y4745">
        <v>-0.11286119999999999</v>
      </c>
      <c r="Z4745">
        <v>2.3681020000000001E-2</v>
      </c>
      <c r="AA4745">
        <v>0.99332849999999995</v>
      </c>
      <c r="AB4745">
        <v>26</v>
      </c>
      <c r="AC4745">
        <v>13.525599999999899</v>
      </c>
      <c r="AD4745">
        <v>-1.1114361670490001</v>
      </c>
      <c r="AE4745">
        <v>-1.71878</v>
      </c>
      <c r="AF4745">
        <v>-1.5604694487906201</v>
      </c>
      <c r="AG4745">
        <v>-1.1114361670490001</v>
      </c>
      <c r="AH4745">
        <v>13.454174957467499</v>
      </c>
      <c r="AI4745">
        <v>94.691119171509101</v>
      </c>
      <c r="AJ4745">
        <v>96.615835102616799</v>
      </c>
      <c r="AK4745">
        <v>13.589892532326401</v>
      </c>
      <c r="AL4745">
        <v>86.569151092637995</v>
      </c>
      <c r="AM4745">
        <v>87.519363870275498</v>
      </c>
      <c r="AN4745">
        <v>0.99999996232087296</v>
      </c>
    </row>
    <row r="4746" spans="1:40" x14ac:dyDescent="0.25">
      <c r="A4746" t="str">
        <f>"20190312154655178"</f>
        <v>20190312154655178</v>
      </c>
      <c r="B4746" t="str">
        <f>"1552376815172914"</f>
        <v>1552376815172914</v>
      </c>
      <c r="C4746" t="s">
        <v>40</v>
      </c>
      <c r="D4746">
        <v>5.0099090000000004</v>
      </c>
      <c r="E4746">
        <v>0.44151259999999998</v>
      </c>
      <c r="F4746" t="s">
        <v>81</v>
      </c>
      <c r="G4746">
        <v>-368.63920000000002</v>
      </c>
      <c r="H4746" s="1">
        <v>-1.2763270000000001E-6</v>
      </c>
      <c r="I4746">
        <v>16.785039999999999</v>
      </c>
      <c r="J4746">
        <v>-382.19619999999998</v>
      </c>
      <c r="K4746">
        <v>1.1116140000000001</v>
      </c>
      <c r="L4746">
        <v>18.475619999999999</v>
      </c>
      <c r="M4746">
        <v>0.97161770000000003</v>
      </c>
      <c r="N4746">
        <v>0</v>
      </c>
      <c r="O4746">
        <v>-0.2364424</v>
      </c>
      <c r="P4746">
        <v>0.95915629999999996</v>
      </c>
      <c r="Q4746">
        <v>5.2289500000000003E-2</v>
      </c>
      <c r="R4746">
        <v>-0.278003</v>
      </c>
      <c r="S4746">
        <v>3.0315859999999999</v>
      </c>
      <c r="T4746">
        <v>-0.2443043</v>
      </c>
      <c r="U4746">
        <v>-0.383606</v>
      </c>
      <c r="V4746">
        <v>4.2983920000000002E-2</v>
      </c>
      <c r="W4746">
        <v>5.9892859999999999E-2</v>
      </c>
      <c r="X4746">
        <v>0.99727889999999997</v>
      </c>
      <c r="Y4746">
        <v>-0.1115114</v>
      </c>
      <c r="Z4746">
        <v>2.3210270000000002E-2</v>
      </c>
      <c r="AA4746">
        <v>0.99349209999999999</v>
      </c>
      <c r="AB4746">
        <v>26</v>
      </c>
      <c r="AC4746">
        <v>13.556999999999899</v>
      </c>
      <c r="AD4746">
        <v>-1.111615276327</v>
      </c>
      <c r="AE4746">
        <v>-1.69058</v>
      </c>
      <c r="AF4746">
        <v>-1.5526155498774901</v>
      </c>
      <c r="AG4746">
        <v>-1.111615276327</v>
      </c>
      <c r="AH4746">
        <v>13.4830502789005</v>
      </c>
      <c r="AI4746">
        <v>94.682310072956795</v>
      </c>
      <c r="AJ4746">
        <v>96.568855889262096</v>
      </c>
      <c r="AK4746">
        <v>13.6175970123823</v>
      </c>
      <c r="AL4746">
        <v>86.566336921512899</v>
      </c>
      <c r="AM4746">
        <v>87.532010510598496</v>
      </c>
      <c r="AN4746">
        <v>0.99999998822137703</v>
      </c>
    </row>
    <row r="4747" spans="1:40" x14ac:dyDescent="0.25">
      <c r="A4747" t="str">
        <f>"20190312154655201"</f>
        <v>20190312154655201</v>
      </c>
      <c r="B4747" t="str">
        <f>"1552376815192435"</f>
        <v>1552376815192435</v>
      </c>
      <c r="C4747" t="s">
        <v>40</v>
      </c>
      <c r="D4747">
        <v>5.0005629999999996</v>
      </c>
      <c r="E4747">
        <v>0.44158039999999998</v>
      </c>
      <c r="F4747" t="s">
        <v>81</v>
      </c>
      <c r="G4747">
        <v>-368.39069999999998</v>
      </c>
      <c r="H4747" s="1">
        <v>-1.3743140000000001E-6</v>
      </c>
      <c r="I4747">
        <v>16.77552</v>
      </c>
      <c r="J4747">
        <v>-381.94029999999998</v>
      </c>
      <c r="K4747">
        <v>1.1118220000000001</v>
      </c>
      <c r="L4747">
        <v>18.41724</v>
      </c>
      <c r="M4747">
        <v>0.97247989999999995</v>
      </c>
      <c r="N4747">
        <v>0</v>
      </c>
      <c r="O4747">
        <v>-0.23286519999999999</v>
      </c>
      <c r="P4747">
        <v>0.96039459999999999</v>
      </c>
      <c r="Q4747">
        <v>5.0910940000000002E-2</v>
      </c>
      <c r="R4747">
        <v>-0.27395360000000002</v>
      </c>
      <c r="S4747">
        <v>3.0327760000000001</v>
      </c>
      <c r="T4747">
        <v>-0.24419759999999999</v>
      </c>
      <c r="U4747">
        <v>-0.37347409999999998</v>
      </c>
      <c r="V4747">
        <v>4.2408540000000002E-2</v>
      </c>
      <c r="W4747">
        <v>5.8692380000000002E-2</v>
      </c>
      <c r="X4747">
        <v>0.99737489999999995</v>
      </c>
      <c r="Y4747">
        <v>-0.1111847</v>
      </c>
      <c r="Z4747">
        <v>2.2906449999999998E-2</v>
      </c>
      <c r="AA4747">
        <v>0.99353579999999997</v>
      </c>
      <c r="AB4747">
        <v>26</v>
      </c>
      <c r="AC4747">
        <v>13.5495999999999</v>
      </c>
      <c r="AD4747">
        <v>-1.11182337431399</v>
      </c>
      <c r="AE4747">
        <v>-1.6417199999999901</v>
      </c>
      <c r="AF4747">
        <v>-1.5484595854729799</v>
      </c>
      <c r="AG4747">
        <v>-1.11182337431399</v>
      </c>
      <c r="AH4747">
        <v>13.470013644916</v>
      </c>
      <c r="AI4747">
        <v>94.687799477515995</v>
      </c>
      <c r="AJ4747">
        <v>96.557711204782194</v>
      </c>
      <c r="AK4747">
        <v>13.604232646413299</v>
      </c>
      <c r="AL4747">
        <v>86.635240580561003</v>
      </c>
      <c r="AM4747">
        <v>87.565240918765497</v>
      </c>
      <c r="AN4747">
        <v>0.99999998544250202</v>
      </c>
    </row>
    <row r="4748" spans="1:40" x14ac:dyDescent="0.25">
      <c r="A4748" t="str">
        <f>"20190312154655224"</f>
        <v>20190312154655224</v>
      </c>
      <c r="B4748" t="str">
        <f>"1552376815211955"</f>
        <v>1552376815211955</v>
      </c>
      <c r="C4748" t="s">
        <v>40</v>
      </c>
      <c r="D4748">
        <v>4.9962929999999997</v>
      </c>
      <c r="E4748">
        <v>0.44167970000000001</v>
      </c>
      <c r="F4748" t="s">
        <v>81</v>
      </c>
      <c r="G4748">
        <v>-368.38529999999997</v>
      </c>
      <c r="H4748" s="1">
        <v>-1.368971E-6</v>
      </c>
      <c r="I4748">
        <v>16.803290000000001</v>
      </c>
      <c r="J4748">
        <v>-381.66809999999998</v>
      </c>
      <c r="K4748">
        <v>1.11208</v>
      </c>
      <c r="L4748">
        <v>18.356570000000001</v>
      </c>
      <c r="M4748">
        <v>0.97344779999999997</v>
      </c>
      <c r="N4748">
        <v>0</v>
      </c>
      <c r="O4748">
        <v>-0.22877819999999999</v>
      </c>
      <c r="P4748">
        <v>0.96165129999999999</v>
      </c>
      <c r="Q4748">
        <v>4.9894529999999999E-2</v>
      </c>
      <c r="R4748">
        <v>-0.26969900000000002</v>
      </c>
      <c r="S4748">
        <v>3.0339049999999999</v>
      </c>
      <c r="T4748">
        <v>-0.24885119999999999</v>
      </c>
      <c r="U4748">
        <v>-0.36123660000000002</v>
      </c>
      <c r="V4748">
        <v>4.2144359999999999E-2</v>
      </c>
      <c r="W4748">
        <v>5.79198E-2</v>
      </c>
      <c r="X4748">
        <v>0.99743130000000002</v>
      </c>
      <c r="Y4748">
        <v>-0.11097750000000001</v>
      </c>
      <c r="Z4748">
        <v>2.3008049999999999E-2</v>
      </c>
      <c r="AA4748">
        <v>0.99355660000000001</v>
      </c>
      <c r="AB4748">
        <v>26</v>
      </c>
      <c r="AC4748">
        <v>13.2828</v>
      </c>
      <c r="AD4748">
        <v>-1.1120813689710001</v>
      </c>
      <c r="AE4748">
        <v>-1.55328</v>
      </c>
      <c r="AF4748">
        <v>-1.5163382648941901</v>
      </c>
      <c r="AG4748">
        <v>-1.1120813689710001</v>
      </c>
      <c r="AH4748">
        <v>13.194625589191601</v>
      </c>
      <c r="AI4748">
        <v>94.786314118847699</v>
      </c>
      <c r="AJ4748">
        <v>96.555723491863901</v>
      </c>
      <c r="AK4748">
        <v>13.3279462462806</v>
      </c>
      <c r="AL4748">
        <v>86.679581719732496</v>
      </c>
      <c r="AM4748">
        <v>87.580526593177893</v>
      </c>
      <c r="AN4748">
        <v>1.0000000242657601</v>
      </c>
    </row>
    <row r="4749" spans="1:40" x14ac:dyDescent="0.25">
      <c r="A4749" t="str">
        <f>"20190312154655248"</f>
        <v>20190312154655248</v>
      </c>
      <c r="B4749" t="str">
        <f>"1552376815242211"</f>
        <v>1552376815242211</v>
      </c>
      <c r="C4749" t="s">
        <v>40</v>
      </c>
      <c r="D4749">
        <v>5.037947</v>
      </c>
      <c r="E4749">
        <v>0.44189270000000003</v>
      </c>
      <c r="F4749" t="s">
        <v>81</v>
      </c>
      <c r="G4749">
        <v>-368.24220000000003</v>
      </c>
      <c r="H4749" s="1">
        <v>-1.4206870000000001E-6</v>
      </c>
      <c r="I4749">
        <v>16.81551</v>
      </c>
      <c r="J4749">
        <v>-381.39729999999997</v>
      </c>
      <c r="K4749">
        <v>1.1123270000000001</v>
      </c>
      <c r="L4749">
        <v>18.29785</v>
      </c>
      <c r="M4749">
        <v>0.97443000000000002</v>
      </c>
      <c r="N4749">
        <v>0</v>
      </c>
      <c r="O4749">
        <v>-0.22455079999999999</v>
      </c>
      <c r="P4749">
        <v>0.96288370000000001</v>
      </c>
      <c r="Q4749">
        <v>4.923338E-2</v>
      </c>
      <c r="R4749">
        <v>-0.26538979999999901</v>
      </c>
      <c r="S4749">
        <v>3.0349430000000002</v>
      </c>
      <c r="T4749">
        <v>-0.25138739999999998</v>
      </c>
      <c r="U4749">
        <v>-0.34835820000000001</v>
      </c>
      <c r="V4749">
        <v>4.1970920000000002E-2</v>
      </c>
      <c r="W4749">
        <v>5.7492309999999998E-2</v>
      </c>
      <c r="X4749">
        <v>0.99746330000000005</v>
      </c>
      <c r="Y4749">
        <v>-0.110855</v>
      </c>
      <c r="Z4749">
        <v>2.2897609999999999E-2</v>
      </c>
      <c r="AA4749">
        <v>0.99357280000000003</v>
      </c>
      <c r="AB4749">
        <v>26</v>
      </c>
      <c r="AC4749">
        <v>13.1550999999999</v>
      </c>
      <c r="AD4749">
        <v>-1.1123284206870001</v>
      </c>
      <c r="AE4749">
        <v>-1.48234</v>
      </c>
      <c r="AF4749">
        <v>-1.4990164051494601</v>
      </c>
      <c r="AG4749">
        <v>-1.1123284206870001</v>
      </c>
      <c r="AH4749">
        <v>13.059798973811199</v>
      </c>
      <c r="AI4749">
        <v>94.836639385194204</v>
      </c>
      <c r="AJ4749">
        <v>96.5478104463959</v>
      </c>
      <c r="AK4749">
        <v>13.1925234104297</v>
      </c>
      <c r="AL4749">
        <v>86.704115827340402</v>
      </c>
      <c r="AM4749">
        <v>87.5905490925214</v>
      </c>
      <c r="AN4749">
        <v>0.99999997934083595</v>
      </c>
    </row>
    <row r="4750" spans="1:40" x14ac:dyDescent="0.25">
      <c r="A4750" t="str">
        <f>"20190312154655266"</f>
        <v>20190312154655266</v>
      </c>
      <c r="B4750" t="str">
        <f>"1552376815251971"</f>
        <v>1552376815251971</v>
      </c>
      <c r="C4750" t="s">
        <v>40</v>
      </c>
      <c r="D4750">
        <v>5.0320980000000004</v>
      </c>
      <c r="E4750">
        <v>0.44199820000000001</v>
      </c>
      <c r="F4750" t="s">
        <v>81</v>
      </c>
      <c r="G4750">
        <v>-368.02859999999998</v>
      </c>
      <c r="H4750" s="1">
        <v>-1.502286E-6</v>
      </c>
      <c r="I4750">
        <v>16.817060000000001</v>
      </c>
      <c r="J4750">
        <v>-381.19040000000001</v>
      </c>
      <c r="K4750">
        <v>1.112455</v>
      </c>
      <c r="L4750">
        <v>18.254059999999999</v>
      </c>
      <c r="M4750">
        <v>0.97511119999999996</v>
      </c>
      <c r="N4750">
        <v>0</v>
      </c>
      <c r="O4750">
        <v>-0.22157180000000001</v>
      </c>
      <c r="P4750">
        <v>0.96372380000000002</v>
      </c>
      <c r="Q4750">
        <v>4.8576040000000001E-2</v>
      </c>
      <c r="R4750">
        <v>-0.262443599999999</v>
      </c>
      <c r="S4750">
        <v>3.0358890000000001</v>
      </c>
      <c r="T4750">
        <v>-0.25259880000000001</v>
      </c>
      <c r="U4750">
        <v>-0.33627319999999999</v>
      </c>
      <c r="V4750">
        <v>4.1945789999999997E-2</v>
      </c>
      <c r="W4750">
        <v>5.6893430000000002E-2</v>
      </c>
      <c r="X4750">
        <v>0.99749869999999996</v>
      </c>
      <c r="Y4750">
        <v>-0.11175450000000001</v>
      </c>
      <c r="Z4750">
        <v>2.280449E-2</v>
      </c>
      <c r="AA4750">
        <v>0.99347410000000003</v>
      </c>
      <c r="AB4750">
        <v>26</v>
      </c>
      <c r="AC4750">
        <v>13.161799999999999</v>
      </c>
      <c r="AD4750">
        <v>-1.112456502286</v>
      </c>
      <c r="AE4750">
        <v>-1.4369999999999901</v>
      </c>
      <c r="AF4750">
        <v>-1.50447624689795</v>
      </c>
      <c r="AG4750">
        <v>-1.112456502286</v>
      </c>
      <c r="AH4750">
        <v>13.0608325362169</v>
      </c>
      <c r="AI4750">
        <v>94.836589291789295</v>
      </c>
      <c r="AJ4750">
        <v>96.570935717413505</v>
      </c>
      <c r="AK4750">
        <v>13.1941788219677</v>
      </c>
      <c r="AL4750">
        <v>86.738485398378103</v>
      </c>
      <c r="AM4750">
        <v>87.592075404190297</v>
      </c>
      <c r="AN4750">
        <v>0.99999998408878898</v>
      </c>
    </row>
    <row r="4751" spans="1:40" x14ac:dyDescent="0.25">
      <c r="A4751" t="str">
        <f>"20190312154655278"</f>
        <v>20190312154655278</v>
      </c>
      <c r="B4751" t="str">
        <f>"1552376815272467"</f>
        <v>1552376815272467</v>
      </c>
      <c r="C4751" t="s">
        <v>40</v>
      </c>
      <c r="D4751">
        <v>4.9868639999999997</v>
      </c>
      <c r="E4751">
        <v>0.4422719</v>
      </c>
      <c r="F4751" t="s">
        <v>81</v>
      </c>
      <c r="G4751">
        <v>-367.90289999999999</v>
      </c>
      <c r="H4751" s="1">
        <v>-1.549478E-6</v>
      </c>
      <c r="I4751">
        <v>16.821159999999999</v>
      </c>
      <c r="J4751">
        <v>-381.04169999999999</v>
      </c>
      <c r="K4751">
        <v>1.1124860000000001</v>
      </c>
      <c r="L4751">
        <v>18.223140000000001</v>
      </c>
      <c r="M4751">
        <v>0.97567029999999999</v>
      </c>
      <c r="N4751">
        <v>0</v>
      </c>
      <c r="O4751">
        <v>-0.21908659999999999</v>
      </c>
      <c r="P4751">
        <v>0.96442289999999997</v>
      </c>
      <c r="Q4751">
        <v>4.8037660000000003E-2</v>
      </c>
      <c r="R4751">
        <v>-0.25996330000000001</v>
      </c>
      <c r="S4751">
        <v>3.03653</v>
      </c>
      <c r="T4751">
        <v>-0.2542237</v>
      </c>
      <c r="U4751">
        <v>-0.32745360000000001</v>
      </c>
      <c r="V4751">
        <v>4.1915239999999999E-2</v>
      </c>
      <c r="W4751">
        <v>5.6613499999999997E-2</v>
      </c>
      <c r="X4751">
        <v>0.99751590000000001</v>
      </c>
      <c r="Y4751">
        <v>-0.1120903</v>
      </c>
      <c r="Z4751">
        <v>2.276301E-2</v>
      </c>
      <c r="AA4751">
        <v>0.99343729999999997</v>
      </c>
      <c r="AB4751">
        <v>27</v>
      </c>
      <c r="AC4751">
        <v>13.1388</v>
      </c>
      <c r="AD4751">
        <v>-1.112487549478</v>
      </c>
      <c r="AE4751">
        <v>-1.40198</v>
      </c>
      <c r="AF4751">
        <v>-1.50008301147267</v>
      </c>
      <c r="AG4751">
        <v>-1.112487549478</v>
      </c>
      <c r="AH4751">
        <v>13.034346163293399</v>
      </c>
      <c r="AI4751">
        <v>94.846561747655599</v>
      </c>
      <c r="AJ4751">
        <v>96.565112614768196</v>
      </c>
      <c r="AK4751">
        <v>13.167462074888</v>
      </c>
      <c r="AL4751">
        <v>86.754550063710099</v>
      </c>
      <c r="AM4751">
        <v>87.593868524735797</v>
      </c>
      <c r="AN4751">
        <v>0.99999997323965795</v>
      </c>
    </row>
    <row r="4752" spans="1:40" x14ac:dyDescent="0.25">
      <c r="A4752" t="str">
        <f>"20190312154655302"</f>
        <v>20190312154655302</v>
      </c>
      <c r="B4752" t="str">
        <f>"1552376815291990"</f>
        <v>1552376815291990</v>
      </c>
      <c r="C4752" t="s">
        <v>40</v>
      </c>
      <c r="D4752">
        <v>5.0056820000000002</v>
      </c>
      <c r="E4752">
        <v>0.44635930000000001</v>
      </c>
      <c r="F4752" t="s">
        <v>81</v>
      </c>
      <c r="G4752">
        <v>-367.7903</v>
      </c>
      <c r="H4752" s="1">
        <v>-1.593022E-6</v>
      </c>
      <c r="I4752">
        <v>16.81992</v>
      </c>
      <c r="J4752">
        <v>-380.77379999999999</v>
      </c>
      <c r="K4752">
        <v>1.112479</v>
      </c>
      <c r="L4752">
        <v>18.168430000000001</v>
      </c>
      <c r="M4752">
        <v>0.97681799999999996</v>
      </c>
      <c r="N4752">
        <v>0</v>
      </c>
      <c r="O4752">
        <v>-0.21388940000000001</v>
      </c>
      <c r="P4752">
        <v>0.96594060000000004</v>
      </c>
      <c r="Q4752">
        <v>4.6383300000000002E-2</v>
      </c>
      <c r="R4752">
        <v>-0.25457299999999999</v>
      </c>
      <c r="S4752">
        <v>3.0366819999999999</v>
      </c>
      <c r="T4752">
        <v>-0.2549382</v>
      </c>
      <c r="U4752">
        <v>-0.32156370000000001</v>
      </c>
      <c r="V4752">
        <v>4.1651229999999997E-2</v>
      </c>
      <c r="W4752">
        <v>5.5525169999999999E-2</v>
      </c>
      <c r="X4752">
        <v>0.99758820000000004</v>
      </c>
      <c r="Y4752">
        <v>-0.10873389999999999</v>
      </c>
      <c r="Z4752">
        <v>2.2264800000000001E-2</v>
      </c>
      <c r="AA4752">
        <v>0.99382150000000002</v>
      </c>
      <c r="AB4752">
        <v>27</v>
      </c>
      <c r="AC4752">
        <v>12.9834999999999</v>
      </c>
      <c r="AD4752">
        <v>-1.1124805930220001</v>
      </c>
      <c r="AE4752">
        <v>-1.3485099999999901</v>
      </c>
      <c r="AF4752">
        <v>-1.4493140766739601</v>
      </c>
      <c r="AG4752">
        <v>-1.1124805930220001</v>
      </c>
      <c r="AH4752">
        <v>12.877916102474799</v>
      </c>
      <c r="AI4752">
        <v>94.906513274851307</v>
      </c>
      <c r="AJ4752">
        <v>96.421196644335197</v>
      </c>
      <c r="AK4752">
        <v>13.006876931265101</v>
      </c>
      <c r="AL4752">
        <v>86.817005256200503</v>
      </c>
      <c r="AM4752">
        <v>87.6091793789017</v>
      </c>
      <c r="AN4752">
        <v>1.00000004312164</v>
      </c>
    </row>
    <row r="4753" spans="1:40" x14ac:dyDescent="0.25">
      <c r="A4753" t="str">
        <f>"20190312154655314"</f>
        <v>20190312154655314</v>
      </c>
      <c r="B4753" t="str">
        <f>"1552376815302723"</f>
        <v>1552376815302723</v>
      </c>
      <c r="C4753" t="s">
        <v>40</v>
      </c>
      <c r="D4753">
        <v>5.0315070000000004</v>
      </c>
      <c r="E4753">
        <v>0.44613649999999999</v>
      </c>
      <c r="F4753" t="s">
        <v>81</v>
      </c>
      <c r="G4753">
        <v>-366.61720000000003</v>
      </c>
      <c r="H4753" s="1">
        <v>-2.1355449999999999E-6</v>
      </c>
      <c r="I4753">
        <v>16.594259999999998</v>
      </c>
      <c r="J4753">
        <v>-380.6343</v>
      </c>
      <c r="K4753">
        <v>1.112514</v>
      </c>
      <c r="L4753">
        <v>18.140689999999999</v>
      </c>
      <c r="M4753">
        <v>0.97746189999999999</v>
      </c>
      <c r="N4753">
        <v>0</v>
      </c>
      <c r="O4753">
        <v>-0.2109171</v>
      </c>
      <c r="P4753">
        <v>0.96675319999999998</v>
      </c>
      <c r="Q4753">
        <v>4.5528270000000003E-2</v>
      </c>
      <c r="R4753">
        <v>-0.2516256</v>
      </c>
      <c r="S4753">
        <v>3.0285030000000002</v>
      </c>
      <c r="T4753">
        <v>-0.23799290000000001</v>
      </c>
      <c r="U4753">
        <v>-0.33676149999999999</v>
      </c>
      <c r="V4753">
        <v>4.1633370000000003E-2</v>
      </c>
      <c r="W4753">
        <v>5.490242E-2</v>
      </c>
      <c r="X4753">
        <v>0.99762340000000005</v>
      </c>
      <c r="Y4753">
        <v>-0.1006679</v>
      </c>
      <c r="Z4753">
        <v>2.029477E-2</v>
      </c>
      <c r="AA4753">
        <v>0.99471310000000002</v>
      </c>
      <c r="AB4753">
        <v>26</v>
      </c>
      <c r="AC4753">
        <v>14.0170999999999</v>
      </c>
      <c r="AD4753">
        <v>-1.112516135545</v>
      </c>
      <c r="AE4753">
        <v>-1.54642999999999</v>
      </c>
      <c r="AF4753">
        <v>-1.4359920215642501</v>
      </c>
      <c r="AG4753">
        <v>-1.112516135545</v>
      </c>
      <c r="AH4753">
        <v>13.941162046848</v>
      </c>
      <c r="AI4753">
        <v>94.538668894820205</v>
      </c>
      <c r="AJ4753">
        <v>95.880940398551303</v>
      </c>
      <c r="AK4753">
        <v>14.059010080881199</v>
      </c>
      <c r="AL4753">
        <v>86.852740675351697</v>
      </c>
      <c r="AM4753">
        <v>87.610287594691798</v>
      </c>
      <c r="AN4753">
        <v>1.00000003072348</v>
      </c>
    </row>
    <row r="4754" spans="1:40" x14ac:dyDescent="0.25">
      <c r="A4754" t="str">
        <f>"20190312154655335"</f>
        <v>20190312154655335</v>
      </c>
      <c r="B4754" t="str">
        <f>"1552376815322247"</f>
        <v>1552376815322247</v>
      </c>
      <c r="C4754" t="s">
        <v>40</v>
      </c>
      <c r="D4754">
        <v>5.0114530000000004</v>
      </c>
      <c r="E4754">
        <v>0.44613540000000002</v>
      </c>
      <c r="F4754" t="s">
        <v>81</v>
      </c>
      <c r="G4754">
        <v>-366.94830000000002</v>
      </c>
      <c r="H4754" s="1">
        <v>-1.9654080000000001E-6</v>
      </c>
      <c r="I4754">
        <v>16.671189999999999</v>
      </c>
      <c r="J4754">
        <v>-380.38650000000001</v>
      </c>
      <c r="K4754">
        <v>1.1126739999999999</v>
      </c>
      <c r="L4754">
        <v>18.09235</v>
      </c>
      <c r="M4754">
        <v>0.97857459999999996</v>
      </c>
      <c r="N4754">
        <v>0</v>
      </c>
      <c r="O4754">
        <v>-0.2056789</v>
      </c>
      <c r="P4754">
        <v>0.96817600000000004</v>
      </c>
      <c r="Q4754">
        <v>4.384337E-2</v>
      </c>
      <c r="R4754">
        <v>-0.2464007</v>
      </c>
      <c r="S4754">
        <v>3.03009</v>
      </c>
      <c r="T4754">
        <v>-0.24631130000000001</v>
      </c>
      <c r="U4754">
        <v>-0.32534790000000002</v>
      </c>
      <c r="V4754">
        <v>4.1558579999999998E-2</v>
      </c>
      <c r="W4754">
        <v>5.3546379999999998E-2</v>
      </c>
      <c r="X4754">
        <v>0.99770020000000004</v>
      </c>
      <c r="Y4754">
        <v>-9.9055400000000002E-2</v>
      </c>
      <c r="Z4754">
        <v>2.0517290000000001E-2</v>
      </c>
      <c r="AA4754">
        <v>0.99487040000000004</v>
      </c>
      <c r="AB4754">
        <v>26</v>
      </c>
      <c r="AC4754">
        <v>13.438199999999901</v>
      </c>
      <c r="AD4754">
        <v>-1.1126759654079901</v>
      </c>
      <c r="AE4754">
        <v>-1.42116</v>
      </c>
      <c r="AF4754">
        <v>-1.3640553085257201</v>
      </c>
      <c r="AG4754">
        <v>-1.1126759654079901</v>
      </c>
      <c r="AH4754">
        <v>13.352644995825701</v>
      </c>
      <c r="AI4754">
        <v>94.738902320997099</v>
      </c>
      <c r="AJ4754">
        <v>95.832884126994898</v>
      </c>
      <c r="AK4754">
        <v>13.468178164594599</v>
      </c>
      <c r="AL4754">
        <v>86.930550459132206</v>
      </c>
      <c r="AM4754">
        <v>87.614758910766795</v>
      </c>
      <c r="AN4754">
        <v>1.0000000097313799</v>
      </c>
    </row>
    <row r="4755" spans="1:40" x14ac:dyDescent="0.25">
      <c r="A4755" t="str">
        <f>"20190312154655348"</f>
        <v>20190312154655348</v>
      </c>
      <c r="B4755" t="str">
        <f>"1552376815342269"</f>
        <v>1552376815342269</v>
      </c>
      <c r="C4755" t="s">
        <v>40</v>
      </c>
      <c r="D4755">
        <v>5.0575320000000001</v>
      </c>
      <c r="E4755">
        <v>0.44270579999999998</v>
      </c>
      <c r="F4755" t="s">
        <v>81</v>
      </c>
      <c r="G4755">
        <v>-366.98770000000002</v>
      </c>
      <c r="H4755" s="1">
        <v>-1.9366530000000002E-6</v>
      </c>
      <c r="I4755">
        <v>16.728400000000001</v>
      </c>
      <c r="J4755">
        <v>-380.24369999999999</v>
      </c>
      <c r="K4755">
        <v>1.112811</v>
      </c>
      <c r="L4755">
        <v>18.065249999999999</v>
      </c>
      <c r="M4755">
        <v>0.979186</v>
      </c>
      <c r="N4755">
        <v>0</v>
      </c>
      <c r="O4755">
        <v>-0.2027419</v>
      </c>
      <c r="P4755">
        <v>0.96888759999999996</v>
      </c>
      <c r="Q4755">
        <v>4.3771549999999999E-2</v>
      </c>
      <c r="R4755">
        <v>-0.24360019999999999</v>
      </c>
      <c r="S4755">
        <v>3.0314939999999999</v>
      </c>
      <c r="T4755">
        <v>-0.25174339999999901</v>
      </c>
      <c r="U4755">
        <v>-0.30859379999999997</v>
      </c>
      <c r="V4755">
        <v>4.1645120000000001E-2</v>
      </c>
      <c r="W4755">
        <v>5.3634469999999997E-2</v>
      </c>
      <c r="X4755">
        <v>0.99769189999999996</v>
      </c>
      <c r="Y4755">
        <v>-0.10151549999999999</v>
      </c>
      <c r="Z4755">
        <v>2.083105E-2</v>
      </c>
      <c r="AA4755">
        <v>0.9946159</v>
      </c>
      <c r="AB4755">
        <v>26</v>
      </c>
      <c r="AC4755">
        <v>13.255999999999901</v>
      </c>
      <c r="AD4755">
        <v>-1.112812936653</v>
      </c>
      <c r="AE4755">
        <v>-1.3368499999999901</v>
      </c>
      <c r="AF4755">
        <v>-1.3690334266591699</v>
      </c>
      <c r="AG4755">
        <v>-1.112812936653</v>
      </c>
      <c r="AH4755">
        <v>13.159917342999201</v>
      </c>
      <c r="AI4755">
        <v>94.807654849199906</v>
      </c>
      <c r="AJ4755">
        <v>95.939147696719303</v>
      </c>
      <c r="AK4755">
        <v>13.2776515103336</v>
      </c>
      <c r="AL4755">
        <v>86.925496134214001</v>
      </c>
      <c r="AM4755">
        <v>87.609777868952605</v>
      </c>
      <c r="AN4755">
        <v>1.0000000498588</v>
      </c>
    </row>
    <row r="4756" spans="1:40" x14ac:dyDescent="0.25">
      <c r="A4756" t="str">
        <f>"20190312154655367"</f>
        <v>20190312154655367</v>
      </c>
      <c r="B4756" t="str">
        <f>"1552376815362765"</f>
        <v>1552376815362765</v>
      </c>
      <c r="C4756" t="s">
        <v>40</v>
      </c>
      <c r="D4756">
        <v>4.8605029999999996</v>
      </c>
      <c r="E4756">
        <v>0.42217450000000001</v>
      </c>
      <c r="F4756" t="s">
        <v>81</v>
      </c>
      <c r="G4756">
        <v>-365.74590000000001</v>
      </c>
      <c r="H4756" s="1">
        <v>-2.5183359999999998E-6</v>
      </c>
      <c r="I4756">
        <v>16.758329999999901</v>
      </c>
      <c r="J4756">
        <v>-380.01839999999999</v>
      </c>
      <c r="K4756">
        <v>1.113057</v>
      </c>
      <c r="L4756">
        <v>18.023620000000001</v>
      </c>
      <c r="M4756">
        <v>0.98011009999999998</v>
      </c>
      <c r="N4756">
        <v>0</v>
      </c>
      <c r="O4756">
        <v>-0.19821559999999999</v>
      </c>
      <c r="P4756">
        <v>0.97006550000000002</v>
      </c>
      <c r="Q4756">
        <v>4.2609960000000002E-2</v>
      </c>
      <c r="R4756">
        <v>-0.23907619999999999</v>
      </c>
      <c r="S4756">
        <v>3.0380250000000002</v>
      </c>
      <c r="T4756">
        <v>-0.2331907</v>
      </c>
      <c r="U4756">
        <v>-0.27386470000000002</v>
      </c>
      <c r="V4756">
        <v>4.1561639999999997E-2</v>
      </c>
      <c r="W4756">
        <v>5.2720709999999997E-2</v>
      </c>
      <c r="X4756">
        <v>0.99774399999999996</v>
      </c>
      <c r="Y4756">
        <v>-0.1085392</v>
      </c>
      <c r="Z4756">
        <v>1.9203689999999999E-2</v>
      </c>
      <c r="AA4756">
        <v>0.99390670000000003</v>
      </c>
      <c r="AB4756">
        <v>26</v>
      </c>
      <c r="AC4756">
        <v>14.2724999999999</v>
      </c>
      <c r="AD4756">
        <v>-1.1130595183359999</v>
      </c>
      <c r="AE4756">
        <v>-1.26529</v>
      </c>
      <c r="AF4756">
        <v>-1.57945282721493</v>
      </c>
      <c r="AG4756">
        <v>-1.1130595183359999</v>
      </c>
      <c r="AH4756">
        <v>14.1546808489167</v>
      </c>
      <c r="AI4756">
        <v>94.468605945806601</v>
      </c>
      <c r="AJ4756">
        <v>96.367022115761401</v>
      </c>
      <c r="AK4756">
        <v>14.2859568338787</v>
      </c>
      <c r="AL4756">
        <v>86.977924655345006</v>
      </c>
      <c r="AM4756">
        <v>87.614688082467893</v>
      </c>
      <c r="AN4756">
        <v>0.99999996635919597</v>
      </c>
    </row>
    <row r="4757" spans="1:40" x14ac:dyDescent="0.25">
      <c r="A4757" t="str">
        <f>"20190312154655391"</f>
        <v>20190312154655391</v>
      </c>
      <c r="B4757" t="str">
        <f>"1552376815382286"</f>
        <v>1552376815382286</v>
      </c>
      <c r="C4757" t="s">
        <v>40</v>
      </c>
      <c r="D4757">
        <v>4.8268769999999996</v>
      </c>
      <c r="E4757">
        <v>0.42297940000000001</v>
      </c>
      <c r="F4757" t="s">
        <v>42</v>
      </c>
      <c r="G4757">
        <v>-355.24079999999998</v>
      </c>
      <c r="H4757" s="1">
        <v>-2.455098E-6</v>
      </c>
      <c r="I4757">
        <v>17.185939999999999</v>
      </c>
      <c r="J4757">
        <v>-379.75310000000002</v>
      </c>
      <c r="K4757">
        <v>1.113308</v>
      </c>
      <c r="L4757">
        <v>17.976469999999999</v>
      </c>
      <c r="M4757">
        <v>0.98119140000000005</v>
      </c>
      <c r="N4757">
        <v>0</v>
      </c>
      <c r="O4757">
        <v>-0.1927779</v>
      </c>
      <c r="P4757">
        <v>0.97142899999999999</v>
      </c>
      <c r="Q4757">
        <v>4.178581E-2</v>
      </c>
      <c r="R4757">
        <v>-0.23362330000000001</v>
      </c>
      <c r="S4757">
        <v>3.073029</v>
      </c>
      <c r="T4757">
        <v>-0.13804629999999901</v>
      </c>
      <c r="U4757">
        <v>-0.1038818</v>
      </c>
      <c r="V4757">
        <v>4.1455140000000001E-2</v>
      </c>
      <c r="W4757">
        <v>5.218739E-2</v>
      </c>
      <c r="X4757">
        <v>0.99777649999999996</v>
      </c>
      <c r="Y4757">
        <v>-0.15917410000000001</v>
      </c>
      <c r="Z4757">
        <v>1.217791E-2</v>
      </c>
      <c r="AA4757">
        <v>0.98717540000000004</v>
      </c>
      <c r="AB4757">
        <v>27</v>
      </c>
      <c r="AC4757">
        <v>24.5123</v>
      </c>
      <c r="AD4757">
        <v>-1.113310455098</v>
      </c>
      <c r="AE4757">
        <v>-0.79053000000000395</v>
      </c>
      <c r="AF4757">
        <v>-3.94184329373098</v>
      </c>
      <c r="AG4757">
        <v>-1.113310455098</v>
      </c>
      <c r="AH4757">
        <v>24.155090178173701</v>
      </c>
      <c r="AI4757">
        <v>92.604497054586702</v>
      </c>
      <c r="AJ4757">
        <v>99.268339251733096</v>
      </c>
      <c r="AK4757">
        <v>24.499917759810302</v>
      </c>
      <c r="AL4757">
        <v>87.008523861610897</v>
      </c>
      <c r="AM4757">
        <v>87.620870721090697</v>
      </c>
      <c r="AN4757">
        <v>0.99999999812983997</v>
      </c>
    </row>
    <row r="4758" spans="1:40" x14ac:dyDescent="0.25">
      <c r="A4758" t="str">
        <f>"20190312154655412"</f>
        <v>20190312154655412</v>
      </c>
      <c r="B4758" t="str">
        <f>"1552376815402781"</f>
        <v>1552376815402781</v>
      </c>
      <c r="C4758" t="s">
        <v>40</v>
      </c>
      <c r="D4758">
        <v>4.8250659999999996</v>
      </c>
      <c r="E4758">
        <v>0.42348000000000002</v>
      </c>
      <c r="F4758" t="s">
        <v>42</v>
      </c>
      <c r="G4758">
        <v>-357.49239999999998</v>
      </c>
      <c r="H4758" s="1">
        <v>-1.467242E-6</v>
      </c>
      <c r="I4758">
        <v>17.309370000000001</v>
      </c>
      <c r="J4758">
        <v>-379.49770000000001</v>
      </c>
      <c r="K4758">
        <v>1.113475</v>
      </c>
      <c r="L4758">
        <v>17.9328</v>
      </c>
      <c r="M4758">
        <v>0.98226080000000004</v>
      </c>
      <c r="N4758">
        <v>0</v>
      </c>
      <c r="O4758">
        <v>-0.18723989999999999</v>
      </c>
      <c r="P4758">
        <v>0.97263529999999998</v>
      </c>
      <c r="Q4758">
        <v>4.1001290000000003E-2</v>
      </c>
      <c r="R4758">
        <v>-0.2286918</v>
      </c>
      <c r="S4758">
        <v>3.0727540000000002</v>
      </c>
      <c r="T4758">
        <v>-0.153675799999999</v>
      </c>
      <c r="U4758">
        <v>-9.2071529999999999E-2</v>
      </c>
      <c r="V4758">
        <v>4.2001120000000003E-2</v>
      </c>
      <c r="W4758">
        <v>5.1670250000000001E-2</v>
      </c>
      <c r="X4758">
        <v>0.99778060000000002</v>
      </c>
      <c r="Y4758">
        <v>-0.1573175</v>
      </c>
      <c r="Z4758">
        <v>1.323912E-2</v>
      </c>
      <c r="AA4758">
        <v>0.98745930000000004</v>
      </c>
      <c r="AB4758">
        <v>27</v>
      </c>
      <c r="AC4758">
        <v>22.005299999999998</v>
      </c>
      <c r="AD4758">
        <v>-1.1134764672419999</v>
      </c>
      <c r="AE4758">
        <v>-0.62342999999999904</v>
      </c>
      <c r="AF4758">
        <v>-3.4991314117580599</v>
      </c>
      <c r="AG4758">
        <v>-1.1134764672419999</v>
      </c>
      <c r="AH4758">
        <v>21.677356760276599</v>
      </c>
      <c r="AI4758">
        <v>92.902952802599899</v>
      </c>
      <c r="AJ4758">
        <v>99.169517597904999</v>
      </c>
      <c r="AK4758">
        <v>21.9861671646552</v>
      </c>
      <c r="AL4758">
        <v>87.038193889238102</v>
      </c>
      <c r="AM4758">
        <v>87.5895832931119</v>
      </c>
      <c r="AN4758">
        <v>1.0000000172763299</v>
      </c>
    </row>
    <row r="4759" spans="1:40" x14ac:dyDescent="0.25">
      <c r="A4759" t="str">
        <f>"20190312154655434"</f>
        <v>20190312154655434</v>
      </c>
      <c r="B4759" t="str">
        <f>"1552376815422301"</f>
        <v>1552376815422301</v>
      </c>
      <c r="C4759" t="s">
        <v>40</v>
      </c>
      <c r="D4759">
        <v>4.8013440000000003</v>
      </c>
      <c r="E4759">
        <v>0.42376799999999998</v>
      </c>
      <c r="F4759" t="s">
        <v>42</v>
      </c>
      <c r="G4759">
        <v>-355.7097</v>
      </c>
      <c r="H4759" s="1">
        <v>-2.232207E-6</v>
      </c>
      <c r="I4759">
        <v>17.308529999999902</v>
      </c>
      <c r="J4759">
        <v>-379.24770000000001</v>
      </c>
      <c r="K4759">
        <v>1.113588</v>
      </c>
      <c r="L4759">
        <v>17.891660000000002</v>
      </c>
      <c r="M4759">
        <v>0.98333079999999995</v>
      </c>
      <c r="N4759">
        <v>0</v>
      </c>
      <c r="O4759">
        <v>-0.1815225</v>
      </c>
      <c r="P4759">
        <v>0.97378180000000003</v>
      </c>
      <c r="Q4759">
        <v>3.9846329999999999E-2</v>
      </c>
      <c r="R4759">
        <v>-0.223967</v>
      </c>
      <c r="S4759">
        <v>3.071564</v>
      </c>
      <c r="T4759">
        <v>-0.14377490000000001</v>
      </c>
      <c r="U4759">
        <v>-8.0596920000000002E-2</v>
      </c>
      <c r="V4759">
        <v>4.2950429999999998E-2</v>
      </c>
      <c r="W4759">
        <v>5.0767350000000003E-2</v>
      </c>
      <c r="X4759">
        <v>0.99778650000000002</v>
      </c>
      <c r="Y4759">
        <v>-0.1553088</v>
      </c>
      <c r="Z4759">
        <v>1.208277E-2</v>
      </c>
      <c r="AA4759">
        <v>0.98779209999999995</v>
      </c>
      <c r="AB4759">
        <v>27</v>
      </c>
      <c r="AC4759">
        <v>23.538</v>
      </c>
      <c r="AD4759">
        <v>-1.1135902322069999</v>
      </c>
      <c r="AE4759">
        <v>-0.58313000000000403</v>
      </c>
      <c r="AF4759">
        <v>-3.6912137627906199</v>
      </c>
      <c r="AG4759">
        <v>-1.1135902322069999</v>
      </c>
      <c r="AH4759">
        <v>23.200874039439199</v>
      </c>
      <c r="AI4759">
        <v>92.713880255805805</v>
      </c>
      <c r="AJ4759">
        <v>99.039881714185299</v>
      </c>
      <c r="AK4759">
        <v>23.5190496925748</v>
      </c>
      <c r="AL4759">
        <v>87.089994135261605</v>
      </c>
      <c r="AM4759">
        <v>87.535184022798504</v>
      </c>
      <c r="AN4759">
        <v>0.99999998142272795</v>
      </c>
    </row>
    <row r="4760" spans="1:40" x14ac:dyDescent="0.25">
      <c r="A4760" t="str">
        <f>"20190312154655456"</f>
        <v>20190312154655456</v>
      </c>
      <c r="B4760" t="str">
        <f>"1552376815442569"</f>
        <v>1552376815442569</v>
      </c>
      <c r="C4760" t="s">
        <v>40</v>
      </c>
      <c r="D4760">
        <v>4.757879</v>
      </c>
      <c r="E4760">
        <v>0.42392059999999998</v>
      </c>
      <c r="F4760" t="s">
        <v>42</v>
      </c>
      <c r="G4760">
        <v>-355.7457</v>
      </c>
      <c r="H4760" s="1">
        <v>-2.2054230000000001E-6</v>
      </c>
      <c r="I4760">
        <v>17.372420000000002</v>
      </c>
      <c r="J4760">
        <v>-378.99239999999998</v>
      </c>
      <c r="K4760">
        <v>1.113707</v>
      </c>
      <c r="L4760">
        <v>17.851320000000001</v>
      </c>
      <c r="M4760">
        <v>0.9844292</v>
      </c>
      <c r="N4760">
        <v>0</v>
      </c>
      <c r="O4760">
        <v>-0.17545459999999999</v>
      </c>
      <c r="P4760">
        <v>0.97477939999999996</v>
      </c>
      <c r="Q4760">
        <v>3.938585E-2</v>
      </c>
      <c r="R4760">
        <v>-0.219668</v>
      </c>
      <c r="S4760">
        <v>3.0711360000000001</v>
      </c>
      <c r="T4760">
        <v>-0.1455185</v>
      </c>
      <c r="U4760">
        <v>-6.7840579999999998E-2</v>
      </c>
      <c r="V4760">
        <v>4.4690250000000001E-2</v>
      </c>
      <c r="W4760">
        <v>5.0565430000000001E-2</v>
      </c>
      <c r="X4760">
        <v>0.99772039999999995</v>
      </c>
      <c r="Y4760">
        <v>-0.15331339999999999</v>
      </c>
      <c r="Z4760">
        <v>1.1901510000000001E-2</v>
      </c>
      <c r="AA4760">
        <v>0.98810600000000004</v>
      </c>
      <c r="AB4760">
        <v>27</v>
      </c>
      <c r="AC4760">
        <v>23.246699999999901</v>
      </c>
      <c r="AD4760">
        <v>-1.113709205423</v>
      </c>
      <c r="AE4760">
        <v>-0.47889999999999899</v>
      </c>
      <c r="AF4760">
        <v>-3.59924694715962</v>
      </c>
      <c r="AG4760">
        <v>-1.113709205423</v>
      </c>
      <c r="AH4760">
        <v>22.917496416775801</v>
      </c>
      <c r="AI4760">
        <v>92.748545355158399</v>
      </c>
      <c r="AJ4760">
        <v>98.9255300016288</v>
      </c>
      <c r="AK4760">
        <v>23.225127960763</v>
      </c>
      <c r="AL4760">
        <v>87.1015783440875</v>
      </c>
      <c r="AM4760">
        <v>87.435301209982796</v>
      </c>
      <c r="AN4760">
        <v>1.0000000388661501</v>
      </c>
    </row>
    <row r="4761" spans="1:40" x14ac:dyDescent="0.25">
      <c r="A4761" t="str">
        <f>"20190312154655468"</f>
        <v>20190312154655468</v>
      </c>
      <c r="B4761" t="str">
        <f>"1552376815462089"</f>
        <v>1552376815462089</v>
      </c>
      <c r="C4761" t="s">
        <v>40</v>
      </c>
      <c r="D4761">
        <v>4.8934139999999999</v>
      </c>
      <c r="E4761">
        <v>0.42421439999999999</v>
      </c>
      <c r="F4761" t="s">
        <v>42</v>
      </c>
      <c r="G4761">
        <v>-355.91219999999998</v>
      </c>
      <c r="H4761" s="1">
        <v>-2.1227769999999998E-6</v>
      </c>
      <c r="I4761">
        <v>17.435659999999999</v>
      </c>
      <c r="J4761">
        <v>-378.84559999999999</v>
      </c>
      <c r="K4761">
        <v>1.1137709999999901</v>
      </c>
      <c r="L4761">
        <v>17.82883</v>
      </c>
      <c r="M4761">
        <v>0.98504199999999997</v>
      </c>
      <c r="N4761">
        <v>0</v>
      </c>
      <c r="O4761">
        <v>-0.1719753</v>
      </c>
      <c r="P4761">
        <v>0.97514160000000005</v>
      </c>
      <c r="Q4761">
        <v>3.873766E-2</v>
      </c>
      <c r="R4761">
        <v>-0.2181707</v>
      </c>
      <c r="S4761">
        <v>3.0711360000000001</v>
      </c>
      <c r="T4761">
        <v>-0.14819379999999999</v>
      </c>
      <c r="U4761">
        <v>-5.5297850000000003E-2</v>
      </c>
      <c r="V4761">
        <v>4.6678509999999999E-2</v>
      </c>
      <c r="W4761">
        <v>5.0033950000000001E-2</v>
      </c>
      <c r="X4761">
        <v>0.99765610000000005</v>
      </c>
      <c r="Y4761">
        <v>-0.15384579999999901</v>
      </c>
      <c r="Z4761">
        <v>1.196845E-2</v>
      </c>
      <c r="AA4761">
        <v>0.98802239999999997</v>
      </c>
      <c r="AB4761">
        <v>27</v>
      </c>
      <c r="AC4761">
        <v>22.933399999999999</v>
      </c>
      <c r="AD4761">
        <v>-1.11377312277699</v>
      </c>
      <c r="AE4761">
        <v>-0.39316999999999702</v>
      </c>
      <c r="AF4761">
        <v>-3.5485298823860298</v>
      </c>
      <c r="AG4761">
        <v>-1.11377312277699</v>
      </c>
      <c r="AH4761">
        <v>22.6059974380358</v>
      </c>
      <c r="AI4761">
        <v>92.786553131398605</v>
      </c>
      <c r="AJ4761">
        <v>98.921088939529398</v>
      </c>
      <c r="AK4761">
        <v>22.909903427637801</v>
      </c>
      <c r="AL4761">
        <v>87.132068349674398</v>
      </c>
      <c r="AM4761">
        <v>87.321188556604596</v>
      </c>
      <c r="AN4761">
        <v>0.99999998665781598</v>
      </c>
    </row>
    <row r="4762" spans="1:40" x14ac:dyDescent="0.25">
      <c r="A4762" t="str">
        <f>"20190312154655502"</f>
        <v>20190312154655502</v>
      </c>
      <c r="B4762" t="str">
        <f>"1552376815492346"</f>
        <v>1552376815492346</v>
      </c>
      <c r="C4762" t="s">
        <v>40</v>
      </c>
      <c r="D4762">
        <v>4.6202249999999996</v>
      </c>
      <c r="E4762">
        <v>0.42487039999999998</v>
      </c>
      <c r="F4762" t="s">
        <v>42</v>
      </c>
      <c r="G4762">
        <v>-354.86840000000001</v>
      </c>
      <c r="H4762" s="1">
        <v>-2.5744650000000002E-6</v>
      </c>
      <c r="I4762">
        <v>17.41358</v>
      </c>
      <c r="J4762">
        <v>-378.46730000000002</v>
      </c>
      <c r="K4762">
        <v>1.1138479999999999</v>
      </c>
      <c r="L4762">
        <v>17.77365</v>
      </c>
      <c r="M4762">
        <v>0.98658420000000002</v>
      </c>
      <c r="N4762">
        <v>0</v>
      </c>
      <c r="O4762">
        <v>-0.16288129999999901</v>
      </c>
      <c r="P4762">
        <v>0.97580670000000003</v>
      </c>
      <c r="Q4762">
        <v>4.0225370000000003E-2</v>
      </c>
      <c r="R4762">
        <v>-0.21490319999999999</v>
      </c>
      <c r="S4762">
        <v>3.0702820000000002</v>
      </c>
      <c r="T4762">
        <v>-0.142619</v>
      </c>
      <c r="U4762">
        <v>-5.316162E-2</v>
      </c>
      <c r="V4762">
        <v>5.2523109999999998E-2</v>
      </c>
      <c r="W4762">
        <v>5.1786449999999998E-2</v>
      </c>
      <c r="X4762">
        <v>0.99727600000000005</v>
      </c>
      <c r="Y4762">
        <v>-0.14545469999999999</v>
      </c>
      <c r="Z4762">
        <v>1.0910009999999999E-2</v>
      </c>
      <c r="AA4762">
        <v>0.98930469999999904</v>
      </c>
      <c r="AB4762">
        <v>26</v>
      </c>
      <c r="AC4762">
        <v>23.5989</v>
      </c>
      <c r="AD4762">
        <v>-1.113850574465</v>
      </c>
      <c r="AE4762">
        <v>-0.36007</v>
      </c>
      <c r="AF4762">
        <v>-3.48103858827101</v>
      </c>
      <c r="AG4762">
        <v>-1.113850574465</v>
      </c>
      <c r="AH4762">
        <v>23.290492502605002</v>
      </c>
      <c r="AI4762">
        <v>92.708007820420505</v>
      </c>
      <c r="AJ4762">
        <v>98.5006043707684</v>
      </c>
      <c r="AK4762">
        <v>23.5755240401813</v>
      </c>
      <c r="AL4762">
        <v>87.031527044473194</v>
      </c>
      <c r="AM4762">
        <v>86.985212983996803</v>
      </c>
      <c r="AN4762">
        <v>0.99999996683183601</v>
      </c>
    </row>
    <row r="4763" spans="1:40" x14ac:dyDescent="0.25">
      <c r="A4763" t="str">
        <f>"20190312154655524"</f>
        <v>20190312154655524</v>
      </c>
      <c r="B4763" t="str">
        <f>"1552376815512840"</f>
        <v>1552376815512840</v>
      </c>
      <c r="C4763" t="s">
        <v>40</v>
      </c>
      <c r="D4763">
        <v>4.694337</v>
      </c>
      <c r="E4763">
        <v>0.42551349999999999</v>
      </c>
      <c r="F4763" t="s">
        <v>42</v>
      </c>
      <c r="G4763">
        <v>-351.74790000000002</v>
      </c>
      <c r="H4763" s="1">
        <v>-3.924552E-6</v>
      </c>
      <c r="I4763">
        <v>17.349250000000001</v>
      </c>
      <c r="J4763">
        <v>-378.20510000000002</v>
      </c>
      <c r="K4763">
        <v>1.11382</v>
      </c>
      <c r="L4763">
        <v>17.737670000000001</v>
      </c>
      <c r="M4763">
        <v>0.98769419999999997</v>
      </c>
      <c r="N4763">
        <v>0</v>
      </c>
      <c r="O4763">
        <v>-0.1559912</v>
      </c>
      <c r="P4763">
        <v>0.97661989999999999</v>
      </c>
      <c r="Q4763">
        <v>4.0415010000000001E-2</v>
      </c>
      <c r="R4763">
        <v>-0.21114140000000001</v>
      </c>
      <c r="S4763">
        <v>3.0689389999999999</v>
      </c>
      <c r="T4763">
        <v>-0.1279351</v>
      </c>
      <c r="U4763">
        <v>-4.873657E-2</v>
      </c>
      <c r="V4763">
        <v>5.5641469999999998E-2</v>
      </c>
      <c r="W4763">
        <v>5.226215E-2</v>
      </c>
      <c r="X4763">
        <v>0.99708209999999997</v>
      </c>
      <c r="Y4763">
        <v>-0.1400412</v>
      </c>
      <c r="Z4763">
        <v>9.3954629999999997E-3</v>
      </c>
      <c r="AA4763">
        <v>0.99010109999999996</v>
      </c>
      <c r="AB4763">
        <v>27</v>
      </c>
      <c r="AC4763">
        <v>26.4572</v>
      </c>
      <c r="AD4763">
        <v>-1.1138239245520001</v>
      </c>
      <c r="AE4763">
        <v>-0.38841999999999999</v>
      </c>
      <c r="AF4763">
        <v>-3.7370658660683298</v>
      </c>
      <c r="AG4763">
        <v>-1.1138239245520001</v>
      </c>
      <c r="AH4763">
        <v>26.147543144625399</v>
      </c>
      <c r="AI4763">
        <v>92.414683065525395</v>
      </c>
      <c r="AJ4763">
        <v>98.133758438514604</v>
      </c>
      <c r="AK4763">
        <v>26.436722140278398</v>
      </c>
      <c r="AL4763">
        <v>87.004234610838594</v>
      </c>
      <c r="AM4763">
        <v>86.805961843342303</v>
      </c>
      <c r="AN4763">
        <v>1.0000000098233901</v>
      </c>
    </row>
    <row r="4764" spans="1:40" x14ac:dyDescent="0.25">
      <c r="A4764" t="str">
        <f>"20190312154655547"</f>
        <v>20190312154655547</v>
      </c>
      <c r="B4764" t="str">
        <f>"1552376815532361"</f>
        <v>1552376815532361</v>
      </c>
      <c r="C4764" t="s">
        <v>40</v>
      </c>
      <c r="D4764">
        <v>4.7267479999999997</v>
      </c>
      <c r="E4764">
        <v>0.42613139999999999</v>
      </c>
      <c r="F4764" t="s">
        <v>42</v>
      </c>
      <c r="G4764">
        <v>-351.02769999999998</v>
      </c>
      <c r="H4764" s="1">
        <v>-4.2307960000000001E-6</v>
      </c>
      <c r="I4764">
        <v>17.364509999999999</v>
      </c>
      <c r="J4764">
        <v>-377.94229999999999</v>
      </c>
      <c r="K4764">
        <v>1.1138589999999999</v>
      </c>
      <c r="L4764">
        <v>17.70355</v>
      </c>
      <c r="M4764">
        <v>0.98877400000000004</v>
      </c>
      <c r="N4764">
        <v>0</v>
      </c>
      <c r="O4764">
        <v>-0.1489761</v>
      </c>
      <c r="P4764">
        <v>0.97772460000000005</v>
      </c>
      <c r="Q4764">
        <v>3.9524160000000003E-2</v>
      </c>
      <c r="R4764">
        <v>-0.20613719999999999</v>
      </c>
      <c r="S4764">
        <v>3.0679020000000001</v>
      </c>
      <c r="T4764">
        <v>-0.1257336</v>
      </c>
      <c r="U4764">
        <v>-4.2114260000000001E-2</v>
      </c>
      <c r="V4764">
        <v>5.760933E-2</v>
      </c>
      <c r="W4764">
        <v>5.1614050000000002E-2</v>
      </c>
      <c r="X4764">
        <v>0.99700409999999995</v>
      </c>
      <c r="Y4764">
        <v>-0.13516139999999999</v>
      </c>
      <c r="Z4764">
        <v>8.8528489999999994E-3</v>
      </c>
      <c r="AA4764">
        <v>0.990784</v>
      </c>
      <c r="AB4764">
        <v>26</v>
      </c>
      <c r="AC4764">
        <v>26.9146</v>
      </c>
      <c r="AD4764">
        <v>-1.1138632307959999</v>
      </c>
      <c r="AE4764">
        <v>-0.33904000000000001</v>
      </c>
      <c r="AF4764">
        <v>-3.6683590226421998</v>
      </c>
      <c r="AG4764">
        <v>-1.1138632307959999</v>
      </c>
      <c r="AH4764">
        <v>26.619142738406101</v>
      </c>
      <c r="AI4764">
        <v>92.373704327153206</v>
      </c>
      <c r="AJ4764">
        <v>97.846455007654399</v>
      </c>
      <c r="AK4764">
        <v>26.8937968562187</v>
      </c>
      <c r="AL4764">
        <v>87.041418193516805</v>
      </c>
      <c r="AM4764">
        <v>86.692987259345699</v>
      </c>
      <c r="AN4764">
        <v>1.0000000102386299</v>
      </c>
    </row>
    <row r="4765" spans="1:40" x14ac:dyDescent="0.25">
      <c r="A4765" t="str">
        <f>"20190312154655568"</f>
        <v>20190312154655568</v>
      </c>
      <c r="B4765" t="str">
        <f>"1552376815562059"</f>
        <v>1552376815562059</v>
      </c>
      <c r="C4765" t="s">
        <v>40</v>
      </c>
      <c r="D4765">
        <v>4.7037009999999997</v>
      </c>
      <c r="E4765">
        <v>0.42693769999999998</v>
      </c>
      <c r="F4765" t="s">
        <v>42</v>
      </c>
      <c r="G4765">
        <v>-351.78030000000001</v>
      </c>
      <c r="H4765" s="1">
        <v>-3.895676E-6</v>
      </c>
      <c r="I4765">
        <v>17.433769999999999</v>
      </c>
      <c r="J4765">
        <v>-377.68520000000001</v>
      </c>
      <c r="K4765">
        <v>1.1139570000000001</v>
      </c>
      <c r="L4765">
        <v>17.672059999999998</v>
      </c>
      <c r="M4765">
        <v>0.98975250000000004</v>
      </c>
      <c r="N4765">
        <v>0</v>
      </c>
      <c r="O4765">
        <v>-0.14231779999999999</v>
      </c>
      <c r="P4765">
        <v>0.97890379999999999</v>
      </c>
      <c r="Q4765">
        <v>3.8518570000000002E-2</v>
      </c>
      <c r="R4765">
        <v>-0.20065839999999999</v>
      </c>
      <c r="S4765">
        <v>3.0669249999999999</v>
      </c>
      <c r="T4765">
        <v>-0.13057629999999901</v>
      </c>
      <c r="U4765">
        <v>-3.1616209999999999E-2</v>
      </c>
      <c r="V4765">
        <v>5.8726859999999999E-2</v>
      </c>
      <c r="W4765">
        <v>5.0790210000000002E-2</v>
      </c>
      <c r="X4765">
        <v>0.99698120000000001</v>
      </c>
      <c r="Y4765">
        <v>-0.13186889999999901</v>
      </c>
      <c r="Z4765">
        <v>8.8460190000000001E-3</v>
      </c>
      <c r="AA4765">
        <v>0.99122770000000004</v>
      </c>
      <c r="AB4765">
        <v>26</v>
      </c>
      <c r="AC4765">
        <v>25.904900000000001</v>
      </c>
      <c r="AD4765">
        <v>-1.1139608956760001</v>
      </c>
      <c r="AE4765">
        <v>-0.238289999999999</v>
      </c>
      <c r="AF4765">
        <v>-3.4447449351523902</v>
      </c>
      <c r="AG4765">
        <v>-1.1139608956760001</v>
      </c>
      <c r="AH4765">
        <v>25.627707801135799</v>
      </c>
      <c r="AI4765">
        <v>92.466755536722403</v>
      </c>
      <c r="AJ4765">
        <v>97.655519635389894</v>
      </c>
      <c r="AK4765">
        <v>25.8821672911244</v>
      </c>
      <c r="AL4765">
        <v>87.088682719841202</v>
      </c>
      <c r="AM4765">
        <v>86.628905722540594</v>
      </c>
      <c r="AN4765">
        <v>1.00000000133537</v>
      </c>
    </row>
    <row r="4766" spans="1:40" x14ac:dyDescent="0.25">
      <c r="A4766" t="str">
        <f>"20190312154655592"</f>
        <v>20190312154655592</v>
      </c>
      <c r="B4766" t="str">
        <f>"1552376815582554"</f>
        <v>1552376815582554</v>
      </c>
      <c r="C4766" t="s">
        <v>40</v>
      </c>
      <c r="D4766">
        <v>4.7311139999999998</v>
      </c>
      <c r="E4766">
        <v>0.42739339999999998</v>
      </c>
      <c r="F4766" t="s">
        <v>42</v>
      </c>
      <c r="G4766">
        <v>-352.37479999999999</v>
      </c>
      <c r="H4766" s="1">
        <v>-3.629142E-6</v>
      </c>
      <c r="I4766">
        <v>17.498370000000001</v>
      </c>
      <c r="J4766">
        <v>-377.41359999999997</v>
      </c>
      <c r="K4766">
        <v>1.1140509999999999</v>
      </c>
      <c r="L4766">
        <v>17.64087</v>
      </c>
      <c r="M4766">
        <v>0.99070910000000001</v>
      </c>
      <c r="N4766">
        <v>0</v>
      </c>
      <c r="O4766">
        <v>-0.13548669999999999</v>
      </c>
      <c r="P4766">
        <v>0.9804524</v>
      </c>
      <c r="Q4766">
        <v>3.7506190000000002E-2</v>
      </c>
      <c r="R4766">
        <v>-0.1931496</v>
      </c>
      <c r="S4766">
        <v>3.0656430000000001</v>
      </c>
      <c r="T4766">
        <v>-0.13492560000000001</v>
      </c>
      <c r="U4766">
        <v>-2.1026610000000001E-2</v>
      </c>
      <c r="V4766">
        <v>5.7954569999999997E-2</v>
      </c>
      <c r="W4766">
        <v>4.9925369999999997E-2</v>
      </c>
      <c r="X4766">
        <v>0.99707009999999996</v>
      </c>
      <c r="Y4766">
        <v>-0.12844269999999999</v>
      </c>
      <c r="Z4766">
        <v>8.7711409999999997E-3</v>
      </c>
      <c r="AA4766">
        <v>0.99167810000000001</v>
      </c>
      <c r="AB4766">
        <v>26</v>
      </c>
      <c r="AC4766">
        <v>25.038799999999899</v>
      </c>
      <c r="AD4766">
        <v>-1.1140546291419999</v>
      </c>
      <c r="AE4766">
        <v>-0.14249999999999799</v>
      </c>
      <c r="AF4766">
        <v>-3.2450502322631398</v>
      </c>
      <c r="AG4766">
        <v>-1.1140546291419999</v>
      </c>
      <c r="AH4766">
        <v>24.778147156231999</v>
      </c>
      <c r="AI4766">
        <v>92.552583650020495</v>
      </c>
      <c r="AJ4766">
        <v>97.461231918156201</v>
      </c>
      <c r="AK4766">
        <v>25.0145566665195</v>
      </c>
      <c r="AL4766">
        <v>87.138297433032207</v>
      </c>
      <c r="AM4766">
        <v>86.673433161084802</v>
      </c>
      <c r="AN4766">
        <v>1.0000000295337601</v>
      </c>
    </row>
    <row r="4767" spans="1:40" x14ac:dyDescent="0.25">
      <c r="A4767" t="str">
        <f>"20190312154655614"</f>
        <v>20190312154655614</v>
      </c>
      <c r="B4767" t="str">
        <f>"1552376815603050"</f>
        <v>1552376815603050</v>
      </c>
      <c r="C4767" t="s">
        <v>40</v>
      </c>
      <c r="D4767">
        <v>4.7370900000000002</v>
      </c>
      <c r="E4767">
        <v>0.42791889999999999</v>
      </c>
      <c r="F4767" t="s">
        <v>42</v>
      </c>
      <c r="G4767">
        <v>-352.82060000000001</v>
      </c>
      <c r="H4767" s="1">
        <v>-3.414521E-6</v>
      </c>
      <c r="I4767">
        <v>17.63025</v>
      </c>
      <c r="J4767">
        <v>-377.15190000000001</v>
      </c>
      <c r="K4767">
        <v>1.114098</v>
      </c>
      <c r="L4767">
        <v>17.612579999999902</v>
      </c>
      <c r="M4767">
        <v>0.99157799999999996</v>
      </c>
      <c r="N4767">
        <v>0</v>
      </c>
      <c r="O4767">
        <v>-0.12896050000000001</v>
      </c>
      <c r="P4767">
        <v>0.98187899999999995</v>
      </c>
      <c r="Q4767">
        <v>3.6354230000000001E-2</v>
      </c>
      <c r="R4767">
        <v>-0.18598890000000001</v>
      </c>
      <c r="S4767">
        <v>3.064819</v>
      </c>
      <c r="T4767">
        <v>-0.13883519999999999</v>
      </c>
      <c r="U4767">
        <v>-1.3122559999999999E-3</v>
      </c>
      <c r="V4767">
        <v>5.7244749999999997E-2</v>
      </c>
      <c r="W4767">
        <v>4.8910950000000002E-2</v>
      </c>
      <c r="X4767">
        <v>0.99716130000000003</v>
      </c>
      <c r="Y4767">
        <v>-0.1282819</v>
      </c>
      <c r="Z4767">
        <v>8.7310679999999998E-3</v>
      </c>
      <c r="AA4767">
        <v>0.99169929999999995</v>
      </c>
      <c r="AB4767">
        <v>26</v>
      </c>
      <c r="AC4767">
        <v>24.331299999999999</v>
      </c>
      <c r="AD4767">
        <v>-1.114101414521</v>
      </c>
      <c r="AE4767">
        <v>1.76700000000025E-2</v>
      </c>
      <c r="AF4767">
        <v>-3.1489201843025798</v>
      </c>
      <c r="AG4767">
        <v>-1.114101414521</v>
      </c>
      <c r="AH4767">
        <v>24.075342468854299</v>
      </c>
      <c r="AI4767">
        <v>92.627162960739795</v>
      </c>
      <c r="AJ4767">
        <v>97.451667403172493</v>
      </c>
      <c r="AK4767">
        <v>24.3059465004259</v>
      </c>
      <c r="AL4767">
        <v>87.196490297934702</v>
      </c>
      <c r="AM4767">
        <v>86.714386556952107</v>
      </c>
      <c r="AN4767">
        <v>0.99999995032507605</v>
      </c>
    </row>
    <row r="4768" spans="1:40" x14ac:dyDescent="0.25">
      <c r="A4768" t="str">
        <f>"20190312154655635"</f>
        <v>20190312154655635</v>
      </c>
      <c r="B4768" t="str">
        <f>"1552376815622571"</f>
        <v>1552376815622571</v>
      </c>
      <c r="C4768" t="s">
        <v>40</v>
      </c>
      <c r="D4768">
        <v>4.7209320000000004</v>
      </c>
      <c r="E4768">
        <v>0.42820999999999998</v>
      </c>
      <c r="F4768" t="s">
        <v>42</v>
      </c>
      <c r="G4768">
        <v>-353.29250000000002</v>
      </c>
      <c r="H4768" s="1">
        <v>-3.1919849999999999E-6</v>
      </c>
      <c r="I4768">
        <v>17.74343</v>
      </c>
      <c r="J4768">
        <v>-376.9126</v>
      </c>
      <c r="K4768">
        <v>1.1141030000000001</v>
      </c>
      <c r="L4768">
        <v>17.588259999999998</v>
      </c>
      <c r="M4768">
        <v>0.99233530000000003</v>
      </c>
      <c r="N4768">
        <v>0</v>
      </c>
      <c r="O4768">
        <v>-0.1229827</v>
      </c>
      <c r="P4768">
        <v>0.98333320000000002</v>
      </c>
      <c r="Q4768">
        <v>3.4736749999999997E-2</v>
      </c>
      <c r="R4768">
        <v>-0.17846310000000001</v>
      </c>
      <c r="S4768">
        <v>3.063904</v>
      </c>
      <c r="T4768">
        <v>-0.14306740000000001</v>
      </c>
      <c r="U4768">
        <v>1.6815190000000001E-2</v>
      </c>
      <c r="V4768">
        <v>5.5629039999999998E-2</v>
      </c>
      <c r="W4768">
        <v>4.741923E-2</v>
      </c>
      <c r="X4768">
        <v>0.99732480000000001</v>
      </c>
      <c r="Y4768">
        <v>-0.128163</v>
      </c>
      <c r="Z4768">
        <v>8.7200009999999998E-3</v>
      </c>
      <c r="AA4768">
        <v>0.99171480000000001</v>
      </c>
      <c r="AB4768">
        <v>26</v>
      </c>
      <c r="AC4768">
        <v>23.620099999999901</v>
      </c>
      <c r="AD4768">
        <v>-1.1141061919849999</v>
      </c>
      <c r="AE4768">
        <v>0.155169999999998</v>
      </c>
      <c r="AF4768">
        <v>-3.0522771265959601</v>
      </c>
      <c r="AG4768">
        <v>-1.1141061919849999</v>
      </c>
      <c r="AH4768">
        <v>23.3696940601269</v>
      </c>
      <c r="AI4768">
        <v>92.706450187212397</v>
      </c>
      <c r="AJ4768">
        <v>97.441185939971007</v>
      </c>
      <c r="AK4768">
        <v>23.594495729480801</v>
      </c>
      <c r="AL4768">
        <v>87.282058922416596</v>
      </c>
      <c r="AM4768">
        <v>86.807449388591493</v>
      </c>
      <c r="AN4768">
        <v>0.99999996508007605</v>
      </c>
    </row>
    <row r="4769" spans="1:40" x14ac:dyDescent="0.25">
      <c r="A4769" t="str">
        <f>"20190312154655657"</f>
        <v>20190312154655657</v>
      </c>
      <c r="B4769" t="str">
        <f>"1552376815652358"</f>
        <v>1552376815652358</v>
      </c>
      <c r="C4769" t="s">
        <v>40</v>
      </c>
      <c r="D4769">
        <v>4.7732679999999998</v>
      </c>
      <c r="E4769">
        <v>0.43958069999999999</v>
      </c>
      <c r="F4769" t="s">
        <v>42</v>
      </c>
      <c r="G4769">
        <v>-354.01850000000002</v>
      </c>
      <c r="H4769" s="1">
        <v>-2.8580419999999999E-6</v>
      </c>
      <c r="I4769">
        <v>17.870329999999999</v>
      </c>
      <c r="J4769">
        <v>-376.65519999999998</v>
      </c>
      <c r="K4769">
        <v>1.114063</v>
      </c>
      <c r="L4769">
        <v>17.56363</v>
      </c>
      <c r="M4769">
        <v>0.99310620000000005</v>
      </c>
      <c r="N4769">
        <v>0</v>
      </c>
      <c r="O4769">
        <v>-0.1165769</v>
      </c>
      <c r="P4769">
        <v>0.98483180000000003</v>
      </c>
      <c r="Q4769">
        <v>3.3833269999999999E-2</v>
      </c>
      <c r="R4769">
        <v>-0.1701821</v>
      </c>
      <c r="S4769">
        <v>3.0629580000000001</v>
      </c>
      <c r="T4769">
        <v>-0.149054399999999</v>
      </c>
      <c r="U4769">
        <v>3.7750239999999997E-2</v>
      </c>
      <c r="V4769">
        <v>5.3684709999999997E-2</v>
      </c>
      <c r="W4769">
        <v>4.6669519999999999E-2</v>
      </c>
      <c r="X4769">
        <v>0.99746670000000004</v>
      </c>
      <c r="Y4769">
        <v>-0.128527</v>
      </c>
      <c r="Z4769">
        <v>8.7865389999999995E-3</v>
      </c>
      <c r="AA4769">
        <v>0.99166710000000002</v>
      </c>
      <c r="AB4769">
        <v>26</v>
      </c>
      <c r="AC4769">
        <v>22.636699999999902</v>
      </c>
      <c r="AD4769">
        <v>-1.114065858042</v>
      </c>
      <c r="AE4769">
        <v>0.30669999999999897</v>
      </c>
      <c r="AF4769">
        <v>-2.9366111103771599</v>
      </c>
      <c r="AG4769">
        <v>-1.114065858042</v>
      </c>
      <c r="AH4769">
        <v>22.3923484565343</v>
      </c>
      <c r="AI4769">
        <v>92.824093493039598</v>
      </c>
      <c r="AJ4769">
        <v>97.471331963997599</v>
      </c>
      <c r="AK4769">
        <v>22.611547867151899</v>
      </c>
      <c r="AL4769">
        <v>87.325061729253093</v>
      </c>
      <c r="AM4769">
        <v>86.919253084847497</v>
      </c>
      <c r="AN4769">
        <v>0.99999995489685101</v>
      </c>
    </row>
    <row r="4770" spans="1:40" x14ac:dyDescent="0.25">
      <c r="A4770" t="str">
        <f>"20190312154655680"</f>
        <v>20190312154655680</v>
      </c>
      <c r="B4770" t="str">
        <f>"1552376815672855"</f>
        <v>1552376815672855</v>
      </c>
      <c r="C4770" t="s">
        <v>40</v>
      </c>
      <c r="D4770">
        <v>4.8105880000000001</v>
      </c>
      <c r="E4770">
        <v>0.44018279999999899</v>
      </c>
      <c r="F4770" t="s">
        <v>42</v>
      </c>
      <c r="G4770">
        <v>-356.64170000000001</v>
      </c>
      <c r="H4770" s="1">
        <v>-1.817255E-6</v>
      </c>
      <c r="I4770">
        <v>17.39359</v>
      </c>
      <c r="J4770">
        <v>-376.39170000000001</v>
      </c>
      <c r="K4770">
        <v>1.1140110000000001</v>
      </c>
      <c r="L4770">
        <v>17.539950000000001</v>
      </c>
      <c r="M4770">
        <v>0.99384110000000003</v>
      </c>
      <c r="N4770">
        <v>0</v>
      </c>
      <c r="O4770">
        <v>-0.1101118</v>
      </c>
      <c r="P4770">
        <v>0.9862185</v>
      </c>
      <c r="Q4770">
        <v>3.3429599999999997E-2</v>
      </c>
      <c r="R4770">
        <v>-0.16203689999999901</v>
      </c>
      <c r="S4770">
        <v>3.0475460000000001</v>
      </c>
      <c r="T4770">
        <v>-0.16964360000000001</v>
      </c>
      <c r="U4770">
        <v>-2.5878910000000001E-2</v>
      </c>
      <c r="V4770">
        <v>5.1943709999999997E-2</v>
      </c>
      <c r="W4770">
        <v>4.6442310000000001E-2</v>
      </c>
      <c r="X4770">
        <v>0.9975695</v>
      </c>
      <c r="Y4770">
        <v>-0.10134990000000001</v>
      </c>
      <c r="Z4770">
        <v>8.9336329999999999E-3</v>
      </c>
      <c r="AA4770">
        <v>0.99481070000000005</v>
      </c>
      <c r="AB4770">
        <v>26</v>
      </c>
      <c r="AC4770">
        <v>19.75</v>
      </c>
      <c r="AD4770">
        <v>-1.1140128172549999</v>
      </c>
      <c r="AE4770">
        <v>-0.14636000000000099</v>
      </c>
      <c r="AF4770">
        <v>-2.02297107485037</v>
      </c>
      <c r="AG4770">
        <v>-1.1140128172549999</v>
      </c>
      <c r="AH4770">
        <v>19.583698701161101</v>
      </c>
      <c r="AI4770">
        <v>93.238548660705206</v>
      </c>
      <c r="AJ4770">
        <v>95.897662985595304</v>
      </c>
      <c r="AK4770">
        <v>19.719398858599899</v>
      </c>
      <c r="AL4770">
        <v>87.338094081272502</v>
      </c>
      <c r="AM4770">
        <v>87.019285413316396</v>
      </c>
      <c r="AN4770">
        <v>0.99999997224847403</v>
      </c>
    </row>
    <row r="4771" spans="1:40" x14ac:dyDescent="0.25">
      <c r="A4771" t="str">
        <f>"20190312154655703"</f>
        <v>20190312154655703</v>
      </c>
      <c r="B4771" t="str">
        <f>"1552376815692378"</f>
        <v>1552376815692378</v>
      </c>
      <c r="C4771" t="s">
        <v>40</v>
      </c>
      <c r="D4771">
        <v>4.7899539999999998</v>
      </c>
      <c r="E4771">
        <v>0.4411542</v>
      </c>
      <c r="F4771" t="s">
        <v>42</v>
      </c>
      <c r="G4771">
        <v>-356.91629999999998</v>
      </c>
      <c r="H4771" s="1">
        <v>-1.680292E-6</v>
      </c>
      <c r="I4771">
        <v>17.501629999999999</v>
      </c>
      <c r="J4771">
        <v>-376.1259</v>
      </c>
      <c r="K4771">
        <v>1.1139460000000001</v>
      </c>
      <c r="L4771">
        <v>17.517610000000001</v>
      </c>
      <c r="M4771">
        <v>0.99452169999999895</v>
      </c>
      <c r="N4771">
        <v>0</v>
      </c>
      <c r="O4771">
        <v>-0.1037599</v>
      </c>
      <c r="P4771">
        <v>0.9875178</v>
      </c>
      <c r="Q4771">
        <v>3.2882590000000003E-2</v>
      </c>
      <c r="R4771">
        <v>-0.15403849999999999</v>
      </c>
      <c r="S4771">
        <v>3.0468440000000001</v>
      </c>
      <c r="T4771">
        <v>-0.17428289999999999</v>
      </c>
      <c r="U4771">
        <v>-5.9814450000000002E-3</v>
      </c>
      <c r="V4771">
        <v>5.0246279999999997E-2</v>
      </c>
      <c r="W4771">
        <v>4.6066019999999999E-2</v>
      </c>
      <c r="X4771">
        <v>0.9976739</v>
      </c>
      <c r="Y4771">
        <v>-0.1014804</v>
      </c>
      <c r="Z4771">
        <v>8.822646E-3</v>
      </c>
      <c r="AA4771">
        <v>0.99479839999999997</v>
      </c>
      <c r="AB4771">
        <v>26</v>
      </c>
      <c r="AC4771">
        <v>19.209599999999998</v>
      </c>
      <c r="AD4771">
        <v>-1.1139476802920001</v>
      </c>
      <c r="AE4771">
        <v>-1.5980000000002499E-2</v>
      </c>
      <c r="AF4771">
        <v>-1.9708250246255099</v>
      </c>
      <c r="AG4771">
        <v>-1.1139476802920001</v>
      </c>
      <c r="AH4771">
        <v>19.043516999953599</v>
      </c>
      <c r="AI4771">
        <v>93.329948779716403</v>
      </c>
      <c r="AJ4771">
        <v>95.908540493447106</v>
      </c>
      <c r="AK4771">
        <v>19.177605962153901</v>
      </c>
      <c r="AL4771">
        <v>87.359677054734902</v>
      </c>
      <c r="AM4771">
        <v>87.116824052382597</v>
      </c>
      <c r="AN4771">
        <v>0.99999998879684404</v>
      </c>
    </row>
    <row r="4772" spans="1:40" x14ac:dyDescent="0.25">
      <c r="A4772" t="str">
        <f>"20190312154655725"</f>
        <v>20190312154655725</v>
      </c>
      <c r="B4772" t="str">
        <f>"1552376815712870"</f>
        <v>1552376815712870</v>
      </c>
      <c r="C4772" t="s">
        <v>40</v>
      </c>
      <c r="D4772">
        <v>4.8407910000000003</v>
      </c>
      <c r="E4772">
        <v>0.44212279999999998</v>
      </c>
      <c r="F4772" t="s">
        <v>42</v>
      </c>
      <c r="G4772">
        <v>-357.17320000000001</v>
      </c>
      <c r="H4772" s="1">
        <v>-1.5554679999999999E-6</v>
      </c>
      <c r="I4772">
        <v>17.584</v>
      </c>
      <c r="J4772">
        <v>-375.87369999999999</v>
      </c>
      <c r="K4772">
        <v>1.1138760000000001</v>
      </c>
      <c r="L4772">
        <v>17.497859999999999</v>
      </c>
      <c r="M4772">
        <v>0.99510849999999995</v>
      </c>
      <c r="N4772">
        <v>0</v>
      </c>
      <c r="O4772">
        <v>-9.7950670000000004E-2</v>
      </c>
      <c r="P4772">
        <v>0.98860150000000002</v>
      </c>
      <c r="Q4772">
        <v>3.3032449999999998E-2</v>
      </c>
      <c r="R4772">
        <v>-0.1468884</v>
      </c>
      <c r="S4772">
        <v>3.045563</v>
      </c>
      <c r="T4772">
        <v>-0.17900360000000001</v>
      </c>
      <c r="U4772">
        <v>1.068115E-2</v>
      </c>
      <c r="V4772">
        <v>4.8862349999999999E-2</v>
      </c>
      <c r="W4772">
        <v>4.6358959999999998E-2</v>
      </c>
      <c r="X4772">
        <v>0.99772910000000004</v>
      </c>
      <c r="Y4772">
        <v>-0.10110520000000001</v>
      </c>
      <c r="Z4772">
        <v>8.7145419999999901E-3</v>
      </c>
      <c r="AA4772">
        <v>0.99483759999999999</v>
      </c>
      <c r="AB4772">
        <v>26</v>
      </c>
      <c r="AC4772">
        <v>18.700499999999899</v>
      </c>
      <c r="AD4772">
        <v>-1.113877555468</v>
      </c>
      <c r="AE4772">
        <v>8.61400000000003E-2</v>
      </c>
      <c r="AF4772">
        <v>-1.9108238865606</v>
      </c>
      <c r="AG4772">
        <v>-1.113877555468</v>
      </c>
      <c r="AH4772">
        <v>18.536358038532001</v>
      </c>
      <c r="AI4772">
        <v>93.420769999628305</v>
      </c>
      <c r="AJ4772">
        <v>95.885557014991207</v>
      </c>
      <c r="AK4772">
        <v>18.6678477727529</v>
      </c>
      <c r="AL4772">
        <v>87.342874960111601</v>
      </c>
      <c r="AM4772">
        <v>87.196261544215801</v>
      </c>
      <c r="AN4772">
        <v>1.0000000197033001</v>
      </c>
    </row>
    <row r="4773" spans="1:40" x14ac:dyDescent="0.25">
      <c r="A4773" t="str">
        <f>"20190312154655746"</f>
        <v>20190312154655746</v>
      </c>
      <c r="B4773" t="str">
        <f>"1552376815742150"</f>
        <v>1552376815742150</v>
      </c>
      <c r="C4773" t="s">
        <v>40</v>
      </c>
      <c r="D4773">
        <v>4.8241370000000003</v>
      </c>
      <c r="E4773">
        <v>0.44340289999999999</v>
      </c>
      <c r="F4773" t="s">
        <v>42</v>
      </c>
      <c r="G4773">
        <v>-357.37270000000001</v>
      </c>
      <c r="H4773" s="1">
        <v>-1.458373E-6</v>
      </c>
      <c r="I4773">
        <v>17.64911</v>
      </c>
      <c r="J4773">
        <v>-375.62279999999998</v>
      </c>
      <c r="K4773">
        <v>1.1137889999999999</v>
      </c>
      <c r="L4773">
        <v>17.479520000000001</v>
      </c>
      <c r="M4773">
        <v>0.99563880000000005</v>
      </c>
      <c r="N4773">
        <v>0</v>
      </c>
      <c r="O4773">
        <v>-9.2380580000000004E-2</v>
      </c>
      <c r="P4773">
        <v>0.98953360000000001</v>
      </c>
      <c r="Q4773">
        <v>3.2942409999999998E-2</v>
      </c>
      <c r="R4773">
        <v>-0.14049120000000001</v>
      </c>
      <c r="S4773">
        <v>3.0443730000000002</v>
      </c>
      <c r="T4773">
        <v>-0.1832898</v>
      </c>
      <c r="U4773">
        <v>2.4902339999999999E-2</v>
      </c>
      <c r="V4773">
        <v>4.8005539999999999E-2</v>
      </c>
      <c r="W4773">
        <v>4.6399450000000002E-2</v>
      </c>
      <c r="X4773">
        <v>0.99776880000000001</v>
      </c>
      <c r="Y4773">
        <v>-0.10018150000000001</v>
      </c>
      <c r="Z4773">
        <v>8.5647729999999995E-3</v>
      </c>
      <c r="AA4773">
        <v>0.99493229999999999</v>
      </c>
      <c r="AB4773">
        <v>26</v>
      </c>
      <c r="AC4773">
        <v>18.2500999999999</v>
      </c>
      <c r="AD4773">
        <v>-1.1137904583729901</v>
      </c>
      <c r="AE4773">
        <v>0.16958999999999899</v>
      </c>
      <c r="AF4773">
        <v>-1.84807943893041</v>
      </c>
      <c r="AG4773">
        <v>-1.1137904583729901</v>
      </c>
      <c r="AH4773">
        <v>18.089008994883699</v>
      </c>
      <c r="AI4773">
        <v>93.505211771091695</v>
      </c>
      <c r="AJ4773">
        <v>95.833433457374099</v>
      </c>
      <c r="AK4773">
        <v>18.217249331739001</v>
      </c>
      <c r="AL4773">
        <v>87.340552527875403</v>
      </c>
      <c r="AM4773">
        <v>87.245458632387098</v>
      </c>
      <c r="AN4773">
        <v>1.0000000095422099</v>
      </c>
    </row>
    <row r="4774" spans="1:40" x14ac:dyDescent="0.25">
      <c r="A4774" t="str">
        <f>"20190312154655770"</f>
        <v>20190312154655770</v>
      </c>
      <c r="B4774" t="str">
        <f>"1552376815762646"</f>
        <v>1552376815762646</v>
      </c>
      <c r="C4774" t="s">
        <v>40</v>
      </c>
      <c r="D4774">
        <v>4.7982180000000003</v>
      </c>
      <c r="E4774">
        <v>0.44398460000000001</v>
      </c>
      <c r="F4774" t="s">
        <v>42</v>
      </c>
      <c r="G4774">
        <v>-357.10419999999999</v>
      </c>
      <c r="H4774" s="1">
        <v>-1.5669650000000001E-6</v>
      </c>
      <c r="I4774">
        <v>17.686160000000001</v>
      </c>
      <c r="J4774">
        <v>-375.35559999999998</v>
      </c>
      <c r="K4774">
        <v>1.113694</v>
      </c>
      <c r="L4774">
        <v>17.461400000000001</v>
      </c>
      <c r="M4774">
        <v>0.99615379999999998</v>
      </c>
      <c r="N4774">
        <v>0</v>
      </c>
      <c r="O4774">
        <v>-8.6631479999999997E-2</v>
      </c>
      <c r="P4774">
        <v>0.9903035</v>
      </c>
      <c r="Q4774">
        <v>3.2653479999999999E-2</v>
      </c>
      <c r="R4774">
        <v>-0.13502979999999901</v>
      </c>
      <c r="S4774">
        <v>3.0426639999999998</v>
      </c>
      <c r="T4774">
        <v>-0.1829991</v>
      </c>
      <c r="U4774">
        <v>3.3966059999999999E-2</v>
      </c>
      <c r="V4774">
        <v>4.8276340000000001E-2</v>
      </c>
      <c r="W4774">
        <v>4.6244639999999997E-2</v>
      </c>
      <c r="X4774">
        <v>0.99776290000000001</v>
      </c>
      <c r="Y4774">
        <v>-9.7421800000000003E-2</v>
      </c>
      <c r="Z4774">
        <v>8.1286529999999996E-3</v>
      </c>
      <c r="AA4774">
        <v>0.99521000000000004</v>
      </c>
      <c r="AB4774">
        <v>26</v>
      </c>
      <c r="AC4774">
        <v>18.251399999999901</v>
      </c>
      <c r="AD4774">
        <v>-1.1136955669649999</v>
      </c>
      <c r="AE4774">
        <v>0.22475999999999899</v>
      </c>
      <c r="AF4774">
        <v>-1.7985015718847499</v>
      </c>
      <c r="AG4774">
        <v>-1.1136955669649999</v>
      </c>
      <c r="AH4774">
        <v>18.095929364527802</v>
      </c>
      <c r="AI4774">
        <v>93.5045458288769</v>
      </c>
      <c r="AJ4774">
        <v>95.6758209790801</v>
      </c>
      <c r="AK4774">
        <v>18.219154351558899</v>
      </c>
      <c r="AL4774">
        <v>87.3494319623682</v>
      </c>
      <c r="AM4774">
        <v>87.229928000991606</v>
      </c>
      <c r="AN4774">
        <v>0.999999988174467</v>
      </c>
    </row>
    <row r="4775" spans="1:40" x14ac:dyDescent="0.25">
      <c r="A4775" t="str">
        <f>"20190312154655792"</f>
        <v>20190312154655792</v>
      </c>
      <c r="B4775" t="str">
        <f>"1552376815782166"</f>
        <v>1552376815782166</v>
      </c>
      <c r="C4775" t="s">
        <v>40</v>
      </c>
      <c r="D4775">
        <v>4.8954449999999996</v>
      </c>
      <c r="E4775">
        <v>0.45210620000000001</v>
      </c>
      <c r="F4775" t="s">
        <v>42</v>
      </c>
      <c r="G4775">
        <v>-356.9008</v>
      </c>
      <c r="H4775" s="1">
        <v>-1.6444019999999999E-6</v>
      </c>
      <c r="I4775">
        <v>17.74164</v>
      </c>
      <c r="J4775">
        <v>-375.08780000000002</v>
      </c>
      <c r="K4775">
        <v>1.113599</v>
      </c>
      <c r="L4775">
        <v>17.44455</v>
      </c>
      <c r="M4775">
        <v>0.99662189999999995</v>
      </c>
      <c r="N4775">
        <v>0</v>
      </c>
      <c r="O4775">
        <v>-8.1047469999999996E-2</v>
      </c>
      <c r="P4775">
        <v>0.99096930000000005</v>
      </c>
      <c r="Q4775">
        <v>3.1607459999999997E-2</v>
      </c>
      <c r="R4775">
        <v>-0.13031029999999999</v>
      </c>
      <c r="S4775">
        <v>3.0417179999999999</v>
      </c>
      <c r="T4775">
        <v>-0.18355879999999999</v>
      </c>
      <c r="U4775">
        <v>4.6203609999999999E-2</v>
      </c>
      <c r="V4775">
        <v>4.913551E-2</v>
      </c>
      <c r="W4775">
        <v>4.5322929999999997E-2</v>
      </c>
      <c r="X4775">
        <v>0.99776330000000002</v>
      </c>
      <c r="Y4775">
        <v>-9.5861879999999997E-2</v>
      </c>
      <c r="Z4775">
        <v>7.7731040000000003E-3</v>
      </c>
      <c r="AA4775">
        <v>0.99536429999999998</v>
      </c>
      <c r="AB4775">
        <v>26</v>
      </c>
      <c r="AC4775">
        <v>18.187000000000001</v>
      </c>
      <c r="AD4775">
        <v>-1.1136006444019999</v>
      </c>
      <c r="AE4775">
        <v>0.29709000000000002</v>
      </c>
      <c r="AF4775">
        <v>-1.7636421553705199</v>
      </c>
      <c r="AG4775">
        <v>-1.1136006444019999</v>
      </c>
      <c r="AH4775">
        <v>18.0354778174617</v>
      </c>
      <c r="AI4775">
        <v>93.516511870081999</v>
      </c>
      <c r="AJ4775">
        <v>95.585047335667198</v>
      </c>
      <c r="AK4775">
        <v>18.155687818189801</v>
      </c>
      <c r="AL4775">
        <v>87.402297614675703</v>
      </c>
      <c r="AM4775">
        <v>87.180709232242194</v>
      </c>
      <c r="AN4775">
        <v>1.0000000345768101</v>
      </c>
    </row>
    <row r="4776" spans="1:40" x14ac:dyDescent="0.25">
      <c r="A4776" t="str">
        <f>"20190312154655815"</f>
        <v>20190312154655815</v>
      </c>
      <c r="B4776" t="str">
        <f>"1552376815802662"</f>
        <v>1552376815802662</v>
      </c>
      <c r="C4776" t="s">
        <v>40</v>
      </c>
      <c r="D4776">
        <v>4.8573259999999996</v>
      </c>
      <c r="E4776">
        <v>0.4500844</v>
      </c>
      <c r="F4776" t="s">
        <v>42</v>
      </c>
      <c r="G4776">
        <v>-353.52839999999998</v>
      </c>
      <c r="H4776" s="1">
        <v>-3.1495199999999998E-6</v>
      </c>
      <c r="I4776">
        <v>17.41235</v>
      </c>
      <c r="J4776">
        <v>-374.83179999999999</v>
      </c>
      <c r="K4776">
        <v>1.1135010000000001</v>
      </c>
      <c r="L4776">
        <v>17.429659999999998</v>
      </c>
      <c r="M4776">
        <v>0.99702679999999999</v>
      </c>
      <c r="N4776">
        <v>0</v>
      </c>
      <c r="O4776">
        <v>-7.5883259999999994E-2</v>
      </c>
      <c r="P4776">
        <v>0.99152989999999996</v>
      </c>
      <c r="Q4776">
        <v>3.1729569999999999E-2</v>
      </c>
      <c r="R4776">
        <v>-0.1259431</v>
      </c>
      <c r="S4776">
        <v>3.0317379999999998</v>
      </c>
      <c r="T4776">
        <v>-0.15659809999999999</v>
      </c>
      <c r="U4776">
        <v>-4.5166019999999998E-3</v>
      </c>
      <c r="V4776">
        <v>4.9920880000000001E-2</v>
      </c>
      <c r="W4776">
        <v>4.5546330000000003E-2</v>
      </c>
      <c r="X4776">
        <v>0.99771410000000005</v>
      </c>
      <c r="Y4776">
        <v>-7.4204560000000003E-2</v>
      </c>
      <c r="Z4776">
        <v>5.8296060000000002E-3</v>
      </c>
      <c r="AA4776">
        <v>0.99722599999999995</v>
      </c>
      <c r="AB4776">
        <v>26</v>
      </c>
      <c r="AC4776">
        <v>21.3034</v>
      </c>
      <c r="AD4776">
        <v>-1.11350414952</v>
      </c>
      <c r="AE4776">
        <v>-1.73100000000019E-2</v>
      </c>
      <c r="AF4776">
        <v>-1.5950984399652299</v>
      </c>
      <c r="AG4776">
        <v>-1.11350414952</v>
      </c>
      <c r="AH4776">
        <v>21.1853995608536</v>
      </c>
      <c r="AI4776">
        <v>93.000219997912893</v>
      </c>
      <c r="AJ4776">
        <v>94.305809480694606</v>
      </c>
      <c r="AK4776">
        <v>21.274524320820699</v>
      </c>
      <c r="AL4776">
        <v>87.389484399737597</v>
      </c>
      <c r="AM4776">
        <v>87.135579818275502</v>
      </c>
      <c r="AN4776">
        <v>0.99999999388762595</v>
      </c>
    </row>
    <row r="4777" spans="1:40" x14ac:dyDescent="0.25">
      <c r="A4777" t="str">
        <f>"20190312154655836"</f>
        <v>20190312154655836</v>
      </c>
      <c r="B4777" t="str">
        <f>"1552376815822182"</f>
        <v>1552376815822182</v>
      </c>
      <c r="C4777" t="s">
        <v>40</v>
      </c>
      <c r="D4777">
        <v>4.8550079999999998</v>
      </c>
      <c r="E4777">
        <v>0.44330550000000002</v>
      </c>
      <c r="F4777" t="s">
        <v>42</v>
      </c>
      <c r="G4777">
        <v>-349.36239999999998</v>
      </c>
      <c r="H4777" s="1">
        <v>-7.3072980000000005E-7</v>
      </c>
      <c r="I4777">
        <v>17.633050000000001</v>
      </c>
      <c r="J4777">
        <v>-374.58139999999997</v>
      </c>
      <c r="K4777">
        <v>1.113402</v>
      </c>
      <c r="L4777">
        <v>17.416229999999999</v>
      </c>
      <c r="M4777">
        <v>0.99738519999999997</v>
      </c>
      <c r="N4777">
        <v>0</v>
      </c>
      <c r="O4777">
        <v>-7.1000240000000006E-2</v>
      </c>
      <c r="P4777">
        <v>0.99211199999999999</v>
      </c>
      <c r="Q4777">
        <v>3.2038900000000002E-2</v>
      </c>
      <c r="R4777">
        <v>-0.1211907</v>
      </c>
      <c r="S4777">
        <v>3.032959</v>
      </c>
      <c r="T4777">
        <v>-0.1325983</v>
      </c>
      <c r="U4777">
        <v>2.4230959999999999E-2</v>
      </c>
      <c r="V4777">
        <v>5.0037449999999997E-2</v>
      </c>
      <c r="W4777">
        <v>4.593407E-2</v>
      </c>
      <c r="X4777">
        <v>0.99769050000000004</v>
      </c>
      <c r="Y4777">
        <v>-7.8830170000000005E-2</v>
      </c>
      <c r="Z4777">
        <v>4.8234200000000001E-3</v>
      </c>
      <c r="AA4777">
        <v>0.9968764</v>
      </c>
      <c r="AB4777">
        <v>26</v>
      </c>
      <c r="AC4777">
        <v>25.218999999999902</v>
      </c>
      <c r="AD4777">
        <v>-1.1134027307298</v>
      </c>
      <c r="AE4777">
        <v>0.21682000000000101</v>
      </c>
      <c r="AF4777">
        <v>-2.0030864243355402</v>
      </c>
      <c r="AG4777">
        <v>-1.1134027307298</v>
      </c>
      <c r="AH4777">
        <v>25.091044518385999</v>
      </c>
      <c r="AI4777">
        <v>92.532757543251094</v>
      </c>
      <c r="AJ4777">
        <v>94.564397856223707</v>
      </c>
      <c r="AK4777">
        <v>25.195486418955799</v>
      </c>
      <c r="AL4777">
        <v>87.367245298850307</v>
      </c>
      <c r="AM4777">
        <v>87.128834502109797</v>
      </c>
      <c r="AN4777">
        <v>1.0000000094897501</v>
      </c>
    </row>
    <row r="4778" spans="1:40" x14ac:dyDescent="0.25">
      <c r="A4778" t="str">
        <f>"20190312154655860"</f>
        <v>20190312154655860</v>
      </c>
      <c r="B4778" t="str">
        <f>"1552376815852439"</f>
        <v>1552376815852439</v>
      </c>
      <c r="C4778" t="s">
        <v>40</v>
      </c>
      <c r="D4778">
        <v>4.8279500000000004</v>
      </c>
      <c r="E4778">
        <v>0.44454300000000002</v>
      </c>
      <c r="F4778" t="s">
        <v>83</v>
      </c>
      <c r="G4778">
        <v>-279.68</v>
      </c>
      <c r="H4778">
        <v>0.138289</v>
      </c>
      <c r="I4778">
        <v>20.208629999999999</v>
      </c>
      <c r="J4778">
        <v>-374.31790000000001</v>
      </c>
      <c r="K4778">
        <v>1.113297</v>
      </c>
      <c r="L4778">
        <v>17.403199999999998</v>
      </c>
      <c r="M4778">
        <v>0.99772539999999998</v>
      </c>
      <c r="N4778">
        <v>0</v>
      </c>
      <c r="O4778">
        <v>-6.6031530000000005E-2</v>
      </c>
      <c r="P4778">
        <v>0.99264790000000003</v>
      </c>
      <c r="Q4778">
        <v>3.2920060000000001E-2</v>
      </c>
      <c r="R4778">
        <v>-0.11647589999999999</v>
      </c>
      <c r="S4778">
        <v>3.0357669999999999</v>
      </c>
      <c r="T4778">
        <v>-3.1192419999999998E-2</v>
      </c>
      <c r="U4778">
        <v>8.932495E-2</v>
      </c>
      <c r="V4778">
        <v>5.027587E-2</v>
      </c>
      <c r="W4778">
        <v>4.6883859999999999E-2</v>
      </c>
      <c r="X4778">
        <v>0.99763440000000003</v>
      </c>
      <c r="Y4778">
        <v>-9.5347779999999993E-2</v>
      </c>
      <c r="Z4778">
        <v>1.1678929999999999E-3</v>
      </c>
      <c r="AA4778">
        <v>0.99544330000000003</v>
      </c>
      <c r="AB4778">
        <v>26</v>
      </c>
      <c r="AC4778">
        <v>94.637900000000002</v>
      </c>
      <c r="AD4778">
        <v>-0.97500799999999999</v>
      </c>
      <c r="AE4778">
        <v>2.8054299999999999</v>
      </c>
      <c r="AF4778">
        <v>-9.0480064983740291</v>
      </c>
      <c r="AG4778">
        <v>-0.97500799999999999</v>
      </c>
      <c r="AH4778">
        <v>94.236060791501302</v>
      </c>
      <c r="AI4778">
        <v>90.590072914489895</v>
      </c>
      <c r="AJ4778">
        <v>95.484400535917104</v>
      </c>
      <c r="AK4778">
        <v>94.674453870588593</v>
      </c>
      <c r="AL4778">
        <v>87.312767824045096</v>
      </c>
      <c r="AM4778">
        <v>87.115014989739507</v>
      </c>
      <c r="AN4778">
        <v>1.00000007774805</v>
      </c>
    </row>
    <row r="4779" spans="1:40" x14ac:dyDescent="0.25">
      <c r="A4779" t="str">
        <f>"20190312154655882"</f>
        <v>20190312154655882</v>
      </c>
      <c r="B4779" t="str">
        <f>"1552376815872934"</f>
        <v>1552376815872934</v>
      </c>
      <c r="C4779" t="s">
        <v>40</v>
      </c>
      <c r="D4779">
        <v>4.8586179999999999</v>
      </c>
      <c r="E4779">
        <v>0.44520510000000002</v>
      </c>
      <c r="F4779" t="s">
        <v>83</v>
      </c>
      <c r="G4779">
        <v>-279.68</v>
      </c>
      <c r="H4779">
        <v>0.28759839999999998</v>
      </c>
      <c r="I4779">
        <v>20.33315</v>
      </c>
      <c r="J4779">
        <v>-374.05369999999999</v>
      </c>
      <c r="K4779">
        <v>1.113189</v>
      </c>
      <c r="L4779">
        <v>17.39124</v>
      </c>
      <c r="M4779">
        <v>0.99803149999999996</v>
      </c>
      <c r="N4779">
        <v>0</v>
      </c>
      <c r="O4779">
        <v>-6.1214520000000001E-2</v>
      </c>
      <c r="P4779">
        <v>0.99317840000000002</v>
      </c>
      <c r="Q4779">
        <v>3.4044430000000001E-2</v>
      </c>
      <c r="R4779">
        <v>-0.1115252</v>
      </c>
      <c r="S4779">
        <v>3.0340579999999999</v>
      </c>
      <c r="T4779">
        <v>-2.6471499999999999E-2</v>
      </c>
      <c r="U4779">
        <v>9.393311E-2</v>
      </c>
      <c r="V4779">
        <v>5.012544E-2</v>
      </c>
      <c r="W4779">
        <v>4.8061270000000003E-2</v>
      </c>
      <c r="X4779">
        <v>0.99758590000000003</v>
      </c>
      <c r="Y4779">
        <v>-9.2071760000000002E-2</v>
      </c>
      <c r="Z4779">
        <v>9.3542029999999995E-4</v>
      </c>
      <c r="AA4779">
        <v>0.99575190000000002</v>
      </c>
      <c r="AB4779">
        <v>26</v>
      </c>
      <c r="AC4779">
        <v>94.373699999999999</v>
      </c>
      <c r="AD4779">
        <v>-0.82559059999999995</v>
      </c>
      <c r="AE4779">
        <v>2.94191</v>
      </c>
      <c r="AF4779">
        <v>-8.7133034549990001</v>
      </c>
      <c r="AG4779">
        <v>-0.82559059999999995</v>
      </c>
      <c r="AH4779">
        <v>94.009389880377</v>
      </c>
      <c r="AI4779">
        <v>90.501011404255806</v>
      </c>
      <c r="AJ4779">
        <v>95.295356785806902</v>
      </c>
      <c r="AK4779">
        <v>94.415934262275997</v>
      </c>
      <c r="AL4779">
        <v>87.245230943439296</v>
      </c>
      <c r="AM4779">
        <v>87.123493004313005</v>
      </c>
      <c r="AN4779">
        <v>1.0000000366440001</v>
      </c>
    </row>
    <row r="4780" spans="1:40" x14ac:dyDescent="0.25">
      <c r="A4780" t="str">
        <f>"20190312154655903"</f>
        <v>20190312154655903</v>
      </c>
      <c r="B4780" t="str">
        <f>"1552376815892458"</f>
        <v>1552376815892458</v>
      </c>
      <c r="C4780" t="s">
        <v>40</v>
      </c>
      <c r="D4780">
        <v>4.8588329999999997</v>
      </c>
      <c r="E4780">
        <v>0.44620799999999999</v>
      </c>
      <c r="F4780" t="s">
        <v>83</v>
      </c>
      <c r="G4780">
        <v>-279.68</v>
      </c>
      <c r="H4780">
        <v>0.40550520000000001</v>
      </c>
      <c r="I4780">
        <v>20.625430000000001</v>
      </c>
      <c r="J4780">
        <v>-373.80900000000003</v>
      </c>
      <c r="K4780">
        <v>1.1130979999999999</v>
      </c>
      <c r="L4780">
        <v>17.3812</v>
      </c>
      <c r="M4780">
        <v>0.99828649999999997</v>
      </c>
      <c r="N4780">
        <v>0</v>
      </c>
      <c r="O4780">
        <v>-5.6893480000000003E-2</v>
      </c>
      <c r="P4780">
        <v>0.99353020000000003</v>
      </c>
      <c r="Q4780">
        <v>3.506865E-2</v>
      </c>
      <c r="R4780">
        <v>-0.10802109999999999</v>
      </c>
      <c r="S4780">
        <v>3.0330509999999999</v>
      </c>
      <c r="T4780">
        <v>-2.2743940000000001E-2</v>
      </c>
      <c r="U4780">
        <v>0.1039429</v>
      </c>
      <c r="V4780">
        <v>5.0932640000000001E-2</v>
      </c>
      <c r="W4780">
        <v>4.9133370000000003E-2</v>
      </c>
      <c r="X4780">
        <v>0.99749270000000001</v>
      </c>
      <c r="Y4780">
        <v>-9.1055739999999996E-2</v>
      </c>
      <c r="Z4780">
        <v>7.6776209999999999E-4</v>
      </c>
      <c r="AA4780">
        <v>0.99584550000000005</v>
      </c>
      <c r="AB4780">
        <v>26</v>
      </c>
      <c r="AC4780">
        <v>94.129000000000005</v>
      </c>
      <c r="AD4780">
        <v>-0.70759279999999902</v>
      </c>
      <c r="AE4780">
        <v>3.2442299999999902</v>
      </c>
      <c r="AF4780">
        <v>-8.5943168015000708</v>
      </c>
      <c r="AG4780">
        <v>-0.70759279999999902</v>
      </c>
      <c r="AH4780">
        <v>93.786620035272406</v>
      </c>
      <c r="AI4780">
        <v>90.430468264046695</v>
      </c>
      <c r="AJ4780">
        <v>95.235785787210602</v>
      </c>
      <c r="AK4780">
        <v>94.182233284710904</v>
      </c>
      <c r="AL4780">
        <v>87.183731240600807</v>
      </c>
      <c r="AM4780">
        <v>87.076977959481795</v>
      </c>
      <c r="AN4780">
        <v>0.99999995420910703</v>
      </c>
    </row>
    <row r="4781" spans="1:40" x14ac:dyDescent="0.25">
      <c r="A4781" t="str">
        <f>"20190312154655926"</f>
        <v>20190312154655926</v>
      </c>
      <c r="B4781" t="str">
        <f>"1552376815922710"</f>
        <v>1552376815922710</v>
      </c>
      <c r="C4781" t="s">
        <v>40</v>
      </c>
      <c r="D4781">
        <v>4.8488259999999999</v>
      </c>
      <c r="E4781">
        <v>0.4470673</v>
      </c>
      <c r="F4781" t="s">
        <v>83</v>
      </c>
      <c r="G4781">
        <v>-279.68</v>
      </c>
      <c r="H4781">
        <v>0.42199019999999998</v>
      </c>
      <c r="I4781">
        <v>20.701969999999999</v>
      </c>
      <c r="J4781">
        <v>-373.55070000000001</v>
      </c>
      <c r="K4781">
        <v>1.1129979999999999</v>
      </c>
      <c r="L4781">
        <v>17.37161</v>
      </c>
      <c r="M4781">
        <v>0.99852700000000005</v>
      </c>
      <c r="N4781">
        <v>0</v>
      </c>
      <c r="O4781">
        <v>-5.2487590000000001E-2</v>
      </c>
      <c r="P4781">
        <v>0.99393989999999999</v>
      </c>
      <c r="Q4781">
        <v>3.66615E-2</v>
      </c>
      <c r="R4781">
        <v>-0.103632</v>
      </c>
      <c r="S4781">
        <v>3.031952</v>
      </c>
      <c r="T4781">
        <v>-2.22609E-2</v>
      </c>
      <c r="U4781">
        <v>0.10696410000000001</v>
      </c>
      <c r="V4781">
        <v>5.0933489999999998E-2</v>
      </c>
      <c r="W4781">
        <v>5.0760680000000002E-2</v>
      </c>
      <c r="X4781">
        <v>0.99741120000000005</v>
      </c>
      <c r="Y4781">
        <v>-8.7664549999999994E-2</v>
      </c>
      <c r="Z4781">
        <v>7.0695369999999999E-4</v>
      </c>
      <c r="AA4781">
        <v>0.99614979999999997</v>
      </c>
      <c r="AB4781">
        <v>26</v>
      </c>
      <c r="AC4781">
        <v>93.870699999999999</v>
      </c>
      <c r="AD4781">
        <v>-0.69100779999999995</v>
      </c>
      <c r="AE4781">
        <v>3.3303600000000002</v>
      </c>
      <c r="AF4781">
        <v>-8.2528340389175199</v>
      </c>
      <c r="AG4781">
        <v>-0.69100779999999995</v>
      </c>
      <c r="AH4781">
        <v>93.561399308190303</v>
      </c>
      <c r="AI4781">
        <v>90.421519861007695</v>
      </c>
      <c r="AJ4781">
        <v>95.040881157327306</v>
      </c>
      <c r="AK4781">
        <v>93.927217578081198</v>
      </c>
      <c r="AL4781">
        <v>87.090376800335306</v>
      </c>
      <c r="AM4781">
        <v>87.076690828298993</v>
      </c>
      <c r="AN4781">
        <v>0.99999998446154104</v>
      </c>
    </row>
    <row r="4782" spans="1:40" x14ac:dyDescent="0.25">
      <c r="A4782" t="str">
        <f>"20190312154655948"</f>
        <v>20190312154655948</v>
      </c>
      <c r="B4782" t="str">
        <f>"1552376815942231"</f>
        <v>1552376815942231</v>
      </c>
      <c r="C4782" t="s">
        <v>40</v>
      </c>
      <c r="D4782">
        <v>4.9038170000000001</v>
      </c>
      <c r="E4782">
        <v>0.45440920000000001</v>
      </c>
      <c r="F4782" t="s">
        <v>83</v>
      </c>
      <c r="G4782">
        <v>-279.68</v>
      </c>
      <c r="H4782">
        <v>0.47362599999999999</v>
      </c>
      <c r="I4782">
        <v>20.891400000000001</v>
      </c>
      <c r="J4782">
        <v>-373.2962</v>
      </c>
      <c r="K4782">
        <v>1.1129089999999999</v>
      </c>
      <c r="L4782">
        <v>17.363099999999999</v>
      </c>
      <c r="M4782">
        <v>0.99873900000000004</v>
      </c>
      <c r="N4782">
        <v>0</v>
      </c>
      <c r="O4782">
        <v>-4.8273219999999999E-2</v>
      </c>
      <c r="P4782">
        <v>0.99437520000000001</v>
      </c>
      <c r="Q4782">
        <v>3.7057300000000001E-2</v>
      </c>
      <c r="R4782">
        <v>-9.9218100000000004E-2</v>
      </c>
      <c r="S4782">
        <v>3.0309140000000001</v>
      </c>
      <c r="T4782">
        <v>-2.064407E-2</v>
      </c>
      <c r="U4782">
        <v>0.113647499999999</v>
      </c>
      <c r="V4782">
        <v>5.0724539999999999E-2</v>
      </c>
      <c r="W4782">
        <v>5.118404E-2</v>
      </c>
      <c r="X4782">
        <v>0.99740019999999996</v>
      </c>
      <c r="Y4782">
        <v>-8.5666889999999996E-2</v>
      </c>
      <c r="Z4782">
        <v>6.2032750000000001E-4</v>
      </c>
      <c r="AA4782">
        <v>0.99632359999999998</v>
      </c>
      <c r="AB4782">
        <v>26</v>
      </c>
      <c r="AC4782">
        <v>93.616200000000006</v>
      </c>
      <c r="AD4782">
        <v>-0.63928299999999905</v>
      </c>
      <c r="AE4782">
        <v>3.5283000000000002</v>
      </c>
      <c r="AF4782">
        <v>-8.0433963053542907</v>
      </c>
      <c r="AG4782">
        <v>-0.63928299999999905</v>
      </c>
      <c r="AH4782">
        <v>93.332353826448099</v>
      </c>
      <c r="AI4782">
        <v>90.390993943902799</v>
      </c>
      <c r="AJ4782">
        <v>94.925588816469599</v>
      </c>
      <c r="AK4782">
        <v>93.680484508057404</v>
      </c>
      <c r="AL4782">
        <v>87.066088448527495</v>
      </c>
      <c r="AM4782">
        <v>87.088630710547406</v>
      </c>
      <c r="AN4782">
        <v>0.99999997193448598</v>
      </c>
    </row>
    <row r="4783" spans="1:40" x14ac:dyDescent="0.25">
      <c r="A4783" t="str">
        <f>"20190312154655970"</f>
        <v>20190312154655970</v>
      </c>
      <c r="B4783" t="str">
        <f>"1552376815962726"</f>
        <v>1552376815962726</v>
      </c>
      <c r="C4783" t="s">
        <v>40</v>
      </c>
      <c r="D4783">
        <v>4.9379089999999897</v>
      </c>
      <c r="E4783">
        <v>0.45445970000000002</v>
      </c>
      <c r="F4783" t="s">
        <v>84</v>
      </c>
      <c r="G4783">
        <v>-279.68</v>
      </c>
      <c r="H4783">
        <v>4.6343799999999996E-3</v>
      </c>
      <c r="I4783">
        <v>19.504930000000002</v>
      </c>
      <c r="J4783">
        <v>-373.03829999999999</v>
      </c>
      <c r="K4783">
        <v>1.1128290000000001</v>
      </c>
      <c r="L4783">
        <v>17.35547</v>
      </c>
      <c r="M4783">
        <v>0.99893109999999996</v>
      </c>
      <c r="N4783">
        <v>0</v>
      </c>
      <c r="O4783">
        <v>-4.4108250000000002E-2</v>
      </c>
      <c r="P4783">
        <v>0.99488750000000004</v>
      </c>
      <c r="Q4783">
        <v>3.5934389999999997E-2</v>
      </c>
      <c r="R4783">
        <v>-9.4379480000000002E-2</v>
      </c>
      <c r="S4783">
        <v>3.0252379999999999</v>
      </c>
      <c r="T4783">
        <v>-3.5814169999999999E-2</v>
      </c>
      <c r="U4783">
        <v>6.9213869999999997E-2</v>
      </c>
      <c r="V4783">
        <v>5.0047540000000001E-2</v>
      </c>
      <c r="W4783">
        <v>5.0082050000000003E-2</v>
      </c>
      <c r="X4783">
        <v>0.99749030000000005</v>
      </c>
      <c r="Y4783">
        <v>-6.6943710000000003E-2</v>
      </c>
      <c r="Z4783">
        <v>9.1826549999999999E-4</v>
      </c>
      <c r="AA4783">
        <v>0.99775630000000004</v>
      </c>
      <c r="AB4783">
        <v>26</v>
      </c>
      <c r="AC4783">
        <v>93.3583</v>
      </c>
      <c r="AD4783">
        <v>-1.1081946199999999</v>
      </c>
      <c r="AE4783">
        <v>2.1494599999999902</v>
      </c>
      <c r="AF4783">
        <v>-6.2647501832617998</v>
      </c>
      <c r="AG4783">
        <v>-1.1081946199999999</v>
      </c>
      <c r="AH4783">
        <v>93.159484704741402</v>
      </c>
      <c r="AI4783">
        <v>90.680003930183403</v>
      </c>
      <c r="AJ4783">
        <v>93.847210334631498</v>
      </c>
      <c r="AK4783">
        <v>93.376468023948206</v>
      </c>
      <c r="AL4783">
        <v>87.129308809912501</v>
      </c>
      <c r="AM4783">
        <v>87.127681099139096</v>
      </c>
      <c r="AN4783">
        <v>0.99999993329316905</v>
      </c>
    </row>
    <row r="4784" spans="1:40" x14ac:dyDescent="0.25">
      <c r="A4784" t="str">
        <f>"20190312154655995"</f>
        <v>20190312154655995</v>
      </c>
      <c r="B4784" t="str">
        <f>"1552376815982251"</f>
        <v>1552376815982251</v>
      </c>
      <c r="C4784" t="s">
        <v>40</v>
      </c>
      <c r="D4784">
        <v>4.9594579999999997</v>
      </c>
      <c r="E4784">
        <v>0.45475189999999999</v>
      </c>
      <c r="F4784" t="s">
        <v>43</v>
      </c>
      <c r="G4784">
        <v>-300.8818</v>
      </c>
      <c r="H4784">
        <v>-0.05</v>
      </c>
      <c r="I4784">
        <v>19.354320000000001</v>
      </c>
      <c r="J4784">
        <v>-372.75479999999999</v>
      </c>
      <c r="K4784">
        <v>1.112757</v>
      </c>
      <c r="L4784">
        <v>17.348210000000002</v>
      </c>
      <c r="M4784">
        <v>0.9991179</v>
      </c>
      <c r="N4784">
        <v>0</v>
      </c>
      <c r="O4784">
        <v>-3.9645029999999998E-2</v>
      </c>
      <c r="P4784">
        <v>0.99531329999999996</v>
      </c>
      <c r="Q4784">
        <v>3.4970370000000001E-2</v>
      </c>
      <c r="R4784">
        <v>-9.0158390000000005E-2</v>
      </c>
      <c r="S4784">
        <v>3.0251160000000001</v>
      </c>
      <c r="T4784">
        <v>-4.8750880000000003E-2</v>
      </c>
      <c r="U4784">
        <v>8.3801269999999997E-2</v>
      </c>
      <c r="V4784">
        <v>5.0288010000000001E-2</v>
      </c>
      <c r="W4784">
        <v>4.9142890000000002E-2</v>
      </c>
      <c r="X4784">
        <v>0.997525</v>
      </c>
      <c r="Y4784">
        <v>-6.7289199999999993E-2</v>
      </c>
      <c r="Z4784">
        <v>1.18081E-3</v>
      </c>
      <c r="AA4784">
        <v>0.99773279999999998</v>
      </c>
      <c r="AB4784">
        <v>26</v>
      </c>
      <c r="AC4784">
        <v>71.872999999999905</v>
      </c>
      <c r="AD4784">
        <v>-1.162757</v>
      </c>
      <c r="AE4784">
        <v>2.0061100000000001</v>
      </c>
      <c r="AF4784">
        <v>-4.8529437830053599</v>
      </c>
      <c r="AG4784">
        <v>-1.162757</v>
      </c>
      <c r="AH4784">
        <v>71.718188736577304</v>
      </c>
      <c r="AI4784">
        <v>90.926728251363997</v>
      </c>
      <c r="AJ4784">
        <v>93.8711236358657</v>
      </c>
      <c r="AK4784">
        <v>71.891596608069406</v>
      </c>
      <c r="AL4784">
        <v>87.183185300945794</v>
      </c>
      <c r="AM4784">
        <v>87.114003594553395</v>
      </c>
      <c r="AN4784">
        <v>1.00000001660615</v>
      </c>
    </row>
    <row r="4785" spans="1:40" x14ac:dyDescent="0.25">
      <c r="A4785" t="str">
        <f>"20190312154656017"</f>
        <v>20190312154656017</v>
      </c>
      <c r="B4785" t="str">
        <f>"1552376816002743"</f>
        <v>1552376816002743</v>
      </c>
      <c r="C4785" t="s">
        <v>40</v>
      </c>
      <c r="D4785">
        <v>4.8766410000000002</v>
      </c>
      <c r="E4785">
        <v>0.45558759999999998</v>
      </c>
      <c r="F4785" t="s">
        <v>43</v>
      </c>
      <c r="G4785">
        <v>-313.68329999999997</v>
      </c>
      <c r="H4785">
        <v>-0.05</v>
      </c>
      <c r="I4785">
        <v>19.196349999999999</v>
      </c>
      <c r="J4785">
        <v>-372.50830000000002</v>
      </c>
      <c r="K4785">
        <v>1.1126929999999999</v>
      </c>
      <c r="L4785">
        <v>17.342770000000002</v>
      </c>
      <c r="M4785">
        <v>0.99926009999999998</v>
      </c>
      <c r="N4785">
        <v>0</v>
      </c>
      <c r="O4785">
        <v>-3.587075E-2</v>
      </c>
      <c r="P4785">
        <v>0.99564810000000004</v>
      </c>
      <c r="Q4785">
        <v>3.5265079999999997E-2</v>
      </c>
      <c r="R4785">
        <v>-8.626325E-2</v>
      </c>
      <c r="S4785">
        <v>3.0247799999999998</v>
      </c>
      <c r="T4785">
        <v>-5.9539559999999998E-2</v>
      </c>
      <c r="U4785">
        <v>9.4635010000000006E-2</v>
      </c>
      <c r="V4785">
        <v>5.0160259999999998E-2</v>
      </c>
      <c r="W4785">
        <v>4.9450550000000003E-2</v>
      </c>
      <c r="X4785">
        <v>0.99751619999999996</v>
      </c>
      <c r="Y4785">
        <v>-6.7087899999999895E-2</v>
      </c>
      <c r="Z4785">
        <v>1.3659410000000001E-3</v>
      </c>
      <c r="AA4785">
        <v>0.99774609999999997</v>
      </c>
      <c r="AB4785">
        <v>26</v>
      </c>
      <c r="AC4785">
        <v>58.825000000000003</v>
      </c>
      <c r="AD4785">
        <v>-1.162693</v>
      </c>
      <c r="AE4785">
        <v>1.85357999999999</v>
      </c>
      <c r="AF4785">
        <v>-3.9611409644092901</v>
      </c>
      <c r="AG4785">
        <v>-1.162693</v>
      </c>
      <c r="AH4785">
        <v>58.697730944482501</v>
      </c>
      <c r="AI4785">
        <v>91.132200100024704</v>
      </c>
      <c r="AJ4785">
        <v>93.860678596559893</v>
      </c>
      <c r="AK4785">
        <v>58.842723516022197</v>
      </c>
      <c r="AL4785">
        <v>87.165536144962005</v>
      </c>
      <c r="AM4785">
        <v>87.121297384453996</v>
      </c>
      <c r="AN4785">
        <v>0.99999998892050401</v>
      </c>
    </row>
    <row r="4786" spans="1:40" x14ac:dyDescent="0.25">
      <c r="A4786" t="str">
        <f>"20190312154656037"</f>
        <v>20190312154656037</v>
      </c>
      <c r="B4786" t="str">
        <f>"1552376816032999"</f>
        <v>1552376816032999</v>
      </c>
      <c r="C4786" t="s">
        <v>40</v>
      </c>
      <c r="D4786">
        <v>4.8721519999999998</v>
      </c>
      <c r="E4786">
        <v>0.45697710000000002</v>
      </c>
      <c r="F4786" t="s">
        <v>43</v>
      </c>
      <c r="G4786">
        <v>-315.80860000000001</v>
      </c>
      <c r="H4786">
        <v>-0.05</v>
      </c>
      <c r="I4786">
        <v>19.216200000000001</v>
      </c>
      <c r="J4786">
        <v>-372.27069999999998</v>
      </c>
      <c r="K4786">
        <v>1.1126229999999999</v>
      </c>
      <c r="L4786">
        <v>17.33832</v>
      </c>
      <c r="M4786">
        <v>0.9993805</v>
      </c>
      <c r="N4786">
        <v>0</v>
      </c>
      <c r="O4786">
        <v>-3.2335530000000001E-2</v>
      </c>
      <c r="P4786">
        <v>0.99590719999999999</v>
      </c>
      <c r="Q4786">
        <v>3.6565090000000001E-2</v>
      </c>
      <c r="R4786">
        <v>-8.2655939999999997E-2</v>
      </c>
      <c r="S4786">
        <v>3.0239259999999999</v>
      </c>
      <c r="T4786">
        <v>-6.2009099999999998E-2</v>
      </c>
      <c r="U4786">
        <v>9.9914550000000005E-2</v>
      </c>
      <c r="V4786">
        <v>5.007822E-2</v>
      </c>
      <c r="W4786">
        <v>5.075735E-2</v>
      </c>
      <c r="X4786">
        <v>0.99745470000000003</v>
      </c>
      <c r="Y4786">
        <v>-6.5306550000000005E-2</v>
      </c>
      <c r="Z4786">
        <v>1.3322329999999999E-3</v>
      </c>
      <c r="AA4786">
        <v>0.99786439999999998</v>
      </c>
      <c r="AB4786">
        <v>26</v>
      </c>
      <c r="AC4786">
        <v>56.4620999999999</v>
      </c>
      <c r="AD4786">
        <v>-1.162623</v>
      </c>
      <c r="AE4786">
        <v>1.87788</v>
      </c>
      <c r="AF4786">
        <v>-3.7012383912860001</v>
      </c>
      <c r="AG4786">
        <v>-1.162623</v>
      </c>
      <c r="AH4786">
        <v>56.347975438964397</v>
      </c>
      <c r="AI4786">
        <v>91.179470251681394</v>
      </c>
      <c r="AJ4786">
        <v>93.758096613665998</v>
      </c>
      <c r="AK4786">
        <v>56.481370326324402</v>
      </c>
      <c r="AL4786">
        <v>87.090567908999205</v>
      </c>
      <c r="AM4786">
        <v>87.125820863490304</v>
      </c>
      <c r="AN4786">
        <v>1.00000000762474</v>
      </c>
    </row>
    <row r="4787" spans="1:40" x14ac:dyDescent="0.25">
      <c r="A4787" t="str">
        <f>"20190312154656061"</f>
        <v>20190312154656061</v>
      </c>
      <c r="B4787" t="str">
        <f>"1552376816052519"</f>
        <v>1552376816052519</v>
      </c>
      <c r="C4787" t="s">
        <v>40</v>
      </c>
      <c r="D4787">
        <v>4.9078030000000004</v>
      </c>
      <c r="E4787">
        <v>0.46349040000000002</v>
      </c>
      <c r="F4787" t="s">
        <v>43</v>
      </c>
      <c r="G4787">
        <v>-308.6651</v>
      </c>
      <c r="H4787">
        <v>-0.05</v>
      </c>
      <c r="I4787">
        <v>19.431229999999999</v>
      </c>
      <c r="J4787">
        <v>-372.0077</v>
      </c>
      <c r="K4787">
        <v>1.1125430000000001</v>
      </c>
      <c r="L4787">
        <v>17.33417</v>
      </c>
      <c r="M4787">
        <v>0.99949569999999999</v>
      </c>
      <c r="N4787">
        <v>0</v>
      </c>
      <c r="O4787">
        <v>-2.8549379999999999E-2</v>
      </c>
      <c r="P4787">
        <v>0.99621210000000004</v>
      </c>
      <c r="Q4787">
        <v>3.7128099999999997E-2</v>
      </c>
      <c r="R4787">
        <v>-7.8634839999999998E-2</v>
      </c>
      <c r="S4787">
        <v>3.0226139999999999</v>
      </c>
      <c r="T4787">
        <v>-5.524921E-2</v>
      </c>
      <c r="U4787">
        <v>9.9456790000000003E-2</v>
      </c>
      <c r="V4787">
        <v>4.9839840000000003E-2</v>
      </c>
      <c r="W4787">
        <v>5.1321659999999998E-2</v>
      </c>
      <c r="X4787">
        <v>0.99743780000000004</v>
      </c>
      <c r="Y4787">
        <v>-6.1394730000000002E-2</v>
      </c>
      <c r="Z4787">
        <v>1.0826239999999999E-3</v>
      </c>
      <c r="AA4787">
        <v>0.99811300000000003</v>
      </c>
      <c r="AB4787">
        <v>26</v>
      </c>
      <c r="AC4787">
        <v>63.342599999999997</v>
      </c>
      <c r="AD4787">
        <v>-1.1625430000000001</v>
      </c>
      <c r="AE4787">
        <v>2.0970599999999902</v>
      </c>
      <c r="AF4787">
        <v>-3.9034583735517598</v>
      </c>
      <c r="AG4787">
        <v>-1.1625430000000001</v>
      </c>
      <c r="AH4787">
        <v>63.235622866396298</v>
      </c>
      <c r="AI4787">
        <v>91.051223999366698</v>
      </c>
      <c r="AJ4787">
        <v>93.532317026201</v>
      </c>
      <c r="AK4787">
        <v>63.366651267066402</v>
      </c>
      <c r="AL4787">
        <v>87.058193237406797</v>
      </c>
      <c r="AM4787">
        <v>87.139431232555097</v>
      </c>
      <c r="AN4787">
        <v>1.0000000436526</v>
      </c>
    </row>
    <row r="4788" spans="1:40" x14ac:dyDescent="0.25">
      <c r="A4788" t="str">
        <f>"20190312154656083"</f>
        <v>20190312154656083</v>
      </c>
      <c r="B4788" t="str">
        <f>"1552376816073015"</f>
        <v>1552376816073015</v>
      </c>
      <c r="C4788" t="s">
        <v>40</v>
      </c>
      <c r="D4788">
        <v>4.8816100000000002</v>
      </c>
      <c r="E4788">
        <v>0.46374569999999998</v>
      </c>
      <c r="F4788" t="s">
        <v>43</v>
      </c>
      <c r="G4788">
        <v>-299.17660000000001</v>
      </c>
      <c r="H4788">
        <v>-0.05</v>
      </c>
      <c r="I4788">
        <v>18.773990000000001</v>
      </c>
      <c r="J4788">
        <v>-371.74790000000002</v>
      </c>
      <c r="K4788">
        <v>1.1124339999999999</v>
      </c>
      <c r="L4788">
        <v>17.330929999999999</v>
      </c>
      <c r="M4788">
        <v>0.99959169999999997</v>
      </c>
      <c r="N4788">
        <v>0</v>
      </c>
      <c r="O4788">
        <v>-2.4957799999999999E-2</v>
      </c>
      <c r="P4788">
        <v>0.99648309999999996</v>
      </c>
      <c r="Q4788">
        <v>3.7120399999999998E-2</v>
      </c>
      <c r="R4788">
        <v>-7.512315E-2</v>
      </c>
      <c r="S4788">
        <v>3.0179140000000002</v>
      </c>
      <c r="T4788">
        <v>-4.8172470000000002E-2</v>
      </c>
      <c r="U4788">
        <v>5.9661869999999999E-2</v>
      </c>
      <c r="V4788">
        <v>4.992311E-2</v>
      </c>
      <c r="W4788">
        <v>5.131119E-2</v>
      </c>
      <c r="X4788">
        <v>0.99743409999999999</v>
      </c>
      <c r="Y4788">
        <v>-4.4705689999999999E-2</v>
      </c>
      <c r="Z4788">
        <v>7.5509119999999904E-4</v>
      </c>
      <c r="AA4788">
        <v>0.99899990000000005</v>
      </c>
      <c r="AB4788">
        <v>26</v>
      </c>
      <c r="AC4788">
        <v>72.571299999999994</v>
      </c>
      <c r="AD4788">
        <v>-1.162434</v>
      </c>
      <c r="AE4788">
        <v>1.44305999999999</v>
      </c>
      <c r="AF4788">
        <v>-3.2531713595072702</v>
      </c>
      <c r="AG4788">
        <v>-1.162434</v>
      </c>
      <c r="AH4788">
        <v>72.494078486860502</v>
      </c>
      <c r="AI4788">
        <v>90.917728917390093</v>
      </c>
      <c r="AJ4788">
        <v>92.569423965991902</v>
      </c>
      <c r="AK4788">
        <v>72.576344578366303</v>
      </c>
      <c r="AL4788">
        <v>87.058793697290994</v>
      </c>
      <c r="AM4788">
        <v>87.134649278912903</v>
      </c>
      <c r="AN4788">
        <v>0.99999996948704795</v>
      </c>
    </row>
    <row r="4789" spans="1:40" x14ac:dyDescent="0.25">
      <c r="A4789" t="str">
        <f>"20190312154656107"</f>
        <v>20190312154656107</v>
      </c>
      <c r="B4789" t="str">
        <f>"1552376816092535"</f>
        <v>1552376816092535</v>
      </c>
      <c r="C4789" t="s">
        <v>40</v>
      </c>
      <c r="D4789">
        <v>5.0941140000000003</v>
      </c>
      <c r="E4789">
        <v>0.46402359999999998</v>
      </c>
      <c r="F4789" t="s">
        <v>43</v>
      </c>
      <c r="G4789">
        <v>-300.53469999999999</v>
      </c>
      <c r="H4789">
        <v>-0.05</v>
      </c>
      <c r="I4789">
        <v>18.941310000000001</v>
      </c>
      <c r="J4789">
        <v>-371.49740000000003</v>
      </c>
      <c r="K4789">
        <v>1.11232</v>
      </c>
      <c r="L4789">
        <v>17.328520000000001</v>
      </c>
      <c r="M4789">
        <v>0.99966820000000001</v>
      </c>
      <c r="N4789">
        <v>0</v>
      </c>
      <c r="O4789">
        <v>-2.1668750000000001E-2</v>
      </c>
      <c r="P4789">
        <v>0.99672760000000005</v>
      </c>
      <c r="Q4789">
        <v>3.7555949999999998E-2</v>
      </c>
      <c r="R4789">
        <v>-7.1581899999999907E-2</v>
      </c>
      <c r="S4789">
        <v>3.0175480000000001</v>
      </c>
      <c r="T4789">
        <v>-4.9256319999999999E-2</v>
      </c>
      <c r="U4789">
        <v>6.8237300000000001E-2</v>
      </c>
      <c r="V4789">
        <v>4.9673780000000001E-2</v>
      </c>
      <c r="W4789">
        <v>5.1737390000000001E-2</v>
      </c>
      <c r="X4789">
        <v>0.99742450000000005</v>
      </c>
      <c r="Y4789">
        <v>-4.4258939999999997E-2</v>
      </c>
      <c r="Z4789">
        <v>7.1482759999999903E-4</v>
      </c>
      <c r="AA4789">
        <v>0.99901989999999996</v>
      </c>
      <c r="AB4789">
        <v>26</v>
      </c>
      <c r="AC4789">
        <v>70.962699999999998</v>
      </c>
      <c r="AD4789">
        <v>-1.16232</v>
      </c>
      <c r="AE4789">
        <v>1.6127899999999999</v>
      </c>
      <c r="AF4789">
        <v>-3.1493889113432698</v>
      </c>
      <c r="AG4789">
        <v>-1.16232</v>
      </c>
      <c r="AH4789">
        <v>70.892075320030003</v>
      </c>
      <c r="AI4789">
        <v>90.938390670517194</v>
      </c>
      <c r="AJ4789">
        <v>92.543699318810795</v>
      </c>
      <c r="AK4789">
        <v>70.971515282387003</v>
      </c>
      <c r="AL4789">
        <v>87.034341661899802</v>
      </c>
      <c r="AM4789">
        <v>87.148908577658801</v>
      </c>
      <c r="AN4789">
        <v>0.999999937571873</v>
      </c>
    </row>
    <row r="4790" spans="1:40" x14ac:dyDescent="0.25">
      <c r="A4790" t="str">
        <f>"20190312154656126"</f>
        <v>20190312154656126</v>
      </c>
      <c r="B4790" t="str">
        <f>"1552376816113034"</f>
        <v>1552376816113034</v>
      </c>
      <c r="C4790" t="s">
        <v>40</v>
      </c>
      <c r="D4790">
        <v>4.9007230000000002</v>
      </c>
      <c r="E4790">
        <v>0.46686509999999998</v>
      </c>
      <c r="F4790" t="s">
        <v>43</v>
      </c>
      <c r="G4790">
        <v>-299.46390000000002</v>
      </c>
      <c r="H4790">
        <v>-0.05</v>
      </c>
      <c r="I4790">
        <v>19.159469999999999</v>
      </c>
      <c r="J4790">
        <v>-371.25439999999998</v>
      </c>
      <c r="K4790">
        <v>1.112209</v>
      </c>
      <c r="L4790">
        <v>17.326750000000001</v>
      </c>
      <c r="M4790">
        <v>0.99972910000000004</v>
      </c>
      <c r="N4790">
        <v>0</v>
      </c>
      <c r="O4790">
        <v>-1.8643679999999999E-2</v>
      </c>
      <c r="P4790">
        <v>0.99689360000000005</v>
      </c>
      <c r="Q4790">
        <v>3.887815E-2</v>
      </c>
      <c r="R4790">
        <v>-6.8498519999999993E-2</v>
      </c>
      <c r="S4790">
        <v>3.0171809999999999</v>
      </c>
      <c r="T4790">
        <v>-4.8684720000000001E-2</v>
      </c>
      <c r="U4790">
        <v>7.6690670000000002E-2</v>
      </c>
      <c r="V4790">
        <v>4.9616109999999998E-2</v>
      </c>
      <c r="W4790">
        <v>5.3048320000000003E-2</v>
      </c>
      <c r="X4790">
        <v>0.99735859999999998</v>
      </c>
      <c r="Y4790">
        <v>-4.4036680000000002E-2</v>
      </c>
      <c r="Z4790">
        <v>6.5600070000000003E-4</v>
      </c>
      <c r="AA4790">
        <v>0.99902970000000002</v>
      </c>
      <c r="AB4790">
        <v>26</v>
      </c>
      <c r="AC4790">
        <v>71.790499999999895</v>
      </c>
      <c r="AD4790">
        <v>-1.162209</v>
      </c>
      <c r="AE4790">
        <v>1.8327199999999999</v>
      </c>
      <c r="AF4790">
        <v>-3.17014015550351</v>
      </c>
      <c r="AG4790">
        <v>-1.162209</v>
      </c>
      <c r="AH4790">
        <v>71.725062325944506</v>
      </c>
      <c r="AI4790">
        <v>90.9274152149261</v>
      </c>
      <c r="AJ4790">
        <v>92.530740419012602</v>
      </c>
      <c r="AK4790">
        <v>71.804492088071001</v>
      </c>
      <c r="AL4790">
        <v>86.959127873598106</v>
      </c>
      <c r="AM4790">
        <v>87.152025314245506</v>
      </c>
      <c r="AN4790">
        <v>1.0000000298101499</v>
      </c>
    </row>
    <row r="4791" spans="1:40" x14ac:dyDescent="0.25">
      <c r="A4791" t="str">
        <f>"20190312154656140"</f>
        <v>20190312154656140</v>
      </c>
      <c r="B4791" t="str">
        <f>"1552376816132550"</f>
        <v>1552376816132550</v>
      </c>
      <c r="C4791" t="s">
        <v>40</v>
      </c>
      <c r="D4791">
        <v>4.8738710000000003</v>
      </c>
      <c r="E4791">
        <v>0.50626979999999999</v>
      </c>
      <c r="F4791" t="s">
        <v>43</v>
      </c>
      <c r="G4791">
        <v>-286.97730000000001</v>
      </c>
      <c r="H4791">
        <v>-0.05</v>
      </c>
      <c r="I4791">
        <v>19.085570000000001</v>
      </c>
      <c r="J4791">
        <v>-371.09870000000001</v>
      </c>
      <c r="K4791">
        <v>1.1121399999999999</v>
      </c>
      <c r="L4791">
        <v>17.325959999999998</v>
      </c>
      <c r="M4791">
        <v>0.99976209999999999</v>
      </c>
      <c r="N4791">
        <v>0</v>
      </c>
      <c r="O4791">
        <v>-1.6777489999999999E-2</v>
      </c>
      <c r="P4791">
        <v>0.99701390000000001</v>
      </c>
      <c r="Q4791">
        <v>3.9336030000000001E-2</v>
      </c>
      <c r="R4791">
        <v>-6.6455479999999997E-2</v>
      </c>
      <c r="S4791">
        <v>3.0152589999999999</v>
      </c>
      <c r="T4791">
        <v>-4.1581390000000003E-2</v>
      </c>
      <c r="U4791">
        <v>6.2927250000000004E-2</v>
      </c>
      <c r="V4791">
        <v>4.9441600000000002E-2</v>
      </c>
      <c r="W4791">
        <v>5.3498770000000001E-2</v>
      </c>
      <c r="X4791">
        <v>0.99734319999999999</v>
      </c>
      <c r="Y4791">
        <v>-3.7632409999999998E-2</v>
      </c>
      <c r="Z4791">
        <v>4.9079620000000001E-4</v>
      </c>
      <c r="AA4791">
        <v>0.9992915</v>
      </c>
      <c r="AB4791">
        <v>26</v>
      </c>
      <c r="AC4791">
        <v>84.121399999999994</v>
      </c>
      <c r="AD4791">
        <v>-1.16214</v>
      </c>
      <c r="AE4791">
        <v>1.7596099999999899</v>
      </c>
      <c r="AF4791">
        <v>-3.1702405418600201</v>
      </c>
      <c r="AG4791">
        <v>-1.16214</v>
      </c>
      <c r="AH4791">
        <v>84.0639957069274</v>
      </c>
      <c r="AI4791">
        <v>90.791470655630206</v>
      </c>
      <c r="AJ4791">
        <v>92.159728003663801</v>
      </c>
      <c r="AK4791">
        <v>84.131779778435401</v>
      </c>
      <c r="AL4791">
        <v>86.933282271785203</v>
      </c>
      <c r="AM4791">
        <v>87.161982069166498</v>
      </c>
      <c r="AN4791">
        <v>1.00000002439415</v>
      </c>
    </row>
    <row r="4792" spans="1:40" x14ac:dyDescent="0.25">
      <c r="A4792" t="str">
        <f>"20190312154656160"</f>
        <v>20190312154656160</v>
      </c>
      <c r="B4792" t="str">
        <f>"1552376816153047"</f>
        <v>1552376816153047</v>
      </c>
      <c r="C4792" t="s">
        <v>40</v>
      </c>
      <c r="D4792">
        <v>4.8026070000000001</v>
      </c>
      <c r="E4792">
        <v>0.5078937</v>
      </c>
      <c r="F4792" t="s">
        <v>42</v>
      </c>
      <c r="G4792">
        <v>-340.35890000000001</v>
      </c>
      <c r="H4792" s="1">
        <v>-4.966271E-6</v>
      </c>
      <c r="I4792">
        <v>14.835850000000001</v>
      </c>
      <c r="J4792">
        <v>-370.86500000000001</v>
      </c>
      <c r="K4792">
        <v>1.112042</v>
      </c>
      <c r="L4792">
        <v>17.325129999999898</v>
      </c>
      <c r="M4792">
        <v>0.99980369999999996</v>
      </c>
      <c r="N4792">
        <v>0</v>
      </c>
      <c r="O4792">
        <v>-1.408915E-2</v>
      </c>
      <c r="P4792">
        <v>0.99717659999999997</v>
      </c>
      <c r="Q4792">
        <v>3.9713859999999997E-2</v>
      </c>
      <c r="R4792">
        <v>-6.3732479999999994E-2</v>
      </c>
      <c r="S4792">
        <v>2.9970089999999998</v>
      </c>
      <c r="T4792">
        <v>-0.10842980000000001</v>
      </c>
      <c r="U4792">
        <v>-0.24276729999999999</v>
      </c>
      <c r="V4792">
        <v>4.9412020000000001E-2</v>
      </c>
      <c r="W4792">
        <v>5.3864929999999998E-2</v>
      </c>
      <c r="X4792">
        <v>0.99732489999999996</v>
      </c>
      <c r="Y4792">
        <v>6.6652059999999999E-2</v>
      </c>
      <c r="Z4792">
        <v>-6.9464910000000002E-4</v>
      </c>
      <c r="AA4792">
        <v>0.997776</v>
      </c>
      <c r="AB4792">
        <v>26</v>
      </c>
      <c r="AC4792">
        <v>30.5061</v>
      </c>
      <c r="AD4792">
        <v>-1.112046966271</v>
      </c>
      <c r="AE4792">
        <v>-2.4892799999999902</v>
      </c>
      <c r="AF4792">
        <v>2.0564714979044201</v>
      </c>
      <c r="AG4792">
        <v>-1.112046966271</v>
      </c>
      <c r="AH4792">
        <v>30.497887941761199</v>
      </c>
      <c r="AI4792">
        <v>92.083528370343302</v>
      </c>
      <c r="AJ4792">
        <v>86.142387153801195</v>
      </c>
      <c r="AK4792">
        <v>30.587364914047502</v>
      </c>
      <c r="AL4792">
        <v>86.912272378914906</v>
      </c>
      <c r="AM4792">
        <v>87.163625270757507</v>
      </c>
      <c r="AN4792">
        <v>0.99999996728219698</v>
      </c>
    </row>
    <row r="4793" spans="1:40" x14ac:dyDescent="0.25">
      <c r="A4793" t="str">
        <f>"20190312154656185"</f>
        <v>20190312154656185</v>
      </c>
      <c r="B4793" t="str">
        <f>"1552376816172570"</f>
        <v>1552376816172570</v>
      </c>
      <c r="C4793" t="s">
        <v>40</v>
      </c>
      <c r="D4793">
        <v>4.7935089999999896</v>
      </c>
      <c r="E4793">
        <v>0.50911809999999902</v>
      </c>
      <c r="F4793" t="s">
        <v>42</v>
      </c>
      <c r="G4793">
        <v>-341.31139999999999</v>
      </c>
      <c r="H4793" s="1">
        <v>-4.5487420000000001E-6</v>
      </c>
      <c r="I4793">
        <v>14.886139999999999</v>
      </c>
      <c r="J4793">
        <v>-370.5958</v>
      </c>
      <c r="K4793">
        <v>1.1119139999999901</v>
      </c>
      <c r="L4793">
        <v>17.324770000000001</v>
      </c>
      <c r="M4793">
        <v>0.99984019999999996</v>
      </c>
      <c r="N4793">
        <v>0</v>
      </c>
      <c r="O4793">
        <v>-1.1194880000000001E-2</v>
      </c>
      <c r="P4793">
        <v>0.99738590000000005</v>
      </c>
      <c r="Q4793">
        <v>3.892367E-2</v>
      </c>
      <c r="R4793">
        <v>-6.0882110000000003E-2</v>
      </c>
      <c r="S4793">
        <v>2.997223</v>
      </c>
      <c r="T4793">
        <v>-0.1127799</v>
      </c>
      <c r="U4793">
        <v>-0.24734500000000001</v>
      </c>
      <c r="V4793">
        <v>4.9468659999999998E-2</v>
      </c>
      <c r="W4793">
        <v>5.3061179999999999E-2</v>
      </c>
      <c r="X4793">
        <v>0.99736519999999995</v>
      </c>
      <c r="Y4793">
        <v>7.1039889999999994E-2</v>
      </c>
      <c r="Z4793">
        <v>-9.1344600000000005E-4</v>
      </c>
      <c r="AA4793">
        <v>0.9974731</v>
      </c>
      <c r="AB4793">
        <v>26</v>
      </c>
      <c r="AC4793">
        <v>29.284400000000002</v>
      </c>
      <c r="AD4793">
        <v>-1.11191854874199</v>
      </c>
      <c r="AE4793">
        <v>-2.4386299999999999</v>
      </c>
      <c r="AF4793">
        <v>2.1075923859894199</v>
      </c>
      <c r="AG4793">
        <v>-1.11191854874199</v>
      </c>
      <c r="AH4793">
        <v>29.267962496224001</v>
      </c>
      <c r="AI4793">
        <v>92.170062699556496</v>
      </c>
      <c r="AJ4793">
        <v>85.881227816408995</v>
      </c>
      <c r="AK4793">
        <v>29.3648078012592</v>
      </c>
      <c r="AL4793">
        <v>86.958389888451407</v>
      </c>
      <c r="AM4793">
        <v>87.160493861319694</v>
      </c>
      <c r="AN4793">
        <v>0.99999998965811399</v>
      </c>
    </row>
    <row r="4794" spans="1:40" x14ac:dyDescent="0.25">
      <c r="A4794" t="str">
        <f>"20190312154656207"</f>
        <v>20190312154656207</v>
      </c>
      <c r="B4794" t="str">
        <f>"1552376816193063"</f>
        <v>1552376816193063</v>
      </c>
      <c r="C4794" t="s">
        <v>40</v>
      </c>
      <c r="D4794">
        <v>4.8577949999999896</v>
      </c>
      <c r="E4794">
        <v>0.51018269999999999</v>
      </c>
      <c r="F4794" t="s">
        <v>42</v>
      </c>
      <c r="G4794">
        <v>-341.75060000000002</v>
      </c>
      <c r="H4794" s="1">
        <v>-4.3517000000000002E-6</v>
      </c>
      <c r="I4794">
        <v>14.93458</v>
      </c>
      <c r="J4794">
        <v>-370.34019999999998</v>
      </c>
      <c r="K4794">
        <v>1.111788</v>
      </c>
      <c r="L4794">
        <v>17.324919999999999</v>
      </c>
      <c r="M4794">
        <v>0.99986529999999996</v>
      </c>
      <c r="N4794">
        <v>0</v>
      </c>
      <c r="O4794">
        <v>-8.6648890000000003E-3</v>
      </c>
      <c r="P4794">
        <v>0.99752439999999998</v>
      </c>
      <c r="Q4794">
        <v>3.8472979999999997E-2</v>
      </c>
      <c r="R4794">
        <v>-5.8862539999999998E-2</v>
      </c>
      <c r="S4794">
        <v>2.9972530000000002</v>
      </c>
      <c r="T4794">
        <v>-0.1155376</v>
      </c>
      <c r="U4794">
        <v>-0.24835209999999999</v>
      </c>
      <c r="V4794">
        <v>4.9992509999999997E-2</v>
      </c>
      <c r="W4794">
        <v>5.259453E-2</v>
      </c>
      <c r="X4794">
        <v>0.99736380000000002</v>
      </c>
      <c r="Y4794">
        <v>7.3889549999999998E-2</v>
      </c>
      <c r="Z4794">
        <v>-1.0878629999999999E-3</v>
      </c>
      <c r="AA4794">
        <v>0.99726579999999998</v>
      </c>
      <c r="AB4794">
        <v>26</v>
      </c>
      <c r="AC4794">
        <v>28.589599999999901</v>
      </c>
      <c r="AD4794">
        <v>-1.1117923516999999</v>
      </c>
      <c r="AE4794">
        <v>-2.3903400000000001</v>
      </c>
      <c r="AF4794">
        <v>2.1392877301378199</v>
      </c>
      <c r="AG4794">
        <v>-1.1117923516999999</v>
      </c>
      <c r="AH4794">
        <v>28.5663402425199</v>
      </c>
      <c r="AI4794">
        <v>92.222590097228306</v>
      </c>
      <c r="AJ4794">
        <v>85.717204736971397</v>
      </c>
      <c r="AK4794">
        <v>28.667898930284899</v>
      </c>
      <c r="AL4794">
        <v>86.985164360300999</v>
      </c>
      <c r="AM4794">
        <v>87.130470789661302</v>
      </c>
      <c r="AN4794">
        <v>0.99999999259622996</v>
      </c>
    </row>
    <row r="4795" spans="1:40" x14ac:dyDescent="0.25">
      <c r="A4795" t="str">
        <f>"20190312154656229"</f>
        <v>20190312154656229</v>
      </c>
      <c r="B4795" t="str">
        <f>"1552376816222343"</f>
        <v>1552376816222343</v>
      </c>
      <c r="C4795" t="s">
        <v>40</v>
      </c>
      <c r="D4795">
        <v>4.711957</v>
      </c>
      <c r="E4795">
        <v>0.5115693</v>
      </c>
      <c r="F4795" t="s">
        <v>42</v>
      </c>
      <c r="G4795">
        <v>-341.30020000000002</v>
      </c>
      <c r="H4795" s="1">
        <v>-4.5519990000000004E-6</v>
      </c>
      <c r="I4795">
        <v>14.89475</v>
      </c>
      <c r="J4795">
        <v>-370.0883</v>
      </c>
      <c r="K4795">
        <v>1.1116649999999999</v>
      </c>
      <c r="L4795">
        <v>17.325589999999998</v>
      </c>
      <c r="M4795">
        <v>0.99988310000000002</v>
      </c>
      <c r="N4795">
        <v>0</v>
      </c>
      <c r="O4795">
        <v>-6.3203349999999998E-3</v>
      </c>
      <c r="P4795">
        <v>0.99761979999999995</v>
      </c>
      <c r="Q4795">
        <v>3.9015290000000001E-2</v>
      </c>
      <c r="R4795">
        <v>-5.6858829999999999E-2</v>
      </c>
      <c r="S4795">
        <v>2.9970400000000001</v>
      </c>
      <c r="T4795">
        <v>-0.1147411</v>
      </c>
      <c r="U4795">
        <v>-0.2507935</v>
      </c>
      <c r="V4795">
        <v>5.034222E-2</v>
      </c>
      <c r="W4795">
        <v>5.3119270000000003E-2</v>
      </c>
      <c r="X4795">
        <v>0.99731840000000005</v>
      </c>
      <c r="Y4795">
        <v>7.7036919999999995E-2</v>
      </c>
      <c r="Z4795">
        <v>-1.2300939999999999E-3</v>
      </c>
      <c r="AA4795">
        <v>0.99702749999999996</v>
      </c>
      <c r="AB4795">
        <v>25</v>
      </c>
      <c r="AC4795">
        <v>28.788099999999901</v>
      </c>
      <c r="AD4795">
        <v>-1.1116695519990001</v>
      </c>
      <c r="AE4795">
        <v>-2.4308399999999901</v>
      </c>
      <c r="AF4795">
        <v>2.2454986631342302</v>
      </c>
      <c r="AG4795">
        <v>-1.1116695519990001</v>
      </c>
      <c r="AH4795">
        <v>28.7603073786042</v>
      </c>
      <c r="AI4795">
        <v>92.206837175202494</v>
      </c>
      <c r="AJ4795">
        <v>85.535613779399995</v>
      </c>
      <c r="AK4795">
        <v>28.8692458154135</v>
      </c>
      <c r="AL4795">
        <v>86.955056887717902</v>
      </c>
      <c r="AM4795">
        <v>87.110300306530903</v>
      </c>
      <c r="AN4795">
        <v>0.99999999346920998</v>
      </c>
    </row>
    <row r="4796" spans="1:40" x14ac:dyDescent="0.25">
      <c r="A4796" t="str">
        <f>"20190312154656250"</f>
        <v>20190312154656250</v>
      </c>
      <c r="B4796" t="str">
        <f>"1552376816242838"</f>
        <v>1552376816242838</v>
      </c>
      <c r="C4796" t="s">
        <v>40</v>
      </c>
      <c r="D4796">
        <v>4.7538519999999904</v>
      </c>
      <c r="E4796">
        <v>0.51177269999999997</v>
      </c>
      <c r="F4796" t="s">
        <v>42</v>
      </c>
      <c r="G4796">
        <v>-335.74860000000001</v>
      </c>
      <c r="H4796" s="1">
        <v>-2.8247069999999998E-6</v>
      </c>
      <c r="I4796">
        <v>14.38517</v>
      </c>
      <c r="J4796">
        <v>-369.8528</v>
      </c>
      <c r="K4796">
        <v>1.1115549999999901</v>
      </c>
      <c r="L4796">
        <v>17.326509999999999</v>
      </c>
      <c r="M4796">
        <v>0.9998939</v>
      </c>
      <c r="N4796">
        <v>0</v>
      </c>
      <c r="O4796">
        <v>-4.2620729999999999E-3</v>
      </c>
      <c r="P4796">
        <v>0.99768440000000003</v>
      </c>
      <c r="Q4796">
        <v>3.9473960000000002E-2</v>
      </c>
      <c r="R4796">
        <v>-5.5388479999999997E-2</v>
      </c>
      <c r="S4796">
        <v>2.9963380000000002</v>
      </c>
      <c r="T4796">
        <v>-9.6999409999999994E-2</v>
      </c>
      <c r="U4796">
        <v>-0.25656129999999999</v>
      </c>
      <c r="V4796">
        <v>5.0938530000000003E-2</v>
      </c>
      <c r="W4796">
        <v>5.3563039999999999E-2</v>
      </c>
      <c r="X4796">
        <v>0.99726440000000005</v>
      </c>
      <c r="Y4796">
        <v>8.1025159999999999E-2</v>
      </c>
      <c r="Z4796">
        <v>-1.17107E-3</v>
      </c>
      <c r="AA4796">
        <v>0.99671140000000003</v>
      </c>
      <c r="AB4796">
        <v>25</v>
      </c>
      <c r="AC4796">
        <v>34.104199999999899</v>
      </c>
      <c r="AD4796">
        <v>-1.1115578247069999</v>
      </c>
      <c r="AE4796">
        <v>-2.9413399999999901</v>
      </c>
      <c r="AF4796">
        <v>2.79299948146073</v>
      </c>
      <c r="AG4796">
        <v>-1.1115578247069999</v>
      </c>
      <c r="AH4796">
        <v>34.080491105550102</v>
      </c>
      <c r="AI4796">
        <v>91.861840175575196</v>
      </c>
      <c r="AJ4796">
        <v>85.314907418349094</v>
      </c>
      <c r="AK4796">
        <v>34.212808725630602</v>
      </c>
      <c r="AL4796">
        <v>86.929594535231601</v>
      </c>
      <c r="AM4796">
        <v>87.075972446475404</v>
      </c>
      <c r="AN4796">
        <v>1.00000000829998</v>
      </c>
    </row>
    <row r="4797" spans="1:40" x14ac:dyDescent="0.25">
      <c r="A4797" t="str">
        <f>"20190312154656273"</f>
        <v>20190312154656273</v>
      </c>
      <c r="B4797" t="str">
        <f>"1552376816262362"</f>
        <v>1552376816262362</v>
      </c>
      <c r="C4797" t="s">
        <v>40</v>
      </c>
      <c r="D4797">
        <v>4.7374640000000001</v>
      </c>
      <c r="E4797">
        <v>0.51212199999999997</v>
      </c>
      <c r="F4797" t="s">
        <v>42</v>
      </c>
      <c r="G4797">
        <v>-334.67599999999999</v>
      </c>
      <c r="H4797" s="1">
        <v>-3.2010649999999998E-6</v>
      </c>
      <c r="I4797">
        <v>14.34656</v>
      </c>
      <c r="J4797">
        <v>-369.58940000000001</v>
      </c>
      <c r="K4797">
        <v>1.111445</v>
      </c>
      <c r="L4797">
        <v>17.327939999999899</v>
      </c>
      <c r="M4797">
        <v>0.99990060000000003</v>
      </c>
      <c r="N4797">
        <v>0</v>
      </c>
      <c r="O4797">
        <v>-2.122259E-3</v>
      </c>
      <c r="P4797">
        <v>0.99775800000000003</v>
      </c>
      <c r="Q4797">
        <v>3.9544469999999998E-2</v>
      </c>
      <c r="R4797">
        <v>-5.3989099999999998E-2</v>
      </c>
      <c r="S4797">
        <v>2.996613</v>
      </c>
      <c r="T4797">
        <v>-9.4690200000000002E-2</v>
      </c>
      <c r="U4797">
        <v>-0.25384519999999999</v>
      </c>
      <c r="V4797">
        <v>5.1689440000000003E-2</v>
      </c>
      <c r="W4797">
        <v>5.3617329999999998E-2</v>
      </c>
      <c r="X4797">
        <v>0.99722279999999996</v>
      </c>
      <c r="Y4797">
        <v>8.2253610000000005E-2</v>
      </c>
      <c r="Z4797">
        <v>-1.2299940000000001E-3</v>
      </c>
      <c r="AA4797">
        <v>0.99661069999999996</v>
      </c>
      <c r="AB4797">
        <v>25</v>
      </c>
      <c r="AC4797">
        <v>34.913400000000003</v>
      </c>
      <c r="AD4797">
        <v>-1.111448201065</v>
      </c>
      <c r="AE4797">
        <v>-2.9813799999999899</v>
      </c>
      <c r="AF4797">
        <v>2.9043487592065</v>
      </c>
      <c r="AG4797">
        <v>-1.111448201065</v>
      </c>
      <c r="AH4797">
        <v>34.884552080880297</v>
      </c>
      <c r="AI4797">
        <v>91.818581859782299</v>
      </c>
      <c r="AJ4797">
        <v>85.240757852145194</v>
      </c>
      <c r="AK4797">
        <v>35.022885842009202</v>
      </c>
      <c r="AL4797">
        <v>86.926479336523201</v>
      </c>
      <c r="AM4797">
        <v>87.032820824094998</v>
      </c>
      <c r="AN4797">
        <v>0.99999996456184004</v>
      </c>
    </row>
    <row r="4798" spans="1:40" x14ac:dyDescent="0.25">
      <c r="A4798" t="str">
        <f>"20190312154656294"</f>
        <v>20190312154656294</v>
      </c>
      <c r="B4798" t="str">
        <f>"1552376816282854"</f>
        <v>1552376816282854</v>
      </c>
      <c r="C4798" t="s">
        <v>40</v>
      </c>
      <c r="D4798">
        <v>4.7178050000000002</v>
      </c>
      <c r="E4798">
        <v>0.51236859999999995</v>
      </c>
      <c r="F4798" t="s">
        <v>42</v>
      </c>
      <c r="G4798">
        <v>-333.01690000000002</v>
      </c>
      <c r="H4798" s="1">
        <v>-3.9301270000000004E-6</v>
      </c>
      <c r="I4798">
        <v>14.248900000000001</v>
      </c>
      <c r="J4798">
        <v>-369.35079999999999</v>
      </c>
      <c r="K4798">
        <v>1.111353</v>
      </c>
      <c r="L4798">
        <v>17.329560000000001</v>
      </c>
      <c r="M4798">
        <v>0.99990290000000004</v>
      </c>
      <c r="N4798">
        <v>0</v>
      </c>
      <c r="O4798">
        <v>-3.3131730000000002E-4</v>
      </c>
      <c r="P4798">
        <v>0.99780429999999998</v>
      </c>
      <c r="Q4798">
        <v>3.9513140000000002E-2</v>
      </c>
      <c r="R4798">
        <v>-5.3153980000000003E-2</v>
      </c>
      <c r="S4798">
        <v>2.9967350000000001</v>
      </c>
      <c r="T4798">
        <v>-9.1071609999999997E-2</v>
      </c>
      <c r="U4798">
        <v>-0.25228879999999998</v>
      </c>
      <c r="V4798">
        <v>5.2654619999999999E-2</v>
      </c>
      <c r="W4798">
        <v>5.3572099999999997E-2</v>
      </c>
      <c r="X4798">
        <v>0.99717480000000003</v>
      </c>
      <c r="Y4798">
        <v>8.3522810000000003E-2</v>
      </c>
      <c r="Z4798">
        <v>-1.256559E-3</v>
      </c>
      <c r="AA4798">
        <v>0.99650510000000003</v>
      </c>
      <c r="AB4798">
        <v>25</v>
      </c>
      <c r="AC4798">
        <v>36.3338999999999</v>
      </c>
      <c r="AD4798">
        <v>-1.1113569301270001</v>
      </c>
      <c r="AE4798">
        <v>-3.08066</v>
      </c>
      <c r="AF4798">
        <v>3.0657727956251799</v>
      </c>
      <c r="AG4798">
        <v>-1.1113569301270001</v>
      </c>
      <c r="AH4798">
        <v>36.301198349627398</v>
      </c>
      <c r="AI4798">
        <v>91.747339408204098</v>
      </c>
      <c r="AJ4798">
        <v>85.172611095743306</v>
      </c>
      <c r="AK4798">
        <v>36.447374098548302</v>
      </c>
      <c r="AL4798">
        <v>86.929074756811104</v>
      </c>
      <c r="AM4798">
        <v>86.977372229553396</v>
      </c>
      <c r="AN4798">
        <v>1.00000003033039</v>
      </c>
    </row>
    <row r="4799" spans="1:40" x14ac:dyDescent="0.25">
      <c r="A4799" t="str">
        <f>"20190312154656317"</f>
        <v>20190312154656317</v>
      </c>
      <c r="B4799" t="str">
        <f>"1552376816302375"</f>
        <v>1552376816302375</v>
      </c>
      <c r="C4799" t="s">
        <v>40</v>
      </c>
      <c r="D4799">
        <v>4.6731290000000003</v>
      </c>
      <c r="E4799">
        <v>0.51270090000000001</v>
      </c>
      <c r="F4799" t="s">
        <v>42</v>
      </c>
      <c r="G4799">
        <v>-332.4932</v>
      </c>
      <c r="H4799" s="1">
        <v>-4.1573629999999998E-6</v>
      </c>
      <c r="I4799">
        <v>14.23442</v>
      </c>
      <c r="J4799">
        <v>-369.0992</v>
      </c>
      <c r="K4799">
        <v>1.111259</v>
      </c>
      <c r="L4799">
        <v>17.331600000000002</v>
      </c>
      <c r="M4799">
        <v>0.99990210000000002</v>
      </c>
      <c r="N4799">
        <v>0</v>
      </c>
      <c r="O4799">
        <v>1.4194520000000001E-3</v>
      </c>
      <c r="P4799">
        <v>0.9978243</v>
      </c>
      <c r="Q4799">
        <v>3.9758969999999998E-2</v>
      </c>
      <c r="R4799">
        <v>-5.2592800000000002E-2</v>
      </c>
      <c r="S4799">
        <v>2.9967649999999999</v>
      </c>
      <c r="T4799">
        <v>-9.0360399999999994E-2</v>
      </c>
      <c r="U4799">
        <v>-0.25164789999999998</v>
      </c>
      <c r="V4799">
        <v>5.3853360000000003E-2</v>
      </c>
      <c r="W4799">
        <v>5.3802559999999999E-2</v>
      </c>
      <c r="X4799">
        <v>0.99709829999999999</v>
      </c>
      <c r="Y4799">
        <v>8.5054199999999996E-2</v>
      </c>
      <c r="Z4799">
        <v>-1.3224829999999999E-3</v>
      </c>
      <c r="AA4799">
        <v>0.99637540000000002</v>
      </c>
      <c r="AB4799">
        <v>25</v>
      </c>
      <c r="AC4799">
        <v>36.606000000000002</v>
      </c>
      <c r="AD4799">
        <v>-1.1112631573630001</v>
      </c>
      <c r="AE4799">
        <v>-3.0971799999999998</v>
      </c>
      <c r="AF4799">
        <v>3.14626347471467</v>
      </c>
      <c r="AG4799">
        <v>-1.1112631573630001</v>
      </c>
      <c r="AH4799">
        <v>36.568105778891301</v>
      </c>
      <c r="AI4799">
        <v>91.734214822564994</v>
      </c>
      <c r="AJ4799">
        <v>85.082469751661193</v>
      </c>
      <c r="AK4799">
        <v>36.720025053278803</v>
      </c>
      <c r="AL4799">
        <v>86.915851083337898</v>
      </c>
      <c r="AM4799">
        <v>86.908454074418202</v>
      </c>
      <c r="AN4799">
        <v>0.99999995985436496</v>
      </c>
    </row>
    <row r="4800" spans="1:40" x14ac:dyDescent="0.25">
      <c r="A4800" t="str">
        <f>"20190312154656339"</f>
        <v>20190312154656339</v>
      </c>
      <c r="B4800" t="str">
        <f>"1552376816332631"</f>
        <v>1552376816332631</v>
      </c>
      <c r="C4800" t="s">
        <v>40</v>
      </c>
      <c r="D4800">
        <v>4.6285270000000001</v>
      </c>
      <c r="E4800">
        <v>0.51371440000000002</v>
      </c>
      <c r="F4800" t="s">
        <v>42</v>
      </c>
      <c r="G4800">
        <v>-331.29629999999997</v>
      </c>
      <c r="H4800" s="1">
        <v>-4.6864679999999999E-6</v>
      </c>
      <c r="I4800">
        <v>14.146269999999999</v>
      </c>
      <c r="J4800">
        <v>-368.8426</v>
      </c>
      <c r="K4800">
        <v>1.1111629999999999</v>
      </c>
      <c r="L4800">
        <v>17.333950000000002</v>
      </c>
      <c r="M4800">
        <v>0.99989850000000002</v>
      </c>
      <c r="N4800">
        <v>0</v>
      </c>
      <c r="O4800">
        <v>3.0738559999999998E-3</v>
      </c>
      <c r="P4800">
        <v>0.99784450000000002</v>
      </c>
      <c r="Q4800">
        <v>3.9889760000000003E-2</v>
      </c>
      <c r="R4800">
        <v>-5.2109900000000001E-2</v>
      </c>
      <c r="S4800">
        <v>2.9967350000000001</v>
      </c>
      <c r="T4800">
        <v>-8.8092569999999995E-2</v>
      </c>
      <c r="U4800">
        <v>-0.25250240000000002</v>
      </c>
      <c r="V4800">
        <v>5.5034E-2</v>
      </c>
      <c r="W4800">
        <v>5.3917300000000001E-2</v>
      </c>
      <c r="X4800">
        <v>0.99702769999999996</v>
      </c>
      <c r="Y4800">
        <v>8.6985950000000006E-2</v>
      </c>
      <c r="Z4800">
        <v>-1.3661840000000001E-3</v>
      </c>
      <c r="AA4800">
        <v>0.9962086</v>
      </c>
      <c r="AB4800">
        <v>25</v>
      </c>
      <c r="AC4800">
        <v>37.546300000000002</v>
      </c>
      <c r="AD4800">
        <v>-1.11116768646799</v>
      </c>
      <c r="AE4800">
        <v>-3.1876799999999998</v>
      </c>
      <c r="AF4800">
        <v>3.30021824844254</v>
      </c>
      <c r="AG4800">
        <v>-1.11116768646799</v>
      </c>
      <c r="AH4800">
        <v>37.503710975931497</v>
      </c>
      <c r="AI4800">
        <v>91.690545782753503</v>
      </c>
      <c r="AJ4800">
        <v>84.971090627103493</v>
      </c>
      <c r="AK4800">
        <v>37.665029816542202</v>
      </c>
      <c r="AL4800">
        <v>86.909267612160903</v>
      </c>
      <c r="AM4800">
        <v>86.840589947983602</v>
      </c>
      <c r="AN4800">
        <v>1.00000002548128</v>
      </c>
    </row>
    <row r="4801" spans="1:40" x14ac:dyDescent="0.25">
      <c r="A4801" t="str">
        <f>"20190312154656354"</f>
        <v>20190312154656354</v>
      </c>
      <c r="B4801" t="str">
        <f>"1552376816342391"</f>
        <v>1552376816342391</v>
      </c>
      <c r="C4801" t="s">
        <v>40</v>
      </c>
      <c r="D4801">
        <v>4.7004169999999998</v>
      </c>
      <c r="E4801">
        <v>0.51388840000000002</v>
      </c>
      <c r="F4801" t="s">
        <v>42</v>
      </c>
      <c r="G4801">
        <v>-328.52199999999999</v>
      </c>
      <c r="H4801" s="1">
        <v>-2.0877660000000001E-6</v>
      </c>
      <c r="I4801">
        <v>13.84362</v>
      </c>
      <c r="J4801">
        <v>-368.68369999999999</v>
      </c>
      <c r="K4801">
        <v>1.111103</v>
      </c>
      <c r="L4801">
        <v>17.335570000000001</v>
      </c>
      <c r="M4801">
        <v>0.99989510000000004</v>
      </c>
      <c r="N4801">
        <v>0</v>
      </c>
      <c r="O4801">
        <v>4.0304039999999996E-3</v>
      </c>
      <c r="P4801">
        <v>0.99785760000000001</v>
      </c>
      <c r="Q4801">
        <v>3.9787179999999998E-2</v>
      </c>
      <c r="R4801">
        <v>-5.1933930000000003E-2</v>
      </c>
      <c r="S4801">
        <v>2.9962460000000002</v>
      </c>
      <c r="T4801">
        <v>-8.2571270000000002E-2</v>
      </c>
      <c r="U4801">
        <v>-0.25936890000000001</v>
      </c>
      <c r="V4801">
        <v>5.5820439999999999E-2</v>
      </c>
      <c r="W4801">
        <v>5.3805400000000003E-2</v>
      </c>
      <c r="X4801">
        <v>0.99699000000000004</v>
      </c>
      <c r="Y4801">
        <v>9.0221640000000006E-2</v>
      </c>
      <c r="Z4801">
        <v>-1.3514779999999999E-3</v>
      </c>
      <c r="AA4801">
        <v>0.99592080000000005</v>
      </c>
      <c r="AB4801">
        <v>25</v>
      </c>
      <c r="AC4801">
        <v>40.161700000000003</v>
      </c>
      <c r="AD4801">
        <v>-1.111105087766</v>
      </c>
      <c r="AE4801">
        <v>-3.4919499999999899</v>
      </c>
      <c r="AF4801">
        <v>3.6510316583200502</v>
      </c>
      <c r="AG4801">
        <v>-1.111105087766</v>
      </c>
      <c r="AH4801">
        <v>40.116823542529097</v>
      </c>
      <c r="AI4801">
        <v>91.579974018307794</v>
      </c>
      <c r="AJ4801">
        <v>84.799837510787896</v>
      </c>
      <c r="AK4801">
        <v>40.297941855987297</v>
      </c>
      <c r="AL4801">
        <v>86.915688255373695</v>
      </c>
      <c r="AM4801">
        <v>86.795414249494996</v>
      </c>
      <c r="AN4801">
        <v>1.00000000134547</v>
      </c>
    </row>
    <row r="4802" spans="1:40" x14ac:dyDescent="0.25">
      <c r="A4802" t="str">
        <f>"20190312154656373"</f>
        <v>20190312154656373</v>
      </c>
      <c r="B4802" t="str">
        <f>"1552376816362886"</f>
        <v>1552376816362886</v>
      </c>
      <c r="C4802" t="s">
        <v>40</v>
      </c>
      <c r="D4802">
        <v>4.5945600000000004</v>
      </c>
      <c r="E4802">
        <v>0.51453420000000005</v>
      </c>
      <c r="F4802" t="s">
        <v>42</v>
      </c>
      <c r="G4802">
        <v>-328.22340000000003</v>
      </c>
      <c r="H4802" s="1">
        <v>-2.2080869999999999E-6</v>
      </c>
      <c r="I4802">
        <v>13.822319999999999</v>
      </c>
      <c r="J4802">
        <v>-368.46039999999999</v>
      </c>
      <c r="K4802">
        <v>1.111027</v>
      </c>
      <c r="L4802">
        <v>17.337979999999899</v>
      </c>
      <c r="M4802">
        <v>0.99988909999999998</v>
      </c>
      <c r="N4802">
        <v>0</v>
      </c>
      <c r="O4802">
        <v>5.3070649999999997E-3</v>
      </c>
      <c r="P4802">
        <v>0.99784490000000003</v>
      </c>
      <c r="Q4802">
        <v>3.9475780000000002E-2</v>
      </c>
      <c r="R4802">
        <v>-5.2417159999999997E-2</v>
      </c>
      <c r="S4802">
        <v>2.9961549999999999</v>
      </c>
      <c r="T4802">
        <v>-8.2279210000000005E-2</v>
      </c>
      <c r="U4802">
        <v>-0.26016240000000002</v>
      </c>
      <c r="V4802">
        <v>5.7587579999999999E-2</v>
      </c>
      <c r="W4802">
        <v>5.3483059999999999E-2</v>
      </c>
      <c r="X4802">
        <v>0.99690679999999998</v>
      </c>
      <c r="Y4802">
        <v>9.175672E-2</v>
      </c>
      <c r="Z4802">
        <v>-1.4027530000000001E-3</v>
      </c>
      <c r="AA4802">
        <v>0.99578049999999996</v>
      </c>
      <c r="AB4802">
        <v>25</v>
      </c>
      <c r="AC4802">
        <v>40.236999999999902</v>
      </c>
      <c r="AD4802">
        <v>-1.1110292080869999</v>
      </c>
      <c r="AE4802">
        <v>-3.5156599999999898</v>
      </c>
      <c r="AF4802">
        <v>3.72635197527813</v>
      </c>
      <c r="AG4802">
        <v>-1.1110292080869999</v>
      </c>
      <c r="AH4802">
        <v>40.187365708284901</v>
      </c>
      <c r="AI4802">
        <v>91.576848209206403</v>
      </c>
      <c r="AJ4802">
        <v>84.702427394394604</v>
      </c>
      <c r="AK4802">
        <v>40.3750473376356</v>
      </c>
      <c r="AL4802">
        <v>86.934183504321695</v>
      </c>
      <c r="AM4802">
        <v>86.693911095914402</v>
      </c>
      <c r="AN4802">
        <v>0.99999996748172904</v>
      </c>
    </row>
    <row r="4803" spans="1:40" x14ac:dyDescent="0.25">
      <c r="A4803" t="str">
        <f>"20190312154656399"</f>
        <v>20190312154656399</v>
      </c>
      <c r="B4803" t="str">
        <f>"1552376816393143"</f>
        <v>1552376816393143</v>
      </c>
      <c r="C4803" t="s">
        <v>40</v>
      </c>
      <c r="D4803">
        <v>4.5943899999999998</v>
      </c>
      <c r="E4803">
        <v>0.51535819999999999</v>
      </c>
      <c r="F4803" t="s">
        <v>42</v>
      </c>
      <c r="G4803">
        <v>-327.16899999999998</v>
      </c>
      <c r="H4803" s="1">
        <v>-2.6556640000000001E-6</v>
      </c>
      <c r="I4803">
        <v>13.66192</v>
      </c>
      <c r="J4803">
        <v>-368.16759999999999</v>
      </c>
      <c r="K4803">
        <v>1.11094</v>
      </c>
      <c r="L4803">
        <v>17.341460000000001</v>
      </c>
      <c r="M4803">
        <v>0.99987990000000004</v>
      </c>
      <c r="N4803">
        <v>0</v>
      </c>
      <c r="O4803">
        <v>6.8665169999999999E-3</v>
      </c>
      <c r="P4803">
        <v>0.99785290000000004</v>
      </c>
      <c r="Q4803">
        <v>3.8794139999999998E-2</v>
      </c>
      <c r="R4803">
        <v>-5.277366E-2</v>
      </c>
      <c r="S4803">
        <v>2.9956360000000002</v>
      </c>
      <c r="T4803">
        <v>-8.0603839999999996E-2</v>
      </c>
      <c r="U4803">
        <v>-0.26669310000000002</v>
      </c>
      <c r="V4803">
        <v>5.9512460000000003E-2</v>
      </c>
      <c r="W4803">
        <v>5.2787389999999997E-2</v>
      </c>
      <c r="X4803">
        <v>0.99683089999999996</v>
      </c>
      <c r="Y4803">
        <v>9.5477770000000003E-2</v>
      </c>
      <c r="Z4803">
        <v>-1.4661400000000001E-3</v>
      </c>
      <c r="AA4803">
        <v>0.9954305</v>
      </c>
      <c r="AB4803">
        <v>25</v>
      </c>
      <c r="AC4803">
        <v>40.998599999999897</v>
      </c>
      <c r="AD4803">
        <v>-1.1109426556640001</v>
      </c>
      <c r="AE4803">
        <v>-3.6795399999999998</v>
      </c>
      <c r="AF4803">
        <v>3.95811496570261</v>
      </c>
      <c r="AG4803">
        <v>-1.1109426556640001</v>
      </c>
      <c r="AH4803">
        <v>40.942543272369903</v>
      </c>
      <c r="AI4803">
        <v>91.547083853214801</v>
      </c>
      <c r="AJ4803">
        <v>84.4780980352744</v>
      </c>
      <c r="AK4803">
        <v>41.148423022951697</v>
      </c>
      <c r="AL4803">
        <v>86.974099075386604</v>
      </c>
      <c r="AM4803">
        <v>86.5834022170054</v>
      </c>
      <c r="AN4803">
        <v>1.0000000423165301</v>
      </c>
    </row>
    <row r="4804" spans="1:40" x14ac:dyDescent="0.25">
      <c r="A4804" t="str">
        <f>"20190312154656420"</f>
        <v>20190312154656420</v>
      </c>
      <c r="B4804" t="str">
        <f>"1552376816412664"</f>
        <v>1552376816412664</v>
      </c>
      <c r="C4804" t="s">
        <v>40</v>
      </c>
      <c r="D4804">
        <v>4.609178</v>
      </c>
      <c r="E4804">
        <v>0.51589759999999996</v>
      </c>
      <c r="F4804" t="s">
        <v>42</v>
      </c>
      <c r="G4804">
        <v>-326.6823</v>
      </c>
      <c r="H4804" s="1">
        <v>-2.8743300000000001E-6</v>
      </c>
      <c r="I4804">
        <v>13.542590000000001</v>
      </c>
      <c r="J4804">
        <v>-367.94240000000002</v>
      </c>
      <c r="K4804">
        <v>1.1108960000000001</v>
      </c>
      <c r="L4804">
        <v>17.344329999999999</v>
      </c>
      <c r="M4804">
        <v>0.99987150000000002</v>
      </c>
      <c r="N4804">
        <v>0</v>
      </c>
      <c r="O4804">
        <v>7.9880360000000004E-3</v>
      </c>
      <c r="P4804">
        <v>0.99781980000000003</v>
      </c>
      <c r="Q4804">
        <v>3.8772250000000001E-2</v>
      </c>
      <c r="R4804">
        <v>-5.3409760000000001E-2</v>
      </c>
      <c r="S4804">
        <v>2.9950559999999999</v>
      </c>
      <c r="T4804">
        <v>-8.0205200000000004E-2</v>
      </c>
      <c r="U4804">
        <v>-0.27426149999999999</v>
      </c>
      <c r="V4804">
        <v>6.1273699999999903E-2</v>
      </c>
      <c r="W4804">
        <v>5.275643E-2</v>
      </c>
      <c r="X4804">
        <v>0.9967258</v>
      </c>
      <c r="Y4804">
        <v>9.9104410000000004E-2</v>
      </c>
      <c r="Z4804">
        <v>-1.53743E-3</v>
      </c>
      <c r="AA4804">
        <v>0.99507590000000001</v>
      </c>
      <c r="AB4804">
        <v>25</v>
      </c>
      <c r="AC4804">
        <v>41.260100000000001</v>
      </c>
      <c r="AD4804">
        <v>-1.1108988743299999</v>
      </c>
      <c r="AE4804">
        <v>-3.8017400000000001</v>
      </c>
      <c r="AF4804">
        <v>4.12827022407751</v>
      </c>
      <c r="AG4804">
        <v>-1.1108988743299999</v>
      </c>
      <c r="AH4804">
        <v>41.198797677698202</v>
      </c>
      <c r="AI4804">
        <v>91.536876564016893</v>
      </c>
      <c r="AJ4804">
        <v>84.2778538954732</v>
      </c>
      <c r="AK4804">
        <v>41.420014985993198</v>
      </c>
      <c r="AL4804">
        <v>86.975875341516698</v>
      </c>
      <c r="AM4804">
        <v>86.482170060266199</v>
      </c>
      <c r="AN4804">
        <v>1.0000000138018299</v>
      </c>
    </row>
    <row r="4805" spans="1:40" x14ac:dyDescent="0.25">
      <c r="A4805" t="str">
        <f>"20190312154656440"</f>
        <v>20190312154656440</v>
      </c>
      <c r="B4805" t="str">
        <f>"1552376816433159"</f>
        <v>1552376816433159</v>
      </c>
      <c r="C4805" t="s">
        <v>40</v>
      </c>
      <c r="D4805">
        <v>4.6217420000000002</v>
      </c>
      <c r="E4805">
        <v>0.51636959999999998</v>
      </c>
      <c r="F4805" t="s">
        <v>42</v>
      </c>
      <c r="G4805">
        <v>-325.99040000000002</v>
      </c>
      <c r="H4805" s="1">
        <v>-3.1740029999999999E-6</v>
      </c>
      <c r="I4805">
        <v>13.414949999999999</v>
      </c>
      <c r="J4805">
        <v>-367.70580000000001</v>
      </c>
      <c r="K4805">
        <v>1.110854</v>
      </c>
      <c r="L4805">
        <v>17.347560000000001</v>
      </c>
      <c r="M4805">
        <v>0.99986200000000003</v>
      </c>
      <c r="N4805">
        <v>0</v>
      </c>
      <c r="O4805">
        <v>9.1091699999999998E-3</v>
      </c>
      <c r="P4805">
        <v>0.99777899999999997</v>
      </c>
      <c r="Q4805">
        <v>3.9030660000000002E-2</v>
      </c>
      <c r="R4805">
        <v>-5.3980260000000002E-2</v>
      </c>
      <c r="S4805">
        <v>2.9946290000000002</v>
      </c>
      <c r="T4805">
        <v>-7.9298380000000002E-2</v>
      </c>
      <c r="U4805">
        <v>-0.28048709999999999</v>
      </c>
      <c r="V4805">
        <v>6.2967469999999998E-2</v>
      </c>
      <c r="W4805">
        <v>5.3005459999999997E-2</v>
      </c>
      <c r="X4805">
        <v>0.99660700000000002</v>
      </c>
      <c r="Y4805">
        <v>0.102283</v>
      </c>
      <c r="Z4805">
        <v>-1.5917349999999999E-3</v>
      </c>
      <c r="AA4805">
        <v>0.99475409999999997</v>
      </c>
      <c r="AB4805">
        <v>25</v>
      </c>
      <c r="AC4805">
        <v>41.715399999999903</v>
      </c>
      <c r="AD4805">
        <v>-1.110857174003</v>
      </c>
      <c r="AE4805">
        <v>-3.9326099999999999</v>
      </c>
      <c r="AF4805">
        <v>4.3094471299086203</v>
      </c>
      <c r="AG4805">
        <v>-1.110857174003</v>
      </c>
      <c r="AH4805">
        <v>41.648568718700602</v>
      </c>
      <c r="AI4805">
        <v>91.519729892234906</v>
      </c>
      <c r="AJ4805">
        <v>84.092532462953599</v>
      </c>
      <c r="AK4805">
        <v>41.885661204555902</v>
      </c>
      <c r="AL4805">
        <v>86.961586929941205</v>
      </c>
      <c r="AM4805">
        <v>86.384752395834795</v>
      </c>
      <c r="AN4805">
        <v>0.99999999675850604</v>
      </c>
    </row>
    <row r="4806" spans="1:40" x14ac:dyDescent="0.25">
      <c r="A4806" t="str">
        <f>"20190312154656463"</f>
        <v>20190312154656463</v>
      </c>
      <c r="B4806" t="str">
        <f>"1552376816452679"</f>
        <v>1552376816452679</v>
      </c>
      <c r="C4806" t="s">
        <v>40</v>
      </c>
      <c r="D4806">
        <v>4.5753709999999996</v>
      </c>
      <c r="E4806">
        <v>0.51678749999999996</v>
      </c>
      <c r="F4806" t="s">
        <v>42</v>
      </c>
      <c r="G4806">
        <v>-324.64690000000002</v>
      </c>
      <c r="H4806" s="1">
        <v>-3.7375339999999999E-6</v>
      </c>
      <c r="I4806">
        <v>13.235910000000001</v>
      </c>
      <c r="J4806">
        <v>-367.45800000000003</v>
      </c>
      <c r="K4806">
        <v>1.1108119999999999</v>
      </c>
      <c r="L4806">
        <v>17.35117</v>
      </c>
      <c r="M4806">
        <v>0.9998513</v>
      </c>
      <c r="N4806">
        <v>0</v>
      </c>
      <c r="O4806">
        <v>1.023248E-2</v>
      </c>
      <c r="P4806">
        <v>0.99776880000000001</v>
      </c>
      <c r="Q4806">
        <v>3.9065740000000002E-2</v>
      </c>
      <c r="R4806">
        <v>-5.4146329999999999E-2</v>
      </c>
      <c r="S4806">
        <v>2.9942630000000001</v>
      </c>
      <c r="T4806">
        <v>-7.7247739999999995E-2</v>
      </c>
      <c r="U4806">
        <v>-0.28591919999999998</v>
      </c>
      <c r="V4806">
        <v>6.4258549999999998E-2</v>
      </c>
      <c r="W4806">
        <v>5.303165E-2</v>
      </c>
      <c r="X4806">
        <v>0.99652320000000005</v>
      </c>
      <c r="Y4806">
        <v>0.10520069999999999</v>
      </c>
      <c r="Z4806">
        <v>-1.617107E-3</v>
      </c>
      <c r="AA4806">
        <v>0.99444969999999999</v>
      </c>
      <c r="AB4806">
        <v>25</v>
      </c>
      <c r="AC4806">
        <v>42.811100000000003</v>
      </c>
      <c r="AD4806">
        <v>-1.110815737534</v>
      </c>
      <c r="AE4806">
        <v>-4.1152599999999904</v>
      </c>
      <c r="AF4806">
        <v>4.5501151613992104</v>
      </c>
      <c r="AG4806">
        <v>-1.110815737534</v>
      </c>
      <c r="AH4806">
        <v>42.738235153572802</v>
      </c>
      <c r="AI4806">
        <v>91.480484751304203</v>
      </c>
      <c r="AJ4806">
        <v>83.922911390437704</v>
      </c>
      <c r="AK4806">
        <v>42.994118244555601</v>
      </c>
      <c r="AL4806">
        <v>86.960084257886805</v>
      </c>
      <c r="AM4806">
        <v>86.310518932942202</v>
      </c>
      <c r="AN4806">
        <v>1.0000000026440301</v>
      </c>
    </row>
    <row r="4807" spans="1:40" x14ac:dyDescent="0.25">
      <c r="A4807" t="str">
        <f>"20190312154656484"</f>
        <v>20190312154656484</v>
      </c>
      <c r="B4807" t="str">
        <f>"1552376816472203"</f>
        <v>1552376816472203</v>
      </c>
      <c r="C4807" t="s">
        <v>40</v>
      </c>
      <c r="D4807">
        <v>4.6164480000000001</v>
      </c>
      <c r="E4807">
        <v>0.51725529999999997</v>
      </c>
      <c r="F4807" t="s">
        <v>42</v>
      </c>
      <c r="G4807">
        <v>-324.19819999999999</v>
      </c>
      <c r="H4807" s="1">
        <v>-3.9283189999999996E-6</v>
      </c>
      <c r="I4807">
        <v>13.166589999999999</v>
      </c>
      <c r="J4807">
        <v>-367.21550000000002</v>
      </c>
      <c r="K4807">
        <v>1.110784</v>
      </c>
      <c r="L4807">
        <v>17.354890000000001</v>
      </c>
      <c r="M4807">
        <v>0.99983979999999995</v>
      </c>
      <c r="N4807">
        <v>0</v>
      </c>
      <c r="O4807">
        <v>1.1291549999999999E-2</v>
      </c>
      <c r="P4807">
        <v>0.99773650000000003</v>
      </c>
      <c r="Q4807">
        <v>3.8253879999999997E-2</v>
      </c>
      <c r="R4807">
        <v>-5.5305340000000001E-2</v>
      </c>
      <c r="S4807">
        <v>2.9939879999999999</v>
      </c>
      <c r="T4807">
        <v>-7.6878909999999995E-2</v>
      </c>
      <c r="U4807">
        <v>-0.28961179999999997</v>
      </c>
      <c r="V4807">
        <v>6.6478739999999995E-2</v>
      </c>
      <c r="W4807">
        <v>5.2213580000000002E-2</v>
      </c>
      <c r="X4807">
        <v>0.99642070000000005</v>
      </c>
      <c r="Y4807">
        <v>0.107477</v>
      </c>
      <c r="Z4807">
        <v>-1.66572799999999E-3</v>
      </c>
      <c r="AA4807">
        <v>0.99420620000000004</v>
      </c>
      <c r="AB4807">
        <v>25</v>
      </c>
      <c r="AC4807">
        <v>43.017299999999999</v>
      </c>
      <c r="AD4807">
        <v>-1.1107879283190001</v>
      </c>
      <c r="AE4807">
        <v>-4.1882999999999999</v>
      </c>
      <c r="AF4807">
        <v>4.6707267260653396</v>
      </c>
      <c r="AG4807">
        <v>-1.1107879283190001</v>
      </c>
      <c r="AH4807">
        <v>42.938898578571099</v>
      </c>
      <c r="AI4807">
        <v>91.473170144341097</v>
      </c>
      <c r="AJ4807">
        <v>83.7919955833177</v>
      </c>
      <c r="AK4807">
        <v>43.206464205163797</v>
      </c>
      <c r="AL4807">
        <v>87.007021080630807</v>
      </c>
      <c r="AM4807">
        <v>86.1830231259881</v>
      </c>
      <c r="AN4807">
        <v>0.999999946098445</v>
      </c>
    </row>
    <row r="4808" spans="1:40" x14ac:dyDescent="0.25">
      <c r="A4808" t="str">
        <f>"20190312154656520"</f>
        <v>20190312154656520</v>
      </c>
      <c r="B4808" t="str">
        <f>"1552376816512216"</f>
        <v>1552376816512216</v>
      </c>
      <c r="C4808" t="s">
        <v>40</v>
      </c>
      <c r="D4808">
        <v>4.5833640000000004</v>
      </c>
      <c r="E4808">
        <v>0.51800369999999996</v>
      </c>
      <c r="F4808" t="s">
        <v>42</v>
      </c>
      <c r="G4808">
        <v>-325.76179999999999</v>
      </c>
      <c r="H4808" s="1">
        <v>-3.3064530000000002E-6</v>
      </c>
      <c r="I4808">
        <v>13.24709</v>
      </c>
      <c r="J4808">
        <v>-366.82760000000002</v>
      </c>
      <c r="K4808">
        <v>1.11076</v>
      </c>
      <c r="L4808">
        <v>17.361360000000001</v>
      </c>
      <c r="M4808">
        <v>0.99982000000000004</v>
      </c>
      <c r="N4808">
        <v>0</v>
      </c>
      <c r="O4808">
        <v>1.29351E-2</v>
      </c>
      <c r="P4808">
        <v>0.99773730000000005</v>
      </c>
      <c r="Q4808">
        <v>3.8109589999999999E-2</v>
      </c>
      <c r="R4808">
        <v>-5.5394140000000001E-2</v>
      </c>
      <c r="S4808">
        <v>2.993439</v>
      </c>
      <c r="T4808">
        <v>-8.0211640000000001E-2</v>
      </c>
      <c r="U4808">
        <v>-0.29663089999999998</v>
      </c>
      <c r="V4808">
        <v>6.8210489999999999E-2</v>
      </c>
      <c r="W4808">
        <v>5.205978E-2</v>
      </c>
      <c r="X4808">
        <v>0.99631170000000002</v>
      </c>
      <c r="Y4808">
        <v>0.1114315</v>
      </c>
      <c r="Z4808">
        <v>-1.8348170000000001E-3</v>
      </c>
      <c r="AA4808">
        <v>0.99377040000000005</v>
      </c>
      <c r="AB4808">
        <v>25</v>
      </c>
      <c r="AC4808">
        <v>41.065800000000003</v>
      </c>
      <c r="AD4808">
        <v>-1.110763306453</v>
      </c>
      <c r="AE4808">
        <v>-4.1142700000000003</v>
      </c>
      <c r="AF4808">
        <v>4.6418048657003004</v>
      </c>
      <c r="AG4808">
        <v>-1.110763306453</v>
      </c>
      <c r="AH4808">
        <v>40.979456842492397</v>
      </c>
      <c r="AI4808">
        <v>91.542782163388594</v>
      </c>
      <c r="AJ4808">
        <v>83.537565344514206</v>
      </c>
      <c r="AK4808">
        <v>41.256466531198498</v>
      </c>
      <c r="AL4808">
        <v>87.015845177617393</v>
      </c>
      <c r="AM4808">
        <v>86.083470460806396</v>
      </c>
      <c r="AN4808">
        <v>0.99999994759828703</v>
      </c>
    </row>
    <row r="4809" spans="1:40" x14ac:dyDescent="0.25">
      <c r="A4809" t="str">
        <f>"20190312154656541"</f>
        <v>20190312154656541</v>
      </c>
      <c r="B4809" t="str">
        <f>"1552376816532710"</f>
        <v>1552376816532710</v>
      </c>
      <c r="C4809" t="s">
        <v>40</v>
      </c>
      <c r="D4809">
        <v>4.5769510000000002</v>
      </c>
      <c r="E4809">
        <v>0.51830799999999999</v>
      </c>
      <c r="F4809" t="s">
        <v>42</v>
      </c>
      <c r="G4809">
        <v>-327.59280000000001</v>
      </c>
      <c r="H4809" s="1">
        <v>-2.5638759999999999E-6</v>
      </c>
      <c r="I4809">
        <v>13.395239999999999</v>
      </c>
      <c r="J4809">
        <v>-366.58789999999999</v>
      </c>
      <c r="K4809">
        <v>1.110754</v>
      </c>
      <c r="L4809">
        <v>17.365629999999999</v>
      </c>
      <c r="M4809">
        <v>0.99980659999999999</v>
      </c>
      <c r="N4809">
        <v>0</v>
      </c>
      <c r="O4809">
        <v>1.393339E-2</v>
      </c>
      <c r="P4809">
        <v>0.99769070000000004</v>
      </c>
      <c r="Q4809">
        <v>3.8824780000000003E-2</v>
      </c>
      <c r="R4809">
        <v>-5.5730879999999997E-2</v>
      </c>
      <c r="S4809">
        <v>2.9932859999999999</v>
      </c>
      <c r="T4809">
        <v>-8.4741830000000004E-2</v>
      </c>
      <c r="U4809">
        <v>-0.30258180000000001</v>
      </c>
      <c r="V4809">
        <v>6.9542489999999998E-2</v>
      </c>
      <c r="W4809">
        <v>5.2770709999999998E-2</v>
      </c>
      <c r="X4809">
        <v>0.99618229999999997</v>
      </c>
      <c r="Y4809">
        <v>0.1143777</v>
      </c>
      <c r="Z4809">
        <v>-2.008096E-3</v>
      </c>
      <c r="AA4809">
        <v>0.99343530000000002</v>
      </c>
      <c r="AB4809">
        <v>25</v>
      </c>
      <c r="AC4809">
        <v>38.995099999999901</v>
      </c>
      <c r="AD4809">
        <v>-1.110756563876</v>
      </c>
      <c r="AE4809">
        <v>-3.9703900000000001</v>
      </c>
      <c r="AF4809">
        <v>4.5097692387885298</v>
      </c>
      <c r="AG4809">
        <v>-1.110756563876</v>
      </c>
      <c r="AH4809">
        <v>38.904745353767503</v>
      </c>
      <c r="AI4809">
        <v>91.624516621866604</v>
      </c>
      <c r="AJ4809">
        <v>83.387884988601797</v>
      </c>
      <c r="AK4809">
        <v>39.1810031746612</v>
      </c>
      <c r="AL4809">
        <v>86.975056096707306</v>
      </c>
      <c r="AM4809">
        <v>86.006717346634105</v>
      </c>
      <c r="AN4809">
        <v>1.0000000402912901</v>
      </c>
    </row>
    <row r="4810" spans="1:40" x14ac:dyDescent="0.25">
      <c r="A4810" t="str">
        <f>"20190312154656563"</f>
        <v>20190312154656563</v>
      </c>
      <c r="B4810" t="str">
        <f>"1552376816552231"</f>
        <v>1552376816552231</v>
      </c>
      <c r="C4810" t="s">
        <v>40</v>
      </c>
      <c r="D4810">
        <v>4.5839600000000003</v>
      </c>
      <c r="E4810">
        <v>0.51855989999999996</v>
      </c>
      <c r="F4810" t="s">
        <v>42</v>
      </c>
      <c r="G4810">
        <v>-327.4633</v>
      </c>
      <c r="H4810" s="1">
        <v>-2.6212180000000001E-6</v>
      </c>
      <c r="I4810">
        <v>13.36666</v>
      </c>
      <c r="J4810">
        <v>-366.33859999999999</v>
      </c>
      <c r="K4810">
        <v>1.1107479999999901</v>
      </c>
      <c r="L4810">
        <v>17.370270000000001</v>
      </c>
      <c r="M4810">
        <v>0.99979189999999996</v>
      </c>
      <c r="N4810">
        <v>0</v>
      </c>
      <c r="O4810">
        <v>1.49585E-2</v>
      </c>
      <c r="P4810">
        <v>0.99764129999999995</v>
      </c>
      <c r="Q4810">
        <v>3.9989900000000002E-2</v>
      </c>
      <c r="R4810">
        <v>-5.5792029999999999E-2</v>
      </c>
      <c r="S4810">
        <v>2.9931950000000001</v>
      </c>
      <c r="T4810">
        <v>-8.4977629999999998E-2</v>
      </c>
      <c r="U4810">
        <v>-0.30593870000000001</v>
      </c>
      <c r="V4810">
        <v>7.0624179999999995E-2</v>
      </c>
      <c r="W4810">
        <v>5.3931109999999997E-2</v>
      </c>
      <c r="X4810">
        <v>0.99604400000000004</v>
      </c>
      <c r="Y4810">
        <v>0.1165003</v>
      </c>
      <c r="Z4810">
        <v>-2.0727079999999999E-3</v>
      </c>
      <c r="AA4810">
        <v>0.99318850000000003</v>
      </c>
      <c r="AB4810">
        <v>25</v>
      </c>
      <c r="AC4810">
        <v>38.875299999999903</v>
      </c>
      <c r="AD4810">
        <v>-1.1107506212179901</v>
      </c>
      <c r="AE4810">
        <v>-4.0036100000000001</v>
      </c>
      <c r="AF4810">
        <v>4.5810335387223899</v>
      </c>
      <c r="AG4810">
        <v>-1.1107506212179901</v>
      </c>
      <c r="AH4810">
        <v>38.779729597392098</v>
      </c>
      <c r="AI4810">
        <v>91.629326334015502</v>
      </c>
      <c r="AJ4810">
        <v>83.262895182262994</v>
      </c>
      <c r="AK4810">
        <v>39.065164313903601</v>
      </c>
      <c r="AL4810">
        <v>86.908475109226401</v>
      </c>
      <c r="AM4810">
        <v>85.944248789792894</v>
      </c>
      <c r="AN4810">
        <v>0.999999994681252</v>
      </c>
    </row>
    <row r="4811" spans="1:40" x14ac:dyDescent="0.25">
      <c r="A4811" t="str">
        <f>"20190312154656585"</f>
        <v>20190312154656585</v>
      </c>
      <c r="B4811" t="str">
        <f>"1552376816582487"</f>
        <v>1552376816582487</v>
      </c>
      <c r="C4811" t="s">
        <v>40</v>
      </c>
      <c r="D4811">
        <v>4.6865399999999999</v>
      </c>
      <c r="E4811">
        <v>0.53124680000000002</v>
      </c>
      <c r="F4811" t="s">
        <v>42</v>
      </c>
      <c r="G4811">
        <v>-326.31310000000002</v>
      </c>
      <c r="H4811" s="1">
        <v>-3.093229E-6</v>
      </c>
      <c r="I4811">
        <v>13.2526799999999</v>
      </c>
      <c r="J4811">
        <v>-366.09859999999998</v>
      </c>
      <c r="K4811">
        <v>1.110746</v>
      </c>
      <c r="L4811">
        <v>17.375</v>
      </c>
      <c r="M4811">
        <v>0.99977680000000002</v>
      </c>
      <c r="N4811">
        <v>0</v>
      </c>
      <c r="O4811">
        <v>1.5935970000000001E-2</v>
      </c>
      <c r="P4811">
        <v>0.99760990000000005</v>
      </c>
      <c r="Q4811">
        <v>4.0430870000000001E-2</v>
      </c>
      <c r="R4811">
        <v>-5.603578E-2</v>
      </c>
      <c r="S4811">
        <v>2.9931950000000001</v>
      </c>
      <c r="T4811">
        <v>-8.3064440000000003E-2</v>
      </c>
      <c r="U4811">
        <v>-0.30792239999999999</v>
      </c>
      <c r="V4811">
        <v>7.1841779999999994E-2</v>
      </c>
      <c r="W4811">
        <v>5.436821E-2</v>
      </c>
      <c r="X4811">
        <v>0.99593319999999996</v>
      </c>
      <c r="Y4811">
        <v>0.1181238</v>
      </c>
      <c r="Z4811">
        <v>-2.0755180000000002E-3</v>
      </c>
      <c r="AA4811">
        <v>0.99299669999999896</v>
      </c>
      <c r="AB4811">
        <v>25</v>
      </c>
      <c r="AC4811">
        <v>39.7854999999999</v>
      </c>
      <c r="AD4811">
        <v>-1.1107490932290001</v>
      </c>
      <c r="AE4811">
        <v>-4.1223200000000002</v>
      </c>
      <c r="AF4811">
        <v>4.7522132401953803</v>
      </c>
      <c r="AG4811">
        <v>-1.1107490932290001</v>
      </c>
      <c r="AH4811">
        <v>39.684144516572701</v>
      </c>
      <c r="AI4811">
        <v>91.591908011620902</v>
      </c>
      <c r="AJ4811">
        <v>83.171295041090502</v>
      </c>
      <c r="AK4811">
        <v>39.9831041846506</v>
      </c>
      <c r="AL4811">
        <v>86.883394471154602</v>
      </c>
      <c r="AM4811">
        <v>85.874107397938801</v>
      </c>
      <c r="AN4811">
        <v>1.0000000412372001</v>
      </c>
    </row>
    <row r="4812" spans="1:40" x14ac:dyDescent="0.25">
      <c r="A4812" t="str">
        <f>"20190312154656607"</f>
        <v>20190312154656607</v>
      </c>
      <c r="B4812" t="str">
        <f>"1552376816602984"</f>
        <v>1552376816602984</v>
      </c>
      <c r="C4812" t="s">
        <v>40</v>
      </c>
      <c r="D4812">
        <v>4.6758419999999896</v>
      </c>
      <c r="E4812">
        <v>0.53598409999999996</v>
      </c>
      <c r="F4812" t="s">
        <v>42</v>
      </c>
      <c r="G4812">
        <v>-345.27809999999999</v>
      </c>
      <c r="H4812" s="1">
        <v>-2.9428099999999999E-6</v>
      </c>
      <c r="I4812">
        <v>14.542979999999901</v>
      </c>
      <c r="J4812">
        <v>-365.8458</v>
      </c>
      <c r="K4812">
        <v>1.1107419999999999</v>
      </c>
      <c r="L4812">
        <v>17.38025</v>
      </c>
      <c r="M4812">
        <v>0.99975990000000003</v>
      </c>
      <c r="N4812">
        <v>0</v>
      </c>
      <c r="O4812">
        <v>1.6960900000000001E-2</v>
      </c>
      <c r="P4812">
        <v>0.99763380000000002</v>
      </c>
      <c r="Q4812">
        <v>4.0291239999999999E-2</v>
      </c>
      <c r="R4812">
        <v>-5.5709349999999998E-2</v>
      </c>
      <c r="S4812">
        <v>2.9908139999999999</v>
      </c>
      <c r="T4812">
        <v>-0.159556</v>
      </c>
      <c r="U4812">
        <v>-0.40679929999999997</v>
      </c>
      <c r="V4812">
        <v>7.2538210000000006E-2</v>
      </c>
      <c r="W4812">
        <v>5.422536E-2</v>
      </c>
      <c r="X4812">
        <v>0.99589039999999995</v>
      </c>
      <c r="Y4812">
        <v>0.1513285</v>
      </c>
      <c r="Z4812">
        <v>-4.9156520000000004E-3</v>
      </c>
      <c r="AA4812">
        <v>0.98847130000000005</v>
      </c>
      <c r="AB4812">
        <v>25</v>
      </c>
      <c r="AC4812">
        <v>20.567699999999999</v>
      </c>
      <c r="AD4812">
        <v>-1.11074494281</v>
      </c>
      <c r="AE4812">
        <v>-2.8372700000000002</v>
      </c>
      <c r="AF4812">
        <v>3.1766504790160002</v>
      </c>
      <c r="AG4812">
        <v>-1.11074494281</v>
      </c>
      <c r="AH4812">
        <v>20.458062473662299</v>
      </c>
      <c r="AI4812">
        <v>93.071021453124999</v>
      </c>
      <c r="AJ4812">
        <v>81.173813081789305</v>
      </c>
      <c r="AK4812">
        <v>20.732997438143801</v>
      </c>
      <c r="AL4812">
        <v>86.891590934548404</v>
      </c>
      <c r="AM4812">
        <v>85.834072967483493</v>
      </c>
      <c r="AN4812">
        <v>0.99999993519464403</v>
      </c>
    </row>
    <row r="4813" spans="1:40" x14ac:dyDescent="0.25">
      <c r="A4813" t="str">
        <f>"20190312154656631"</f>
        <v>20190312154656631</v>
      </c>
      <c r="B4813" t="str">
        <f>"1552376816622503"</f>
        <v>1552376816622503</v>
      </c>
      <c r="C4813" t="s">
        <v>40</v>
      </c>
      <c r="D4813">
        <v>4.6111180000000003</v>
      </c>
      <c r="E4813">
        <v>0.53754290000000005</v>
      </c>
      <c r="F4813" t="s">
        <v>42</v>
      </c>
      <c r="G4813">
        <v>-344.91860000000003</v>
      </c>
      <c r="H4813" s="1">
        <v>-3.136884E-6</v>
      </c>
      <c r="I4813">
        <v>14.273400000000001</v>
      </c>
      <c r="J4813">
        <v>-365.59199999999998</v>
      </c>
      <c r="K4813">
        <v>1.110735</v>
      </c>
      <c r="L4813">
        <v>17.385739999999998</v>
      </c>
      <c r="M4813">
        <v>0.99974220000000003</v>
      </c>
      <c r="N4813">
        <v>0</v>
      </c>
      <c r="O4813">
        <v>1.7987400000000001E-2</v>
      </c>
      <c r="P4813">
        <v>0.99765029999999999</v>
      </c>
      <c r="Q4813">
        <v>4.0225129999999998E-2</v>
      </c>
      <c r="R4813">
        <v>-5.5465720000000003E-2</v>
      </c>
      <c r="S4813">
        <v>2.9887389999999998</v>
      </c>
      <c r="T4813">
        <v>-0.1586322</v>
      </c>
      <c r="U4813">
        <v>-0.44369510000000001</v>
      </c>
      <c r="V4813">
        <v>7.3318309999999998E-2</v>
      </c>
      <c r="W4813">
        <v>5.4156320000000001E-2</v>
      </c>
      <c r="X4813">
        <v>0.99583710000000003</v>
      </c>
      <c r="Y4813">
        <v>0.16436529999999999</v>
      </c>
      <c r="Z4813">
        <v>-5.2844199999999997E-3</v>
      </c>
      <c r="AA4813">
        <v>0.98638539999999997</v>
      </c>
      <c r="AB4813">
        <v>25</v>
      </c>
      <c r="AC4813">
        <v>20.673399999999901</v>
      </c>
      <c r="AD4813">
        <v>-1.1107381368839999</v>
      </c>
      <c r="AE4813">
        <v>-3.1123399999999899</v>
      </c>
      <c r="AF4813">
        <v>3.4739268970252</v>
      </c>
      <c r="AG4813">
        <v>-1.1107381368839999</v>
      </c>
      <c r="AH4813">
        <v>20.556042654527602</v>
      </c>
      <c r="AI4813">
        <v>93.049786925844003</v>
      </c>
      <c r="AJ4813">
        <v>80.407770389995505</v>
      </c>
      <c r="AK4813">
        <v>20.877087845515302</v>
      </c>
      <c r="AL4813">
        <v>86.895552675457097</v>
      </c>
      <c r="AM4813">
        <v>85.789206929459596</v>
      </c>
      <c r="AN4813">
        <v>1.0000000056567999</v>
      </c>
    </row>
    <row r="4814" spans="1:40" x14ac:dyDescent="0.25">
      <c r="A4814" t="str">
        <f>"20190312154656652"</f>
        <v>20190312154656652</v>
      </c>
      <c r="B4814" t="str">
        <f>"1552376816642999"</f>
        <v>1552376816642999</v>
      </c>
      <c r="C4814" t="s">
        <v>40</v>
      </c>
      <c r="D4814">
        <v>4.6428060000000002</v>
      </c>
      <c r="E4814">
        <v>0.53825959999999995</v>
      </c>
      <c r="F4814" t="s">
        <v>42</v>
      </c>
      <c r="G4814">
        <v>-344.44470000000001</v>
      </c>
      <c r="H4814" s="1">
        <v>-3.3332679999999999E-6</v>
      </c>
      <c r="I4814">
        <v>14.16042</v>
      </c>
      <c r="J4814">
        <v>-365.35419999999999</v>
      </c>
      <c r="K4814">
        <v>1.1107370000000001</v>
      </c>
      <c r="L4814">
        <v>17.391169999999999</v>
      </c>
      <c r="M4814">
        <v>0.99972430000000001</v>
      </c>
      <c r="N4814">
        <v>0</v>
      </c>
      <c r="O4814">
        <v>1.894854E-2</v>
      </c>
      <c r="P4814">
        <v>0.99769569999999996</v>
      </c>
      <c r="Q4814">
        <v>4.0464899999999998E-2</v>
      </c>
      <c r="R4814">
        <v>-5.4461780000000001E-2</v>
      </c>
      <c r="S4814">
        <v>2.9880680000000002</v>
      </c>
      <c r="T4814">
        <v>-0.1569448</v>
      </c>
      <c r="U4814">
        <v>-0.45571899999999999</v>
      </c>
      <c r="V4814">
        <v>7.3273320000000003E-2</v>
      </c>
      <c r="W4814">
        <v>5.4392019999999999E-2</v>
      </c>
      <c r="X4814">
        <v>0.99582760000000003</v>
      </c>
      <c r="Y4814">
        <v>0.1692226</v>
      </c>
      <c r="Z4814">
        <v>-5.4048359999999997E-3</v>
      </c>
      <c r="AA4814">
        <v>0.98556299999999997</v>
      </c>
      <c r="AB4814">
        <v>25</v>
      </c>
      <c r="AC4814">
        <v>20.909499999999898</v>
      </c>
      <c r="AD4814">
        <v>-1.1107403332679999</v>
      </c>
      <c r="AE4814">
        <v>-3.23075</v>
      </c>
      <c r="AF4814">
        <v>3.6164452306977202</v>
      </c>
      <c r="AG4814">
        <v>-1.1107403332679999</v>
      </c>
      <c r="AH4814">
        <v>20.7872300957909</v>
      </c>
      <c r="AI4814">
        <v>93.013442681764204</v>
      </c>
      <c r="AJ4814">
        <v>80.130782575634697</v>
      </c>
      <c r="AK4814">
        <v>21.128685601568801</v>
      </c>
      <c r="AL4814">
        <v>86.882028233521297</v>
      </c>
      <c r="AM4814">
        <v>85.791741493785395</v>
      </c>
      <c r="AN4814">
        <v>1.0000000400926301</v>
      </c>
    </row>
    <row r="4815" spans="1:40" x14ac:dyDescent="0.25">
      <c r="A4815" t="str">
        <f>"20190312154656675"</f>
        <v>20190312154656675</v>
      </c>
      <c r="B4815" t="str">
        <f>"1552376816662522"</f>
        <v>1552376816662522</v>
      </c>
      <c r="C4815" t="s">
        <v>40</v>
      </c>
      <c r="D4815">
        <v>4.6584529999999997</v>
      </c>
      <c r="E4815">
        <v>0.53887689999999999</v>
      </c>
      <c r="F4815" t="s">
        <v>42</v>
      </c>
      <c r="G4815">
        <v>-343.9511</v>
      </c>
      <c r="H4815" s="1">
        <v>-3.5545609999999998E-6</v>
      </c>
      <c r="I4815">
        <v>14.10661</v>
      </c>
      <c r="J4815">
        <v>-365.10410000000002</v>
      </c>
      <c r="K4815">
        <v>1.110741</v>
      </c>
      <c r="L4815">
        <v>17.39706</v>
      </c>
      <c r="M4815">
        <v>0.99970479999999995</v>
      </c>
      <c r="N4815">
        <v>0</v>
      </c>
      <c r="O4815">
        <v>1.995744E-2</v>
      </c>
      <c r="P4815">
        <v>0.99773619999999996</v>
      </c>
      <c r="Q4815">
        <v>4.0500759999999997E-2</v>
      </c>
      <c r="R4815">
        <v>-5.3685410000000003E-2</v>
      </c>
      <c r="S4815">
        <v>2.988159</v>
      </c>
      <c r="T4815">
        <v>-0.1550744</v>
      </c>
      <c r="U4815">
        <v>-0.4585571</v>
      </c>
      <c r="V4815">
        <v>7.3503669999999993E-2</v>
      </c>
      <c r="W4815">
        <v>5.4425340000000003E-2</v>
      </c>
      <c r="X4815">
        <v>0.99580880000000005</v>
      </c>
      <c r="Y4815">
        <v>0.17112920000000001</v>
      </c>
      <c r="Z4815">
        <v>-5.441179E-3</v>
      </c>
      <c r="AA4815">
        <v>0.98523349999999998</v>
      </c>
      <c r="AB4815">
        <v>25</v>
      </c>
      <c r="AC4815">
        <v>21.152999999999999</v>
      </c>
      <c r="AD4815">
        <v>-1.110744554561</v>
      </c>
      <c r="AE4815">
        <v>-3.2904499999999999</v>
      </c>
      <c r="AF4815">
        <v>3.7020283293970002</v>
      </c>
      <c r="AG4815">
        <v>-1.110744554561</v>
      </c>
      <c r="AH4815">
        <v>21.026504185348401</v>
      </c>
      <c r="AI4815">
        <v>92.978168680733702</v>
      </c>
      <c r="AJ4815">
        <v>80.014566694808707</v>
      </c>
      <c r="AK4815">
        <v>21.3787896166649</v>
      </c>
      <c r="AL4815">
        <v>86.8801162954246</v>
      </c>
      <c r="AM4815">
        <v>85.778480295228604</v>
      </c>
      <c r="AN4815">
        <v>1.0000000366475099</v>
      </c>
    </row>
    <row r="4816" spans="1:40" x14ac:dyDescent="0.25">
      <c r="A4816" t="str">
        <f>"20190312154656696"</f>
        <v>20190312154656696</v>
      </c>
      <c r="B4816" t="str">
        <f>"1552376816683015"</f>
        <v>1552376816683015</v>
      </c>
      <c r="C4816" t="s">
        <v>40</v>
      </c>
      <c r="D4816">
        <v>4.6264190000000003</v>
      </c>
      <c r="E4816">
        <v>0.53941799999999995</v>
      </c>
      <c r="F4816" t="s">
        <v>42</v>
      </c>
      <c r="G4816">
        <v>-343.5104</v>
      </c>
      <c r="H4816" s="1">
        <v>-3.7513949999999999E-6</v>
      </c>
      <c r="I4816">
        <v>14.06298</v>
      </c>
      <c r="J4816">
        <v>-364.8664</v>
      </c>
      <c r="K4816">
        <v>1.1107450000000001</v>
      </c>
      <c r="L4816">
        <v>17.402889999999999</v>
      </c>
      <c r="M4816">
        <v>0.99968520000000005</v>
      </c>
      <c r="N4816">
        <v>0</v>
      </c>
      <c r="O4816">
        <v>2.09155E-2</v>
      </c>
      <c r="P4816">
        <v>0.99778279999999997</v>
      </c>
      <c r="Q4816">
        <v>4.1393739999999998E-2</v>
      </c>
      <c r="R4816">
        <v>-5.2114470000000003E-2</v>
      </c>
      <c r="S4816">
        <v>2.9881899999999999</v>
      </c>
      <c r="T4816">
        <v>-0.15370699999999901</v>
      </c>
      <c r="U4816">
        <v>-0.46136470000000002</v>
      </c>
      <c r="V4816">
        <v>7.2887499999999994E-2</v>
      </c>
      <c r="W4816">
        <v>5.5314729999999999E-2</v>
      </c>
      <c r="X4816">
        <v>0.99580500000000005</v>
      </c>
      <c r="Y4816">
        <v>0.17297670000000001</v>
      </c>
      <c r="Z4816">
        <v>-5.489028E-3</v>
      </c>
      <c r="AA4816">
        <v>0.98491059999999997</v>
      </c>
      <c r="AB4816">
        <v>25</v>
      </c>
      <c r="AC4816">
        <v>21.355999999999899</v>
      </c>
      <c r="AD4816">
        <v>-1.1107487513950001</v>
      </c>
      <c r="AE4816">
        <v>-3.3399100000000002</v>
      </c>
      <c r="AF4816">
        <v>3.7759229743873099</v>
      </c>
      <c r="AG4816">
        <v>-1.1107487513950001</v>
      </c>
      <c r="AH4816">
        <v>21.2254176432766</v>
      </c>
      <c r="AI4816">
        <v>92.949394062616804</v>
      </c>
      <c r="AJ4816">
        <v>79.9128201316325</v>
      </c>
      <c r="AK4816">
        <v>21.587258075743399</v>
      </c>
      <c r="AL4816">
        <v>86.829080850970101</v>
      </c>
      <c r="AM4816">
        <v>85.813726392070905</v>
      </c>
      <c r="AN4816">
        <v>0.99999995251811002</v>
      </c>
    </row>
    <row r="4817" spans="1:40" x14ac:dyDescent="0.25">
      <c r="A4817" t="str">
        <f>"20190312154656719"</f>
        <v>20190312154656719</v>
      </c>
      <c r="B4817" t="str">
        <f>"1552376816712295"</f>
        <v>1552376816712295</v>
      </c>
      <c r="C4817" t="s">
        <v>40</v>
      </c>
      <c r="D4817">
        <v>4.6513299999999997</v>
      </c>
      <c r="E4817">
        <v>0.54058879999999998</v>
      </c>
      <c r="F4817" t="s">
        <v>42</v>
      </c>
      <c r="G4817">
        <v>-343.70389999999998</v>
      </c>
      <c r="H4817" s="1">
        <v>-3.6548269999999998E-6</v>
      </c>
      <c r="I4817">
        <v>14.13941</v>
      </c>
      <c r="J4817">
        <v>-364.61810000000003</v>
      </c>
      <c r="K4817">
        <v>1.110754</v>
      </c>
      <c r="L4817">
        <v>17.409300000000002</v>
      </c>
      <c r="M4817">
        <v>0.99966379999999999</v>
      </c>
      <c r="N4817">
        <v>0</v>
      </c>
      <c r="O4817">
        <v>2.191628E-2</v>
      </c>
      <c r="P4817">
        <v>0.99785520000000005</v>
      </c>
      <c r="Q4817">
        <v>4.2083889999999999E-2</v>
      </c>
      <c r="R4817">
        <v>-5.0138040000000002E-2</v>
      </c>
      <c r="S4817">
        <v>2.9891049999999999</v>
      </c>
      <c r="T4817">
        <v>-0.15688750000000001</v>
      </c>
      <c r="U4817">
        <v>-0.4609375</v>
      </c>
      <c r="V4817">
        <v>7.1909580000000001E-2</v>
      </c>
      <c r="W4817">
        <v>5.600078E-2</v>
      </c>
      <c r="X4817">
        <v>0.9958378</v>
      </c>
      <c r="Y4817">
        <v>0.173766899999999</v>
      </c>
      <c r="Z4817">
        <v>-5.6736460000000001E-3</v>
      </c>
      <c r="AA4817">
        <v>0.98477049999999999</v>
      </c>
      <c r="AB4817">
        <v>25</v>
      </c>
      <c r="AC4817">
        <v>20.914200000000001</v>
      </c>
      <c r="AD4817">
        <v>-1.110757654827</v>
      </c>
      <c r="AE4817">
        <v>-3.2698900000000002</v>
      </c>
      <c r="AF4817">
        <v>3.7172748118657801</v>
      </c>
      <c r="AG4817">
        <v>-1.110757654827</v>
      </c>
      <c r="AH4817">
        <v>20.780288714431901</v>
      </c>
      <c r="AI4817">
        <v>93.011967409749204</v>
      </c>
      <c r="AJ4817">
        <v>79.857937234176802</v>
      </c>
      <c r="AK4817">
        <v>21.139354617628101</v>
      </c>
      <c r="AL4817">
        <v>86.789712204363596</v>
      </c>
      <c r="AM4817">
        <v>85.869832833633097</v>
      </c>
      <c r="AN4817">
        <v>0.99999999948261198</v>
      </c>
    </row>
    <row r="4818" spans="1:40" x14ac:dyDescent="0.25">
      <c r="A4818" t="str">
        <f>"20190312154656753"</f>
        <v>20190312154656753</v>
      </c>
      <c r="B4818" t="str">
        <f>"1552376816742554"</f>
        <v>1552376816742554</v>
      </c>
      <c r="C4818" t="s">
        <v>40</v>
      </c>
      <c r="D4818">
        <v>4.7318119999999997</v>
      </c>
      <c r="E4818">
        <v>0.54025819999999902</v>
      </c>
      <c r="F4818" t="s">
        <v>42</v>
      </c>
      <c r="G4818">
        <v>-343.19240000000002</v>
      </c>
      <c r="H4818" s="1">
        <v>-3.8846400000000003E-6</v>
      </c>
      <c r="I4818">
        <v>14.080909999999999</v>
      </c>
      <c r="J4818">
        <v>-364.2448</v>
      </c>
      <c r="K4818">
        <v>1.110757</v>
      </c>
      <c r="L4818">
        <v>17.419309999999999</v>
      </c>
      <c r="M4818">
        <v>0.99962980000000001</v>
      </c>
      <c r="N4818">
        <v>0</v>
      </c>
      <c r="O4818">
        <v>2.3420650000000001E-2</v>
      </c>
      <c r="P4818">
        <v>0.99796490000000004</v>
      </c>
      <c r="Q4818">
        <v>4.2981070000000003E-2</v>
      </c>
      <c r="R4818">
        <v>-4.7105590000000003E-2</v>
      </c>
      <c r="S4818">
        <v>2.989655</v>
      </c>
      <c r="T4818">
        <v>-0.154990299999999</v>
      </c>
      <c r="U4818">
        <v>-0.46441650000000001</v>
      </c>
      <c r="V4818">
        <v>7.0378620000000003E-2</v>
      </c>
      <c r="W4818">
        <v>5.6892480000000002E-2</v>
      </c>
      <c r="X4818">
        <v>0.99589660000000002</v>
      </c>
      <c r="Y4818">
        <v>0.1763412</v>
      </c>
      <c r="Z4818">
        <v>-5.7474400000000004E-3</v>
      </c>
      <c r="AA4818">
        <v>0.98431230000000003</v>
      </c>
      <c r="AB4818">
        <v>25</v>
      </c>
      <c r="AC4818">
        <v>21.052399999999899</v>
      </c>
      <c r="AD4818">
        <v>-1.1107608846399999</v>
      </c>
      <c r="AE4818">
        <v>-3.3383999999999898</v>
      </c>
      <c r="AF4818">
        <v>3.8202184076768302</v>
      </c>
      <c r="AG4818">
        <v>-1.1107608846399999</v>
      </c>
      <c r="AH4818">
        <v>20.911643335811998</v>
      </c>
      <c r="AI4818">
        <v>92.991104817355605</v>
      </c>
      <c r="AJ4818">
        <v>79.647151829740807</v>
      </c>
      <c r="AK4818">
        <v>21.2867255685183</v>
      </c>
      <c r="AL4818">
        <v>86.738539875471503</v>
      </c>
      <c r="AM4818">
        <v>85.957707588030999</v>
      </c>
      <c r="AN4818">
        <v>0.99999997116260697</v>
      </c>
    </row>
    <row r="4819" spans="1:40" x14ac:dyDescent="0.25">
      <c r="A4819" t="str">
        <f>"20190312154656774"</f>
        <v>20190312154656774</v>
      </c>
      <c r="B4819" t="str">
        <f>"1552376816763049"</f>
        <v>1552376816763049</v>
      </c>
      <c r="C4819" t="s">
        <v>40</v>
      </c>
      <c r="D4819">
        <v>4.7496419999999997</v>
      </c>
      <c r="E4819">
        <v>0.50782159999999998</v>
      </c>
      <c r="F4819" t="s">
        <v>42</v>
      </c>
      <c r="G4819">
        <v>-343.06549999999999</v>
      </c>
      <c r="H4819" s="1">
        <v>-3.9152329999999997E-6</v>
      </c>
      <c r="I4819">
        <v>14.215350000000001</v>
      </c>
      <c r="J4819">
        <v>-364.00779999999997</v>
      </c>
      <c r="K4819">
        <v>1.1107579999999999</v>
      </c>
      <c r="L4819">
        <v>17.425989999999999</v>
      </c>
      <c r="M4819">
        <v>0.99960700000000002</v>
      </c>
      <c r="N4819">
        <v>0</v>
      </c>
      <c r="O4819">
        <v>2.437696E-2</v>
      </c>
      <c r="P4819">
        <v>0.99806790000000001</v>
      </c>
      <c r="Q4819">
        <v>4.2748590000000003E-2</v>
      </c>
      <c r="R4819">
        <v>-4.5091810000000003E-2</v>
      </c>
      <c r="S4819">
        <v>2.9915769999999999</v>
      </c>
      <c r="T4819">
        <v>-0.15689420000000001</v>
      </c>
      <c r="U4819">
        <v>-0.45254519999999998</v>
      </c>
      <c r="V4819">
        <v>6.9321999999999995E-2</v>
      </c>
      <c r="W4819">
        <v>5.6656829999999998E-2</v>
      </c>
      <c r="X4819">
        <v>0.99598419999999999</v>
      </c>
      <c r="Y4819">
        <v>0.1733661</v>
      </c>
      <c r="Z4819">
        <v>-5.7883319999999898E-3</v>
      </c>
      <c r="AA4819">
        <v>0.98484050000000001</v>
      </c>
      <c r="AB4819">
        <v>25</v>
      </c>
      <c r="AC4819">
        <v>20.9422999999999</v>
      </c>
      <c r="AD4819">
        <v>-1.1107619152329999</v>
      </c>
      <c r="AE4819">
        <v>-3.2106399999999899</v>
      </c>
      <c r="AF4819">
        <v>3.7100470076366698</v>
      </c>
      <c r="AG4819">
        <v>-1.1107619152329999</v>
      </c>
      <c r="AH4819">
        <v>20.800630805400001</v>
      </c>
      <c r="AI4819">
        <v>93.009310399198796</v>
      </c>
      <c r="AJ4819">
        <v>79.886944260214705</v>
      </c>
      <c r="AK4819">
        <v>21.1580831535789</v>
      </c>
      <c r="AL4819">
        <v>86.752063635321704</v>
      </c>
      <c r="AM4819">
        <v>86.018548397360206</v>
      </c>
      <c r="AN4819">
        <v>1.00000003135964</v>
      </c>
    </row>
    <row r="4820" spans="1:40" x14ac:dyDescent="0.25">
      <c r="A4820" t="str">
        <f>"20190312154656797"</f>
        <v>20190312154656797</v>
      </c>
      <c r="B4820" t="str">
        <f>"1552376816792327"</f>
        <v>1552376816792327</v>
      </c>
      <c r="C4820" t="s">
        <v>40</v>
      </c>
      <c r="D4820">
        <v>4.7188119999999998</v>
      </c>
      <c r="E4820">
        <v>0.50455000000000005</v>
      </c>
      <c r="F4820" t="s">
        <v>42</v>
      </c>
      <c r="G4820">
        <v>-346.31029999999998</v>
      </c>
      <c r="H4820" s="1">
        <v>-2.1488230000000001E-6</v>
      </c>
      <c r="I4820">
        <v>16.325959999999998</v>
      </c>
      <c r="J4820">
        <v>-363.76220000000001</v>
      </c>
      <c r="K4820">
        <v>1.1107469999999999</v>
      </c>
      <c r="L4820">
        <v>17.433139999999899</v>
      </c>
      <c r="M4820">
        <v>0.99958230000000003</v>
      </c>
      <c r="N4820">
        <v>0</v>
      </c>
      <c r="O4820">
        <v>2.5367609999999999E-2</v>
      </c>
      <c r="P4820">
        <v>0.99813209999999997</v>
      </c>
      <c r="Q4820">
        <v>4.2800489999999997E-2</v>
      </c>
      <c r="R4820">
        <v>-4.3597410000000003E-2</v>
      </c>
      <c r="S4820">
        <v>3.0054630000000002</v>
      </c>
      <c r="T4820">
        <v>-0.188634</v>
      </c>
      <c r="U4820">
        <v>-0.18679809999999999</v>
      </c>
      <c r="V4820">
        <v>6.8817299999999998E-2</v>
      </c>
      <c r="W4820">
        <v>5.6705390000000001E-2</v>
      </c>
      <c r="X4820">
        <v>0.99601640000000002</v>
      </c>
      <c r="Y4820">
        <v>8.711381E-2</v>
      </c>
      <c r="Z4820">
        <v>-4.3178909999999999E-3</v>
      </c>
      <c r="AA4820">
        <v>0.99618899999999999</v>
      </c>
      <c r="AB4820">
        <v>25</v>
      </c>
      <c r="AC4820">
        <v>17.451899999999998</v>
      </c>
      <c r="AD4820">
        <v>-1.1107491488229999</v>
      </c>
      <c r="AE4820">
        <v>-1.1071799999999901</v>
      </c>
      <c r="AF4820">
        <v>1.54335223401352</v>
      </c>
      <c r="AG4820">
        <v>-1.1107491488229999</v>
      </c>
      <c r="AH4820">
        <v>17.348200225219799</v>
      </c>
      <c r="AI4820">
        <v>93.649090212669194</v>
      </c>
      <c r="AJ4820">
        <v>84.916165119810699</v>
      </c>
      <c r="AK4820">
        <v>17.452098751845298</v>
      </c>
      <c r="AL4820">
        <v>86.749276755643294</v>
      </c>
      <c r="AM4820">
        <v>86.047570586959296</v>
      </c>
      <c r="AN4820">
        <v>0.99999999555165098</v>
      </c>
    </row>
    <row r="4821" spans="1:40" x14ac:dyDescent="0.25">
      <c r="A4821" t="str">
        <f>"20190312154656820"</f>
        <v>20190312154656820</v>
      </c>
      <c r="B4821" t="str">
        <f>"1552376816812823"</f>
        <v>1552376816812823</v>
      </c>
      <c r="C4821" t="s">
        <v>40</v>
      </c>
      <c r="D4821">
        <v>4.7200870000000004</v>
      </c>
      <c r="E4821">
        <v>0.50396209999999997</v>
      </c>
      <c r="F4821" t="s">
        <v>42</v>
      </c>
      <c r="G4821">
        <v>-346.22820000000002</v>
      </c>
      <c r="H4821" s="1">
        <v>-2.149419E-6</v>
      </c>
      <c r="I4821">
        <v>16.521049999999999</v>
      </c>
      <c r="J4821">
        <v>-363.50659999999999</v>
      </c>
      <c r="K4821">
        <v>1.110744</v>
      </c>
      <c r="L4821">
        <v>17.440829999999998</v>
      </c>
      <c r="M4821">
        <v>0.99955570000000005</v>
      </c>
      <c r="N4821">
        <v>0</v>
      </c>
      <c r="O4821">
        <v>2.6399200000000001E-2</v>
      </c>
      <c r="P4821">
        <v>0.99820909999999996</v>
      </c>
      <c r="Q4821">
        <v>4.2112990000000003E-2</v>
      </c>
      <c r="R4821">
        <v>-4.2489829999999999E-2</v>
      </c>
      <c r="S4821">
        <v>3.0069889999999999</v>
      </c>
      <c r="T4821">
        <v>-0.19048770000000001</v>
      </c>
      <c r="U4821">
        <v>-0.1564026</v>
      </c>
      <c r="V4821">
        <v>6.8742040000000004E-2</v>
      </c>
      <c r="W4821">
        <v>5.601602E-2</v>
      </c>
      <c r="X4821">
        <v>0.99606059999999996</v>
      </c>
      <c r="Y4821">
        <v>7.8081860000000003E-2</v>
      </c>
      <c r="Z4821">
        <v>-4.1388839999999998E-3</v>
      </c>
      <c r="AA4821">
        <v>0.99693830000000005</v>
      </c>
      <c r="AB4821">
        <v>25</v>
      </c>
      <c r="AC4821">
        <v>17.278399999999898</v>
      </c>
      <c r="AD4821">
        <v>-1.1107461494190001</v>
      </c>
      <c r="AE4821">
        <v>-0.91977999999999904</v>
      </c>
      <c r="AF4821">
        <v>1.3699933662692001</v>
      </c>
      <c r="AG4821">
        <v>-1.1107461494190001</v>
      </c>
      <c r="AH4821">
        <v>17.177306983750299</v>
      </c>
      <c r="AI4821">
        <v>93.688120125558498</v>
      </c>
      <c r="AJ4821">
        <v>85.439970041782303</v>
      </c>
      <c r="AK4821">
        <v>17.267614602082901</v>
      </c>
      <c r="AL4821">
        <v>86.788837615703699</v>
      </c>
      <c r="AM4821">
        <v>86.052054010033501</v>
      </c>
      <c r="AN4821">
        <v>0.99999999071618095</v>
      </c>
    </row>
    <row r="4822" spans="1:40" x14ac:dyDescent="0.25">
      <c r="A4822" t="str">
        <f>"20190312154656853"</f>
        <v>20190312154656853</v>
      </c>
      <c r="B4822" t="str">
        <f>"1552376816843083"</f>
        <v>1552376816843083</v>
      </c>
      <c r="C4822" t="s">
        <v>40</v>
      </c>
      <c r="D4822">
        <v>4.7323019999999998</v>
      </c>
      <c r="E4822">
        <v>0.50394479999999997</v>
      </c>
      <c r="F4822" t="s">
        <v>42</v>
      </c>
      <c r="G4822">
        <v>-346.43770000000001</v>
      </c>
      <c r="H4822" s="1">
        <v>-2.0458209999999999E-6</v>
      </c>
      <c r="I4822">
        <v>16.598589999999898</v>
      </c>
      <c r="J4822">
        <v>-363.14330000000001</v>
      </c>
      <c r="K4822">
        <v>1.110749</v>
      </c>
      <c r="L4822">
        <v>17.45224</v>
      </c>
      <c r="M4822">
        <v>0.99951590000000001</v>
      </c>
      <c r="N4822">
        <v>0</v>
      </c>
      <c r="O4822">
        <v>2.7865569999999999E-2</v>
      </c>
      <c r="P4822">
        <v>0.99827699999999997</v>
      </c>
      <c r="Q4822">
        <v>4.2286700000000003E-2</v>
      </c>
      <c r="R4822">
        <v>-4.068244E-2</v>
      </c>
      <c r="S4822">
        <v>3.0073240000000001</v>
      </c>
      <c r="T4822">
        <v>-0.19569890000000001</v>
      </c>
      <c r="U4822">
        <v>-0.14837649999999999</v>
      </c>
      <c r="V4822">
        <v>6.8399349999999998E-2</v>
      </c>
      <c r="W4822">
        <v>5.6185039999999999E-2</v>
      </c>
      <c r="X4822">
        <v>0.99607469999999998</v>
      </c>
      <c r="Y4822">
        <v>7.6872609999999994E-2</v>
      </c>
      <c r="Z4822">
        <v>-4.3076720000000002E-3</v>
      </c>
      <c r="AA4822">
        <v>0.99703160000000002</v>
      </c>
      <c r="AB4822">
        <v>25</v>
      </c>
      <c r="AC4822">
        <v>16.7056</v>
      </c>
      <c r="AD4822">
        <v>-1.1107510458209999</v>
      </c>
      <c r="AE4822">
        <v>-0.85365000000000102</v>
      </c>
      <c r="AF4822">
        <v>1.3130842093310799</v>
      </c>
      <c r="AG4822">
        <v>-1.1107510458209999</v>
      </c>
      <c r="AH4822">
        <v>16.602116996678401</v>
      </c>
      <c r="AI4822">
        <v>93.815742381364601</v>
      </c>
      <c r="AJ4822">
        <v>85.477811950495195</v>
      </c>
      <c r="AK4822">
        <v>16.6909630278778</v>
      </c>
      <c r="AL4822">
        <v>86.779138298434901</v>
      </c>
      <c r="AM4822">
        <v>86.071728808711001</v>
      </c>
      <c r="AN4822">
        <v>1.0000000188901501</v>
      </c>
    </row>
    <row r="4823" spans="1:40" x14ac:dyDescent="0.25">
      <c r="A4823" t="str">
        <f>"20190312154656876"</f>
        <v>20190312154656876</v>
      </c>
      <c r="B4823" t="str">
        <f>"1552376816862599"</f>
        <v>1552376816862599</v>
      </c>
      <c r="C4823" t="s">
        <v>40</v>
      </c>
      <c r="D4823">
        <v>4.7841180000000003</v>
      </c>
      <c r="E4823">
        <v>0.50367620000000002</v>
      </c>
      <c r="F4823" t="s">
        <v>42</v>
      </c>
      <c r="G4823">
        <v>-346.17770000000002</v>
      </c>
      <c r="H4823" s="1">
        <v>-2.1488589999999998E-6</v>
      </c>
      <c r="I4823">
        <v>16.646370000000001</v>
      </c>
      <c r="J4823">
        <v>-362.90230000000003</v>
      </c>
      <c r="K4823">
        <v>1.110752</v>
      </c>
      <c r="L4823">
        <v>17.460079999999898</v>
      </c>
      <c r="M4823">
        <v>0.99948840000000005</v>
      </c>
      <c r="N4823">
        <v>0</v>
      </c>
      <c r="O4823">
        <v>2.8838630000000001E-2</v>
      </c>
      <c r="P4823">
        <v>0.99831190000000003</v>
      </c>
      <c r="Q4823">
        <v>4.260249E-2</v>
      </c>
      <c r="R4823">
        <v>-3.9479279999999999E-2</v>
      </c>
      <c r="S4823">
        <v>3.0077210000000001</v>
      </c>
      <c r="T4823">
        <v>-0.1969175</v>
      </c>
      <c r="U4823">
        <v>-0.142852799999999</v>
      </c>
      <c r="V4823">
        <v>6.8167800000000001E-2</v>
      </c>
      <c r="W4823">
        <v>5.6497829999999999E-2</v>
      </c>
      <c r="X4823">
        <v>0.99607290000000004</v>
      </c>
      <c r="Y4823">
        <v>7.6007019999999995E-2</v>
      </c>
      <c r="Z4823">
        <v>-4.3693730000000002E-3</v>
      </c>
      <c r="AA4823">
        <v>0.99709769999999998</v>
      </c>
      <c r="AB4823">
        <v>24</v>
      </c>
      <c r="AC4823">
        <v>16.724599999999999</v>
      </c>
      <c r="AD4823">
        <v>-1.110754148859</v>
      </c>
      <c r="AE4823">
        <v>-0.81370999999999605</v>
      </c>
      <c r="AF4823">
        <v>1.2900553511769599</v>
      </c>
      <c r="AG4823">
        <v>-1.110754148859</v>
      </c>
      <c r="AH4823">
        <v>16.621033939775899</v>
      </c>
      <c r="AI4823">
        <v>93.811859682711898</v>
      </c>
      <c r="AJ4823">
        <v>85.561838373017594</v>
      </c>
      <c r="AK4823">
        <v>16.7079857198733</v>
      </c>
      <c r="AL4823">
        <v>86.761188300972506</v>
      </c>
      <c r="AM4823">
        <v>86.084978575133405</v>
      </c>
      <c r="AN4823">
        <v>1.0000000379329701</v>
      </c>
    </row>
    <row r="4824" spans="1:40" x14ac:dyDescent="0.25">
      <c r="A4824" t="str">
        <f>"20190312154656897"</f>
        <v>20190312154656897</v>
      </c>
      <c r="B4824" t="str">
        <f>"1552376816883095"</f>
        <v>1552376816883095</v>
      </c>
      <c r="C4824" t="s">
        <v>40</v>
      </c>
      <c r="D4824">
        <v>4.7488640000000002</v>
      </c>
      <c r="E4824">
        <v>0.50391140000000001</v>
      </c>
      <c r="F4824" t="s">
        <v>42</v>
      </c>
      <c r="G4824">
        <v>-346.49650000000003</v>
      </c>
      <c r="H4824" s="1">
        <v>-2.0004459999999999E-6</v>
      </c>
      <c r="I4824">
        <v>16.712239999999898</v>
      </c>
      <c r="J4824">
        <v>-362.66329999999999</v>
      </c>
      <c r="K4824">
        <v>1.110752</v>
      </c>
      <c r="L4824">
        <v>17.468109999999999</v>
      </c>
      <c r="M4824">
        <v>0.99946000000000002</v>
      </c>
      <c r="N4824">
        <v>0</v>
      </c>
      <c r="O4824">
        <v>2.9804230000000001E-2</v>
      </c>
      <c r="P4824">
        <v>0.99835549999999995</v>
      </c>
      <c r="Q4824">
        <v>4.2620329999999998E-2</v>
      </c>
      <c r="R4824">
        <v>-3.8340739999999998E-2</v>
      </c>
      <c r="S4824">
        <v>3.0083310000000001</v>
      </c>
      <c r="T4824">
        <v>-0.20367740000000001</v>
      </c>
      <c r="U4824">
        <v>-0.1371155</v>
      </c>
      <c r="V4824">
        <v>6.7994239999999997E-2</v>
      </c>
      <c r="W4824">
        <v>5.6513059999999997E-2</v>
      </c>
      <c r="X4824">
        <v>0.99608390000000002</v>
      </c>
      <c r="Y4824">
        <v>7.5047649999999994E-2</v>
      </c>
      <c r="Z4824">
        <v>-4.551154E-3</v>
      </c>
      <c r="AA4824">
        <v>0.99716959999999999</v>
      </c>
      <c r="AB4824">
        <v>24</v>
      </c>
      <c r="AC4824">
        <v>16.166799999999899</v>
      </c>
      <c r="AD4824">
        <v>-1.1107540004459999</v>
      </c>
      <c r="AE4824">
        <v>-0.75587000000000104</v>
      </c>
      <c r="AF4824">
        <v>1.2316181252354299</v>
      </c>
      <c r="AG4824">
        <v>-1.1107540004459999</v>
      </c>
      <c r="AH4824">
        <v>16.061433768955499</v>
      </c>
      <c r="AI4824">
        <v>93.944538568206795</v>
      </c>
      <c r="AJ4824">
        <v>85.615043143686194</v>
      </c>
      <c r="AK4824">
        <v>16.146835986361499</v>
      </c>
      <c r="AL4824">
        <v>86.760314294079507</v>
      </c>
      <c r="AM4824">
        <v>86.094958605713799</v>
      </c>
      <c r="AN4824">
        <v>1.0000000392314701</v>
      </c>
    </row>
    <row r="4825" spans="1:40" x14ac:dyDescent="0.25">
      <c r="A4825" t="str">
        <f>"20190312154656931"</f>
        <v>20190312154656931</v>
      </c>
      <c r="B4825" t="str">
        <f>"1552376816923112"</f>
        <v>1552376816923112</v>
      </c>
      <c r="C4825" t="s">
        <v>40</v>
      </c>
      <c r="D4825">
        <v>4.7518469999999997</v>
      </c>
      <c r="E4825">
        <v>0.50442520000000002</v>
      </c>
      <c r="F4825" t="s">
        <v>42</v>
      </c>
      <c r="G4825">
        <v>-346.3329</v>
      </c>
      <c r="H4825" s="1">
        <v>-2.0672120000000002E-6</v>
      </c>
      <c r="I4825">
        <v>16.73152</v>
      </c>
      <c r="J4825">
        <v>-362.29230000000001</v>
      </c>
      <c r="K4825">
        <v>1.1107479999999901</v>
      </c>
      <c r="L4825">
        <v>17.481020000000001</v>
      </c>
      <c r="M4825">
        <v>0.99941429999999998</v>
      </c>
      <c r="N4825">
        <v>0</v>
      </c>
      <c r="O4825">
        <v>3.1302539999999997E-2</v>
      </c>
      <c r="P4825">
        <v>0.99845589999999995</v>
      </c>
      <c r="Q4825">
        <v>4.162838E-2</v>
      </c>
      <c r="R4825">
        <v>-3.6778859999999997E-2</v>
      </c>
      <c r="S4825">
        <v>3.0084529999999998</v>
      </c>
      <c r="T4825">
        <v>-0.2046268</v>
      </c>
      <c r="U4825">
        <v>-0.1356812</v>
      </c>
      <c r="V4825">
        <v>6.7932580000000006E-2</v>
      </c>
      <c r="W4825">
        <v>5.5517549999999999E-2</v>
      </c>
      <c r="X4825">
        <v>0.99614409999999998</v>
      </c>
      <c r="Y4825">
        <v>7.6058210000000001E-2</v>
      </c>
      <c r="Z4825">
        <v>-4.7082410000000002E-3</v>
      </c>
      <c r="AA4825">
        <v>0.99709219999999998</v>
      </c>
      <c r="AB4825">
        <v>24</v>
      </c>
      <c r="AC4825">
        <v>15.9594</v>
      </c>
      <c r="AD4825">
        <v>-1.1107500672120001</v>
      </c>
      <c r="AE4825">
        <v>-0.74950000000000105</v>
      </c>
      <c r="AF4825">
        <v>1.24274362647643</v>
      </c>
      <c r="AG4825">
        <v>-1.1107500672120001</v>
      </c>
      <c r="AH4825">
        <v>15.8514993079835</v>
      </c>
      <c r="AI4825">
        <v>93.996069751030902</v>
      </c>
      <c r="AJ4825">
        <v>85.517230524021201</v>
      </c>
      <c r="AK4825">
        <v>15.9388897901944</v>
      </c>
      <c r="AL4825">
        <v>86.817442549206206</v>
      </c>
      <c r="AM4825">
        <v>86.098723969829294</v>
      </c>
      <c r="AN4825">
        <v>1.00000005087413</v>
      </c>
    </row>
    <row r="4826" spans="1:40" x14ac:dyDescent="0.25">
      <c r="A4826" t="str">
        <f>"20190312154656954"</f>
        <v>20190312154656954</v>
      </c>
      <c r="B4826" t="str">
        <f>"1552376816942632"</f>
        <v>1552376816942632</v>
      </c>
      <c r="C4826" t="s">
        <v>40</v>
      </c>
      <c r="D4826">
        <v>4.7848600000000001</v>
      </c>
      <c r="E4826">
        <v>0.50459149999999997</v>
      </c>
      <c r="F4826" t="s">
        <v>41</v>
      </c>
      <c r="G4826">
        <v>-361.42649999999998</v>
      </c>
      <c r="H4826">
        <v>1.0505639999999901</v>
      </c>
      <c r="I4826">
        <v>17.44211</v>
      </c>
      <c r="J4826">
        <v>-362.04899999999998</v>
      </c>
      <c r="K4826">
        <v>1.1107400000000001</v>
      </c>
      <c r="L4826">
        <v>17.48978</v>
      </c>
      <c r="M4826">
        <v>0.99938309999999997</v>
      </c>
      <c r="N4826">
        <v>0</v>
      </c>
      <c r="O4826">
        <v>3.2284340000000002E-2</v>
      </c>
      <c r="P4826">
        <v>0.99851860000000003</v>
      </c>
      <c r="Q4826">
        <v>4.0976039999999998E-2</v>
      </c>
      <c r="R4826">
        <v>-3.5798509999999999E-2</v>
      </c>
      <c r="S4826">
        <v>3.0083920000000002</v>
      </c>
      <c r="T4826">
        <v>-0.2091548</v>
      </c>
      <c r="U4826">
        <v>-0.13467409999999999</v>
      </c>
      <c r="V4826">
        <v>6.7935270000000006E-2</v>
      </c>
      <c r="W4826">
        <v>5.4862899999999999E-2</v>
      </c>
      <c r="X4826">
        <v>0.99618010000000001</v>
      </c>
      <c r="Y4826">
        <v>7.6690530000000007E-2</v>
      </c>
      <c r="Z4826">
        <v>-4.902399E-3</v>
      </c>
      <c r="AA4826">
        <v>0.99704289999999995</v>
      </c>
      <c r="AB4826">
        <v>24</v>
      </c>
      <c r="AC4826">
        <v>0.62250000000005901</v>
      </c>
      <c r="AD4826">
        <v>-6.0176000000000202E-2</v>
      </c>
      <c r="AE4826">
        <v>-4.7670000000000101E-2</v>
      </c>
      <c r="AF4826">
        <v>6.7120500778756906E-2</v>
      </c>
      <c r="AG4826">
        <v>-6.0176000000000202E-2</v>
      </c>
      <c r="AH4826">
        <v>0.61492349441832705</v>
      </c>
      <c r="AI4826">
        <v>95.556336931583502</v>
      </c>
      <c r="AJ4826">
        <v>83.770677664470298</v>
      </c>
      <c r="AK4826">
        <v>0.62149595058088403</v>
      </c>
      <c r="AL4826">
        <v>86.855008216043103</v>
      </c>
      <c r="AM4826">
        <v>86.098710518506493</v>
      </c>
      <c r="AN4826">
        <v>0.99999996517119505</v>
      </c>
    </row>
    <row r="4827" spans="1:40" x14ac:dyDescent="0.25">
      <c r="A4827" t="str">
        <f>"20190312154656975"</f>
        <v>20190312154656975</v>
      </c>
      <c r="B4827" t="str">
        <f>"1552376816963127"</f>
        <v>1552376816963127</v>
      </c>
      <c r="C4827" t="s">
        <v>40</v>
      </c>
      <c r="D4827">
        <v>4.7676119999999997</v>
      </c>
      <c r="E4827">
        <v>0.5044535</v>
      </c>
      <c r="F4827" t="s">
        <v>41</v>
      </c>
      <c r="G4827">
        <v>-361.20870000000002</v>
      </c>
      <c r="H4827">
        <v>1.0515410000000001</v>
      </c>
      <c r="I4827">
        <v>17.452470000000002</v>
      </c>
      <c r="J4827">
        <v>-361.81020000000001</v>
      </c>
      <c r="K4827">
        <v>1.1107400000000001</v>
      </c>
      <c r="L4827">
        <v>17.498629999999999</v>
      </c>
      <c r="M4827">
        <v>0.99935169999999995</v>
      </c>
      <c r="N4827">
        <v>0</v>
      </c>
      <c r="O4827">
        <v>3.3244370000000002E-2</v>
      </c>
      <c r="P4827">
        <v>0.99851480000000004</v>
      </c>
      <c r="Q4827">
        <v>4.1658729999999998E-2</v>
      </c>
      <c r="R4827">
        <v>-3.511003E-2</v>
      </c>
      <c r="S4827">
        <v>3.0084230000000001</v>
      </c>
      <c r="T4827">
        <v>-0.21197269999999999</v>
      </c>
      <c r="U4827">
        <v>-0.13293460000000001</v>
      </c>
      <c r="V4827">
        <v>6.8204059999999997E-2</v>
      </c>
      <c r="W4827">
        <v>5.5541840000000002E-2</v>
      </c>
      <c r="X4827">
        <v>0.99612409999999996</v>
      </c>
      <c r="Y4827">
        <v>7.706209E-2</v>
      </c>
      <c r="Z4827">
        <v>-5.0488909999999998E-3</v>
      </c>
      <c r="AA4827">
        <v>0.9970135</v>
      </c>
      <c r="AB4827">
        <v>24</v>
      </c>
      <c r="AC4827">
        <v>0.60149999999998705</v>
      </c>
      <c r="AD4827">
        <v>-5.9199000000000002E-2</v>
      </c>
      <c r="AE4827">
        <v>-4.6159999999996801E-2</v>
      </c>
      <c r="AF4827">
        <v>6.5502120879629797E-2</v>
      </c>
      <c r="AG4827">
        <v>-5.9199000000000002E-2</v>
      </c>
      <c r="AH4827">
        <v>0.59391361438399304</v>
      </c>
      <c r="AI4827">
        <v>95.658135705041701</v>
      </c>
      <c r="AJ4827">
        <v>83.706343197271195</v>
      </c>
      <c r="AK4827">
        <v>0.60044019751461297</v>
      </c>
      <c r="AL4827">
        <v>86.816048382347901</v>
      </c>
      <c r="AM4827">
        <v>86.083103276584197</v>
      </c>
      <c r="AN4827">
        <v>0.99999995619593796</v>
      </c>
    </row>
    <row r="4828" spans="1:40" x14ac:dyDescent="0.25">
      <c r="A4828" t="str">
        <f>"20190312154656998"</f>
        <v>20190312154656998</v>
      </c>
      <c r="B4828" t="str">
        <f>"1552376816992408"</f>
        <v>1552376816992408</v>
      </c>
      <c r="C4828" t="s">
        <v>40</v>
      </c>
      <c r="D4828">
        <v>4.744478</v>
      </c>
      <c r="E4828">
        <v>0.50489289999999998</v>
      </c>
      <c r="F4828" t="s">
        <v>41</v>
      </c>
      <c r="G4828">
        <v>-360.99099999999999</v>
      </c>
      <c r="H4828">
        <v>1.0527979999999999</v>
      </c>
      <c r="I4828">
        <v>17.463159999999998</v>
      </c>
      <c r="J4828">
        <v>-361.5752</v>
      </c>
      <c r="K4828">
        <v>1.1107419999999999</v>
      </c>
      <c r="L4828">
        <v>17.507539999999999</v>
      </c>
      <c r="M4828">
        <v>0.99931999999999999</v>
      </c>
      <c r="N4828">
        <v>0</v>
      </c>
      <c r="O4828">
        <v>3.4182730000000001E-2</v>
      </c>
      <c r="P4828">
        <v>0.99851869999999998</v>
      </c>
      <c r="Q4828">
        <v>4.2040439999999998E-2</v>
      </c>
      <c r="R4828">
        <v>-3.453987E-2</v>
      </c>
      <c r="S4828">
        <v>3.0087890000000002</v>
      </c>
      <c r="T4828">
        <v>-0.21286679999999999</v>
      </c>
      <c r="U4828">
        <v>-0.1296997</v>
      </c>
      <c r="V4828">
        <v>6.8570580000000006E-2</v>
      </c>
      <c r="W4828">
        <v>5.5920329999999997E-2</v>
      </c>
      <c r="X4828">
        <v>0.99607780000000001</v>
      </c>
      <c r="Y4828">
        <v>7.6918799999999996E-2</v>
      </c>
      <c r="Z4828">
        <v>-5.1308430000000004E-3</v>
      </c>
      <c r="AA4828">
        <v>0.99702420000000003</v>
      </c>
      <c r="AB4828">
        <v>24</v>
      </c>
      <c r="AC4828">
        <v>0.58420000000000905</v>
      </c>
      <c r="AD4828">
        <v>-5.7944000000000197E-2</v>
      </c>
      <c r="AE4828">
        <v>-4.43799999999967E-2</v>
      </c>
      <c r="AF4828">
        <v>6.3702428466770794E-2</v>
      </c>
      <c r="AG4828">
        <v>-5.7944000000000197E-2</v>
      </c>
      <c r="AH4828">
        <v>0.57670049705650295</v>
      </c>
      <c r="AI4828">
        <v>95.703082923554902</v>
      </c>
      <c r="AJ4828">
        <v>83.696652864011995</v>
      </c>
      <c r="AK4828">
        <v>0.58309430612361601</v>
      </c>
      <c r="AL4828">
        <v>86.794328872121397</v>
      </c>
      <c r="AM4828">
        <v>86.061937949416105</v>
      </c>
      <c r="AN4828">
        <v>0.99999999570084197</v>
      </c>
    </row>
    <row r="4829" spans="1:40" x14ac:dyDescent="0.25">
      <c r="A4829" t="str">
        <f>"20190312154657022"</f>
        <v>20190312154657022</v>
      </c>
      <c r="B4829" t="str">
        <f>"1552376817012903"</f>
        <v>1552376817012903</v>
      </c>
      <c r="C4829" t="s">
        <v>40</v>
      </c>
      <c r="D4829">
        <v>4.7768280000000001</v>
      </c>
      <c r="E4829">
        <v>0.50516909999999904</v>
      </c>
      <c r="F4829" t="s">
        <v>41</v>
      </c>
      <c r="G4829">
        <v>-360.77030000000002</v>
      </c>
      <c r="H4829">
        <v>1.0537459999999901</v>
      </c>
      <c r="I4829">
        <v>17.471989999999899</v>
      </c>
      <c r="J4829">
        <v>-361.31169999999997</v>
      </c>
      <c r="K4829">
        <v>1.1107359999999999</v>
      </c>
      <c r="L4829">
        <v>17.517759999999999</v>
      </c>
      <c r="M4829">
        <v>0.99928399999999995</v>
      </c>
      <c r="N4829">
        <v>0</v>
      </c>
      <c r="O4829">
        <v>3.5222719999999999E-2</v>
      </c>
      <c r="P4829">
        <v>0.99848599999999998</v>
      </c>
      <c r="Q4829">
        <v>4.3129969999999997E-2</v>
      </c>
      <c r="R4829">
        <v>-3.41471E-2</v>
      </c>
      <c r="S4829">
        <v>3.0089109999999999</v>
      </c>
      <c r="T4829">
        <v>-0.2132233</v>
      </c>
      <c r="U4829">
        <v>-0.1315308</v>
      </c>
      <c r="V4829">
        <v>6.9213640000000007E-2</v>
      </c>
      <c r="W4829">
        <v>5.7004840000000001E-2</v>
      </c>
      <c r="X4829">
        <v>0.99597190000000002</v>
      </c>
      <c r="Y4829">
        <v>7.8552540000000004E-2</v>
      </c>
      <c r="Z4829">
        <v>-5.2705039999999996E-3</v>
      </c>
      <c r="AA4829">
        <v>0.996896</v>
      </c>
      <c r="AB4829">
        <v>24</v>
      </c>
      <c r="AC4829">
        <v>0.54139999999995303</v>
      </c>
      <c r="AD4829">
        <v>-5.6990000000000297E-2</v>
      </c>
      <c r="AE4829">
        <v>-4.57700000000009E-2</v>
      </c>
      <c r="AF4829">
        <v>6.4107687514110195E-2</v>
      </c>
      <c r="AG4829">
        <v>-5.6990000000000297E-2</v>
      </c>
      <c r="AH4829">
        <v>0.53358128142999295</v>
      </c>
      <c r="AI4829">
        <v>96.053248829565305</v>
      </c>
      <c r="AJ4829">
        <v>83.148977026491593</v>
      </c>
      <c r="AK4829">
        <v>0.54043190097447102</v>
      </c>
      <c r="AL4829">
        <v>86.732091923374</v>
      </c>
      <c r="AM4829">
        <v>86.024703059460407</v>
      </c>
      <c r="AN4829">
        <v>1.0000000526675401</v>
      </c>
    </row>
    <row r="4830" spans="1:40" x14ac:dyDescent="0.25">
      <c r="A4830" t="str">
        <f>"20190312154657045"</f>
        <v>20190312154657045</v>
      </c>
      <c r="B4830" t="str">
        <f>"1552376817032423"</f>
        <v>1552376817032423</v>
      </c>
      <c r="C4830" t="s">
        <v>40</v>
      </c>
      <c r="D4830">
        <v>4.7847150000000003</v>
      </c>
      <c r="E4830">
        <v>0.50544540000000004</v>
      </c>
      <c r="F4830" t="s">
        <v>42</v>
      </c>
      <c r="G4830">
        <v>-345.4357</v>
      </c>
      <c r="H4830" s="1">
        <v>-2.4365939999999999E-6</v>
      </c>
      <c r="I4830">
        <v>16.818729999999999</v>
      </c>
      <c r="J4830">
        <v>-361.07350000000002</v>
      </c>
      <c r="K4830">
        <v>1.110727</v>
      </c>
      <c r="L4830">
        <v>17.527249999999999</v>
      </c>
      <c r="M4830">
        <v>0.99925120000000001</v>
      </c>
      <c r="N4830">
        <v>0</v>
      </c>
      <c r="O4830">
        <v>3.6143969999999997E-2</v>
      </c>
      <c r="P4830">
        <v>0.99847379999999997</v>
      </c>
      <c r="Q4830">
        <v>4.3499349999999999E-2</v>
      </c>
      <c r="R4830">
        <v>-3.4037150000000002E-2</v>
      </c>
      <c r="S4830">
        <v>3.009125</v>
      </c>
      <c r="T4830">
        <v>-0.2105284</v>
      </c>
      <c r="U4830">
        <v>-0.13247679999999901</v>
      </c>
      <c r="V4830">
        <v>7.0023479999999999E-2</v>
      </c>
      <c r="W4830">
        <v>5.7369969999999999E-2</v>
      </c>
      <c r="X4830">
        <v>0.99589430000000001</v>
      </c>
      <c r="Y4830">
        <v>7.9783199999999999E-2</v>
      </c>
      <c r="Z4830">
        <v>-5.3109740000000004E-3</v>
      </c>
      <c r="AA4830">
        <v>0.99679810000000002</v>
      </c>
      <c r="AB4830">
        <v>24</v>
      </c>
      <c r="AC4830">
        <v>15.6378</v>
      </c>
      <c r="AD4830">
        <v>-1.1107294365939999</v>
      </c>
      <c r="AE4830">
        <v>-0.70851999999999904</v>
      </c>
      <c r="AF4830">
        <v>1.2669443215072</v>
      </c>
      <c r="AG4830">
        <v>-1.1107294365939999</v>
      </c>
      <c r="AH4830">
        <v>15.523811120938101</v>
      </c>
      <c r="AI4830">
        <v>94.0790255218607</v>
      </c>
      <c r="AJ4830">
        <v>85.334261957090007</v>
      </c>
      <c r="AK4830">
        <v>15.614979331195901</v>
      </c>
      <c r="AL4830">
        <v>86.711137145253602</v>
      </c>
      <c r="AM4830">
        <v>85.978029171339202</v>
      </c>
      <c r="AN4830">
        <v>1.0000000289908</v>
      </c>
    </row>
    <row r="4831" spans="1:40" x14ac:dyDescent="0.25">
      <c r="A4831" t="str">
        <f>"20190312154657066"</f>
        <v>20190312154657066</v>
      </c>
      <c r="B4831" t="str">
        <f>"1552376817052631"</f>
        <v>1552376817052631</v>
      </c>
      <c r="C4831" t="s">
        <v>40</v>
      </c>
      <c r="D4831">
        <v>4.7698539999999996</v>
      </c>
      <c r="E4831">
        <v>0.50573270000000003</v>
      </c>
      <c r="F4831" t="s">
        <v>41</v>
      </c>
      <c r="G4831">
        <v>-360.1336</v>
      </c>
      <c r="H4831">
        <v>1.04495</v>
      </c>
      <c r="I4831">
        <v>17.485229999999898</v>
      </c>
      <c r="J4831">
        <v>-360.84289999999999</v>
      </c>
      <c r="K4831">
        <v>1.1107070000000001</v>
      </c>
      <c r="L4831">
        <v>17.536619999999999</v>
      </c>
      <c r="M4831">
        <v>0.99921950000000004</v>
      </c>
      <c r="N4831">
        <v>0</v>
      </c>
      <c r="O4831">
        <v>3.7008039999999999E-2</v>
      </c>
      <c r="P4831">
        <v>0.99846939999999995</v>
      </c>
      <c r="Q4831">
        <v>4.3924350000000001E-2</v>
      </c>
      <c r="R4831">
        <v>-3.36114E-2</v>
      </c>
      <c r="S4831">
        <v>3.0091860000000001</v>
      </c>
      <c r="T4831">
        <v>-0.21063080000000001</v>
      </c>
      <c r="U4831">
        <v>-0.13427729999999999</v>
      </c>
      <c r="V4831">
        <v>7.0461910000000003E-2</v>
      </c>
      <c r="W4831">
        <v>5.7788890000000002E-2</v>
      </c>
      <c r="X4831">
        <v>0.99583909999999998</v>
      </c>
      <c r="Y4831">
        <v>8.1233520000000004E-2</v>
      </c>
      <c r="Z4831">
        <v>-5.4244280000000002E-3</v>
      </c>
      <c r="AA4831">
        <v>0.99668029999999996</v>
      </c>
      <c r="AB4831">
        <v>24</v>
      </c>
      <c r="AC4831">
        <v>0.70929999999998405</v>
      </c>
      <c r="AD4831">
        <v>-6.5756999999999802E-2</v>
      </c>
      <c r="AE4831">
        <v>-5.1390000000004897E-2</v>
      </c>
      <c r="AF4831">
        <v>7.6949205030876294E-2</v>
      </c>
      <c r="AG4831">
        <v>-6.5756999999999802E-2</v>
      </c>
      <c r="AH4831">
        <v>0.70091934704738901</v>
      </c>
      <c r="AI4831">
        <v>95.327713412682897</v>
      </c>
      <c r="AJ4831">
        <v>83.734972096992493</v>
      </c>
      <c r="AK4831">
        <v>0.70819001282792904</v>
      </c>
      <c r="AL4831">
        <v>86.687094730395103</v>
      </c>
      <c r="AM4831">
        <v>85.952706697794696</v>
      </c>
      <c r="AN4831">
        <v>0.99999997482854397</v>
      </c>
    </row>
    <row r="4832" spans="1:40" x14ac:dyDescent="0.25">
      <c r="A4832" t="str">
        <f>"20190312154657087"</f>
        <v>20190312154657087</v>
      </c>
      <c r="B4832" t="str">
        <f>"1552376817082887"</f>
        <v>1552376817082887</v>
      </c>
      <c r="C4832" t="s">
        <v>40</v>
      </c>
      <c r="D4832">
        <v>4.7910240000000002</v>
      </c>
      <c r="E4832">
        <v>0.50617889999999999</v>
      </c>
      <c r="F4832" t="s">
        <v>41</v>
      </c>
      <c r="G4832">
        <v>-359.91750000000002</v>
      </c>
      <c r="H4832">
        <v>1.045822</v>
      </c>
      <c r="I4832">
        <v>17.494769999999999</v>
      </c>
      <c r="J4832">
        <v>-360.61239999999998</v>
      </c>
      <c r="K4832">
        <v>1.1106849999999999</v>
      </c>
      <c r="L4832">
        <v>17.546140000000001</v>
      </c>
      <c r="M4832">
        <v>0.99918819999999997</v>
      </c>
      <c r="N4832">
        <v>0</v>
      </c>
      <c r="O4832">
        <v>3.7845419999999998E-2</v>
      </c>
      <c r="P4832">
        <v>0.99848340000000002</v>
      </c>
      <c r="Q4832">
        <v>4.3938959999999999E-2</v>
      </c>
      <c r="R4832">
        <v>-3.3175549999999998E-2</v>
      </c>
      <c r="S4832">
        <v>3.0093079999999999</v>
      </c>
      <c r="T4832">
        <v>-0.2110776</v>
      </c>
      <c r="U4832">
        <v>-0.13516239999999999</v>
      </c>
      <c r="V4832">
        <v>7.0865120000000004E-2</v>
      </c>
      <c r="W4832">
        <v>5.7797460000000002E-2</v>
      </c>
      <c r="X4832">
        <v>0.99580999999999997</v>
      </c>
      <c r="Y4832">
        <v>8.2353469999999998E-2</v>
      </c>
      <c r="Z4832">
        <v>-5.5334980000000004E-3</v>
      </c>
      <c r="AA4832">
        <v>0.99658780000000002</v>
      </c>
      <c r="AB4832">
        <v>24</v>
      </c>
      <c r="AC4832">
        <v>0.69489999999996099</v>
      </c>
      <c r="AD4832">
        <v>-6.4863000000000101E-2</v>
      </c>
      <c r="AE4832">
        <v>-5.13699999999985E-2</v>
      </c>
      <c r="AF4832">
        <v>7.6967536437524894E-2</v>
      </c>
      <c r="AG4832">
        <v>-6.4863000000000101E-2</v>
      </c>
      <c r="AH4832">
        <v>0.68650898576249997</v>
      </c>
      <c r="AI4832">
        <v>95.364009957753098</v>
      </c>
      <c r="AJ4832">
        <v>83.603031876533095</v>
      </c>
      <c r="AK4832">
        <v>0.69384854108581795</v>
      </c>
      <c r="AL4832">
        <v>86.686602913418298</v>
      </c>
      <c r="AM4832">
        <v>85.929505616575398</v>
      </c>
      <c r="AN4832">
        <v>0.99999998385753197</v>
      </c>
    </row>
    <row r="4833" spans="1:40" x14ac:dyDescent="0.25">
      <c r="A4833" t="str">
        <f>"20190312154657111"</f>
        <v>20190312154657111</v>
      </c>
      <c r="B4833" t="str">
        <f>"1552376817102407"</f>
        <v>1552376817102407</v>
      </c>
      <c r="C4833" t="s">
        <v>40</v>
      </c>
      <c r="D4833">
        <v>4.768313</v>
      </c>
      <c r="E4833">
        <v>0.50650340000000005</v>
      </c>
      <c r="F4833" t="s">
        <v>41</v>
      </c>
      <c r="G4833">
        <v>-359.70190000000002</v>
      </c>
      <c r="H4833">
        <v>1.04643</v>
      </c>
      <c r="I4833">
        <v>17.504359999999998</v>
      </c>
      <c r="J4833">
        <v>-360.36020000000002</v>
      </c>
      <c r="K4833">
        <v>1.1106590000000001</v>
      </c>
      <c r="L4833">
        <v>17.556760000000001</v>
      </c>
      <c r="M4833">
        <v>0.99915480000000001</v>
      </c>
      <c r="N4833">
        <v>0</v>
      </c>
      <c r="O4833">
        <v>3.8720369999999997E-2</v>
      </c>
      <c r="P4833">
        <v>0.99847529999999995</v>
      </c>
      <c r="Q4833">
        <v>4.4858889999999998E-2</v>
      </c>
      <c r="R4833">
        <v>-3.2175679999999998E-2</v>
      </c>
      <c r="S4833">
        <v>3.009369</v>
      </c>
      <c r="T4833">
        <v>-0.2124115</v>
      </c>
      <c r="U4833">
        <v>-0.13769529999999999</v>
      </c>
      <c r="V4833">
        <v>7.0741129999999999E-2</v>
      </c>
      <c r="W4833">
        <v>5.8708099999999999E-2</v>
      </c>
      <c r="X4833">
        <v>0.99576560000000003</v>
      </c>
      <c r="Y4833">
        <v>8.4052119999999994E-2</v>
      </c>
      <c r="Z4833">
        <v>-5.6896639999999997E-3</v>
      </c>
      <c r="AA4833">
        <v>0.99644509999999997</v>
      </c>
      <c r="AB4833">
        <v>24</v>
      </c>
      <c r="AC4833">
        <v>0.658299999999997</v>
      </c>
      <c r="AD4833">
        <v>-6.4228999999999994E-2</v>
      </c>
      <c r="AE4833">
        <v>-5.23999999999986E-2</v>
      </c>
      <c r="AF4833">
        <v>7.7123191173354297E-2</v>
      </c>
      <c r="AG4833">
        <v>-6.4228999999999994E-2</v>
      </c>
      <c r="AH4833">
        <v>0.64963185554089697</v>
      </c>
      <c r="AI4833">
        <v>95.607350661665194</v>
      </c>
      <c r="AJ4833">
        <v>83.229630916391699</v>
      </c>
      <c r="AK4833">
        <v>0.65733925699844797</v>
      </c>
      <c r="AL4833">
        <v>86.634338516623799</v>
      </c>
      <c r="AM4833">
        <v>85.936423153167695</v>
      </c>
      <c r="AN4833">
        <v>1.00000003931132</v>
      </c>
    </row>
    <row r="4834" spans="1:40" x14ac:dyDescent="0.25">
      <c r="A4834" t="str">
        <f>"20190312154657132"</f>
        <v>20190312154657132</v>
      </c>
      <c r="B4834" t="str">
        <f>"1552376817122903"</f>
        <v>1552376817122903</v>
      </c>
      <c r="C4834" t="s">
        <v>40</v>
      </c>
      <c r="D4834">
        <v>4.7662069999999996</v>
      </c>
      <c r="E4834">
        <v>0.50679989999999997</v>
      </c>
      <c r="F4834" t="s">
        <v>41</v>
      </c>
      <c r="G4834">
        <v>-359.48469999999998</v>
      </c>
      <c r="H4834">
        <v>1.0493079999999999</v>
      </c>
      <c r="I4834">
        <v>17.516629999999999</v>
      </c>
      <c r="J4834">
        <v>-360.12540000000001</v>
      </c>
      <c r="K4834">
        <v>1.1106309999999999</v>
      </c>
      <c r="L4834">
        <v>17.566800000000001</v>
      </c>
      <c r="M4834">
        <v>0.99912480000000004</v>
      </c>
      <c r="N4834">
        <v>0</v>
      </c>
      <c r="O4834">
        <v>3.9483129999999998E-2</v>
      </c>
      <c r="P4834">
        <v>0.99846270000000004</v>
      </c>
      <c r="Q4834">
        <v>4.5597060000000002E-2</v>
      </c>
      <c r="R4834">
        <v>-3.1515509999999997E-2</v>
      </c>
      <c r="S4834">
        <v>3.0096440000000002</v>
      </c>
      <c r="T4834">
        <v>-0.21090919999999999</v>
      </c>
      <c r="U4834">
        <v>-0.13717650000000001</v>
      </c>
      <c r="V4834">
        <v>7.0845599999999995E-2</v>
      </c>
      <c r="W4834">
        <v>5.9437329999999997E-2</v>
      </c>
      <c r="X4834">
        <v>0.99571480000000001</v>
      </c>
      <c r="Y4834">
        <v>8.4638290000000005E-2</v>
      </c>
      <c r="Z4834">
        <v>-5.7228899999999996E-3</v>
      </c>
      <c r="AA4834">
        <v>0.99639529999999998</v>
      </c>
      <c r="AB4834">
        <v>24</v>
      </c>
      <c r="AC4834">
        <v>0.64070000000003802</v>
      </c>
      <c r="AD4834">
        <v>-6.1323000000000003E-2</v>
      </c>
      <c r="AE4834">
        <v>-5.0170000000001297E-2</v>
      </c>
      <c r="AF4834">
        <v>7.4749527362018398E-2</v>
      </c>
      <c r="AG4834">
        <v>-6.1323000000000003E-2</v>
      </c>
      <c r="AH4834">
        <v>0.63246066468370898</v>
      </c>
      <c r="AI4834">
        <v>95.500009398447801</v>
      </c>
      <c r="AJ4834">
        <v>83.259570794605395</v>
      </c>
      <c r="AK4834">
        <v>0.63980817011195101</v>
      </c>
      <c r="AL4834">
        <v>86.592483248070394</v>
      </c>
      <c r="AM4834">
        <v>85.930235313913101</v>
      </c>
      <c r="AN4834">
        <v>0.99999992908796198</v>
      </c>
    </row>
    <row r="4835" spans="1:40" x14ac:dyDescent="0.25">
      <c r="A4835" t="str">
        <f>"20190312154657154"</f>
        <v>20190312154657154</v>
      </c>
      <c r="B4835" t="str">
        <f>"1552376817142423"</f>
        <v>1552376817142423</v>
      </c>
      <c r="C4835" t="s">
        <v>40</v>
      </c>
      <c r="D4835">
        <v>4.7471050000000004</v>
      </c>
      <c r="E4835">
        <v>0.50705420000000001</v>
      </c>
      <c r="F4835" t="s">
        <v>41</v>
      </c>
      <c r="G4835">
        <v>-359.26870000000002</v>
      </c>
      <c r="H4835">
        <v>1.0509230000000001</v>
      </c>
      <c r="I4835">
        <v>17.527539999999998</v>
      </c>
      <c r="J4835">
        <v>-359.88760000000002</v>
      </c>
      <c r="K4835">
        <v>1.11059</v>
      </c>
      <c r="L4835">
        <v>17.577059999999999</v>
      </c>
      <c r="M4835">
        <v>0.99909680000000001</v>
      </c>
      <c r="N4835">
        <v>0</v>
      </c>
      <c r="O4835">
        <v>4.0187670000000002E-2</v>
      </c>
      <c r="P4835">
        <v>0.99846270000000004</v>
      </c>
      <c r="Q4835">
        <v>4.6037309999999998E-2</v>
      </c>
      <c r="R4835">
        <v>-3.087144E-2</v>
      </c>
      <c r="S4835">
        <v>3.009827</v>
      </c>
      <c r="T4835">
        <v>-0.20982870000000001</v>
      </c>
      <c r="U4835">
        <v>-0.13742070000000001</v>
      </c>
      <c r="V4835">
        <v>7.0910819999999999E-2</v>
      </c>
      <c r="W4835">
        <v>5.9866200000000001E-2</v>
      </c>
      <c r="X4835">
        <v>0.99568460000000003</v>
      </c>
      <c r="Y4835">
        <v>8.5418289999999994E-2</v>
      </c>
      <c r="Z4835">
        <v>-5.7694570000000004E-3</v>
      </c>
      <c r="AA4835">
        <v>0.99632849999999995</v>
      </c>
      <c r="AB4835">
        <v>24</v>
      </c>
      <c r="AC4835">
        <v>0.61889999999999601</v>
      </c>
      <c r="AD4835">
        <v>-5.9666999999999901E-2</v>
      </c>
      <c r="AE4835">
        <v>-4.9520000000001098E-2</v>
      </c>
      <c r="AF4835">
        <v>7.3674096343227899E-2</v>
      </c>
      <c r="AG4835">
        <v>-5.9666999999999901E-2</v>
      </c>
      <c r="AH4835">
        <v>0.61076894460888598</v>
      </c>
      <c r="AI4835">
        <v>95.539707289984506</v>
      </c>
      <c r="AJ4835">
        <v>83.121919137727204</v>
      </c>
      <c r="AK4835">
        <v>0.61808310691980894</v>
      </c>
      <c r="AL4835">
        <v>86.567867434943906</v>
      </c>
      <c r="AM4835">
        <v>85.926378184636306</v>
      </c>
      <c r="AN4835">
        <v>1.0000000644863301</v>
      </c>
    </row>
    <row r="4836" spans="1:40" x14ac:dyDescent="0.25">
      <c r="A4836" t="str">
        <f>"20190312154657177"</f>
        <v>20190312154657177</v>
      </c>
      <c r="B4836" t="str">
        <f>"1552376817172679"</f>
        <v>1552376817172679</v>
      </c>
      <c r="C4836" t="s">
        <v>40</v>
      </c>
      <c r="D4836">
        <v>4.7511419999999998</v>
      </c>
      <c r="E4836">
        <v>0.51373950000000002</v>
      </c>
      <c r="F4836" t="s">
        <v>41</v>
      </c>
      <c r="G4836">
        <v>-359.05309999999997</v>
      </c>
      <c r="H4836">
        <v>1.05251299999999</v>
      </c>
      <c r="I4836">
        <v>17.53877</v>
      </c>
      <c r="J4836">
        <v>-359.64229999999998</v>
      </c>
      <c r="K4836">
        <v>1.11053</v>
      </c>
      <c r="L4836">
        <v>17.587769999999999</v>
      </c>
      <c r="M4836">
        <v>0.99907109999999999</v>
      </c>
      <c r="N4836">
        <v>0</v>
      </c>
      <c r="O4836">
        <v>4.0824590000000001E-2</v>
      </c>
      <c r="P4836">
        <v>0.99847989999999998</v>
      </c>
      <c r="Q4836">
        <v>4.5997240000000002E-2</v>
      </c>
      <c r="R4836">
        <v>-3.036788E-2</v>
      </c>
      <c r="S4836">
        <v>3.0100099999999999</v>
      </c>
      <c r="T4836">
        <v>-0.2094953</v>
      </c>
      <c r="U4836">
        <v>-0.137603799999999</v>
      </c>
      <c r="V4836">
        <v>7.1052630000000006E-2</v>
      </c>
      <c r="W4836">
        <v>5.9812419999999998E-2</v>
      </c>
      <c r="X4836">
        <v>0.99567760000000005</v>
      </c>
      <c r="Y4836">
        <v>8.6108950000000004E-2</v>
      </c>
      <c r="Z4836">
        <v>-5.8281979999999997E-3</v>
      </c>
      <c r="AA4836">
        <v>0.99626870000000001</v>
      </c>
      <c r="AB4836">
        <v>24</v>
      </c>
      <c r="AC4836">
        <v>0.58920000000000505</v>
      </c>
      <c r="AD4836">
        <v>-5.80170000000002E-2</v>
      </c>
      <c r="AE4836">
        <v>-4.9000000000002999E-2</v>
      </c>
      <c r="AF4836">
        <v>7.2318904052194002E-2</v>
      </c>
      <c r="AG4836">
        <v>-5.80170000000002E-2</v>
      </c>
      <c r="AH4836">
        <v>0.58111244453761401</v>
      </c>
      <c r="AI4836">
        <v>95.658033007478906</v>
      </c>
      <c r="AJ4836">
        <v>82.906066015058698</v>
      </c>
      <c r="AK4836">
        <v>0.58846212228893102</v>
      </c>
      <c r="AL4836">
        <v>86.570953914549406</v>
      </c>
      <c r="AM4836">
        <v>85.918230518352004</v>
      </c>
      <c r="AN4836">
        <v>0.99999994247896495</v>
      </c>
    </row>
    <row r="4837" spans="1:40" x14ac:dyDescent="0.25">
      <c r="A4837" t="str">
        <f>"20190312154657199"</f>
        <v>20190312154657199</v>
      </c>
      <c r="B4837" t="str">
        <f>"1552376817192198"</f>
        <v>1552376817192198</v>
      </c>
      <c r="C4837" t="s">
        <v>40</v>
      </c>
      <c r="D4837">
        <v>4.7921709999999997</v>
      </c>
      <c r="E4837">
        <v>0.51362429999999903</v>
      </c>
      <c r="F4837" t="s">
        <v>41</v>
      </c>
      <c r="G4837">
        <v>-358.84199999999998</v>
      </c>
      <c r="H4837">
        <v>1.0484180000000001</v>
      </c>
      <c r="I4837">
        <v>17.53755</v>
      </c>
      <c r="J4837">
        <v>-359.41030000000001</v>
      </c>
      <c r="K4837">
        <v>1.110455</v>
      </c>
      <c r="L4837">
        <v>17.597899999999999</v>
      </c>
      <c r="M4837">
        <v>0.99905060000000001</v>
      </c>
      <c r="N4837">
        <v>0</v>
      </c>
      <c r="O4837">
        <v>4.132479E-2</v>
      </c>
      <c r="P4837">
        <v>0.9985214</v>
      </c>
      <c r="Q4837">
        <v>4.5585430000000003E-2</v>
      </c>
      <c r="R4837">
        <v>-2.9612179999999998E-2</v>
      </c>
      <c r="S4837">
        <v>3.0095519999999998</v>
      </c>
      <c r="T4837">
        <v>-0.23365040000000001</v>
      </c>
      <c r="U4837">
        <v>-0.18887329999999999</v>
      </c>
      <c r="V4837">
        <v>7.080902E-2</v>
      </c>
      <c r="W4837">
        <v>5.9385449999999999E-2</v>
      </c>
      <c r="X4837">
        <v>0.99572059999999996</v>
      </c>
      <c r="Y4837">
        <v>0.10339470000000001</v>
      </c>
      <c r="Z4837">
        <v>-7.2046460000000003E-3</v>
      </c>
      <c r="AA4837">
        <v>0.99461429999999995</v>
      </c>
      <c r="AB4837">
        <v>24</v>
      </c>
      <c r="AC4837">
        <v>0.56830000000002201</v>
      </c>
      <c r="AD4837">
        <v>-6.2036999999999898E-2</v>
      </c>
      <c r="AE4837">
        <v>-6.0349999999999598E-2</v>
      </c>
      <c r="AF4837">
        <v>8.2809755868246099E-2</v>
      </c>
      <c r="AG4837">
        <v>-6.2036999999999898E-2</v>
      </c>
      <c r="AH4837">
        <v>0.55873636154680395</v>
      </c>
      <c r="AI4837">
        <v>96.267741267512804</v>
      </c>
      <c r="AJ4837">
        <v>81.569619487900596</v>
      </c>
      <c r="AK4837">
        <v>0.56823618922990005</v>
      </c>
      <c r="AL4837">
        <v>86.595461361095303</v>
      </c>
      <c r="AM4837">
        <v>85.932353231083397</v>
      </c>
      <c r="AN4837">
        <v>1.0000000311247099</v>
      </c>
    </row>
    <row r="4838" spans="1:40" x14ac:dyDescent="0.25">
      <c r="A4838" t="str">
        <f>"20190312154657224"</f>
        <v>20190312154657224</v>
      </c>
      <c r="B4838" t="str">
        <f>"1552376817212695"</f>
        <v>1552376817212695</v>
      </c>
      <c r="C4838" t="s">
        <v>40</v>
      </c>
      <c r="D4838">
        <v>4.7626369999999998</v>
      </c>
      <c r="E4838">
        <v>0.51372109999999904</v>
      </c>
      <c r="F4838" t="s">
        <v>41</v>
      </c>
      <c r="G4838">
        <v>-358.62729999999999</v>
      </c>
      <c r="H4838">
        <v>1.0495479999999999</v>
      </c>
      <c r="I4838">
        <v>17.549050000000001</v>
      </c>
      <c r="J4838">
        <v>-359.14789999999999</v>
      </c>
      <c r="K4838">
        <v>1.1103540000000001</v>
      </c>
      <c r="L4838">
        <v>17.609379999999899</v>
      </c>
      <c r="M4838">
        <v>0.9990327</v>
      </c>
      <c r="N4838">
        <v>0</v>
      </c>
      <c r="O4838">
        <v>4.1756059999999998E-2</v>
      </c>
      <c r="P4838">
        <v>0.99853340000000002</v>
      </c>
      <c r="Q4838">
        <v>4.5778859999999998E-2</v>
      </c>
      <c r="R4838">
        <v>-2.8903539999999998E-2</v>
      </c>
      <c r="S4838">
        <v>3.0096129999999999</v>
      </c>
      <c r="T4838">
        <v>-0.2341628</v>
      </c>
      <c r="U4838">
        <v>-0.18594359999999999</v>
      </c>
      <c r="V4838">
        <v>7.0545049999999998E-2</v>
      </c>
      <c r="W4838">
        <v>5.9558710000000001E-2</v>
      </c>
      <c r="X4838">
        <v>0.99572899999999998</v>
      </c>
      <c r="Y4838">
        <v>0.1028568</v>
      </c>
      <c r="Z4838">
        <v>-7.2330529999999997E-3</v>
      </c>
      <c r="AA4838">
        <v>0.9946699</v>
      </c>
      <c r="AB4838">
        <v>24</v>
      </c>
      <c r="AC4838">
        <v>0.52060000000000095</v>
      </c>
      <c r="AD4838">
        <v>-6.0806000000000103E-2</v>
      </c>
      <c r="AE4838">
        <v>-6.0329999999996803E-2</v>
      </c>
      <c r="AF4838">
        <v>8.0928234283080297E-2</v>
      </c>
      <c r="AG4838">
        <v>-6.0806000000000103E-2</v>
      </c>
      <c r="AH4838">
        <v>0.51075104550919503</v>
      </c>
      <c r="AI4838">
        <v>96.706342005303298</v>
      </c>
      <c r="AJ4838">
        <v>80.996365091287402</v>
      </c>
      <c r="AK4838">
        <v>0.52068548974300499</v>
      </c>
      <c r="AL4838">
        <v>86.585516731934206</v>
      </c>
      <c r="AM4838">
        <v>85.947500528148097</v>
      </c>
      <c r="AN4838">
        <v>1.0000000427286799</v>
      </c>
    </row>
    <row r="4839" spans="1:40" x14ac:dyDescent="0.25">
      <c r="A4839" t="str">
        <f>"20190312154657245"</f>
        <v>20190312154657245</v>
      </c>
      <c r="B4839" t="str">
        <f>"1552376817232215"</f>
        <v>1552376817232215</v>
      </c>
      <c r="C4839" t="s">
        <v>40</v>
      </c>
      <c r="D4839">
        <v>4.7807199999999996</v>
      </c>
      <c r="E4839">
        <v>0.51365019999999995</v>
      </c>
      <c r="F4839" t="s">
        <v>41</v>
      </c>
      <c r="G4839">
        <v>-358.20890000000003</v>
      </c>
      <c r="H4839">
        <v>1.035582</v>
      </c>
      <c r="I4839">
        <v>17.551570000000002</v>
      </c>
      <c r="J4839">
        <v>-358.91480000000001</v>
      </c>
      <c r="K4839">
        <v>1.110258</v>
      </c>
      <c r="L4839">
        <v>17.619479999999999</v>
      </c>
      <c r="M4839">
        <v>0.99902299999999999</v>
      </c>
      <c r="N4839">
        <v>0</v>
      </c>
      <c r="O4839">
        <v>4.1988030000000003E-2</v>
      </c>
      <c r="P4839">
        <v>0.99853939999999997</v>
      </c>
      <c r="Q4839">
        <v>4.6058780000000001E-2</v>
      </c>
      <c r="R4839">
        <v>-2.824345E-2</v>
      </c>
      <c r="S4839">
        <v>3.01004</v>
      </c>
      <c r="T4839">
        <v>-0.23965819999999999</v>
      </c>
      <c r="U4839">
        <v>-0.18460080000000001</v>
      </c>
      <c r="V4839">
        <v>7.0130600000000001E-2</v>
      </c>
      <c r="W4839">
        <v>5.9820030000000003E-2</v>
      </c>
      <c r="X4839">
        <v>0.99574260000000003</v>
      </c>
      <c r="Y4839">
        <v>0.1026165</v>
      </c>
      <c r="Z4839">
        <v>-7.4102009999999999E-3</v>
      </c>
      <c r="AA4839">
        <v>0.99469339999999995</v>
      </c>
      <c r="AB4839">
        <v>24</v>
      </c>
      <c r="AC4839">
        <v>0.70589999999998498</v>
      </c>
      <c r="AD4839">
        <v>-7.4675999999999895E-2</v>
      </c>
      <c r="AE4839">
        <v>-6.7909999999997694E-2</v>
      </c>
      <c r="AF4839">
        <v>9.6423074856647903E-2</v>
      </c>
      <c r="AG4839">
        <v>-7.4675999999999895E-2</v>
      </c>
      <c r="AH4839">
        <v>0.694722217660937</v>
      </c>
      <c r="AI4839">
        <v>96.077377174580207</v>
      </c>
      <c r="AJ4839">
        <v>82.098187441493096</v>
      </c>
      <c r="AK4839">
        <v>0.70534592509813299</v>
      </c>
      <c r="AL4839">
        <v>86.570517416308803</v>
      </c>
      <c r="AM4839">
        <v>85.971285053425106</v>
      </c>
      <c r="AN4839">
        <v>1.00000003125016</v>
      </c>
    </row>
    <row r="4840" spans="1:40" x14ac:dyDescent="0.25">
      <c r="A4840" t="str">
        <f>"20190312154657266"</f>
        <v>20190312154657266</v>
      </c>
      <c r="B4840" t="str">
        <f>"1552376817262977"</f>
        <v>1552376817262977</v>
      </c>
      <c r="C4840" t="s">
        <v>40</v>
      </c>
      <c r="D4840">
        <v>4.8526480000000003</v>
      </c>
      <c r="E4840">
        <v>0.49170599999999998</v>
      </c>
      <c r="F4840" t="s">
        <v>41</v>
      </c>
      <c r="G4840">
        <v>-357.99549999999999</v>
      </c>
      <c r="H4840">
        <v>1.0363260000000001</v>
      </c>
      <c r="I4840">
        <v>17.56362</v>
      </c>
      <c r="J4840">
        <v>-358.6884</v>
      </c>
      <c r="K4840">
        <v>1.110179</v>
      </c>
      <c r="L4840">
        <v>17.62921</v>
      </c>
      <c r="M4840">
        <v>0.99901799999999996</v>
      </c>
      <c r="N4840">
        <v>0</v>
      </c>
      <c r="O4840">
        <v>4.2107319999999997E-2</v>
      </c>
      <c r="P4840">
        <v>0.99857209999999996</v>
      </c>
      <c r="Q4840">
        <v>4.5981399999999999E-2</v>
      </c>
      <c r="R4840">
        <v>-2.719158E-2</v>
      </c>
      <c r="S4840">
        <v>3.010345</v>
      </c>
      <c r="T4840">
        <v>-0.2420863</v>
      </c>
      <c r="U4840">
        <v>-0.1821594</v>
      </c>
      <c r="V4840">
        <v>6.9212019999999999E-2</v>
      </c>
      <c r="W4840">
        <v>5.9726260000000003E-2</v>
      </c>
      <c r="X4840">
        <v>0.99581249999999999</v>
      </c>
      <c r="Y4840">
        <v>0.10191799999999999</v>
      </c>
      <c r="Z4840">
        <v>-7.4660059999999999E-3</v>
      </c>
      <c r="AA4840">
        <v>0.9947648</v>
      </c>
      <c r="AB4840">
        <v>24</v>
      </c>
      <c r="AC4840">
        <v>0.69290000000000795</v>
      </c>
      <c r="AD4840">
        <v>-7.3852999999999905E-2</v>
      </c>
      <c r="AE4840">
        <v>-6.5590000000000204E-2</v>
      </c>
      <c r="AF4840">
        <v>9.3656224228847798E-2</v>
      </c>
      <c r="AG4840">
        <v>-7.3852999999999905E-2</v>
      </c>
      <c r="AH4840">
        <v>0.68184598609173197</v>
      </c>
      <c r="AI4840">
        <v>96.124732385723206</v>
      </c>
      <c r="AJ4840">
        <v>82.178972736741002</v>
      </c>
      <c r="AK4840">
        <v>0.69219917848492896</v>
      </c>
      <c r="AL4840">
        <v>86.575899669205995</v>
      </c>
      <c r="AM4840">
        <v>86.024161534526598</v>
      </c>
      <c r="AN4840">
        <v>1.00000003250115</v>
      </c>
    </row>
    <row r="4841" spans="1:40" x14ac:dyDescent="0.25">
      <c r="A4841" t="str">
        <f>"20190312154657289"</f>
        <v>20190312154657289</v>
      </c>
      <c r="B4841" t="str">
        <f>"1552376817282498"</f>
        <v>1552376817282498</v>
      </c>
      <c r="C4841" t="s">
        <v>40</v>
      </c>
      <c r="D4841">
        <v>4.8813430000000002</v>
      </c>
      <c r="E4841">
        <v>0.48845379999999999</v>
      </c>
      <c r="F4841" t="s">
        <v>41</v>
      </c>
      <c r="G4841">
        <v>-357.77879999999999</v>
      </c>
      <c r="H4841">
        <v>1.0458160000000001</v>
      </c>
      <c r="I4841">
        <v>17.627500000000001</v>
      </c>
      <c r="J4841">
        <v>-358.45229999999998</v>
      </c>
      <c r="K4841">
        <v>1.1101110000000001</v>
      </c>
      <c r="L4841">
        <v>17.639250000000001</v>
      </c>
      <c r="M4841">
        <v>0.99901709999999999</v>
      </c>
      <c r="N4841">
        <v>0</v>
      </c>
      <c r="O4841">
        <v>4.213219E-2</v>
      </c>
      <c r="P4841">
        <v>0.99858499999999994</v>
      </c>
      <c r="Q4841">
        <v>4.6180190000000003E-2</v>
      </c>
      <c r="R4841">
        <v>-2.6379860000000002E-2</v>
      </c>
      <c r="S4841">
        <v>3.0139770000000001</v>
      </c>
      <c r="T4841">
        <v>-0.2132754</v>
      </c>
      <c r="U4841">
        <v>-4.9743649999999997E-3</v>
      </c>
      <c r="V4841">
        <v>6.8436810000000001E-2</v>
      </c>
      <c r="W4841">
        <v>5.9910949999999998E-2</v>
      </c>
      <c r="X4841">
        <v>0.99585500000000005</v>
      </c>
      <c r="Y4841">
        <v>4.3570820000000003E-2</v>
      </c>
      <c r="Z4841">
        <v>-4.5169399999999997E-3</v>
      </c>
      <c r="AA4841">
        <v>0.99904009999999999</v>
      </c>
      <c r="AB4841">
        <v>24</v>
      </c>
      <c r="AC4841">
        <v>0.67349999999999</v>
      </c>
      <c r="AD4841">
        <v>-6.4294999999999894E-2</v>
      </c>
      <c r="AE4841">
        <v>-1.17499999999992E-2</v>
      </c>
      <c r="AF4841">
        <v>3.9756084708062002E-2</v>
      </c>
      <c r="AG4841">
        <v>-6.4294999999999894E-2</v>
      </c>
      <c r="AH4841">
        <v>0.66633602682642501</v>
      </c>
      <c r="AI4841">
        <v>95.501704388557997</v>
      </c>
      <c r="AJ4841">
        <v>86.585568455500393</v>
      </c>
      <c r="AK4841">
        <v>0.67061023996293201</v>
      </c>
      <c r="AL4841">
        <v>86.565298788564405</v>
      </c>
      <c r="AM4841">
        <v>86.068719781246998</v>
      </c>
      <c r="AN4841">
        <v>1.0000000499589301</v>
      </c>
    </row>
    <row r="4842" spans="1:40" x14ac:dyDescent="0.25">
      <c r="A4842" t="str">
        <f>"20190312154657311"</f>
        <v>20190312154657311</v>
      </c>
      <c r="B4842" t="str">
        <f>"1552376817302997"</f>
        <v>1552376817302997</v>
      </c>
      <c r="C4842" t="s">
        <v>40</v>
      </c>
      <c r="D4842">
        <v>4.9078439999999999</v>
      </c>
      <c r="E4842">
        <v>0.4873286</v>
      </c>
      <c r="F4842" t="s">
        <v>41</v>
      </c>
      <c r="G4842">
        <v>-357.5677</v>
      </c>
      <c r="H4842">
        <v>1.04369</v>
      </c>
      <c r="I4842">
        <v>17.646000000000001</v>
      </c>
      <c r="J4842">
        <v>-358.21710000000002</v>
      </c>
      <c r="K4842">
        <v>1.1100460000000001</v>
      </c>
      <c r="L4842">
        <v>17.6492</v>
      </c>
      <c r="M4842">
        <v>0.99902040000000003</v>
      </c>
      <c r="N4842">
        <v>0</v>
      </c>
      <c r="O4842">
        <v>4.2053599999999997E-2</v>
      </c>
      <c r="P4842">
        <v>0.99858670000000005</v>
      </c>
      <c r="Q4842">
        <v>4.608893E-2</v>
      </c>
      <c r="R4842">
        <v>-2.6471479999999999E-2</v>
      </c>
      <c r="S4842">
        <v>3.01532</v>
      </c>
      <c r="T4842">
        <v>-0.22636819999999999</v>
      </c>
      <c r="U4842">
        <v>2.3834230000000001E-2</v>
      </c>
      <c r="V4842">
        <v>6.8459290000000006E-2</v>
      </c>
      <c r="W4842">
        <v>5.9806230000000002E-2</v>
      </c>
      <c r="X4842">
        <v>0.99585970000000001</v>
      </c>
      <c r="Y4842">
        <v>3.3945339999999997E-2</v>
      </c>
      <c r="Z4842">
        <v>-4.4244360000000003E-3</v>
      </c>
      <c r="AA4842">
        <v>0.99941389999999997</v>
      </c>
      <c r="AB4842">
        <v>24</v>
      </c>
      <c r="AC4842">
        <v>0.64940000000001397</v>
      </c>
      <c r="AD4842">
        <v>-6.6355999999999804E-2</v>
      </c>
      <c r="AE4842">
        <v>-3.1999999999996402E-3</v>
      </c>
      <c r="AF4842">
        <v>3.01941229725823E-2</v>
      </c>
      <c r="AG4842">
        <v>-6.6355999999999804E-2</v>
      </c>
      <c r="AH4842">
        <v>0.64198808080401004</v>
      </c>
      <c r="AI4842">
        <v>95.894676634935394</v>
      </c>
      <c r="AJ4842">
        <v>87.307236763620494</v>
      </c>
      <c r="AK4842">
        <v>0.64611415376270798</v>
      </c>
      <c r="AL4842">
        <v>86.571309411725693</v>
      </c>
      <c r="AM4842">
        <v>86.067450994213601</v>
      </c>
      <c r="AN4842">
        <v>1.0000000008090999</v>
      </c>
    </row>
    <row r="4843" spans="1:40" x14ac:dyDescent="0.25">
      <c r="A4843" t="str">
        <f>"20190312154657334"</f>
        <v>20190312154657334</v>
      </c>
      <c r="B4843" t="str">
        <f>"1552376817322517"</f>
        <v>1552376817322517</v>
      </c>
      <c r="C4843" t="s">
        <v>40</v>
      </c>
      <c r="D4843">
        <v>4.8798260000000004</v>
      </c>
      <c r="E4843">
        <v>0.48638029999999999</v>
      </c>
      <c r="F4843" t="s">
        <v>41</v>
      </c>
      <c r="G4843">
        <v>-357.351</v>
      </c>
      <c r="H4843">
        <v>1.048143</v>
      </c>
      <c r="I4843">
        <v>17.658079999999899</v>
      </c>
      <c r="J4843">
        <v>-357.97640000000001</v>
      </c>
      <c r="K4843">
        <v>1.10998</v>
      </c>
      <c r="L4843">
        <v>17.659210000000002</v>
      </c>
      <c r="M4843">
        <v>0.99902840000000004</v>
      </c>
      <c r="N4843">
        <v>0</v>
      </c>
      <c r="O4843">
        <v>4.186223E-2</v>
      </c>
      <c r="P4843">
        <v>0.99856449999999997</v>
      </c>
      <c r="Q4843">
        <v>4.6366959999999999E-2</v>
      </c>
      <c r="R4843">
        <v>-2.681739E-2</v>
      </c>
      <c r="S4843">
        <v>3.0150450000000002</v>
      </c>
      <c r="T4843">
        <v>-0.2154809</v>
      </c>
      <c r="U4843">
        <v>3.2226560000000001E-2</v>
      </c>
      <c r="V4843">
        <v>6.862269E-2</v>
      </c>
      <c r="W4843">
        <v>6.0069930000000001E-2</v>
      </c>
      <c r="X4843">
        <v>0.99583259999999996</v>
      </c>
      <c r="Y4843">
        <v>3.0999450000000001E-2</v>
      </c>
      <c r="Z4843">
        <v>-4.0936990000000001E-3</v>
      </c>
      <c r="AA4843">
        <v>0.99951100000000004</v>
      </c>
      <c r="AB4843">
        <v>24</v>
      </c>
      <c r="AC4843">
        <v>0.62540000000001295</v>
      </c>
      <c r="AD4843">
        <v>-6.1836999999999899E-2</v>
      </c>
      <c r="AE4843">
        <v>-1.1300000000034E-3</v>
      </c>
      <c r="AF4843">
        <v>2.7047703324165999E-2</v>
      </c>
      <c r="AG4843">
        <v>-6.1836999999999899E-2</v>
      </c>
      <c r="AH4843">
        <v>0.61875514936873499</v>
      </c>
      <c r="AI4843">
        <v>95.701653069987202</v>
      </c>
      <c r="AJ4843">
        <v>87.497017532829901</v>
      </c>
      <c r="AK4843">
        <v>0.62242535913508301</v>
      </c>
      <c r="AL4843">
        <v>86.556173362886398</v>
      </c>
      <c r="AM4843">
        <v>86.057987329124003</v>
      </c>
      <c r="AN4843">
        <v>1.0000000186478999</v>
      </c>
    </row>
    <row r="4844" spans="1:40" x14ac:dyDescent="0.25">
      <c r="A4844" t="str">
        <f>"20190312154657346"</f>
        <v>20190312154657346</v>
      </c>
      <c r="B4844" t="str">
        <f>"1552376817343010"</f>
        <v>1552376817343010</v>
      </c>
      <c r="C4844" t="s">
        <v>40</v>
      </c>
      <c r="D4844">
        <v>4.9205610000000002</v>
      </c>
      <c r="E4844">
        <v>0.48576419999999998</v>
      </c>
      <c r="F4844" t="s">
        <v>41</v>
      </c>
      <c r="G4844">
        <v>-357.1277</v>
      </c>
      <c r="H4844">
        <v>1.0486420000000001</v>
      </c>
      <c r="I4844">
        <v>17.670089999999998</v>
      </c>
      <c r="J4844">
        <v>-357.83339999999998</v>
      </c>
      <c r="K4844">
        <v>1.109939</v>
      </c>
      <c r="L4844">
        <v>17.665099999999999</v>
      </c>
      <c r="M4844">
        <v>0.99903520000000001</v>
      </c>
      <c r="N4844">
        <v>0</v>
      </c>
      <c r="O4844">
        <v>4.1699809999999997E-2</v>
      </c>
      <c r="P4844">
        <v>0.99854989999999999</v>
      </c>
      <c r="Q4844">
        <v>4.6530599999999998E-2</v>
      </c>
      <c r="R4844">
        <v>-2.7072309999999999E-2</v>
      </c>
      <c r="S4844">
        <v>3.0154719999999999</v>
      </c>
      <c r="T4844">
        <v>-0.21790970000000001</v>
      </c>
      <c r="U4844">
        <v>3.8787839999999997E-2</v>
      </c>
      <c r="V4844">
        <v>6.8721270000000001E-2</v>
      </c>
      <c r="W4844">
        <v>6.0224609999999998E-2</v>
      </c>
      <c r="X4844">
        <v>0.99581649999999999</v>
      </c>
      <c r="Y4844">
        <v>2.8666230000000001E-2</v>
      </c>
      <c r="Z4844">
        <v>-4.0431449999999997E-3</v>
      </c>
      <c r="AA4844">
        <v>0.99958089999999999</v>
      </c>
      <c r="AB4844">
        <v>24</v>
      </c>
      <c r="AC4844">
        <v>0.70569999999997801</v>
      </c>
      <c r="AD4844">
        <v>-6.12969999999999E-2</v>
      </c>
      <c r="AE4844">
        <v>4.9899999999993803E-3</v>
      </c>
      <c r="AF4844">
        <v>2.4261653959488001E-2</v>
      </c>
      <c r="AG4844">
        <v>-6.12969999999999E-2</v>
      </c>
      <c r="AH4844">
        <v>0.70001307776037403</v>
      </c>
      <c r="AI4844">
        <v>95.001381554083494</v>
      </c>
      <c r="AJ4844">
        <v>88.014988274099395</v>
      </c>
      <c r="AK4844">
        <v>0.70311041742915603</v>
      </c>
      <c r="AL4844">
        <v>86.547294917277</v>
      </c>
      <c r="AM4844">
        <v>86.052278696047907</v>
      </c>
      <c r="AN4844">
        <v>1.00000005913615</v>
      </c>
    </row>
    <row r="4845" spans="1:40" x14ac:dyDescent="0.25">
      <c r="A4845" t="str">
        <f>"20190312154657366"</f>
        <v>20190312154657366</v>
      </c>
      <c r="B4845" t="str">
        <f>"1552376817363035"</f>
        <v>1552376817363035</v>
      </c>
      <c r="C4845" t="s">
        <v>40</v>
      </c>
      <c r="D4845">
        <v>4.9041739999999896</v>
      </c>
      <c r="E4845">
        <v>0.48550300000000002</v>
      </c>
      <c r="F4845" t="s">
        <v>41</v>
      </c>
      <c r="G4845">
        <v>-356.93029999999999</v>
      </c>
      <c r="H4845">
        <v>1.0440049999999901</v>
      </c>
      <c r="I4845">
        <v>17.67755</v>
      </c>
      <c r="J4845">
        <v>-357.62909999999999</v>
      </c>
      <c r="K4845">
        <v>1.1098749999999999</v>
      </c>
      <c r="L4845">
        <v>17.67334</v>
      </c>
      <c r="M4845">
        <v>0.99904780000000004</v>
      </c>
      <c r="N4845">
        <v>0</v>
      </c>
      <c r="O4845">
        <v>4.1395649999999999E-2</v>
      </c>
      <c r="P4845">
        <v>0.99852940000000001</v>
      </c>
      <c r="Q4845">
        <v>4.669951E-2</v>
      </c>
      <c r="R4845">
        <v>-2.7531630000000001E-2</v>
      </c>
      <c r="S4845">
        <v>3.0158079999999998</v>
      </c>
      <c r="T4845">
        <v>-0.22018689999999999</v>
      </c>
      <c r="U4845">
        <v>4.2907710000000002E-2</v>
      </c>
      <c r="V4845">
        <v>6.8885650000000007E-2</v>
      </c>
      <c r="W4845">
        <v>6.0379780000000001E-2</v>
      </c>
      <c r="X4845">
        <v>0.99579569999999995</v>
      </c>
      <c r="Y4845">
        <v>2.6999470000000001E-2</v>
      </c>
      <c r="Z4845">
        <v>-4.0018500000000004E-3</v>
      </c>
      <c r="AA4845">
        <v>0.99962740000000005</v>
      </c>
      <c r="AB4845">
        <v>24</v>
      </c>
      <c r="AC4845">
        <v>0.69880000000000497</v>
      </c>
      <c r="AD4845">
        <v>-6.5870000000000095E-2</v>
      </c>
      <c r="AE4845">
        <v>4.2100000000004903E-3</v>
      </c>
      <c r="AF4845">
        <v>2.4505903405646401E-2</v>
      </c>
      <c r="AG4845">
        <v>-6.5870000000000095E-2</v>
      </c>
      <c r="AH4845">
        <v>0.69222482420050602</v>
      </c>
      <c r="AI4845">
        <v>95.432341590304702</v>
      </c>
      <c r="AJ4845">
        <v>87.972481395054203</v>
      </c>
      <c r="AK4845">
        <v>0.69578344579412599</v>
      </c>
      <c r="AL4845">
        <v>86.538387964202698</v>
      </c>
      <c r="AM4845">
        <v>86.0427833907506</v>
      </c>
      <c r="AN4845">
        <v>1.00000001337363</v>
      </c>
    </row>
    <row r="4846" spans="1:40" x14ac:dyDescent="0.25">
      <c r="A4846" t="str">
        <f>"20190312154657389"</f>
        <v>20190312154657389</v>
      </c>
      <c r="B4846" t="str">
        <f>"1552376817382556"</f>
        <v>1552376817382556</v>
      </c>
      <c r="C4846" t="s">
        <v>40</v>
      </c>
      <c r="D4846">
        <v>4.9161780000000004</v>
      </c>
      <c r="E4846">
        <v>0.48564390000000002</v>
      </c>
      <c r="F4846" t="s">
        <v>41</v>
      </c>
      <c r="G4846">
        <v>-356.71940000000001</v>
      </c>
      <c r="H4846">
        <v>1.0429729999999999</v>
      </c>
      <c r="I4846">
        <v>17.686360000000001</v>
      </c>
      <c r="J4846">
        <v>-357.38690000000003</v>
      </c>
      <c r="K4846">
        <v>1.1097980000000001</v>
      </c>
      <c r="L4846">
        <v>17.682919999999999</v>
      </c>
      <c r="M4846">
        <v>0.99906709999999999</v>
      </c>
      <c r="N4846">
        <v>0</v>
      </c>
      <c r="O4846">
        <v>4.0929840000000002E-2</v>
      </c>
      <c r="P4846">
        <v>0.99849399999999999</v>
      </c>
      <c r="Q4846">
        <v>4.6851660000000003E-2</v>
      </c>
      <c r="R4846">
        <v>-2.8544859999999998E-2</v>
      </c>
      <c r="S4846">
        <v>3.0159910000000001</v>
      </c>
      <c r="T4846">
        <v>-0.22180659999999999</v>
      </c>
      <c r="U4846">
        <v>4.348755E-2</v>
      </c>
      <c r="V4846">
        <v>6.9444420000000007E-2</v>
      </c>
      <c r="W4846">
        <v>6.0514949999999998E-2</v>
      </c>
      <c r="X4846">
        <v>0.99574870000000004</v>
      </c>
      <c r="Y4846">
        <v>2.6342480000000001E-2</v>
      </c>
      <c r="Z4846">
        <v>-3.9726459999999998E-3</v>
      </c>
      <c r="AA4846">
        <v>0.99964509999999995</v>
      </c>
      <c r="AB4846">
        <v>24</v>
      </c>
      <c r="AC4846">
        <v>0.66750000000001797</v>
      </c>
      <c r="AD4846">
        <v>-6.6825000000000107E-2</v>
      </c>
      <c r="AE4846">
        <v>3.4399999999976602E-3</v>
      </c>
      <c r="AF4846">
        <v>2.3649126114304201E-2</v>
      </c>
      <c r="AG4846">
        <v>-6.6825000000000107E-2</v>
      </c>
      <c r="AH4846">
        <v>0.66046206120239104</v>
      </c>
      <c r="AI4846">
        <v>95.773802371334995</v>
      </c>
      <c r="AJ4846">
        <v>87.949289529717106</v>
      </c>
      <c r="AK4846">
        <v>0.66425521908275698</v>
      </c>
      <c r="AL4846">
        <v>86.530629163918903</v>
      </c>
      <c r="AM4846">
        <v>86.010599731309597</v>
      </c>
      <c r="AN4846">
        <v>1.0000000300971601</v>
      </c>
    </row>
    <row r="4847" spans="1:40" x14ac:dyDescent="0.25">
      <c r="A4847" t="str">
        <f>"20190312154657404"</f>
        <v>20190312154657404</v>
      </c>
      <c r="B4847" t="str">
        <f>"1552376817392317"</f>
        <v>1552376817392317</v>
      </c>
      <c r="C4847" t="s">
        <v>40</v>
      </c>
      <c r="D4847">
        <v>4.8774930000000003</v>
      </c>
      <c r="E4847">
        <v>0.4854656</v>
      </c>
      <c r="F4847" t="s">
        <v>41</v>
      </c>
      <c r="G4847">
        <v>-356.50549999999998</v>
      </c>
      <c r="H4847">
        <v>1.0456859999999999</v>
      </c>
      <c r="I4847">
        <v>17.69417</v>
      </c>
      <c r="J4847">
        <v>-357.23750000000001</v>
      </c>
      <c r="K4847">
        <v>1.109747</v>
      </c>
      <c r="L4847">
        <v>17.68872</v>
      </c>
      <c r="M4847">
        <v>0.99908050000000004</v>
      </c>
      <c r="N4847">
        <v>0</v>
      </c>
      <c r="O4847">
        <v>4.0600619999999997E-2</v>
      </c>
      <c r="P4847">
        <v>0.99846630000000003</v>
      </c>
      <c r="Q4847">
        <v>4.7036139999999997E-2</v>
      </c>
      <c r="R4847">
        <v>-2.9202559999999999E-2</v>
      </c>
      <c r="S4847">
        <v>3.01593</v>
      </c>
      <c r="T4847">
        <v>-0.2193447</v>
      </c>
      <c r="U4847">
        <v>3.9093019999999999E-2</v>
      </c>
      <c r="V4847">
        <v>6.977941E-2</v>
      </c>
      <c r="W4847">
        <v>6.0689149999999997E-2</v>
      </c>
      <c r="X4847">
        <v>0.99571469999999995</v>
      </c>
      <c r="Y4847">
        <v>2.7470959999999999E-2</v>
      </c>
      <c r="Z4847">
        <v>-3.9458949999999996E-3</v>
      </c>
      <c r="AA4847">
        <v>0.99961480000000003</v>
      </c>
      <c r="AB4847">
        <v>24</v>
      </c>
      <c r="AC4847">
        <v>0.73200000000002696</v>
      </c>
      <c r="AD4847">
        <v>-6.4060999999999896E-2</v>
      </c>
      <c r="AE4847">
        <v>5.4499999999997302E-3</v>
      </c>
      <c r="AF4847">
        <v>2.4092457418552999E-2</v>
      </c>
      <c r="AG4847">
        <v>-6.4060999999999896E-2</v>
      </c>
      <c r="AH4847">
        <v>0.726057136510876</v>
      </c>
      <c r="AI4847">
        <v>95.039467347844706</v>
      </c>
      <c r="AJ4847">
        <v>88.099474891110901</v>
      </c>
      <c r="AK4847">
        <v>0.72927582141727298</v>
      </c>
      <c r="AL4847">
        <v>86.520629934947195</v>
      </c>
      <c r="AM4847">
        <v>85.991281586940403</v>
      </c>
      <c r="AN4847">
        <v>1.0000000513918701</v>
      </c>
    </row>
    <row r="4848" spans="1:40" x14ac:dyDescent="0.25">
      <c r="A4848" t="str">
        <f>"20190312154657425"</f>
        <v>20190312154657425</v>
      </c>
      <c r="B4848" t="str">
        <f>"1552376817412812"</f>
        <v>1552376817412812</v>
      </c>
      <c r="C4848" t="s">
        <v>40</v>
      </c>
      <c r="D4848">
        <v>4.9104449999999904</v>
      </c>
      <c r="E4848">
        <v>0.48545729999999998</v>
      </c>
      <c r="F4848" t="s">
        <v>41</v>
      </c>
      <c r="G4848">
        <v>-356.29849999999999</v>
      </c>
      <c r="H4848">
        <v>1.040862</v>
      </c>
      <c r="I4848">
        <v>17.700589999999998</v>
      </c>
      <c r="J4848">
        <v>-357.01659999999998</v>
      </c>
      <c r="K4848">
        <v>1.1096870000000001</v>
      </c>
      <c r="L4848">
        <v>17.697050000000001</v>
      </c>
      <c r="M4848">
        <v>0.99910370000000004</v>
      </c>
      <c r="N4848">
        <v>0</v>
      </c>
      <c r="O4848">
        <v>4.0028929999999997E-2</v>
      </c>
      <c r="P4848">
        <v>0.9984381</v>
      </c>
      <c r="Q4848">
        <v>4.6951640000000003E-2</v>
      </c>
      <c r="R4848">
        <v>-3.0283399999999999E-2</v>
      </c>
      <c r="S4848">
        <v>3.0162049999999998</v>
      </c>
      <c r="T4848">
        <v>-0.22123219999999999</v>
      </c>
      <c r="U4848">
        <v>3.8604739999999999E-2</v>
      </c>
      <c r="V4848">
        <v>7.0297380000000007E-2</v>
      </c>
      <c r="W4848">
        <v>6.0590640000000001E-2</v>
      </c>
      <c r="X4848">
        <v>0.99568420000000002</v>
      </c>
      <c r="Y4848">
        <v>2.7061499999999999E-2</v>
      </c>
      <c r="Z4848">
        <v>-3.9225609999999998E-3</v>
      </c>
      <c r="AA4848">
        <v>0.99962609999999996</v>
      </c>
      <c r="AB4848">
        <v>24</v>
      </c>
      <c r="AC4848">
        <v>0.71809999999999197</v>
      </c>
      <c r="AD4848">
        <v>-6.88249999999999E-2</v>
      </c>
      <c r="AE4848">
        <v>3.5399999999974302E-3</v>
      </c>
      <c r="AF4848">
        <v>2.4980869439516998E-2</v>
      </c>
      <c r="AG4848">
        <v>-6.88249999999999E-2</v>
      </c>
      <c r="AH4848">
        <v>0.71113380636780299</v>
      </c>
      <c r="AI4848">
        <v>95.524600600448693</v>
      </c>
      <c r="AJ4848">
        <v>87.988128150999998</v>
      </c>
      <c r="AK4848">
        <v>0.71489314937416704</v>
      </c>
      <c r="AL4848">
        <v>86.526284323074194</v>
      </c>
      <c r="AM4848">
        <v>85.961499814276195</v>
      </c>
      <c r="AN4848">
        <v>0.99999998671005697</v>
      </c>
    </row>
    <row r="4849" spans="1:40" x14ac:dyDescent="0.25">
      <c r="A4849" t="str">
        <f>"20190312154657446"</f>
        <v>20190312154657446</v>
      </c>
      <c r="B4849" t="str">
        <f>"1552376817443068"</f>
        <v>1552376817443068</v>
      </c>
      <c r="C4849" t="s">
        <v>40</v>
      </c>
      <c r="D4849">
        <v>4.9625890000000004</v>
      </c>
      <c r="E4849">
        <v>0.48539090000000001</v>
      </c>
      <c r="F4849" t="s">
        <v>41</v>
      </c>
      <c r="G4849">
        <v>-356.08659999999998</v>
      </c>
      <c r="H4849">
        <v>1.0417809999999901</v>
      </c>
      <c r="I4849">
        <v>17.707560000000001</v>
      </c>
      <c r="J4849">
        <v>-356.78269999999998</v>
      </c>
      <c r="K4849">
        <v>1.109637</v>
      </c>
      <c r="L4849">
        <v>17.705690000000001</v>
      </c>
      <c r="M4849">
        <v>0.9991314</v>
      </c>
      <c r="N4849">
        <v>0</v>
      </c>
      <c r="O4849">
        <v>3.9333149999999997E-2</v>
      </c>
      <c r="P4849">
        <v>0.99839999999999995</v>
      </c>
      <c r="Q4849">
        <v>4.685545E-2</v>
      </c>
      <c r="R4849">
        <v>-3.1657919999999999E-2</v>
      </c>
      <c r="S4849">
        <v>3.0161440000000002</v>
      </c>
      <c r="T4849">
        <v>-0.22021450000000001</v>
      </c>
      <c r="U4849">
        <v>3.549194E-2</v>
      </c>
      <c r="V4849">
        <v>7.0983130000000005E-2</v>
      </c>
      <c r="W4849">
        <v>6.0481640000000003E-2</v>
      </c>
      <c r="X4849">
        <v>0.99564219999999903</v>
      </c>
      <c r="Y4849">
        <v>2.739919E-2</v>
      </c>
      <c r="Z4849">
        <v>-3.8662929999999998E-3</v>
      </c>
      <c r="AA4849">
        <v>0.99961710000000004</v>
      </c>
      <c r="AB4849">
        <v>24</v>
      </c>
      <c r="AC4849">
        <v>0.69610000000000105</v>
      </c>
      <c r="AD4849">
        <v>-6.7856000000000097E-2</v>
      </c>
      <c r="AE4849">
        <v>1.8700000000002599E-3</v>
      </c>
      <c r="AF4849">
        <v>2.5273686708603301E-2</v>
      </c>
      <c r="AG4849">
        <v>-6.7856000000000097E-2</v>
      </c>
      <c r="AH4849">
        <v>0.68908685180708096</v>
      </c>
      <c r="AI4849">
        <v>95.620164017410403</v>
      </c>
      <c r="AJ4849">
        <v>87.899500215061494</v>
      </c>
      <c r="AK4849">
        <v>0.69288085939015398</v>
      </c>
      <c r="AL4849">
        <v>86.532541125603601</v>
      </c>
      <c r="AM4849">
        <v>85.922065121948293</v>
      </c>
      <c r="AN4849">
        <v>1.00000001197126</v>
      </c>
    </row>
    <row r="4850" spans="1:40" x14ac:dyDescent="0.25">
      <c r="A4850" t="str">
        <f>"20190312154657468"</f>
        <v>20190312154657468</v>
      </c>
      <c r="B4850" t="str">
        <f>"1552376817462587"</f>
        <v>1552376817462587</v>
      </c>
      <c r="C4850" t="s">
        <v>40</v>
      </c>
      <c r="D4850">
        <v>4.95899</v>
      </c>
      <c r="E4850">
        <v>0.48528260000000001</v>
      </c>
      <c r="F4850" t="s">
        <v>41</v>
      </c>
      <c r="G4850">
        <v>-355.87389999999999</v>
      </c>
      <c r="H4850">
        <v>1.0439290000000001</v>
      </c>
      <c r="I4850">
        <v>17.715</v>
      </c>
      <c r="J4850">
        <v>-356.56380000000001</v>
      </c>
      <c r="K4850">
        <v>1.1095969999999999</v>
      </c>
      <c r="L4850">
        <v>17.7135</v>
      </c>
      <c r="M4850">
        <v>0.99915929999999997</v>
      </c>
      <c r="N4850">
        <v>0</v>
      </c>
      <c r="O4850">
        <v>3.8615940000000001E-2</v>
      </c>
      <c r="P4850">
        <v>0.99834310000000004</v>
      </c>
      <c r="Q4850">
        <v>4.7273200000000001E-2</v>
      </c>
      <c r="R4850">
        <v>-3.2813229999999999E-2</v>
      </c>
      <c r="S4850">
        <v>3.016022</v>
      </c>
      <c r="T4850">
        <v>-0.2179886</v>
      </c>
      <c r="U4850">
        <v>3.1951899999999998E-2</v>
      </c>
      <c r="V4850">
        <v>7.1426030000000001E-2</v>
      </c>
      <c r="W4850">
        <v>6.0890010000000001E-2</v>
      </c>
      <c r="X4850">
        <v>0.99558559999999996</v>
      </c>
      <c r="Y4850">
        <v>2.7858529999999999E-2</v>
      </c>
      <c r="Z4850">
        <v>-3.7923509999999998E-3</v>
      </c>
      <c r="AA4850">
        <v>0.99960470000000001</v>
      </c>
      <c r="AB4850">
        <v>24</v>
      </c>
      <c r="AC4850">
        <v>0.68990000000002205</v>
      </c>
      <c r="AD4850">
        <v>-6.5667999999999796E-2</v>
      </c>
      <c r="AE4850">
        <v>1.5000000000000499E-3</v>
      </c>
      <c r="AF4850">
        <v>2.4919011800900798E-2</v>
      </c>
      <c r="AG4850">
        <v>-6.5667999999999796E-2</v>
      </c>
      <c r="AH4850">
        <v>0.68325291046601799</v>
      </c>
      <c r="AI4850">
        <v>95.486256855405699</v>
      </c>
      <c r="AJ4850">
        <v>87.911283436692202</v>
      </c>
      <c r="AK4850">
        <v>0.68685353826956297</v>
      </c>
      <c r="AL4850">
        <v>86.509099929147695</v>
      </c>
      <c r="AM4850">
        <v>85.896474967142893</v>
      </c>
      <c r="AN4850">
        <v>0.99999997900336002</v>
      </c>
    </row>
    <row r="4851" spans="1:40" x14ac:dyDescent="0.25">
      <c r="A4851" t="str">
        <f>"20190312154657489"</f>
        <v>20190312154657489</v>
      </c>
      <c r="B4851" t="str">
        <f>"1552376817483083"</f>
        <v>1552376817483083</v>
      </c>
      <c r="C4851" t="s">
        <v>40</v>
      </c>
      <c r="D4851">
        <v>4.9013730000000004</v>
      </c>
      <c r="E4851">
        <v>0.4851454</v>
      </c>
      <c r="F4851" t="s">
        <v>41</v>
      </c>
      <c r="G4851">
        <v>-355.66269999999997</v>
      </c>
      <c r="H4851">
        <v>1.044605</v>
      </c>
      <c r="I4851">
        <v>17.721959999999999</v>
      </c>
      <c r="J4851">
        <v>-356.32769999999999</v>
      </c>
      <c r="K4851">
        <v>1.109572</v>
      </c>
      <c r="L4851">
        <v>17.721679999999999</v>
      </c>
      <c r="M4851">
        <v>0.99919089999999999</v>
      </c>
      <c r="N4851">
        <v>0</v>
      </c>
      <c r="O4851">
        <v>3.7789120000000002E-2</v>
      </c>
      <c r="P4851">
        <v>0.9982915</v>
      </c>
      <c r="Q4851">
        <v>4.7468719999999999E-2</v>
      </c>
      <c r="R4851">
        <v>-3.4075929999999997E-2</v>
      </c>
      <c r="S4851">
        <v>3.016235</v>
      </c>
      <c r="T4851">
        <v>-0.2175211</v>
      </c>
      <c r="U4851">
        <v>2.944946E-2</v>
      </c>
      <c r="V4851">
        <v>7.1865899999999996E-2</v>
      </c>
      <c r="W4851">
        <v>6.1078010000000002E-2</v>
      </c>
      <c r="X4851">
        <v>0.9955425</v>
      </c>
      <c r="Y4851">
        <v>2.786425E-2</v>
      </c>
      <c r="Z4851">
        <v>-3.7246890000000002E-3</v>
      </c>
      <c r="AA4851">
        <v>0.99960479999999996</v>
      </c>
      <c r="AB4851">
        <v>24</v>
      </c>
      <c r="AC4851">
        <v>0.66500000000002002</v>
      </c>
      <c r="AD4851">
        <v>-6.4966999999999997E-2</v>
      </c>
      <c r="AE4851">
        <v>2.8000000000005798E-4</v>
      </c>
      <c r="AF4851">
        <v>2.4617391778915702E-2</v>
      </c>
      <c r="AG4851">
        <v>-6.4966999999999997E-2</v>
      </c>
      <c r="AH4851">
        <v>0.65825296897750896</v>
      </c>
      <c r="AI4851">
        <v>95.632703001324003</v>
      </c>
      <c r="AJ4851">
        <v>87.858246450087407</v>
      </c>
      <c r="AK4851">
        <v>0.66190913140302099</v>
      </c>
      <c r="AL4851">
        <v>86.498308485503003</v>
      </c>
      <c r="AM4851">
        <v>85.871112821120605</v>
      </c>
      <c r="AN4851">
        <v>1.0000000500973001</v>
      </c>
    </row>
    <row r="4852" spans="1:40" x14ac:dyDescent="0.25">
      <c r="A4852" t="str">
        <f>"20190312154657512"</f>
        <v>20190312154657512</v>
      </c>
      <c r="B4852" t="str">
        <f>"1552376817502604"</f>
        <v>1552376817502604</v>
      </c>
      <c r="C4852" t="s">
        <v>40</v>
      </c>
      <c r="D4852">
        <v>4.9840150000000003</v>
      </c>
      <c r="E4852">
        <v>0.4851087</v>
      </c>
      <c r="F4852" t="s">
        <v>41</v>
      </c>
      <c r="G4852">
        <v>-355.45080000000002</v>
      </c>
      <c r="H4852">
        <v>1.046262</v>
      </c>
      <c r="I4852">
        <v>17.72935</v>
      </c>
      <c r="J4852">
        <v>-356.09800000000001</v>
      </c>
      <c r="K4852">
        <v>1.1095539999999999</v>
      </c>
      <c r="L4852">
        <v>17.729429999999901</v>
      </c>
      <c r="M4852">
        <v>0.9992221</v>
      </c>
      <c r="N4852">
        <v>0</v>
      </c>
      <c r="O4852">
        <v>3.6954590000000002E-2</v>
      </c>
      <c r="P4852">
        <v>0.99823580000000001</v>
      </c>
      <c r="Q4852">
        <v>4.7619380000000003E-2</v>
      </c>
      <c r="R4852">
        <v>-3.5464460000000003E-2</v>
      </c>
      <c r="S4852">
        <v>3.0164179999999998</v>
      </c>
      <c r="T4852">
        <v>-0.21767909999999999</v>
      </c>
      <c r="U4852">
        <v>2.7130129999999999E-2</v>
      </c>
      <c r="V4852">
        <v>7.2422E-2</v>
      </c>
      <c r="W4852">
        <v>6.1221739999999997E-2</v>
      </c>
      <c r="X4852">
        <v>0.99549330000000003</v>
      </c>
      <c r="Y4852">
        <v>2.780061E-2</v>
      </c>
      <c r="Z4852">
        <v>-3.664779E-3</v>
      </c>
      <c r="AA4852">
        <v>0.99960680000000002</v>
      </c>
      <c r="AB4852">
        <v>24</v>
      </c>
      <c r="AC4852">
        <v>0.647199999999997</v>
      </c>
      <c r="AD4852">
        <v>-6.3292000000000098E-2</v>
      </c>
      <c r="AE4852" s="1">
        <v>-7.9999999996971301E-5</v>
      </c>
      <c r="AF4852">
        <v>2.3771878760933899E-2</v>
      </c>
      <c r="AG4852">
        <v>-6.3292000000000098E-2</v>
      </c>
      <c r="AH4852">
        <v>0.64062818627025797</v>
      </c>
      <c r="AI4852">
        <v>95.638472451210902</v>
      </c>
      <c r="AJ4852">
        <v>87.874892604468002</v>
      </c>
      <c r="AK4852">
        <v>0.64418588352101003</v>
      </c>
      <c r="AL4852">
        <v>86.490057673304605</v>
      </c>
      <c r="AM4852">
        <v>85.839070259383604</v>
      </c>
      <c r="AN4852">
        <v>0.99999997893875803</v>
      </c>
    </row>
    <row r="4853" spans="1:40" x14ac:dyDescent="0.25">
      <c r="A4853" t="str">
        <f>"20190312154657535"</f>
        <v>20190312154657535</v>
      </c>
      <c r="B4853" t="str">
        <f>"1552376817522123"</f>
        <v>1552376817522123</v>
      </c>
      <c r="C4853" t="s">
        <v>40</v>
      </c>
      <c r="D4853">
        <v>4.9846629999999896</v>
      </c>
      <c r="E4853">
        <v>0.48510399999999998</v>
      </c>
      <c r="F4853" t="s">
        <v>41</v>
      </c>
      <c r="G4853">
        <v>-355.23719999999997</v>
      </c>
      <c r="H4853">
        <v>1.0479639999999999</v>
      </c>
      <c r="I4853">
        <v>17.73582</v>
      </c>
      <c r="J4853">
        <v>-355.8537</v>
      </c>
      <c r="K4853">
        <v>1.1095469999999901</v>
      </c>
      <c r="L4853">
        <v>17.73743</v>
      </c>
      <c r="M4853">
        <v>0.99925520000000001</v>
      </c>
      <c r="N4853">
        <v>0</v>
      </c>
      <c r="O4853">
        <v>3.6052899999999999E-2</v>
      </c>
      <c r="P4853">
        <v>0.9981968</v>
      </c>
      <c r="Q4853">
        <v>4.7187800000000002E-2</v>
      </c>
      <c r="R4853">
        <v>-3.7106180000000002E-2</v>
      </c>
      <c r="S4853">
        <v>3.0164490000000002</v>
      </c>
      <c r="T4853">
        <v>-0.21572450000000001</v>
      </c>
      <c r="U4853">
        <v>2.3651120000000001E-2</v>
      </c>
      <c r="V4853">
        <v>7.3162379999999999E-2</v>
      </c>
      <c r="W4853">
        <v>6.07853E-2</v>
      </c>
      <c r="X4853">
        <v>0.99546590000000001</v>
      </c>
      <c r="Y4853">
        <v>2.8056129999999999E-2</v>
      </c>
      <c r="Z4853">
        <v>-3.5767030000000001E-3</v>
      </c>
      <c r="AA4853">
        <v>0.99959989999999999</v>
      </c>
      <c r="AB4853">
        <v>24</v>
      </c>
      <c r="AC4853">
        <v>0.61650000000003002</v>
      </c>
      <c r="AD4853">
        <v>-6.1582999999999902E-2</v>
      </c>
      <c r="AE4853">
        <v>-1.60999999999944E-3</v>
      </c>
      <c r="AF4853">
        <v>2.3602161988356001E-2</v>
      </c>
      <c r="AG4853">
        <v>-6.1582999999999902E-2</v>
      </c>
      <c r="AH4853">
        <v>0.60995482008701396</v>
      </c>
      <c r="AI4853">
        <v>95.760947397738306</v>
      </c>
      <c r="AJ4853">
        <v>87.784049086335003</v>
      </c>
      <c r="AK4853">
        <v>0.61350991066722504</v>
      </c>
      <c r="AL4853">
        <v>86.515110480513201</v>
      </c>
      <c r="AM4853">
        <v>85.796568917935801</v>
      </c>
      <c r="AN4853">
        <v>0.99999997230308102</v>
      </c>
    </row>
    <row r="4854" spans="1:40" x14ac:dyDescent="0.25">
      <c r="A4854" t="str">
        <f>"20190312154657557"</f>
        <v>20190312154657557</v>
      </c>
      <c r="B4854" t="str">
        <f>"1552376817552849"</f>
        <v>1552376817552849</v>
      </c>
      <c r="C4854" t="s">
        <v>40</v>
      </c>
      <c r="D4854">
        <v>5.0003710000000003</v>
      </c>
      <c r="E4854">
        <v>0.48515019999999998</v>
      </c>
      <c r="F4854" t="s">
        <v>42</v>
      </c>
      <c r="G4854">
        <v>-340.13740000000001</v>
      </c>
      <c r="H4854" s="1">
        <v>-4.5292260000000001E-6</v>
      </c>
      <c r="I4854">
        <v>17.835450000000002</v>
      </c>
      <c r="J4854">
        <v>-355.62240000000003</v>
      </c>
      <c r="K4854">
        <v>1.1095429999999999</v>
      </c>
      <c r="L4854">
        <v>17.744810000000001</v>
      </c>
      <c r="M4854">
        <v>0.9992856</v>
      </c>
      <c r="N4854">
        <v>0</v>
      </c>
      <c r="O4854">
        <v>3.5198390000000003E-2</v>
      </c>
      <c r="P4854">
        <v>0.99813890000000005</v>
      </c>
      <c r="Q4854">
        <v>4.6755379999999999E-2</v>
      </c>
      <c r="R4854">
        <v>-3.9150740000000003E-2</v>
      </c>
      <c r="S4854">
        <v>3.0161739999999999</v>
      </c>
      <c r="T4854">
        <v>-0.21293809999999999</v>
      </c>
      <c r="U4854">
        <v>1.8829350000000002E-2</v>
      </c>
      <c r="V4854">
        <v>7.4350769999999997E-2</v>
      </c>
      <c r="W4854">
        <v>6.0348840000000001E-2</v>
      </c>
      <c r="X4854">
        <v>0.99540439999999997</v>
      </c>
      <c r="Y4854">
        <v>2.8802979999999999E-2</v>
      </c>
      <c r="Z4854">
        <v>-3.4970840000000001E-3</v>
      </c>
      <c r="AA4854">
        <v>0.999579</v>
      </c>
      <c r="AB4854">
        <v>23</v>
      </c>
      <c r="AC4854">
        <v>15.484999999999999</v>
      </c>
      <c r="AD4854">
        <v>-1.109547529226</v>
      </c>
      <c r="AE4854">
        <v>9.0640000000000498E-2</v>
      </c>
      <c r="AF4854">
        <v>0.45219330529111701</v>
      </c>
      <c r="AG4854">
        <v>-1.109547529226</v>
      </c>
      <c r="AH4854">
        <v>15.399532547928199</v>
      </c>
      <c r="AI4854">
        <v>94.119311758468896</v>
      </c>
      <c r="AJ4854">
        <v>88.318044714964898</v>
      </c>
      <c r="AK4854">
        <v>15.4460731967598</v>
      </c>
      <c r="AL4854">
        <v>86.540163782302798</v>
      </c>
      <c r="AM4854">
        <v>85.7282795766655</v>
      </c>
      <c r="AN4854">
        <v>0.99999996951414805</v>
      </c>
    </row>
    <row r="4855" spans="1:40" x14ac:dyDescent="0.25">
      <c r="A4855" t="str">
        <f>"20190312154657579"</f>
        <v>20190312154657579</v>
      </c>
      <c r="B4855" t="str">
        <f>"1552376817572369"</f>
        <v>1552376817572369</v>
      </c>
      <c r="C4855" t="s">
        <v>40</v>
      </c>
      <c r="D4855">
        <v>4.9319839999999999</v>
      </c>
      <c r="E4855">
        <v>0.5088123</v>
      </c>
      <c r="F4855" t="s">
        <v>42</v>
      </c>
      <c r="G4855">
        <v>-339.71289999999999</v>
      </c>
      <c r="H4855" s="1">
        <v>-5.6493709999999999E-7</v>
      </c>
      <c r="I4855">
        <v>17.807829999999999</v>
      </c>
      <c r="J4855">
        <v>-355.38670000000002</v>
      </c>
      <c r="K4855">
        <v>1.1095489999999999</v>
      </c>
      <c r="L4855">
        <v>17.752079999999999</v>
      </c>
      <c r="M4855">
        <v>0.99931579999999998</v>
      </c>
      <c r="N4855">
        <v>0</v>
      </c>
      <c r="O4855">
        <v>3.4333759999999998E-2</v>
      </c>
      <c r="P4855">
        <v>0.99808629999999998</v>
      </c>
      <c r="Q4855">
        <v>4.667781E-2</v>
      </c>
      <c r="R4855">
        <v>-4.0563259999999997E-2</v>
      </c>
      <c r="S4855">
        <v>3.01593</v>
      </c>
      <c r="T4855">
        <v>-0.2103342</v>
      </c>
      <c r="U4855">
        <v>1.196289E-2</v>
      </c>
      <c r="V4855">
        <v>7.4897160000000004E-2</v>
      </c>
      <c r="W4855">
        <v>6.0269349999999999E-2</v>
      </c>
      <c r="X4855">
        <v>0.99536829999999998</v>
      </c>
      <c r="Y4855">
        <v>3.0215780000000001E-2</v>
      </c>
      <c r="Z4855">
        <v>-3.4437500000000002E-3</v>
      </c>
      <c r="AA4855">
        <v>0.99953749999999997</v>
      </c>
      <c r="AB4855">
        <v>23</v>
      </c>
      <c r="AC4855">
        <v>15.6738</v>
      </c>
      <c r="AD4855">
        <v>-1.1095495649371001</v>
      </c>
      <c r="AE4855">
        <v>5.5749999999999703E-2</v>
      </c>
      <c r="AF4855">
        <v>0.48006855158157802</v>
      </c>
      <c r="AG4855">
        <v>-1.1095495649371001</v>
      </c>
      <c r="AH4855">
        <v>15.5883556890671</v>
      </c>
      <c r="AI4855">
        <v>94.069415671818604</v>
      </c>
      <c r="AJ4855">
        <v>88.236041596928999</v>
      </c>
      <c r="AK4855">
        <v>15.635165465710299</v>
      </c>
      <c r="AL4855">
        <v>86.544726689716796</v>
      </c>
      <c r="AM4855">
        <v>85.696849500206696</v>
      </c>
      <c r="AN4855">
        <v>1.0000000158851801</v>
      </c>
    </row>
    <row r="4856" spans="1:40" x14ac:dyDescent="0.25">
      <c r="A4856" t="str">
        <f>"20190312154657601"</f>
        <v>20190312154657601</v>
      </c>
      <c r="B4856" t="str">
        <f>"1552376817592864"</f>
        <v>1552376817592864</v>
      </c>
      <c r="C4856" t="s">
        <v>40</v>
      </c>
      <c r="D4856">
        <v>4.8339679999999996</v>
      </c>
      <c r="E4856">
        <v>0.51339939999999995</v>
      </c>
      <c r="F4856" t="s">
        <v>42</v>
      </c>
      <c r="G4856">
        <v>-335.90159999999997</v>
      </c>
      <c r="H4856" s="1">
        <v>-2.2809949999999999E-6</v>
      </c>
      <c r="I4856">
        <v>16.569379999999999</v>
      </c>
      <c r="J4856">
        <v>-355.15820000000002</v>
      </c>
      <c r="K4856">
        <v>1.109559</v>
      </c>
      <c r="L4856">
        <v>17.758970000000001</v>
      </c>
      <c r="M4856">
        <v>0.99934400000000001</v>
      </c>
      <c r="N4856">
        <v>0</v>
      </c>
      <c r="O4856">
        <v>3.350421E-2</v>
      </c>
      <c r="P4856">
        <v>0.99806070000000002</v>
      </c>
      <c r="Q4856">
        <v>4.6372719999999999E-2</v>
      </c>
      <c r="R4856">
        <v>-4.1525359999999997E-2</v>
      </c>
      <c r="S4856">
        <v>3.006348</v>
      </c>
      <c r="T4856">
        <v>-0.1711916</v>
      </c>
      <c r="U4856">
        <v>-0.1824646</v>
      </c>
      <c r="V4856">
        <v>7.5029020000000002E-2</v>
      </c>
      <c r="W4856">
        <v>5.9963299999999997E-2</v>
      </c>
      <c r="X4856">
        <v>0.99537679999999995</v>
      </c>
      <c r="Y4856">
        <v>9.3787919999999997E-2</v>
      </c>
      <c r="Z4856">
        <v>-4.5706389999999996E-3</v>
      </c>
      <c r="AA4856">
        <v>0.99558170000000001</v>
      </c>
      <c r="AB4856">
        <v>23</v>
      </c>
      <c r="AC4856">
        <v>19.256599999999999</v>
      </c>
      <c r="AD4856">
        <v>-1.109561280995</v>
      </c>
      <c r="AE4856">
        <v>-1.1895899999999999</v>
      </c>
      <c r="AF4856">
        <v>1.8281138325228301</v>
      </c>
      <c r="AG4856">
        <v>-1.109561280995</v>
      </c>
      <c r="AH4856">
        <v>19.142614167676602</v>
      </c>
      <c r="AI4856">
        <v>93.302326086963703</v>
      </c>
      <c r="AJ4856">
        <v>84.544814449025196</v>
      </c>
      <c r="AK4856">
        <v>19.261692646117002</v>
      </c>
      <c r="AL4856">
        <v>86.562293651694006</v>
      </c>
      <c r="AM4856">
        <v>85.689338803476105</v>
      </c>
      <c r="AN4856">
        <v>0.99999996258364399</v>
      </c>
    </row>
    <row r="4857" spans="1:40" x14ac:dyDescent="0.25">
      <c r="A4857" t="str">
        <f>"20190312154657626"</f>
        <v>20190312154657626</v>
      </c>
      <c r="B4857" t="str">
        <f>"1552376817612384"</f>
        <v>1552376817612384</v>
      </c>
      <c r="C4857" t="s">
        <v>40</v>
      </c>
      <c r="D4857">
        <v>4.8165639999999996</v>
      </c>
      <c r="E4857">
        <v>0.51572269999999998</v>
      </c>
      <c r="F4857" t="s">
        <v>42</v>
      </c>
      <c r="G4857">
        <v>-335.44869999999997</v>
      </c>
      <c r="H4857" s="1">
        <v>-2.5228630000000001E-6</v>
      </c>
      <c r="I4857">
        <v>16.30104</v>
      </c>
      <c r="J4857">
        <v>-354.91590000000002</v>
      </c>
      <c r="K4857">
        <v>1.109572</v>
      </c>
      <c r="L4857">
        <v>17.766079999999999</v>
      </c>
      <c r="M4857">
        <v>0.9993727</v>
      </c>
      <c r="N4857">
        <v>0</v>
      </c>
      <c r="O4857">
        <v>3.2636470000000001E-2</v>
      </c>
      <c r="P4857">
        <v>0.99803560000000002</v>
      </c>
      <c r="Q4857">
        <v>4.6542760000000002E-2</v>
      </c>
      <c r="R4857">
        <v>-4.1936920000000003E-2</v>
      </c>
      <c r="S4857">
        <v>3.0044249999999999</v>
      </c>
      <c r="T4857">
        <v>-0.1691365</v>
      </c>
      <c r="U4857">
        <v>-0.22222900000000001</v>
      </c>
      <c r="V4857">
        <v>7.4573070000000005E-2</v>
      </c>
      <c r="W4857">
        <v>6.0134189999999997E-2</v>
      </c>
      <c r="X4857">
        <v>0.99540079999999997</v>
      </c>
      <c r="Y4857">
        <v>0.1060585</v>
      </c>
      <c r="Z4857">
        <v>-4.8127300000000003E-3</v>
      </c>
      <c r="AA4857">
        <v>0.99434820000000002</v>
      </c>
      <c r="AB4857">
        <v>23</v>
      </c>
      <c r="AC4857">
        <v>19.467199999999998</v>
      </c>
      <c r="AD4857">
        <v>-1.1095745228630001</v>
      </c>
      <c r="AE4857">
        <v>-1.4650399999999899</v>
      </c>
      <c r="AF4857">
        <v>2.09289931280557</v>
      </c>
      <c r="AG4857">
        <v>-1.1095745228630001</v>
      </c>
      <c r="AH4857">
        <v>19.346512847860801</v>
      </c>
      <c r="AI4857">
        <v>93.263472207747398</v>
      </c>
      <c r="AJ4857">
        <v>83.825772292076095</v>
      </c>
      <c r="AK4857">
        <v>19.490996447790199</v>
      </c>
      <c r="AL4857">
        <v>86.552484831860696</v>
      </c>
      <c r="AM4857">
        <v>85.715539688305</v>
      </c>
      <c r="AN4857">
        <v>1.0000000081084099</v>
      </c>
    </row>
    <row r="4858" spans="1:40" x14ac:dyDescent="0.25">
      <c r="A4858" t="str">
        <f>"20190312154657647"</f>
        <v>20190312154657647</v>
      </c>
      <c r="B4858" t="str">
        <f>"1552376817642641"</f>
        <v>1552376817642641</v>
      </c>
      <c r="C4858" t="s">
        <v>40</v>
      </c>
      <c r="D4858">
        <v>4.8351350000000002</v>
      </c>
      <c r="E4858">
        <v>0.51761250000000003</v>
      </c>
      <c r="F4858" t="s">
        <v>42</v>
      </c>
      <c r="G4858">
        <v>-336.34550000000002</v>
      </c>
      <c r="H4858" s="1">
        <v>-2.143357E-6</v>
      </c>
      <c r="I4858">
        <v>16.271709999999999</v>
      </c>
      <c r="J4858">
        <v>-354.68029999999999</v>
      </c>
      <c r="K4858">
        <v>1.109583</v>
      </c>
      <c r="L4858">
        <v>17.772770000000001</v>
      </c>
      <c r="M4858">
        <v>0.99939960000000005</v>
      </c>
      <c r="N4858">
        <v>0</v>
      </c>
      <c r="O4858">
        <v>3.180322E-2</v>
      </c>
      <c r="P4858">
        <v>0.9979983</v>
      </c>
      <c r="Q4858">
        <v>4.7466399999999999E-2</v>
      </c>
      <c r="R4858">
        <v>-4.1792179999999998E-2</v>
      </c>
      <c r="S4858">
        <v>3.0041199999999999</v>
      </c>
      <c r="T4858">
        <v>-0.1794944</v>
      </c>
      <c r="U4858">
        <v>-0.24172969999999999</v>
      </c>
      <c r="V4858">
        <v>7.3596289999999995E-2</v>
      </c>
      <c r="W4858">
        <v>6.105944E-2</v>
      </c>
      <c r="X4858">
        <v>0.9954172</v>
      </c>
      <c r="Y4858">
        <v>0.1116157</v>
      </c>
      <c r="Z4858">
        <v>-5.2221739999999996E-3</v>
      </c>
      <c r="AA4858">
        <v>0.99373769999999995</v>
      </c>
      <c r="AB4858">
        <v>23</v>
      </c>
      <c r="AC4858">
        <v>18.334799999999898</v>
      </c>
      <c r="AD4858">
        <v>-1.1095851433570001</v>
      </c>
      <c r="AE4858">
        <v>-1.5010599999999901</v>
      </c>
      <c r="AF4858">
        <v>2.0759090878926099</v>
      </c>
      <c r="AG4858">
        <v>-1.1095851433570001</v>
      </c>
      <c r="AH4858">
        <v>18.211526229330701</v>
      </c>
      <c r="AI4858">
        <v>93.464207898427404</v>
      </c>
      <c r="AJ4858">
        <v>83.496994312017804</v>
      </c>
      <c r="AK4858">
        <v>18.363013514484798</v>
      </c>
      <c r="AL4858">
        <v>86.499374406780106</v>
      </c>
      <c r="AM4858">
        <v>85.7715233254835</v>
      </c>
      <c r="AN4858">
        <v>1.00000003558535</v>
      </c>
    </row>
    <row r="4859" spans="1:40" x14ac:dyDescent="0.25">
      <c r="A4859" t="str">
        <f>"20190312154657679"</f>
        <v>20190312154657679</v>
      </c>
      <c r="B4859" t="str">
        <f>"1552376817672429"</f>
        <v>1552376817672429</v>
      </c>
      <c r="C4859" t="s">
        <v>40</v>
      </c>
      <c r="D4859">
        <v>4.8203880000000003</v>
      </c>
      <c r="E4859">
        <v>0.51850399999999996</v>
      </c>
      <c r="F4859" t="s">
        <v>42</v>
      </c>
      <c r="G4859">
        <v>-336.69819999999999</v>
      </c>
      <c r="H4859" s="1">
        <v>-2.0081049999999998E-6</v>
      </c>
      <c r="I4859">
        <v>16.23969</v>
      </c>
      <c r="J4859">
        <v>-354.34660000000002</v>
      </c>
      <c r="K4859">
        <v>1.1096060000000001</v>
      </c>
      <c r="L4859">
        <v>17.781949999999998</v>
      </c>
      <c r="M4859">
        <v>0.9994364</v>
      </c>
      <c r="N4859">
        <v>0</v>
      </c>
      <c r="O4859">
        <v>3.0633899999999999E-2</v>
      </c>
      <c r="P4859">
        <v>0.99794260000000001</v>
      </c>
      <c r="Q4859">
        <v>4.896503E-2</v>
      </c>
      <c r="R4859">
        <v>-4.1398919999999999E-2</v>
      </c>
      <c r="S4859">
        <v>3.0041199999999999</v>
      </c>
      <c r="T4859">
        <v>-0.1853687</v>
      </c>
      <c r="U4859">
        <v>-0.25610349999999998</v>
      </c>
      <c r="V4859">
        <v>7.2035950000000001E-2</v>
      </c>
      <c r="W4859">
        <v>6.2559110000000001E-2</v>
      </c>
      <c r="X4859">
        <v>0.99543820000000005</v>
      </c>
      <c r="Y4859">
        <v>0.1151534</v>
      </c>
      <c r="Z4859">
        <v>-5.4286019999999898E-3</v>
      </c>
      <c r="AA4859">
        <v>0.99333289999999996</v>
      </c>
      <c r="AB4859">
        <v>23</v>
      </c>
      <c r="AC4859">
        <v>17.648399999999999</v>
      </c>
      <c r="AD4859">
        <v>-1.1096080081049999</v>
      </c>
      <c r="AE4859">
        <v>-1.54225999999999</v>
      </c>
      <c r="AF4859">
        <v>2.07408953678623</v>
      </c>
      <c r="AG4859">
        <v>-1.1096080081049999</v>
      </c>
      <c r="AH4859">
        <v>17.52411756191</v>
      </c>
      <c r="AI4859">
        <v>93.598022823822504</v>
      </c>
      <c r="AJ4859">
        <v>83.250085311964199</v>
      </c>
      <c r="AK4859">
        <v>17.681283145232999</v>
      </c>
      <c r="AL4859">
        <v>86.413284962020398</v>
      </c>
      <c r="AM4859">
        <v>85.860944774333802</v>
      </c>
      <c r="AN4859">
        <v>1.0000000151778099</v>
      </c>
    </row>
    <row r="4860" spans="1:40" x14ac:dyDescent="0.25">
      <c r="A4860" t="str">
        <f>"20190312154657702"</f>
        <v>20190312154657702</v>
      </c>
      <c r="B4860" t="str">
        <f>"1552376817692922"</f>
        <v>1552376817692922</v>
      </c>
      <c r="C4860" t="s">
        <v>40</v>
      </c>
      <c r="D4860">
        <v>4.8151289999999998</v>
      </c>
      <c r="E4860">
        <v>0.51897360000000003</v>
      </c>
      <c r="F4860" t="s">
        <v>42</v>
      </c>
      <c r="G4860">
        <v>-336.17329999999998</v>
      </c>
      <c r="H4860" s="1">
        <v>-2.230146E-6</v>
      </c>
      <c r="I4860">
        <v>16.198720000000002</v>
      </c>
      <c r="J4860">
        <v>-354.10489999999999</v>
      </c>
      <c r="K4860">
        <v>1.109613</v>
      </c>
      <c r="L4860">
        <v>17.788329999999998</v>
      </c>
      <c r="M4860">
        <v>0.99946179999999996</v>
      </c>
      <c r="N4860">
        <v>0</v>
      </c>
      <c r="O4860">
        <v>2.9790380000000002E-2</v>
      </c>
      <c r="P4860">
        <v>0.99792910000000001</v>
      </c>
      <c r="Q4860">
        <v>4.9118809999999999E-2</v>
      </c>
      <c r="R4860">
        <v>-4.1533390000000003E-2</v>
      </c>
      <c r="S4860">
        <v>3.0043329999999999</v>
      </c>
      <c r="T4860">
        <v>-0.18343590000000001</v>
      </c>
      <c r="U4860">
        <v>-0.26171879999999997</v>
      </c>
      <c r="V4860">
        <v>7.1328359999999993E-2</v>
      </c>
      <c r="W4860">
        <v>6.27133E-2</v>
      </c>
      <c r="X4860">
        <v>0.99547949999999996</v>
      </c>
      <c r="Y4860">
        <v>0.11615739999999899</v>
      </c>
      <c r="Z4860">
        <v>-5.3504969999999897E-3</v>
      </c>
      <c r="AA4860">
        <v>0.9932164</v>
      </c>
      <c r="AB4860">
        <v>23</v>
      </c>
      <c r="AC4860">
        <v>17.9316</v>
      </c>
      <c r="AD4860">
        <v>-1.1096152301459901</v>
      </c>
      <c r="AE4860">
        <v>-1.58960999999999</v>
      </c>
      <c r="AF4860">
        <v>2.1151079227804899</v>
      </c>
      <c r="AG4860">
        <v>-1.1096152301459901</v>
      </c>
      <c r="AH4860">
        <v>17.8086194873922</v>
      </c>
      <c r="AI4860">
        <v>93.540542618953793</v>
      </c>
      <c r="AJ4860">
        <v>83.226779260689497</v>
      </c>
      <c r="AK4860">
        <v>17.9680787935357</v>
      </c>
      <c r="AL4860">
        <v>86.404433320214295</v>
      </c>
      <c r="AM4860">
        <v>85.901631838377696</v>
      </c>
      <c r="AN4860">
        <v>1.0000000639287101</v>
      </c>
    </row>
    <row r="4861" spans="1:40" x14ac:dyDescent="0.25">
      <c r="A4861" t="str">
        <f>"20190312154657725"</f>
        <v>20190312154657725</v>
      </c>
      <c r="B4861" t="str">
        <f>"1552376817712446"</f>
        <v>1552376817712446</v>
      </c>
      <c r="C4861" t="s">
        <v>40</v>
      </c>
      <c r="D4861">
        <v>4.8145249999999997</v>
      </c>
      <c r="E4861">
        <v>0.51930080000000001</v>
      </c>
      <c r="F4861" t="s">
        <v>42</v>
      </c>
      <c r="G4861">
        <v>-336.03519999999997</v>
      </c>
      <c r="H4861" s="1">
        <v>-2.2910109999999998E-6</v>
      </c>
      <c r="I4861">
        <v>16.18985</v>
      </c>
      <c r="J4861">
        <v>-353.87729999999999</v>
      </c>
      <c r="K4861">
        <v>1.1096239999999999</v>
      </c>
      <c r="L4861">
        <v>17.79419</v>
      </c>
      <c r="M4861">
        <v>0.99948510000000002</v>
      </c>
      <c r="N4861">
        <v>0</v>
      </c>
      <c r="O4861">
        <v>2.8996290000000001E-2</v>
      </c>
      <c r="P4861">
        <v>0.99789450000000002</v>
      </c>
      <c r="Q4861">
        <v>4.9034220000000003E-2</v>
      </c>
      <c r="R4861">
        <v>-4.245728E-2</v>
      </c>
      <c r="S4861">
        <v>3.0042420000000001</v>
      </c>
      <c r="T4861">
        <v>-0.1844827</v>
      </c>
      <c r="U4861">
        <v>-0.26574710000000001</v>
      </c>
      <c r="V4861">
        <v>7.1458399999999894E-2</v>
      </c>
      <c r="W4861">
        <v>6.2626180000000004E-2</v>
      </c>
      <c r="X4861">
        <v>0.99547560000000002</v>
      </c>
      <c r="Y4861">
        <v>0.1166899</v>
      </c>
      <c r="Z4861">
        <v>-5.34849E-3</v>
      </c>
      <c r="AA4861">
        <v>0.99315399999999998</v>
      </c>
      <c r="AB4861">
        <v>23</v>
      </c>
      <c r="AC4861">
        <v>17.842099999999999</v>
      </c>
      <c r="AD4861">
        <v>-1.109626291011</v>
      </c>
      <c r="AE4861">
        <v>-1.6043400000000001</v>
      </c>
      <c r="AF4861">
        <v>2.1129618965774499</v>
      </c>
      <c r="AG4861">
        <v>-1.109626291011</v>
      </c>
      <c r="AH4861">
        <v>17.720084377846099</v>
      </c>
      <c r="AI4861">
        <v>93.558025637127798</v>
      </c>
      <c r="AJ4861">
        <v>83.200096401978698</v>
      </c>
      <c r="AK4861">
        <v>17.8800802246544</v>
      </c>
      <c r="AL4861">
        <v>86.409434550352998</v>
      </c>
      <c r="AM4861">
        <v>85.894169530016001</v>
      </c>
      <c r="AN4861">
        <v>1.00000000577365</v>
      </c>
    </row>
    <row r="4862" spans="1:40" x14ac:dyDescent="0.25">
      <c r="A4862" t="str">
        <f>"20190312154657746"</f>
        <v>20190312154657746</v>
      </c>
      <c r="B4862" t="str">
        <f>"1552376817742698"</f>
        <v>1552376817742698</v>
      </c>
      <c r="C4862" t="s">
        <v>40</v>
      </c>
      <c r="D4862">
        <v>4.7710089999999896</v>
      </c>
      <c r="E4862">
        <v>0.51932789999999995</v>
      </c>
      <c r="F4862" t="s">
        <v>42</v>
      </c>
      <c r="G4862">
        <v>-335.97329999999999</v>
      </c>
      <c r="H4862" s="1">
        <v>-2.3194990000000002E-6</v>
      </c>
      <c r="I4862">
        <v>16.178750000000001</v>
      </c>
      <c r="J4862">
        <v>-353.65159999999997</v>
      </c>
      <c r="K4862">
        <v>1.1096299999999999</v>
      </c>
      <c r="L4862">
        <v>17.799800000000001</v>
      </c>
      <c r="M4862">
        <v>0.99950779999999995</v>
      </c>
      <c r="N4862">
        <v>0</v>
      </c>
      <c r="O4862">
        <v>2.8207010000000001E-2</v>
      </c>
      <c r="P4862">
        <v>0.99784200000000001</v>
      </c>
      <c r="Q4862">
        <v>4.906518E-2</v>
      </c>
      <c r="R4862">
        <v>-4.3639070000000002E-2</v>
      </c>
      <c r="S4862">
        <v>3.0039669999999998</v>
      </c>
      <c r="T4862">
        <v>-0.1861748</v>
      </c>
      <c r="U4862">
        <v>-0.27102659999999901</v>
      </c>
      <c r="V4862">
        <v>7.1851079999999998E-2</v>
      </c>
      <c r="W4862">
        <v>6.2654749999999995E-2</v>
      </c>
      <c r="X4862">
        <v>0.99544549999999998</v>
      </c>
      <c r="Y4862">
        <v>0.11763990000000001</v>
      </c>
      <c r="Z4862">
        <v>-5.3780939999999999E-3</v>
      </c>
      <c r="AA4862">
        <v>0.99304179999999997</v>
      </c>
      <c r="AB4862">
        <v>23</v>
      </c>
      <c r="AC4862">
        <v>17.678299999999901</v>
      </c>
      <c r="AD4862">
        <v>-1.1096323194990001</v>
      </c>
      <c r="AE4862">
        <v>-1.6210500000000001</v>
      </c>
      <c r="AF4862">
        <v>2.1108567956361899</v>
      </c>
      <c r="AG4862">
        <v>-1.1096323194990001</v>
      </c>
      <c r="AH4862">
        <v>17.556940701268999</v>
      </c>
      <c r="AI4862">
        <v>93.590603344684098</v>
      </c>
      <c r="AJ4862">
        <v>83.144281613257803</v>
      </c>
      <c r="AK4862">
        <v>17.718159246491599</v>
      </c>
      <c r="AL4862">
        <v>86.407794258207105</v>
      </c>
      <c r="AM4862">
        <v>85.871560464772202</v>
      </c>
      <c r="AN4862">
        <v>0.99999996943248903</v>
      </c>
    </row>
    <row r="4863" spans="1:40" x14ac:dyDescent="0.25">
      <c r="A4863" t="str">
        <f>"20190312154657768"</f>
        <v>20190312154657768</v>
      </c>
      <c r="B4863" t="str">
        <f>"1552376817762728"</f>
        <v>1552376817762728</v>
      </c>
      <c r="C4863" t="s">
        <v>40</v>
      </c>
      <c r="D4863">
        <v>4.7873429999999999</v>
      </c>
      <c r="E4863">
        <v>0.5195149</v>
      </c>
      <c r="F4863" t="s">
        <v>42</v>
      </c>
      <c r="G4863">
        <v>-336.22120000000001</v>
      </c>
      <c r="H4863" s="1">
        <v>-2.2080459999999999E-6</v>
      </c>
      <c r="I4863">
        <v>16.20759</v>
      </c>
      <c r="J4863">
        <v>-353.42129999999997</v>
      </c>
      <c r="K4863">
        <v>1.1096360000000001</v>
      </c>
      <c r="L4863">
        <v>17.805329999999898</v>
      </c>
      <c r="M4863">
        <v>0.99953020000000004</v>
      </c>
      <c r="N4863">
        <v>0</v>
      </c>
      <c r="O4863">
        <v>2.7400299999999999E-2</v>
      </c>
      <c r="P4863">
        <v>0.99778409999999995</v>
      </c>
      <c r="Q4863">
        <v>4.9212840000000001E-2</v>
      </c>
      <c r="R4863">
        <v>-4.4777740000000003E-2</v>
      </c>
      <c r="S4863">
        <v>3.0039060000000002</v>
      </c>
      <c r="T4863">
        <v>-0.1912305</v>
      </c>
      <c r="U4863">
        <v>-0.2743835</v>
      </c>
      <c r="V4863">
        <v>7.218347E-2</v>
      </c>
      <c r="W4863">
        <v>6.2799900000000006E-2</v>
      </c>
      <c r="X4863">
        <v>0.99541230000000003</v>
      </c>
      <c r="Y4863">
        <v>0.1179268</v>
      </c>
      <c r="Z4863">
        <v>-5.4815749999999998E-3</v>
      </c>
      <c r="AA4863">
        <v>0.99300719999999998</v>
      </c>
      <c r="AB4863">
        <v>23</v>
      </c>
      <c r="AC4863">
        <v>17.2000999999999</v>
      </c>
      <c r="AD4863">
        <v>-1.1096382080460001</v>
      </c>
      <c r="AE4863">
        <v>-1.5977399999999899</v>
      </c>
      <c r="AF4863">
        <v>2.0599721176850099</v>
      </c>
      <c r="AG4863">
        <v>-1.1096382080460001</v>
      </c>
      <c r="AH4863">
        <v>17.079382104239901</v>
      </c>
      <c r="AI4863">
        <v>93.690579347565404</v>
      </c>
      <c r="AJ4863">
        <v>83.122682731822096</v>
      </c>
      <c r="AK4863">
        <v>17.238911657672201</v>
      </c>
      <c r="AL4863">
        <v>86.399461345606099</v>
      </c>
      <c r="AM4863">
        <v>85.852390552521797</v>
      </c>
      <c r="AN4863">
        <v>0.99999996388626899</v>
      </c>
    </row>
    <row r="4864" spans="1:40" x14ac:dyDescent="0.25">
      <c r="A4864" t="str">
        <f>"20190312154657791"</f>
        <v>20190312154657791</v>
      </c>
      <c r="B4864" t="str">
        <f>"1552376817782248"</f>
        <v>1552376817782248</v>
      </c>
      <c r="C4864" t="s">
        <v>40</v>
      </c>
      <c r="D4864">
        <v>4.8595160000000002</v>
      </c>
      <c r="E4864">
        <v>0.51971109999999998</v>
      </c>
      <c r="F4864" t="s">
        <v>42</v>
      </c>
      <c r="G4864">
        <v>-336.01069999999999</v>
      </c>
      <c r="H4864" s="1">
        <v>-2.3023570000000001E-6</v>
      </c>
      <c r="I4864">
        <v>16.18505</v>
      </c>
      <c r="J4864">
        <v>-353.1925</v>
      </c>
      <c r="K4864">
        <v>1.1096429999999999</v>
      </c>
      <c r="L4864">
        <v>17.810669999999998</v>
      </c>
      <c r="M4864">
        <v>0.99955190000000005</v>
      </c>
      <c r="N4864">
        <v>0</v>
      </c>
      <c r="O4864">
        <v>2.6597510000000001E-2</v>
      </c>
      <c r="P4864">
        <v>0.99772910000000004</v>
      </c>
      <c r="Q4864">
        <v>4.9470199999999999E-2</v>
      </c>
      <c r="R4864">
        <v>-4.5711630000000003E-2</v>
      </c>
      <c r="S4864">
        <v>3.0036010000000002</v>
      </c>
      <c r="T4864">
        <v>-0.19142999999999999</v>
      </c>
      <c r="U4864">
        <v>-0.2795105</v>
      </c>
      <c r="V4864">
        <v>7.2315470000000007E-2</v>
      </c>
      <c r="W4864">
        <v>6.3054499999999999E-2</v>
      </c>
      <c r="X4864">
        <v>0.99538669999999996</v>
      </c>
      <c r="Y4864">
        <v>0.1188183</v>
      </c>
      <c r="Z4864">
        <v>-5.4647119999999896E-3</v>
      </c>
      <c r="AA4864">
        <v>0.99290100000000003</v>
      </c>
      <c r="AB4864">
        <v>23</v>
      </c>
      <c r="AC4864">
        <v>17.181799999999999</v>
      </c>
      <c r="AD4864">
        <v>-1.1096453023570001</v>
      </c>
      <c r="AE4864">
        <v>-1.6256200000000001</v>
      </c>
      <c r="AF4864">
        <v>2.0735092824020001</v>
      </c>
      <c r="AG4864">
        <v>-1.1096453023570001</v>
      </c>
      <c r="AH4864">
        <v>17.061946317667999</v>
      </c>
      <c r="AI4864">
        <v>93.693960965400606</v>
      </c>
      <c r="AJ4864">
        <v>83.070920314408795</v>
      </c>
      <c r="AK4864">
        <v>17.223262338716101</v>
      </c>
      <c r="AL4864">
        <v>86.384845146473793</v>
      </c>
      <c r="AM4864">
        <v>85.844725979363304</v>
      </c>
      <c r="AN4864">
        <v>1.0000000398542199</v>
      </c>
    </row>
    <row r="4865" spans="1:40" x14ac:dyDescent="0.25">
      <c r="A4865" t="str">
        <f>"20190312154657814"</f>
        <v>20190312154657814</v>
      </c>
      <c r="B4865" t="str">
        <f>"1552376817802744"</f>
        <v>1552376817802744</v>
      </c>
      <c r="C4865" t="s">
        <v>40</v>
      </c>
      <c r="D4865">
        <v>4.8381100000000004</v>
      </c>
      <c r="E4865">
        <v>0.55501979999999995</v>
      </c>
      <c r="F4865" t="s">
        <v>42</v>
      </c>
      <c r="G4865">
        <v>-335.68920000000003</v>
      </c>
      <c r="H4865" s="1">
        <v>-2.4457320000000002E-6</v>
      </c>
      <c r="I4865">
        <v>16.154339999999898</v>
      </c>
      <c r="J4865">
        <v>-352.95440000000002</v>
      </c>
      <c r="K4865">
        <v>1.1096410000000001</v>
      </c>
      <c r="L4865">
        <v>17.816009999999999</v>
      </c>
      <c r="M4865">
        <v>0.99957390000000002</v>
      </c>
      <c r="N4865">
        <v>0</v>
      </c>
      <c r="O4865">
        <v>2.5760620000000001E-2</v>
      </c>
      <c r="P4865">
        <v>0.99768699999999999</v>
      </c>
      <c r="Q4865">
        <v>4.954186E-2</v>
      </c>
      <c r="R4865">
        <v>-4.6543550000000003E-2</v>
      </c>
      <c r="S4865">
        <v>3.0032350000000001</v>
      </c>
      <c r="T4865">
        <v>-0.19039339999999999</v>
      </c>
      <c r="U4865">
        <v>-0.28417969999999998</v>
      </c>
      <c r="V4865">
        <v>7.2312059999999997E-2</v>
      </c>
      <c r="W4865">
        <v>6.3123970000000001E-2</v>
      </c>
      <c r="X4865">
        <v>0.99538249999999995</v>
      </c>
      <c r="Y4865">
        <v>0.1195317</v>
      </c>
      <c r="Z4865">
        <v>-5.4050890000000001E-3</v>
      </c>
      <c r="AA4865">
        <v>0.99281569999999997</v>
      </c>
      <c r="AB4865">
        <v>23</v>
      </c>
      <c r="AC4865">
        <v>17.265199999999901</v>
      </c>
      <c r="AD4865">
        <v>-1.1096434457319999</v>
      </c>
      <c r="AE4865">
        <v>-1.66167</v>
      </c>
      <c r="AF4865">
        <v>2.0973386505332599</v>
      </c>
      <c r="AG4865">
        <v>-1.1096434457319999</v>
      </c>
      <c r="AH4865">
        <v>17.146482672478498</v>
      </c>
      <c r="AI4865">
        <v>93.675444603610302</v>
      </c>
      <c r="AJ4865">
        <v>83.026286441374396</v>
      </c>
      <c r="AK4865">
        <v>17.3098817450981</v>
      </c>
      <c r="AL4865">
        <v>86.380856702841498</v>
      </c>
      <c r="AM4865">
        <v>85.844903762086105</v>
      </c>
      <c r="AN4865">
        <v>0.99999999545812701</v>
      </c>
    </row>
    <row r="4866" spans="1:40" x14ac:dyDescent="0.25">
      <c r="A4866" t="str">
        <f>"20190312154657836"</f>
        <v>20190312154657836</v>
      </c>
      <c r="B4866" t="str">
        <f>"1552376817822264"</f>
        <v>1552376817822264</v>
      </c>
      <c r="C4866" t="s">
        <v>40</v>
      </c>
      <c r="D4866">
        <v>4.8537800000000004</v>
      </c>
      <c r="E4866">
        <v>0.56346830000000003</v>
      </c>
      <c r="F4866" t="s">
        <v>42</v>
      </c>
      <c r="G4866">
        <v>-338.39589999999998</v>
      </c>
      <c r="H4866" s="1">
        <v>-1.7451109999999999E-6</v>
      </c>
      <c r="I4866">
        <v>15.056789999999999</v>
      </c>
      <c r="J4866">
        <v>-352.72500000000002</v>
      </c>
      <c r="K4866">
        <v>1.1096349999999999</v>
      </c>
      <c r="L4866">
        <v>17.820979999999999</v>
      </c>
      <c r="M4866">
        <v>0.99959439999999999</v>
      </c>
      <c r="N4866">
        <v>0</v>
      </c>
      <c r="O4866">
        <v>2.495402E-2</v>
      </c>
      <c r="P4866">
        <v>0.99766980000000005</v>
      </c>
      <c r="Q4866">
        <v>4.9143529999999998E-2</v>
      </c>
      <c r="R4866">
        <v>-4.7330299999999999E-2</v>
      </c>
      <c r="S4866">
        <v>2.9918520000000002</v>
      </c>
      <c r="T4866">
        <v>-0.22803709999999999</v>
      </c>
      <c r="U4866">
        <v>-0.56701659999999998</v>
      </c>
      <c r="V4866">
        <v>7.2293529999999995E-2</v>
      </c>
      <c r="W4866">
        <v>6.2723749999999995E-2</v>
      </c>
      <c r="X4866">
        <v>0.99540910000000005</v>
      </c>
      <c r="Y4866">
        <v>0.2100089</v>
      </c>
      <c r="Z4866">
        <v>-9.8052580000000007E-3</v>
      </c>
      <c r="AA4866">
        <v>0.97765029999999997</v>
      </c>
      <c r="AB4866">
        <v>23</v>
      </c>
      <c r="AC4866">
        <v>14.3291</v>
      </c>
      <c r="AD4866">
        <v>-1.1096367451110001</v>
      </c>
      <c r="AE4866">
        <v>-2.7641900000000001</v>
      </c>
      <c r="AF4866">
        <v>3.1029908218439299</v>
      </c>
      <c r="AG4866">
        <v>-1.1096367451110001</v>
      </c>
      <c r="AH4866">
        <v>14.173704779582099</v>
      </c>
      <c r="AI4866">
        <v>94.3733042231665</v>
      </c>
      <c r="AJ4866">
        <v>77.651295965158596</v>
      </c>
      <c r="AK4866">
        <v>14.551761162323199</v>
      </c>
      <c r="AL4866">
        <v>86.403832987400094</v>
      </c>
      <c r="AM4866">
        <v>85.846075398102101</v>
      </c>
      <c r="AN4866">
        <v>0.99999994982836504</v>
      </c>
    </row>
    <row r="4867" spans="1:40" x14ac:dyDescent="0.25">
      <c r="A4867" t="str">
        <f>"20190312154657860"</f>
        <v>20190312154657860</v>
      </c>
      <c r="B4867" t="str">
        <f>"1552376817852520"</f>
        <v>1552376817852520</v>
      </c>
      <c r="C4867" t="s">
        <v>40</v>
      </c>
      <c r="D4867">
        <v>4.8257479999999999</v>
      </c>
      <c r="E4867">
        <v>0.56855690000000003</v>
      </c>
      <c r="F4867" t="s">
        <v>42</v>
      </c>
      <c r="G4867">
        <v>-339.52499999999998</v>
      </c>
      <c r="H4867" s="1">
        <v>-1.372747E-6</v>
      </c>
      <c r="I4867">
        <v>15.012169999999999</v>
      </c>
      <c r="J4867">
        <v>-352.47809999999998</v>
      </c>
      <c r="K4867">
        <v>1.109631</v>
      </c>
      <c r="L4867">
        <v>17.82611</v>
      </c>
      <c r="M4867">
        <v>0.99961560000000005</v>
      </c>
      <c r="N4867">
        <v>0</v>
      </c>
      <c r="O4867">
        <v>2.4088310000000002E-2</v>
      </c>
      <c r="P4867">
        <v>0.99765859999999995</v>
      </c>
      <c r="Q4867">
        <v>4.882657E-2</v>
      </c>
      <c r="R4867">
        <v>-4.7889729999999998E-2</v>
      </c>
      <c r="S4867">
        <v>2.9891969999999999</v>
      </c>
      <c r="T4867">
        <v>-0.25128159999999999</v>
      </c>
      <c r="U4867">
        <v>-0.63604740000000004</v>
      </c>
      <c r="V4867">
        <v>7.1988880000000005E-2</v>
      </c>
      <c r="W4867">
        <v>6.2405839999999997E-2</v>
      </c>
      <c r="X4867">
        <v>0.99545119999999998</v>
      </c>
      <c r="Y4867">
        <v>0.2307642</v>
      </c>
      <c r="Z4867">
        <v>-1.1576120000000001E-2</v>
      </c>
      <c r="AA4867">
        <v>0.97294080000000005</v>
      </c>
      <c r="AB4867">
        <v>23</v>
      </c>
      <c r="AC4867">
        <v>12.953099999999999</v>
      </c>
      <c r="AD4867">
        <v>-1.1096323727470001</v>
      </c>
      <c r="AE4867">
        <v>-2.8139399999999899</v>
      </c>
      <c r="AF4867">
        <v>3.1034227491917901</v>
      </c>
      <c r="AG4867">
        <v>-1.1096323727470001</v>
      </c>
      <c r="AH4867">
        <v>12.791907727228701</v>
      </c>
      <c r="AI4867">
        <v>94.818610358579306</v>
      </c>
      <c r="AJ4867">
        <v>76.363046210899597</v>
      </c>
      <c r="AK4867">
        <v>13.2096714593809</v>
      </c>
      <c r="AL4867">
        <v>86.422083787094493</v>
      </c>
      <c r="AM4867">
        <v>85.863693771781698</v>
      </c>
      <c r="AN4867">
        <v>0.999999989645599</v>
      </c>
    </row>
    <row r="4868" spans="1:40" x14ac:dyDescent="0.25">
      <c r="A4868" t="str">
        <f>"20190312154657882"</f>
        <v>20190312154657882</v>
      </c>
      <c r="B4868" t="str">
        <f>"1552376817872040"</f>
        <v>1552376817872040</v>
      </c>
      <c r="C4868" t="s">
        <v>40</v>
      </c>
      <c r="D4868">
        <v>4.7374519999999896</v>
      </c>
      <c r="E4868">
        <v>0.569992099999999</v>
      </c>
      <c r="F4868" t="s">
        <v>42</v>
      </c>
      <c r="G4868">
        <v>-340.05470000000003</v>
      </c>
      <c r="H4868" s="1">
        <v>-5.0662730000000004E-6</v>
      </c>
      <c r="I4868">
        <v>15.007910000000001</v>
      </c>
      <c r="J4868">
        <v>-352.2509</v>
      </c>
      <c r="K4868">
        <v>1.1096349999999999</v>
      </c>
      <c r="L4868">
        <v>17.830660000000002</v>
      </c>
      <c r="M4868">
        <v>0.99963449999999998</v>
      </c>
      <c r="N4868">
        <v>0</v>
      </c>
      <c r="O4868">
        <v>2.3295690000000001E-2</v>
      </c>
      <c r="P4868">
        <v>0.99760629999999995</v>
      </c>
      <c r="Q4868">
        <v>4.9010659999999998E-2</v>
      </c>
      <c r="R4868">
        <v>-4.878329E-2</v>
      </c>
      <c r="S4868">
        <v>2.9876100000000001</v>
      </c>
      <c r="T4868">
        <v>-0.26684669999999999</v>
      </c>
      <c r="U4868">
        <v>-0.67770390000000003</v>
      </c>
      <c r="V4868">
        <v>7.2090689999999999E-2</v>
      </c>
      <c r="W4868">
        <v>6.258764E-2</v>
      </c>
      <c r="X4868">
        <v>0.9954324</v>
      </c>
      <c r="Y4868">
        <v>0.24286949999999999</v>
      </c>
      <c r="Z4868">
        <v>-1.2741819999999999E-2</v>
      </c>
      <c r="AA4868">
        <v>0.96997529999999998</v>
      </c>
      <c r="AB4868">
        <v>23</v>
      </c>
      <c r="AC4868">
        <v>12.1961999999999</v>
      </c>
      <c r="AD4868">
        <v>-1.1096400662729999</v>
      </c>
      <c r="AE4868">
        <v>-2.8227500000000001</v>
      </c>
      <c r="AF4868">
        <v>3.0819150413741001</v>
      </c>
      <c r="AG4868">
        <v>-1.1096400662729999</v>
      </c>
      <c r="AH4868">
        <v>12.0325862223825</v>
      </c>
      <c r="AI4868">
        <v>95.105011186246799</v>
      </c>
      <c r="AJ4868">
        <v>75.633634320650202</v>
      </c>
      <c r="AK4868">
        <v>12.470470424085599</v>
      </c>
      <c r="AL4868">
        <v>86.411646947339605</v>
      </c>
      <c r="AM4868">
        <v>85.857786405789795</v>
      </c>
      <c r="AN4868">
        <v>0.99999997161760201</v>
      </c>
    </row>
    <row r="4869" spans="1:40" x14ac:dyDescent="0.25">
      <c r="A4869" t="str">
        <f>"20190312154657903"</f>
        <v>20190312154657903</v>
      </c>
      <c r="B4869" t="str">
        <f>"1552376817892540"</f>
        <v>1552376817892540</v>
      </c>
      <c r="C4869" t="s">
        <v>40</v>
      </c>
      <c r="D4869">
        <v>4.7299030000000002</v>
      </c>
      <c r="E4869">
        <v>0.57087219999999905</v>
      </c>
      <c r="F4869" t="s">
        <v>42</v>
      </c>
      <c r="G4869">
        <v>-339.77179999999998</v>
      </c>
      <c r="H4869" s="1">
        <v>-1.3077960000000001E-6</v>
      </c>
      <c r="I4869">
        <v>14.940569999999999</v>
      </c>
      <c r="J4869">
        <v>-352.04059999999998</v>
      </c>
      <c r="K4869">
        <v>1.109645</v>
      </c>
      <c r="L4869">
        <v>17.834720000000001</v>
      </c>
      <c r="M4869">
        <v>0.99965110000000001</v>
      </c>
      <c r="N4869">
        <v>0</v>
      </c>
      <c r="O4869">
        <v>2.256915E-2</v>
      </c>
      <c r="P4869">
        <v>0.99753239999999999</v>
      </c>
      <c r="Q4869">
        <v>4.9315909999999998E-2</v>
      </c>
      <c r="R4869">
        <v>-4.9969510000000002E-2</v>
      </c>
      <c r="S4869">
        <v>2.9864199999999999</v>
      </c>
      <c r="T4869">
        <v>-0.265551599999999</v>
      </c>
      <c r="U4869">
        <v>-0.69161989999999995</v>
      </c>
      <c r="V4869">
        <v>7.2550420000000004E-2</v>
      </c>
      <c r="W4869">
        <v>6.2890799999999997E-2</v>
      </c>
      <c r="X4869">
        <v>0.99537989999999998</v>
      </c>
      <c r="Y4869">
        <v>0.2465397</v>
      </c>
      <c r="Z4869">
        <v>-1.2775699999999999E-2</v>
      </c>
      <c r="AA4869">
        <v>0.96904849999999998</v>
      </c>
      <c r="AB4869">
        <v>23</v>
      </c>
      <c r="AC4869">
        <v>12.268800000000001</v>
      </c>
      <c r="AD4869">
        <v>-1.1096463077959999</v>
      </c>
      <c r="AE4869">
        <v>-2.8941499999999998</v>
      </c>
      <c r="AF4869">
        <v>3.1459570722780099</v>
      </c>
      <c r="AG4869">
        <v>-1.1096463077959999</v>
      </c>
      <c r="AH4869">
        <v>12.106535979618499</v>
      </c>
      <c r="AI4869">
        <v>95.069473667549104</v>
      </c>
      <c r="AJ4869">
        <v>75.4335075472668</v>
      </c>
      <c r="AK4869">
        <v>12.557729661639399</v>
      </c>
      <c r="AL4869">
        <v>86.394242904396407</v>
      </c>
      <c r="AM4869">
        <v>85.831244803364498</v>
      </c>
      <c r="AN4869">
        <v>0.99999998074541296</v>
      </c>
    </row>
    <row r="4870" spans="1:40" x14ac:dyDescent="0.25">
      <c r="A4870" t="str">
        <f>"20190312154657926"</f>
        <v>20190312154657926</v>
      </c>
      <c r="B4870" t="str">
        <f>"1552376817913033"</f>
        <v>1552376817913033</v>
      </c>
      <c r="C4870" t="s">
        <v>40</v>
      </c>
      <c r="D4870">
        <v>4.6811389999999999</v>
      </c>
      <c r="E4870">
        <v>0.57139640000000003</v>
      </c>
      <c r="F4870" t="s">
        <v>42</v>
      </c>
      <c r="G4870">
        <v>-339.53500000000003</v>
      </c>
      <c r="H4870" s="1">
        <v>-1.401047E-6</v>
      </c>
      <c r="I4870">
        <v>14.89302</v>
      </c>
      <c r="J4870">
        <v>-351.80540000000002</v>
      </c>
      <c r="K4870">
        <v>1.109667</v>
      </c>
      <c r="L4870">
        <v>17.83905</v>
      </c>
      <c r="M4870">
        <v>0.99966900000000003</v>
      </c>
      <c r="N4870">
        <v>0</v>
      </c>
      <c r="O4870">
        <v>2.1768530000000001E-2</v>
      </c>
      <c r="P4870">
        <v>0.99742189999999997</v>
      </c>
      <c r="Q4870">
        <v>5.0117870000000002E-2</v>
      </c>
      <c r="R4870">
        <v>-5.1362249999999998E-2</v>
      </c>
      <c r="S4870">
        <v>2.9854129999999999</v>
      </c>
      <c r="T4870">
        <v>-0.26490089999999999</v>
      </c>
      <c r="U4870">
        <v>-0.70223999999999998</v>
      </c>
      <c r="V4870">
        <v>7.3142070000000003E-2</v>
      </c>
      <c r="W4870">
        <v>6.3689800000000005E-2</v>
      </c>
      <c r="X4870">
        <v>0.9952858</v>
      </c>
      <c r="Y4870">
        <v>0.2491025</v>
      </c>
      <c r="Z4870">
        <v>-1.278557E-2</v>
      </c>
      <c r="AA4870">
        <v>0.9683927</v>
      </c>
      <c r="AB4870">
        <v>23</v>
      </c>
      <c r="AC4870">
        <v>12.270399999999899</v>
      </c>
      <c r="AD4870">
        <v>-1.1096684010469999</v>
      </c>
      <c r="AE4870">
        <v>-2.9460299999999902</v>
      </c>
      <c r="AF4870">
        <v>3.18781514060161</v>
      </c>
      <c r="AG4870">
        <v>-1.1096684010469999</v>
      </c>
      <c r="AH4870">
        <v>12.109714658943</v>
      </c>
      <c r="AI4870">
        <v>95.064069882175701</v>
      </c>
      <c r="AJ4870">
        <v>75.251799358524096</v>
      </c>
      <c r="AK4870">
        <v>12.5713451329582</v>
      </c>
      <c r="AL4870">
        <v>86.348371637627594</v>
      </c>
      <c r="AM4870">
        <v>85.796973928281702</v>
      </c>
      <c r="AN4870">
        <v>0.99999998835478199</v>
      </c>
    </row>
    <row r="4871" spans="1:40" x14ac:dyDescent="0.25">
      <c r="A4871" t="str">
        <f>"20190312154657947"</f>
        <v>20190312154657947</v>
      </c>
      <c r="B4871" t="str">
        <f>"1552376817932552"</f>
        <v>1552376817932552</v>
      </c>
      <c r="C4871" t="s">
        <v>40</v>
      </c>
      <c r="D4871">
        <v>4.6848640000000001</v>
      </c>
      <c r="E4871">
        <v>0.57216719999999999</v>
      </c>
      <c r="F4871" t="s">
        <v>42</v>
      </c>
      <c r="G4871">
        <v>-339.1936</v>
      </c>
      <c r="H4871" s="1">
        <v>-1.5321889999999901E-6</v>
      </c>
      <c r="I4871">
        <v>14.836790000000001</v>
      </c>
      <c r="J4871">
        <v>-351.58969999999999</v>
      </c>
      <c r="K4871">
        <v>1.1096790000000001</v>
      </c>
      <c r="L4871">
        <v>17.8429</v>
      </c>
      <c r="M4871">
        <v>0.99968440000000003</v>
      </c>
      <c r="N4871">
        <v>0</v>
      </c>
      <c r="O4871">
        <v>2.1048150000000002E-2</v>
      </c>
      <c r="P4871">
        <v>0.99734060000000002</v>
      </c>
      <c r="Q4871">
        <v>5.0552510000000002E-2</v>
      </c>
      <c r="R4871">
        <v>-5.250382E-2</v>
      </c>
      <c r="S4871">
        <v>2.9844059999999999</v>
      </c>
      <c r="T4871">
        <v>-0.26258599999999999</v>
      </c>
      <c r="U4871">
        <v>-0.71041869999999996</v>
      </c>
      <c r="V4871">
        <v>7.3562630000000004E-2</v>
      </c>
      <c r="W4871">
        <v>6.4122349999999995E-2</v>
      </c>
      <c r="X4871">
        <v>0.99522699999999997</v>
      </c>
      <c r="Y4871">
        <v>0.25100359999999999</v>
      </c>
      <c r="Z4871">
        <v>-1.269436E-2</v>
      </c>
      <c r="AA4871">
        <v>0.96790290000000001</v>
      </c>
      <c r="AB4871">
        <v>23</v>
      </c>
      <c r="AC4871">
        <v>12.396099999999899</v>
      </c>
      <c r="AD4871">
        <v>-1.109680532189</v>
      </c>
      <c r="AE4871">
        <v>-3.0061100000000001</v>
      </c>
      <c r="AF4871">
        <v>3.2418475786471199</v>
      </c>
      <c r="AG4871">
        <v>-1.109680532189</v>
      </c>
      <c r="AH4871">
        <v>12.237455405701301</v>
      </c>
      <c r="AI4871">
        <v>95.009481686629599</v>
      </c>
      <c r="AJ4871">
        <v>75.162489514365205</v>
      </c>
      <c r="AK4871">
        <v>12.7081187204569</v>
      </c>
      <c r="AL4871">
        <v>86.323537476482997</v>
      </c>
      <c r="AM4871">
        <v>85.772645434656098</v>
      </c>
      <c r="AN4871">
        <v>0.99999995891551796</v>
      </c>
    </row>
    <row r="4872" spans="1:40" x14ac:dyDescent="0.25">
      <c r="A4872" t="str">
        <f>"20190312154657970"</f>
        <v>20190312154657970</v>
      </c>
      <c r="B4872" t="str">
        <f>"1552376817962809"</f>
        <v>1552376817962809</v>
      </c>
      <c r="C4872" t="s">
        <v>40</v>
      </c>
      <c r="D4872">
        <v>4.6749320000000001</v>
      </c>
      <c r="E4872">
        <v>0.57273529999999995</v>
      </c>
      <c r="F4872" t="s">
        <v>42</v>
      </c>
      <c r="G4872">
        <v>-339.15609999999998</v>
      </c>
      <c r="H4872" s="1">
        <v>-1.5431399999999999E-6</v>
      </c>
      <c r="I4872">
        <v>14.843529999999999</v>
      </c>
      <c r="J4872">
        <v>-351.3535</v>
      </c>
      <c r="K4872">
        <v>1.1096950000000001</v>
      </c>
      <c r="L4872">
        <v>17.84695</v>
      </c>
      <c r="M4872">
        <v>0.99970049999999999</v>
      </c>
      <c r="N4872">
        <v>0</v>
      </c>
      <c r="O4872">
        <v>2.027369E-2</v>
      </c>
      <c r="P4872">
        <v>0.99726990000000004</v>
      </c>
      <c r="Q4872">
        <v>5.059922E-2</v>
      </c>
      <c r="R4872">
        <v>-5.3783709999999998E-2</v>
      </c>
      <c r="S4872">
        <v>2.9836429999999998</v>
      </c>
      <c r="T4872">
        <v>-0.26628540000000001</v>
      </c>
      <c r="U4872">
        <v>-0.71972659999999999</v>
      </c>
      <c r="V4872">
        <v>7.4067439999999998E-2</v>
      </c>
      <c r="W4872">
        <v>6.4167559999999998E-2</v>
      </c>
      <c r="X4872">
        <v>0.99518669999999998</v>
      </c>
      <c r="Y4872">
        <v>0.25313170000000002</v>
      </c>
      <c r="Z4872">
        <v>-1.289649E-2</v>
      </c>
      <c r="AA4872">
        <v>0.96734589999999998</v>
      </c>
      <c r="AB4872">
        <v>23</v>
      </c>
      <c r="AC4872">
        <v>12.1974</v>
      </c>
      <c r="AD4872">
        <v>-1.1096965431399901</v>
      </c>
      <c r="AE4872">
        <v>-3.0034200000000002</v>
      </c>
      <c r="AF4872">
        <v>3.2249451055046499</v>
      </c>
      <c r="AG4872">
        <v>-1.1096965431399901</v>
      </c>
      <c r="AH4872">
        <v>12.0400376762965</v>
      </c>
      <c r="AI4872">
        <v>95.087563848067404</v>
      </c>
      <c r="AJ4872">
        <v>75.005209423515197</v>
      </c>
      <c r="AK4872">
        <v>12.513760609745299</v>
      </c>
      <c r="AL4872">
        <v>86.320941993901599</v>
      </c>
      <c r="AM4872">
        <v>85.743570513426306</v>
      </c>
      <c r="AN4872">
        <v>1.00000001464069</v>
      </c>
    </row>
    <row r="4873" spans="1:40" x14ac:dyDescent="0.25">
      <c r="A4873" t="str">
        <f>"20190312154657994"</f>
        <v>20190312154657994</v>
      </c>
      <c r="B4873" t="str">
        <f>"1552376817982328"</f>
        <v>1552376817982328</v>
      </c>
      <c r="C4873" t="s">
        <v>40</v>
      </c>
      <c r="D4873">
        <v>4.6583560000000004</v>
      </c>
      <c r="E4873">
        <v>0.57306829999999997</v>
      </c>
      <c r="F4873" t="s">
        <v>42</v>
      </c>
      <c r="G4873">
        <v>-338.83949999999999</v>
      </c>
      <c r="H4873" s="1">
        <v>-1.6646969999999901E-6</v>
      </c>
      <c r="I4873">
        <v>14.791600000000001</v>
      </c>
      <c r="J4873">
        <v>-351.11630000000002</v>
      </c>
      <c r="K4873">
        <v>1.1097090000000001</v>
      </c>
      <c r="L4873">
        <v>17.850829999999998</v>
      </c>
      <c r="M4873">
        <v>0.99971569999999998</v>
      </c>
      <c r="N4873">
        <v>0</v>
      </c>
      <c r="O4873">
        <v>1.9514259999999999E-2</v>
      </c>
      <c r="P4873">
        <v>0.99721320000000002</v>
      </c>
      <c r="Q4873">
        <v>5.055983E-2</v>
      </c>
      <c r="R4873">
        <v>-5.4866680000000001E-2</v>
      </c>
      <c r="S4873">
        <v>2.9823909999999998</v>
      </c>
      <c r="T4873">
        <v>-0.26446890000000001</v>
      </c>
      <c r="U4873">
        <v>-0.72814939999999995</v>
      </c>
      <c r="V4873">
        <v>7.4390250000000005E-2</v>
      </c>
      <c r="W4873">
        <v>6.4127119999999996E-2</v>
      </c>
      <c r="X4873">
        <v>0.99516519999999997</v>
      </c>
      <c r="Y4873">
        <v>0.25507849999999999</v>
      </c>
      <c r="Z4873">
        <v>-1.282847E-2</v>
      </c>
      <c r="AA4873">
        <v>0.96683529999999995</v>
      </c>
      <c r="AB4873">
        <v>23</v>
      </c>
      <c r="AC4873">
        <v>12.2768</v>
      </c>
      <c r="AD4873">
        <v>-1.1097106646969901</v>
      </c>
      <c r="AE4873">
        <v>-3.0592299999999901</v>
      </c>
      <c r="AF4873">
        <v>3.2730633941026301</v>
      </c>
      <c r="AG4873">
        <v>-1.1097106646969901</v>
      </c>
      <c r="AH4873">
        <v>12.121508914939501</v>
      </c>
      <c r="AI4873">
        <v>95.050876330141193</v>
      </c>
      <c r="AJ4873">
        <v>74.8892971027676</v>
      </c>
      <c r="AK4873">
        <v>12.604577744459201</v>
      </c>
      <c r="AL4873">
        <v>86.323263711874304</v>
      </c>
      <c r="AM4873">
        <v>85.724996215948096</v>
      </c>
      <c r="AN4873">
        <v>0.99999998605279805</v>
      </c>
    </row>
    <row r="4874" spans="1:40" x14ac:dyDescent="0.25">
      <c r="A4874" t="str">
        <f>"20190312154658014"</f>
        <v>20190312154658014</v>
      </c>
      <c r="B4874" t="str">
        <f>"1552376818002826"</f>
        <v>1552376818002826</v>
      </c>
      <c r="C4874" t="s">
        <v>40</v>
      </c>
      <c r="D4874">
        <v>4.6592510000000003</v>
      </c>
      <c r="E4874">
        <v>0.5733123</v>
      </c>
      <c r="F4874" t="s">
        <v>42</v>
      </c>
      <c r="G4874">
        <v>-338.51780000000002</v>
      </c>
      <c r="H4874" s="1">
        <v>-1.7855009999999999E-6</v>
      </c>
      <c r="I4874">
        <v>14.749029999999999</v>
      </c>
      <c r="J4874">
        <v>-350.90019999999998</v>
      </c>
      <c r="K4874">
        <v>1.1097220000000001</v>
      </c>
      <c r="L4874">
        <v>17.854279999999999</v>
      </c>
      <c r="M4874">
        <v>0.99972859999999997</v>
      </c>
      <c r="N4874">
        <v>0</v>
      </c>
      <c r="O4874">
        <v>1.8841179999999999E-2</v>
      </c>
      <c r="P4874">
        <v>0.99717650000000002</v>
      </c>
      <c r="Q4874">
        <v>5.0710320000000003E-2</v>
      </c>
      <c r="R4874">
        <v>-5.5386400000000002E-2</v>
      </c>
      <c r="S4874">
        <v>2.9812620000000001</v>
      </c>
      <c r="T4874">
        <v>-0.2625979</v>
      </c>
      <c r="U4874">
        <v>-0.73397829999999997</v>
      </c>
      <c r="V4874">
        <v>7.4237029999999996E-2</v>
      </c>
      <c r="W4874">
        <v>6.4277479999999998E-2</v>
      </c>
      <c r="X4874">
        <v>0.99516700000000002</v>
      </c>
      <c r="Y4874">
        <v>0.25630710000000001</v>
      </c>
      <c r="Z4874">
        <v>-1.273467E-2</v>
      </c>
      <c r="AA4874">
        <v>0.96651149999999997</v>
      </c>
      <c r="AB4874">
        <v>23</v>
      </c>
      <c r="AC4874">
        <v>12.382399999999899</v>
      </c>
      <c r="AD4874">
        <v>-1.10972378550099</v>
      </c>
      <c r="AE4874">
        <v>-3.1052499999999998</v>
      </c>
      <c r="AF4874">
        <v>3.3129844093457699</v>
      </c>
      <c r="AG4874">
        <v>-1.10972378550099</v>
      </c>
      <c r="AH4874">
        <v>12.2292766388383</v>
      </c>
      <c r="AI4874">
        <v>95.005541987829304</v>
      </c>
      <c r="AJ4874">
        <v>74.842053086459998</v>
      </c>
      <c r="AK4874">
        <v>12.718591104596101</v>
      </c>
      <c r="AL4874">
        <v>86.314631123636005</v>
      </c>
      <c r="AM4874">
        <v>85.7337764948592</v>
      </c>
      <c r="AN4874">
        <v>1.0000000444736801</v>
      </c>
    </row>
    <row r="4875" spans="1:40" x14ac:dyDescent="0.25">
      <c r="A4875" t="str">
        <f>"20190312154658036"</f>
        <v>20190312154658036</v>
      </c>
      <c r="B4875" t="str">
        <f>"1552376818022346"</f>
        <v>1552376818022346</v>
      </c>
      <c r="C4875" t="s">
        <v>40</v>
      </c>
      <c r="D4875">
        <v>4.6428070000000004</v>
      </c>
      <c r="E4875">
        <v>0.57349289999999997</v>
      </c>
      <c r="F4875" t="s">
        <v>42</v>
      </c>
      <c r="G4875">
        <v>-338.2072</v>
      </c>
      <c r="H4875" s="1">
        <v>-1.9013070000000001E-6</v>
      </c>
      <c r="I4875">
        <v>14.711119999999999</v>
      </c>
      <c r="J4875">
        <v>-350.67259999999999</v>
      </c>
      <c r="K4875">
        <v>1.1097349999999999</v>
      </c>
      <c r="L4875">
        <v>17.857700000000001</v>
      </c>
      <c r="M4875">
        <v>0.99974130000000005</v>
      </c>
      <c r="N4875">
        <v>0</v>
      </c>
      <c r="O4875">
        <v>1.8152399999999999E-2</v>
      </c>
      <c r="P4875">
        <v>0.99711890000000003</v>
      </c>
      <c r="Q4875">
        <v>5.1388740000000002E-2</v>
      </c>
      <c r="R4875">
        <v>-5.5795579999999997E-2</v>
      </c>
      <c r="S4875">
        <v>2.9807429999999999</v>
      </c>
      <c r="T4875">
        <v>-0.2606</v>
      </c>
      <c r="U4875">
        <v>-0.73809809999999998</v>
      </c>
      <c r="V4875">
        <v>7.3957369999999995E-2</v>
      </c>
      <c r="W4875">
        <v>6.4956040000000007E-2</v>
      </c>
      <c r="X4875">
        <v>0.99514369999999996</v>
      </c>
      <c r="Y4875">
        <v>0.25695499999999999</v>
      </c>
      <c r="Z4875">
        <v>-1.260678E-2</v>
      </c>
      <c r="AA4875">
        <v>0.96634109999999995</v>
      </c>
      <c r="AB4875">
        <v>23</v>
      </c>
      <c r="AC4875">
        <v>12.465399999999899</v>
      </c>
      <c r="AD4875">
        <v>-1.109736901307</v>
      </c>
      <c r="AE4875">
        <v>-3.1465799999999899</v>
      </c>
      <c r="AF4875">
        <v>3.3474187912345701</v>
      </c>
      <c r="AG4875">
        <v>-1.109736901307</v>
      </c>
      <c r="AH4875">
        <v>12.3144701300647</v>
      </c>
      <c r="AI4875">
        <v>94.969992783066999</v>
      </c>
      <c r="AJ4875">
        <v>74.792845331709302</v>
      </c>
      <c r="AK4875">
        <v>12.809484889654501</v>
      </c>
      <c r="AL4875">
        <v>86.275670845758796</v>
      </c>
      <c r="AM4875">
        <v>85.749689730526796</v>
      </c>
      <c r="AN4875">
        <v>0.99999998167974402</v>
      </c>
    </row>
    <row r="4876" spans="1:40" x14ac:dyDescent="0.25">
      <c r="A4876" t="str">
        <f>"20190312154658060"</f>
        <v>20190312154658060</v>
      </c>
      <c r="B4876" t="str">
        <f>"1552376818052600"</f>
        <v>1552376818052600</v>
      </c>
      <c r="C4876" t="s">
        <v>40</v>
      </c>
      <c r="D4876">
        <v>4.663716</v>
      </c>
      <c r="E4876">
        <v>0.57392149999999997</v>
      </c>
      <c r="F4876" t="s">
        <v>42</v>
      </c>
      <c r="G4876">
        <v>-337.87169999999998</v>
      </c>
      <c r="H4876" s="1">
        <v>-2.0245560000000001E-6</v>
      </c>
      <c r="I4876">
        <v>14.67694</v>
      </c>
      <c r="J4876">
        <v>-350.43720000000002</v>
      </c>
      <c r="K4876">
        <v>1.1097509999999999</v>
      </c>
      <c r="L4876">
        <v>17.861179999999901</v>
      </c>
      <c r="M4876">
        <v>0.99975369999999997</v>
      </c>
      <c r="N4876">
        <v>0</v>
      </c>
      <c r="O4876">
        <v>1.7458020000000001E-2</v>
      </c>
      <c r="P4876">
        <v>0.99709959999999997</v>
      </c>
      <c r="Q4876">
        <v>5.1233689999999998E-2</v>
      </c>
      <c r="R4876">
        <v>-5.6281820000000003E-2</v>
      </c>
      <c r="S4876">
        <v>2.980499</v>
      </c>
      <c r="T4876">
        <v>-0.25838489999999997</v>
      </c>
      <c r="U4876">
        <v>-0.74057010000000001</v>
      </c>
      <c r="V4876">
        <v>7.3748919999999996E-2</v>
      </c>
      <c r="W4876">
        <v>6.480139E-2</v>
      </c>
      <c r="X4876">
        <v>0.99516930000000003</v>
      </c>
      <c r="Y4876">
        <v>0.25707629999999998</v>
      </c>
      <c r="Z4876">
        <v>-1.2445700000000001E-2</v>
      </c>
      <c r="AA4876">
        <v>0.96631100000000003</v>
      </c>
      <c r="AB4876">
        <v>23</v>
      </c>
      <c r="AC4876">
        <v>12.5655</v>
      </c>
      <c r="AD4876">
        <v>-1.1097530245559999</v>
      </c>
      <c r="AE4876">
        <v>-3.1842399999999902</v>
      </c>
      <c r="AF4876">
        <v>3.3783827701549498</v>
      </c>
      <c r="AG4876">
        <v>-1.1097530245559999</v>
      </c>
      <c r="AH4876">
        <v>12.4169810326612</v>
      </c>
      <c r="AI4876">
        <v>94.928926306411398</v>
      </c>
      <c r="AJ4876">
        <v>74.779531904632805</v>
      </c>
      <c r="AK4876">
        <v>12.916130995103</v>
      </c>
      <c r="AL4876">
        <v>86.284550523888299</v>
      </c>
      <c r="AM4876">
        <v>85.761734212322295</v>
      </c>
      <c r="AN4876">
        <v>1.0000000295047899</v>
      </c>
    </row>
    <row r="4877" spans="1:40" x14ac:dyDescent="0.25">
      <c r="A4877" t="str">
        <f>"20190312154658082"</f>
        <v>20190312154658082</v>
      </c>
      <c r="B4877" t="str">
        <f>"1552376818073096"</f>
        <v>1552376818073096</v>
      </c>
      <c r="C4877" t="s">
        <v>40</v>
      </c>
      <c r="D4877">
        <v>4.6352250000000002</v>
      </c>
      <c r="E4877">
        <v>0.57409270000000001</v>
      </c>
      <c r="F4877" t="s">
        <v>42</v>
      </c>
      <c r="G4877">
        <v>-337.7869</v>
      </c>
      <c r="H4877" s="1">
        <v>-2.0478729999999998E-6</v>
      </c>
      <c r="I4877">
        <v>14.6978299999999</v>
      </c>
      <c r="J4877">
        <v>-350.20510000000002</v>
      </c>
      <c r="K4877">
        <v>1.1097649999999999</v>
      </c>
      <c r="L4877">
        <v>17.864409999999999</v>
      </c>
      <c r="M4877">
        <v>0.99976529999999997</v>
      </c>
      <c r="N4877">
        <v>0</v>
      </c>
      <c r="O4877">
        <v>1.678876E-2</v>
      </c>
      <c r="P4877">
        <v>0.99707049999999997</v>
      </c>
      <c r="Q4877">
        <v>5.1450210000000003E-2</v>
      </c>
      <c r="R4877">
        <v>-5.6601569999999997E-2</v>
      </c>
      <c r="S4877">
        <v>2.9800719999999998</v>
      </c>
      <c r="T4877">
        <v>-0.26142720000000003</v>
      </c>
      <c r="U4877">
        <v>-0.74517819999999901</v>
      </c>
      <c r="V4877">
        <v>7.3399539999999999E-2</v>
      </c>
      <c r="W4877">
        <v>6.501788E-2</v>
      </c>
      <c r="X4877">
        <v>0.99518099999999998</v>
      </c>
      <c r="Y4877">
        <v>0.25784560000000001</v>
      </c>
      <c r="Z4877">
        <v>-1.2566539999999999E-2</v>
      </c>
      <c r="AA4877">
        <v>0.96610439999999997</v>
      </c>
      <c r="AB4877">
        <v>23</v>
      </c>
      <c r="AC4877">
        <v>12.418200000000001</v>
      </c>
      <c r="AD4877">
        <v>-1.109767047873</v>
      </c>
      <c r="AE4877">
        <v>-3.1665800000000002</v>
      </c>
      <c r="AF4877">
        <v>3.34952218676418</v>
      </c>
      <c r="AG4877">
        <v>-1.109767047873</v>
      </c>
      <c r="AH4877">
        <v>12.2712626461376</v>
      </c>
      <c r="AI4877">
        <v>94.986119094424495</v>
      </c>
      <c r="AJ4877">
        <v>74.732651932408501</v>
      </c>
      <c r="AK4877">
        <v>12.7685069099979</v>
      </c>
      <c r="AL4877">
        <v>86.272120311926599</v>
      </c>
      <c r="AM4877">
        <v>85.781789446774297</v>
      </c>
      <c r="AN4877">
        <v>1.00000001997645</v>
      </c>
    </row>
    <row r="4878" spans="1:40" x14ac:dyDescent="0.25">
      <c r="A4878" t="str">
        <f>"20190312154658104"</f>
        <v>20190312154658104</v>
      </c>
      <c r="B4878" t="str">
        <f>"1552376818092616"</f>
        <v>1552376818092616</v>
      </c>
      <c r="C4878" t="s">
        <v>40</v>
      </c>
      <c r="D4878">
        <v>4.6111559999999896</v>
      </c>
      <c r="E4878">
        <v>0.57424350000000002</v>
      </c>
      <c r="F4878" t="s">
        <v>42</v>
      </c>
      <c r="G4878">
        <v>-337.48570000000001</v>
      </c>
      <c r="H4878" s="1">
        <v>-2.1571570000000002E-6</v>
      </c>
      <c r="I4878">
        <v>14.67226</v>
      </c>
      <c r="J4878">
        <v>-349.99329999999998</v>
      </c>
      <c r="K4878">
        <v>1.1097760000000001</v>
      </c>
      <c r="L4878">
        <v>17.867249999999999</v>
      </c>
      <c r="M4878">
        <v>0.99977519999999998</v>
      </c>
      <c r="N4878">
        <v>0</v>
      </c>
      <c r="O4878">
        <v>1.618843E-2</v>
      </c>
      <c r="P4878">
        <v>0.99708280000000005</v>
      </c>
      <c r="Q4878">
        <v>5.130767E-2</v>
      </c>
      <c r="R4878">
        <v>-5.6511560000000002E-2</v>
      </c>
      <c r="S4878">
        <v>2.9797669999999998</v>
      </c>
      <c r="T4878">
        <v>-0.2599844</v>
      </c>
      <c r="U4878">
        <v>-0.74780269999999904</v>
      </c>
      <c r="V4878">
        <v>7.2710300000000005E-2</v>
      </c>
      <c r="W4878">
        <v>6.4876080000000003E-2</v>
      </c>
      <c r="X4878">
        <v>0.99524080000000004</v>
      </c>
      <c r="Y4878">
        <v>0.25810179999999999</v>
      </c>
      <c r="Z4878">
        <v>-1.245681E-2</v>
      </c>
      <c r="AA4878">
        <v>0.96603749999999999</v>
      </c>
      <c r="AB4878">
        <v>23</v>
      </c>
      <c r="AC4878">
        <v>12.507599999999901</v>
      </c>
      <c r="AD4878">
        <v>-1.109778157157</v>
      </c>
      <c r="AE4878">
        <v>-3.19498999999999</v>
      </c>
      <c r="AF4878">
        <v>3.37214687867611</v>
      </c>
      <c r="AG4878">
        <v>-1.109778157157</v>
      </c>
      <c r="AH4878">
        <v>12.362866538298</v>
      </c>
      <c r="AI4878">
        <v>94.9496481350849</v>
      </c>
      <c r="AJ4878">
        <v>74.742914268580805</v>
      </c>
      <c r="AK4878">
        <v>12.862482309929</v>
      </c>
      <c r="AL4878">
        <v>86.280261863106702</v>
      </c>
      <c r="AM4878">
        <v>85.821508716810797</v>
      </c>
      <c r="AN4878">
        <v>0.99999997173344701</v>
      </c>
    </row>
    <row r="4879" spans="1:40" x14ac:dyDescent="0.25">
      <c r="A4879" t="str">
        <f>"20190312154658126"</f>
        <v>20190312154658126</v>
      </c>
      <c r="B4879" t="str">
        <f>"1552376818113113"</f>
        <v>1552376818113113</v>
      </c>
      <c r="C4879" t="s">
        <v>40</v>
      </c>
      <c r="D4879">
        <v>4.6448510000000001</v>
      </c>
      <c r="E4879">
        <v>0.57435630000000004</v>
      </c>
      <c r="F4879" t="s">
        <v>42</v>
      </c>
      <c r="G4879">
        <v>-337.26080000000002</v>
      </c>
      <c r="H4879" s="1">
        <v>-2.2352440000000002E-6</v>
      </c>
      <c r="I4879">
        <v>14.66649</v>
      </c>
      <c r="J4879">
        <v>-349.76389999999998</v>
      </c>
      <c r="K4879">
        <v>1.109777</v>
      </c>
      <c r="L4879">
        <v>17.870179999999898</v>
      </c>
      <c r="M4879">
        <v>0.99978549999999999</v>
      </c>
      <c r="N4879">
        <v>0</v>
      </c>
      <c r="O4879">
        <v>1.55452E-2</v>
      </c>
      <c r="P4879">
        <v>0.99706450000000002</v>
      </c>
      <c r="Q4879">
        <v>5.097032E-2</v>
      </c>
      <c r="R4879">
        <v>-5.7138370000000001E-2</v>
      </c>
      <c r="S4879">
        <v>2.9796749999999999</v>
      </c>
      <c r="T4879">
        <v>-0.25971040000000001</v>
      </c>
      <c r="U4879">
        <v>-0.74902340000000001</v>
      </c>
      <c r="V4879">
        <v>7.2694750000000002E-2</v>
      </c>
      <c r="W4879">
        <v>6.4536819999999995E-2</v>
      </c>
      <c r="X4879">
        <v>0.99526400000000004</v>
      </c>
      <c r="Y4879">
        <v>0.25786490000000001</v>
      </c>
      <c r="Z4879">
        <v>-1.2378190000000001E-2</v>
      </c>
      <c r="AA4879">
        <v>0.96610169999999995</v>
      </c>
      <c r="AB4879">
        <v>23</v>
      </c>
      <c r="AC4879">
        <v>12.5030999999999</v>
      </c>
      <c r="AD4879">
        <v>-1.1097792352439999</v>
      </c>
      <c r="AE4879">
        <v>-3.2036899999999902</v>
      </c>
      <c r="AF4879">
        <v>3.3727494377362301</v>
      </c>
      <c r="AG4879">
        <v>-1.1097792352439999</v>
      </c>
      <c r="AH4879">
        <v>12.3604016792452</v>
      </c>
      <c r="AI4879">
        <v>94.950506043992704</v>
      </c>
      <c r="AJ4879">
        <v>74.737414007305304</v>
      </c>
      <c r="AK4879">
        <v>12.860271318794799</v>
      </c>
      <c r="AL4879">
        <v>86.299740877228899</v>
      </c>
      <c r="AM4879">
        <v>85.822496211664998</v>
      </c>
      <c r="AN4879">
        <v>0.99999997875463698</v>
      </c>
    </row>
    <row r="4880" spans="1:40" x14ac:dyDescent="0.25">
      <c r="A4880" t="str">
        <f>"20190312154658148"</f>
        <v>20190312154658148</v>
      </c>
      <c r="B4880" t="str">
        <f>"1552376818132636"</f>
        <v>1552376818132636</v>
      </c>
      <c r="C4880" t="s">
        <v>40</v>
      </c>
      <c r="D4880">
        <v>4.585839</v>
      </c>
      <c r="E4880">
        <v>0.57454130000000003</v>
      </c>
      <c r="F4880" t="s">
        <v>42</v>
      </c>
      <c r="G4880">
        <v>-337.05669999999998</v>
      </c>
      <c r="H4880" s="1">
        <v>-2.3057019999999998E-6</v>
      </c>
      <c r="I4880">
        <v>14.662710000000001</v>
      </c>
      <c r="J4880">
        <v>-349.55029999999999</v>
      </c>
      <c r="K4880">
        <v>1.1097760000000001</v>
      </c>
      <c r="L4880">
        <v>17.872800000000002</v>
      </c>
      <c r="M4880">
        <v>0.99979450000000003</v>
      </c>
      <c r="N4880">
        <v>0</v>
      </c>
      <c r="O4880">
        <v>1.494905E-2</v>
      </c>
      <c r="P4880">
        <v>0.99705270000000001</v>
      </c>
      <c r="Q4880">
        <v>5.0763990000000002E-2</v>
      </c>
      <c r="R4880">
        <v>-5.7524810000000003E-2</v>
      </c>
      <c r="S4880">
        <v>2.9790040000000002</v>
      </c>
      <c r="T4880">
        <v>-0.26017069999999998</v>
      </c>
      <c r="U4880">
        <v>-0.7519226</v>
      </c>
      <c r="V4880">
        <v>7.2486709999999996E-2</v>
      </c>
      <c r="W4880">
        <v>6.4328869999999996E-2</v>
      </c>
      <c r="X4880">
        <v>0.99529270000000003</v>
      </c>
      <c r="Y4880">
        <v>0.2582218</v>
      </c>
      <c r="Z4880">
        <v>-1.236541E-2</v>
      </c>
      <c r="AA4880">
        <v>0.96600649999999999</v>
      </c>
      <c r="AB4880">
        <v>23</v>
      </c>
      <c r="AC4880">
        <v>12.493600000000001</v>
      </c>
      <c r="AD4880">
        <v>-1.1097783057019901</v>
      </c>
      <c r="AE4880">
        <v>-3.2100900000000001</v>
      </c>
      <c r="AF4880">
        <v>3.3715608233965599</v>
      </c>
      <c r="AG4880">
        <v>-1.1097783057019901</v>
      </c>
      <c r="AH4880">
        <v>12.3527794949929</v>
      </c>
      <c r="AI4880">
        <v>94.953451071911402</v>
      </c>
      <c r="AJ4880">
        <v>74.733566750620994</v>
      </c>
      <c r="AK4880">
        <v>12.852633641615499</v>
      </c>
      <c r="AL4880">
        <v>86.3116805805479</v>
      </c>
      <c r="AM4880">
        <v>85.834529067296899</v>
      </c>
      <c r="AN4880">
        <v>1.00000004265769</v>
      </c>
    </row>
    <row r="4881" spans="1:40" x14ac:dyDescent="0.25">
      <c r="A4881" t="str">
        <f>"20190312154658171"</f>
        <v>20190312154658171</v>
      </c>
      <c r="B4881" t="str">
        <f>"1552376818162888"</f>
        <v>1552376818162888</v>
      </c>
      <c r="C4881" t="s">
        <v>40</v>
      </c>
      <c r="D4881">
        <v>4.5934879999999998</v>
      </c>
      <c r="E4881">
        <v>0.57483490000000004</v>
      </c>
      <c r="F4881" t="s">
        <v>42</v>
      </c>
      <c r="G4881">
        <v>-336.88569999999999</v>
      </c>
      <c r="H4881" s="1">
        <v>-2.3632160000000001E-6</v>
      </c>
      <c r="I4881">
        <v>14.665190000000001</v>
      </c>
      <c r="J4881">
        <v>-349.31450000000001</v>
      </c>
      <c r="K4881">
        <v>1.1097760000000001</v>
      </c>
      <c r="L4881">
        <v>17.87555</v>
      </c>
      <c r="M4881">
        <v>0.99980420000000003</v>
      </c>
      <c r="N4881">
        <v>0</v>
      </c>
      <c r="O4881">
        <v>1.4290590000000001E-2</v>
      </c>
      <c r="P4881">
        <v>0.99702639999999998</v>
      </c>
      <c r="Q4881">
        <v>5.0780840000000001E-2</v>
      </c>
      <c r="R4881">
        <v>-5.796399E-2</v>
      </c>
      <c r="S4881">
        <v>2.9786380000000001</v>
      </c>
      <c r="T4881">
        <v>-0.26101429999999998</v>
      </c>
      <c r="U4881">
        <v>-0.75439449999999997</v>
      </c>
      <c r="V4881">
        <v>7.2269369999999999E-2</v>
      </c>
      <c r="W4881">
        <v>6.4343150000000002E-2</v>
      </c>
      <c r="X4881">
        <v>0.99530759999999996</v>
      </c>
      <c r="Y4881">
        <v>0.25836290000000001</v>
      </c>
      <c r="Z4881">
        <v>-1.235493E-2</v>
      </c>
      <c r="AA4881">
        <v>0.96596890000000002</v>
      </c>
      <c r="AB4881">
        <v>23</v>
      </c>
      <c r="AC4881">
        <v>12.428800000000001</v>
      </c>
      <c r="AD4881">
        <v>-1.1097783632160001</v>
      </c>
      <c r="AE4881">
        <v>-3.2103600000000001</v>
      </c>
      <c r="AF4881">
        <v>3.3625314377966999</v>
      </c>
      <c r="AG4881">
        <v>-1.1097783632160001</v>
      </c>
      <c r="AH4881">
        <v>12.2897921147672</v>
      </c>
      <c r="AI4881">
        <v>94.977874844360201</v>
      </c>
      <c r="AJ4881">
        <v>74.698157601604393</v>
      </c>
      <c r="AK4881">
        <v>12.7897308771462</v>
      </c>
      <c r="AL4881">
        <v>86.310860764966606</v>
      </c>
      <c r="AM4881">
        <v>85.847036765706406</v>
      </c>
      <c r="AN4881">
        <v>1.00000006070493</v>
      </c>
    </row>
    <row r="4882" spans="1:40" x14ac:dyDescent="0.25">
      <c r="A4882" t="str">
        <f>"20190312154658204"</f>
        <v>20190312154658204</v>
      </c>
      <c r="B4882" t="str">
        <f>"1552376818193144"</f>
        <v>1552376818193144</v>
      </c>
      <c r="C4882" t="s">
        <v>40</v>
      </c>
      <c r="D4882">
        <v>4.4544350000000001</v>
      </c>
      <c r="E4882">
        <v>0.575040199999999</v>
      </c>
      <c r="F4882" t="s">
        <v>42</v>
      </c>
      <c r="G4882">
        <v>-336.72129999999999</v>
      </c>
      <c r="H4882" s="1">
        <v>-2.4176119999999999E-6</v>
      </c>
      <c r="I4882">
        <v>14.6711299999999</v>
      </c>
      <c r="J4882">
        <v>-348.9794</v>
      </c>
      <c r="K4882">
        <v>1.1097779999999999</v>
      </c>
      <c r="L4882">
        <v>17.879179999999899</v>
      </c>
      <c r="M4882">
        <v>0.99981739999999997</v>
      </c>
      <c r="N4882">
        <v>0</v>
      </c>
      <c r="O4882">
        <v>1.335043E-2</v>
      </c>
      <c r="P4882">
        <v>0.99695959999999995</v>
      </c>
      <c r="Q4882">
        <v>5.1149930000000003E-2</v>
      </c>
      <c r="R4882">
        <v>-5.8784049999999997E-2</v>
      </c>
      <c r="S4882">
        <v>2.9782410000000001</v>
      </c>
      <c r="T4882">
        <v>-0.26245770000000002</v>
      </c>
      <c r="U4882">
        <v>-0.7578125</v>
      </c>
      <c r="V4882">
        <v>7.2152549999999996E-2</v>
      </c>
      <c r="W4882">
        <v>6.4708580000000002E-2</v>
      </c>
      <c r="X4882">
        <v>0.99529230000000002</v>
      </c>
      <c r="Y4882">
        <v>0.258519</v>
      </c>
      <c r="Z4882">
        <v>-1.234816E-2</v>
      </c>
      <c r="AA4882">
        <v>0.96592719999999999</v>
      </c>
      <c r="AB4882">
        <v>23</v>
      </c>
      <c r="AC4882">
        <v>12.258100000000001</v>
      </c>
      <c r="AD4882">
        <v>-1.1097804176119901</v>
      </c>
      <c r="AE4882">
        <v>-3.2080500000000001</v>
      </c>
      <c r="AF4882">
        <v>3.3457646028082402</v>
      </c>
      <c r="AG4882">
        <v>-1.1097804176119901</v>
      </c>
      <c r="AH4882">
        <v>12.1211918041068</v>
      </c>
      <c r="AI4882">
        <v>95.043662247861405</v>
      </c>
      <c r="AJ4882">
        <v>74.569108459562003</v>
      </c>
      <c r="AK4882">
        <v>12.6233531244542</v>
      </c>
      <c r="AL4882">
        <v>86.289879132670293</v>
      </c>
      <c r="AM4882">
        <v>85.853662886315703</v>
      </c>
      <c r="AN4882">
        <v>0.99999997661820395</v>
      </c>
    </row>
    <row r="4883" spans="1:40" x14ac:dyDescent="0.25">
      <c r="A4883" t="str">
        <f>"20190312154658217"</f>
        <v>20190312154658217</v>
      </c>
      <c r="B4883" t="str">
        <f>"1552376818202905"</f>
        <v>1552376818202905</v>
      </c>
      <c r="C4883" t="s">
        <v>40</v>
      </c>
      <c r="D4883">
        <v>4.4863600000000003</v>
      </c>
      <c r="E4883">
        <v>0.55720729999999996</v>
      </c>
      <c r="F4883" t="s">
        <v>42</v>
      </c>
      <c r="G4883">
        <v>-336.3426</v>
      </c>
      <c r="H4883" s="1">
        <v>-2.5532279999999999E-6</v>
      </c>
      <c r="I4883">
        <v>14.645799999999999</v>
      </c>
      <c r="J4883">
        <v>-348.85050000000001</v>
      </c>
      <c r="K4883">
        <v>1.109783</v>
      </c>
      <c r="L4883">
        <v>17.880489999999899</v>
      </c>
      <c r="M4883">
        <v>0.99982210000000005</v>
      </c>
      <c r="N4883">
        <v>0</v>
      </c>
      <c r="O4883">
        <v>1.298668E-2</v>
      </c>
      <c r="P4883">
        <v>0.99694229999999995</v>
      </c>
      <c r="Q4883">
        <v>5.1227889999999998E-2</v>
      </c>
      <c r="R4883">
        <v>-5.9007379999999998E-2</v>
      </c>
      <c r="S4883">
        <v>2.9776609999999999</v>
      </c>
      <c r="T4883">
        <v>-0.26150050000000002</v>
      </c>
      <c r="U4883">
        <v>-0.76187130000000003</v>
      </c>
      <c r="V4883">
        <v>7.2013240000000006E-2</v>
      </c>
      <c r="W4883">
        <v>6.4785209999999996E-2</v>
      </c>
      <c r="X4883">
        <v>0.9952974</v>
      </c>
      <c r="Y4883">
        <v>0.25945380000000001</v>
      </c>
      <c r="Z4883">
        <v>-1.2312490000000001E-2</v>
      </c>
      <c r="AA4883">
        <v>0.96567700000000001</v>
      </c>
      <c r="AB4883">
        <v>22</v>
      </c>
      <c r="AC4883">
        <v>12.507899999999999</v>
      </c>
      <c r="AD4883">
        <v>-1.1097855532280001</v>
      </c>
      <c r="AE4883">
        <v>-3.2346899999999899</v>
      </c>
      <c r="AF4883">
        <v>3.3719867853193901</v>
      </c>
      <c r="AG4883">
        <v>-1.1097855532280001</v>
      </c>
      <c r="AH4883">
        <v>12.3735297070796</v>
      </c>
      <c r="AI4883">
        <v>94.945746335131702</v>
      </c>
      <c r="AJ4883">
        <v>74.756140431578302</v>
      </c>
      <c r="AK4883">
        <v>12.872690327453</v>
      </c>
      <c r="AL4883">
        <v>86.2854793089151</v>
      </c>
      <c r="AM4883">
        <v>85.861661801856499</v>
      </c>
      <c r="AN4883">
        <v>0.99999997230839999</v>
      </c>
    </row>
    <row r="4884" spans="1:40" x14ac:dyDescent="0.25">
      <c r="A4884" t="str">
        <f>"20190312154658238"</f>
        <v>20190312154658238</v>
      </c>
      <c r="B4884" t="str">
        <f>"1552376818233161"</f>
        <v>1552376818233161</v>
      </c>
      <c r="C4884" t="s">
        <v>40</v>
      </c>
      <c r="D4884">
        <v>4.4844980000000003</v>
      </c>
      <c r="E4884">
        <v>0.53588359999999902</v>
      </c>
      <c r="F4884" t="s">
        <v>42</v>
      </c>
      <c r="G4884">
        <v>-328.11689999999999</v>
      </c>
      <c r="H4884" s="1">
        <v>-2.3234609999999998E-6</v>
      </c>
      <c r="I4884">
        <v>13.542490000000001</v>
      </c>
      <c r="J4884">
        <v>-348.64839999999998</v>
      </c>
      <c r="K4884">
        <v>1.109785</v>
      </c>
      <c r="L4884">
        <v>17.88242</v>
      </c>
      <c r="M4884">
        <v>0.99982939999999998</v>
      </c>
      <c r="N4884">
        <v>0</v>
      </c>
      <c r="O4884">
        <v>1.2414329999999999E-2</v>
      </c>
      <c r="P4884">
        <v>0.99690069999999997</v>
      </c>
      <c r="Q4884">
        <v>5.1105320000000003E-2</v>
      </c>
      <c r="R4884">
        <v>-5.9811499999999997E-2</v>
      </c>
      <c r="S4884">
        <v>2.980499</v>
      </c>
      <c r="T4884">
        <v>-0.15953390000000001</v>
      </c>
      <c r="U4884">
        <v>-0.62359619999999905</v>
      </c>
      <c r="V4884">
        <v>7.2246539999999998E-2</v>
      </c>
      <c r="W4884">
        <v>6.4660060000000005E-2</v>
      </c>
      <c r="X4884">
        <v>0.99528870000000003</v>
      </c>
      <c r="Y4884">
        <v>0.21661330000000001</v>
      </c>
      <c r="Z4884">
        <v>-6.3883219999999897E-3</v>
      </c>
      <c r="AA4884">
        <v>0.97623660000000001</v>
      </c>
      <c r="AB4884">
        <v>22</v>
      </c>
      <c r="AC4884">
        <v>20.531499999999902</v>
      </c>
      <c r="AD4884">
        <v>-1.1097873234610001</v>
      </c>
      <c r="AE4884">
        <v>-4.3399299999999998</v>
      </c>
      <c r="AF4884">
        <v>4.58169029269005</v>
      </c>
      <c r="AG4884">
        <v>-1.1097873234610001</v>
      </c>
      <c r="AH4884">
        <v>20.418928429138301</v>
      </c>
      <c r="AI4884">
        <v>93.035680875316302</v>
      </c>
      <c r="AJ4884">
        <v>77.353189202558994</v>
      </c>
      <c r="AK4884">
        <v>20.956052873471101</v>
      </c>
      <c r="AL4884">
        <v>86.292665197579495</v>
      </c>
      <c r="AM4884">
        <v>85.848265542784901</v>
      </c>
      <c r="AN4884">
        <v>1.0000000411244301</v>
      </c>
    </row>
    <row r="4885" spans="1:40" x14ac:dyDescent="0.25">
      <c r="A4885" t="str">
        <f>"20190312154658261"</f>
        <v>20190312154658261</v>
      </c>
      <c r="B4885" t="str">
        <f>"1552376818252681"</f>
        <v>1552376818252681</v>
      </c>
      <c r="C4885" t="s">
        <v>40</v>
      </c>
      <c r="D4885">
        <v>4.5407789999999997</v>
      </c>
      <c r="E4885">
        <v>0.53023750000000003</v>
      </c>
      <c r="F4885" t="s">
        <v>42</v>
      </c>
      <c r="G4885">
        <v>-326.50450000000001</v>
      </c>
      <c r="H4885" s="1">
        <v>-2.6874910000000001E-6</v>
      </c>
      <c r="I4885">
        <v>14.50137</v>
      </c>
      <c r="J4885">
        <v>-348.41579999999999</v>
      </c>
      <c r="K4885">
        <v>1.109782</v>
      </c>
      <c r="L4885">
        <v>17.884550000000001</v>
      </c>
      <c r="M4885">
        <v>0.99983730000000004</v>
      </c>
      <c r="N4885">
        <v>0</v>
      </c>
      <c r="O4885">
        <v>1.175353E-2</v>
      </c>
      <c r="P4885">
        <v>0.99682939999999998</v>
      </c>
      <c r="Q4885">
        <v>5.1102080000000001E-2</v>
      </c>
      <c r="R4885">
        <v>-6.0989080000000001E-2</v>
      </c>
      <c r="S4885">
        <v>2.9896850000000001</v>
      </c>
      <c r="T4885">
        <v>-0.14983450000000001</v>
      </c>
      <c r="U4885">
        <v>-0.4564819</v>
      </c>
      <c r="V4885">
        <v>7.276502E-2</v>
      </c>
      <c r="W4885">
        <v>6.46534E-2</v>
      </c>
      <c r="X4885">
        <v>0.99525129999999995</v>
      </c>
      <c r="Y4885">
        <v>0.16233229999999901</v>
      </c>
      <c r="Z4885">
        <v>-4.6273629999999998E-3</v>
      </c>
      <c r="AA4885">
        <v>0.98672530000000003</v>
      </c>
      <c r="AB4885">
        <v>22</v>
      </c>
      <c r="AC4885">
        <v>21.911299999999901</v>
      </c>
      <c r="AD4885">
        <v>-1.109784687491</v>
      </c>
      <c r="AE4885">
        <v>-3.3831799999999901</v>
      </c>
      <c r="AF4885">
        <v>3.63140670382611</v>
      </c>
      <c r="AG4885">
        <v>-1.109784687491</v>
      </c>
      <c r="AH4885">
        <v>21.815357957479101</v>
      </c>
      <c r="AI4885">
        <v>92.872762591856898</v>
      </c>
      <c r="AJ4885">
        <v>80.549142494701897</v>
      </c>
      <c r="AK4885">
        <v>22.143364232070301</v>
      </c>
      <c r="AL4885">
        <v>86.293047361456999</v>
      </c>
      <c r="AM4885">
        <v>85.818419196756096</v>
      </c>
      <c r="AN4885">
        <v>0.99999998020942404</v>
      </c>
    </row>
    <row r="4886" spans="1:40" x14ac:dyDescent="0.25">
      <c r="A4886" t="str">
        <f>"20190312154658283"</f>
        <v>20190312154658283</v>
      </c>
      <c r="B4886" t="str">
        <f>"1552376818273176"</f>
        <v>1552376818273176</v>
      </c>
      <c r="C4886" t="s">
        <v>40</v>
      </c>
      <c r="D4886">
        <v>4.5370489999999997</v>
      </c>
      <c r="E4886">
        <v>0.52698840000000002</v>
      </c>
      <c r="F4886" t="s">
        <v>42</v>
      </c>
      <c r="G4886">
        <v>-327.20929999999998</v>
      </c>
      <c r="H4886" s="1">
        <v>-2.2989839999999999E-6</v>
      </c>
      <c r="I4886">
        <v>14.94431</v>
      </c>
      <c r="J4886">
        <v>-348.18450000000001</v>
      </c>
      <c r="K4886">
        <v>1.1097889999999999</v>
      </c>
      <c r="L4886">
        <v>17.886510000000001</v>
      </c>
      <c r="M4886">
        <v>0.99984499999999998</v>
      </c>
      <c r="N4886">
        <v>0</v>
      </c>
      <c r="O4886">
        <v>1.109446E-2</v>
      </c>
      <c r="P4886">
        <v>0.99673590000000001</v>
      </c>
      <c r="Q4886">
        <v>5.163177E-2</v>
      </c>
      <c r="R4886">
        <v>-6.2065120000000001E-2</v>
      </c>
      <c r="S4886">
        <v>2.9921570000000002</v>
      </c>
      <c r="T4886">
        <v>-0.15658620000000001</v>
      </c>
      <c r="U4886">
        <v>-0.414856</v>
      </c>
      <c r="V4886">
        <v>7.3183659999999998E-2</v>
      </c>
      <c r="W4886">
        <v>6.5178719999999996E-2</v>
      </c>
      <c r="X4886">
        <v>0.99518629999999997</v>
      </c>
      <c r="Y4886">
        <v>0.14810219999999999</v>
      </c>
      <c r="Z4886">
        <v>-4.4318099999999996E-3</v>
      </c>
      <c r="AA4886">
        <v>0.98896209999999996</v>
      </c>
      <c r="AB4886">
        <v>22</v>
      </c>
      <c r="AC4886">
        <v>20.975200000000001</v>
      </c>
      <c r="AD4886">
        <v>-1.109791298984</v>
      </c>
      <c r="AE4886">
        <v>-2.9422000000000001</v>
      </c>
      <c r="AF4886">
        <v>3.1660570065915401</v>
      </c>
      <c r="AG4886">
        <v>-1.109791298984</v>
      </c>
      <c r="AH4886">
        <v>20.8839285700593</v>
      </c>
      <c r="AI4886">
        <v>93.007587847790106</v>
      </c>
      <c r="AJ4886">
        <v>81.379456206542898</v>
      </c>
      <c r="AK4886">
        <v>21.1516908594946</v>
      </c>
      <c r="AL4886">
        <v>86.262884980756894</v>
      </c>
      <c r="AM4886">
        <v>85.794173624614899</v>
      </c>
      <c r="AN4886">
        <v>0.99999994266976</v>
      </c>
    </row>
    <row r="4887" spans="1:40" x14ac:dyDescent="0.25">
      <c r="A4887" t="str">
        <f>"20190312154658305"</f>
        <v>20190312154658305</v>
      </c>
      <c r="B4887" t="str">
        <f>"1552376818292696"</f>
        <v>1552376818292696</v>
      </c>
      <c r="C4887" t="s">
        <v>40</v>
      </c>
      <c r="D4887">
        <v>4.5268540000000002</v>
      </c>
      <c r="E4887">
        <v>0.52501600000000004</v>
      </c>
      <c r="F4887" t="s">
        <v>42</v>
      </c>
      <c r="G4887">
        <v>-327.4982</v>
      </c>
      <c r="H4887" s="1">
        <v>-2.125959E-6</v>
      </c>
      <c r="I4887">
        <v>15.17765</v>
      </c>
      <c r="J4887">
        <v>-347.97</v>
      </c>
      <c r="K4887">
        <v>1.1097900000000001</v>
      </c>
      <c r="L4887">
        <v>17.888179999999998</v>
      </c>
      <c r="M4887">
        <v>0.99985159999999995</v>
      </c>
      <c r="N4887">
        <v>0</v>
      </c>
      <c r="O4887">
        <v>1.048338E-2</v>
      </c>
      <c r="P4887">
        <v>0.99666189999999999</v>
      </c>
      <c r="Q4887">
        <v>5.2181270000000002E-2</v>
      </c>
      <c r="R4887">
        <v>-6.2787759999999998E-2</v>
      </c>
      <c r="S4887">
        <v>2.993744</v>
      </c>
      <c r="T4887">
        <v>-0.16061029999999901</v>
      </c>
      <c r="U4887">
        <v>-0.39202880000000001</v>
      </c>
      <c r="V4887">
        <v>7.3297630000000003E-2</v>
      </c>
      <c r="W4887">
        <v>6.5725420000000007E-2</v>
      </c>
      <c r="X4887">
        <v>0.99514199999999997</v>
      </c>
      <c r="Y4887">
        <v>0.14001649999999999</v>
      </c>
      <c r="Z4887">
        <v>-4.2970009999999999E-3</v>
      </c>
      <c r="AA4887">
        <v>0.99013980000000001</v>
      </c>
      <c r="AB4887">
        <v>22</v>
      </c>
      <c r="AC4887">
        <v>20.471800000000002</v>
      </c>
      <c r="AD4887">
        <v>-1.109792125959</v>
      </c>
      <c r="AE4887">
        <v>-2.7105299999999901</v>
      </c>
      <c r="AF4887">
        <v>2.9165911071653099</v>
      </c>
      <c r="AG4887">
        <v>-1.109792125959</v>
      </c>
      <c r="AH4887">
        <v>20.383385830881299</v>
      </c>
      <c r="AI4887">
        <v>93.085084191851706</v>
      </c>
      <c r="AJ4887">
        <v>81.857009301397497</v>
      </c>
      <c r="AK4887">
        <v>20.620876804340998</v>
      </c>
      <c r="AL4887">
        <v>86.231494231277296</v>
      </c>
      <c r="AM4887">
        <v>85.787460543440503</v>
      </c>
      <c r="AN4887">
        <v>0.99999998678089597</v>
      </c>
    </row>
    <row r="4888" spans="1:40" x14ac:dyDescent="0.25">
      <c r="A4888" t="str">
        <f>"20190312154658327"</f>
        <v>20190312154658327</v>
      </c>
      <c r="B4888" t="str">
        <f>"1552376818322952"</f>
        <v>1552376818322952</v>
      </c>
      <c r="C4888" t="s">
        <v>40</v>
      </c>
      <c r="D4888">
        <v>4.5301859999999996</v>
      </c>
      <c r="E4888">
        <v>0.52311770000000002</v>
      </c>
      <c r="F4888" t="s">
        <v>42</v>
      </c>
      <c r="G4888">
        <v>-326.70060000000001</v>
      </c>
      <c r="H4888" s="1">
        <v>-2.4270039999999999E-6</v>
      </c>
      <c r="I4888">
        <v>15.1974</v>
      </c>
      <c r="J4888">
        <v>-347.75069999999999</v>
      </c>
      <c r="K4888">
        <v>1.1097900000000001</v>
      </c>
      <c r="L4888">
        <v>17.889710000000001</v>
      </c>
      <c r="M4888">
        <v>0.99985809999999997</v>
      </c>
      <c r="N4888">
        <v>0</v>
      </c>
      <c r="O4888">
        <v>9.8582970000000002E-3</v>
      </c>
      <c r="P4888">
        <v>0.99663820000000003</v>
      </c>
      <c r="Q4888">
        <v>5.2214730000000001E-2</v>
      </c>
      <c r="R4888">
        <v>-6.3138449999999999E-2</v>
      </c>
      <c r="S4888">
        <v>2.994354</v>
      </c>
      <c r="T4888">
        <v>-0.15623890000000001</v>
      </c>
      <c r="U4888">
        <v>-0.3788147</v>
      </c>
      <c r="V4888">
        <v>7.3025229999999997E-2</v>
      </c>
      <c r="W4888">
        <v>6.5757300000000005E-2</v>
      </c>
      <c r="X4888">
        <v>0.99515989999999999</v>
      </c>
      <c r="Y4888">
        <v>0.135090299999999</v>
      </c>
      <c r="Z4888">
        <v>-4.0201309999999997E-3</v>
      </c>
      <c r="AA4888">
        <v>0.99082510000000001</v>
      </c>
      <c r="AB4888">
        <v>22</v>
      </c>
      <c r="AC4888">
        <v>21.050099999999901</v>
      </c>
      <c r="AD4888">
        <v>-1.109792427004</v>
      </c>
      <c r="AE4888">
        <v>-2.69231</v>
      </c>
      <c r="AF4888">
        <v>2.89180807989313</v>
      </c>
      <c r="AG4888">
        <v>-1.109792427004</v>
      </c>
      <c r="AH4888">
        <v>20.9651968489684</v>
      </c>
      <c r="AI4888">
        <v>93.001755204981194</v>
      </c>
      <c r="AJ4888">
        <v>82.146534393260893</v>
      </c>
      <c r="AK4888">
        <v>21.192774054331998</v>
      </c>
      <c r="AL4888">
        <v>86.229663605735695</v>
      </c>
      <c r="AM4888">
        <v>85.8031350116445</v>
      </c>
      <c r="AN4888">
        <v>0.99999996664392499</v>
      </c>
    </row>
    <row r="4889" spans="1:40" x14ac:dyDescent="0.25">
      <c r="A4889" t="str">
        <f>"20190312154658350"</f>
        <v>20190312154658350</v>
      </c>
      <c r="B4889" t="str">
        <f>"1552376818342473"</f>
        <v>1552376818342473</v>
      </c>
      <c r="C4889" t="s">
        <v>40</v>
      </c>
      <c r="D4889">
        <v>4.5082040000000001</v>
      </c>
      <c r="E4889">
        <v>0.522092</v>
      </c>
      <c r="F4889" t="s">
        <v>42</v>
      </c>
      <c r="G4889">
        <v>-326.19029999999998</v>
      </c>
      <c r="H4889" s="1">
        <v>-2.6052230000000001E-6</v>
      </c>
      <c r="I4889">
        <v>15.264029999999901</v>
      </c>
      <c r="J4889">
        <v>-347.5224</v>
      </c>
      <c r="K4889">
        <v>1.109785</v>
      </c>
      <c r="L4889">
        <v>17.891169999999999</v>
      </c>
      <c r="M4889">
        <v>0.99986419999999998</v>
      </c>
      <c r="N4889">
        <v>0</v>
      </c>
      <c r="O4889">
        <v>9.2082450000000003E-3</v>
      </c>
      <c r="P4889">
        <v>0.99663740000000001</v>
      </c>
      <c r="Q4889">
        <v>5.1855470000000001E-2</v>
      </c>
      <c r="R4889">
        <v>-6.3441079999999997E-2</v>
      </c>
      <c r="S4889">
        <v>2.9950559999999999</v>
      </c>
      <c r="T4889">
        <v>-0.15416679999999999</v>
      </c>
      <c r="U4889">
        <v>-0.36474610000000002</v>
      </c>
      <c r="V4889">
        <v>7.2680010000000003E-2</v>
      </c>
      <c r="W4889">
        <v>6.5396159999999995E-2</v>
      </c>
      <c r="X4889">
        <v>0.99520900000000001</v>
      </c>
      <c r="Y4889">
        <v>0.1298445</v>
      </c>
      <c r="Z4889">
        <v>-3.7993499999999999E-3</v>
      </c>
      <c r="AA4889">
        <v>0.99152709999999999</v>
      </c>
      <c r="AB4889">
        <v>22</v>
      </c>
      <c r="AC4889">
        <v>21.332100000000001</v>
      </c>
      <c r="AD4889">
        <v>-1.109787605223</v>
      </c>
      <c r="AE4889">
        <v>-2.6271399999999998</v>
      </c>
      <c r="AF4889">
        <v>2.8159705135386499</v>
      </c>
      <c r="AG4889">
        <v>-1.109787605223</v>
      </c>
      <c r="AH4889">
        <v>21.250346444239401</v>
      </c>
      <c r="AI4889">
        <v>92.963663627840404</v>
      </c>
      <c r="AJ4889">
        <v>82.451480349137498</v>
      </c>
      <c r="AK4889">
        <v>21.464821044258098</v>
      </c>
      <c r="AL4889">
        <v>86.250400155297697</v>
      </c>
      <c r="AM4889">
        <v>85.823110262905402</v>
      </c>
      <c r="AN4889">
        <v>0.99999999763867198</v>
      </c>
    </row>
    <row r="4890" spans="1:40" x14ac:dyDescent="0.25">
      <c r="A4890" t="str">
        <f>"20190312154658371"</f>
        <v>20190312154658371</v>
      </c>
      <c r="B4890" t="str">
        <f>"1552376818362968"</f>
        <v>1552376818362968</v>
      </c>
      <c r="C4890" t="s">
        <v>40</v>
      </c>
      <c r="D4890">
        <v>4.4835739999999999</v>
      </c>
      <c r="E4890">
        <v>0.52154860000000003</v>
      </c>
      <c r="F4890" t="s">
        <v>42</v>
      </c>
      <c r="G4890">
        <v>-325.82029999999997</v>
      </c>
      <c r="H4890" s="1">
        <v>-2.7375940000000001E-6</v>
      </c>
      <c r="I4890">
        <v>15.300660000000001</v>
      </c>
      <c r="J4890">
        <v>-347.30540000000002</v>
      </c>
      <c r="K4890">
        <v>1.1097840000000001</v>
      </c>
      <c r="L4890">
        <v>17.892489999999999</v>
      </c>
      <c r="M4890">
        <v>0.99986960000000003</v>
      </c>
      <c r="N4890">
        <v>0</v>
      </c>
      <c r="O4890">
        <v>8.5902019999999999E-3</v>
      </c>
      <c r="P4890">
        <v>0.99663239999999997</v>
      </c>
      <c r="Q4890">
        <v>5.1611909999999997E-2</v>
      </c>
      <c r="R4890">
        <v>-6.3719479999999995E-2</v>
      </c>
      <c r="S4890">
        <v>2.9953310000000002</v>
      </c>
      <c r="T4890">
        <v>-0.15317310000000001</v>
      </c>
      <c r="U4890">
        <v>-0.35754390000000003</v>
      </c>
      <c r="V4890">
        <v>7.2342219999999999E-2</v>
      </c>
      <c r="W4890">
        <v>6.5151589999999995E-2</v>
      </c>
      <c r="X4890">
        <v>0.99524959999999996</v>
      </c>
      <c r="Y4890">
        <v>0.1268772</v>
      </c>
      <c r="Z4890">
        <v>-3.66805E-3</v>
      </c>
      <c r="AA4890">
        <v>0.9919116</v>
      </c>
      <c r="AB4890">
        <v>22</v>
      </c>
      <c r="AC4890">
        <v>21.485099999999999</v>
      </c>
      <c r="AD4890">
        <v>-1.109786737594</v>
      </c>
      <c r="AE4890">
        <v>-2.5918299999999901</v>
      </c>
      <c r="AF4890">
        <v>2.7690308443876002</v>
      </c>
      <c r="AG4890">
        <v>-1.109786737594</v>
      </c>
      <c r="AH4890">
        <v>21.4057469556193</v>
      </c>
      <c r="AI4890">
        <v>92.943376831620299</v>
      </c>
      <c r="AJ4890">
        <v>82.629194357337298</v>
      </c>
      <c r="AK4890">
        <v>21.612615786806401</v>
      </c>
      <c r="AL4890">
        <v>86.2644427402508</v>
      </c>
      <c r="AM4890">
        <v>85.842623690611006</v>
      </c>
      <c r="AN4890">
        <v>0.99999994638710599</v>
      </c>
    </row>
    <row r="4891" spans="1:40" x14ac:dyDescent="0.25">
      <c r="A4891" t="str">
        <f>"20190312154658395"</f>
        <v>20190312154658395</v>
      </c>
      <c r="B4891" t="str">
        <f>"1552376818382489"</f>
        <v>1552376818382489</v>
      </c>
      <c r="C4891" t="s">
        <v>40</v>
      </c>
      <c r="D4891">
        <v>4.5029079999999997</v>
      </c>
      <c r="E4891">
        <v>0.52109300000000003</v>
      </c>
      <c r="F4891" t="s">
        <v>42</v>
      </c>
      <c r="G4891">
        <v>-325.97620000000001</v>
      </c>
      <c r="H4891" s="1">
        <v>-2.6586240000000001E-6</v>
      </c>
      <c r="I4891">
        <v>15.372339999999999</v>
      </c>
      <c r="J4891">
        <v>-347.07650000000001</v>
      </c>
      <c r="K4891">
        <v>1.1097900000000001</v>
      </c>
      <c r="L4891">
        <v>17.89368</v>
      </c>
      <c r="M4891">
        <v>0.99987510000000002</v>
      </c>
      <c r="N4891">
        <v>0</v>
      </c>
      <c r="O4891">
        <v>7.9388459999999994E-3</v>
      </c>
      <c r="P4891">
        <v>0.99659319999999896</v>
      </c>
      <c r="Q4891">
        <v>5.185008E-2</v>
      </c>
      <c r="R4891">
        <v>-6.4139150000000006E-2</v>
      </c>
      <c r="S4891">
        <v>2.9955750000000001</v>
      </c>
      <c r="T4891">
        <v>-0.15586420000000001</v>
      </c>
      <c r="U4891">
        <v>-0.3539429</v>
      </c>
      <c r="V4891">
        <v>7.2112860000000001E-2</v>
      </c>
      <c r="W4891">
        <v>6.5387609999999999E-2</v>
      </c>
      <c r="X4891">
        <v>0.99525079999999999</v>
      </c>
      <c r="Y4891">
        <v>0.1250426</v>
      </c>
      <c r="Z4891">
        <v>-3.6510790000000002E-3</v>
      </c>
      <c r="AA4891">
        <v>0.99214460000000004</v>
      </c>
      <c r="AB4891">
        <v>22</v>
      </c>
      <c r="AC4891">
        <v>21.100300000000001</v>
      </c>
      <c r="AD4891">
        <v>-1.1097926586239999</v>
      </c>
      <c r="AE4891">
        <v>-2.5213399999999999</v>
      </c>
      <c r="AF4891">
        <v>2.6814747465741502</v>
      </c>
      <c r="AG4891">
        <v>-1.1097926586239999</v>
      </c>
      <c r="AH4891">
        <v>21.022280327942301</v>
      </c>
      <c r="AI4891">
        <v>92.9976683655849</v>
      </c>
      <c r="AJ4891">
        <v>82.7309503072306</v>
      </c>
      <c r="AK4891">
        <v>21.221645005706801</v>
      </c>
      <c r="AL4891">
        <v>86.250891016905598</v>
      </c>
      <c r="AM4891">
        <v>85.855763576540994</v>
      </c>
      <c r="AN4891">
        <v>0.99999997950976505</v>
      </c>
    </row>
    <row r="4892" spans="1:40" x14ac:dyDescent="0.25">
      <c r="A4892" t="str">
        <f>"20190312154658415"</f>
        <v>20190312154658415</v>
      </c>
      <c r="B4892" t="str">
        <f>"1552376818402989"</f>
        <v>1552376818402989</v>
      </c>
      <c r="C4892" t="s">
        <v>40</v>
      </c>
      <c r="D4892">
        <v>4.4957760000000002</v>
      </c>
      <c r="E4892">
        <v>0.52066239999999997</v>
      </c>
      <c r="F4892" t="s">
        <v>42</v>
      </c>
      <c r="G4892">
        <v>-325.9622</v>
      </c>
      <c r="H4892" s="1">
        <v>-2.6523579999999999E-6</v>
      </c>
      <c r="I4892">
        <v>15.41606</v>
      </c>
      <c r="J4892">
        <v>-346.87009999999998</v>
      </c>
      <c r="K4892">
        <v>1.1097900000000001</v>
      </c>
      <c r="L4892">
        <v>17.89462</v>
      </c>
      <c r="M4892">
        <v>0.99987969999999904</v>
      </c>
      <c r="N4892">
        <v>0</v>
      </c>
      <c r="O4892">
        <v>7.3512639999999997E-3</v>
      </c>
      <c r="P4892">
        <v>0.99658690000000005</v>
      </c>
      <c r="Q4892">
        <v>5.2251529999999997E-2</v>
      </c>
      <c r="R4892">
        <v>-6.3909049999999995E-2</v>
      </c>
      <c r="S4892">
        <v>2.9957579999999999</v>
      </c>
      <c r="T4892">
        <v>-0.15746070000000001</v>
      </c>
      <c r="U4892">
        <v>-0.35153200000000001</v>
      </c>
      <c r="V4892">
        <v>7.129771E-2</v>
      </c>
      <c r="W4892">
        <v>6.5789189999999997E-2</v>
      </c>
      <c r="X4892">
        <v>0.99528309999999998</v>
      </c>
      <c r="Y4892">
        <v>0.12366389999999999</v>
      </c>
      <c r="Z4892">
        <v>-3.6215230000000002E-3</v>
      </c>
      <c r="AA4892">
        <v>0.99231760000000002</v>
      </c>
      <c r="AB4892">
        <v>22</v>
      </c>
      <c r="AC4892">
        <v>20.907899999999898</v>
      </c>
      <c r="AD4892">
        <v>-1.109792652358</v>
      </c>
      <c r="AE4892">
        <v>-2.4785599999999999</v>
      </c>
      <c r="AF4892">
        <v>2.6249136621327298</v>
      </c>
      <c r="AG4892">
        <v>-1.109792652358</v>
      </c>
      <c r="AH4892">
        <v>20.831234219882401</v>
      </c>
      <c r="AI4892">
        <v>93.0256918397953</v>
      </c>
      <c r="AJ4892">
        <v>82.818093965718703</v>
      </c>
      <c r="AK4892">
        <v>21.025273615068102</v>
      </c>
      <c r="AL4892">
        <v>86.227832661027605</v>
      </c>
      <c r="AM4892">
        <v>85.902581286956206</v>
      </c>
      <c r="AN4892">
        <v>1.0000000150588499</v>
      </c>
    </row>
    <row r="4893" spans="1:40" x14ac:dyDescent="0.25">
      <c r="A4893" t="str">
        <f>"20190312154658429"</f>
        <v>20190312154658429</v>
      </c>
      <c r="B4893" t="str">
        <f>"1552376818422505"</f>
        <v>1552376818422505</v>
      </c>
      <c r="C4893" t="s">
        <v>40</v>
      </c>
      <c r="D4893">
        <v>4.4918690000000003</v>
      </c>
      <c r="E4893">
        <v>0.52033589999999996</v>
      </c>
      <c r="F4893" t="s">
        <v>42</v>
      </c>
      <c r="G4893">
        <v>-325.87849999999997</v>
      </c>
      <c r="H4893" s="1">
        <v>-2.6727540000000001E-6</v>
      </c>
      <c r="I4893">
        <v>15.460279999999999</v>
      </c>
      <c r="J4893">
        <v>-346.7319</v>
      </c>
      <c r="K4893">
        <v>1.1097919999999999</v>
      </c>
      <c r="L4893">
        <v>17.895199999999999</v>
      </c>
      <c r="M4893">
        <v>0.99988259999999995</v>
      </c>
      <c r="N4893">
        <v>0</v>
      </c>
      <c r="O4893">
        <v>6.9580930000000003E-3</v>
      </c>
      <c r="P4893">
        <v>0.99657070000000003</v>
      </c>
      <c r="Q4893">
        <v>5.237617E-2</v>
      </c>
      <c r="R4893">
        <v>-6.4062350000000004E-2</v>
      </c>
      <c r="S4893">
        <v>2.9963069999999998</v>
      </c>
      <c r="T4893">
        <v>-0.15840979999999999</v>
      </c>
      <c r="U4893">
        <v>-0.34747309999999998</v>
      </c>
      <c r="V4893">
        <v>7.1059150000000001E-2</v>
      </c>
      <c r="W4893">
        <v>6.5912419999999999E-2</v>
      </c>
      <c r="X4893">
        <v>0.99529199999999995</v>
      </c>
      <c r="Y4893">
        <v>0.1219271</v>
      </c>
      <c r="Z4893">
        <v>-3.5765089999999999E-3</v>
      </c>
      <c r="AA4893">
        <v>0.99253259999999999</v>
      </c>
      <c r="AB4893">
        <v>22</v>
      </c>
      <c r="AC4893">
        <v>20.853400000000001</v>
      </c>
      <c r="AD4893">
        <v>-1.109794672754</v>
      </c>
      <c r="AE4893">
        <v>-2.43492</v>
      </c>
      <c r="AF4893">
        <v>2.5727857031472201</v>
      </c>
      <c r="AG4893">
        <v>-1.109794672754</v>
      </c>
      <c r="AH4893">
        <v>20.777894458895901</v>
      </c>
      <c r="AI4893">
        <v>93.034264181235201</v>
      </c>
      <c r="AJ4893">
        <v>82.941380719056696</v>
      </c>
      <c r="AK4893">
        <v>20.9659669139062</v>
      </c>
      <c r="AL4893">
        <v>86.220756715520807</v>
      </c>
      <c r="AM4893">
        <v>85.916281058856896</v>
      </c>
      <c r="AN4893">
        <v>1.0000000075864801</v>
      </c>
    </row>
    <row r="4894" spans="1:40" x14ac:dyDescent="0.25">
      <c r="A4894" t="str">
        <f>"20190312154658450"</f>
        <v>20190312154658450</v>
      </c>
      <c r="B4894" t="str">
        <f>"1552376818443002"</f>
        <v>1552376818443002</v>
      </c>
      <c r="C4894" t="s">
        <v>40</v>
      </c>
      <c r="D4894">
        <v>4.5189649999999997</v>
      </c>
      <c r="E4894">
        <v>0.5201675</v>
      </c>
      <c r="F4894" t="s">
        <v>42</v>
      </c>
      <c r="G4894">
        <v>-325.91759999999999</v>
      </c>
      <c r="H4894" s="1">
        <v>-2.6481859999999999E-6</v>
      </c>
      <c r="I4894">
        <v>15.496219999999999</v>
      </c>
      <c r="J4894">
        <v>-346.52730000000003</v>
      </c>
      <c r="K4894">
        <v>1.1097939999999999</v>
      </c>
      <c r="L4894">
        <v>17.895900000000001</v>
      </c>
      <c r="M4894">
        <v>0.99988650000000001</v>
      </c>
      <c r="N4894">
        <v>0</v>
      </c>
      <c r="O4894">
        <v>6.3762949999999997E-3</v>
      </c>
      <c r="P4894">
        <v>0.99650450000000002</v>
      </c>
      <c r="Q4894">
        <v>5.2892769999999999E-2</v>
      </c>
      <c r="R4894">
        <v>-6.4663159999999997E-2</v>
      </c>
      <c r="S4894">
        <v>2.996521</v>
      </c>
      <c r="T4894">
        <v>-0.15977079999999999</v>
      </c>
      <c r="U4894">
        <v>-0.34536739999999999</v>
      </c>
      <c r="V4894">
        <v>7.1080119999999997E-2</v>
      </c>
      <c r="W4894">
        <v>6.6426739999999998E-2</v>
      </c>
      <c r="X4894">
        <v>0.99525629999999998</v>
      </c>
      <c r="Y4894">
        <v>0.1206527</v>
      </c>
      <c r="Z4894">
        <v>-3.5423400000000002E-3</v>
      </c>
      <c r="AA4894">
        <v>0.99268849999999997</v>
      </c>
      <c r="AB4894">
        <v>22</v>
      </c>
      <c r="AC4894">
        <v>20.6097</v>
      </c>
      <c r="AD4894">
        <v>-1.109796648186</v>
      </c>
      <c r="AE4894">
        <v>-2.39968</v>
      </c>
      <c r="AF4894">
        <v>2.5238366585665601</v>
      </c>
      <c r="AG4894">
        <v>-1.109796648186</v>
      </c>
      <c r="AH4894">
        <v>20.535230216038801</v>
      </c>
      <c r="AI4894">
        <v>93.070399997785998</v>
      </c>
      <c r="AJ4894">
        <v>82.993327853145203</v>
      </c>
      <c r="AK4894">
        <v>20.719485517385799</v>
      </c>
      <c r="AL4894">
        <v>86.191223592257202</v>
      </c>
      <c r="AM4894">
        <v>85.914933976220198</v>
      </c>
      <c r="AN4894">
        <v>0.99999999896796599</v>
      </c>
    </row>
    <row r="4895" spans="1:40" x14ac:dyDescent="0.25">
      <c r="A4895" t="str">
        <f>"20190312154658473"</f>
        <v>20190312154658473</v>
      </c>
      <c r="B4895" t="str">
        <f>"1552376818462521"</f>
        <v>1552376818462521</v>
      </c>
      <c r="C4895" t="s">
        <v>40</v>
      </c>
      <c r="D4895">
        <v>4.5263960000000001</v>
      </c>
      <c r="E4895">
        <v>0.52003959999999905</v>
      </c>
      <c r="F4895" t="s">
        <v>42</v>
      </c>
      <c r="G4895">
        <v>-326.12819999999999</v>
      </c>
      <c r="H4895" s="1">
        <v>-2.554996E-6</v>
      </c>
      <c r="I4895">
        <v>15.54246</v>
      </c>
      <c r="J4895">
        <v>-346.2987</v>
      </c>
      <c r="K4895">
        <v>1.1097950000000001</v>
      </c>
      <c r="L4895">
        <v>17.896609999999999</v>
      </c>
      <c r="M4895">
        <v>0.99989039999999996</v>
      </c>
      <c r="N4895">
        <v>0</v>
      </c>
      <c r="O4895">
        <v>5.7257790000000003E-3</v>
      </c>
      <c r="P4895">
        <v>0.99648490000000001</v>
      </c>
      <c r="Q4895">
        <v>5.2392420000000002E-2</v>
      </c>
      <c r="R4895">
        <v>-6.5369200000000002E-2</v>
      </c>
      <c r="S4895">
        <v>2.9967350000000001</v>
      </c>
      <c r="T4895">
        <v>-0.16303489999999901</v>
      </c>
      <c r="U4895">
        <v>-0.34573359999999997</v>
      </c>
      <c r="V4895">
        <v>7.1137339999999993E-2</v>
      </c>
      <c r="W4895">
        <v>6.5924789999999997E-2</v>
      </c>
      <c r="X4895">
        <v>0.99528559999999999</v>
      </c>
      <c r="Y4895">
        <v>0.12011289999999999</v>
      </c>
      <c r="Z4895">
        <v>-3.564443E-3</v>
      </c>
      <c r="AA4895">
        <v>0.99275389999999997</v>
      </c>
      <c r="AB4895">
        <v>22</v>
      </c>
      <c r="AC4895">
        <v>20.170500000000001</v>
      </c>
      <c r="AD4895">
        <v>-1.109797554996</v>
      </c>
      <c r="AE4895">
        <v>-2.3541500000000002</v>
      </c>
      <c r="AF4895">
        <v>2.4622601870484999</v>
      </c>
      <c r="AG4895">
        <v>-1.109797554996</v>
      </c>
      <c r="AH4895">
        <v>20.0966678235487</v>
      </c>
      <c r="AI4895">
        <v>93.137418950562406</v>
      </c>
      <c r="AJ4895">
        <v>83.014887376400907</v>
      </c>
      <c r="AK4895">
        <v>20.277337928136902</v>
      </c>
      <c r="AL4895">
        <v>86.220046439777505</v>
      </c>
      <c r="AM4895">
        <v>85.911776563472301</v>
      </c>
      <c r="AN4895">
        <v>1.0000000123230799</v>
      </c>
    </row>
    <row r="4896" spans="1:40" x14ac:dyDescent="0.25">
      <c r="A4896" t="str">
        <f>"20190312154658495"</f>
        <v>20190312154658495</v>
      </c>
      <c r="B4896" t="str">
        <f>"1552376818483017"</f>
        <v>1552376818483017</v>
      </c>
      <c r="C4896" t="s">
        <v>40</v>
      </c>
      <c r="D4896">
        <v>4.6287339999999997</v>
      </c>
      <c r="E4896">
        <v>0.51985439999999905</v>
      </c>
      <c r="F4896" t="s">
        <v>42</v>
      </c>
      <c r="G4896">
        <v>-326.77409999999998</v>
      </c>
      <c r="H4896" s="1">
        <v>-2.2814049999999998E-6</v>
      </c>
      <c r="I4896">
        <v>15.63851</v>
      </c>
      <c r="J4896">
        <v>-346.07929999999999</v>
      </c>
      <c r="K4896">
        <v>1.1097999999999999</v>
      </c>
      <c r="L4896">
        <v>17.897129999999901</v>
      </c>
      <c r="M4896">
        <v>0.99989380000000005</v>
      </c>
      <c r="N4896">
        <v>0</v>
      </c>
      <c r="O4896">
        <v>5.101604E-3</v>
      </c>
      <c r="P4896">
        <v>0.99643800000000005</v>
      </c>
      <c r="Q4896">
        <v>5.1871889999999997E-2</v>
      </c>
      <c r="R4896">
        <v>-6.6489430000000002E-2</v>
      </c>
      <c r="S4896">
        <v>2.9967649999999999</v>
      </c>
      <c r="T4896">
        <v>-0.17033899999999999</v>
      </c>
      <c r="U4896">
        <v>-0.34658810000000001</v>
      </c>
      <c r="V4896">
        <v>7.163485E-2</v>
      </c>
      <c r="W4896">
        <v>6.5401399999999998E-2</v>
      </c>
      <c r="X4896">
        <v>0.99528439999999996</v>
      </c>
      <c r="Y4896">
        <v>0.11975619999999999</v>
      </c>
      <c r="Z4896">
        <v>-3.6783470000000002E-3</v>
      </c>
      <c r="AA4896">
        <v>0.99279649999999997</v>
      </c>
      <c r="AB4896">
        <v>22</v>
      </c>
      <c r="AC4896">
        <v>19.305199999999999</v>
      </c>
      <c r="AD4896">
        <v>-1.1098022814049999</v>
      </c>
      <c r="AE4896">
        <v>-2.2586199999999899</v>
      </c>
      <c r="AF4896">
        <v>2.3494277661865</v>
      </c>
      <c r="AG4896">
        <v>-1.1098022814049999</v>
      </c>
      <c r="AH4896">
        <v>19.230729897179899</v>
      </c>
      <c r="AI4896">
        <v>93.278543902817006</v>
      </c>
      <c r="AJ4896">
        <v>83.034663478742999</v>
      </c>
      <c r="AK4896">
        <v>19.405474596376902</v>
      </c>
      <c r="AL4896">
        <v>86.250099162003707</v>
      </c>
      <c r="AM4896">
        <v>85.8832779546279</v>
      </c>
      <c r="AN4896">
        <v>0.99999996586992002</v>
      </c>
    </row>
    <row r="4897" spans="1:40" x14ac:dyDescent="0.25">
      <c r="A4897" t="str">
        <f>"20190312154658517"</f>
        <v>20190312154658517</v>
      </c>
      <c r="B4897" t="str">
        <f>"1552376818502537"</f>
        <v>1552376818502537</v>
      </c>
      <c r="C4897" t="s">
        <v>40</v>
      </c>
      <c r="D4897">
        <v>4.4943359999999997</v>
      </c>
      <c r="E4897">
        <v>0.47648430000000003</v>
      </c>
      <c r="F4897" t="s">
        <v>42</v>
      </c>
      <c r="G4897">
        <v>-326.74450000000002</v>
      </c>
      <c r="H4897" s="1">
        <v>-2.2900070000000001E-6</v>
      </c>
      <c r="I4897">
        <v>15.648929999999901</v>
      </c>
      <c r="J4897">
        <v>-345.86709999999999</v>
      </c>
      <c r="K4897">
        <v>1.1097980000000001</v>
      </c>
      <c r="L4897">
        <v>17.897489999999902</v>
      </c>
      <c r="M4897">
        <v>0.99989680000000003</v>
      </c>
      <c r="N4897">
        <v>0</v>
      </c>
      <c r="O4897">
        <v>4.4975730000000004E-3</v>
      </c>
      <c r="P4897">
        <v>0.99636499999999995</v>
      </c>
      <c r="Q4897">
        <v>5.1631330000000003E-2</v>
      </c>
      <c r="R4897">
        <v>-6.7757899999999996E-2</v>
      </c>
      <c r="S4897">
        <v>2.9964599999999999</v>
      </c>
      <c r="T4897">
        <v>-0.17199410000000001</v>
      </c>
      <c r="U4897">
        <v>-0.34841919999999998</v>
      </c>
      <c r="V4897">
        <v>7.2300959999999997E-2</v>
      </c>
      <c r="W4897">
        <v>6.5157770000000004E-2</v>
      </c>
      <c r="X4897">
        <v>0.99525229999999998</v>
      </c>
      <c r="Y4897">
        <v>0.1197637</v>
      </c>
      <c r="Z4897">
        <v>-3.6799549999999999E-3</v>
      </c>
      <c r="AA4897">
        <v>0.9927956</v>
      </c>
      <c r="AB4897">
        <v>22</v>
      </c>
      <c r="AC4897">
        <v>19.122599999999899</v>
      </c>
      <c r="AD4897">
        <v>-1.1098002900069901</v>
      </c>
      <c r="AE4897">
        <v>-2.2485599999999901</v>
      </c>
      <c r="AF4897">
        <v>2.3268202744425199</v>
      </c>
      <c r="AG4897">
        <v>-1.1098002900069901</v>
      </c>
      <c r="AH4897">
        <v>19.049007016989201</v>
      </c>
      <c r="AI4897">
        <v>93.309753760343895</v>
      </c>
      <c r="AJ4897">
        <v>83.035867635373094</v>
      </c>
      <c r="AK4897">
        <v>19.222653760772999</v>
      </c>
      <c r="AL4897">
        <v>86.264088294325603</v>
      </c>
      <c r="AM4897">
        <v>85.844997753871894</v>
      </c>
      <c r="AN4897">
        <v>1.00000005223179</v>
      </c>
    </row>
    <row r="4898" spans="1:40" x14ac:dyDescent="0.25">
      <c r="A4898" t="str">
        <f>"20190312154658540"</f>
        <v>20190312154658540</v>
      </c>
      <c r="B4898" t="str">
        <f>"1552376818532793"</f>
        <v>1552376818532793</v>
      </c>
      <c r="C4898" t="s">
        <v>40</v>
      </c>
      <c r="D4898">
        <v>4.4782299999999999</v>
      </c>
      <c r="E4898">
        <v>0.46646769999999999</v>
      </c>
      <c r="F4898" t="s">
        <v>42</v>
      </c>
      <c r="G4898">
        <v>-320.31529999999998</v>
      </c>
      <c r="H4898" s="1">
        <v>-4.8756359999999997E-6</v>
      </c>
      <c r="I4898">
        <v>17.828489999999999</v>
      </c>
      <c r="J4898">
        <v>-345.63819999999998</v>
      </c>
      <c r="K4898">
        <v>1.1097999999999999</v>
      </c>
      <c r="L4898">
        <v>17.897739999999999</v>
      </c>
      <c r="M4898">
        <v>0.99989939999999999</v>
      </c>
      <c r="N4898">
        <v>0</v>
      </c>
      <c r="O4898">
        <v>3.8462209999999999E-3</v>
      </c>
      <c r="P4898">
        <v>0.99626510000000001</v>
      </c>
      <c r="Q4898">
        <v>5.1873780000000001E-2</v>
      </c>
      <c r="R4898">
        <v>-6.9030869999999994E-2</v>
      </c>
      <c r="S4898">
        <v>3.0171809999999999</v>
      </c>
      <c r="T4898">
        <v>-0.13104679999999999</v>
      </c>
      <c r="U4898">
        <v>-8.1481929999999998E-3</v>
      </c>
      <c r="V4898">
        <v>7.2924639999999999E-2</v>
      </c>
      <c r="W4898">
        <v>6.5396640000000006E-2</v>
      </c>
      <c r="X4898">
        <v>0.9951911</v>
      </c>
      <c r="Y4898">
        <v>6.5373430000000001E-3</v>
      </c>
      <c r="Z4898">
        <v>-3.0889410000000002E-4</v>
      </c>
      <c r="AA4898">
        <v>0.99997860000000005</v>
      </c>
      <c r="AB4898">
        <v>22</v>
      </c>
      <c r="AC4898">
        <v>25.322900000000001</v>
      </c>
      <c r="AD4898">
        <v>-1.1098048756359999</v>
      </c>
      <c r="AE4898">
        <v>-6.92500000000002E-2</v>
      </c>
      <c r="AF4898">
        <v>0.16633655072669301</v>
      </c>
      <c r="AG4898">
        <v>-1.1098048756359999</v>
      </c>
      <c r="AH4898">
        <v>25.2739022969362</v>
      </c>
      <c r="AI4898">
        <v>92.514251193135806</v>
      </c>
      <c r="AJ4898">
        <v>89.622921516963899</v>
      </c>
      <c r="AK4898">
        <v>25.298803766683701</v>
      </c>
      <c r="AL4898">
        <v>86.250372695492899</v>
      </c>
      <c r="AM4898">
        <v>85.809026375846003</v>
      </c>
      <c r="AN4898">
        <v>1.0000000245808101</v>
      </c>
    </row>
    <row r="4899" spans="1:40" x14ac:dyDescent="0.25">
      <c r="A4899" t="str">
        <f>"20190312154658563"</f>
        <v>20190312154658563</v>
      </c>
      <c r="B4899" t="str">
        <f>"1552376818553289"</f>
        <v>1552376818553289</v>
      </c>
      <c r="C4899" t="s">
        <v>40</v>
      </c>
      <c r="D4899">
        <v>4.4832510000000001</v>
      </c>
      <c r="E4899">
        <v>0.46417710000000001</v>
      </c>
      <c r="F4899" t="s">
        <v>42</v>
      </c>
      <c r="G4899">
        <v>-320.0924</v>
      </c>
      <c r="H4899" s="1">
        <v>-4.8670729999999998E-6</v>
      </c>
      <c r="I4899">
        <v>18.470790000000001</v>
      </c>
      <c r="J4899">
        <v>-345.4196</v>
      </c>
      <c r="K4899">
        <v>1.109804</v>
      </c>
      <c r="L4899">
        <v>17.897860000000001</v>
      </c>
      <c r="M4899">
        <v>0.99990179999999995</v>
      </c>
      <c r="N4899">
        <v>0</v>
      </c>
      <c r="O4899">
        <v>3.2238319999999998E-3</v>
      </c>
      <c r="P4899">
        <v>0.99621780000000004</v>
      </c>
      <c r="Q4899">
        <v>5.1685000000000002E-2</v>
      </c>
      <c r="R4899">
        <v>-6.9850889999999999E-2</v>
      </c>
      <c r="S4899">
        <v>3.0228579999999998</v>
      </c>
      <c r="T4899">
        <v>-0.1313242</v>
      </c>
      <c r="U4899">
        <v>6.7810060000000005E-2</v>
      </c>
      <c r="V4899">
        <v>7.3124099999999997E-2</v>
      </c>
      <c r="W4899">
        <v>6.5205369999999999E-2</v>
      </c>
      <c r="X4899">
        <v>0.99518899999999999</v>
      </c>
      <c r="Y4899">
        <v>-1.918831E-2</v>
      </c>
      <c r="Z4899">
        <v>2.7657369999999998E-4</v>
      </c>
      <c r="AA4899">
        <v>0.99981580000000003</v>
      </c>
      <c r="AB4899">
        <v>22</v>
      </c>
      <c r="AC4899">
        <v>25.327200000000001</v>
      </c>
      <c r="AD4899">
        <v>-1.109808867073</v>
      </c>
      <c r="AE4899">
        <v>0.57292999999999905</v>
      </c>
      <c r="AF4899">
        <v>-0.490327796971186</v>
      </c>
      <c r="AG4899">
        <v>-1.109808867073</v>
      </c>
      <c r="AH4899">
        <v>25.280399698089699</v>
      </c>
      <c r="AI4899">
        <v>92.513197154863803</v>
      </c>
      <c r="AJ4899">
        <v>91.111145062330806</v>
      </c>
      <c r="AK4899">
        <v>25.309498334915499</v>
      </c>
      <c r="AL4899">
        <v>86.261355045110903</v>
      </c>
      <c r="AM4899">
        <v>85.797595599291498</v>
      </c>
      <c r="AN4899">
        <v>1.00000000999932</v>
      </c>
    </row>
    <row r="4900" spans="1:40" x14ac:dyDescent="0.25">
      <c r="A4900" t="str">
        <f>"20190312154658585"</f>
        <v>20190312154658585</v>
      </c>
      <c r="B4900" t="str">
        <f>"1552376818572809"</f>
        <v>1552376818572809</v>
      </c>
      <c r="C4900" t="s">
        <v>40</v>
      </c>
      <c r="D4900">
        <v>4.4985059999999999</v>
      </c>
      <c r="E4900">
        <v>0.46252739999999998</v>
      </c>
      <c r="F4900" t="s">
        <v>42</v>
      </c>
      <c r="G4900">
        <v>-320.322</v>
      </c>
      <c r="H4900" s="1">
        <v>-4.7371909999999997E-6</v>
      </c>
      <c r="I4900">
        <v>18.59103</v>
      </c>
      <c r="J4900">
        <v>-345.20060000000001</v>
      </c>
      <c r="K4900">
        <v>1.1098049999999999</v>
      </c>
      <c r="L4900">
        <v>17.897860000000001</v>
      </c>
      <c r="M4900">
        <v>0.99990349999999995</v>
      </c>
      <c r="N4900">
        <v>0</v>
      </c>
      <c r="O4900">
        <v>2.6004919999999998E-3</v>
      </c>
      <c r="P4900">
        <v>0.99618110000000004</v>
      </c>
      <c r="Q4900">
        <v>5.1742330000000003E-2</v>
      </c>
      <c r="R4900">
        <v>-7.0326089999999994E-2</v>
      </c>
      <c r="S4900">
        <v>3.0242309999999999</v>
      </c>
      <c r="T4900">
        <v>-0.13373060000000001</v>
      </c>
      <c r="U4900">
        <v>8.3526610000000001E-2</v>
      </c>
      <c r="V4900">
        <v>7.2978290000000001E-2</v>
      </c>
      <c r="W4900">
        <v>6.5261520000000003E-2</v>
      </c>
      <c r="X4900">
        <v>0.99519599999999997</v>
      </c>
      <c r="Y4900">
        <v>-2.4986899999999999E-2</v>
      </c>
      <c r="Z4900">
        <v>4.3715730000000002E-4</v>
      </c>
      <c r="AA4900">
        <v>0.99968769999999996</v>
      </c>
      <c r="AB4900">
        <v>22</v>
      </c>
      <c r="AC4900">
        <v>24.878599999999999</v>
      </c>
      <c r="AD4900">
        <v>-1.1098097371909901</v>
      </c>
      <c r="AE4900">
        <v>0.69316999999999795</v>
      </c>
      <c r="AF4900">
        <v>-0.62721785779560801</v>
      </c>
      <c r="AG4900">
        <v>-1.1098097371909901</v>
      </c>
      <c r="AH4900">
        <v>24.830944261335901</v>
      </c>
      <c r="AI4900">
        <v>92.558295303292596</v>
      </c>
      <c r="AJ4900">
        <v>91.446956487948697</v>
      </c>
      <c r="AK4900">
        <v>24.863645605652302</v>
      </c>
      <c r="AL4900">
        <v>86.258130936150707</v>
      </c>
      <c r="AM4900">
        <v>85.805974688746005</v>
      </c>
      <c r="AN4900">
        <v>0.99999998761001696</v>
      </c>
    </row>
    <row r="4901" spans="1:40" x14ac:dyDescent="0.25">
      <c r="A4901" t="str">
        <f>"20190312154658606"</f>
        <v>20190312154658606</v>
      </c>
      <c r="B4901" t="str">
        <f>"1552376818603066"</f>
        <v>1552376818603066</v>
      </c>
      <c r="C4901" t="s">
        <v>40</v>
      </c>
      <c r="D4901">
        <v>4.4767650000000003</v>
      </c>
      <c r="E4901">
        <v>0.46112720000000001</v>
      </c>
      <c r="F4901" t="s">
        <v>43</v>
      </c>
      <c r="G4901">
        <v>-318.75510000000003</v>
      </c>
      <c r="H4901">
        <v>-0.05</v>
      </c>
      <c r="I4901">
        <v>18.729970000000002</v>
      </c>
      <c r="J4901">
        <v>-344.98379999999997</v>
      </c>
      <c r="K4901">
        <v>1.1098059999999901</v>
      </c>
      <c r="L4901">
        <v>17.897670000000002</v>
      </c>
      <c r="M4901">
        <v>0.99990500000000004</v>
      </c>
      <c r="N4901">
        <v>0</v>
      </c>
      <c r="O4901">
        <v>1.982751E-3</v>
      </c>
      <c r="P4901">
        <v>0.99619570000000002</v>
      </c>
      <c r="Q4901">
        <v>5.1776259999999998E-2</v>
      </c>
      <c r="R4901">
        <v>-7.0100280000000001E-2</v>
      </c>
      <c r="S4901">
        <v>3.0250849999999998</v>
      </c>
      <c r="T4901">
        <v>-0.13266919999999999</v>
      </c>
      <c r="U4901">
        <v>9.5184329999999998E-2</v>
      </c>
      <c r="V4901">
        <v>7.2136790000000006E-2</v>
      </c>
      <c r="W4901">
        <v>6.5294809999999995E-2</v>
      </c>
      <c r="X4901">
        <v>0.99525520000000001</v>
      </c>
      <c r="Y4901">
        <v>-2.9441060000000002E-2</v>
      </c>
      <c r="Z4901">
        <v>5.5821899999999999E-4</v>
      </c>
      <c r="AA4901">
        <v>0.99956639999999997</v>
      </c>
      <c r="AB4901">
        <v>22</v>
      </c>
      <c r="AC4901">
        <v>26.2286999999999</v>
      </c>
      <c r="AD4901">
        <v>-1.1598059999999999</v>
      </c>
      <c r="AE4901">
        <v>0.83230000000000004</v>
      </c>
      <c r="AF4901">
        <v>-0.77876733861326397</v>
      </c>
      <c r="AG4901">
        <v>-1.1598059999999999</v>
      </c>
      <c r="AH4901">
        <v>26.1791617639525</v>
      </c>
      <c r="AI4901">
        <v>92.5355754178956</v>
      </c>
      <c r="AJ4901">
        <v>91.703909673570195</v>
      </c>
      <c r="AK4901">
        <v>26.216409731092501</v>
      </c>
      <c r="AL4901">
        <v>86.256219607528806</v>
      </c>
      <c r="AM4901">
        <v>85.854411406807898</v>
      </c>
      <c r="AN4901">
        <v>1.00000002090574</v>
      </c>
    </row>
    <row r="4902" spans="1:40" x14ac:dyDescent="0.25">
      <c r="A4902" t="str">
        <f>"20190312154658628"</f>
        <v>20190312154658628</v>
      </c>
      <c r="B4902" t="str">
        <f>"1552376818622584"</f>
        <v>1552376818622584</v>
      </c>
      <c r="C4902" t="s">
        <v>40</v>
      </c>
      <c r="D4902">
        <v>4.4954549999999998</v>
      </c>
      <c r="E4902">
        <v>0.46061600000000003</v>
      </c>
      <c r="F4902" t="s">
        <v>42</v>
      </c>
      <c r="G4902">
        <v>-320.13619999999997</v>
      </c>
      <c r="H4902" s="1">
        <v>-4.7921619999999998E-6</v>
      </c>
      <c r="I4902">
        <v>18.776250000000001</v>
      </c>
      <c r="J4902">
        <v>-344.7706</v>
      </c>
      <c r="K4902">
        <v>1.109809</v>
      </c>
      <c r="L4902">
        <v>17.897369999999999</v>
      </c>
      <c r="M4902">
        <v>0.99990590000000001</v>
      </c>
      <c r="N4902">
        <v>0</v>
      </c>
      <c r="O4902">
        <v>1.375739E-3</v>
      </c>
      <c r="P4902">
        <v>0.99621040000000005</v>
      </c>
      <c r="Q4902">
        <v>5.1733420000000002E-2</v>
      </c>
      <c r="R4902">
        <v>-6.9917969999999996E-2</v>
      </c>
      <c r="S4902">
        <v>3.0260009999999999</v>
      </c>
      <c r="T4902">
        <v>-0.13515539999999901</v>
      </c>
      <c r="U4902">
        <v>0.1069946</v>
      </c>
      <c r="V4902">
        <v>7.1349969999999999E-2</v>
      </c>
      <c r="W4902">
        <v>6.5251030000000002E-2</v>
      </c>
      <c r="X4902">
        <v>0.99531480000000006</v>
      </c>
      <c r="Y4902">
        <v>-3.3928890000000003E-2</v>
      </c>
      <c r="Z4902">
        <v>6.9569569999999999E-4</v>
      </c>
      <c r="AA4902">
        <v>0.99942399999999998</v>
      </c>
      <c r="AB4902">
        <v>22</v>
      </c>
      <c r="AC4902">
        <v>24.634399999999999</v>
      </c>
      <c r="AD4902">
        <v>-1.1098137921619999</v>
      </c>
      <c r="AE4902">
        <v>0.878879999999998</v>
      </c>
      <c r="AF4902">
        <v>-0.84327614561145103</v>
      </c>
      <c r="AG4902">
        <v>-1.1098137921619999</v>
      </c>
      <c r="AH4902">
        <v>24.585749435758199</v>
      </c>
      <c r="AI4902">
        <v>92.583090428441494</v>
      </c>
      <c r="AJ4902">
        <v>91.964440028381304</v>
      </c>
      <c r="AK4902">
        <v>24.6252284584106</v>
      </c>
      <c r="AL4902">
        <v>86.258733423196603</v>
      </c>
      <c r="AM4902">
        <v>85.899718339183295</v>
      </c>
      <c r="AN4902">
        <v>1.00000003311705</v>
      </c>
    </row>
    <row r="4903" spans="1:40" x14ac:dyDescent="0.25">
      <c r="A4903" t="str">
        <f>"20190312154658650"</f>
        <v>20190312154658650</v>
      </c>
      <c r="B4903" t="str">
        <f>"1552376818643084"</f>
        <v>1552376818643084</v>
      </c>
      <c r="C4903" t="s">
        <v>40</v>
      </c>
      <c r="D4903">
        <v>4.507854</v>
      </c>
      <c r="E4903">
        <v>0.46008100000000002</v>
      </c>
      <c r="F4903" t="s">
        <v>42</v>
      </c>
      <c r="G4903">
        <v>-321.26369999999997</v>
      </c>
      <c r="H4903" s="1">
        <v>-4.2611630000000004E-6</v>
      </c>
      <c r="I4903">
        <v>18.765080000000001</v>
      </c>
      <c r="J4903">
        <v>-344.55250000000001</v>
      </c>
      <c r="K4903">
        <v>1.109807</v>
      </c>
      <c r="L4903">
        <v>17.896940000000001</v>
      </c>
      <c r="M4903">
        <v>0.99990670000000004</v>
      </c>
      <c r="N4903">
        <v>0</v>
      </c>
      <c r="O4903">
        <v>7.5406619999999905E-4</v>
      </c>
      <c r="P4903">
        <v>0.99620940000000002</v>
      </c>
      <c r="Q4903">
        <v>5.1779489999999997E-2</v>
      </c>
      <c r="R4903">
        <v>-6.9901270000000001E-2</v>
      </c>
      <c r="S4903">
        <v>3.0267029999999999</v>
      </c>
      <c r="T4903">
        <v>-0.14289749999999901</v>
      </c>
      <c r="U4903">
        <v>0.1117249</v>
      </c>
      <c r="V4903">
        <v>7.071363E-2</v>
      </c>
      <c r="W4903">
        <v>6.5296240000000005E-2</v>
      </c>
      <c r="X4903">
        <v>0.99535720000000005</v>
      </c>
      <c r="Y4903">
        <v>-3.609499E-2</v>
      </c>
      <c r="Z4903">
        <v>8.157269E-4</v>
      </c>
      <c r="AA4903">
        <v>0.99934800000000001</v>
      </c>
      <c r="AB4903">
        <v>22</v>
      </c>
      <c r="AC4903">
        <v>23.288799999999998</v>
      </c>
      <c r="AD4903">
        <v>-1.109811261163</v>
      </c>
      <c r="AE4903">
        <v>0.86813999999999603</v>
      </c>
      <c r="AF4903">
        <v>-0.848652265773157</v>
      </c>
      <c r="AG4903">
        <v>-1.109811261163</v>
      </c>
      <c r="AH4903">
        <v>23.236752226603599</v>
      </c>
      <c r="AI4903">
        <v>92.732608545508995</v>
      </c>
      <c r="AJ4903">
        <v>92.091625830636701</v>
      </c>
      <c r="AK4903">
        <v>23.2787144349548</v>
      </c>
      <c r="AL4903">
        <v>86.256137368509201</v>
      </c>
      <c r="AM4903">
        <v>85.936336467162405</v>
      </c>
      <c r="AN4903">
        <v>0.99999998600887696</v>
      </c>
    </row>
    <row r="4904" spans="1:40" x14ac:dyDescent="0.25">
      <c r="A4904" t="str">
        <f>"20190312154658662"</f>
        <v>20190312154658662</v>
      </c>
      <c r="B4904" t="str">
        <f>"1552376818652841"</f>
        <v>1552376818652841</v>
      </c>
      <c r="C4904" t="s">
        <v>40</v>
      </c>
      <c r="D4904">
        <v>4.5246529999999998</v>
      </c>
      <c r="E4904">
        <v>0.45985219999999999</v>
      </c>
      <c r="F4904" t="s">
        <v>42</v>
      </c>
      <c r="G4904">
        <v>-321.9316</v>
      </c>
      <c r="H4904" s="1">
        <v>-3.9454539999999997E-6</v>
      </c>
      <c r="I4904">
        <v>18.765080000000001</v>
      </c>
      <c r="J4904">
        <v>-344.43369999999999</v>
      </c>
      <c r="K4904">
        <v>1.109807</v>
      </c>
      <c r="L4904">
        <v>17.896639999999898</v>
      </c>
      <c r="M4904">
        <v>0.99990690000000004</v>
      </c>
      <c r="N4904">
        <v>0</v>
      </c>
      <c r="O4904">
        <v>4.1584489999999999E-4</v>
      </c>
      <c r="P4904">
        <v>0.99619550000000001</v>
      </c>
      <c r="Q4904">
        <v>5.213454E-2</v>
      </c>
      <c r="R4904">
        <v>-6.9833919999999994E-2</v>
      </c>
      <c r="S4904">
        <v>3.0272830000000002</v>
      </c>
      <c r="T4904">
        <v>-0.14852270000000001</v>
      </c>
      <c r="U4904">
        <v>0.1161804</v>
      </c>
      <c r="V4904">
        <v>7.0309720000000006E-2</v>
      </c>
      <c r="W4904">
        <v>6.5650710000000001E-2</v>
      </c>
      <c r="X4904">
        <v>0.99536250000000004</v>
      </c>
      <c r="Y4904">
        <v>-3.7888970000000001E-2</v>
      </c>
      <c r="Z4904">
        <v>9.0815920000000003E-4</v>
      </c>
      <c r="AA4904">
        <v>0.99928150000000004</v>
      </c>
      <c r="AB4904">
        <v>22</v>
      </c>
      <c r="AC4904">
        <v>22.502099999999899</v>
      </c>
      <c r="AD4904">
        <v>-1.1098109454539999</v>
      </c>
      <c r="AE4904">
        <v>0.86843999999999899</v>
      </c>
      <c r="AF4904">
        <v>-0.857000123068547</v>
      </c>
      <c r="AG4904">
        <v>-1.1098109454539999</v>
      </c>
      <c r="AH4904">
        <v>22.4479359493568</v>
      </c>
      <c r="AI4904">
        <v>92.828303472134095</v>
      </c>
      <c r="AJ4904">
        <v>92.186332649813806</v>
      </c>
      <c r="AK4904">
        <v>22.491686418141501</v>
      </c>
      <c r="AL4904">
        <v>86.235784074153997</v>
      </c>
      <c r="AM4904">
        <v>85.959492098591298</v>
      </c>
      <c r="AN4904">
        <v>0.99999998942811597</v>
      </c>
    </row>
    <row r="4905" spans="1:40" x14ac:dyDescent="0.25">
      <c r="A4905" t="str">
        <f>"20190312154658686"</f>
        <v>20190312154658686</v>
      </c>
      <c r="B4905" t="str">
        <f>"1552376818672361"</f>
        <v>1552376818672361</v>
      </c>
      <c r="C4905" t="s">
        <v>40</v>
      </c>
      <c r="D4905">
        <v>4.5159589999999996</v>
      </c>
      <c r="E4905">
        <v>0.45936719999999998</v>
      </c>
      <c r="F4905" t="s">
        <v>42</v>
      </c>
      <c r="G4905">
        <v>-321.83199999999999</v>
      </c>
      <c r="H4905" s="1">
        <v>-3.9899389999999997E-6</v>
      </c>
      <c r="I4905">
        <v>18.779689999999999</v>
      </c>
      <c r="J4905">
        <v>-344.21690000000001</v>
      </c>
      <c r="K4905">
        <v>1.109804</v>
      </c>
      <c r="L4905">
        <v>17.89603</v>
      </c>
      <c r="M4905">
        <v>0.99990710000000005</v>
      </c>
      <c r="N4905">
        <v>0</v>
      </c>
      <c r="O4905">
        <v>-2.0242940000000001E-4</v>
      </c>
      <c r="P4905">
        <v>0.9961759</v>
      </c>
      <c r="Q4905">
        <v>5.238922E-2</v>
      </c>
      <c r="R4905">
        <v>-6.9922609999999996E-2</v>
      </c>
      <c r="S4905">
        <v>3.0275270000000001</v>
      </c>
      <c r="T4905">
        <v>-0.14866070000000001</v>
      </c>
      <c r="U4905">
        <v>0.11828610000000001</v>
      </c>
      <c r="V4905">
        <v>6.9782410000000003E-2</v>
      </c>
      <c r="W4905">
        <v>6.590385E-2</v>
      </c>
      <c r="X4905">
        <v>0.99538289999999996</v>
      </c>
      <c r="Y4905">
        <v>-3.9195340000000002E-2</v>
      </c>
      <c r="Z4905">
        <v>9.7129029999999997E-4</v>
      </c>
      <c r="AA4905">
        <v>0.99923110000000004</v>
      </c>
      <c r="AB4905">
        <v>22</v>
      </c>
      <c r="AC4905">
        <v>22.384899999999998</v>
      </c>
      <c r="AD4905">
        <v>-1.1098079899390001</v>
      </c>
      <c r="AE4905">
        <v>0.883659999999999</v>
      </c>
      <c r="AF4905">
        <v>-0.886017305127902</v>
      </c>
      <c r="AG4905">
        <v>-1.1098079899390001</v>
      </c>
      <c r="AH4905">
        <v>22.329918663367501</v>
      </c>
      <c r="AI4905">
        <v>92.843053867267002</v>
      </c>
      <c r="AJ4905">
        <v>92.272217685457804</v>
      </c>
      <c r="AK4905">
        <v>22.375030010083201</v>
      </c>
      <c r="AL4905">
        <v>86.221248819071505</v>
      </c>
      <c r="AM4905">
        <v>85.989777843111895</v>
      </c>
      <c r="AN4905">
        <v>1.00000000990132</v>
      </c>
    </row>
    <row r="4906" spans="1:40" x14ac:dyDescent="0.25">
      <c r="A4906" t="str">
        <f>"20190312154658708"</f>
        <v>20190312154658708</v>
      </c>
      <c r="B4906" t="str">
        <f>"1552376818702618"</f>
        <v>1552376818702618</v>
      </c>
      <c r="C4906" t="s">
        <v>40</v>
      </c>
      <c r="D4906">
        <v>4.5422010000000004</v>
      </c>
      <c r="E4906">
        <v>0.45891720000000003</v>
      </c>
      <c r="F4906" t="s">
        <v>42</v>
      </c>
      <c r="G4906">
        <v>-321.74689999999998</v>
      </c>
      <c r="H4906" s="1">
        <v>-4.026389E-6</v>
      </c>
      <c r="I4906">
        <v>18.800979999999999</v>
      </c>
      <c r="J4906">
        <v>-344.00060000000002</v>
      </c>
      <c r="K4906">
        <v>1.1098049999999999</v>
      </c>
      <c r="L4906">
        <v>17.89526</v>
      </c>
      <c r="M4906">
        <v>0.99990679999999998</v>
      </c>
      <c r="N4906">
        <v>0</v>
      </c>
      <c r="O4906">
        <v>-8.1879740000000004E-4</v>
      </c>
      <c r="P4906">
        <v>0.99614720000000001</v>
      </c>
      <c r="Q4906">
        <v>5.2212979999999999E-2</v>
      </c>
      <c r="R4906">
        <v>-7.0460410000000001E-2</v>
      </c>
      <c r="S4906">
        <v>3.0279539999999998</v>
      </c>
      <c r="T4906">
        <v>-0.14955309999999999</v>
      </c>
      <c r="U4906">
        <v>0.12194820000000001</v>
      </c>
      <c r="V4906">
        <v>6.9705790000000004E-2</v>
      </c>
      <c r="W4906">
        <v>6.5725899999999907E-2</v>
      </c>
      <c r="X4906">
        <v>0.99539999999999995</v>
      </c>
      <c r="Y4906">
        <v>-4.100881E-2</v>
      </c>
      <c r="Z4906">
        <v>1.052107E-3</v>
      </c>
      <c r="AA4906">
        <v>0.9991582</v>
      </c>
      <c r="AB4906">
        <v>22</v>
      </c>
      <c r="AC4906">
        <v>22.253699999999998</v>
      </c>
      <c r="AD4906">
        <v>-1.1098090263889999</v>
      </c>
      <c r="AE4906">
        <v>0.90571999999999797</v>
      </c>
      <c r="AF4906">
        <v>-0.92165421119669</v>
      </c>
      <c r="AG4906">
        <v>-1.1098090263889999</v>
      </c>
      <c r="AH4906">
        <v>22.197834087471598</v>
      </c>
      <c r="AI4906">
        <v>92.859732549162402</v>
      </c>
      <c r="AJ4906">
        <v>92.377555522636996</v>
      </c>
      <c r="AK4906">
        <v>22.244661398524102</v>
      </c>
      <c r="AL4906">
        <v>86.231466627303902</v>
      </c>
      <c r="AM4906">
        <v>85.994235254337099</v>
      </c>
      <c r="AN4906">
        <v>0.99999997554516595</v>
      </c>
    </row>
    <row r="4907" spans="1:40" x14ac:dyDescent="0.25">
      <c r="A4907" t="str">
        <f>"20190312154658728"</f>
        <v>20190312154658728</v>
      </c>
      <c r="B4907" t="str">
        <f>"1552376818723113"</f>
        <v>1552376818723113</v>
      </c>
      <c r="C4907" t="s">
        <v>40</v>
      </c>
      <c r="D4907">
        <v>4.5327320000000002</v>
      </c>
      <c r="E4907">
        <v>0.45878439999999998</v>
      </c>
      <c r="F4907" t="s">
        <v>42</v>
      </c>
      <c r="G4907">
        <v>-322.2099</v>
      </c>
      <c r="H4907" s="1">
        <v>-3.8102290000000001E-6</v>
      </c>
      <c r="I4907">
        <v>18.785920000000001</v>
      </c>
      <c r="J4907">
        <v>-343.7962</v>
      </c>
      <c r="K4907">
        <v>1.109809</v>
      </c>
      <c r="L4907">
        <v>17.894379999999899</v>
      </c>
      <c r="M4907">
        <v>0.99990610000000002</v>
      </c>
      <c r="N4907">
        <v>0</v>
      </c>
      <c r="O4907">
        <v>-1.401434E-3</v>
      </c>
      <c r="P4907">
        <v>0.99605060000000001</v>
      </c>
      <c r="Q4907">
        <v>5.2347779999999997E-2</v>
      </c>
      <c r="R4907">
        <v>-7.1714260000000002E-2</v>
      </c>
      <c r="S4907">
        <v>3.028381</v>
      </c>
      <c r="T4907">
        <v>-0.15423619999999999</v>
      </c>
      <c r="U4907">
        <v>0.12377929999999999</v>
      </c>
      <c r="V4907">
        <v>7.0379479999999994E-2</v>
      </c>
      <c r="W4907">
        <v>6.5857700000000005E-2</v>
      </c>
      <c r="X4907">
        <v>0.99534389999999995</v>
      </c>
      <c r="Y4907">
        <v>-4.2182949999999997E-2</v>
      </c>
      <c r="Z4907">
        <v>1.1443580000000001E-3</v>
      </c>
      <c r="AA4907">
        <v>0.99910929999999998</v>
      </c>
      <c r="AB4907">
        <v>22</v>
      </c>
      <c r="AC4907">
        <v>21.586299999999898</v>
      </c>
      <c r="AD4907">
        <v>-1.1098128102289999</v>
      </c>
      <c r="AE4907">
        <v>0.891540000000002</v>
      </c>
      <c r="AF4907">
        <v>-0.919367702949345</v>
      </c>
      <c r="AG4907">
        <v>-1.1098128102289999</v>
      </c>
      <c r="AH4907">
        <v>21.528221049915</v>
      </c>
      <c r="AI4907">
        <v>92.948390361361106</v>
      </c>
      <c r="AJ4907">
        <v>92.445343800134694</v>
      </c>
      <c r="AK4907">
        <v>21.5764043116775</v>
      </c>
      <c r="AL4907">
        <v>86.223898714504102</v>
      </c>
      <c r="AM4907">
        <v>85.955421150379294</v>
      </c>
      <c r="AN4907">
        <v>0.99999999356078495</v>
      </c>
    </row>
    <row r="4908" spans="1:40" x14ac:dyDescent="0.25">
      <c r="A4908" t="str">
        <f>"20190312154658751"</f>
        <v>20190312154658751</v>
      </c>
      <c r="B4908" t="str">
        <f>"1552376818742634"</f>
        <v>1552376818742634</v>
      </c>
      <c r="C4908" t="s">
        <v>40</v>
      </c>
      <c r="D4908">
        <v>4.5174010000000004</v>
      </c>
      <c r="E4908">
        <v>0.45863340000000002</v>
      </c>
      <c r="F4908" t="s">
        <v>42</v>
      </c>
      <c r="G4908">
        <v>-322.36360000000002</v>
      </c>
      <c r="H4908" s="1">
        <v>-3.7437409999999999E-6</v>
      </c>
      <c r="I4908">
        <v>18.75104</v>
      </c>
      <c r="J4908">
        <v>-343.57470000000001</v>
      </c>
      <c r="K4908">
        <v>1.109815</v>
      </c>
      <c r="L4908">
        <v>17.89331</v>
      </c>
      <c r="M4908">
        <v>0.99990500000000004</v>
      </c>
      <c r="N4908">
        <v>0</v>
      </c>
      <c r="O4908">
        <v>-2.032584E-3</v>
      </c>
      <c r="P4908">
        <v>0.99598589999999998</v>
      </c>
      <c r="Q4908">
        <v>5.1962590000000003E-2</v>
      </c>
      <c r="R4908">
        <v>-7.288393E-2</v>
      </c>
      <c r="S4908">
        <v>3.0288390000000001</v>
      </c>
      <c r="T4908">
        <v>-0.15683810000000001</v>
      </c>
      <c r="U4908">
        <v>0.1210632</v>
      </c>
      <c r="V4908">
        <v>7.0919919999999997E-2</v>
      </c>
      <c r="W4908">
        <v>6.5469440000000004E-2</v>
      </c>
      <c r="X4908">
        <v>0.99533119999999997</v>
      </c>
      <c r="Y4908">
        <v>-4.1910580000000003E-2</v>
      </c>
      <c r="Z4908">
        <v>1.1890889999999999E-3</v>
      </c>
      <c r="AA4908">
        <v>0.99912069999999997</v>
      </c>
      <c r="AB4908">
        <v>22</v>
      </c>
      <c r="AC4908">
        <v>21.211099999999899</v>
      </c>
      <c r="AD4908">
        <v>-1.1098187437410001</v>
      </c>
      <c r="AE4908">
        <v>0.85772999999999999</v>
      </c>
      <c r="AF4908">
        <v>-0.89839011602953101</v>
      </c>
      <c r="AG4908">
        <v>-1.1098187437410001</v>
      </c>
      <c r="AH4908">
        <v>21.151501756311699</v>
      </c>
      <c r="AI4908">
        <v>93.000853046916603</v>
      </c>
      <c r="AJ4908">
        <v>92.4321224217409</v>
      </c>
      <c r="AK4908">
        <v>21.199642190183202</v>
      </c>
      <c r="AL4908">
        <v>86.246192663319903</v>
      </c>
      <c r="AM4908">
        <v>85.924415494170901</v>
      </c>
      <c r="AN4908">
        <v>1.0000000401600699</v>
      </c>
    </row>
    <row r="4909" spans="1:40" x14ac:dyDescent="0.25">
      <c r="A4909" t="str">
        <f>"20190312154658773"</f>
        <v>20190312154658773</v>
      </c>
      <c r="B4909" t="str">
        <f>"1552376818763132"</f>
        <v>1552376818763132</v>
      </c>
      <c r="C4909" t="s">
        <v>40</v>
      </c>
      <c r="D4909">
        <v>4.4722679999999997</v>
      </c>
      <c r="E4909">
        <v>0.45854080000000003</v>
      </c>
      <c r="F4909" t="s">
        <v>42</v>
      </c>
      <c r="G4909">
        <v>-322.53059999999999</v>
      </c>
      <c r="H4909" s="1">
        <v>-3.6702999999999998E-6</v>
      </c>
      <c r="I4909">
        <v>18.719950000000001</v>
      </c>
      <c r="J4909">
        <v>-343.35919999999999</v>
      </c>
      <c r="K4909">
        <v>1.109815</v>
      </c>
      <c r="L4909">
        <v>17.892150000000001</v>
      </c>
      <c r="M4909">
        <v>0.99990369999999995</v>
      </c>
      <c r="N4909">
        <v>0</v>
      </c>
      <c r="O4909">
        <v>-2.6470460000000001E-3</v>
      </c>
      <c r="P4909">
        <v>0.99592749999999997</v>
      </c>
      <c r="Q4909">
        <v>5.1784860000000002E-2</v>
      </c>
      <c r="R4909">
        <v>-7.3802370000000006E-2</v>
      </c>
      <c r="S4909">
        <v>3.0291139999999999</v>
      </c>
      <c r="T4909">
        <v>-0.15974859999999999</v>
      </c>
      <c r="U4909">
        <v>0.118988</v>
      </c>
      <c r="V4909">
        <v>7.1225919999999998E-2</v>
      </c>
      <c r="W4909">
        <v>6.5289589999999995E-2</v>
      </c>
      <c r="X4909">
        <v>0.99532109999999996</v>
      </c>
      <c r="Y4909">
        <v>-4.1834589999999998E-2</v>
      </c>
      <c r="Z4909">
        <v>1.241404E-3</v>
      </c>
      <c r="AA4909">
        <v>0.99912380000000001</v>
      </c>
      <c r="AB4909">
        <v>22</v>
      </c>
      <c r="AC4909">
        <v>20.828599999999899</v>
      </c>
      <c r="AD4909">
        <v>-1.1098186702999999</v>
      </c>
      <c r="AE4909">
        <v>0.82779999999999898</v>
      </c>
      <c r="AF4909">
        <v>-0.88044074272343997</v>
      </c>
      <c r="AG4909">
        <v>-1.1098186702999999</v>
      </c>
      <c r="AH4909">
        <v>20.767467220595599</v>
      </c>
      <c r="AI4909">
        <v>93.056250926465495</v>
      </c>
      <c r="AJ4909">
        <v>92.427611797056898</v>
      </c>
      <c r="AK4909">
        <v>20.815728864032302</v>
      </c>
      <c r="AL4909">
        <v>86.256519167101899</v>
      </c>
      <c r="AM4909">
        <v>85.906848711964301</v>
      </c>
      <c r="AN4909">
        <v>0.99999997717371103</v>
      </c>
    </row>
    <row r="4910" spans="1:40" x14ac:dyDescent="0.25">
      <c r="A4910" t="str">
        <f>"20190312154658795"</f>
        <v>20190312154658795</v>
      </c>
      <c r="B4910" t="str">
        <f>"1552376818782649"</f>
        <v>1552376818782649</v>
      </c>
      <c r="C4910" t="s">
        <v>40</v>
      </c>
      <c r="D4910">
        <v>4.469182</v>
      </c>
      <c r="E4910">
        <v>0.45851180000000002</v>
      </c>
      <c r="F4910" t="s">
        <v>42</v>
      </c>
      <c r="G4910">
        <v>-322.7482</v>
      </c>
      <c r="H4910" s="1">
        <v>-3.573402E-6</v>
      </c>
      <c r="I4910">
        <v>18.686340000000001</v>
      </c>
      <c r="J4910">
        <v>-343.14940000000001</v>
      </c>
      <c r="K4910">
        <v>1.109815</v>
      </c>
      <c r="L4910">
        <v>17.89087</v>
      </c>
      <c r="M4910">
        <v>0.99990199999999996</v>
      </c>
      <c r="N4910">
        <v>0</v>
      </c>
      <c r="O4910">
        <v>-3.245417E-3</v>
      </c>
      <c r="P4910">
        <v>0.99587859999999995</v>
      </c>
      <c r="Q4910">
        <v>5.1370899999999997E-2</v>
      </c>
      <c r="R4910">
        <v>-7.474799E-2</v>
      </c>
      <c r="S4910">
        <v>3.0294189999999999</v>
      </c>
      <c r="T4910">
        <v>-0.16312179999999901</v>
      </c>
      <c r="U4910">
        <v>0.11672970000000001</v>
      </c>
      <c r="V4910">
        <v>7.1574730000000003E-2</v>
      </c>
      <c r="W4910">
        <v>6.4872760000000002E-2</v>
      </c>
      <c r="X4910">
        <v>0.99532339999999997</v>
      </c>
      <c r="Y4910">
        <v>-4.1681610000000001E-2</v>
      </c>
      <c r="Z4910">
        <v>1.2955449999999999E-3</v>
      </c>
      <c r="AA4910">
        <v>0.99913010000000002</v>
      </c>
      <c r="AB4910">
        <v>22</v>
      </c>
      <c r="AC4910">
        <v>20.401199999999999</v>
      </c>
      <c r="AD4910">
        <v>-1.1098185734020001</v>
      </c>
      <c r="AE4910">
        <v>0.79546999999999801</v>
      </c>
      <c r="AF4910">
        <v>-0.85914372642708303</v>
      </c>
      <c r="AG4910">
        <v>-1.1098185734020001</v>
      </c>
      <c r="AH4910">
        <v>20.3384140729828</v>
      </c>
      <c r="AI4910">
        <v>93.120618401241998</v>
      </c>
      <c r="AJ4910">
        <v>92.418874012614097</v>
      </c>
      <c r="AK4910">
        <v>20.386782782298699</v>
      </c>
      <c r="AL4910">
        <v>86.280452755003793</v>
      </c>
      <c r="AM4910">
        <v>85.886881694349398</v>
      </c>
      <c r="AN4910">
        <v>1.0000000437760701</v>
      </c>
    </row>
    <row r="4911" spans="1:40" x14ac:dyDescent="0.25">
      <c r="A4911" t="str">
        <f>"20190312154658818"</f>
        <v>20190312154658818</v>
      </c>
      <c r="B4911" t="str">
        <f>"1552376818812905"</f>
        <v>1552376818812905</v>
      </c>
      <c r="C4911" t="s">
        <v>40</v>
      </c>
      <c r="D4911">
        <v>4.4645449999999904</v>
      </c>
      <c r="E4911">
        <v>0.45840619999999999</v>
      </c>
      <c r="F4911" t="s">
        <v>42</v>
      </c>
      <c r="G4911">
        <v>-323.1044</v>
      </c>
      <c r="H4911" s="1">
        <v>-3.4123240000000002E-6</v>
      </c>
      <c r="I4911">
        <v>18.645219999999998</v>
      </c>
      <c r="J4911">
        <v>-342.92970000000003</v>
      </c>
      <c r="K4911">
        <v>1.1098159999999999</v>
      </c>
      <c r="L4911">
        <v>17.889429999999901</v>
      </c>
      <c r="M4911">
        <v>0.99989969999999995</v>
      </c>
      <c r="N4911">
        <v>0</v>
      </c>
      <c r="O4911">
        <v>-3.871799E-3</v>
      </c>
      <c r="P4911">
        <v>0.99587000000000003</v>
      </c>
      <c r="Q4911">
        <v>5.1287550000000001E-2</v>
      </c>
      <c r="R4911">
        <v>-7.4918609999999997E-2</v>
      </c>
      <c r="S4911">
        <v>3.029633</v>
      </c>
      <c r="T4911">
        <v>-0.1677399</v>
      </c>
      <c r="U4911">
        <v>0.1140137</v>
      </c>
      <c r="V4911">
        <v>7.1121340000000005E-2</v>
      </c>
      <c r="W4911">
        <v>6.4788059999999995E-2</v>
      </c>
      <c r="X4911">
        <v>0.99536139999999995</v>
      </c>
      <c r="Y4911">
        <v>-4.1406100000000001E-2</v>
      </c>
      <c r="Z4911">
        <v>1.3591229999999901E-3</v>
      </c>
      <c r="AA4911">
        <v>0.99914150000000002</v>
      </c>
      <c r="AB4911">
        <v>22</v>
      </c>
      <c r="AC4911">
        <v>19.825299999999999</v>
      </c>
      <c r="AD4911">
        <v>-1.1098194123239999</v>
      </c>
      <c r="AE4911">
        <v>0.75579000000000396</v>
      </c>
      <c r="AF4911">
        <v>-0.82995393670900897</v>
      </c>
      <c r="AG4911">
        <v>-1.1098194123239999</v>
      </c>
      <c r="AH4911">
        <v>19.760390469149499</v>
      </c>
      <c r="AI4911">
        <v>93.211748152334295</v>
      </c>
      <c r="AJ4911">
        <v>92.405060018176997</v>
      </c>
      <c r="AK4911">
        <v>19.8089261232981</v>
      </c>
      <c r="AL4911">
        <v>86.285315876225397</v>
      </c>
      <c r="AM4911">
        <v>85.913003164729801</v>
      </c>
      <c r="AN4911">
        <v>1.0000000271659499</v>
      </c>
    </row>
    <row r="4912" spans="1:40" x14ac:dyDescent="0.25">
      <c r="A4912" t="str">
        <f>"20190312154658841"</f>
        <v>20190312154658841</v>
      </c>
      <c r="B4912" t="str">
        <f>"1552376818832425"</f>
        <v>1552376818832425</v>
      </c>
      <c r="C4912" t="s">
        <v>40</v>
      </c>
      <c r="D4912">
        <v>4.4705250000000003</v>
      </c>
      <c r="E4912">
        <v>0.45834580000000003</v>
      </c>
      <c r="F4912" t="s">
        <v>42</v>
      </c>
      <c r="G4912">
        <v>-323.24889999999999</v>
      </c>
      <c r="H4912" s="1">
        <v>-3.3460740000000002E-6</v>
      </c>
      <c r="I4912">
        <v>18.633600000000001</v>
      </c>
      <c r="J4912">
        <v>-342.70729999999998</v>
      </c>
      <c r="K4912">
        <v>1.1098170000000001</v>
      </c>
      <c r="L4912">
        <v>17.887820000000001</v>
      </c>
      <c r="M4912">
        <v>0.99989729999999999</v>
      </c>
      <c r="N4912">
        <v>0</v>
      </c>
      <c r="O4912">
        <v>-4.5061650000000003E-3</v>
      </c>
      <c r="P4912">
        <v>0.99585710000000005</v>
      </c>
      <c r="Q4912">
        <v>5.1320299999999999E-2</v>
      </c>
      <c r="R4912">
        <v>-7.5069949999999996E-2</v>
      </c>
      <c r="S4912">
        <v>3.0298159999999998</v>
      </c>
      <c r="T4912">
        <v>-0.1708546</v>
      </c>
      <c r="U4912">
        <v>0.114563</v>
      </c>
      <c r="V4912">
        <v>7.0640530000000007E-2</v>
      </c>
      <c r="W4912">
        <v>6.4819470000000004E-2</v>
      </c>
      <c r="X4912">
        <v>0.99539359999999999</v>
      </c>
      <c r="Y4912">
        <v>-4.2213720000000003E-2</v>
      </c>
      <c r="Z4912">
        <v>1.4427140000000001E-3</v>
      </c>
      <c r="AA4912">
        <v>0.99910750000000004</v>
      </c>
      <c r="AB4912">
        <v>22</v>
      </c>
      <c r="AC4912">
        <v>19.458399999999902</v>
      </c>
      <c r="AD4912">
        <v>-1.1098203460739999</v>
      </c>
      <c r="AE4912">
        <v>0.745779999999999</v>
      </c>
      <c r="AF4912">
        <v>-0.83076474580377102</v>
      </c>
      <c r="AG4912">
        <v>-1.1098203460739999</v>
      </c>
      <c r="AH4912">
        <v>19.391851300635899</v>
      </c>
      <c r="AI4912">
        <v>93.272542084718097</v>
      </c>
      <c r="AJ4912">
        <v>92.453103863722902</v>
      </c>
      <c r="AK4912">
        <v>19.441341726573398</v>
      </c>
      <c r="AL4912">
        <v>86.283512448776307</v>
      </c>
      <c r="AM4912">
        <v>85.940671167969896</v>
      </c>
      <c r="AN4912">
        <v>1.00000003354536</v>
      </c>
    </row>
    <row r="4913" spans="1:40" x14ac:dyDescent="0.25">
      <c r="A4913" t="str">
        <f>"20190312154658862"</f>
        <v>20190312154658862</v>
      </c>
      <c r="B4913" t="str">
        <f>"1552376818852922"</f>
        <v>1552376818852922</v>
      </c>
      <c r="C4913" t="s">
        <v>40</v>
      </c>
      <c r="D4913">
        <v>4.4357249999999997</v>
      </c>
      <c r="E4913">
        <v>0.45828190000000002</v>
      </c>
      <c r="F4913" t="s">
        <v>42</v>
      </c>
      <c r="G4913">
        <v>-323.16699999999997</v>
      </c>
      <c r="H4913" s="1">
        <v>-3.3858229999999998E-6</v>
      </c>
      <c r="I4913">
        <v>18.627800000000001</v>
      </c>
      <c r="J4913">
        <v>-342.49779999999998</v>
      </c>
      <c r="K4913">
        <v>1.1098159999999999</v>
      </c>
      <c r="L4913">
        <v>17.88617</v>
      </c>
      <c r="M4913">
        <v>0.99989430000000001</v>
      </c>
      <c r="N4913">
        <v>0</v>
      </c>
      <c r="O4913">
        <v>-5.1038189999999999E-3</v>
      </c>
      <c r="P4913">
        <v>0.99586680000000005</v>
      </c>
      <c r="Q4913">
        <v>5.1204520000000003E-2</v>
      </c>
      <c r="R4913">
        <v>-7.5018630000000003E-2</v>
      </c>
      <c r="S4913">
        <v>3.0300289999999999</v>
      </c>
      <c r="T4913">
        <v>-0.17209530000000001</v>
      </c>
      <c r="U4913">
        <v>0.1147461</v>
      </c>
      <c r="V4913">
        <v>6.9993410000000006E-2</v>
      </c>
      <c r="W4913">
        <v>6.4703380000000005E-2</v>
      </c>
      <c r="X4913">
        <v>0.99544690000000002</v>
      </c>
      <c r="Y4913">
        <v>-4.2865449999999999E-2</v>
      </c>
      <c r="Z4913">
        <v>1.505466E-3</v>
      </c>
      <c r="AA4913">
        <v>0.99907970000000001</v>
      </c>
      <c r="AB4913">
        <v>22</v>
      </c>
      <c r="AC4913">
        <v>19.330799999999901</v>
      </c>
      <c r="AD4913">
        <v>-1.1098193858230001</v>
      </c>
      <c r="AE4913">
        <v>0.74163000000000001</v>
      </c>
      <c r="AF4913">
        <v>-0.83753382032215995</v>
      </c>
      <c r="AG4913">
        <v>-1.1098193858230001</v>
      </c>
      <c r="AH4913">
        <v>19.263361366721199</v>
      </c>
      <c r="AI4913">
        <v>93.294229519430701</v>
      </c>
      <c r="AJ4913">
        <v>92.489542144315607</v>
      </c>
      <c r="AK4913">
        <v>19.313473357069199</v>
      </c>
      <c r="AL4913">
        <v>86.290178035051497</v>
      </c>
      <c r="AM4913">
        <v>85.977949693510197</v>
      </c>
      <c r="AN4913">
        <v>1.0000000677732199</v>
      </c>
    </row>
    <row r="4914" spans="1:40" x14ac:dyDescent="0.25">
      <c r="A4914" t="str">
        <f>"20190312154658887"</f>
        <v>20190312154658887</v>
      </c>
      <c r="B4914" t="str">
        <f>"1552376818883179"</f>
        <v>1552376818883179</v>
      </c>
      <c r="C4914" t="s">
        <v>40</v>
      </c>
      <c r="D4914">
        <v>4.4692850000000002</v>
      </c>
      <c r="E4914">
        <v>0.45812269999999999</v>
      </c>
      <c r="F4914" t="s">
        <v>42</v>
      </c>
      <c r="G4914">
        <v>-323.1207</v>
      </c>
      <c r="H4914" s="1">
        <v>-3.4084310000000001E-6</v>
      </c>
      <c r="I4914">
        <v>18.623670000000001</v>
      </c>
      <c r="J4914">
        <v>-342.274</v>
      </c>
      <c r="K4914">
        <v>1.1098170000000001</v>
      </c>
      <c r="L4914">
        <v>17.884250000000002</v>
      </c>
      <c r="M4914">
        <v>0.99989090000000003</v>
      </c>
      <c r="N4914">
        <v>0</v>
      </c>
      <c r="O4914">
        <v>-5.7422380000000002E-3</v>
      </c>
      <c r="P4914">
        <v>0.99582530000000002</v>
      </c>
      <c r="Q4914">
        <v>5.0923690000000001E-2</v>
      </c>
      <c r="R4914">
        <v>-7.5755920000000004E-2</v>
      </c>
      <c r="S4914">
        <v>3.0300600000000002</v>
      </c>
      <c r="T4914">
        <v>-0.1735467</v>
      </c>
      <c r="U4914">
        <v>0.1153259</v>
      </c>
      <c r="V4914">
        <v>7.0094610000000002E-2</v>
      </c>
      <c r="W4914">
        <v>6.4420240000000004E-2</v>
      </c>
      <c r="X4914">
        <v>0.99545810000000001</v>
      </c>
      <c r="Y4914">
        <v>-4.3690159999999999E-2</v>
      </c>
      <c r="Z4914">
        <v>1.5782379999999901E-3</v>
      </c>
      <c r="AA4914">
        <v>0.99904389999999998</v>
      </c>
      <c r="AB4914">
        <v>22</v>
      </c>
      <c r="AC4914">
        <v>19.153300000000002</v>
      </c>
      <c r="AD4914">
        <v>-1.1098204084309999</v>
      </c>
      <c r="AE4914">
        <v>0.73941999999999897</v>
      </c>
      <c r="AF4914">
        <v>-0.84656268225527898</v>
      </c>
      <c r="AG4914">
        <v>-1.1098204084309999</v>
      </c>
      <c r="AH4914">
        <v>19.084755815608599</v>
      </c>
      <c r="AI4914">
        <v>93.324864958384097</v>
      </c>
      <c r="AJ4914">
        <v>92.539864470592093</v>
      </c>
      <c r="AK4914">
        <v>19.135732916597799</v>
      </c>
      <c r="AL4914">
        <v>86.306434519855003</v>
      </c>
      <c r="AM4914">
        <v>85.972198705659807</v>
      </c>
      <c r="AN4914">
        <v>1.0000000252641501</v>
      </c>
    </row>
    <row r="4915" spans="1:40" x14ac:dyDescent="0.25">
      <c r="A4915" t="str">
        <f>"20190312154658908"</f>
        <v>20190312154658908</v>
      </c>
      <c r="B4915" t="str">
        <f>"1552376818902697"</f>
        <v>1552376818902697</v>
      </c>
      <c r="C4915" t="s">
        <v>40</v>
      </c>
      <c r="D4915">
        <v>4.4467639999999999</v>
      </c>
      <c r="E4915">
        <v>0.45801409999999998</v>
      </c>
      <c r="F4915" t="s">
        <v>42</v>
      </c>
      <c r="G4915">
        <v>-323.2568</v>
      </c>
      <c r="H4915" s="1">
        <v>-3.3479539999999898E-6</v>
      </c>
      <c r="I4915">
        <v>18.602049999999998</v>
      </c>
      <c r="J4915">
        <v>-342.06229999999999</v>
      </c>
      <c r="K4915">
        <v>1.1098190000000001</v>
      </c>
      <c r="L4915">
        <v>17.88232</v>
      </c>
      <c r="M4915">
        <v>0.99988719999999998</v>
      </c>
      <c r="N4915">
        <v>0</v>
      </c>
      <c r="O4915">
        <v>-6.3465680000000003E-3</v>
      </c>
      <c r="P4915">
        <v>0.99575060000000004</v>
      </c>
      <c r="Q4915">
        <v>5.0832549999999997E-2</v>
      </c>
      <c r="R4915">
        <v>-7.6792250000000006E-2</v>
      </c>
      <c r="S4915">
        <v>3.0303339999999999</v>
      </c>
      <c r="T4915">
        <v>-0.176845899999999</v>
      </c>
      <c r="U4915">
        <v>0.11437990000000001</v>
      </c>
      <c r="V4915">
        <v>7.0529099999999997E-2</v>
      </c>
      <c r="W4915">
        <v>6.432649E-2</v>
      </c>
      <c r="X4915">
        <v>0.99543340000000002</v>
      </c>
      <c r="Y4915">
        <v>-4.39745E-2</v>
      </c>
      <c r="Z4915">
        <v>1.651572E-3</v>
      </c>
      <c r="AA4915">
        <v>0.99903129999999996</v>
      </c>
      <c r="AB4915">
        <v>22</v>
      </c>
      <c r="AC4915">
        <v>18.805499999999899</v>
      </c>
      <c r="AD4915">
        <v>-1.1098223479539999</v>
      </c>
      <c r="AE4915">
        <v>0.71972999999999798</v>
      </c>
      <c r="AF4915">
        <v>-0.836168939103349</v>
      </c>
      <c r="AG4915">
        <v>-1.1098223479539999</v>
      </c>
      <c r="AH4915">
        <v>18.735395464041002</v>
      </c>
      <c r="AI4915">
        <v>93.386686009316506</v>
      </c>
      <c r="AJ4915">
        <v>92.555440031092303</v>
      </c>
      <c r="AK4915">
        <v>18.7868551741037</v>
      </c>
      <c r="AL4915">
        <v>86.311816894719499</v>
      </c>
      <c r="AM4915">
        <v>85.947214598402795</v>
      </c>
      <c r="AN4915">
        <v>0.99999995254904395</v>
      </c>
    </row>
    <row r="4916" spans="1:40" x14ac:dyDescent="0.25">
      <c r="A4916" t="str">
        <f>"20190312154658931"</f>
        <v>20190312154658931</v>
      </c>
      <c r="B4916" t="str">
        <f>"1552376818923192"</f>
        <v>1552376818923192</v>
      </c>
      <c r="C4916" t="s">
        <v>40</v>
      </c>
      <c r="D4916">
        <v>4.4713960000000004</v>
      </c>
      <c r="E4916">
        <v>0.45791330000000002</v>
      </c>
      <c r="F4916" t="s">
        <v>42</v>
      </c>
      <c r="G4916">
        <v>-323.22969999999998</v>
      </c>
      <c r="H4916" s="1">
        <v>-3.364977E-6</v>
      </c>
      <c r="I4916">
        <v>18.578320000000001</v>
      </c>
      <c r="J4916">
        <v>-341.84070000000003</v>
      </c>
      <c r="K4916">
        <v>1.1098209999999999</v>
      </c>
      <c r="L4916">
        <v>17.88016</v>
      </c>
      <c r="M4916">
        <v>0.99988299999999997</v>
      </c>
      <c r="N4916">
        <v>0</v>
      </c>
      <c r="O4916">
        <v>-6.9785510000000004E-3</v>
      </c>
      <c r="P4916">
        <v>0.99567220000000001</v>
      </c>
      <c r="Q4916">
        <v>5.1052029999999998E-2</v>
      </c>
      <c r="R4916">
        <v>-7.7657770000000001E-2</v>
      </c>
      <c r="S4916">
        <v>3.0305179999999998</v>
      </c>
      <c r="T4916">
        <v>-0.17859140000000001</v>
      </c>
      <c r="U4916">
        <v>0.1119995</v>
      </c>
      <c r="V4916">
        <v>7.0765289999999995E-2</v>
      </c>
      <c r="W4916">
        <v>6.4543009999999998E-2</v>
      </c>
      <c r="X4916">
        <v>0.99540269999999997</v>
      </c>
      <c r="Y4916">
        <v>-4.381753E-2</v>
      </c>
      <c r="Z4916">
        <v>1.7003529999999999E-3</v>
      </c>
      <c r="AA4916">
        <v>0.99903810000000004</v>
      </c>
      <c r="AB4916">
        <v>21</v>
      </c>
      <c r="AC4916">
        <v>18.611000000000001</v>
      </c>
      <c r="AD4916">
        <v>-1.1098243649770001</v>
      </c>
      <c r="AE4916">
        <v>0.698160000000001</v>
      </c>
      <c r="AF4916">
        <v>-0.82510285089868296</v>
      </c>
      <c r="AG4916">
        <v>-1.1098243649770001</v>
      </c>
      <c r="AH4916">
        <v>18.5398380040387</v>
      </c>
      <c r="AI4916">
        <v>93.422349529324194</v>
      </c>
      <c r="AJ4916">
        <v>92.548228124304003</v>
      </c>
      <c r="AK4916">
        <v>18.591344707999301</v>
      </c>
      <c r="AL4916">
        <v>86.299385668201694</v>
      </c>
      <c r="AM4916">
        <v>85.933562967451707</v>
      </c>
      <c r="AN4916">
        <v>1.00000003078796</v>
      </c>
    </row>
    <row r="4917" spans="1:40" x14ac:dyDescent="0.25">
      <c r="A4917" t="str">
        <f>"20190312154658952"</f>
        <v>20190312154658952</v>
      </c>
      <c r="B4917" t="str">
        <f>"1552376818942714"</f>
        <v>1552376818942714</v>
      </c>
      <c r="C4917" t="s">
        <v>40</v>
      </c>
      <c r="D4917">
        <v>4.5396010000000002</v>
      </c>
      <c r="E4917">
        <v>0.45783990000000002</v>
      </c>
      <c r="F4917" t="s">
        <v>42</v>
      </c>
      <c r="G4917">
        <v>-323.06209999999999</v>
      </c>
      <c r="H4917" s="1">
        <v>-3.4467980000000001E-6</v>
      </c>
      <c r="I4917">
        <v>18.563700000000001</v>
      </c>
      <c r="J4917">
        <v>-341.63729999999998</v>
      </c>
      <c r="K4917">
        <v>1.1098220000000001</v>
      </c>
      <c r="L4917">
        <v>17.878019999999999</v>
      </c>
      <c r="M4917">
        <v>0.99987879999999996</v>
      </c>
      <c r="N4917">
        <v>0</v>
      </c>
      <c r="O4917">
        <v>-7.5590409999999999E-3</v>
      </c>
      <c r="P4917">
        <v>0.99557810000000002</v>
      </c>
      <c r="Q4917">
        <v>5.1607420000000001E-2</v>
      </c>
      <c r="R4917">
        <v>-7.8491809999999995E-2</v>
      </c>
      <c r="S4917">
        <v>3.0307620000000002</v>
      </c>
      <c r="T4917">
        <v>-0.17911959999999999</v>
      </c>
      <c r="U4917">
        <v>0.110321</v>
      </c>
      <c r="V4917">
        <v>7.1022059999999998E-2</v>
      </c>
      <c r="W4917">
        <v>6.5095449999999999E-2</v>
      </c>
      <c r="X4917">
        <v>0.99534840000000002</v>
      </c>
      <c r="Y4917">
        <v>-4.3840469999999999E-2</v>
      </c>
      <c r="Z4917">
        <v>1.740201E-3</v>
      </c>
      <c r="AA4917">
        <v>0.99903699999999995</v>
      </c>
      <c r="AB4917">
        <v>21</v>
      </c>
      <c r="AC4917">
        <v>18.575199999999899</v>
      </c>
      <c r="AD4917">
        <v>-1.10982544679799</v>
      </c>
      <c r="AE4917">
        <v>0.68567999999999696</v>
      </c>
      <c r="AF4917">
        <v>-0.82314964129810997</v>
      </c>
      <c r="AG4917">
        <v>-1.10982544679799</v>
      </c>
      <c r="AH4917">
        <v>18.503521888970099</v>
      </c>
      <c r="AI4917">
        <v>93.429056525685894</v>
      </c>
      <c r="AJ4917">
        <v>92.547186716865994</v>
      </c>
      <c r="AK4917">
        <v>18.555042714850401</v>
      </c>
      <c r="AL4917">
        <v>86.267666346104093</v>
      </c>
      <c r="AM4917">
        <v>85.918635885108202</v>
      </c>
      <c r="AN4917">
        <v>0.99999999399995299</v>
      </c>
    </row>
    <row r="4918" spans="1:40" x14ac:dyDescent="0.25">
      <c r="A4918" t="str">
        <f>"20190312154658974"</f>
        <v>20190312154658974</v>
      </c>
      <c r="B4918" t="str">
        <f>"1552376818963212"</f>
        <v>1552376818963212</v>
      </c>
      <c r="C4918" t="s">
        <v>40</v>
      </c>
      <c r="D4918">
        <v>4.4503719999999998</v>
      </c>
      <c r="E4918">
        <v>0.45771250000000002</v>
      </c>
      <c r="F4918" t="s">
        <v>42</v>
      </c>
      <c r="G4918">
        <v>-322.74779999999998</v>
      </c>
      <c r="H4918" s="1">
        <v>-3.5972559999999999E-6</v>
      </c>
      <c r="I4918">
        <v>18.552980000000002</v>
      </c>
      <c r="J4918">
        <v>-341.42270000000002</v>
      </c>
      <c r="K4918">
        <v>1.1098250000000001</v>
      </c>
      <c r="L4918">
        <v>17.87567</v>
      </c>
      <c r="M4918">
        <v>0.99987409999999999</v>
      </c>
      <c r="N4918">
        <v>0</v>
      </c>
      <c r="O4918">
        <v>-8.1718320000000004E-3</v>
      </c>
      <c r="P4918">
        <v>0.99549940000000003</v>
      </c>
      <c r="Q4918">
        <v>5.2039389999999998E-2</v>
      </c>
      <c r="R4918">
        <v>-7.9204289999999997E-2</v>
      </c>
      <c r="S4918">
        <v>3.0310969999999999</v>
      </c>
      <c r="T4918">
        <v>-0.17808750000000001</v>
      </c>
      <c r="U4918">
        <v>0.1083069</v>
      </c>
      <c r="V4918">
        <v>7.1124989999999999E-2</v>
      </c>
      <c r="W4918">
        <v>6.5525109999999998E-2</v>
      </c>
      <c r="X4918">
        <v>0.99531289999999994</v>
      </c>
      <c r="Y4918">
        <v>-4.3785810000000001E-2</v>
      </c>
      <c r="Z4918">
        <v>1.7643820000000001E-3</v>
      </c>
      <c r="AA4918">
        <v>0.99903940000000002</v>
      </c>
      <c r="AB4918">
        <v>21</v>
      </c>
      <c r="AC4918">
        <v>18.674900000000001</v>
      </c>
      <c r="AD4918">
        <v>-1.109828597256</v>
      </c>
      <c r="AE4918">
        <v>0.67730999999999797</v>
      </c>
      <c r="AF4918">
        <v>-0.826992714265951</v>
      </c>
      <c r="AG4918">
        <v>-1.109828597256</v>
      </c>
      <c r="AH4918">
        <v>18.603124878151299</v>
      </c>
      <c r="AI4918">
        <v>93.410754904779793</v>
      </c>
      <c r="AJ4918">
        <v>92.545379690084701</v>
      </c>
      <c r="AK4918">
        <v>18.6545407795751</v>
      </c>
      <c r="AL4918">
        <v>86.242996130180302</v>
      </c>
      <c r="AM4918">
        <v>85.912595639873302</v>
      </c>
      <c r="AN4918">
        <v>1.0000000365747099</v>
      </c>
    </row>
    <row r="4919" spans="1:40" x14ac:dyDescent="0.25">
      <c r="A4919" t="str">
        <f>"20190312154658997"</f>
        <v>20190312154658997</v>
      </c>
      <c r="B4919" t="str">
        <f>"1552376818992489"</f>
        <v>1552376818992489</v>
      </c>
      <c r="C4919" t="s">
        <v>40</v>
      </c>
      <c r="D4919">
        <v>4.4643649999999999</v>
      </c>
      <c r="E4919">
        <v>0.45755010000000002</v>
      </c>
      <c r="F4919" t="s">
        <v>42</v>
      </c>
      <c r="G4919">
        <v>-322.52210000000002</v>
      </c>
      <c r="H4919" s="1">
        <v>-3.7055119999999998E-6</v>
      </c>
      <c r="I4919">
        <v>18.54411</v>
      </c>
      <c r="J4919">
        <v>-341.21190000000001</v>
      </c>
      <c r="K4919">
        <v>1.109828</v>
      </c>
      <c r="L4919">
        <v>17.873259999999998</v>
      </c>
      <c r="M4919">
        <v>0.99986889999999995</v>
      </c>
      <c r="N4919">
        <v>0</v>
      </c>
      <c r="O4919">
        <v>-8.7735390000000003E-3</v>
      </c>
      <c r="P4919">
        <v>0.99541590000000002</v>
      </c>
      <c r="Q4919">
        <v>5.2149670000000002E-2</v>
      </c>
      <c r="R4919">
        <v>-8.0172999999999994E-2</v>
      </c>
      <c r="S4919">
        <v>3.0314030000000001</v>
      </c>
      <c r="T4919">
        <v>-0.17800179999999999</v>
      </c>
      <c r="U4919">
        <v>0.10720830000000001</v>
      </c>
      <c r="V4919">
        <v>7.1494820000000001E-2</v>
      </c>
      <c r="W4919">
        <v>6.5632159999999995E-2</v>
      </c>
      <c r="X4919">
        <v>0.99527929999999998</v>
      </c>
      <c r="Y4919">
        <v>-4.4020480000000001E-2</v>
      </c>
      <c r="Z4919">
        <v>1.8055460000000001E-3</v>
      </c>
      <c r="AA4919">
        <v>0.99902899999999994</v>
      </c>
      <c r="AB4919">
        <v>21</v>
      </c>
      <c r="AC4919">
        <v>18.689799999999899</v>
      </c>
      <c r="AD4919">
        <v>-1.1098317055119999</v>
      </c>
      <c r="AE4919">
        <v>0.67084999999999795</v>
      </c>
      <c r="AF4919">
        <v>-0.83188544492569205</v>
      </c>
      <c r="AG4919">
        <v>-1.1098317055119999</v>
      </c>
      <c r="AH4919">
        <v>18.617629543520501</v>
      </c>
      <c r="AI4919">
        <v>93.408078927411594</v>
      </c>
      <c r="AJ4919">
        <v>92.558426793017205</v>
      </c>
      <c r="AK4919">
        <v>18.669223059029701</v>
      </c>
      <c r="AL4919">
        <v>86.236849200285107</v>
      </c>
      <c r="AM4919">
        <v>85.891276650959497</v>
      </c>
      <c r="AN4919">
        <v>0.99999998736079299</v>
      </c>
    </row>
    <row r="4920" spans="1:40" x14ac:dyDescent="0.25">
      <c r="A4920" t="str">
        <f>"20190312154659019"</f>
        <v>20190312154659019</v>
      </c>
      <c r="B4920" t="str">
        <f>"1552376819012985"</f>
        <v>1552376819012985</v>
      </c>
      <c r="C4920" t="s">
        <v>40</v>
      </c>
      <c r="D4920">
        <v>4.4649159999999997</v>
      </c>
      <c r="E4920">
        <v>0.45747900000000002</v>
      </c>
      <c r="F4920" t="s">
        <v>42</v>
      </c>
      <c r="G4920">
        <v>-322.40879999999999</v>
      </c>
      <c r="H4920" s="1">
        <v>-3.7616940000000002E-6</v>
      </c>
      <c r="I4920">
        <v>18.52928</v>
      </c>
      <c r="J4920">
        <v>-340.99979999999999</v>
      </c>
      <c r="K4920">
        <v>1.109826</v>
      </c>
      <c r="L4920">
        <v>17.87067</v>
      </c>
      <c r="M4920">
        <v>0.99986350000000002</v>
      </c>
      <c r="N4920">
        <v>0</v>
      </c>
      <c r="O4920">
        <v>-9.3789430000000007E-3</v>
      </c>
      <c r="P4920">
        <v>0.99535200000000001</v>
      </c>
      <c r="Q4920">
        <v>5.2508689999999997E-2</v>
      </c>
      <c r="R4920">
        <v>-8.0730380000000004E-2</v>
      </c>
      <c r="S4920">
        <v>3.0317080000000001</v>
      </c>
      <c r="T4920">
        <v>-0.17894350000000001</v>
      </c>
      <c r="U4920">
        <v>0.1057739</v>
      </c>
      <c r="V4920">
        <v>7.144971E-2</v>
      </c>
      <c r="W4920">
        <v>6.5989489999999998E-2</v>
      </c>
      <c r="X4920">
        <v>0.99525889999999995</v>
      </c>
      <c r="Y4920">
        <v>-4.4147529999999997E-2</v>
      </c>
      <c r="Z4920">
        <v>1.8543559999999999E-3</v>
      </c>
      <c r="AA4920">
        <v>0.99902329999999995</v>
      </c>
      <c r="AB4920">
        <v>21</v>
      </c>
      <c r="AC4920">
        <v>18.591000000000001</v>
      </c>
      <c r="AD4920">
        <v>-1.109829761694</v>
      </c>
      <c r="AE4920">
        <v>0.65860999999999903</v>
      </c>
      <c r="AF4920">
        <v>-0.83000685917361205</v>
      </c>
      <c r="AG4920">
        <v>-1.109829761694</v>
      </c>
      <c r="AH4920">
        <v>18.518093383200199</v>
      </c>
      <c r="AI4920">
        <v>93.426326918908401</v>
      </c>
      <c r="AJ4920">
        <v>92.566359366450897</v>
      </c>
      <c r="AK4920">
        <v>18.569879268189599</v>
      </c>
      <c r="AL4920">
        <v>86.216331175175597</v>
      </c>
      <c r="AM4920">
        <v>85.893776323238498</v>
      </c>
      <c r="AN4920">
        <v>0.99999997593937595</v>
      </c>
    </row>
    <row r="4921" spans="1:40" x14ac:dyDescent="0.25">
      <c r="A4921" t="str">
        <f>"20190312154659042"</f>
        <v>20190312154659042</v>
      </c>
      <c r="B4921" t="str">
        <f>"1552376819032509"</f>
        <v>1552376819032509</v>
      </c>
      <c r="C4921" t="s">
        <v>40</v>
      </c>
      <c r="D4921">
        <v>4.6574900000000001</v>
      </c>
      <c r="E4921">
        <v>0.45745619999999998</v>
      </c>
      <c r="F4921" t="s">
        <v>42</v>
      </c>
      <c r="G4921">
        <v>-322.15550000000002</v>
      </c>
      <c r="H4921" s="1">
        <v>-3.8830389999999999E-6</v>
      </c>
      <c r="I4921">
        <v>18.520309999999998</v>
      </c>
      <c r="J4921">
        <v>-340.78390000000002</v>
      </c>
      <c r="K4921">
        <v>1.109826</v>
      </c>
      <c r="L4921">
        <v>17.867920000000002</v>
      </c>
      <c r="M4921">
        <v>0.99985769999999996</v>
      </c>
      <c r="N4921">
        <v>0</v>
      </c>
      <c r="O4921">
        <v>-9.9956669999999997E-3</v>
      </c>
      <c r="P4921">
        <v>0.99527520000000003</v>
      </c>
      <c r="Q4921">
        <v>5.2916030000000003E-2</v>
      </c>
      <c r="R4921">
        <v>-8.1408399999999895E-2</v>
      </c>
      <c r="S4921">
        <v>3.0319210000000001</v>
      </c>
      <c r="T4921">
        <v>-0.17856369999999999</v>
      </c>
      <c r="U4921">
        <v>0.104522699999999</v>
      </c>
      <c r="V4921">
        <v>7.1514499999999995E-2</v>
      </c>
      <c r="W4921">
        <v>6.6393930000000004E-2</v>
      </c>
      <c r="X4921">
        <v>0.99522739999999998</v>
      </c>
      <c r="Y4921">
        <v>-4.4348480000000003E-2</v>
      </c>
      <c r="Z4921">
        <v>1.8925039999999999E-3</v>
      </c>
      <c r="AA4921">
        <v>0.99901430000000002</v>
      </c>
      <c r="AB4921">
        <v>21</v>
      </c>
      <c r="AC4921">
        <v>18.628399999999999</v>
      </c>
      <c r="AD4921">
        <v>-1.1098298830390001</v>
      </c>
      <c r="AE4921">
        <v>0.65239000000000003</v>
      </c>
      <c r="AF4921">
        <v>-0.83561553344304895</v>
      </c>
      <c r="AG4921">
        <v>-1.1098298830390001</v>
      </c>
      <c r="AH4921">
        <v>18.555167456289201</v>
      </c>
      <c r="AI4921">
        <v>93.419465058865001</v>
      </c>
      <c r="AJ4921">
        <v>92.578522486807202</v>
      </c>
      <c r="AK4921">
        <v>18.6071011987346</v>
      </c>
      <c r="AL4921">
        <v>86.193107735451903</v>
      </c>
      <c r="AM4921">
        <v>85.889935949770802</v>
      </c>
      <c r="AN4921">
        <v>1.00000002768092</v>
      </c>
    </row>
    <row r="4922" spans="1:40" x14ac:dyDescent="0.25">
      <c r="A4922" t="str">
        <f>"20190312154659064"</f>
        <v>20190312154659064</v>
      </c>
      <c r="B4922" t="str">
        <f>"1552376819053001"</f>
        <v>1552376819053001</v>
      </c>
      <c r="C4922" t="s">
        <v>40</v>
      </c>
      <c r="D4922">
        <v>4.6729890000000003</v>
      </c>
      <c r="E4922">
        <v>0.45804430000000002</v>
      </c>
      <c r="F4922" t="s">
        <v>42</v>
      </c>
      <c r="G4922">
        <v>-321.83019999999999</v>
      </c>
      <c r="H4922" s="1">
        <v>-4.0383930000000002E-6</v>
      </c>
      <c r="I4922">
        <v>18.511369999999999</v>
      </c>
      <c r="J4922">
        <v>-340.57220000000001</v>
      </c>
      <c r="K4922">
        <v>1.109829</v>
      </c>
      <c r="L4922">
        <v>17.865079999999999</v>
      </c>
      <c r="M4922">
        <v>0.9998515</v>
      </c>
      <c r="N4922">
        <v>0</v>
      </c>
      <c r="O4922">
        <v>-1.060035E-2</v>
      </c>
      <c r="P4922">
        <v>0.99523740000000005</v>
      </c>
      <c r="Q4922">
        <v>5.2781969999999998E-2</v>
      </c>
      <c r="R4922">
        <v>-8.1954509999999994E-2</v>
      </c>
      <c r="S4922">
        <v>3.0321039999999999</v>
      </c>
      <c r="T4922">
        <v>-0.17754449999999999</v>
      </c>
      <c r="U4922">
        <v>0.10293579999999999</v>
      </c>
      <c r="V4922">
        <v>7.1458279999999999E-2</v>
      </c>
      <c r="W4922">
        <v>6.6257830000000004E-2</v>
      </c>
      <c r="X4922">
        <v>0.99524049999999997</v>
      </c>
      <c r="Y4922">
        <v>-4.4428240000000001E-2</v>
      </c>
      <c r="Z4922">
        <v>1.9193280000000001E-3</v>
      </c>
      <c r="AA4922">
        <v>0.99901070000000003</v>
      </c>
      <c r="AB4922">
        <v>21</v>
      </c>
      <c r="AC4922">
        <v>18.742000000000001</v>
      </c>
      <c r="AD4922">
        <v>-1.109833038393</v>
      </c>
      <c r="AE4922">
        <v>0.64629000000000003</v>
      </c>
      <c r="AF4922">
        <v>-0.84199476886374403</v>
      </c>
      <c r="AG4922">
        <v>-1.109833038393</v>
      </c>
      <c r="AH4922">
        <v>18.668709723122699</v>
      </c>
      <c r="AI4922">
        <v>93.398716222451498</v>
      </c>
      <c r="AJ4922">
        <v>92.582399944760795</v>
      </c>
      <c r="AK4922">
        <v>18.720614500868301</v>
      </c>
      <c r="AL4922">
        <v>86.200922867933798</v>
      </c>
      <c r="AM4922">
        <v>85.893209824157495</v>
      </c>
      <c r="AN4922">
        <v>1.0000000193285501</v>
      </c>
    </row>
    <row r="4923" spans="1:40" x14ac:dyDescent="0.25">
      <c r="A4923" t="str">
        <f>"20190312154659088"</f>
        <v>20190312154659088</v>
      </c>
      <c r="B4923" t="str">
        <f>"1552376819072522"</f>
        <v>1552376819072522</v>
      </c>
      <c r="C4923" t="s">
        <v>40</v>
      </c>
      <c r="D4923">
        <v>4.6313829999999996</v>
      </c>
      <c r="E4923">
        <v>0.51430819999999999</v>
      </c>
      <c r="F4923" t="s">
        <v>42</v>
      </c>
      <c r="G4923">
        <v>-321.6585</v>
      </c>
      <c r="H4923" s="1">
        <v>-4.1271419999999997E-6</v>
      </c>
      <c r="I4923">
        <v>18.468599999999999</v>
      </c>
      <c r="J4923">
        <v>-340.35340000000002</v>
      </c>
      <c r="K4923">
        <v>1.1098250000000001</v>
      </c>
      <c r="L4923">
        <v>17.862029999999901</v>
      </c>
      <c r="M4923">
        <v>0.99984470000000003</v>
      </c>
      <c r="N4923">
        <v>0</v>
      </c>
      <c r="O4923">
        <v>-1.122507E-2</v>
      </c>
      <c r="P4923">
        <v>0.99516190000000004</v>
      </c>
      <c r="Q4923">
        <v>5.2470009999999997E-2</v>
      </c>
      <c r="R4923">
        <v>-8.3066899999999999E-2</v>
      </c>
      <c r="S4923">
        <v>3.0317379999999998</v>
      </c>
      <c r="T4923">
        <v>-0.1778988</v>
      </c>
      <c r="U4923">
        <v>9.6740720000000002E-2</v>
      </c>
      <c r="V4923">
        <v>7.1948570000000003E-2</v>
      </c>
      <c r="W4923">
        <v>6.5943349999999998E-2</v>
      </c>
      <c r="X4923">
        <v>0.99522600000000006</v>
      </c>
      <c r="Y4923">
        <v>-4.3018269999999997E-2</v>
      </c>
      <c r="Z4923">
        <v>1.918746E-3</v>
      </c>
      <c r="AA4923">
        <v>0.99907239999999997</v>
      </c>
      <c r="AB4923">
        <v>21</v>
      </c>
      <c r="AC4923">
        <v>18.694900000000001</v>
      </c>
      <c r="AD4923">
        <v>-1.109829127142</v>
      </c>
      <c r="AE4923">
        <v>0.60657000000000105</v>
      </c>
      <c r="AF4923">
        <v>-0.81353861421778195</v>
      </c>
      <c r="AG4923">
        <v>-1.109829127142</v>
      </c>
      <c r="AH4923">
        <v>18.621355344743801</v>
      </c>
      <c r="AI4923">
        <v>93.407539784431194</v>
      </c>
      <c r="AJ4923">
        <v>92.501574459463399</v>
      </c>
      <c r="AK4923">
        <v>18.672130051054602</v>
      </c>
      <c r="AL4923">
        <v>86.218980500100599</v>
      </c>
      <c r="AM4923">
        <v>85.865069656399996</v>
      </c>
      <c r="AN4923">
        <v>0.99999995660513197</v>
      </c>
    </row>
    <row r="4924" spans="1:40" x14ac:dyDescent="0.25">
      <c r="A4924" t="str">
        <f>"20190312154659109"</f>
        <v>20190312154659109</v>
      </c>
      <c r="B4924" t="str">
        <f>"1552376819102777"</f>
        <v>1552376819102777</v>
      </c>
      <c r="C4924" t="s">
        <v>40</v>
      </c>
      <c r="D4924">
        <v>4.6007379999999998</v>
      </c>
      <c r="E4924">
        <v>0.53906759999999998</v>
      </c>
      <c r="F4924" t="s">
        <v>42</v>
      </c>
      <c r="G4924">
        <v>-321.79750000000001</v>
      </c>
      <c r="H4924" s="1">
        <v>-4.557776E-6</v>
      </c>
      <c r="I4924">
        <v>15.67047</v>
      </c>
      <c r="J4924">
        <v>-340.142</v>
      </c>
      <c r="K4924">
        <v>1.109829</v>
      </c>
      <c r="L4924">
        <v>17.85895</v>
      </c>
      <c r="M4924">
        <v>0.99983770000000005</v>
      </c>
      <c r="N4924">
        <v>0</v>
      </c>
      <c r="O4924">
        <v>-1.18288E-2</v>
      </c>
      <c r="P4924">
        <v>0.99507330000000005</v>
      </c>
      <c r="Q4924">
        <v>5.283127E-2</v>
      </c>
      <c r="R4924">
        <v>-8.389315E-2</v>
      </c>
      <c r="S4924">
        <v>2.994507</v>
      </c>
      <c r="T4924">
        <v>-0.17910129999999999</v>
      </c>
      <c r="U4924">
        <v>-0.35366819999999999</v>
      </c>
      <c r="V4924">
        <v>7.2174409999999994E-2</v>
      </c>
      <c r="W4924">
        <v>6.6301139999999995E-2</v>
      </c>
      <c r="X4924">
        <v>0.99518589999999996</v>
      </c>
      <c r="Y4924">
        <v>0.1053692</v>
      </c>
      <c r="Z4924">
        <v>-2.43304E-3</v>
      </c>
      <c r="AA4924">
        <v>0.99443020000000004</v>
      </c>
      <c r="AB4924">
        <v>21</v>
      </c>
      <c r="AC4924">
        <v>18.344499999999901</v>
      </c>
      <c r="AD4924">
        <v>-1.1098335577759999</v>
      </c>
      <c r="AE4924">
        <v>-2.18847999999999</v>
      </c>
      <c r="AF4924">
        <v>1.9642248457914899</v>
      </c>
      <c r="AG4924">
        <v>-1.1098335577759999</v>
      </c>
      <c r="AH4924">
        <v>18.3030531908434</v>
      </c>
      <c r="AI4924">
        <v>93.450205718148496</v>
      </c>
      <c r="AJ4924">
        <v>83.874644315725007</v>
      </c>
      <c r="AK4924">
        <v>18.441574387172999</v>
      </c>
      <c r="AL4924">
        <v>86.198435773638593</v>
      </c>
      <c r="AM4924">
        <v>85.851969166694801</v>
      </c>
      <c r="AN4924">
        <v>0.99999998109147803</v>
      </c>
    </row>
    <row r="4925" spans="1:40" x14ac:dyDescent="0.25">
      <c r="A4925" t="str">
        <f>"20190312154659132"</f>
        <v>20190312154659132</v>
      </c>
      <c r="B4925" t="str">
        <f>"1552376819123280"</f>
        <v>1552376819123280</v>
      </c>
      <c r="C4925" t="s">
        <v>40</v>
      </c>
      <c r="D4925">
        <v>4.5911980000000003</v>
      </c>
      <c r="E4925">
        <v>0.54627650000000005</v>
      </c>
      <c r="F4925" t="s">
        <v>42</v>
      </c>
      <c r="G4925">
        <v>-321.6506</v>
      </c>
      <c r="H4925" s="1">
        <v>-4.8479130000000004E-6</v>
      </c>
      <c r="I4925">
        <v>14.426360000000001</v>
      </c>
      <c r="J4925">
        <v>-339.9307</v>
      </c>
      <c r="K4925">
        <v>1.1098349999999999</v>
      </c>
      <c r="L4925">
        <v>17.855709999999998</v>
      </c>
      <c r="M4925">
        <v>0.99983040000000001</v>
      </c>
      <c r="N4925">
        <v>0</v>
      </c>
      <c r="O4925">
        <v>-1.243266E-2</v>
      </c>
      <c r="P4925">
        <v>0.99495789999999995</v>
      </c>
      <c r="Q4925">
        <v>5.3509880000000003E-2</v>
      </c>
      <c r="R4925">
        <v>-8.4829070000000006E-2</v>
      </c>
      <c r="S4925">
        <v>2.9777529999999999</v>
      </c>
      <c r="T4925">
        <v>-0.1787213</v>
      </c>
      <c r="U4925">
        <v>-0.5527649</v>
      </c>
      <c r="V4925">
        <v>7.2510530000000004E-2</v>
      </c>
      <c r="W4925">
        <v>6.6976259999999996E-2</v>
      </c>
      <c r="X4925">
        <v>0.99511629999999995</v>
      </c>
      <c r="Y4925">
        <v>0.1700006</v>
      </c>
      <c r="Z4925">
        <v>-4.3149109999999899E-3</v>
      </c>
      <c r="AA4925">
        <v>0.98543449999999999</v>
      </c>
      <c r="AB4925">
        <v>21</v>
      </c>
      <c r="AC4925">
        <v>18.280100000000001</v>
      </c>
      <c r="AD4925">
        <v>-1.1098398479130001</v>
      </c>
      <c r="AE4925">
        <v>-3.4293499999999999</v>
      </c>
      <c r="AF4925">
        <v>3.1904333094728199</v>
      </c>
      <c r="AG4925">
        <v>-1.1098398479130001</v>
      </c>
      <c r="AH4925">
        <v>18.256320532214101</v>
      </c>
      <c r="AI4925">
        <v>93.427037578703406</v>
      </c>
      <c r="AJ4925">
        <v>80.0872230873441</v>
      </c>
      <c r="AK4925">
        <v>18.566201780793801</v>
      </c>
      <c r="AL4925">
        <v>86.159668234428096</v>
      </c>
      <c r="AM4925">
        <v>85.832429029600902</v>
      </c>
      <c r="AN4925">
        <v>1.0000000234450701</v>
      </c>
    </row>
    <row r="4926" spans="1:40" x14ac:dyDescent="0.25">
      <c r="A4926" t="str">
        <f>"20190312154659153"</f>
        <v>20190312154659153</v>
      </c>
      <c r="B4926" t="str">
        <f>"1552376819142793"</f>
        <v>1552376819142793</v>
      </c>
      <c r="C4926" t="s">
        <v>40</v>
      </c>
      <c r="D4926">
        <v>4.5539399999999999</v>
      </c>
      <c r="E4926">
        <v>0.55032630000000005</v>
      </c>
      <c r="F4926" t="s">
        <v>42</v>
      </c>
      <c r="G4926">
        <v>-322.22329999999999</v>
      </c>
      <c r="H4926" s="1">
        <v>-4.615963E-6</v>
      </c>
      <c r="I4926">
        <v>14.2076799999999</v>
      </c>
      <c r="J4926">
        <v>-339.7278</v>
      </c>
      <c r="K4926">
        <v>1.109829</v>
      </c>
      <c r="L4926">
        <v>17.852509999999999</v>
      </c>
      <c r="M4926">
        <v>0.99982300000000002</v>
      </c>
      <c r="N4926">
        <v>0</v>
      </c>
      <c r="O4926">
        <v>-1.3012070000000001E-2</v>
      </c>
      <c r="P4926">
        <v>0.9949654</v>
      </c>
      <c r="Q4926">
        <v>5.28478E-2</v>
      </c>
      <c r="R4926">
        <v>-8.5153779999999998E-2</v>
      </c>
      <c r="S4926">
        <v>2.9729920000000001</v>
      </c>
      <c r="T4926">
        <v>-0.18633720000000001</v>
      </c>
      <c r="U4926">
        <v>-0.61248780000000003</v>
      </c>
      <c r="V4926">
        <v>7.2257269999999998E-2</v>
      </c>
      <c r="W4926">
        <v>6.6313040000000004E-2</v>
      </c>
      <c r="X4926">
        <v>0.99517909999999998</v>
      </c>
      <c r="Y4926">
        <v>0.18868660000000001</v>
      </c>
      <c r="Z4926">
        <v>-5.0400150000000001E-3</v>
      </c>
      <c r="AA4926">
        <v>0.98202440000000002</v>
      </c>
      <c r="AB4926">
        <v>21</v>
      </c>
      <c r="AC4926">
        <v>17.5045</v>
      </c>
      <c r="AD4926">
        <v>-1.109833615963</v>
      </c>
      <c r="AE4926">
        <v>-3.6448299999999998</v>
      </c>
      <c r="AF4926">
        <v>3.4036168884714</v>
      </c>
      <c r="AG4926">
        <v>-1.109833615963</v>
      </c>
      <c r="AH4926">
        <v>17.4830890012663</v>
      </c>
      <c r="AI4926">
        <v>93.565523929316001</v>
      </c>
      <c r="AJ4926">
        <v>78.983426269269401</v>
      </c>
      <c r="AK4926">
        <v>17.845860573388101</v>
      </c>
      <c r="AL4926">
        <v>86.197752471426</v>
      </c>
      <c r="AM4926">
        <v>85.847195384801594</v>
      </c>
      <c r="AN4926">
        <v>0.99999998670935197</v>
      </c>
    </row>
    <row r="4927" spans="1:40" x14ac:dyDescent="0.25">
      <c r="A4927" t="str">
        <f>"20190312154659175"</f>
        <v>20190312154659175</v>
      </c>
      <c r="B4927" t="str">
        <f>"1552376819162313"</f>
        <v>1552376819162313</v>
      </c>
      <c r="C4927" t="s">
        <v>40</v>
      </c>
      <c r="D4927">
        <v>4.2980349999999996</v>
      </c>
      <c r="E4927">
        <v>0.55395890000000003</v>
      </c>
      <c r="F4927" t="s">
        <v>42</v>
      </c>
      <c r="G4927">
        <v>-322.81349999999998</v>
      </c>
      <c r="H4927" s="1">
        <v>-4.342527E-6</v>
      </c>
      <c r="I4927">
        <v>14.176460000000001</v>
      </c>
      <c r="J4927">
        <v>-339.51479999999998</v>
      </c>
      <c r="K4927">
        <v>1.109831</v>
      </c>
      <c r="L4927">
        <v>17.849</v>
      </c>
      <c r="M4927">
        <v>0.99981500000000001</v>
      </c>
      <c r="N4927">
        <v>0</v>
      </c>
      <c r="O4927">
        <v>-1.362117E-2</v>
      </c>
      <c r="P4927">
        <v>0.99495929999999999</v>
      </c>
      <c r="Q4927">
        <v>5.2249770000000001E-2</v>
      </c>
      <c r="R4927">
        <v>-8.5591680000000003E-2</v>
      </c>
      <c r="S4927">
        <v>2.9702760000000001</v>
      </c>
      <c r="T4927">
        <v>-0.19489409999999999</v>
      </c>
      <c r="U4927">
        <v>-0.64553830000000001</v>
      </c>
      <c r="V4927">
        <v>7.2087940000000003E-2</v>
      </c>
      <c r="W4927">
        <v>6.5713530000000006E-2</v>
      </c>
      <c r="X4927">
        <v>0.99523119999999998</v>
      </c>
      <c r="Y4927">
        <v>0.19866400000000001</v>
      </c>
      <c r="Z4927">
        <v>-5.5535059999999997E-3</v>
      </c>
      <c r="AA4927">
        <v>0.98005189999999998</v>
      </c>
      <c r="AB4927">
        <v>21</v>
      </c>
      <c r="AC4927">
        <v>16.7013</v>
      </c>
      <c r="AD4927">
        <v>-1.109835342527</v>
      </c>
      <c r="AE4927">
        <v>-3.6725400000000001</v>
      </c>
      <c r="AF4927">
        <v>3.4302381632418402</v>
      </c>
      <c r="AG4927">
        <v>-1.109835342527</v>
      </c>
      <c r="AH4927">
        <v>16.679521781904501</v>
      </c>
      <c r="AI4927">
        <v>93.728967686668994</v>
      </c>
      <c r="AJ4927">
        <v>78.378826604043994</v>
      </c>
      <c r="AK4927">
        <v>17.064721363594298</v>
      </c>
      <c r="AL4927">
        <v>86.232177155945607</v>
      </c>
      <c r="AM4927">
        <v>85.857109406738502</v>
      </c>
      <c r="AN4927">
        <v>1.0000000402859699</v>
      </c>
    </row>
    <row r="4928" spans="1:40" x14ac:dyDescent="0.25">
      <c r="A4928" t="str">
        <f>"20190312154659197"</f>
        <v>20190312154659197</v>
      </c>
      <c r="B4928" t="str">
        <f>"1552376819192570"</f>
        <v>1552376819192570</v>
      </c>
      <c r="C4928" t="s">
        <v>40</v>
      </c>
      <c r="D4928">
        <v>4.587243</v>
      </c>
      <c r="E4928">
        <v>0.55706420000000001</v>
      </c>
      <c r="F4928" t="s">
        <v>42</v>
      </c>
      <c r="G4928">
        <v>-323.64069999999998</v>
      </c>
      <c r="H4928" s="1">
        <v>-3.940798E-6</v>
      </c>
      <c r="I4928">
        <v>14.23662</v>
      </c>
      <c r="J4928">
        <v>-339.30619999999999</v>
      </c>
      <c r="K4928">
        <v>1.1098349999999999</v>
      </c>
      <c r="L4928">
        <v>17.845459999999999</v>
      </c>
      <c r="M4928">
        <v>0.9998068</v>
      </c>
      <c r="N4928">
        <v>0</v>
      </c>
      <c r="O4928">
        <v>-1.4217749999999999E-2</v>
      </c>
      <c r="P4928">
        <v>0.99496439999999997</v>
      </c>
      <c r="Q4928">
        <v>5.2599119999999999E-2</v>
      </c>
      <c r="R4928">
        <v>-8.5318039999999998E-2</v>
      </c>
      <c r="S4928">
        <v>2.9680179999999998</v>
      </c>
      <c r="T4928">
        <v>-0.20750859999999999</v>
      </c>
      <c r="U4928">
        <v>-0.67541499999999999</v>
      </c>
      <c r="V4928">
        <v>7.1220110000000003E-2</v>
      </c>
      <c r="W4928">
        <v>6.6062289999999996E-2</v>
      </c>
      <c r="X4928">
        <v>0.99527060000000001</v>
      </c>
      <c r="Y4928">
        <v>0.20755609999999999</v>
      </c>
      <c r="Z4928">
        <v>-6.1756329999999998E-3</v>
      </c>
      <c r="AA4928">
        <v>0.97820359999999995</v>
      </c>
      <c r="AB4928">
        <v>21</v>
      </c>
      <c r="AC4928">
        <v>15.6655</v>
      </c>
      <c r="AD4928">
        <v>-1.1098389407980001</v>
      </c>
      <c r="AE4928">
        <v>-3.6088399999999901</v>
      </c>
      <c r="AF4928">
        <v>3.3696659041568799</v>
      </c>
      <c r="AG4928">
        <v>-1.1098389407980001</v>
      </c>
      <c r="AH4928">
        <v>15.6406836216687</v>
      </c>
      <c r="AI4928">
        <v>93.968073152042393</v>
      </c>
      <c r="AJ4928">
        <v>77.841896102693596</v>
      </c>
      <c r="AK4928">
        <v>16.0379978467789</v>
      </c>
      <c r="AL4928">
        <v>86.212151196742994</v>
      </c>
      <c r="AM4928">
        <v>85.906974497759805</v>
      </c>
      <c r="AN4928">
        <v>1.0000000487264</v>
      </c>
    </row>
    <row r="4929" spans="1:40" x14ac:dyDescent="0.25">
      <c r="A4929" t="str">
        <f>"20190312154659209"</f>
        <v>20190312154659209</v>
      </c>
      <c r="B4929" t="str">
        <f>"1552376819202330"</f>
        <v>1552376819202330</v>
      </c>
      <c r="C4929" t="s">
        <v>40</v>
      </c>
      <c r="D4929">
        <v>4.621651</v>
      </c>
      <c r="E4929">
        <v>0.55774489999999999</v>
      </c>
      <c r="F4929" t="s">
        <v>42</v>
      </c>
      <c r="G4929">
        <v>-323.74579999999997</v>
      </c>
      <c r="H4929" s="1">
        <v>-3.9017780000000003E-6</v>
      </c>
      <c r="I4929">
        <v>14.17675</v>
      </c>
      <c r="J4929">
        <v>-339.1936</v>
      </c>
      <c r="K4929">
        <v>1.109836</v>
      </c>
      <c r="L4929">
        <v>17.843509999999998</v>
      </c>
      <c r="M4929">
        <v>0.99980210000000003</v>
      </c>
      <c r="N4929">
        <v>0</v>
      </c>
      <c r="O4929">
        <v>-1.4539460000000001E-2</v>
      </c>
      <c r="P4929">
        <v>0.99490979999999996</v>
      </c>
      <c r="Q4929">
        <v>5.3246160000000001E-2</v>
      </c>
      <c r="R4929">
        <v>-8.555459E-2</v>
      </c>
      <c r="S4929">
        <v>2.966431</v>
      </c>
      <c r="T4929">
        <v>-0.21157960000000001</v>
      </c>
      <c r="U4929">
        <v>-0.69940190000000002</v>
      </c>
      <c r="V4929">
        <v>7.1137249999999999E-2</v>
      </c>
      <c r="W4929">
        <v>6.6707929999999999E-2</v>
      </c>
      <c r="X4929">
        <v>0.99523340000000005</v>
      </c>
      <c r="Y4929">
        <v>0.2148216</v>
      </c>
      <c r="Z4929">
        <v>-6.5268359999999899E-3</v>
      </c>
      <c r="AA4929">
        <v>0.97663149999999999</v>
      </c>
      <c r="AB4929">
        <v>21</v>
      </c>
      <c r="AC4929">
        <v>15.447800000000001</v>
      </c>
      <c r="AD4929">
        <v>-1.1098399017780001</v>
      </c>
      <c r="AE4929">
        <v>-3.66676</v>
      </c>
      <c r="AF4929">
        <v>3.4250132135670701</v>
      </c>
      <c r="AG4929">
        <v>-1.1098399017780001</v>
      </c>
      <c r="AH4929">
        <v>15.4241170969783</v>
      </c>
      <c r="AI4929">
        <v>94.018076798067796</v>
      </c>
      <c r="AJ4929">
        <v>77.480284307422295</v>
      </c>
      <c r="AK4929">
        <v>15.838745163111399</v>
      </c>
      <c r="AL4929">
        <v>86.175076736660202</v>
      </c>
      <c r="AM4929">
        <v>85.911568018217295</v>
      </c>
      <c r="AN4929">
        <v>0.99999998836900295</v>
      </c>
    </row>
    <row r="4930" spans="1:40" x14ac:dyDescent="0.25">
      <c r="A4930" t="str">
        <f>"20190312154659231"</f>
        <v>20190312154659231</v>
      </c>
      <c r="B4930" t="str">
        <f>"1552376819222825"</f>
        <v>1552376819222825</v>
      </c>
      <c r="C4930" t="s">
        <v>40</v>
      </c>
      <c r="D4930">
        <v>4.6223340000000004</v>
      </c>
      <c r="E4930">
        <v>0.55889219999999995</v>
      </c>
      <c r="F4930" t="s">
        <v>42</v>
      </c>
      <c r="G4930">
        <v>-323.52120000000002</v>
      </c>
      <c r="H4930" s="1">
        <v>-4.0188280000000003E-6</v>
      </c>
      <c r="I4930">
        <v>14.115170000000001</v>
      </c>
      <c r="J4930">
        <v>-338.99160000000001</v>
      </c>
      <c r="K4930">
        <v>1.1098330000000001</v>
      </c>
      <c r="L4930">
        <v>17.839839999999999</v>
      </c>
      <c r="M4930">
        <v>0.9997935</v>
      </c>
      <c r="N4930">
        <v>0</v>
      </c>
      <c r="O4930">
        <v>-1.5116620000000001E-2</v>
      </c>
      <c r="P4930">
        <v>0.99482210000000004</v>
      </c>
      <c r="Q4930">
        <v>5.4026419999999999E-2</v>
      </c>
      <c r="R4930">
        <v>-8.6082320000000004E-2</v>
      </c>
      <c r="S4930">
        <v>2.9659119999999999</v>
      </c>
      <c r="T4930">
        <v>-0.210031</v>
      </c>
      <c r="U4930">
        <v>-0.70556640000000004</v>
      </c>
      <c r="V4930">
        <v>7.1091699999999994E-2</v>
      </c>
      <c r="W4930">
        <v>6.7485329999999996E-2</v>
      </c>
      <c r="X4930">
        <v>0.99518419999999996</v>
      </c>
      <c r="Y4930">
        <v>0.2162231</v>
      </c>
      <c r="Z4930">
        <v>-6.4874160000000002E-3</v>
      </c>
      <c r="AA4930">
        <v>0.97632240000000003</v>
      </c>
      <c r="AB4930">
        <v>21</v>
      </c>
      <c r="AC4930">
        <v>15.4703999999999</v>
      </c>
      <c r="AD4930">
        <v>-1.109837018828</v>
      </c>
      <c r="AE4930">
        <v>-3.7246699999999899</v>
      </c>
      <c r="AF4930">
        <v>3.4734657165210701</v>
      </c>
      <c r="AG4930">
        <v>-1.109837018828</v>
      </c>
      <c r="AH4930">
        <v>15.4497851758286</v>
      </c>
      <c r="AI4930">
        <v>94.009058714979503</v>
      </c>
      <c r="AJ4930">
        <v>77.3292742761775</v>
      </c>
      <c r="AK4930">
        <v>15.874273661225001</v>
      </c>
      <c r="AL4930">
        <v>86.130434228517601</v>
      </c>
      <c r="AM4930">
        <v>85.913975708320294</v>
      </c>
      <c r="AN4930">
        <v>0.99999994575186701</v>
      </c>
    </row>
    <row r="4931" spans="1:40" x14ac:dyDescent="0.25">
      <c r="A4931" t="str">
        <f>"20190312154659254"</f>
        <v>20190312154659254</v>
      </c>
      <c r="B4931" t="str">
        <f>"1552376819242346"</f>
        <v>1552376819242346</v>
      </c>
      <c r="C4931" t="s">
        <v>40</v>
      </c>
      <c r="D4931">
        <v>4.6097729999999997</v>
      </c>
      <c r="E4931">
        <v>0.5598824</v>
      </c>
      <c r="F4931" t="s">
        <v>42</v>
      </c>
      <c r="G4931">
        <v>-323.3184</v>
      </c>
      <c r="H4931" s="1">
        <v>-4.1258140000000003E-6</v>
      </c>
      <c r="I4931">
        <v>14.05275</v>
      </c>
      <c r="J4931">
        <v>-338.77390000000003</v>
      </c>
      <c r="K4931">
        <v>1.109839</v>
      </c>
      <c r="L4931">
        <v>17.835819999999998</v>
      </c>
      <c r="M4931">
        <v>0.99978400000000001</v>
      </c>
      <c r="N4931">
        <v>0</v>
      </c>
      <c r="O4931">
        <v>-1.573942E-2</v>
      </c>
      <c r="P4931">
        <v>0.99472950000000004</v>
      </c>
      <c r="Q4931">
        <v>5.4880600000000002E-2</v>
      </c>
      <c r="R4931">
        <v>-8.6611289999999994E-2</v>
      </c>
      <c r="S4931">
        <v>2.9650270000000001</v>
      </c>
      <c r="T4931">
        <v>-0.2099558</v>
      </c>
      <c r="U4931">
        <v>-0.71643069999999998</v>
      </c>
      <c r="V4931">
        <v>7.1002199999999904E-2</v>
      </c>
      <c r="W4931">
        <v>6.8337369999999995E-2</v>
      </c>
      <c r="X4931">
        <v>0.99513249999999998</v>
      </c>
      <c r="Y4931">
        <v>0.2190579</v>
      </c>
      <c r="Z4931">
        <v>-6.5397010000000002E-3</v>
      </c>
      <c r="AA4931">
        <v>0.9756899</v>
      </c>
      <c r="AB4931">
        <v>21</v>
      </c>
      <c r="AC4931">
        <v>15.455500000000001</v>
      </c>
      <c r="AD4931">
        <v>-1.109843125814</v>
      </c>
      <c r="AE4931">
        <v>-3.7830699999999999</v>
      </c>
      <c r="AF4931">
        <v>3.5221827061731501</v>
      </c>
      <c r="AG4931">
        <v>-1.109843125814</v>
      </c>
      <c r="AH4931">
        <v>15.4380272703534</v>
      </c>
      <c r="AI4931">
        <v>94.009258946528107</v>
      </c>
      <c r="AJ4931">
        <v>77.147959087767902</v>
      </c>
      <c r="AK4931">
        <v>15.8735695034153</v>
      </c>
      <c r="AL4931">
        <v>86.081503178730898</v>
      </c>
      <c r="AM4931">
        <v>85.918891068620397</v>
      </c>
      <c r="AN4931">
        <v>1.0000000005498</v>
      </c>
    </row>
    <row r="4932" spans="1:40" x14ac:dyDescent="0.25">
      <c r="A4932" t="str">
        <f>"20190312154659266"</f>
        <v>20190312154659266</v>
      </c>
      <c r="B4932" t="str">
        <f>"1552376819253082"</f>
        <v>1552376819253082</v>
      </c>
      <c r="C4932" t="s">
        <v>40</v>
      </c>
      <c r="D4932">
        <v>4.5444190000000004</v>
      </c>
      <c r="E4932">
        <v>0.56033279999999996</v>
      </c>
      <c r="F4932" t="s">
        <v>42</v>
      </c>
      <c r="G4932">
        <v>-323.03809999999999</v>
      </c>
      <c r="H4932" s="1">
        <v>-4.2707039999999997E-6</v>
      </c>
      <c r="I4932">
        <v>13.982670000000001</v>
      </c>
      <c r="J4932">
        <v>-338.66480000000001</v>
      </c>
      <c r="K4932">
        <v>1.1098399999999999</v>
      </c>
      <c r="L4932">
        <v>17.833739999999999</v>
      </c>
      <c r="M4932">
        <v>0.99977910000000003</v>
      </c>
      <c r="N4932">
        <v>0</v>
      </c>
      <c r="O4932">
        <v>-1.6051360000000001E-2</v>
      </c>
      <c r="P4932">
        <v>0.99470460000000005</v>
      </c>
      <c r="Q4932">
        <v>5.4677070000000001E-2</v>
      </c>
      <c r="R4932">
        <v>-8.7024859999999996E-2</v>
      </c>
      <c r="S4932">
        <v>2.9642029999999999</v>
      </c>
      <c r="T4932">
        <v>-0.20906520000000001</v>
      </c>
      <c r="U4932">
        <v>-0.72583009999999903</v>
      </c>
      <c r="V4932">
        <v>7.1105230000000005E-2</v>
      </c>
      <c r="W4932">
        <v>6.813234E-2</v>
      </c>
      <c r="X4932">
        <v>0.9951392</v>
      </c>
      <c r="Y4932">
        <v>0.2217343</v>
      </c>
      <c r="Z4932">
        <v>-6.5826560000000001E-3</v>
      </c>
      <c r="AA4932">
        <v>0.97508490000000003</v>
      </c>
      <c r="AB4932">
        <v>21</v>
      </c>
      <c r="AC4932">
        <v>15.6267</v>
      </c>
      <c r="AD4932">
        <v>-1.1098442707039999</v>
      </c>
      <c r="AE4932">
        <v>-3.8510699999999898</v>
      </c>
      <c r="AF4932">
        <v>3.5826839436911802</v>
      </c>
      <c r="AG4932">
        <v>-1.1098442707039999</v>
      </c>
      <c r="AH4932">
        <v>15.612265105534</v>
      </c>
      <c r="AI4932">
        <v>93.963520070345297</v>
      </c>
      <c r="AJ4932">
        <v>77.075600627859302</v>
      </c>
      <c r="AK4932">
        <v>16.056469109710001</v>
      </c>
      <c r="AL4932">
        <v>86.093277967815297</v>
      </c>
      <c r="AM4932">
        <v>85.913016522715495</v>
      </c>
      <c r="AN4932">
        <v>0.99999999843193399</v>
      </c>
    </row>
    <row r="4933" spans="1:40" x14ac:dyDescent="0.25">
      <c r="A4933" t="str">
        <f>"20190312154659288"</f>
        <v>20190312154659288</v>
      </c>
      <c r="B4933" t="str">
        <f>"1552376819282869"</f>
        <v>1552376819282869</v>
      </c>
      <c r="C4933" t="s">
        <v>40</v>
      </c>
      <c r="D4933">
        <v>4.5372839999999997</v>
      </c>
      <c r="E4933">
        <v>0.56141300000000005</v>
      </c>
      <c r="F4933" t="s">
        <v>42</v>
      </c>
      <c r="G4933">
        <v>-323.07150000000001</v>
      </c>
      <c r="H4933" s="1">
        <v>-4.2537800000000001E-6</v>
      </c>
      <c r="I4933">
        <v>13.989269999999999</v>
      </c>
      <c r="J4933">
        <v>-338.45819999999998</v>
      </c>
      <c r="K4933">
        <v>1.1098460000000001</v>
      </c>
      <c r="L4933">
        <v>17.829740000000001</v>
      </c>
      <c r="M4933">
        <v>0.99976940000000003</v>
      </c>
      <c r="N4933">
        <v>0</v>
      </c>
      <c r="O4933">
        <v>-1.6642219999999999E-2</v>
      </c>
      <c r="P4933">
        <v>0.99461949999999999</v>
      </c>
      <c r="Q4933">
        <v>5.4772559999999998E-2</v>
      </c>
      <c r="R4933">
        <v>-8.7933670000000005E-2</v>
      </c>
      <c r="S4933">
        <v>2.9636840000000002</v>
      </c>
      <c r="T4933">
        <v>-0.21093770000000001</v>
      </c>
      <c r="U4933">
        <v>-0.73068239999999995</v>
      </c>
      <c r="V4933">
        <v>7.1426320000000001E-2</v>
      </c>
      <c r="W4933">
        <v>6.8225099999999997E-2</v>
      </c>
      <c r="X4933">
        <v>0.99510989999999999</v>
      </c>
      <c r="Y4933">
        <v>0.22269349999999999</v>
      </c>
      <c r="Z4933">
        <v>-6.6335780000000002E-3</v>
      </c>
      <c r="AA4933">
        <v>0.97486600000000001</v>
      </c>
      <c r="AB4933">
        <v>21</v>
      </c>
      <c r="AC4933">
        <v>15.3866999999999</v>
      </c>
      <c r="AD4933">
        <v>-1.1098502537799999</v>
      </c>
      <c r="AE4933">
        <v>-3.8404699999999998</v>
      </c>
      <c r="AF4933">
        <v>3.5663785848908498</v>
      </c>
      <c r="AG4933">
        <v>-1.1098502537799999</v>
      </c>
      <c r="AH4933">
        <v>15.373195383677301</v>
      </c>
      <c r="AI4933">
        <v>94.022774090126205</v>
      </c>
      <c r="AJ4933">
        <v>76.939165950976601</v>
      </c>
      <c r="AK4933">
        <v>15.8204285688252</v>
      </c>
      <c r="AL4933">
        <v>86.087951010940401</v>
      </c>
      <c r="AM4933">
        <v>85.894503421793303</v>
      </c>
      <c r="AN4933">
        <v>1.00000004826838</v>
      </c>
    </row>
    <row r="4934" spans="1:40" x14ac:dyDescent="0.25">
      <c r="A4934" t="str">
        <f>"20190312154659311"</f>
        <v>20190312154659311</v>
      </c>
      <c r="B4934" t="str">
        <f>"1552376819302388"</f>
        <v>1552376819302388</v>
      </c>
      <c r="C4934" t="s">
        <v>40</v>
      </c>
      <c r="D4934">
        <v>4.5704669999999998</v>
      </c>
      <c r="E4934">
        <v>0.56201109999999999</v>
      </c>
      <c r="F4934" t="s">
        <v>42</v>
      </c>
      <c r="G4934">
        <v>-322.99779999999998</v>
      </c>
      <c r="H4934" s="1">
        <v>-4.2943030000000004E-6</v>
      </c>
      <c r="I4934">
        <v>13.957190000000001</v>
      </c>
      <c r="J4934">
        <v>-338.2475</v>
      </c>
      <c r="K4934">
        <v>1.1098460000000001</v>
      </c>
      <c r="L4934">
        <v>17.825500000000002</v>
      </c>
      <c r="M4934">
        <v>0.99975930000000002</v>
      </c>
      <c r="N4934">
        <v>0</v>
      </c>
      <c r="O4934">
        <v>-1.7244760000000001E-2</v>
      </c>
      <c r="P4934">
        <v>0.99450329999999998</v>
      </c>
      <c r="Q4934">
        <v>5.4873949999999998E-2</v>
      </c>
      <c r="R4934">
        <v>-8.9176459999999999E-2</v>
      </c>
      <c r="S4934">
        <v>2.9623110000000001</v>
      </c>
      <c r="T4934">
        <v>-0.21265410000000001</v>
      </c>
      <c r="U4934">
        <v>-0.74200440000000001</v>
      </c>
      <c r="V4934">
        <v>7.2070670000000003E-2</v>
      </c>
      <c r="W4934">
        <v>6.8323590000000003E-2</v>
      </c>
      <c r="X4934">
        <v>0.99505659999999896</v>
      </c>
      <c r="Y4934">
        <v>0.2257054</v>
      </c>
      <c r="Z4934">
        <v>-6.751244E-3</v>
      </c>
      <c r="AA4934">
        <v>0.97417220000000004</v>
      </c>
      <c r="AB4934">
        <v>21</v>
      </c>
      <c r="AC4934">
        <v>15.249700000000001</v>
      </c>
      <c r="AD4934">
        <v>-1.109850294303</v>
      </c>
      <c r="AE4934">
        <v>-3.8683100000000001</v>
      </c>
      <c r="AF4934">
        <v>3.5868829595363798</v>
      </c>
      <c r="AG4934">
        <v>-1.109850294303</v>
      </c>
      <c r="AH4934">
        <v>15.238312767987599</v>
      </c>
      <c r="AI4934">
        <v>94.055218324591493</v>
      </c>
      <c r="AJ4934">
        <v>76.754500897123606</v>
      </c>
      <c r="AK4934">
        <v>15.694064899069</v>
      </c>
      <c r="AL4934">
        <v>86.082294427948199</v>
      </c>
      <c r="AM4934">
        <v>85.857374219547495</v>
      </c>
      <c r="AN4934">
        <v>0.99999996581414696</v>
      </c>
    </row>
    <row r="4935" spans="1:40" x14ac:dyDescent="0.25">
      <c r="A4935" t="str">
        <f>"20190312154659332"</f>
        <v>20190312154659332</v>
      </c>
      <c r="B4935" t="str">
        <f>"1552376819322884"</f>
        <v>1552376819322884</v>
      </c>
      <c r="C4935" t="s">
        <v>40</v>
      </c>
      <c r="D4935">
        <v>4.5392109999999999</v>
      </c>
      <c r="E4935">
        <v>0.56269720000000001</v>
      </c>
      <c r="F4935" t="s">
        <v>42</v>
      </c>
      <c r="G4935">
        <v>-322.84100000000001</v>
      </c>
      <c r="H4935" s="1">
        <v>-4.3750630000000003E-6</v>
      </c>
      <c r="I4935">
        <v>13.91966</v>
      </c>
      <c r="J4935">
        <v>-338.0455</v>
      </c>
      <c r="K4935">
        <v>1.1098479999999999</v>
      </c>
      <c r="L4935">
        <v>17.82132</v>
      </c>
      <c r="M4935">
        <v>0.99974909999999995</v>
      </c>
      <c r="N4935">
        <v>0</v>
      </c>
      <c r="O4935">
        <v>-1.782239E-2</v>
      </c>
      <c r="P4935">
        <v>0.99439370000000005</v>
      </c>
      <c r="Q4935">
        <v>5.5459260000000003E-2</v>
      </c>
      <c r="R4935">
        <v>-9.0031040000000007E-2</v>
      </c>
      <c r="S4935">
        <v>2.9609990000000002</v>
      </c>
      <c r="T4935">
        <v>-0.21330440000000001</v>
      </c>
      <c r="U4935">
        <v>-0.75067139999999999</v>
      </c>
      <c r="V4935">
        <v>7.2352189999999997E-2</v>
      </c>
      <c r="W4935">
        <v>6.8905380000000002E-2</v>
      </c>
      <c r="X4935">
        <v>0.99499610000000005</v>
      </c>
      <c r="Y4935">
        <v>0.22791790000000001</v>
      </c>
      <c r="Z4935">
        <v>-6.8098569999999999E-3</v>
      </c>
      <c r="AA4935">
        <v>0.97365650000000004</v>
      </c>
      <c r="AB4935">
        <v>21</v>
      </c>
      <c r="AC4935">
        <v>15.2044999999999</v>
      </c>
      <c r="AD4935">
        <v>-1.1098523750630001</v>
      </c>
      <c r="AE4935">
        <v>-3.9016600000000001</v>
      </c>
      <c r="AF4935">
        <v>3.6119781343364101</v>
      </c>
      <c r="AG4935">
        <v>-1.1098523750630001</v>
      </c>
      <c r="AH4935">
        <v>15.1956635654174</v>
      </c>
      <c r="AI4935">
        <v>94.0644708419034</v>
      </c>
      <c r="AJ4935">
        <v>76.629045717921699</v>
      </c>
      <c r="AK4935">
        <v>15.6584274284077</v>
      </c>
      <c r="AL4935">
        <v>86.048881763239194</v>
      </c>
      <c r="AM4935">
        <v>85.840997118429996</v>
      </c>
      <c r="AN4935">
        <v>1.00000001490297</v>
      </c>
    </row>
    <row r="4936" spans="1:40" x14ac:dyDescent="0.25">
      <c r="A4936" t="str">
        <f>"20190312154659354"</f>
        <v>20190312154659354</v>
      </c>
      <c r="B4936" t="str">
        <f>"1552376819342404"</f>
        <v>1552376819342404</v>
      </c>
      <c r="C4936" t="s">
        <v>40</v>
      </c>
      <c r="D4936">
        <v>4.5118530000000003</v>
      </c>
      <c r="E4936">
        <v>0.5632606</v>
      </c>
      <c r="F4936" t="s">
        <v>42</v>
      </c>
      <c r="G4936">
        <v>-322.66469999999998</v>
      </c>
      <c r="H4936" s="1">
        <v>-4.4657500000000004E-6</v>
      </c>
      <c r="I4936">
        <v>13.87832</v>
      </c>
      <c r="J4936">
        <v>-337.84109999999998</v>
      </c>
      <c r="K4936">
        <v>1.1098520000000001</v>
      </c>
      <c r="L4936">
        <v>17.816990000000001</v>
      </c>
      <c r="M4936">
        <v>0.99973860000000003</v>
      </c>
      <c r="N4936">
        <v>0</v>
      </c>
      <c r="O4936">
        <v>-1.840429E-2</v>
      </c>
      <c r="P4936">
        <v>0.99429489999999998</v>
      </c>
      <c r="Q4936">
        <v>5.624904E-2</v>
      </c>
      <c r="R4936">
        <v>-9.0628559999999997E-2</v>
      </c>
      <c r="S4936">
        <v>2.9601139999999999</v>
      </c>
      <c r="T4936">
        <v>-0.21359690000000001</v>
      </c>
      <c r="U4936">
        <v>-0.75885009999999997</v>
      </c>
      <c r="V4936">
        <v>7.2372229999999996E-2</v>
      </c>
      <c r="W4936">
        <v>6.969264E-2</v>
      </c>
      <c r="X4936">
        <v>0.99493980000000004</v>
      </c>
      <c r="Y4936">
        <v>0.22994120000000001</v>
      </c>
      <c r="Z4936">
        <v>-6.8494019999999897E-3</v>
      </c>
      <c r="AA4936">
        <v>0.97318039999999995</v>
      </c>
      <c r="AB4936">
        <v>21</v>
      </c>
      <c r="AC4936">
        <v>15.176399999999999</v>
      </c>
      <c r="AD4936">
        <v>-1.1098564657500001</v>
      </c>
      <c r="AE4936">
        <v>-3.9386699999999899</v>
      </c>
      <c r="AF4936">
        <v>3.6404255706562698</v>
      </c>
      <c r="AG4936">
        <v>-1.1098564657500001</v>
      </c>
      <c r="AH4936">
        <v>15.1703121299612</v>
      </c>
      <c r="AI4936">
        <v>94.069172395328593</v>
      </c>
      <c r="AJ4936">
        <v>76.505871387197502</v>
      </c>
      <c r="AK4936">
        <v>15.6404235821957</v>
      </c>
      <c r="AL4936">
        <v>86.003666345688899</v>
      </c>
      <c r="AM4936">
        <v>85.839614626872603</v>
      </c>
      <c r="AN4936">
        <v>1.00000000468469</v>
      </c>
    </row>
    <row r="4937" spans="1:40" x14ac:dyDescent="0.25">
      <c r="A4937" t="str">
        <f>"20190312154659376"</f>
        <v>20190312154659376</v>
      </c>
      <c r="B4937" t="str">
        <f>"1552376819362434"</f>
        <v>1552376819362434</v>
      </c>
      <c r="C4937" t="s">
        <v>40</v>
      </c>
      <c r="D4937">
        <v>4.502008</v>
      </c>
      <c r="E4937">
        <v>0.56377559999999904</v>
      </c>
      <c r="F4937" t="s">
        <v>42</v>
      </c>
      <c r="G4937">
        <v>-322.43810000000002</v>
      </c>
      <c r="H4937" s="1">
        <v>-4.580339E-6</v>
      </c>
      <c r="I4937">
        <v>13.836220000000001</v>
      </c>
      <c r="J4937">
        <v>-337.63529999999997</v>
      </c>
      <c r="K4937">
        <v>1.109855</v>
      </c>
      <c r="L4937">
        <v>17.8125</v>
      </c>
      <c r="M4937">
        <v>0.99972780000000006</v>
      </c>
      <c r="N4937">
        <v>0</v>
      </c>
      <c r="O4937">
        <v>-1.8986759999999998E-2</v>
      </c>
      <c r="P4937">
        <v>0.99422639999999995</v>
      </c>
      <c r="Q4937">
        <v>5.6932459999999997E-2</v>
      </c>
      <c r="R4937">
        <v>-9.0957140000000006E-2</v>
      </c>
      <c r="S4937">
        <v>2.9595340000000001</v>
      </c>
      <c r="T4937">
        <v>-0.21324709999999999</v>
      </c>
      <c r="U4937">
        <v>-0.76486209999999999</v>
      </c>
      <c r="V4937">
        <v>7.212143E-2</v>
      </c>
      <c r="W4937">
        <v>7.0374270000000003E-2</v>
      </c>
      <c r="X4937">
        <v>0.99490999999999996</v>
      </c>
      <c r="Y4937">
        <v>0.23127410000000001</v>
      </c>
      <c r="Z4937">
        <v>-6.843806E-3</v>
      </c>
      <c r="AA4937">
        <v>0.97286459999999997</v>
      </c>
      <c r="AB4937">
        <v>21</v>
      </c>
      <c r="AC4937">
        <v>15.197199999999899</v>
      </c>
      <c r="AD4937">
        <v>-1.1098595803389999</v>
      </c>
      <c r="AE4937">
        <v>-3.9762799999999898</v>
      </c>
      <c r="AF4937">
        <v>3.66867791240962</v>
      </c>
      <c r="AG4937">
        <v>-1.1098595803389999</v>
      </c>
      <c r="AH4937">
        <v>15.194118616734499</v>
      </c>
      <c r="AI4937">
        <v>94.061462974099697</v>
      </c>
      <c r="AJ4937">
        <v>76.425531880684304</v>
      </c>
      <c r="AK4937">
        <v>15.6701061404341</v>
      </c>
      <c r="AL4937">
        <v>85.964515567318799</v>
      </c>
      <c r="AM4937">
        <v>85.853857986349794</v>
      </c>
      <c r="AN4937">
        <v>0.99999997332163804</v>
      </c>
    </row>
    <row r="4938" spans="1:40" x14ac:dyDescent="0.25">
      <c r="A4938" t="str">
        <f>"20190312154659388"</f>
        <v>20190312154659388</v>
      </c>
      <c r="B4938" t="str">
        <f>"1552376819382927"</f>
        <v>1552376819382927</v>
      </c>
      <c r="C4938" t="s">
        <v>40</v>
      </c>
      <c r="D4938">
        <v>4.4991180000000002</v>
      </c>
      <c r="E4938">
        <v>0.56419030000000003</v>
      </c>
      <c r="F4938" t="s">
        <v>42</v>
      </c>
      <c r="G4938">
        <v>-322.27749999999997</v>
      </c>
      <c r="H4938" s="1">
        <v>-4.6595799999999997E-6</v>
      </c>
      <c r="I4938">
        <v>13.817379999999901</v>
      </c>
      <c r="J4938">
        <v>-337.52140000000003</v>
      </c>
      <c r="K4938">
        <v>1.1098600000000001</v>
      </c>
      <c r="L4938">
        <v>17.80997</v>
      </c>
      <c r="M4938">
        <v>0.99972159999999999</v>
      </c>
      <c r="N4938">
        <v>0</v>
      </c>
      <c r="O4938">
        <v>-1.9305929999999999E-2</v>
      </c>
      <c r="P4938">
        <v>0.99417109999999997</v>
      </c>
      <c r="Q4938">
        <v>5.7241819999999999E-2</v>
      </c>
      <c r="R4938">
        <v>-9.1362109999999996E-2</v>
      </c>
      <c r="S4938">
        <v>2.9592290000000001</v>
      </c>
      <c r="T4938">
        <v>-0.21385480000000001</v>
      </c>
      <c r="U4938">
        <v>-0.76980590000000004</v>
      </c>
      <c r="V4938">
        <v>7.2209659999999995E-2</v>
      </c>
      <c r="W4938">
        <v>7.0682490000000001E-2</v>
      </c>
      <c r="X4938">
        <v>0.99488169999999998</v>
      </c>
      <c r="Y4938">
        <v>0.2325055</v>
      </c>
      <c r="Z4938">
        <v>-6.8836219999999998E-3</v>
      </c>
      <c r="AA4938">
        <v>0.97257070000000001</v>
      </c>
      <c r="AB4938">
        <v>21</v>
      </c>
      <c r="AC4938">
        <v>15.2439</v>
      </c>
      <c r="AD4938">
        <v>-1.1098646595799999</v>
      </c>
      <c r="AE4938">
        <v>-3.9925899999999999</v>
      </c>
      <c r="AF4938">
        <v>3.6792696509097298</v>
      </c>
      <c r="AG4938">
        <v>-1.1098646595799999</v>
      </c>
      <c r="AH4938">
        <v>15.2425341948074</v>
      </c>
      <c r="AI4938">
        <v>94.048690125485706</v>
      </c>
      <c r="AJ4938">
        <v>76.429433271193503</v>
      </c>
      <c r="AK4938">
        <v>15.7195315899222</v>
      </c>
      <c r="AL4938">
        <v>85.946811571631798</v>
      </c>
      <c r="AM4938">
        <v>85.848685839720602</v>
      </c>
      <c r="AN4938">
        <v>0.99999992319239905</v>
      </c>
    </row>
    <row r="4939" spans="1:40" x14ac:dyDescent="0.25">
      <c r="A4939" t="str">
        <f>"20190312154659400"</f>
        <v>20190312154659400</v>
      </c>
      <c r="B4939" t="str">
        <f>"1552376819392687"</f>
        <v>1552376819392687</v>
      </c>
      <c r="C4939" t="s">
        <v>40</v>
      </c>
      <c r="D4939">
        <v>4.4945820000000003</v>
      </c>
      <c r="E4939">
        <v>0.564359099999999</v>
      </c>
      <c r="F4939" t="s">
        <v>42</v>
      </c>
      <c r="G4939">
        <v>-322.22340000000003</v>
      </c>
      <c r="H4939" s="1">
        <v>-4.6870000000000002E-6</v>
      </c>
      <c r="I4939">
        <v>13.806929999999999</v>
      </c>
      <c r="J4939">
        <v>-337.40629999999999</v>
      </c>
      <c r="K4939">
        <v>1.1098650000000001</v>
      </c>
      <c r="L4939">
        <v>17.807400000000001</v>
      </c>
      <c r="M4939">
        <v>0.99971540000000003</v>
      </c>
      <c r="N4939">
        <v>0</v>
      </c>
      <c r="O4939">
        <v>-1.962616E-2</v>
      </c>
      <c r="P4939">
        <v>0.99412389999999995</v>
      </c>
      <c r="Q4939">
        <v>5.7378029999999997E-2</v>
      </c>
      <c r="R4939">
        <v>-9.1791730000000002E-2</v>
      </c>
      <c r="S4939">
        <v>2.9588009999999998</v>
      </c>
      <c r="T4939">
        <v>-0.21465989999999999</v>
      </c>
      <c r="U4939">
        <v>-0.774231</v>
      </c>
      <c r="V4939">
        <v>7.2320300000000004E-2</v>
      </c>
      <c r="W4939">
        <v>7.0818039999999999E-2</v>
      </c>
      <c r="X4939">
        <v>0.99486410000000003</v>
      </c>
      <c r="Y4939">
        <v>0.23358419999999999</v>
      </c>
      <c r="Z4939">
        <v>-6.9248080000000002E-3</v>
      </c>
      <c r="AA4939">
        <v>0.97231190000000001</v>
      </c>
      <c r="AB4939">
        <v>21</v>
      </c>
      <c r="AC4939">
        <v>15.182899999999901</v>
      </c>
      <c r="AD4939">
        <v>-1.10986968699999</v>
      </c>
      <c r="AE4939">
        <v>-4.00047</v>
      </c>
      <c r="AF4939">
        <v>3.6832855677676402</v>
      </c>
      <c r="AG4939">
        <v>-1.10986968699999</v>
      </c>
      <c r="AH4939">
        <v>15.1826328866655</v>
      </c>
      <c r="AI4939">
        <v>94.063501938737005</v>
      </c>
      <c r="AJ4939">
        <v>76.363569776225205</v>
      </c>
      <c r="AK4939">
        <v>15.662399071250301</v>
      </c>
      <c r="AL4939">
        <v>85.939025925450693</v>
      </c>
      <c r="AM4939">
        <v>85.842274169194596</v>
      </c>
      <c r="AN4939">
        <v>0.99999999902517001</v>
      </c>
    </row>
    <row r="4940" spans="1:40" x14ac:dyDescent="0.25">
      <c r="A4940" t="str">
        <f>"20190312154659422"</f>
        <v>20190312154659422</v>
      </c>
      <c r="B4940" t="str">
        <f>"1552376819413183"</f>
        <v>1552376819413183</v>
      </c>
      <c r="C4940" t="s">
        <v>40</v>
      </c>
      <c r="D4940">
        <v>4.5105620000000002</v>
      </c>
      <c r="E4940">
        <v>0.56473640000000003</v>
      </c>
      <c r="F4940" t="s">
        <v>42</v>
      </c>
      <c r="G4940">
        <v>-322.13799999999998</v>
      </c>
      <c r="H4940" s="1">
        <v>-4.728954E-6</v>
      </c>
      <c r="I4940">
        <v>13.79809</v>
      </c>
      <c r="J4940">
        <v>-337.20530000000002</v>
      </c>
      <c r="K4940">
        <v>1.1098749999999999</v>
      </c>
      <c r="L4940">
        <v>17.802759999999999</v>
      </c>
      <c r="M4940">
        <v>0.9997045</v>
      </c>
      <c r="N4940">
        <v>0</v>
      </c>
      <c r="O4940">
        <v>-2.0176489999999998E-2</v>
      </c>
      <c r="P4940">
        <v>0.9940753</v>
      </c>
      <c r="Q4940">
        <v>5.7592499999999998E-2</v>
      </c>
      <c r="R4940">
        <v>-9.2181840000000001E-2</v>
      </c>
      <c r="S4940">
        <v>2.9584350000000001</v>
      </c>
      <c r="T4940">
        <v>-0.2150511</v>
      </c>
      <c r="U4940">
        <v>-0.77685550000000003</v>
      </c>
      <c r="V4940">
        <v>7.2162080000000003E-2</v>
      </c>
      <c r="W4940">
        <v>7.1032079999999997E-2</v>
      </c>
      <c r="X4940">
        <v>0.99486039999999998</v>
      </c>
      <c r="Y4940">
        <v>0.23388439999999999</v>
      </c>
      <c r="Z4940">
        <v>-6.908941E-3</v>
      </c>
      <c r="AA4940">
        <v>0.97223990000000005</v>
      </c>
      <c r="AB4940">
        <v>21</v>
      </c>
      <c r="AC4940">
        <v>15.067299999999999</v>
      </c>
      <c r="AD4940">
        <v>-1.1098797289540001</v>
      </c>
      <c r="AE4940">
        <v>-4.0046699999999902</v>
      </c>
      <c r="AF4940">
        <v>3.6811653114560001</v>
      </c>
      <c r="AG4940">
        <v>-1.1098797289540001</v>
      </c>
      <c r="AH4940">
        <v>15.0686718080002</v>
      </c>
      <c r="AI4940">
        <v>94.092577882652805</v>
      </c>
      <c r="AJ4940">
        <v>76.271940419105704</v>
      </c>
      <c r="AK4940">
        <v>15.551452701282599</v>
      </c>
      <c r="AL4940">
        <v>85.926731659576205</v>
      </c>
      <c r="AM4940">
        <v>85.851323136389098</v>
      </c>
      <c r="AN4940">
        <v>1.0000000688335999</v>
      </c>
    </row>
    <row r="4941" spans="1:40" x14ac:dyDescent="0.25">
      <c r="A4941" t="str">
        <f>"20190312154659444"</f>
        <v>20190312154659444</v>
      </c>
      <c r="B4941" t="str">
        <f>"1552376819432703"</f>
        <v>1552376819432703</v>
      </c>
      <c r="C4941" t="s">
        <v>40</v>
      </c>
      <c r="D4941">
        <v>4.4724740000000001</v>
      </c>
      <c r="E4941">
        <v>0.56512739999999995</v>
      </c>
      <c r="F4941" t="s">
        <v>42</v>
      </c>
      <c r="G4941">
        <v>-321.98939999999999</v>
      </c>
      <c r="H4941" s="1">
        <v>-4.8013909999999999E-6</v>
      </c>
      <c r="I4941">
        <v>13.785679999999999</v>
      </c>
      <c r="J4941">
        <v>-337.0052</v>
      </c>
      <c r="K4941">
        <v>1.1098889999999999</v>
      </c>
      <c r="L4941">
        <v>17.798100000000002</v>
      </c>
      <c r="M4941">
        <v>0.99969379999999997</v>
      </c>
      <c r="N4941">
        <v>0</v>
      </c>
      <c r="O4941">
        <v>-2.0708399999999998E-2</v>
      </c>
      <c r="P4941">
        <v>0.99398600000000004</v>
      </c>
      <c r="Q4941">
        <v>5.7562809999999999E-2</v>
      </c>
      <c r="R4941">
        <v>-9.3160469999999995E-2</v>
      </c>
      <c r="S4941">
        <v>2.9579469999999999</v>
      </c>
      <c r="T4941">
        <v>-0.21575900000000001</v>
      </c>
      <c r="U4941">
        <v>-0.78091429999999995</v>
      </c>
      <c r="V4941">
        <v>7.2610460000000002E-2</v>
      </c>
      <c r="W4941">
        <v>7.1002129999999997E-2</v>
      </c>
      <c r="X4941">
        <v>0.99482979999999999</v>
      </c>
      <c r="Y4941">
        <v>0.2346501</v>
      </c>
      <c r="Z4941">
        <v>-6.9209290000000001E-3</v>
      </c>
      <c r="AA4941">
        <v>0.97205529999999996</v>
      </c>
      <c r="AB4941">
        <v>21</v>
      </c>
      <c r="AC4941">
        <v>15.0158</v>
      </c>
      <c r="AD4941">
        <v>-1.10989380139099</v>
      </c>
      <c r="AE4941">
        <v>-4.0124199999999997</v>
      </c>
      <c r="AF4941">
        <v>3.6818029624896198</v>
      </c>
      <c r="AG4941">
        <v>-1.10989380139099</v>
      </c>
      <c r="AH4941">
        <v>15.0190905206988</v>
      </c>
      <c r="AI4941">
        <v>94.105292130383404</v>
      </c>
      <c r="AJ4941">
        <v>76.226049198865496</v>
      </c>
      <c r="AK4941">
        <v>15.5035678917437</v>
      </c>
      <c r="AL4941">
        <v>85.9284515522737</v>
      </c>
      <c r="AM4941">
        <v>85.825508178170594</v>
      </c>
      <c r="AN4941">
        <v>0.999999956166993</v>
      </c>
    </row>
    <row r="4942" spans="1:40" x14ac:dyDescent="0.25">
      <c r="A4942" t="str">
        <f>"20190312154659465"</f>
        <v>20190312154659465</v>
      </c>
      <c r="B4942" t="str">
        <f>"1552376819452222"</f>
        <v>1552376819452222</v>
      </c>
      <c r="C4942" t="s">
        <v>40</v>
      </c>
      <c r="D4942">
        <v>4.4832409999999996</v>
      </c>
      <c r="E4942">
        <v>0.56547559999999997</v>
      </c>
      <c r="F4942" t="s">
        <v>42</v>
      </c>
      <c r="G4942">
        <v>-321.90589999999997</v>
      </c>
      <c r="H4942" s="1">
        <v>-4.8419740000000001E-6</v>
      </c>
      <c r="I4942">
        <v>13.77951</v>
      </c>
      <c r="J4942">
        <v>-336.80599999999998</v>
      </c>
      <c r="K4942">
        <v>1.109904</v>
      </c>
      <c r="L4942">
        <v>17.793369999999999</v>
      </c>
      <c r="M4942">
        <v>0.99968299999999999</v>
      </c>
      <c r="N4942">
        <v>0</v>
      </c>
      <c r="O4942">
        <v>-2.1217980000000001E-2</v>
      </c>
      <c r="P4942">
        <v>0.99387840000000005</v>
      </c>
      <c r="Q4942">
        <v>5.7454310000000001E-2</v>
      </c>
      <c r="R4942">
        <v>-9.4365649999999995E-2</v>
      </c>
      <c r="S4942">
        <v>2.957001</v>
      </c>
      <c r="T4942">
        <v>-0.2173582</v>
      </c>
      <c r="U4942">
        <v>-0.78698729999999995</v>
      </c>
      <c r="V4942">
        <v>7.3307799999999895E-2</v>
      </c>
      <c r="W4942">
        <v>7.0893209999999998E-2</v>
      </c>
      <c r="X4942">
        <v>0.99478639999999996</v>
      </c>
      <c r="Y4942">
        <v>0.2360862</v>
      </c>
      <c r="Z4942">
        <v>-6.987554E-3</v>
      </c>
      <c r="AA4942">
        <v>0.97170699999999999</v>
      </c>
      <c r="AB4942">
        <v>21</v>
      </c>
      <c r="AC4942">
        <v>14.9001</v>
      </c>
      <c r="AD4942">
        <v>-1.109908841974</v>
      </c>
      <c r="AE4942">
        <v>-4.0138599999999904</v>
      </c>
      <c r="AF4942">
        <v>3.6777508708875</v>
      </c>
      <c r="AG4942">
        <v>-1.109908841974</v>
      </c>
      <c r="AH4942">
        <v>14.9048110831746</v>
      </c>
      <c r="AI4942">
        <v>94.135178830912395</v>
      </c>
      <c r="AJ4942">
        <v>76.139188600516604</v>
      </c>
      <c r="AK4942">
        <v>15.3919180913533</v>
      </c>
      <c r="AL4942">
        <v>85.934707873107996</v>
      </c>
      <c r="AM4942">
        <v>85.785377548601105</v>
      </c>
      <c r="AN4942">
        <v>0.99999993119494901</v>
      </c>
    </row>
    <row r="4943" spans="1:40" x14ac:dyDescent="0.25">
      <c r="A4943" t="str">
        <f>"20190312154659478"</f>
        <v>20190312154659478</v>
      </c>
      <c r="B4943" t="str">
        <f>"1552376819462489"</f>
        <v>1552376819462489</v>
      </c>
      <c r="C4943" t="s">
        <v>40</v>
      </c>
      <c r="D4943">
        <v>4.438714</v>
      </c>
      <c r="E4943">
        <v>0.56565710000000002</v>
      </c>
      <c r="F4943" t="s">
        <v>42</v>
      </c>
      <c r="G4943">
        <v>-321.84030000000001</v>
      </c>
      <c r="H4943" s="1">
        <v>-4.873394E-6</v>
      </c>
      <c r="I4943">
        <v>13.777060000000001</v>
      </c>
      <c r="J4943">
        <v>-336.68529999999998</v>
      </c>
      <c r="K4943">
        <v>1.1099129999999999</v>
      </c>
      <c r="L4943">
        <v>17.790410000000001</v>
      </c>
      <c r="M4943">
        <v>0.99967660000000003</v>
      </c>
      <c r="N4943">
        <v>0</v>
      </c>
      <c r="O4943">
        <v>-2.1517850000000002E-2</v>
      </c>
      <c r="P4943">
        <v>0.99384519999999998</v>
      </c>
      <c r="Q4943">
        <v>5.7275609999999998E-2</v>
      </c>
      <c r="R4943">
        <v>-9.482322E-2</v>
      </c>
      <c r="S4943">
        <v>2.9558110000000002</v>
      </c>
      <c r="T4943">
        <v>-0.21921350000000001</v>
      </c>
      <c r="U4943">
        <v>-0.79324340000000004</v>
      </c>
      <c r="V4943">
        <v>7.3465619999999995E-2</v>
      </c>
      <c r="W4943">
        <v>7.0714369999999999E-2</v>
      </c>
      <c r="X4943">
        <v>0.99478759999999999</v>
      </c>
      <c r="Y4943">
        <v>0.23779819999999999</v>
      </c>
      <c r="Z4943">
        <v>-7.0884059999999898E-3</v>
      </c>
      <c r="AA4943">
        <v>0.9712887</v>
      </c>
      <c r="AB4943">
        <v>21</v>
      </c>
      <c r="AC4943">
        <v>14.844999999999899</v>
      </c>
      <c r="AD4943">
        <v>-1.1099178733939901</v>
      </c>
      <c r="AE4943">
        <v>-4.01335</v>
      </c>
      <c r="AF4943">
        <v>3.67382047161091</v>
      </c>
      <c r="AG4943">
        <v>-1.1099178733939901</v>
      </c>
      <c r="AH4943">
        <v>14.8505666790542</v>
      </c>
      <c r="AI4943">
        <v>94.149651245392306</v>
      </c>
      <c r="AJ4943">
        <v>76.104810704285299</v>
      </c>
      <c r="AK4943">
        <v>15.338455112309701</v>
      </c>
      <c r="AL4943">
        <v>85.944980891798195</v>
      </c>
      <c r="AM4943">
        <v>85.776342015455995</v>
      </c>
      <c r="AN4943">
        <v>1.00000004428011</v>
      </c>
    </row>
    <row r="4944" spans="1:40" x14ac:dyDescent="0.25">
      <c r="A4944" t="str">
        <f>"20190312154659500"</f>
        <v>20190312154659500</v>
      </c>
      <c r="B4944" t="str">
        <f>"1552376819492745"</f>
        <v>1552376819492745</v>
      </c>
      <c r="C4944" t="s">
        <v>40</v>
      </c>
      <c r="D4944">
        <v>4.3082140000000004</v>
      </c>
      <c r="E4944">
        <v>0.5654323</v>
      </c>
      <c r="F4944" t="s">
        <v>42</v>
      </c>
      <c r="G4944">
        <v>-321.78370000000001</v>
      </c>
      <c r="H4944" s="1">
        <v>-4.9002180000000002E-6</v>
      </c>
      <c r="I4944">
        <v>13.77665</v>
      </c>
      <c r="J4944">
        <v>-336.4821</v>
      </c>
      <c r="K4944">
        <v>1.109928</v>
      </c>
      <c r="L4944">
        <v>17.78546</v>
      </c>
      <c r="M4944">
        <v>0.99966600000000005</v>
      </c>
      <c r="N4944">
        <v>0</v>
      </c>
      <c r="O4944">
        <v>-2.2008110000000001E-2</v>
      </c>
      <c r="P4944">
        <v>0.99376620000000004</v>
      </c>
      <c r="Q4944">
        <v>5.7328190000000001E-2</v>
      </c>
      <c r="R4944">
        <v>-9.5616419999999994E-2</v>
      </c>
      <c r="S4944">
        <v>2.9553219999999998</v>
      </c>
      <c r="T4944">
        <v>-0.22012229999999999</v>
      </c>
      <c r="U4944">
        <v>-0.79602050000000002</v>
      </c>
      <c r="V4944">
        <v>7.3769440000000006E-2</v>
      </c>
      <c r="W4944">
        <v>7.0767159999999996E-2</v>
      </c>
      <c r="X4944">
        <v>0.99476129999999996</v>
      </c>
      <c r="Y4944">
        <v>0.2382088</v>
      </c>
      <c r="Z4944">
        <v>-7.0972350000000003E-3</v>
      </c>
      <c r="AA4944">
        <v>0.97118800000000005</v>
      </c>
      <c r="AB4944">
        <v>21</v>
      </c>
      <c r="AC4944">
        <v>14.6983999999999</v>
      </c>
      <c r="AD4944">
        <v>-1.1099329002180001</v>
      </c>
      <c r="AE4944">
        <v>-4.0088099999999898</v>
      </c>
      <c r="AF4944">
        <v>3.6648737119017598</v>
      </c>
      <c r="AG4944">
        <v>-1.1099329002180001</v>
      </c>
      <c r="AH4944">
        <v>14.705026240760899</v>
      </c>
      <c r="AI4944">
        <v>94.188835961706005</v>
      </c>
      <c r="AJ4944">
        <v>76.005506665572199</v>
      </c>
      <c r="AK4944">
        <v>15.1954284937491</v>
      </c>
      <c r="AL4944">
        <v>85.941948400421595</v>
      </c>
      <c r="AM4944">
        <v>85.758826792850002</v>
      </c>
      <c r="AN4944">
        <v>0.99999998259503398</v>
      </c>
    </row>
    <row r="4945" spans="1:40" x14ac:dyDescent="0.25">
      <c r="A4945" t="str">
        <f>"20190312154659525"</f>
        <v>20190312154659525</v>
      </c>
      <c r="B4945" t="str">
        <f>"1552376819512265"</f>
        <v>1552376819512265</v>
      </c>
      <c r="C4945" t="s">
        <v>40</v>
      </c>
      <c r="D4945">
        <v>4.2253660000000002</v>
      </c>
      <c r="E4945">
        <v>0.56500899999999998</v>
      </c>
      <c r="F4945" t="s">
        <v>42</v>
      </c>
      <c r="G4945">
        <v>-321.47329999999999</v>
      </c>
      <c r="H4945" s="1">
        <v>-5.0536960000000003E-6</v>
      </c>
      <c r="I4945">
        <v>13.738630000000001</v>
      </c>
      <c r="J4945">
        <v>-336.25799999999998</v>
      </c>
      <c r="K4945">
        <v>1.109945</v>
      </c>
      <c r="L4945">
        <v>17.779910000000001</v>
      </c>
      <c r="M4945">
        <v>0.99965459999999995</v>
      </c>
      <c r="N4945">
        <v>0</v>
      </c>
      <c r="O4945">
        <v>-2.2517269999999999E-2</v>
      </c>
      <c r="P4945">
        <v>0.99371699999999996</v>
      </c>
      <c r="Q4945">
        <v>5.7494990000000003E-2</v>
      </c>
      <c r="R4945">
        <v>-9.6024470000000001E-2</v>
      </c>
      <c r="S4945">
        <v>2.954742</v>
      </c>
      <c r="T4945">
        <v>-0.21851029999999999</v>
      </c>
      <c r="U4945">
        <v>-0.79669190000000001</v>
      </c>
      <c r="V4945">
        <v>7.3668609999999995E-2</v>
      </c>
      <c r="W4945">
        <v>7.0935059999999994E-2</v>
      </c>
      <c r="X4945">
        <v>0.9947568</v>
      </c>
      <c r="Y4945">
        <v>0.23797779999999999</v>
      </c>
      <c r="Z4945">
        <v>-7.001251E-3</v>
      </c>
      <c r="AA4945">
        <v>0.97124529999999998</v>
      </c>
      <c r="AB4945">
        <v>21</v>
      </c>
      <c r="AC4945">
        <v>14.784700000000001</v>
      </c>
      <c r="AD4945">
        <v>-1.1099500536960001</v>
      </c>
      <c r="AE4945">
        <v>-4.0412800000000004</v>
      </c>
      <c r="AF4945">
        <v>3.6879726419244099</v>
      </c>
      <c r="AG4945">
        <v>-1.1099500536960001</v>
      </c>
      <c r="AH4945">
        <v>14.794371423572001</v>
      </c>
      <c r="AI4945">
        <v>94.163637632992405</v>
      </c>
      <c r="AJ4945">
        <v>76.002473713903498</v>
      </c>
      <c r="AK4945">
        <v>15.287464052218899</v>
      </c>
      <c r="AL4945">
        <v>85.932304146619899</v>
      </c>
      <c r="AM4945">
        <v>85.764583540088694</v>
      </c>
      <c r="AN4945">
        <v>0.99999996899138699</v>
      </c>
    </row>
    <row r="4946" spans="1:40" x14ac:dyDescent="0.25">
      <c r="A4946" t="str">
        <f>"20190312154659545"</f>
        <v>20190312154659545</v>
      </c>
      <c r="B4946" t="str">
        <f>"1552376819532761"</f>
        <v>1552376819532761</v>
      </c>
      <c r="C4946" t="s">
        <v>40</v>
      </c>
      <c r="D4946">
        <v>4.2379720000000001</v>
      </c>
      <c r="E4946">
        <v>0.55405979999999999</v>
      </c>
      <c r="F4946" t="s">
        <v>42</v>
      </c>
      <c r="G4946">
        <v>-320.99009999999998</v>
      </c>
      <c r="H4946" s="1">
        <v>-5.2937910000000004E-6</v>
      </c>
      <c r="I4946">
        <v>13.67276</v>
      </c>
      <c r="J4946">
        <v>-336.06880000000001</v>
      </c>
      <c r="K4946">
        <v>1.1099619999999999</v>
      </c>
      <c r="L4946">
        <v>17.77515</v>
      </c>
      <c r="M4946">
        <v>0.99964560000000002</v>
      </c>
      <c r="N4946">
        <v>0</v>
      </c>
      <c r="O4946">
        <v>-2.2916160000000001E-2</v>
      </c>
      <c r="P4946">
        <v>0.99373279999999997</v>
      </c>
      <c r="Q4946">
        <v>5.7387899999999999E-2</v>
      </c>
      <c r="R4946">
        <v>-9.5926540000000005E-2</v>
      </c>
      <c r="S4946">
        <v>2.95459</v>
      </c>
      <c r="T4946">
        <v>-0.2147936</v>
      </c>
      <c r="U4946">
        <v>-0.79479979999999995</v>
      </c>
      <c r="V4946">
        <v>7.316984E-2</v>
      </c>
      <c r="W4946">
        <v>7.0830420000000005E-2</v>
      </c>
      <c r="X4946">
        <v>0.99480109999999999</v>
      </c>
      <c r="Y4946">
        <v>0.23704439999999999</v>
      </c>
      <c r="Z4946">
        <v>-6.8216600000000002E-3</v>
      </c>
      <c r="AA4946">
        <v>0.97147490000000003</v>
      </c>
      <c r="AB4946">
        <v>21</v>
      </c>
      <c r="AC4946">
        <v>15.0787</v>
      </c>
      <c r="AD4946">
        <v>-1.1099672937909999</v>
      </c>
      <c r="AE4946">
        <v>-4.1023899999999998</v>
      </c>
      <c r="AF4946">
        <v>3.7368814590378499</v>
      </c>
      <c r="AG4946">
        <v>-1.1099672937909999</v>
      </c>
      <c r="AH4946">
        <v>15.0926135073334</v>
      </c>
      <c r="AI4946">
        <v>94.083309520787907</v>
      </c>
      <c r="AJ4946">
        <v>76.093428073742203</v>
      </c>
      <c r="AK4946">
        <v>15.5879213788731</v>
      </c>
      <c r="AL4946">
        <v>85.938314826912702</v>
      </c>
      <c r="AM4946">
        <v>85.793342602922493</v>
      </c>
      <c r="AN4946">
        <v>1.0000000012221</v>
      </c>
    </row>
    <row r="4947" spans="1:40" x14ac:dyDescent="0.25">
      <c r="A4947" t="str">
        <f>"20190312154659567"</f>
        <v>20190312154659567</v>
      </c>
      <c r="B4947" t="str">
        <f>"1552376819562549"</f>
        <v>1552376819562549</v>
      </c>
      <c r="C4947" t="s">
        <v>40</v>
      </c>
      <c r="D4947">
        <v>4.1364199999999904</v>
      </c>
      <c r="E4947">
        <v>0.55390699999999904</v>
      </c>
      <c r="F4947" t="s">
        <v>43</v>
      </c>
      <c r="G4947">
        <v>-311.73289999999997</v>
      </c>
      <c r="H4947">
        <v>-0.05</v>
      </c>
      <c r="I4947">
        <v>11.93904</v>
      </c>
      <c r="J4947">
        <v>-335.87060000000002</v>
      </c>
      <c r="K4947">
        <v>1.1099779999999999</v>
      </c>
      <c r="L4947">
        <v>17.770109999999999</v>
      </c>
      <c r="M4947">
        <v>0.99963659999999999</v>
      </c>
      <c r="N4947">
        <v>0</v>
      </c>
      <c r="O4947">
        <v>-2.3308349999999999E-2</v>
      </c>
      <c r="P4947">
        <v>0.9937473</v>
      </c>
      <c r="Q4947">
        <v>5.7377869999999997E-2</v>
      </c>
      <c r="R4947">
        <v>-9.5782110000000004E-2</v>
      </c>
      <c r="S4947">
        <v>2.9585569999999999</v>
      </c>
      <c r="T4947">
        <v>-0.14101839999999999</v>
      </c>
      <c r="U4947">
        <v>-0.709503199999999</v>
      </c>
      <c r="V4947">
        <v>7.2631169999999995E-2</v>
      </c>
      <c r="W4947">
        <v>7.0822339999999998E-2</v>
      </c>
      <c r="X4947">
        <v>0.99484119999999998</v>
      </c>
      <c r="Y4947">
        <v>0.21027029999999999</v>
      </c>
      <c r="Z4947">
        <v>-3.8443549999999998E-3</v>
      </c>
      <c r="AA4947">
        <v>0.9776357</v>
      </c>
      <c r="AB4947">
        <v>21</v>
      </c>
      <c r="AC4947">
        <v>24.137699999999999</v>
      </c>
      <c r="AD4947">
        <v>-1.159978</v>
      </c>
      <c r="AE4947">
        <v>-5.8310699999999898</v>
      </c>
      <c r="AF4947">
        <v>5.2553562701810899</v>
      </c>
      <c r="AG4947">
        <v>-1.159978</v>
      </c>
      <c r="AH4947">
        <v>24.214228337934902</v>
      </c>
      <c r="AI4947">
        <v>92.680339168719001</v>
      </c>
      <c r="AJ4947">
        <v>77.754673247492306</v>
      </c>
      <c r="AK4947">
        <v>24.805103758877198</v>
      </c>
      <c r="AL4947">
        <v>85.938779148758599</v>
      </c>
      <c r="AM4947">
        <v>85.824369418319094</v>
      </c>
      <c r="AN4947">
        <v>1.0000000519580401</v>
      </c>
    </row>
    <row r="4948" spans="1:40" x14ac:dyDescent="0.25">
      <c r="A4948" t="str">
        <f>"20190312154659590"</f>
        <v>20190312154659590</v>
      </c>
      <c r="B4948" t="str">
        <f>"1552376819583046"</f>
        <v>1552376819583046</v>
      </c>
      <c r="C4948" t="s">
        <v>40</v>
      </c>
      <c r="D4948">
        <v>4.0777239999999999</v>
      </c>
      <c r="E4948">
        <v>0.55356169999999905</v>
      </c>
      <c r="F4948" t="s">
        <v>43</v>
      </c>
      <c r="G4948">
        <v>-313.47210000000001</v>
      </c>
      <c r="H4948">
        <v>-0.05</v>
      </c>
      <c r="I4948">
        <v>12.413930000000001</v>
      </c>
      <c r="J4948">
        <v>-335.65499999999997</v>
      </c>
      <c r="K4948">
        <v>1.1099939999999999</v>
      </c>
      <c r="L4948">
        <v>17.764620000000001</v>
      </c>
      <c r="M4948">
        <v>0.9996273</v>
      </c>
      <c r="N4948">
        <v>0</v>
      </c>
      <c r="O4948">
        <v>-2.370541E-2</v>
      </c>
      <c r="P4948">
        <v>0.99377269999999895</v>
      </c>
      <c r="Q4948">
        <v>5.7410129999999997E-2</v>
      </c>
      <c r="R4948">
        <v>-9.55009E-2</v>
      </c>
      <c r="S4948">
        <v>2.959473</v>
      </c>
      <c r="T4948">
        <v>-0.15326600000000001</v>
      </c>
      <c r="U4948">
        <v>-0.70770259999999996</v>
      </c>
      <c r="V4948">
        <v>7.195029E-2</v>
      </c>
      <c r="W4948">
        <v>7.0857059999999999E-2</v>
      </c>
      <c r="X4948">
        <v>0.99488810000000005</v>
      </c>
      <c r="Y4948">
        <v>0.20921629999999999</v>
      </c>
      <c r="Z4948">
        <v>-4.1297340000000004E-3</v>
      </c>
      <c r="AA4948">
        <v>0.97786070000000003</v>
      </c>
      <c r="AB4948">
        <v>21</v>
      </c>
      <c r="AC4948">
        <v>22.182899999999901</v>
      </c>
      <c r="AD4948">
        <v>-1.159994</v>
      </c>
      <c r="AE4948">
        <v>-5.3506900000000002</v>
      </c>
      <c r="AF4948">
        <v>4.8108512903720699</v>
      </c>
      <c r="AG4948">
        <v>-1.159994</v>
      </c>
      <c r="AH4948">
        <v>22.246030416237499</v>
      </c>
      <c r="AI4948">
        <v>92.9175966256675</v>
      </c>
      <c r="AJ4948">
        <v>77.797319852215097</v>
      </c>
      <c r="AK4948">
        <v>22.789816706113999</v>
      </c>
      <c r="AL4948">
        <v>85.936784411483998</v>
      </c>
      <c r="AM4948">
        <v>85.863571618296007</v>
      </c>
      <c r="AN4948">
        <v>0.99999994935226699</v>
      </c>
    </row>
    <row r="4949" spans="1:40" x14ac:dyDescent="0.25">
      <c r="A4949" t="str">
        <f>"20190312154659611"</f>
        <v>20190312154659611</v>
      </c>
      <c r="B4949" t="str">
        <f>"1552376819602580"</f>
        <v>1552376819602580</v>
      </c>
      <c r="C4949" t="s">
        <v>40</v>
      </c>
      <c r="D4949">
        <v>4.0486459999999997</v>
      </c>
      <c r="E4949">
        <v>0.55433520000000003</v>
      </c>
      <c r="F4949" t="s">
        <v>43</v>
      </c>
      <c r="G4949">
        <v>-313.09210000000002</v>
      </c>
      <c r="H4949">
        <v>-0.05</v>
      </c>
      <c r="I4949">
        <v>12.39574</v>
      </c>
      <c r="J4949">
        <v>-335.46140000000003</v>
      </c>
      <c r="K4949">
        <v>1.1100129999999999</v>
      </c>
      <c r="L4949">
        <v>17.759609999999999</v>
      </c>
      <c r="M4949">
        <v>0.99961929999999999</v>
      </c>
      <c r="N4949">
        <v>0</v>
      </c>
      <c r="O4949">
        <v>-2.4034440000000001E-2</v>
      </c>
      <c r="P4949">
        <v>0.9937897</v>
      </c>
      <c r="Q4949">
        <v>5.7453829999999997E-2</v>
      </c>
      <c r="R4949">
        <v>-9.5295889999999994E-2</v>
      </c>
      <c r="S4949">
        <v>2.9599000000000002</v>
      </c>
      <c r="T4949">
        <v>-0.15217329999999901</v>
      </c>
      <c r="U4949">
        <v>-0.70431519999999903</v>
      </c>
      <c r="V4949">
        <v>7.1414030000000003E-2</v>
      </c>
      <c r="W4949">
        <v>7.0902709999999994E-2</v>
      </c>
      <c r="X4949">
        <v>0.99492349999999996</v>
      </c>
      <c r="Y4949">
        <v>0.20780899999999999</v>
      </c>
      <c r="Z4949">
        <v>-4.0479829999999998E-3</v>
      </c>
      <c r="AA4949">
        <v>0.97816099999999995</v>
      </c>
      <c r="AB4949">
        <v>21</v>
      </c>
      <c r="AC4949">
        <v>22.369299999999999</v>
      </c>
      <c r="AD4949">
        <v>-1.160013</v>
      </c>
      <c r="AE4949">
        <v>-5.3638700000000004</v>
      </c>
      <c r="AF4949">
        <v>4.8123995069511896</v>
      </c>
      <c r="AG4949">
        <v>-1.160013</v>
      </c>
      <c r="AH4949">
        <v>22.4347156329443</v>
      </c>
      <c r="AI4949">
        <v>92.894188035391196</v>
      </c>
      <c r="AJ4949">
        <v>77.893131224920396</v>
      </c>
      <c r="AK4949">
        <v>22.974361464592398</v>
      </c>
      <c r="AL4949">
        <v>85.934162325264495</v>
      </c>
      <c r="AM4949">
        <v>85.894441013035404</v>
      </c>
      <c r="AN4949">
        <v>0.99999996440921601</v>
      </c>
    </row>
    <row r="4950" spans="1:40" x14ac:dyDescent="0.25">
      <c r="A4950" t="str">
        <f>"20190312154659633"</f>
        <v>20190312154659633</v>
      </c>
      <c r="B4950" t="str">
        <f>"1552376819623065"</f>
        <v>1552376819623065</v>
      </c>
      <c r="C4950" t="s">
        <v>40</v>
      </c>
      <c r="D4950">
        <v>4.0113120000000002</v>
      </c>
      <c r="E4950">
        <v>0.55445809999999995</v>
      </c>
      <c r="F4950" t="s">
        <v>43</v>
      </c>
      <c r="G4950">
        <v>-313.16079999999999</v>
      </c>
      <c r="H4950">
        <v>-0.05</v>
      </c>
      <c r="I4950">
        <v>12.41046</v>
      </c>
      <c r="J4950">
        <v>-335.2604</v>
      </c>
      <c r="K4950">
        <v>1.1100380000000001</v>
      </c>
      <c r="L4950">
        <v>17.754429999999999</v>
      </c>
      <c r="M4950">
        <v>0.9996119</v>
      </c>
      <c r="N4950">
        <v>0</v>
      </c>
      <c r="O4950">
        <v>-2.434474E-2</v>
      </c>
      <c r="P4950">
        <v>0.99385509999999999</v>
      </c>
      <c r="Q4950">
        <v>5.7092820000000002E-2</v>
      </c>
      <c r="R4950">
        <v>-9.4827400000000006E-2</v>
      </c>
      <c r="S4950">
        <v>2.9595639999999999</v>
      </c>
      <c r="T4950">
        <v>-0.15394829999999901</v>
      </c>
      <c r="U4950">
        <v>-0.70989990000000003</v>
      </c>
      <c r="V4950">
        <v>7.0631760000000002E-2</v>
      </c>
      <c r="W4950">
        <v>7.0544079999999995E-2</v>
      </c>
      <c r="X4950">
        <v>0.99500489999999997</v>
      </c>
      <c r="Y4950">
        <v>0.2092695</v>
      </c>
      <c r="Z4950">
        <v>-4.116265E-3</v>
      </c>
      <c r="AA4950">
        <v>0.97784939999999998</v>
      </c>
      <c r="AB4950">
        <v>21</v>
      </c>
      <c r="AC4950">
        <v>22.099599999999999</v>
      </c>
      <c r="AD4950">
        <v>-1.1600379999999999</v>
      </c>
      <c r="AE4950">
        <v>-5.3439699999999899</v>
      </c>
      <c r="AF4950">
        <v>4.7918537143005899</v>
      </c>
      <c r="AG4950">
        <v>-1.1600379999999999</v>
      </c>
      <c r="AH4950">
        <v>22.165458935463899</v>
      </c>
      <c r="AI4950">
        <v>92.928337411110405</v>
      </c>
      <c r="AJ4950">
        <v>77.801205451731406</v>
      </c>
      <c r="AK4950">
        <v>22.707160104258602</v>
      </c>
      <c r="AL4950">
        <v>85.954762166951596</v>
      </c>
      <c r="AM4950">
        <v>85.939593164302906</v>
      </c>
      <c r="AN4950">
        <v>1.00000003188387</v>
      </c>
    </row>
    <row r="4951" spans="1:40" x14ac:dyDescent="0.25">
      <c r="A4951" t="str">
        <f>"20190312154659666"</f>
        <v>20190312154659666</v>
      </c>
      <c r="B4951" t="str">
        <f>"1552376819652341"</f>
        <v>1552376819652341</v>
      </c>
      <c r="C4951" t="s">
        <v>40</v>
      </c>
      <c r="D4951">
        <v>4.1008930000000001</v>
      </c>
      <c r="E4951">
        <v>0.52208809999999894</v>
      </c>
      <c r="F4951" t="s">
        <v>43</v>
      </c>
      <c r="G4951">
        <v>-312.44810000000001</v>
      </c>
      <c r="H4951">
        <v>-0.05</v>
      </c>
      <c r="I4951">
        <v>12.282999999999999</v>
      </c>
      <c r="J4951">
        <v>-334.95749999999998</v>
      </c>
      <c r="K4951">
        <v>1.1100680000000001</v>
      </c>
      <c r="L4951">
        <v>17.746489999999898</v>
      </c>
      <c r="M4951">
        <v>0.99960199999999999</v>
      </c>
      <c r="N4951">
        <v>0</v>
      </c>
      <c r="O4951">
        <v>-2.4748389999999999E-2</v>
      </c>
      <c r="P4951">
        <v>0.99387170000000002</v>
      </c>
      <c r="Q4951">
        <v>5.7400550000000002E-2</v>
      </c>
      <c r="R4951">
        <v>-9.4468940000000001E-2</v>
      </c>
      <c r="S4951">
        <v>2.9594420000000001</v>
      </c>
      <c r="T4951">
        <v>-0.1504916</v>
      </c>
      <c r="U4951">
        <v>-0.70980829999999995</v>
      </c>
      <c r="V4951">
        <v>6.9865060000000007E-2</v>
      </c>
      <c r="W4951">
        <v>7.0854680000000003E-2</v>
      </c>
      <c r="X4951">
        <v>0.9950369</v>
      </c>
      <c r="Y4951">
        <v>0.20886660000000001</v>
      </c>
      <c r="Z4951">
        <v>-3.9938409999999997E-3</v>
      </c>
      <c r="AA4951">
        <v>0.97793600000000003</v>
      </c>
      <c r="AB4951">
        <v>20</v>
      </c>
      <c r="AC4951">
        <v>22.5093999999999</v>
      </c>
      <c r="AD4951">
        <v>-1.1600680000000001</v>
      </c>
      <c r="AE4951">
        <v>-5.4634899999999904</v>
      </c>
      <c r="AF4951">
        <v>4.8924221604923401</v>
      </c>
      <c r="AG4951">
        <v>-1.1600680000000001</v>
      </c>
      <c r="AH4951">
        <v>22.5810893033788</v>
      </c>
      <c r="AI4951">
        <v>92.874322006250495</v>
      </c>
      <c r="AJ4951">
        <v>77.775234045355802</v>
      </c>
      <c r="AK4951">
        <v>23.134112182841001</v>
      </c>
      <c r="AL4951">
        <v>85.9369212125453</v>
      </c>
      <c r="AM4951">
        <v>85.983652140890996</v>
      </c>
      <c r="AN4951">
        <v>0.99999997232415705</v>
      </c>
    </row>
    <row r="4952" spans="1:40" x14ac:dyDescent="0.25">
      <c r="A4952" t="str">
        <f>"20190312154659691"</f>
        <v>20190312154659691</v>
      </c>
      <c r="B4952" t="str">
        <f>"1552376819682597"</f>
        <v>1552376819682597</v>
      </c>
      <c r="C4952" t="s">
        <v>40</v>
      </c>
      <c r="D4952">
        <v>4.0813699999999997</v>
      </c>
      <c r="E4952">
        <v>0.49931819999999999</v>
      </c>
      <c r="F4952" t="s">
        <v>43</v>
      </c>
      <c r="G4952">
        <v>-304.81659999999999</v>
      </c>
      <c r="H4952">
        <v>-0.05</v>
      </c>
      <c r="I4952">
        <v>13.172230000000001</v>
      </c>
      <c r="J4952">
        <v>-334.73649999999998</v>
      </c>
      <c r="K4952">
        <v>1.11009</v>
      </c>
      <c r="L4952">
        <v>17.74072</v>
      </c>
      <c r="M4952">
        <v>0.99959609999999999</v>
      </c>
      <c r="N4952">
        <v>0</v>
      </c>
      <c r="O4952">
        <v>-2.4990289999999998E-2</v>
      </c>
      <c r="P4952">
        <v>0.99393189999999998</v>
      </c>
      <c r="Q4952">
        <v>5.7532460000000001E-2</v>
      </c>
      <c r="R4952">
        <v>-9.3753100000000006E-2</v>
      </c>
      <c r="S4952">
        <v>2.9821170000000001</v>
      </c>
      <c r="T4952">
        <v>-0.11477610000000001</v>
      </c>
      <c r="U4952">
        <v>-0.45257570000000003</v>
      </c>
      <c r="V4952">
        <v>6.8902690000000003E-2</v>
      </c>
      <c r="W4952">
        <v>7.0989769999999994E-2</v>
      </c>
      <c r="X4952">
        <v>0.99509440000000005</v>
      </c>
      <c r="Y4952">
        <v>0.1252162</v>
      </c>
      <c r="Z4952">
        <v>-1.4395110000000001E-3</v>
      </c>
      <c r="AA4952">
        <v>0.99212840000000002</v>
      </c>
      <c r="AB4952">
        <v>20</v>
      </c>
      <c r="AC4952">
        <v>29.919899999999899</v>
      </c>
      <c r="AD4952">
        <v>-1.1600900000000001</v>
      </c>
      <c r="AE4952">
        <v>-4.5684899999999997</v>
      </c>
      <c r="AF4952">
        <v>3.8136848051845602</v>
      </c>
      <c r="AG4952">
        <v>-1.1600900000000001</v>
      </c>
      <c r="AH4952">
        <v>29.980687572209099</v>
      </c>
      <c r="AI4952">
        <v>92.198234495571796</v>
      </c>
      <c r="AJ4952">
        <v>82.750640144648401</v>
      </c>
      <c r="AK4952">
        <v>30.244530545270599</v>
      </c>
      <c r="AL4952">
        <v>85.929161684226997</v>
      </c>
      <c r="AM4952">
        <v>86.039026930778903</v>
      </c>
      <c r="AN4952">
        <v>0.99999999652262395</v>
      </c>
    </row>
    <row r="4953" spans="1:40" x14ac:dyDescent="0.25">
      <c r="A4953" t="str">
        <f>"20190312154659712"</f>
        <v>20190312154659712</v>
      </c>
      <c r="B4953" t="str">
        <f>"1552376819703093"</f>
        <v>1552376819703093</v>
      </c>
      <c r="C4953" t="s">
        <v>40</v>
      </c>
      <c r="D4953">
        <v>4.0681820000000002</v>
      </c>
      <c r="E4953">
        <v>0.49286920000000001</v>
      </c>
      <c r="F4953" t="s">
        <v>43</v>
      </c>
      <c r="G4953">
        <v>-307.14949999999999</v>
      </c>
      <c r="H4953">
        <v>-0.05</v>
      </c>
      <c r="I4953">
        <v>15.263489999999999</v>
      </c>
      <c r="J4953">
        <v>-334.5342</v>
      </c>
      <c r="K4953">
        <v>1.1101110000000001</v>
      </c>
      <c r="L4953">
        <v>17.735410000000002</v>
      </c>
      <c r="M4953">
        <v>0.99959140000000002</v>
      </c>
      <c r="N4953">
        <v>0</v>
      </c>
      <c r="O4953">
        <v>-2.5178849999999999E-2</v>
      </c>
      <c r="P4953">
        <v>0.99397939999999996</v>
      </c>
      <c r="Q4953">
        <v>5.6982360000000003E-2</v>
      </c>
      <c r="R4953">
        <v>-9.3584689999999998E-2</v>
      </c>
      <c r="S4953">
        <v>3.0001829999999998</v>
      </c>
      <c r="T4953">
        <v>-0.1261642</v>
      </c>
      <c r="U4953">
        <v>-0.26940920000000002</v>
      </c>
      <c r="V4953">
        <v>6.8541439999999995E-2</v>
      </c>
      <c r="W4953">
        <v>7.0441809999999994E-2</v>
      </c>
      <c r="X4953">
        <v>0.99515830000000005</v>
      </c>
      <c r="Y4953">
        <v>6.4294840000000006E-2</v>
      </c>
      <c r="Z4953">
        <v>-2.9261149999999997E-4</v>
      </c>
      <c r="AA4953">
        <v>0.99793089999999995</v>
      </c>
      <c r="AB4953">
        <v>20</v>
      </c>
      <c r="AC4953">
        <v>27.384699999999999</v>
      </c>
      <c r="AD4953">
        <v>-1.1601109999999999</v>
      </c>
      <c r="AE4953">
        <v>-2.4719199999999999</v>
      </c>
      <c r="AF4953">
        <v>1.77839197149364</v>
      </c>
      <c r="AG4953">
        <v>-1.1601109999999999</v>
      </c>
      <c r="AH4953">
        <v>27.3895045593537</v>
      </c>
      <c r="AI4953">
        <v>92.420282379005499</v>
      </c>
      <c r="AJ4953">
        <v>86.285017706002407</v>
      </c>
      <c r="AK4953">
        <v>27.471685342247401</v>
      </c>
      <c r="AL4953">
        <v>85.960636330397804</v>
      </c>
      <c r="AM4953">
        <v>86.059980546223102</v>
      </c>
      <c r="AN4953">
        <v>1.0000000098261199</v>
      </c>
    </row>
    <row r="4954" spans="1:40" x14ac:dyDescent="0.25">
      <c r="A4954" t="str">
        <f>"20190312154659734"</f>
        <v>20190312154659734</v>
      </c>
      <c r="B4954" t="str">
        <f>"1552376819722613"</f>
        <v>1552376819722613</v>
      </c>
      <c r="C4954" t="s">
        <v>40</v>
      </c>
      <c r="D4954">
        <v>4.0520160000000001</v>
      </c>
      <c r="E4954">
        <v>0.4893248</v>
      </c>
      <c r="F4954" t="s">
        <v>43</v>
      </c>
      <c r="G4954">
        <v>-309.37329999999997</v>
      </c>
      <c r="H4954">
        <v>-0.05</v>
      </c>
      <c r="I4954">
        <v>15.914179999999901</v>
      </c>
      <c r="J4954">
        <v>-334.34269999999998</v>
      </c>
      <c r="K4954">
        <v>1.1101350000000001</v>
      </c>
      <c r="L4954">
        <v>17.73038</v>
      </c>
      <c r="M4954">
        <v>0.99958780000000003</v>
      </c>
      <c r="N4954">
        <v>0</v>
      </c>
      <c r="O4954">
        <v>-2.5322239999999999E-2</v>
      </c>
      <c r="P4954">
        <v>0.9940466</v>
      </c>
      <c r="Q4954">
        <v>5.654762E-2</v>
      </c>
      <c r="R4954">
        <v>-9.3133140000000003E-2</v>
      </c>
      <c r="S4954">
        <v>3.0056759999999998</v>
      </c>
      <c r="T4954">
        <v>-0.13858470000000001</v>
      </c>
      <c r="U4954">
        <v>-0.2175598</v>
      </c>
      <c r="V4954">
        <v>6.7941779999999993E-2</v>
      </c>
      <c r="W4954">
        <v>7.0009429999999997E-2</v>
      </c>
      <c r="X4954">
        <v>0.9952299</v>
      </c>
      <c r="Y4954">
        <v>4.6889689999999998E-2</v>
      </c>
      <c r="Z4954" s="1">
        <v>8.615048E-5</v>
      </c>
      <c r="AA4954">
        <v>0.99890009999999996</v>
      </c>
      <c r="AB4954">
        <v>20</v>
      </c>
      <c r="AC4954">
        <v>24.9694</v>
      </c>
      <c r="AD4954">
        <v>-1.1601349999999999</v>
      </c>
      <c r="AE4954">
        <v>-1.8162</v>
      </c>
      <c r="AF4954">
        <v>1.1807430006947901</v>
      </c>
      <c r="AG4954">
        <v>-1.1601349999999999</v>
      </c>
      <c r="AH4954">
        <v>24.953800995801799</v>
      </c>
      <c r="AI4954">
        <v>92.658868833332207</v>
      </c>
      <c r="AJ4954">
        <v>87.290946991746694</v>
      </c>
      <c r="AK4954">
        <v>25.008643533586401</v>
      </c>
      <c r="AL4954">
        <v>85.985471072744204</v>
      </c>
      <c r="AM4954">
        <v>86.094624219321702</v>
      </c>
      <c r="AN4954">
        <v>0.99999997980625099</v>
      </c>
    </row>
    <row r="4955" spans="1:40" x14ac:dyDescent="0.25">
      <c r="A4955" t="str">
        <f>"20190312154659756"</f>
        <v>20190312154659756</v>
      </c>
      <c r="B4955" t="str">
        <f>"1552376819743109"</f>
        <v>1552376819743109</v>
      </c>
      <c r="C4955" t="s">
        <v>40</v>
      </c>
      <c r="D4955">
        <v>4.0378999999999996</v>
      </c>
      <c r="E4955">
        <v>0.48703990000000003</v>
      </c>
      <c r="F4955" t="s">
        <v>43</v>
      </c>
      <c r="G4955">
        <v>-310.6628</v>
      </c>
      <c r="H4955">
        <v>-0.05</v>
      </c>
      <c r="I4955">
        <v>16.250119999999999</v>
      </c>
      <c r="J4955">
        <v>-334.13619999999997</v>
      </c>
      <c r="K4955">
        <v>1.1101570000000001</v>
      </c>
      <c r="L4955">
        <v>17.725010000000001</v>
      </c>
      <c r="M4955">
        <v>0.9995849</v>
      </c>
      <c r="N4955">
        <v>0</v>
      </c>
      <c r="O4955">
        <v>-2.5434600000000002E-2</v>
      </c>
      <c r="P4955">
        <v>0.99408200000000002</v>
      </c>
      <c r="Q4955">
        <v>5.6523810000000001E-2</v>
      </c>
      <c r="R4955">
        <v>-9.2770069999999996E-2</v>
      </c>
      <c r="S4955">
        <v>3.0087280000000001</v>
      </c>
      <c r="T4955">
        <v>-0.147404799999999</v>
      </c>
      <c r="U4955">
        <v>-0.18807979999999999</v>
      </c>
      <c r="V4955">
        <v>6.7461969999999996E-2</v>
      </c>
      <c r="W4955">
        <v>6.9987569999999999E-2</v>
      </c>
      <c r="X4955">
        <v>0.99526409999999998</v>
      </c>
      <c r="Y4955">
        <v>3.6968290000000001E-2</v>
      </c>
      <c r="Z4955">
        <v>3.3975079999999999E-4</v>
      </c>
      <c r="AA4955">
        <v>0.99931639999999999</v>
      </c>
      <c r="AB4955">
        <v>20</v>
      </c>
      <c r="AC4955">
        <v>23.473399999999899</v>
      </c>
      <c r="AD4955">
        <v>-1.1601569999999899</v>
      </c>
      <c r="AE4955">
        <v>-1.47488999999999</v>
      </c>
      <c r="AF4955">
        <v>0.87519207905237095</v>
      </c>
      <c r="AG4955">
        <v>-1.1601569999999899</v>
      </c>
      <c r="AH4955">
        <v>23.4462728684633</v>
      </c>
      <c r="AI4955">
        <v>92.830803044099298</v>
      </c>
      <c r="AJ4955">
        <v>87.862281036060693</v>
      </c>
      <c r="AK4955">
        <v>23.4912672468372</v>
      </c>
      <c r="AL4955">
        <v>85.986726731726307</v>
      </c>
      <c r="AM4955">
        <v>86.122252680231995</v>
      </c>
      <c r="AN4955">
        <v>1.00000000304979</v>
      </c>
    </row>
    <row r="4956" spans="1:40" x14ac:dyDescent="0.25">
      <c r="A4956" t="str">
        <f>"20190312154659779"</f>
        <v>20190312154659779</v>
      </c>
      <c r="B4956" t="str">
        <f>"1552376819772390"</f>
        <v>1552376819772390</v>
      </c>
      <c r="C4956" t="s">
        <v>40</v>
      </c>
      <c r="D4956">
        <v>4.0448360000000001</v>
      </c>
      <c r="E4956">
        <v>0.48475390000000002</v>
      </c>
      <c r="F4956" t="s">
        <v>43</v>
      </c>
      <c r="G4956">
        <v>-311.18380000000002</v>
      </c>
      <c r="H4956">
        <v>-0.05</v>
      </c>
      <c r="I4956">
        <v>16.435870000000001</v>
      </c>
      <c r="J4956">
        <v>-333.93380000000002</v>
      </c>
      <c r="K4956">
        <v>1.110179</v>
      </c>
      <c r="L4956">
        <v>17.719760000000001</v>
      </c>
      <c r="M4956">
        <v>0.99958320000000001</v>
      </c>
      <c r="N4956">
        <v>0</v>
      </c>
      <c r="O4956">
        <v>-2.5503209999999998E-2</v>
      </c>
      <c r="P4956">
        <v>0.99415390000000003</v>
      </c>
      <c r="Q4956">
        <v>5.5598590000000003E-2</v>
      </c>
      <c r="R4956">
        <v>-9.2558779999999993E-2</v>
      </c>
      <c r="S4956">
        <v>3.0107119999999998</v>
      </c>
      <c r="T4956">
        <v>-0.15217999999999901</v>
      </c>
      <c r="U4956">
        <v>-0.1690979</v>
      </c>
      <c r="V4956">
        <v>6.7176219999999995E-2</v>
      </c>
      <c r="W4956">
        <v>6.9065210000000002E-2</v>
      </c>
      <c r="X4956">
        <v>0.99534789999999995</v>
      </c>
      <c r="Y4956">
        <v>3.0586929999999998E-2</v>
      </c>
      <c r="Z4956">
        <v>5.1511169999999998E-4</v>
      </c>
      <c r="AA4956">
        <v>0.99953199999999998</v>
      </c>
      <c r="AB4956">
        <v>20</v>
      </c>
      <c r="AC4956">
        <v>22.75</v>
      </c>
      <c r="AD4956">
        <v>-1.1601790000000001</v>
      </c>
      <c r="AE4956">
        <v>-1.28388999999999</v>
      </c>
      <c r="AF4956">
        <v>0.70140286484021697</v>
      </c>
      <c r="AG4956">
        <v>-1.1601790000000001</v>
      </c>
      <c r="AH4956">
        <v>22.716454591184402</v>
      </c>
      <c r="AI4956">
        <v>92.922290236760603</v>
      </c>
      <c r="AJ4956">
        <v>88.231473133621293</v>
      </c>
      <c r="AK4956">
        <v>22.756873477791</v>
      </c>
      <c r="AL4956">
        <v>86.039702429490802</v>
      </c>
      <c r="AM4956">
        <v>86.138952049195396</v>
      </c>
      <c r="AN4956">
        <v>1.0000000449001201</v>
      </c>
    </row>
    <row r="4957" spans="1:40" x14ac:dyDescent="0.25">
      <c r="A4957" t="str">
        <f>"20190312154659801"</f>
        <v>20190312154659801</v>
      </c>
      <c r="B4957" t="str">
        <f>"1552376819792885"</f>
        <v>1552376819792885</v>
      </c>
      <c r="C4957" t="s">
        <v>40</v>
      </c>
      <c r="D4957">
        <v>4.0336660000000002</v>
      </c>
      <c r="E4957">
        <v>0.4837417</v>
      </c>
      <c r="F4957" t="s">
        <v>43</v>
      </c>
      <c r="G4957">
        <v>-312.00659999999999</v>
      </c>
      <c r="H4957">
        <v>-0.05</v>
      </c>
      <c r="I4957">
        <v>16.62378</v>
      </c>
      <c r="J4957">
        <v>-333.72840000000002</v>
      </c>
      <c r="K4957">
        <v>1.1101890000000001</v>
      </c>
      <c r="L4957">
        <v>17.714449999999999</v>
      </c>
      <c r="M4957">
        <v>0.99958250000000004</v>
      </c>
      <c r="N4957">
        <v>0</v>
      </c>
      <c r="O4957">
        <v>-2.553474E-2</v>
      </c>
      <c r="P4957">
        <v>0.99423430000000002</v>
      </c>
      <c r="Q4957">
        <v>5.4686270000000002E-2</v>
      </c>
      <c r="R4957">
        <v>-9.2235750000000005E-2</v>
      </c>
      <c r="S4957">
        <v>3.012543</v>
      </c>
      <c r="T4957">
        <v>-0.15939500000000001</v>
      </c>
      <c r="U4957">
        <v>-0.1505737</v>
      </c>
      <c r="V4957">
        <v>6.6816070000000005E-2</v>
      </c>
      <c r="W4957">
        <v>6.8156129999999995E-2</v>
      </c>
      <c r="X4957">
        <v>0.99543479999999995</v>
      </c>
      <c r="Y4957">
        <v>2.4400020000000001E-2</v>
      </c>
      <c r="Z4957">
        <v>7.0441320000000005E-4</v>
      </c>
      <c r="AA4957">
        <v>0.99970199999999998</v>
      </c>
      <c r="AB4957">
        <v>20</v>
      </c>
      <c r="AC4957">
        <v>21.721800000000002</v>
      </c>
      <c r="AD4957">
        <v>-1.1601889999999999</v>
      </c>
      <c r="AE4957">
        <v>-1.09066999999999</v>
      </c>
      <c r="AF4957">
        <v>0.53408330490896505</v>
      </c>
      <c r="AG4957">
        <v>-1.1601889999999999</v>
      </c>
      <c r="AH4957">
        <v>21.6808736368999</v>
      </c>
      <c r="AI4957">
        <v>93.062168542724905</v>
      </c>
      <c r="AJ4957">
        <v>88.588869974972198</v>
      </c>
      <c r="AK4957">
        <v>21.7184613900599</v>
      </c>
      <c r="AL4957">
        <v>86.091911900429096</v>
      </c>
      <c r="AM4957">
        <v>86.159924326768504</v>
      </c>
      <c r="AN4957">
        <v>1.00000004315893</v>
      </c>
    </row>
    <row r="4958" spans="1:40" x14ac:dyDescent="0.25">
      <c r="A4958" t="str">
        <f>"20190312154659823"</f>
        <v>20190312154659823</v>
      </c>
      <c r="B4958" t="str">
        <f>"1552376819812409"</f>
        <v>1552376819812409</v>
      </c>
      <c r="C4958" t="s">
        <v>40</v>
      </c>
      <c r="D4958">
        <v>4.1124489999999998</v>
      </c>
      <c r="E4958">
        <v>0.48338569999999997</v>
      </c>
      <c r="F4958" t="s">
        <v>43</v>
      </c>
      <c r="G4958">
        <v>-312.9051</v>
      </c>
      <c r="H4958">
        <v>-0.05</v>
      </c>
      <c r="I4958">
        <v>16.73535</v>
      </c>
      <c r="J4958">
        <v>-333.5308</v>
      </c>
      <c r="K4958">
        <v>1.110201</v>
      </c>
      <c r="L4958">
        <v>17.709409999999998</v>
      </c>
      <c r="M4958">
        <v>0.99958239999999998</v>
      </c>
      <c r="N4958">
        <v>0</v>
      </c>
      <c r="O4958">
        <v>-2.5536090000000001E-2</v>
      </c>
      <c r="P4958">
        <v>0.99424760000000001</v>
      </c>
      <c r="Q4958">
        <v>5.3507720000000002E-2</v>
      </c>
      <c r="R4958">
        <v>-9.2782589999999998E-2</v>
      </c>
      <c r="S4958">
        <v>3.0135190000000001</v>
      </c>
      <c r="T4958">
        <v>-0.16790089999999999</v>
      </c>
      <c r="U4958">
        <v>-0.14169309999999999</v>
      </c>
      <c r="V4958">
        <v>6.7357739999999999E-2</v>
      </c>
      <c r="W4958">
        <v>6.6979120000000003E-2</v>
      </c>
      <c r="X4958">
        <v>0.99547819999999998</v>
      </c>
      <c r="Y4958">
        <v>2.1448020000000002E-2</v>
      </c>
      <c r="Z4958">
        <v>8.2397579999999996E-4</v>
      </c>
      <c r="AA4958">
        <v>0.99976960000000004</v>
      </c>
      <c r="AB4958">
        <v>20</v>
      </c>
      <c r="AC4958">
        <v>20.625699999999899</v>
      </c>
      <c r="AD4958">
        <v>-1.160201</v>
      </c>
      <c r="AE4958">
        <v>-0.97406000000000104</v>
      </c>
      <c r="AF4958">
        <v>0.44558764524306599</v>
      </c>
      <c r="AG4958">
        <v>-1.160201</v>
      </c>
      <c r="AH4958">
        <v>20.5788801359306</v>
      </c>
      <c r="AI4958">
        <v>93.226064595447198</v>
      </c>
      <c r="AJ4958">
        <v>88.759587374433096</v>
      </c>
      <c r="AK4958">
        <v>20.616375102306201</v>
      </c>
      <c r="AL4958">
        <v>86.159504129402904</v>
      </c>
      <c r="AM4958">
        <v>86.129055816229396</v>
      </c>
      <c r="AN4958">
        <v>1.00000005716455</v>
      </c>
    </row>
    <row r="4959" spans="1:40" x14ac:dyDescent="0.25">
      <c r="A4959" t="str">
        <f>"20190312154659956"</f>
        <v>20190312154659956</v>
      </c>
      <c r="B4959" t="str">
        <f>"1552376819952951"</f>
        <v>1552376819952951</v>
      </c>
      <c r="C4959" t="s">
        <v>40</v>
      </c>
      <c r="D4959">
        <v>7.5973039999999896</v>
      </c>
      <c r="E4959">
        <v>0.48338569999999997</v>
      </c>
      <c r="F4959" t="s">
        <v>43</v>
      </c>
      <c r="G4959">
        <v>-313.45830000000001</v>
      </c>
      <c r="H4959">
        <v>-0.05</v>
      </c>
      <c r="I4959">
        <v>16.770309999999998</v>
      </c>
      <c r="J4959">
        <v>-332.33069999999998</v>
      </c>
      <c r="K4959">
        <v>1.1102069999999999</v>
      </c>
      <c r="L4959">
        <v>17.678989999999999</v>
      </c>
      <c r="M4959">
        <v>0.99958740000000001</v>
      </c>
      <c r="N4959">
        <v>0</v>
      </c>
      <c r="O4959">
        <v>-2.5347640000000001E-2</v>
      </c>
      <c r="P4959">
        <v>0.99392789999999998</v>
      </c>
      <c r="Q4959">
        <v>5.040907E-2</v>
      </c>
      <c r="R4959">
        <v>-9.7809779999999999E-2</v>
      </c>
      <c r="S4959">
        <v>3.0135800000000001</v>
      </c>
      <c r="T4959">
        <v>-0.17418629999999999</v>
      </c>
      <c r="U4959">
        <v>-0.14099120000000001</v>
      </c>
      <c r="V4959">
        <v>7.2579030000000003E-2</v>
      </c>
      <c r="W4959">
        <v>6.3864920000000006E-2</v>
      </c>
      <c r="X4959">
        <v>0.99531579999999997</v>
      </c>
      <c r="Y4959">
        <v>2.1403450000000001E-2</v>
      </c>
      <c r="Z4959">
        <v>8.4517309999999999E-4</v>
      </c>
      <c r="AA4959">
        <v>0.99977059999999995</v>
      </c>
      <c r="AB4959">
        <v>20</v>
      </c>
      <c r="AC4959">
        <v>18.872399999999899</v>
      </c>
      <c r="AD4959">
        <v>-1.160207</v>
      </c>
      <c r="AE4959">
        <v>-0.90867999999999605</v>
      </c>
      <c r="AF4959">
        <v>0.42835835000790301</v>
      </c>
      <c r="AG4959">
        <v>-1.160207</v>
      </c>
      <c r="AH4959">
        <v>18.8184133252438</v>
      </c>
      <c r="AI4959">
        <v>93.527065744860906</v>
      </c>
      <c r="AJ4959">
        <v>88.696017165226095</v>
      </c>
      <c r="AK4959">
        <v>18.859009815962899</v>
      </c>
      <c r="AL4959">
        <v>86.338317547764106</v>
      </c>
      <c r="AM4959">
        <v>85.829339036039102</v>
      </c>
      <c r="AN4959">
        <v>0.99999999266599304</v>
      </c>
    </row>
    <row r="4960" spans="1:40" x14ac:dyDescent="0.25">
      <c r="A4960" t="str">
        <f>"20190312154659979"</f>
        <v>20190312154659979</v>
      </c>
      <c r="B4960" t="str">
        <f>"1552376819972473"</f>
        <v>1552376819972473</v>
      </c>
      <c r="C4960" t="s">
        <v>40</v>
      </c>
      <c r="D4960">
        <v>3.8885589999999999</v>
      </c>
      <c r="E4960">
        <v>0.60590390000000005</v>
      </c>
      <c r="F4960" t="s">
        <v>43</v>
      </c>
      <c r="G4960">
        <v>-313.3075</v>
      </c>
      <c r="H4960">
        <v>-0.05</v>
      </c>
      <c r="I4960">
        <v>16.689910000000001</v>
      </c>
      <c r="J4960">
        <v>-332.12650000000002</v>
      </c>
      <c r="K4960">
        <v>1.110209</v>
      </c>
      <c r="L4960">
        <v>17.673829999999999</v>
      </c>
      <c r="M4960">
        <v>0.99958849999999999</v>
      </c>
      <c r="N4960">
        <v>0</v>
      </c>
      <c r="O4960">
        <v>-2.5310389999999999E-2</v>
      </c>
      <c r="P4960">
        <v>0.99390179999999995</v>
      </c>
      <c r="Q4960">
        <v>4.9598839999999998E-2</v>
      </c>
      <c r="R4960">
        <v>-9.8484520000000006E-2</v>
      </c>
      <c r="S4960">
        <v>3.012238</v>
      </c>
      <c r="T4960">
        <v>-0.18371370000000001</v>
      </c>
      <c r="U4960">
        <v>-0.15661620000000001</v>
      </c>
      <c r="V4960">
        <v>7.3291120000000001E-2</v>
      </c>
      <c r="W4960">
        <v>6.3053070000000003E-2</v>
      </c>
      <c r="X4960">
        <v>0.99531539999999996</v>
      </c>
      <c r="Y4960">
        <v>2.6625550000000001E-2</v>
      </c>
      <c r="Z4960">
        <v>7.3031630000000005E-4</v>
      </c>
      <c r="AA4960">
        <v>0.99964520000000001</v>
      </c>
      <c r="AB4960">
        <v>20</v>
      </c>
      <c r="AC4960">
        <v>18.818999999999999</v>
      </c>
      <c r="AD4960">
        <v>-1.160209</v>
      </c>
      <c r="AE4960">
        <v>-0.98391999999999702</v>
      </c>
      <c r="AF4960">
        <v>0.50532966309233096</v>
      </c>
      <c r="AG4960">
        <v>-1.160209</v>
      </c>
      <c r="AH4960">
        <v>18.766740834931198</v>
      </c>
      <c r="AI4960">
        <v>93.536393929751497</v>
      </c>
      <c r="AJ4960">
        <v>88.4575764821154</v>
      </c>
      <c r="AK4960">
        <v>18.809359493548801</v>
      </c>
      <c r="AL4960">
        <v>86.384927140853193</v>
      </c>
      <c r="AM4960">
        <v>85.788564524436097</v>
      </c>
      <c r="AN4960">
        <v>1.0000000116922101</v>
      </c>
    </row>
    <row r="4961" spans="1:40" x14ac:dyDescent="0.25">
      <c r="A4961" t="str">
        <f>"20190312154700002"</f>
        <v>20190312154700002</v>
      </c>
      <c r="B4961" t="str">
        <f>"1552376819992965"</f>
        <v>1552376819992965</v>
      </c>
      <c r="C4961" t="s">
        <v>40</v>
      </c>
      <c r="D4961">
        <v>4.2101810000000004</v>
      </c>
      <c r="E4961">
        <v>0.60651769999999905</v>
      </c>
      <c r="F4961" t="s">
        <v>41</v>
      </c>
      <c r="G4961">
        <v>-331.44189999999998</v>
      </c>
      <c r="H4961">
        <v>0.8715849</v>
      </c>
      <c r="I4961">
        <v>17.41499</v>
      </c>
      <c r="J4961">
        <v>-331.92790000000002</v>
      </c>
      <c r="K4961">
        <v>1.1102019999999999</v>
      </c>
      <c r="L4961">
        <v>17.668879999999898</v>
      </c>
      <c r="M4961">
        <v>0.99958939999999996</v>
      </c>
      <c r="N4961">
        <v>0</v>
      </c>
      <c r="O4961">
        <v>-2.5270290000000001E-2</v>
      </c>
      <c r="P4961">
        <v>0.99381810000000004</v>
      </c>
      <c r="Q4961">
        <v>5.0142029999999997E-2</v>
      </c>
      <c r="R4961">
        <v>-9.9054500000000004E-2</v>
      </c>
      <c r="S4961">
        <v>2.959076</v>
      </c>
      <c r="T4961">
        <v>-1.0315209999999999</v>
      </c>
      <c r="U4961">
        <v>-1.1184080000000001</v>
      </c>
      <c r="V4961">
        <v>7.3902629999999997E-2</v>
      </c>
      <c r="W4961">
        <v>6.3593659999999996E-2</v>
      </c>
      <c r="X4961">
        <v>0.9952358</v>
      </c>
      <c r="Y4961">
        <v>0.3148263</v>
      </c>
      <c r="Z4961">
        <v>-4.337535E-2</v>
      </c>
      <c r="AA4961">
        <v>0.94815769999999999</v>
      </c>
      <c r="AB4961">
        <v>20</v>
      </c>
      <c r="AC4961">
        <v>0.48600000000004601</v>
      </c>
      <c r="AD4961">
        <v>-0.2386171</v>
      </c>
      <c r="AE4961">
        <v>-0.25388999999999801</v>
      </c>
      <c r="AF4961">
        <v>0.2030692616882</v>
      </c>
      <c r="AG4961">
        <v>-0.2386171</v>
      </c>
      <c r="AH4961">
        <v>0.41388069347440398</v>
      </c>
      <c r="AI4961">
        <v>117.36569219125001</v>
      </c>
      <c r="AJ4961">
        <v>63.865267159711301</v>
      </c>
      <c r="AK4961">
        <v>0.51910738184488803</v>
      </c>
      <c r="AL4961">
        <v>86.353891376861299</v>
      </c>
      <c r="AM4961">
        <v>85.753215707381401</v>
      </c>
      <c r="AN4961">
        <v>1.0000000249573699</v>
      </c>
    </row>
    <row r="4962" spans="1:40" x14ac:dyDescent="0.25">
      <c r="A4962" t="str">
        <f>"20190312154700025"</f>
        <v>20190312154700025</v>
      </c>
      <c r="B4962" t="str">
        <f>"1552376820022245"</f>
        <v>1552376820022245</v>
      </c>
      <c r="C4962" t="s">
        <v>40</v>
      </c>
      <c r="D4962">
        <v>4.2679999999999998</v>
      </c>
      <c r="E4962">
        <v>0.60252609999999995</v>
      </c>
      <c r="F4962" t="s">
        <v>41</v>
      </c>
      <c r="G4962">
        <v>-331.24220000000003</v>
      </c>
      <c r="H4962">
        <v>0.91480300000000003</v>
      </c>
      <c r="I4962">
        <v>17.40635</v>
      </c>
      <c r="J4962">
        <v>-331.72699999999998</v>
      </c>
      <c r="K4962">
        <v>1.1102099999999999</v>
      </c>
      <c r="L4962">
        <v>17.66385</v>
      </c>
      <c r="M4962">
        <v>0.9995906</v>
      </c>
      <c r="N4962">
        <v>0</v>
      </c>
      <c r="O4962">
        <v>-2.5223659999999998E-2</v>
      </c>
      <c r="P4962">
        <v>0.99369479999999999</v>
      </c>
      <c r="Q4962">
        <v>5.1276700000000001E-2</v>
      </c>
      <c r="R4962">
        <v>-9.9706890000000006E-2</v>
      </c>
      <c r="S4962">
        <v>2.9487000000000001</v>
      </c>
      <c r="T4962">
        <v>-0.84021069999999998</v>
      </c>
      <c r="U4962">
        <v>-1.1271059999999999</v>
      </c>
      <c r="V4962">
        <v>7.4604240000000002E-2</v>
      </c>
      <c r="W4962">
        <v>6.4724770000000001E-2</v>
      </c>
      <c r="X4962">
        <v>0.99511050000000001</v>
      </c>
      <c r="Y4962">
        <v>0.32302439999999999</v>
      </c>
      <c r="Z4962">
        <v>-3.6855409999999998E-2</v>
      </c>
      <c r="AA4962">
        <v>0.94567279999999998</v>
      </c>
      <c r="AB4962">
        <v>20</v>
      </c>
      <c r="AC4962">
        <v>0.48479999999994999</v>
      </c>
      <c r="AD4962">
        <v>-0.195407</v>
      </c>
      <c r="AE4962">
        <v>-0.25750000000000001</v>
      </c>
      <c r="AF4962">
        <v>0.21761364134890401</v>
      </c>
      <c r="AG4962">
        <v>-0.195407</v>
      </c>
      <c r="AH4962">
        <v>0.43590570351754498</v>
      </c>
      <c r="AI4962">
        <v>111.85458228508401</v>
      </c>
      <c r="AJ4962">
        <v>63.470628785244998</v>
      </c>
      <c r="AK4962">
        <v>0.52493178119566697</v>
      </c>
      <c r="AL4962">
        <v>86.288949644186303</v>
      </c>
      <c r="AM4962">
        <v>85.712509796472105</v>
      </c>
      <c r="AN4962">
        <v>0.99999999784389004</v>
      </c>
    </row>
    <row r="4963" spans="1:40" x14ac:dyDescent="0.25">
      <c r="A4963" t="str">
        <f>"20190312154700046"</f>
        <v>20190312154700046</v>
      </c>
      <c r="B4963" t="str">
        <f>"1552376820042741"</f>
        <v>1552376820042741</v>
      </c>
      <c r="C4963" t="s">
        <v>40</v>
      </c>
      <c r="D4963">
        <v>4.039237</v>
      </c>
      <c r="E4963">
        <v>0.5899605</v>
      </c>
      <c r="F4963" t="s">
        <v>42</v>
      </c>
      <c r="G4963">
        <v>-326.66090000000003</v>
      </c>
      <c r="H4963" s="1">
        <v>-2.289936E-6</v>
      </c>
      <c r="I4963">
        <v>15.769729999999999</v>
      </c>
      <c r="J4963">
        <v>-331.53160000000003</v>
      </c>
      <c r="K4963">
        <v>1.110215</v>
      </c>
      <c r="L4963">
        <v>17.658999999999999</v>
      </c>
      <c r="M4963">
        <v>0.99959209999999998</v>
      </c>
      <c r="N4963">
        <v>0</v>
      </c>
      <c r="O4963">
        <v>-2.5172900000000002E-2</v>
      </c>
      <c r="P4963">
        <v>0.99362640000000002</v>
      </c>
      <c r="Q4963">
        <v>5.2594870000000002E-2</v>
      </c>
      <c r="R4963">
        <v>-9.9704050000000002E-2</v>
      </c>
      <c r="S4963">
        <v>2.9419249999999999</v>
      </c>
      <c r="T4963">
        <v>-0.64471859999999903</v>
      </c>
      <c r="U4963">
        <v>-1.099945</v>
      </c>
      <c r="V4963">
        <v>7.4653960000000005E-2</v>
      </c>
      <c r="W4963">
        <v>6.6039459999999994E-2</v>
      </c>
      <c r="X4963">
        <v>0.99502040000000003</v>
      </c>
      <c r="Y4963">
        <v>0.3203761</v>
      </c>
      <c r="Z4963">
        <v>-2.8321869999999999E-2</v>
      </c>
      <c r="AA4963">
        <v>0.94686700000000001</v>
      </c>
      <c r="AB4963">
        <v>20</v>
      </c>
      <c r="AC4963">
        <v>4.8706999999999896</v>
      </c>
      <c r="AD4963">
        <v>-1.1102172899360001</v>
      </c>
      <c r="AE4963">
        <v>-1.88927</v>
      </c>
      <c r="AF4963">
        <v>1.68974002014066</v>
      </c>
      <c r="AG4963">
        <v>-1.1102172899360001</v>
      </c>
      <c r="AH4963">
        <v>4.7042693796761803</v>
      </c>
      <c r="AI4963">
        <v>102.52259558301699</v>
      </c>
      <c r="AJ4963">
        <v>70.242073564417893</v>
      </c>
      <c r="AK4963">
        <v>5.1203470744761699</v>
      </c>
      <c r="AL4963">
        <v>86.2134619760254</v>
      </c>
      <c r="AM4963">
        <v>85.709276020883905</v>
      </c>
      <c r="AN4963">
        <v>1.0000000102184601</v>
      </c>
    </row>
    <row r="4964" spans="1:40" x14ac:dyDescent="0.25">
      <c r="A4964" t="str">
        <f>"20190312154700070"</f>
        <v>20190312154700070</v>
      </c>
      <c r="B4964" t="str">
        <f>"1552376820062261"</f>
        <v>1552376820062261</v>
      </c>
      <c r="C4964" t="s">
        <v>40</v>
      </c>
      <c r="D4964">
        <v>4.1228099999999896</v>
      </c>
      <c r="E4964">
        <v>0.58451129999999996</v>
      </c>
      <c r="F4964" t="s">
        <v>85</v>
      </c>
      <c r="G4964">
        <v>-279.02</v>
      </c>
      <c r="H4964">
        <v>1.1890810000000001</v>
      </c>
      <c r="I4964">
        <v>-0.52794839999999998</v>
      </c>
      <c r="J4964">
        <v>-331.31819999999999</v>
      </c>
      <c r="K4964">
        <v>1.110217</v>
      </c>
      <c r="L4964">
        <v>17.653690000000001</v>
      </c>
      <c r="M4964">
        <v>0.99959359999999997</v>
      </c>
      <c r="N4964">
        <v>0</v>
      </c>
      <c r="O4964">
        <v>-2.5113920000000001E-2</v>
      </c>
      <c r="P4964">
        <v>0.99363690000000005</v>
      </c>
      <c r="Q4964">
        <v>5.3003740000000001E-2</v>
      </c>
      <c r="R4964">
        <v>-9.938089E-2</v>
      </c>
      <c r="S4964">
        <v>2.9176329999999999</v>
      </c>
      <c r="T4964">
        <v>4.3818950000000002E-3</v>
      </c>
      <c r="U4964">
        <v>-1.0104979999999999</v>
      </c>
      <c r="V4964">
        <v>7.4389930000000007E-2</v>
      </c>
      <c r="W4964">
        <v>6.6445309999999994E-2</v>
      </c>
      <c r="X4964">
        <v>0.99501309999999998</v>
      </c>
      <c r="Y4964">
        <v>0.30343249999999999</v>
      </c>
      <c r="Z4964">
        <v>1.8479419999999999E-4</v>
      </c>
      <c r="AA4964">
        <v>0.9528529</v>
      </c>
      <c r="AB4964">
        <v>20</v>
      </c>
      <c r="AC4964">
        <v>52.298200000000001</v>
      </c>
      <c r="AD4964">
        <v>7.8864000000000004E-2</v>
      </c>
      <c r="AE4964">
        <v>-18.181638400000001</v>
      </c>
      <c r="AF4964">
        <v>16.862336281903598</v>
      </c>
      <c r="AG4964">
        <v>7.8864000000000004E-2</v>
      </c>
      <c r="AH4964">
        <v>52.738248683865201</v>
      </c>
      <c r="AI4964">
        <v>89.918390812007203</v>
      </c>
      <c r="AJ4964">
        <v>72.269031156974705</v>
      </c>
      <c r="AK4964">
        <v>55.368470076892201</v>
      </c>
      <c r="AL4964">
        <v>86.190157086145106</v>
      </c>
      <c r="AM4964">
        <v>85.724363476315006</v>
      </c>
      <c r="AN4964">
        <v>0.99999995503900396</v>
      </c>
    </row>
    <row r="4965" spans="1:40" x14ac:dyDescent="0.25">
      <c r="A4965" t="str">
        <f>"20190312154700092"</f>
        <v>20190312154700092</v>
      </c>
      <c r="B4965" t="str">
        <f>"1552376820082757"</f>
        <v>1552376820082757</v>
      </c>
      <c r="C4965" t="s">
        <v>40</v>
      </c>
      <c r="D4965">
        <v>4.1044010000000002</v>
      </c>
      <c r="E4965">
        <v>0.58403050000000001</v>
      </c>
      <c r="F4965" t="s">
        <v>85</v>
      </c>
      <c r="G4965">
        <v>-279.02</v>
      </c>
      <c r="H4965">
        <v>1.134395</v>
      </c>
      <c r="I4965">
        <v>0.36348340000000001</v>
      </c>
      <c r="J4965">
        <v>-331.12110000000001</v>
      </c>
      <c r="K4965">
        <v>1.110204</v>
      </c>
      <c r="L4965">
        <v>17.648800000000001</v>
      </c>
      <c r="M4965">
        <v>0.99959480000000001</v>
      </c>
      <c r="N4965">
        <v>0</v>
      </c>
      <c r="O4965">
        <v>-2.505947E-2</v>
      </c>
      <c r="P4965">
        <v>0.99368199999999995</v>
      </c>
      <c r="Q4965">
        <v>5.2997460000000003E-2</v>
      </c>
      <c r="R4965">
        <v>-9.8933759999999996E-2</v>
      </c>
      <c r="S4965">
        <v>2.9225460000000001</v>
      </c>
      <c r="T4965">
        <v>1.3511179999999999E-3</v>
      </c>
      <c r="U4965">
        <v>-0.96621699999999999</v>
      </c>
      <c r="V4965">
        <v>7.3996110000000004E-2</v>
      </c>
      <c r="W4965">
        <v>6.6436750000000003E-2</v>
      </c>
      <c r="X4965">
        <v>0.99504309999999996</v>
      </c>
      <c r="Y4965">
        <v>0.29000429999999999</v>
      </c>
      <c r="Z4965" s="1">
        <v>5.4024090000000003E-5</v>
      </c>
      <c r="AA4965">
        <v>0.95702529999999997</v>
      </c>
      <c r="AB4965">
        <v>20</v>
      </c>
      <c r="AC4965">
        <v>52.101100000000002</v>
      </c>
      <c r="AD4965">
        <v>2.4190999999999799E-2</v>
      </c>
      <c r="AE4965">
        <v>-17.285316600000002</v>
      </c>
      <c r="AF4965">
        <v>15.9741393151709</v>
      </c>
      <c r="AG4965">
        <v>2.4190999999999799E-2</v>
      </c>
      <c r="AH4965">
        <v>52.517925453154803</v>
      </c>
      <c r="AI4965">
        <v>89.974750380672802</v>
      </c>
      <c r="AJ4965">
        <v>73.082050069191297</v>
      </c>
      <c r="AK4965">
        <v>54.8935898440619</v>
      </c>
      <c r="AL4965">
        <v>86.190648866082796</v>
      </c>
      <c r="AM4965">
        <v>85.747043160170605</v>
      </c>
      <c r="AN4965">
        <v>1.00000001845165</v>
      </c>
    </row>
    <row r="4966" spans="1:40" x14ac:dyDescent="0.25">
      <c r="A4966" t="str">
        <f>"20190312154700114"</f>
        <v>20190312154700114</v>
      </c>
      <c r="B4966" t="str">
        <f>"1552376820102277"</f>
        <v>1552376820102277</v>
      </c>
      <c r="C4966" t="s">
        <v>40</v>
      </c>
      <c r="D4966">
        <v>4.1888389999999998</v>
      </c>
      <c r="E4966">
        <v>0.58407100000000001</v>
      </c>
      <c r="F4966" t="s">
        <v>85</v>
      </c>
      <c r="G4966">
        <v>-279.02</v>
      </c>
      <c r="H4966">
        <v>0.52432299999999998</v>
      </c>
      <c r="I4966">
        <v>0.54286959999999995</v>
      </c>
      <c r="J4966">
        <v>-330.92450000000002</v>
      </c>
      <c r="K4966">
        <v>1.110198</v>
      </c>
      <c r="L4966">
        <v>17.643920000000001</v>
      </c>
      <c r="M4966">
        <v>0.99959620000000005</v>
      </c>
      <c r="N4966">
        <v>0</v>
      </c>
      <c r="O4966">
        <v>-2.5007149999999999E-2</v>
      </c>
      <c r="P4966">
        <v>0.99370990000000003</v>
      </c>
      <c r="Q4966">
        <v>5.2007009999999999E-2</v>
      </c>
      <c r="R4966">
        <v>-9.9177810000000005E-2</v>
      </c>
      <c r="S4966">
        <v>2.9252319999999998</v>
      </c>
      <c r="T4966">
        <v>-3.2894489999999998E-2</v>
      </c>
      <c r="U4966">
        <v>-0.96041869999999996</v>
      </c>
      <c r="V4966">
        <v>7.4291899999999994E-2</v>
      </c>
      <c r="W4966">
        <v>6.5444699999999995E-2</v>
      </c>
      <c r="X4966">
        <v>0.99508680000000005</v>
      </c>
      <c r="Y4966">
        <v>0.28806559999999998</v>
      </c>
      <c r="Z4966">
        <v>-1.304438E-3</v>
      </c>
      <c r="AA4966">
        <v>0.95760979999999996</v>
      </c>
      <c r="AB4966">
        <v>20</v>
      </c>
      <c r="AC4966">
        <v>51.904499999999999</v>
      </c>
      <c r="AD4966">
        <v>-0.58587500000000003</v>
      </c>
      <c r="AE4966">
        <v>-17.101050399999998</v>
      </c>
      <c r="AF4966">
        <v>15.7957841988132</v>
      </c>
      <c r="AG4966">
        <v>-0.58587500000000003</v>
      </c>
      <c r="AH4966">
        <v>52.3099404117457</v>
      </c>
      <c r="AI4966">
        <v>90.6142963493607</v>
      </c>
      <c r="AJ4966">
        <v>73.1975085197829</v>
      </c>
      <c r="AK4966">
        <v>54.645950571396298</v>
      </c>
      <c r="AL4966">
        <v>86.247613121647404</v>
      </c>
      <c r="AM4966">
        <v>85.730292081568294</v>
      </c>
      <c r="AN4966">
        <v>1.00000001734896</v>
      </c>
    </row>
    <row r="4967" spans="1:40" x14ac:dyDescent="0.25">
      <c r="A4967" t="str">
        <f>"20190312154700136"</f>
        <v>20190312154700136</v>
      </c>
      <c r="B4967" t="str">
        <f>"1552376820122775"</f>
        <v>1552376820122775</v>
      </c>
      <c r="C4967" t="s">
        <v>40</v>
      </c>
      <c r="D4967">
        <v>4.1143970000000003</v>
      </c>
      <c r="E4967">
        <v>0.58365459999999902</v>
      </c>
      <c r="F4967" t="s">
        <v>43</v>
      </c>
      <c r="G4967">
        <v>-272.99459999999999</v>
      </c>
      <c r="H4967">
        <v>-0.05</v>
      </c>
      <c r="I4967">
        <v>-1.3845209999999999</v>
      </c>
      <c r="J4967">
        <v>-330.73430000000002</v>
      </c>
      <c r="K4967">
        <v>1.1101859999999999</v>
      </c>
      <c r="L4967">
        <v>17.639189999999999</v>
      </c>
      <c r="M4967">
        <v>0.99959750000000003</v>
      </c>
      <c r="N4967">
        <v>0</v>
      </c>
      <c r="O4967">
        <v>-2.4958520000000001E-2</v>
      </c>
      <c r="P4967">
        <v>0.99375089999999999</v>
      </c>
      <c r="Q4967">
        <v>4.981841E-2</v>
      </c>
      <c r="R4967">
        <v>-9.9886970000000005E-2</v>
      </c>
      <c r="S4967">
        <v>2.9261170000000001</v>
      </c>
      <c r="T4967">
        <v>-5.8603170000000003E-2</v>
      </c>
      <c r="U4967">
        <v>-0.96115110000000004</v>
      </c>
      <c r="V4967">
        <v>7.5048729999999994E-2</v>
      </c>
      <c r="W4967">
        <v>6.3255329999999999E-2</v>
      </c>
      <c r="X4967">
        <v>0.99517149999999999</v>
      </c>
      <c r="Y4967">
        <v>0.28821010000000002</v>
      </c>
      <c r="Z4967">
        <v>-2.3253750000000002E-3</v>
      </c>
      <c r="AA4967">
        <v>0.95756439999999998</v>
      </c>
      <c r="AB4967">
        <v>20</v>
      </c>
      <c r="AC4967">
        <v>57.739699999999999</v>
      </c>
      <c r="AD4967">
        <v>-1.1601859999999999</v>
      </c>
      <c r="AE4967">
        <v>-19.023710999999999</v>
      </c>
      <c r="AF4967">
        <v>17.570156054086699</v>
      </c>
      <c r="AG4967">
        <v>-1.1601859999999999</v>
      </c>
      <c r="AH4967">
        <v>58.175369009752501</v>
      </c>
      <c r="AI4967">
        <v>91.093711827652001</v>
      </c>
      <c r="AJ4967">
        <v>73.194605643423401</v>
      </c>
      <c r="AK4967">
        <v>60.781822732955497</v>
      </c>
      <c r="AL4967">
        <v>86.373315025750401</v>
      </c>
      <c r="AM4967">
        <v>85.687324520175295</v>
      </c>
      <c r="AN4967">
        <v>0.999999931530133</v>
      </c>
    </row>
    <row r="4968" spans="1:40" x14ac:dyDescent="0.25">
      <c r="A4968" t="str">
        <f>"20190312154700157"</f>
        <v>20190312154700157</v>
      </c>
      <c r="B4968" t="str">
        <f>"1552376820143270"</f>
        <v>1552376820143270</v>
      </c>
      <c r="C4968" t="s">
        <v>40</v>
      </c>
      <c r="D4968">
        <v>4.2674329999999996</v>
      </c>
      <c r="E4968">
        <v>0.58136750000000004</v>
      </c>
      <c r="F4968" t="s">
        <v>43</v>
      </c>
      <c r="G4968">
        <v>-285.65589999999997</v>
      </c>
      <c r="H4968">
        <v>-0.05</v>
      </c>
      <c r="I4968">
        <v>2.8526609999999999</v>
      </c>
      <c r="J4968">
        <v>-330.54149999999998</v>
      </c>
      <c r="K4968">
        <v>1.1101799999999999</v>
      </c>
      <c r="L4968">
        <v>17.634460000000001</v>
      </c>
      <c r="M4968">
        <v>0.99959869999999995</v>
      </c>
      <c r="N4968">
        <v>0</v>
      </c>
      <c r="O4968">
        <v>-2.4910470000000001E-2</v>
      </c>
      <c r="P4968">
        <v>0.99373820000000002</v>
      </c>
      <c r="Q4968">
        <v>4.8281560000000001E-2</v>
      </c>
      <c r="R4968">
        <v>-0.1007644</v>
      </c>
      <c r="S4968">
        <v>2.9261780000000002</v>
      </c>
      <c r="T4968">
        <v>-7.5311180000000005E-2</v>
      </c>
      <c r="U4968">
        <v>-0.95983890000000005</v>
      </c>
      <c r="V4968">
        <v>7.5973979999999997E-2</v>
      </c>
      <c r="W4968">
        <v>6.1716239999999999E-2</v>
      </c>
      <c r="X4968">
        <v>0.99519800000000003</v>
      </c>
      <c r="Y4968">
        <v>0.28783160000000002</v>
      </c>
      <c r="Z4968">
        <v>-2.9847680000000001E-3</v>
      </c>
      <c r="AA4968">
        <v>0.95767639999999998</v>
      </c>
      <c r="AB4968">
        <v>20</v>
      </c>
      <c r="AC4968">
        <v>44.885599999999997</v>
      </c>
      <c r="AD4968">
        <v>-1.16018</v>
      </c>
      <c r="AE4968">
        <v>-14.781798999999999</v>
      </c>
      <c r="AF4968">
        <v>13.6507604039985</v>
      </c>
      <c r="AG4968">
        <v>-1.16018</v>
      </c>
      <c r="AH4968">
        <v>45.212673069028497</v>
      </c>
      <c r="AI4968">
        <v>91.407202920228997</v>
      </c>
      <c r="AJ4968">
        <v>73.199710116126397</v>
      </c>
      <c r="AK4968">
        <v>47.242725189034502</v>
      </c>
      <c r="AL4968">
        <v>86.461671303559697</v>
      </c>
      <c r="AM4968">
        <v>85.634475130734103</v>
      </c>
      <c r="AN4968">
        <v>0.99999999956038899</v>
      </c>
    </row>
    <row r="4969" spans="1:40" x14ac:dyDescent="0.25">
      <c r="A4969" t="str">
        <f>"20190312154700182"</f>
        <v>20190312154700182</v>
      </c>
      <c r="B4969" t="str">
        <f>"1552376820172551"</f>
        <v>1552376820172551</v>
      </c>
      <c r="C4969" t="s">
        <v>40</v>
      </c>
      <c r="D4969">
        <v>4.3044560000000001</v>
      </c>
      <c r="E4969">
        <v>0.57869749999999998</v>
      </c>
      <c r="F4969" t="s">
        <v>43</v>
      </c>
      <c r="G4969">
        <v>-296.57209999999998</v>
      </c>
      <c r="H4969">
        <v>-0.05</v>
      </c>
      <c r="I4969">
        <v>6.6827240000000003</v>
      </c>
      <c r="J4969">
        <v>-330.33150000000001</v>
      </c>
      <c r="K4969">
        <v>1.110171</v>
      </c>
      <c r="L4969">
        <v>17.629270000000002</v>
      </c>
      <c r="M4969">
        <v>0.99959989999999999</v>
      </c>
      <c r="N4969">
        <v>0</v>
      </c>
      <c r="O4969">
        <v>-2.485969E-2</v>
      </c>
      <c r="P4969">
        <v>0.9937762</v>
      </c>
      <c r="Q4969">
        <v>4.7042599999999997E-2</v>
      </c>
      <c r="R4969">
        <v>-0.1009747</v>
      </c>
      <c r="S4969">
        <v>2.9280400000000002</v>
      </c>
      <c r="T4969">
        <v>-0.1000032</v>
      </c>
      <c r="U4969">
        <v>-0.94400019999999996</v>
      </c>
      <c r="V4969">
        <v>7.6234179999999999E-2</v>
      </c>
      <c r="W4969">
        <v>6.0474970000000003E-2</v>
      </c>
      <c r="X4969">
        <v>0.99525430000000004</v>
      </c>
      <c r="Y4969">
        <v>0.28295369999999997</v>
      </c>
      <c r="Z4969">
        <v>-3.8842030000000001E-3</v>
      </c>
      <c r="AA4969">
        <v>0.95912569999999997</v>
      </c>
      <c r="AB4969">
        <v>20</v>
      </c>
      <c r="AC4969">
        <v>33.759399999999999</v>
      </c>
      <c r="AD4969">
        <v>-1.1601709999999901</v>
      </c>
      <c r="AE4969">
        <v>-10.946546</v>
      </c>
      <c r="AF4969">
        <v>10.093051748357199</v>
      </c>
      <c r="AG4969">
        <v>-1.1601709999999901</v>
      </c>
      <c r="AH4969">
        <v>33.984799244297498</v>
      </c>
      <c r="AI4969">
        <v>91.8743484101565</v>
      </c>
      <c r="AJ4969">
        <v>73.4592522927815</v>
      </c>
      <c r="AK4969">
        <v>35.470865086990202</v>
      </c>
      <c r="AL4969">
        <v>86.532923937071899</v>
      </c>
      <c r="AM4969">
        <v>85.619828756084999</v>
      </c>
      <c r="AN4969">
        <v>0.99999999693263097</v>
      </c>
    </row>
    <row r="4970" spans="1:40" x14ac:dyDescent="0.25">
      <c r="A4970" t="str">
        <f>"20190312154700194"</f>
        <v>20190312154700194</v>
      </c>
      <c r="B4970" t="str">
        <f>"1552376820183286"</f>
        <v>1552376820183286</v>
      </c>
      <c r="C4970" t="s">
        <v>40</v>
      </c>
      <c r="D4970">
        <v>4.3216960000000002</v>
      </c>
      <c r="E4970">
        <v>0.57815399999999995</v>
      </c>
      <c r="F4970" t="s">
        <v>43</v>
      </c>
      <c r="G4970">
        <v>-303.36649999999997</v>
      </c>
      <c r="H4970">
        <v>-0.05</v>
      </c>
      <c r="I4970">
        <v>9.1400450000000006</v>
      </c>
      <c r="J4970">
        <v>-330.22230000000002</v>
      </c>
      <c r="K4970">
        <v>1.110169</v>
      </c>
      <c r="L4970">
        <v>17.62659</v>
      </c>
      <c r="M4970">
        <v>0.99960059999999995</v>
      </c>
      <c r="N4970">
        <v>0</v>
      </c>
      <c r="O4970">
        <v>-2.4834910000000002E-2</v>
      </c>
      <c r="P4970">
        <v>0.99374910000000005</v>
      </c>
      <c r="Q4970">
        <v>4.6770430000000002E-2</v>
      </c>
      <c r="R4970">
        <v>-0.10136829999999999</v>
      </c>
      <c r="S4970">
        <v>2.9310299999999998</v>
      </c>
      <c r="T4970">
        <v>-0.126108199999999</v>
      </c>
      <c r="U4970">
        <v>-0.92276000000000002</v>
      </c>
      <c r="V4970">
        <v>7.6653269999999996E-2</v>
      </c>
      <c r="W4970">
        <v>6.0201280000000003E-2</v>
      </c>
      <c r="X4970">
        <v>0.99523870000000003</v>
      </c>
      <c r="Y4970">
        <v>0.27629949999999998</v>
      </c>
      <c r="Z4970">
        <v>-4.759157E-3</v>
      </c>
      <c r="AA4970">
        <v>0.96105980000000002</v>
      </c>
      <c r="AB4970">
        <v>20</v>
      </c>
      <c r="AC4970">
        <v>26.855799999999999</v>
      </c>
      <c r="AD4970">
        <v>-1.160169</v>
      </c>
      <c r="AE4970">
        <v>-8.4865449999999996</v>
      </c>
      <c r="AF4970">
        <v>7.8036637316209196</v>
      </c>
      <c r="AG4970">
        <v>-1.160169</v>
      </c>
      <c r="AH4970">
        <v>27.012462382661901</v>
      </c>
      <c r="AI4970">
        <v>92.362802138270496</v>
      </c>
      <c r="AJ4970">
        <v>73.886457476832106</v>
      </c>
      <c r="AK4970">
        <v>28.141007155386198</v>
      </c>
      <c r="AL4970">
        <v>86.548633832264798</v>
      </c>
      <c r="AM4970">
        <v>85.595774908864399</v>
      </c>
      <c r="AN4970">
        <v>0.99999999394650996</v>
      </c>
    </row>
    <row r="4971" spans="1:40" x14ac:dyDescent="0.25">
      <c r="A4971" t="str">
        <f>"20190312154700214"</f>
        <v>20190312154700214</v>
      </c>
      <c r="B4971" t="str">
        <f>"1552376820202806"</f>
        <v>1552376820202806</v>
      </c>
      <c r="C4971" t="s">
        <v>40</v>
      </c>
      <c r="D4971">
        <v>4.3395609999999998</v>
      </c>
      <c r="E4971">
        <v>0.57724119999999901</v>
      </c>
      <c r="F4971" t="s">
        <v>43</v>
      </c>
      <c r="G4971">
        <v>-304.68329999999997</v>
      </c>
      <c r="H4971">
        <v>-0.05</v>
      </c>
      <c r="I4971">
        <v>9.6180570000000003</v>
      </c>
      <c r="J4971">
        <v>-330.04590000000002</v>
      </c>
      <c r="K4971">
        <v>1.110168</v>
      </c>
      <c r="L4971">
        <v>17.622250000000001</v>
      </c>
      <c r="M4971">
        <v>0.99960170000000004</v>
      </c>
      <c r="N4971">
        <v>0</v>
      </c>
      <c r="O4971">
        <v>-2.479812E-2</v>
      </c>
      <c r="P4971">
        <v>0.9937416</v>
      </c>
      <c r="Q4971">
        <v>4.6420400000000001E-2</v>
      </c>
      <c r="R4971">
        <v>-0.1016025</v>
      </c>
      <c r="S4971">
        <v>2.9313660000000001</v>
      </c>
      <c r="T4971">
        <v>-0.13316430000000001</v>
      </c>
      <c r="U4971">
        <v>-0.91922000000000004</v>
      </c>
      <c r="V4971">
        <v>7.6924759999999995E-2</v>
      </c>
      <c r="W4971">
        <v>5.984859E-2</v>
      </c>
      <c r="X4971">
        <v>0.99523899999999998</v>
      </c>
      <c r="Y4971">
        <v>0.27522350000000001</v>
      </c>
      <c r="Z4971">
        <v>-5.0033029999999997E-3</v>
      </c>
      <c r="AA4971">
        <v>0.96136719999999998</v>
      </c>
      <c r="AB4971">
        <v>20</v>
      </c>
      <c r="AC4971">
        <v>25.3626</v>
      </c>
      <c r="AD4971">
        <v>-1.1601680000000001</v>
      </c>
      <c r="AE4971">
        <v>-8.0041929999999901</v>
      </c>
      <c r="AF4971">
        <v>7.3587261492714902</v>
      </c>
      <c r="AG4971">
        <v>-1.1601680000000001</v>
      </c>
      <c r="AH4971">
        <v>25.504772469252298</v>
      </c>
      <c r="AI4971">
        <v>92.502547077436205</v>
      </c>
      <c r="AJ4971">
        <v>73.905906430630694</v>
      </c>
      <c r="AK4971">
        <v>26.5704772075423</v>
      </c>
      <c r="AL4971">
        <v>86.568877900605997</v>
      </c>
      <c r="AM4971">
        <v>85.580239081665496</v>
      </c>
      <c r="AN4971">
        <v>0.99999996977352201</v>
      </c>
    </row>
    <row r="4972" spans="1:40" x14ac:dyDescent="0.25">
      <c r="A4972" t="str">
        <f>"20190312154700237"</f>
        <v>20190312154700237</v>
      </c>
      <c r="B4972" t="str">
        <f>"1552376820233063"</f>
        <v>1552376820233063</v>
      </c>
      <c r="C4972" t="s">
        <v>40</v>
      </c>
      <c r="D4972">
        <v>4.4092370000000001</v>
      </c>
      <c r="E4972">
        <v>0.57640029999999998</v>
      </c>
      <c r="F4972" t="s">
        <v>43</v>
      </c>
      <c r="G4972">
        <v>-306.78910000000002</v>
      </c>
      <c r="H4972">
        <v>-0.05</v>
      </c>
      <c r="I4972">
        <v>10.38753</v>
      </c>
      <c r="J4972">
        <v>-329.839</v>
      </c>
      <c r="K4972">
        <v>1.11016</v>
      </c>
      <c r="L4972">
        <v>17.617159999999998</v>
      </c>
      <c r="M4972">
        <v>0.99960249999999995</v>
      </c>
      <c r="N4972">
        <v>0</v>
      </c>
      <c r="O4972">
        <v>-2.4761120000000001E-2</v>
      </c>
      <c r="P4972">
        <v>0.99369510000000005</v>
      </c>
      <c r="Q4972">
        <v>4.644073E-2</v>
      </c>
      <c r="R4972">
        <v>-0.1020469</v>
      </c>
      <c r="S4972">
        <v>2.9324650000000001</v>
      </c>
      <c r="T4972">
        <v>-0.14628620000000001</v>
      </c>
      <c r="U4972">
        <v>-0.91223140000000003</v>
      </c>
      <c r="V4972">
        <v>7.740764E-2</v>
      </c>
      <c r="W4972">
        <v>5.9865250000000002E-2</v>
      </c>
      <c r="X4972">
        <v>0.99520059999999999</v>
      </c>
      <c r="Y4972">
        <v>0.27302189999999998</v>
      </c>
      <c r="Z4972">
        <v>-5.443898E-3</v>
      </c>
      <c r="AA4972">
        <v>0.96199239999999997</v>
      </c>
      <c r="AB4972">
        <v>20</v>
      </c>
      <c r="AC4972">
        <v>23.049899999999901</v>
      </c>
      <c r="AD4972">
        <v>-1.1601600000000001</v>
      </c>
      <c r="AE4972">
        <v>-7.2296300000000002</v>
      </c>
      <c r="AF4972">
        <v>6.64130185276532</v>
      </c>
      <c r="AG4972">
        <v>-1.1601600000000001</v>
      </c>
      <c r="AH4972">
        <v>23.168424459379501</v>
      </c>
      <c r="AI4972">
        <v>92.7558854891507</v>
      </c>
      <c r="AJ4972">
        <v>74.004883325256202</v>
      </c>
      <c r="AK4972">
        <v>24.129416765747099</v>
      </c>
      <c r="AL4972">
        <v>86.567921785317196</v>
      </c>
      <c r="AM4972">
        <v>85.552434951922706</v>
      </c>
      <c r="AN4972">
        <v>1.00000001256414</v>
      </c>
    </row>
    <row r="4973" spans="1:40" x14ac:dyDescent="0.25">
      <c r="A4973" t="str">
        <f>"20190312154700250"</f>
        <v>20190312154700250</v>
      </c>
      <c r="B4973" t="str">
        <f>"1552376820242822"</f>
        <v>1552376820242822</v>
      </c>
      <c r="C4973" t="s">
        <v>40</v>
      </c>
      <c r="D4973">
        <v>4.3767959999999997</v>
      </c>
      <c r="E4973">
        <v>0.57614140000000003</v>
      </c>
      <c r="F4973" t="s">
        <v>43</v>
      </c>
      <c r="G4973">
        <v>-308.53070000000002</v>
      </c>
      <c r="H4973">
        <v>-0.05</v>
      </c>
      <c r="I4973">
        <v>11.03336</v>
      </c>
      <c r="J4973">
        <v>-329.72809999999998</v>
      </c>
      <c r="K4973">
        <v>1.110161</v>
      </c>
      <c r="L4973">
        <v>17.614439999999998</v>
      </c>
      <c r="M4973">
        <v>0.99960300000000002</v>
      </c>
      <c r="N4973">
        <v>0</v>
      </c>
      <c r="O4973">
        <v>-2.4745799999999998E-2</v>
      </c>
      <c r="P4973">
        <v>0.99366650000000001</v>
      </c>
      <c r="Q4973">
        <v>4.6171759999999999E-2</v>
      </c>
      <c r="R4973">
        <v>-0.10244830000000001</v>
      </c>
      <c r="S4973">
        <v>2.9334410000000002</v>
      </c>
      <c r="T4973">
        <v>-0.159716</v>
      </c>
      <c r="U4973">
        <v>-0.90637210000000001</v>
      </c>
      <c r="V4973">
        <v>7.7825389999999994E-2</v>
      </c>
      <c r="W4973">
        <v>5.9593939999999998E-2</v>
      </c>
      <c r="X4973">
        <v>0.99518430000000002</v>
      </c>
      <c r="Y4973">
        <v>0.27114080000000002</v>
      </c>
      <c r="Z4973">
        <v>-5.8936350000000004E-3</v>
      </c>
      <c r="AA4973">
        <v>0.96252170000000004</v>
      </c>
      <c r="AB4973">
        <v>20</v>
      </c>
      <c r="AC4973">
        <v>21.197399999999899</v>
      </c>
      <c r="AD4973">
        <v>-1.160161</v>
      </c>
      <c r="AE4973">
        <v>-6.5810799999999903</v>
      </c>
      <c r="AF4973">
        <v>6.0379733972551799</v>
      </c>
      <c r="AG4973">
        <v>-1.160161</v>
      </c>
      <c r="AH4973">
        <v>21.295593513478199</v>
      </c>
      <c r="AI4973">
        <v>93.000292686721707</v>
      </c>
      <c r="AJ4973">
        <v>74.1702916891862</v>
      </c>
      <c r="AK4973">
        <v>22.1654099755267</v>
      </c>
      <c r="AL4973">
        <v>86.583494497935803</v>
      </c>
      <c r="AM4973">
        <v>85.528456676445998</v>
      </c>
      <c r="AN4973">
        <v>1.00000000998993</v>
      </c>
    </row>
    <row r="4974" spans="1:40" x14ac:dyDescent="0.25">
      <c r="A4974" t="str">
        <f>"20190312154700271"</f>
        <v>20190312154700271</v>
      </c>
      <c r="B4974" t="str">
        <f>"1552376820263318"</f>
        <v>1552376820263318</v>
      </c>
      <c r="C4974" t="s">
        <v>40</v>
      </c>
      <c r="D4974">
        <v>4.3979119999999998</v>
      </c>
      <c r="E4974">
        <v>0.57577529999999999</v>
      </c>
      <c r="F4974" t="s">
        <v>43</v>
      </c>
      <c r="G4974">
        <v>-308.93610000000001</v>
      </c>
      <c r="H4974">
        <v>-0.05</v>
      </c>
      <c r="I4974">
        <v>11.19708</v>
      </c>
      <c r="J4974">
        <v>-329.5498</v>
      </c>
      <c r="K4974">
        <v>1.1101570000000001</v>
      </c>
      <c r="L4974">
        <v>17.610050000000001</v>
      </c>
      <c r="M4974">
        <v>0.99960349999999998</v>
      </c>
      <c r="N4974">
        <v>0</v>
      </c>
      <c r="O4974">
        <v>-2.472802E-2</v>
      </c>
      <c r="P4974">
        <v>0.99356690000000003</v>
      </c>
      <c r="Q4974">
        <v>4.5599920000000002E-2</v>
      </c>
      <c r="R4974">
        <v>-0.10366110000000001</v>
      </c>
      <c r="S4974">
        <v>2.9333499999999999</v>
      </c>
      <c r="T4974">
        <v>-0.16367609999999999</v>
      </c>
      <c r="U4974">
        <v>-0.90536499999999998</v>
      </c>
      <c r="V4974">
        <v>7.9059299999999999E-2</v>
      </c>
      <c r="W4974">
        <v>5.9017979999999998E-2</v>
      </c>
      <c r="X4974">
        <v>0.99512140000000004</v>
      </c>
      <c r="Y4974">
        <v>0.27084829999999999</v>
      </c>
      <c r="Z4974">
        <v>-6.0330319999999998E-3</v>
      </c>
      <c r="AA4974">
        <v>0.96260319999999999</v>
      </c>
      <c r="AB4974">
        <v>20</v>
      </c>
      <c r="AC4974">
        <v>20.613699999999898</v>
      </c>
      <c r="AD4974">
        <v>-1.1601569999999899</v>
      </c>
      <c r="AE4974">
        <v>-6.4129699999999996</v>
      </c>
      <c r="AF4974">
        <v>5.8842326579482602</v>
      </c>
      <c r="AG4974">
        <v>-1.1601569999999899</v>
      </c>
      <c r="AH4974">
        <v>20.706190045061899</v>
      </c>
      <c r="AI4974">
        <v>93.085000456267906</v>
      </c>
      <c r="AJ4974">
        <v>74.136044754483095</v>
      </c>
      <c r="AK4974">
        <v>21.557283326517101</v>
      </c>
      <c r="AL4974">
        <v>86.616552890765405</v>
      </c>
      <c r="AM4974">
        <v>85.457569481370399</v>
      </c>
      <c r="AN4974">
        <v>1.00000004780886</v>
      </c>
    </row>
    <row r="4975" spans="1:40" x14ac:dyDescent="0.25">
      <c r="A4975" t="str">
        <f>"20190312154700282"</f>
        <v>20190312154700282</v>
      </c>
      <c r="B4975" t="str">
        <f>"1552376820273077"</f>
        <v>1552376820273077</v>
      </c>
      <c r="C4975" t="s">
        <v>40</v>
      </c>
      <c r="D4975">
        <v>4.427289</v>
      </c>
      <c r="E4975">
        <v>0.57561419999999996</v>
      </c>
      <c r="F4975" t="s">
        <v>43</v>
      </c>
      <c r="G4975">
        <v>-309.86619999999999</v>
      </c>
      <c r="H4975">
        <v>-0.05</v>
      </c>
      <c r="I4975">
        <v>11.52985</v>
      </c>
      <c r="J4975">
        <v>-329.44170000000003</v>
      </c>
      <c r="K4975">
        <v>1.110152</v>
      </c>
      <c r="L4975">
        <v>17.60736</v>
      </c>
      <c r="M4975">
        <v>0.99960360000000004</v>
      </c>
      <c r="N4975">
        <v>0</v>
      </c>
      <c r="O4975">
        <v>-2.472046E-2</v>
      </c>
      <c r="P4975">
        <v>0.99351789999999995</v>
      </c>
      <c r="Q4975">
        <v>4.5246910000000001E-2</v>
      </c>
      <c r="R4975">
        <v>-0.104283399999999</v>
      </c>
      <c r="S4975">
        <v>2.9328310000000002</v>
      </c>
      <c r="T4975">
        <v>-0.172862299999999</v>
      </c>
      <c r="U4975">
        <v>-0.90594479999999999</v>
      </c>
      <c r="V4975">
        <v>7.9690800000000006E-2</v>
      </c>
      <c r="W4975">
        <v>5.8662400000000003E-2</v>
      </c>
      <c r="X4975">
        <v>0.99509199999999998</v>
      </c>
      <c r="Y4975">
        <v>0.27103660000000002</v>
      </c>
      <c r="Z4975">
        <v>-6.377845E-3</v>
      </c>
      <c r="AA4975">
        <v>0.96254790000000001</v>
      </c>
      <c r="AB4975">
        <v>20</v>
      </c>
      <c r="AC4975">
        <v>19.575500000000002</v>
      </c>
      <c r="AD4975">
        <v>-1.1601520000000001</v>
      </c>
      <c r="AE4975">
        <v>-6.0775100000000002</v>
      </c>
      <c r="AF4975">
        <v>5.5738367008531702</v>
      </c>
      <c r="AG4975">
        <v>-1.1601520000000001</v>
      </c>
      <c r="AH4975">
        <v>19.6567964796259</v>
      </c>
      <c r="AI4975">
        <v>93.249865581449001</v>
      </c>
      <c r="AJ4975">
        <v>74.168904899069403</v>
      </c>
      <c r="AK4975">
        <v>20.4646831412635</v>
      </c>
      <c r="AL4975">
        <v>86.636961303716703</v>
      </c>
      <c r="AM4975">
        <v>85.421304984627099</v>
      </c>
      <c r="AN4975">
        <v>0.99999999462120004</v>
      </c>
    </row>
    <row r="4976" spans="1:40" x14ac:dyDescent="0.25">
      <c r="A4976" t="str">
        <f>"20190312154700304"</f>
        <v>20190312154700304</v>
      </c>
      <c r="B4976" t="str">
        <f>"1552376820292598"</f>
        <v>1552376820292598</v>
      </c>
      <c r="C4976" t="s">
        <v>40</v>
      </c>
      <c r="D4976">
        <v>4.440798</v>
      </c>
      <c r="E4976">
        <v>0.57543180000000005</v>
      </c>
      <c r="F4976" t="s">
        <v>43</v>
      </c>
      <c r="G4976">
        <v>-310.20890000000003</v>
      </c>
      <c r="H4976">
        <v>-0.05</v>
      </c>
      <c r="I4976">
        <v>11.66156</v>
      </c>
      <c r="J4976">
        <v>-329.25900000000001</v>
      </c>
      <c r="K4976">
        <v>1.110133</v>
      </c>
      <c r="L4976">
        <v>17.60284</v>
      </c>
      <c r="M4976">
        <v>0.99960369999999998</v>
      </c>
      <c r="N4976">
        <v>0</v>
      </c>
      <c r="O4976">
        <v>-2.4715790000000001E-2</v>
      </c>
      <c r="P4976">
        <v>0.99339239999999995</v>
      </c>
      <c r="Q4976">
        <v>4.5200129999999998E-2</v>
      </c>
      <c r="R4976">
        <v>-0.1054928</v>
      </c>
      <c r="S4976">
        <v>2.9324340000000002</v>
      </c>
      <c r="T4976">
        <v>-0.17688860000000001</v>
      </c>
      <c r="U4976">
        <v>-0.90655520000000001</v>
      </c>
      <c r="V4976">
        <v>8.0908540000000001E-2</v>
      </c>
      <c r="W4976">
        <v>5.8610990000000002E-2</v>
      </c>
      <c r="X4976">
        <v>0.99499680000000001</v>
      </c>
      <c r="Y4976">
        <v>0.27124199999999998</v>
      </c>
      <c r="Z4976">
        <v>-6.5331180000000001E-3</v>
      </c>
      <c r="AA4976">
        <v>0.96248900000000004</v>
      </c>
      <c r="AB4976">
        <v>20</v>
      </c>
      <c r="AC4976">
        <v>19.050099999999901</v>
      </c>
      <c r="AD4976">
        <v>-1.1601330000000001</v>
      </c>
      <c r="AE4976">
        <v>-5.9412799999999999</v>
      </c>
      <c r="AF4976">
        <v>5.4501624840297103</v>
      </c>
      <c r="AG4976">
        <v>-1.1601330000000001</v>
      </c>
      <c r="AH4976">
        <v>19.1264898977639</v>
      </c>
      <c r="AI4976">
        <v>93.338493407132702</v>
      </c>
      <c r="AJ4976">
        <v>74.094905986390899</v>
      </c>
      <c r="AK4976">
        <v>19.921666483737699</v>
      </c>
      <c r="AL4976">
        <v>86.639912095886999</v>
      </c>
      <c r="AM4976">
        <v>85.351200328315102</v>
      </c>
      <c r="AN4976">
        <v>1.0000000360019701</v>
      </c>
    </row>
    <row r="4977" spans="1:40" x14ac:dyDescent="0.25">
      <c r="A4977" t="str">
        <f>"20190312154700326"</f>
        <v>20190312154700326</v>
      </c>
      <c r="B4977" t="str">
        <f>"1552376820313095"</f>
        <v>1552376820313095</v>
      </c>
      <c r="C4977" t="s">
        <v>40</v>
      </c>
      <c r="D4977">
        <v>4.4488620000000001</v>
      </c>
      <c r="E4977">
        <v>0.57532740000000004</v>
      </c>
      <c r="F4977" t="s">
        <v>43</v>
      </c>
      <c r="G4977">
        <v>-310.5838</v>
      </c>
      <c r="H4977">
        <v>-0.05</v>
      </c>
      <c r="I4977">
        <v>11.81532</v>
      </c>
      <c r="J4977">
        <v>-329.06029999999998</v>
      </c>
      <c r="K4977">
        <v>1.1101319999999999</v>
      </c>
      <c r="L4977">
        <v>17.597929999999899</v>
      </c>
      <c r="M4977">
        <v>0.99960380000000004</v>
      </c>
      <c r="N4977">
        <v>0</v>
      </c>
      <c r="O4977">
        <v>-2.4718E-2</v>
      </c>
      <c r="P4977">
        <v>0.99330669999999999</v>
      </c>
      <c r="Q4977">
        <v>4.4963749999999997E-2</v>
      </c>
      <c r="R4977">
        <v>-0.1063974</v>
      </c>
      <c r="S4977">
        <v>2.9317630000000001</v>
      </c>
      <c r="T4977">
        <v>-0.18212619999999999</v>
      </c>
      <c r="U4977">
        <v>-0.90856930000000002</v>
      </c>
      <c r="V4977">
        <v>8.1813419999999998E-2</v>
      </c>
      <c r="W4977">
        <v>5.8370600000000002E-2</v>
      </c>
      <c r="X4977">
        <v>0.99493690000000001</v>
      </c>
      <c r="Y4977">
        <v>0.2718797</v>
      </c>
      <c r="Z4977">
        <v>-6.7462260000000001E-3</v>
      </c>
      <c r="AA4977">
        <v>0.96230760000000004</v>
      </c>
      <c r="AB4977">
        <v>20</v>
      </c>
      <c r="AC4977">
        <v>18.476499999999898</v>
      </c>
      <c r="AD4977">
        <v>-1.1601319999999999</v>
      </c>
      <c r="AE4977">
        <v>-5.7826099999999903</v>
      </c>
      <c r="AF4977">
        <v>5.3050499283593702</v>
      </c>
      <c r="AG4977">
        <v>-1.1601319999999999</v>
      </c>
      <c r="AH4977">
        <v>18.547201756112699</v>
      </c>
      <c r="AI4977">
        <v>93.441539877339295</v>
      </c>
      <c r="AJ4977">
        <v>74.037899288619997</v>
      </c>
      <c r="AK4977">
        <v>19.325841611214699</v>
      </c>
      <c r="AL4977">
        <v>86.653708924362704</v>
      </c>
      <c r="AM4977">
        <v>85.299158187531503</v>
      </c>
      <c r="AN4977">
        <v>0.99999999880903301</v>
      </c>
    </row>
    <row r="4978" spans="1:40" x14ac:dyDescent="0.25">
      <c r="A4978" t="str">
        <f>"20190312154700348"</f>
        <v>20190312154700348</v>
      </c>
      <c r="B4978" t="str">
        <f>"1552376820343349"</f>
        <v>1552376820343349</v>
      </c>
      <c r="C4978" t="s">
        <v>40</v>
      </c>
      <c r="D4978">
        <v>4.4709399999999997</v>
      </c>
      <c r="E4978">
        <v>0.57518549999999902</v>
      </c>
      <c r="F4978" t="s">
        <v>43</v>
      </c>
      <c r="G4978">
        <v>-310.90530000000001</v>
      </c>
      <c r="H4978">
        <v>-0.05</v>
      </c>
      <c r="I4978">
        <v>11.95988</v>
      </c>
      <c r="J4978">
        <v>-328.87130000000002</v>
      </c>
      <c r="K4978">
        <v>1.1101289999999999</v>
      </c>
      <c r="L4978">
        <v>17.593260000000001</v>
      </c>
      <c r="M4978">
        <v>0.99960349999999998</v>
      </c>
      <c r="N4978">
        <v>0</v>
      </c>
      <c r="O4978">
        <v>-2.4724699999999999E-2</v>
      </c>
      <c r="P4978">
        <v>0.9931778</v>
      </c>
      <c r="Q4978">
        <v>4.4817019999999999E-2</v>
      </c>
      <c r="R4978">
        <v>-0.1076541</v>
      </c>
      <c r="S4978">
        <v>2.9311829999999999</v>
      </c>
      <c r="T4978">
        <v>-0.187307</v>
      </c>
      <c r="U4978">
        <v>-0.91027829999999998</v>
      </c>
      <c r="V4978">
        <v>8.3066459999999995E-2</v>
      </c>
      <c r="W4978">
        <v>5.8220170000000002E-2</v>
      </c>
      <c r="X4978">
        <v>0.99484189999999995</v>
      </c>
      <c r="Y4978">
        <v>0.27241270000000001</v>
      </c>
      <c r="Z4978">
        <v>-6.9547059999999997E-3</v>
      </c>
      <c r="AA4978">
        <v>0.96215530000000005</v>
      </c>
      <c r="AB4978">
        <v>20</v>
      </c>
      <c r="AC4978">
        <v>17.966000000000001</v>
      </c>
      <c r="AD4978">
        <v>-1.160129</v>
      </c>
      <c r="AE4978">
        <v>-5.6333799999999998</v>
      </c>
      <c r="AF4978">
        <v>5.1677938248164201</v>
      </c>
      <c r="AG4978">
        <v>-1.160129</v>
      </c>
      <c r="AH4978">
        <v>18.0313473273177</v>
      </c>
      <c r="AI4978">
        <v>93.539208720430196</v>
      </c>
      <c r="AJ4978">
        <v>74.007668981446599</v>
      </c>
      <c r="AK4978">
        <v>18.793123177131001</v>
      </c>
      <c r="AL4978">
        <v>86.662342666848502</v>
      </c>
      <c r="AM4978">
        <v>85.227037354804295</v>
      </c>
      <c r="AN4978">
        <v>1.0000000154836799</v>
      </c>
    </row>
    <row r="4979" spans="1:40" x14ac:dyDescent="0.25">
      <c r="A4979" t="str">
        <f>"20190312154700360"</f>
        <v>20190312154700360</v>
      </c>
      <c r="B4979" t="str">
        <f>"1552376820353110"</f>
        <v>1552376820353110</v>
      </c>
      <c r="C4979" t="s">
        <v>40</v>
      </c>
      <c r="D4979">
        <v>4.4740140000000004</v>
      </c>
      <c r="E4979">
        <v>0.5751233</v>
      </c>
      <c r="F4979" t="s">
        <v>43</v>
      </c>
      <c r="G4979">
        <v>-311.35860000000002</v>
      </c>
      <c r="H4979">
        <v>-0.05</v>
      </c>
      <c r="I4979">
        <v>12.139480000000001</v>
      </c>
      <c r="J4979">
        <v>-328.76179999999999</v>
      </c>
      <c r="K4979">
        <v>1.110128</v>
      </c>
      <c r="L4979">
        <v>17.59055</v>
      </c>
      <c r="M4979">
        <v>0.99960349999999998</v>
      </c>
      <c r="N4979">
        <v>0</v>
      </c>
      <c r="O4979">
        <v>-2.4729939999999999E-2</v>
      </c>
      <c r="P4979">
        <v>0.99312820000000002</v>
      </c>
      <c r="Q4979">
        <v>4.4583650000000002E-2</v>
      </c>
      <c r="R4979">
        <v>-0.1082065</v>
      </c>
      <c r="S4979">
        <v>2.93045</v>
      </c>
      <c r="T4979">
        <v>-0.19412779999999999</v>
      </c>
      <c r="U4979">
        <v>-0.91259769999999896</v>
      </c>
      <c r="V4979">
        <v>8.3614750000000002E-2</v>
      </c>
      <c r="W4979">
        <v>5.7984540000000001E-2</v>
      </c>
      <c r="X4979">
        <v>0.99480970000000002</v>
      </c>
      <c r="Y4979">
        <v>0.2731345</v>
      </c>
      <c r="Z4979">
        <v>-7.2313419999999896E-3</v>
      </c>
      <c r="AA4979">
        <v>0.96194869999999999</v>
      </c>
      <c r="AB4979">
        <v>20</v>
      </c>
      <c r="AC4979">
        <v>17.403199999999899</v>
      </c>
      <c r="AD4979">
        <v>-1.160128</v>
      </c>
      <c r="AE4979">
        <v>-5.4510699999999996</v>
      </c>
      <c r="AF4979">
        <v>4.99875467463752</v>
      </c>
      <c r="AG4979">
        <v>-1.160128</v>
      </c>
      <c r="AH4979">
        <v>17.4620286341395</v>
      </c>
      <c r="AI4979">
        <v>93.6546119237439</v>
      </c>
      <c r="AJ4979">
        <v>74.025475424307004</v>
      </c>
      <c r="AK4979">
        <v>18.200436513806601</v>
      </c>
      <c r="AL4979">
        <v>86.675866020024401</v>
      </c>
      <c r="AM4979">
        <v>85.195525056899996</v>
      </c>
      <c r="AN4979">
        <v>0.99999998625533104</v>
      </c>
    </row>
    <row r="4980" spans="1:40" x14ac:dyDescent="0.25">
      <c r="A4980" t="str">
        <f>"20190312154700373"</f>
        <v>20190312154700373</v>
      </c>
      <c r="B4980" t="str">
        <f>"1552376820362870"</f>
        <v>1552376820362870</v>
      </c>
      <c r="C4980" t="s">
        <v>40</v>
      </c>
      <c r="D4980">
        <v>4.5014839999999996</v>
      </c>
      <c r="E4980">
        <v>0.57510620000000001</v>
      </c>
      <c r="F4980" t="s">
        <v>43</v>
      </c>
      <c r="G4980">
        <v>-311.53640000000001</v>
      </c>
      <c r="H4980">
        <v>-0.05</v>
      </c>
      <c r="I4980">
        <v>12.21907</v>
      </c>
      <c r="J4980">
        <v>-328.65019999999998</v>
      </c>
      <c r="K4980">
        <v>1.1101270000000001</v>
      </c>
      <c r="L4980">
        <v>17.587769999999999</v>
      </c>
      <c r="M4980">
        <v>0.99960329999999997</v>
      </c>
      <c r="N4980">
        <v>0</v>
      </c>
      <c r="O4980">
        <v>-2.4735770000000001E-2</v>
      </c>
      <c r="P4980">
        <v>0.99302919999999995</v>
      </c>
      <c r="Q4980">
        <v>4.4371220000000003E-2</v>
      </c>
      <c r="R4980">
        <v>-0.1091999</v>
      </c>
      <c r="S4980">
        <v>2.9300839999999999</v>
      </c>
      <c r="T4980">
        <v>-0.19733980000000001</v>
      </c>
      <c r="U4980">
        <v>-0.91369630000000002</v>
      </c>
      <c r="V4980">
        <v>8.4604399999999996E-2</v>
      </c>
      <c r="W4980">
        <v>5.777032E-2</v>
      </c>
      <c r="X4980">
        <v>0.99473849999999997</v>
      </c>
      <c r="Y4980">
        <v>0.27347450000000001</v>
      </c>
      <c r="Z4980">
        <v>-7.3620090000000001E-3</v>
      </c>
      <c r="AA4980">
        <v>0.96185109999999996</v>
      </c>
      <c r="AB4980">
        <v>20</v>
      </c>
      <c r="AC4980">
        <v>17.113799999999902</v>
      </c>
      <c r="AD4980">
        <v>-1.1601269999999999</v>
      </c>
      <c r="AE4980">
        <v>-5.3686999999999996</v>
      </c>
      <c r="AF4980">
        <v>4.9230991717156698</v>
      </c>
      <c r="AG4980">
        <v>-1.1601269999999999</v>
      </c>
      <c r="AH4980">
        <v>17.169542620486499</v>
      </c>
      <c r="AI4980">
        <v>93.716231244962202</v>
      </c>
      <c r="AJ4980">
        <v>74.000579550731899</v>
      </c>
      <c r="AK4980">
        <v>17.899050083939599</v>
      </c>
      <c r="AL4980">
        <v>86.688160573285003</v>
      </c>
      <c r="AM4980">
        <v>85.138584740756102</v>
      </c>
      <c r="AN4980">
        <v>0.99999999887725599</v>
      </c>
    </row>
    <row r="4981" spans="1:40" x14ac:dyDescent="0.25">
      <c r="A4981" t="str">
        <f>"20190312154700394"</f>
        <v>20190312154700394</v>
      </c>
      <c r="B4981" t="str">
        <f>"1552376820383366"</f>
        <v>1552376820383366</v>
      </c>
      <c r="C4981" t="s">
        <v>40</v>
      </c>
      <c r="D4981">
        <v>4.633966</v>
      </c>
      <c r="E4981">
        <v>0.57520349999999998</v>
      </c>
      <c r="F4981" t="s">
        <v>43</v>
      </c>
      <c r="G4981">
        <v>-311.66160000000002</v>
      </c>
      <c r="H4981">
        <v>-0.05</v>
      </c>
      <c r="I4981">
        <v>12.273059999999999</v>
      </c>
      <c r="J4981">
        <v>-328.47579999999999</v>
      </c>
      <c r="K4981">
        <v>1.1101289999999999</v>
      </c>
      <c r="L4981">
        <v>17.583469999999998</v>
      </c>
      <c r="M4981">
        <v>0.99960320000000003</v>
      </c>
      <c r="N4981">
        <v>0</v>
      </c>
      <c r="O4981">
        <v>-2.4744800000000001E-2</v>
      </c>
      <c r="P4981">
        <v>0.99283999999999994</v>
      </c>
      <c r="Q4981">
        <v>4.3994949999999998E-2</v>
      </c>
      <c r="R4981">
        <v>-0.1110556</v>
      </c>
      <c r="S4981">
        <v>2.92923</v>
      </c>
      <c r="T4981">
        <v>-0.20003280000000001</v>
      </c>
      <c r="U4981">
        <v>-0.91638180000000002</v>
      </c>
      <c r="V4981">
        <v>8.6455329999999997E-2</v>
      </c>
      <c r="W4981">
        <v>5.7390440000000001E-2</v>
      </c>
      <c r="X4981">
        <v>0.99460130000000002</v>
      </c>
      <c r="Y4981">
        <v>0.27433289999999999</v>
      </c>
      <c r="Z4981">
        <v>-7.4913359999999899E-3</v>
      </c>
      <c r="AA4981">
        <v>0.96160559999999995</v>
      </c>
      <c r="AB4981">
        <v>20</v>
      </c>
      <c r="AC4981">
        <v>16.8141999999999</v>
      </c>
      <c r="AD4981">
        <v>-1.160129</v>
      </c>
      <c r="AE4981">
        <v>-5.3104100000000001</v>
      </c>
      <c r="AF4981">
        <v>4.8715938263976497</v>
      </c>
      <c r="AG4981">
        <v>-1.160129</v>
      </c>
      <c r="AH4981">
        <v>16.8674517646952</v>
      </c>
      <c r="AI4981">
        <v>93.780516624082907</v>
      </c>
      <c r="AJ4981">
        <v>73.890424222944304</v>
      </c>
      <c r="AK4981">
        <v>17.595148613761602</v>
      </c>
      <c r="AL4981">
        <v>86.709962158712898</v>
      </c>
      <c r="AM4981">
        <v>85.032073969394702</v>
      </c>
      <c r="AN4981">
        <v>0.99999996632524502</v>
      </c>
    </row>
    <row r="4982" spans="1:40" x14ac:dyDescent="0.25">
      <c r="A4982" t="str">
        <f>"20190312154700415"</f>
        <v>20190312154700415</v>
      </c>
      <c r="B4982" t="str">
        <f>"1552376820402886"</f>
        <v>1552376820402886</v>
      </c>
      <c r="C4982" t="s">
        <v>40</v>
      </c>
      <c r="D4982">
        <v>4.3836079999999997</v>
      </c>
      <c r="E4982">
        <v>0.57507749999999902</v>
      </c>
      <c r="F4982" t="s">
        <v>43</v>
      </c>
      <c r="G4982">
        <v>-311.95780000000002</v>
      </c>
      <c r="H4982">
        <v>-0.05</v>
      </c>
      <c r="I4982">
        <v>12.38016</v>
      </c>
      <c r="J4982">
        <v>-328.28539999999998</v>
      </c>
      <c r="K4982">
        <v>1.1101289999999999</v>
      </c>
      <c r="L4982">
        <v>17.578700000000001</v>
      </c>
      <c r="M4982">
        <v>0.99960300000000002</v>
      </c>
      <c r="N4982">
        <v>0</v>
      </c>
      <c r="O4982">
        <v>-2.475515E-2</v>
      </c>
      <c r="P4982">
        <v>0.99269030000000003</v>
      </c>
      <c r="Q4982">
        <v>4.3828590000000001E-2</v>
      </c>
      <c r="R4982">
        <v>-0.1124521</v>
      </c>
      <c r="S4982">
        <v>2.9275820000000001</v>
      </c>
      <c r="T4982">
        <v>-0.20561599999999999</v>
      </c>
      <c r="U4982">
        <v>-0.92221070000000005</v>
      </c>
      <c r="V4982">
        <v>8.7844519999999995E-2</v>
      </c>
      <c r="W4982">
        <v>5.7220479999999997E-2</v>
      </c>
      <c r="X4982">
        <v>0.99448939999999997</v>
      </c>
      <c r="Y4982">
        <v>0.27618520000000002</v>
      </c>
      <c r="Z4982">
        <v>-7.7645880000000002E-3</v>
      </c>
      <c r="AA4982">
        <v>0.96107310000000001</v>
      </c>
      <c r="AB4982">
        <v>19</v>
      </c>
      <c r="AC4982">
        <v>16.327599999999901</v>
      </c>
      <c r="AD4982">
        <v>-1.160129</v>
      </c>
      <c r="AE4982">
        <v>-5.1985400000000004</v>
      </c>
      <c r="AF4982">
        <v>4.7708487850617596</v>
      </c>
      <c r="AG4982">
        <v>-1.160129</v>
      </c>
      <c r="AH4982">
        <v>16.376230916798999</v>
      </c>
      <c r="AI4982">
        <v>93.890965750577493</v>
      </c>
      <c r="AJ4982">
        <v>73.757698557784593</v>
      </c>
      <c r="AK4982">
        <v>17.096427593707698</v>
      </c>
      <c r="AL4982">
        <v>86.719716305172199</v>
      </c>
      <c r="AM4982">
        <v>84.952091971062501</v>
      </c>
      <c r="AN4982">
        <v>1.0000000048689099</v>
      </c>
    </row>
    <row r="4983" spans="1:40" x14ac:dyDescent="0.25">
      <c r="A4983" t="str">
        <f>"20190312154700438"</f>
        <v>20190312154700438</v>
      </c>
      <c r="B4983" t="str">
        <f>"1552376820433141"</f>
        <v>1552376820433141</v>
      </c>
      <c r="C4983" t="s">
        <v>40</v>
      </c>
      <c r="D4983">
        <v>4.509944</v>
      </c>
      <c r="E4983">
        <v>0.57488709999999998</v>
      </c>
      <c r="F4983" t="s">
        <v>43</v>
      </c>
      <c r="G4983">
        <v>-312.04300000000001</v>
      </c>
      <c r="H4983">
        <v>-0.05</v>
      </c>
      <c r="I4983">
        <v>12.44542</v>
      </c>
      <c r="J4983">
        <v>-328.09440000000001</v>
      </c>
      <c r="K4983">
        <v>1.110128</v>
      </c>
      <c r="L4983">
        <v>17.57394</v>
      </c>
      <c r="M4983">
        <v>0.99960269999999996</v>
      </c>
      <c r="N4983">
        <v>0</v>
      </c>
      <c r="O4983">
        <v>-2.476768E-2</v>
      </c>
      <c r="P4983">
        <v>0.99250150000000004</v>
      </c>
      <c r="Q4983">
        <v>4.3929250000000003E-2</v>
      </c>
      <c r="R4983">
        <v>-0.1140678</v>
      </c>
      <c r="S4983">
        <v>2.9265750000000001</v>
      </c>
      <c r="T4983">
        <v>-0.209034</v>
      </c>
      <c r="U4983">
        <v>-0.92492680000000005</v>
      </c>
      <c r="V4983">
        <v>8.945206E-2</v>
      </c>
      <c r="W4983">
        <v>5.7316649999999997E-2</v>
      </c>
      <c r="X4983">
        <v>0.99434049999999996</v>
      </c>
      <c r="Y4983">
        <v>0.27705800000000003</v>
      </c>
      <c r="Z4983">
        <v>-7.9243960000000002E-3</v>
      </c>
      <c r="AA4983">
        <v>0.96082060000000002</v>
      </c>
      <c r="AB4983">
        <v>19</v>
      </c>
      <c r="AC4983">
        <v>16.051400000000001</v>
      </c>
      <c r="AD4983">
        <v>-1.160128</v>
      </c>
      <c r="AE4983">
        <v>-5.12852</v>
      </c>
      <c r="AF4983">
        <v>4.7070435151710797</v>
      </c>
      <c r="AG4983">
        <v>-1.160128</v>
      </c>
      <c r="AH4983">
        <v>16.0972086041578</v>
      </c>
      <c r="AI4983">
        <v>93.957041857037098</v>
      </c>
      <c r="AJ4983">
        <v>73.700359689658001</v>
      </c>
      <c r="AK4983">
        <v>16.811373545188601</v>
      </c>
      <c r="AL4983">
        <v>86.714196930468503</v>
      </c>
      <c r="AM4983">
        <v>84.859440926046204</v>
      </c>
      <c r="AN4983">
        <v>0.99999994967285599</v>
      </c>
    </row>
    <row r="4984" spans="1:40" x14ac:dyDescent="0.25">
      <c r="A4984" t="str">
        <f>"20190312154700460"</f>
        <v>20190312154700460</v>
      </c>
      <c r="B4984" t="str">
        <f>"1552376820452662"</f>
        <v>1552376820452662</v>
      </c>
      <c r="C4984" t="s">
        <v>40</v>
      </c>
      <c r="D4984">
        <v>4.5312489999999999</v>
      </c>
      <c r="E4984">
        <v>0.57478960000000001</v>
      </c>
      <c r="F4984" t="s">
        <v>43</v>
      </c>
      <c r="G4984">
        <v>-311.95280000000002</v>
      </c>
      <c r="H4984">
        <v>-0.05</v>
      </c>
      <c r="I4984">
        <v>12.45485</v>
      </c>
      <c r="J4984">
        <v>-327.89949999999999</v>
      </c>
      <c r="K4984">
        <v>1.110128</v>
      </c>
      <c r="L4984">
        <v>17.569089999999999</v>
      </c>
      <c r="M4984">
        <v>0.99960230000000005</v>
      </c>
      <c r="N4984">
        <v>0</v>
      </c>
      <c r="O4984">
        <v>-2.4787300000000002E-2</v>
      </c>
      <c r="P4984">
        <v>0.99238230000000005</v>
      </c>
      <c r="Q4984">
        <v>4.4046460000000003E-2</v>
      </c>
      <c r="R4984">
        <v>-0.115055</v>
      </c>
      <c r="S4984">
        <v>2.925354</v>
      </c>
      <c r="T4984">
        <v>-0.21025070000000001</v>
      </c>
      <c r="U4984">
        <v>-0.92773439999999996</v>
      </c>
      <c r="V4984">
        <v>9.0423229999999993E-2</v>
      </c>
      <c r="W4984">
        <v>5.7429470000000003E-2</v>
      </c>
      <c r="X4984">
        <v>0.99424619999999997</v>
      </c>
      <c r="Y4984">
        <v>0.27798309999999998</v>
      </c>
      <c r="Z4984">
        <v>-8.003497E-3</v>
      </c>
      <c r="AA4984">
        <v>0.96055259999999998</v>
      </c>
      <c r="AB4984">
        <v>19</v>
      </c>
      <c r="AC4984">
        <v>15.9466999999999</v>
      </c>
      <c r="AD4984">
        <v>-1.160128</v>
      </c>
      <c r="AE4984">
        <v>-5.1142399999999899</v>
      </c>
      <c r="AF4984">
        <v>4.69482642521778</v>
      </c>
      <c r="AG4984">
        <v>-1.160128</v>
      </c>
      <c r="AH4984">
        <v>15.991834048916401</v>
      </c>
      <c r="AI4984">
        <v>93.981786699226404</v>
      </c>
      <c r="AJ4984">
        <v>73.639001503928995</v>
      </c>
      <c r="AK4984">
        <v>16.707065822202001</v>
      </c>
      <c r="AL4984">
        <v>86.707722338714404</v>
      </c>
      <c r="AM4984">
        <v>84.803444257959598</v>
      </c>
      <c r="AN4984">
        <v>1.0000000053812701</v>
      </c>
    </row>
    <row r="4985" spans="1:40" x14ac:dyDescent="0.25">
      <c r="A4985" t="str">
        <f>"20190312154700472"</f>
        <v>20190312154700472</v>
      </c>
      <c r="B4985" t="str">
        <f>"1552376820463398"</f>
        <v>1552376820463398</v>
      </c>
      <c r="C4985" t="s">
        <v>40</v>
      </c>
      <c r="D4985">
        <v>4.4981059999999999</v>
      </c>
      <c r="E4985">
        <v>0.57474639999999999</v>
      </c>
      <c r="F4985" t="s">
        <v>43</v>
      </c>
      <c r="G4985">
        <v>-311.81110000000001</v>
      </c>
      <c r="H4985">
        <v>-0.05</v>
      </c>
      <c r="I4985">
        <v>12.4557</v>
      </c>
      <c r="J4985">
        <v>-327.79559999999998</v>
      </c>
      <c r="K4985">
        <v>1.1101259999999999</v>
      </c>
      <c r="L4985">
        <v>17.566500000000001</v>
      </c>
      <c r="M4985">
        <v>0.99960179999999998</v>
      </c>
      <c r="N4985">
        <v>0</v>
      </c>
      <c r="O4985">
        <v>-2.4804659999999999E-2</v>
      </c>
      <c r="P4985">
        <v>0.99226340000000002</v>
      </c>
      <c r="Q4985">
        <v>4.431703E-2</v>
      </c>
      <c r="R4985">
        <v>-0.1159739</v>
      </c>
      <c r="S4985">
        <v>2.9246219999999998</v>
      </c>
      <c r="T4985">
        <v>-0.21089269999999999</v>
      </c>
      <c r="U4985">
        <v>-0.92953490000000005</v>
      </c>
      <c r="V4985">
        <v>9.1328220000000002E-2</v>
      </c>
      <c r="W4985">
        <v>5.769606E-2</v>
      </c>
      <c r="X4985">
        <v>0.99414800000000003</v>
      </c>
      <c r="Y4985">
        <v>0.27856779999999998</v>
      </c>
      <c r="Z4985">
        <v>-8.0483929999999992E-3</v>
      </c>
      <c r="AA4985">
        <v>0.96038279999999998</v>
      </c>
      <c r="AB4985">
        <v>19</v>
      </c>
      <c r="AC4985">
        <v>15.984499999999899</v>
      </c>
      <c r="AD4985">
        <v>-1.160126</v>
      </c>
      <c r="AE4985">
        <v>-5.1108000000000002</v>
      </c>
      <c r="AF4985">
        <v>4.6902862165116899</v>
      </c>
      <c r="AG4985">
        <v>-1.160126</v>
      </c>
      <c r="AH4985">
        <v>16.029757371333901</v>
      </c>
      <c r="AI4985">
        <v>93.973435043568102</v>
      </c>
      <c r="AJ4985">
        <v>73.690592578580294</v>
      </c>
      <c r="AK4985">
        <v>16.742096598470301</v>
      </c>
      <c r="AL4985">
        <v>86.692422346074494</v>
      </c>
      <c r="AM4985">
        <v>84.7512086446729</v>
      </c>
      <c r="AN4985">
        <v>0.99999996250594503</v>
      </c>
    </row>
    <row r="4986" spans="1:40" x14ac:dyDescent="0.25">
      <c r="A4986" t="str">
        <f>"20190312154700492"</f>
        <v>20190312154700492</v>
      </c>
      <c r="B4986" t="str">
        <f>"1552376820483050"</f>
        <v>1552376820483050</v>
      </c>
      <c r="C4986" t="s">
        <v>40</v>
      </c>
      <c r="D4986">
        <v>4.5295769999999997</v>
      </c>
      <c r="E4986">
        <v>0.57456790000000002</v>
      </c>
      <c r="F4986" t="s">
        <v>43</v>
      </c>
      <c r="G4986">
        <v>-311.63249999999999</v>
      </c>
      <c r="H4986">
        <v>-0.05</v>
      </c>
      <c r="I4986">
        <v>12.415710000000001</v>
      </c>
      <c r="J4986">
        <v>-327.61529999999999</v>
      </c>
      <c r="K4986">
        <v>1.110115</v>
      </c>
      <c r="L4986">
        <v>17.561979999999998</v>
      </c>
      <c r="M4986">
        <v>0.99960059999999995</v>
      </c>
      <c r="N4986">
        <v>0</v>
      </c>
      <c r="O4986">
        <v>-2.4849420000000001E-2</v>
      </c>
      <c r="P4986">
        <v>0.99215730000000002</v>
      </c>
      <c r="Q4986">
        <v>4.4640300000000001E-2</v>
      </c>
      <c r="R4986">
        <v>-0.1167541</v>
      </c>
      <c r="S4986">
        <v>2.9238590000000002</v>
      </c>
      <c r="T4986">
        <v>-0.20986369999999999</v>
      </c>
      <c r="U4986">
        <v>-0.93176270000000005</v>
      </c>
      <c r="V4986">
        <v>9.2068079999999997E-2</v>
      </c>
      <c r="W4986">
        <v>5.8014059999999999E-2</v>
      </c>
      <c r="X4986">
        <v>0.99406130000000004</v>
      </c>
      <c r="Y4986">
        <v>0.27926570000000001</v>
      </c>
      <c r="Z4986">
        <v>-8.0315939999999995E-3</v>
      </c>
      <c r="AA4986">
        <v>0.96018029999999999</v>
      </c>
      <c r="AB4986">
        <v>19</v>
      </c>
      <c r="AC4986">
        <v>15.9827999999999</v>
      </c>
      <c r="AD4986">
        <v>-1.160115</v>
      </c>
      <c r="AE4986">
        <v>-5.1462699999999897</v>
      </c>
      <c r="AF4986">
        <v>4.7249259306566698</v>
      </c>
      <c r="AG4986">
        <v>-1.160115</v>
      </c>
      <c r="AH4986">
        <v>16.029238422234901</v>
      </c>
      <c r="AI4986">
        <v>93.971202084701403</v>
      </c>
      <c r="AJ4986">
        <v>73.576106252787</v>
      </c>
      <c r="AK4986">
        <v>16.751336551459701</v>
      </c>
      <c r="AL4986">
        <v>86.6741718933974</v>
      </c>
      <c r="AM4986">
        <v>84.708469119505097</v>
      </c>
      <c r="AN4986">
        <v>1.0000000153351201</v>
      </c>
    </row>
    <row r="4987" spans="1:40" x14ac:dyDescent="0.25">
      <c r="A4987" t="str">
        <f>"20190312154700506"</f>
        <v>20190312154700506</v>
      </c>
      <c r="B4987" t="str">
        <f>"1552376820492810"</f>
        <v>1552376820492810</v>
      </c>
      <c r="C4987" t="s">
        <v>40</v>
      </c>
      <c r="D4987">
        <v>4.5149169999999996</v>
      </c>
      <c r="E4987">
        <v>0.5302074</v>
      </c>
      <c r="F4987" t="s">
        <v>43</v>
      </c>
      <c r="G4987">
        <v>-311.29090000000002</v>
      </c>
      <c r="H4987">
        <v>-0.05</v>
      </c>
      <c r="I4987">
        <v>12.35397</v>
      </c>
      <c r="J4987">
        <v>-327.50290000000001</v>
      </c>
      <c r="K4987">
        <v>1.110107</v>
      </c>
      <c r="L4987">
        <v>17.55911</v>
      </c>
      <c r="M4987">
        <v>0.99959969999999998</v>
      </c>
      <c r="N4987">
        <v>0</v>
      </c>
      <c r="O4987">
        <v>-2.4888319999999998E-2</v>
      </c>
      <c r="P4987">
        <v>0.99210050000000005</v>
      </c>
      <c r="Q4987">
        <v>4.445267E-2</v>
      </c>
      <c r="R4987">
        <v>-0.1173062</v>
      </c>
      <c r="S4987">
        <v>2.923279</v>
      </c>
      <c r="T4987">
        <v>-0.20774609999999999</v>
      </c>
      <c r="U4987">
        <v>-0.93261719999999904</v>
      </c>
      <c r="V4987">
        <v>9.2584150000000004E-2</v>
      </c>
      <c r="W4987">
        <v>5.7822220000000001E-2</v>
      </c>
      <c r="X4987">
        <v>0.99402449999999998</v>
      </c>
      <c r="Y4987">
        <v>0.2795494</v>
      </c>
      <c r="Z4987">
        <v>-7.9590389999999994E-3</v>
      </c>
      <c r="AA4987">
        <v>0.96009829999999996</v>
      </c>
      <c r="AB4987">
        <v>19</v>
      </c>
      <c r="AC4987">
        <v>16.2119999999999</v>
      </c>
      <c r="AD4987">
        <v>-1.160107</v>
      </c>
      <c r="AE4987">
        <v>-5.2051400000000001</v>
      </c>
      <c r="AF4987">
        <v>4.7778222673636197</v>
      </c>
      <c r="AG4987">
        <v>-1.160107</v>
      </c>
      <c r="AH4987">
        <v>16.261050754425799</v>
      </c>
      <c r="AI4987">
        <v>93.915743665035194</v>
      </c>
      <c r="AJ4987">
        <v>73.626155968829096</v>
      </c>
      <c r="AK4987">
        <v>16.988090107718801</v>
      </c>
      <c r="AL4987">
        <v>86.685181848336796</v>
      </c>
      <c r="AM4987">
        <v>84.678782375140798</v>
      </c>
      <c r="AN4987">
        <v>0.99999997027859999</v>
      </c>
    </row>
    <row r="4988" spans="1:40" x14ac:dyDescent="0.25">
      <c r="A4988" t="str">
        <f>"20190312154700528"</f>
        <v>20190312154700528</v>
      </c>
      <c r="B4988" t="str">
        <f>"1552376820523067"</f>
        <v>1552376820523067</v>
      </c>
      <c r="C4988" t="s">
        <v>40</v>
      </c>
      <c r="D4988">
        <v>4.5344419999999896</v>
      </c>
      <c r="E4988">
        <v>0.50963159999999996</v>
      </c>
      <c r="F4988" t="s">
        <v>43</v>
      </c>
      <c r="G4988">
        <v>-308.62029999999999</v>
      </c>
      <c r="H4988">
        <v>-0.05</v>
      </c>
      <c r="I4988">
        <v>13.84047</v>
      </c>
      <c r="J4988">
        <v>-327.31360000000001</v>
      </c>
      <c r="K4988">
        <v>1.110082</v>
      </c>
      <c r="L4988">
        <v>17.554320000000001</v>
      </c>
      <c r="M4988">
        <v>0.99959739999999997</v>
      </c>
      <c r="N4988">
        <v>0</v>
      </c>
      <c r="O4988">
        <v>-2.4985340000000002E-2</v>
      </c>
      <c r="P4988">
        <v>0.99204130000000001</v>
      </c>
      <c r="Q4988">
        <v>4.4038319999999999E-2</v>
      </c>
      <c r="R4988">
        <v>-0.1179632</v>
      </c>
      <c r="S4988">
        <v>2.9630429999999999</v>
      </c>
      <c r="T4988">
        <v>-0.18204319999999999</v>
      </c>
      <c r="U4988">
        <v>-0.58352660000000001</v>
      </c>
      <c r="V4988">
        <v>9.3148540000000002E-2</v>
      </c>
      <c r="W4988">
        <v>5.7400439999999997E-2</v>
      </c>
      <c r="X4988">
        <v>0.99399630000000005</v>
      </c>
      <c r="Y4988">
        <v>0.1683866</v>
      </c>
      <c r="Z4988">
        <v>-3.6006179999999999E-3</v>
      </c>
      <c r="AA4988">
        <v>0.98571439999999999</v>
      </c>
      <c r="AB4988">
        <v>19</v>
      </c>
      <c r="AC4988">
        <v>18.693300000000001</v>
      </c>
      <c r="AD4988">
        <v>-1.1600820000000001</v>
      </c>
      <c r="AE4988">
        <v>-3.7138499999999901</v>
      </c>
      <c r="AF4988">
        <v>3.2336090584155999</v>
      </c>
      <c r="AG4988">
        <v>-1.1600820000000001</v>
      </c>
      <c r="AH4988">
        <v>18.710938612147899</v>
      </c>
      <c r="AI4988">
        <v>93.496115871946699</v>
      </c>
      <c r="AJ4988">
        <v>80.195038094706803</v>
      </c>
      <c r="AK4988">
        <v>19.0237020986179</v>
      </c>
      <c r="AL4988">
        <v>86.709388539419194</v>
      </c>
      <c r="AM4988">
        <v>84.646381305169996</v>
      </c>
      <c r="AN4988">
        <v>1.0000000527149999</v>
      </c>
    </row>
    <row r="4989" spans="1:40" x14ac:dyDescent="0.25">
      <c r="A4989" t="str">
        <f>"20190312154700551"</f>
        <v>20190312154700551</v>
      </c>
      <c r="B4989" t="str">
        <f>"1552376820543562"</f>
        <v>1552376820543562</v>
      </c>
      <c r="C4989" t="s">
        <v>40</v>
      </c>
      <c r="D4989">
        <v>4.4519190000000002</v>
      </c>
      <c r="E4989">
        <v>0.5055404</v>
      </c>
      <c r="F4989" t="s">
        <v>43</v>
      </c>
      <c r="G4989">
        <v>-307.64510000000001</v>
      </c>
      <c r="H4989">
        <v>-0.05</v>
      </c>
      <c r="I4989">
        <v>14.766159999999999</v>
      </c>
      <c r="J4989">
        <v>-327.11599999999999</v>
      </c>
      <c r="K4989">
        <v>1.11005</v>
      </c>
      <c r="L4989">
        <v>17.549219999999998</v>
      </c>
      <c r="M4989">
        <v>0.99959359999999997</v>
      </c>
      <c r="N4989">
        <v>0</v>
      </c>
      <c r="O4989">
        <v>-2.51311E-2</v>
      </c>
      <c r="P4989">
        <v>0.99196910000000005</v>
      </c>
      <c r="Q4989">
        <v>4.4273600000000003E-2</v>
      </c>
      <c r="R4989">
        <v>-0.1184786</v>
      </c>
      <c r="S4989">
        <v>2.9816280000000002</v>
      </c>
      <c r="T4989">
        <v>-0.1758614</v>
      </c>
      <c r="U4989">
        <v>-0.4226685</v>
      </c>
      <c r="V4989">
        <v>9.3524620000000003E-2</v>
      </c>
      <c r="W4989">
        <v>5.7627030000000003E-2</v>
      </c>
      <c r="X4989">
        <v>0.99394780000000005</v>
      </c>
      <c r="Y4989">
        <v>0.115272</v>
      </c>
      <c r="Z4989">
        <v>-1.906659E-3</v>
      </c>
      <c r="AA4989">
        <v>0.99333210000000005</v>
      </c>
      <c r="AB4989">
        <v>19</v>
      </c>
      <c r="AC4989">
        <v>19.470899999999901</v>
      </c>
      <c r="AD4989">
        <v>-1.16005</v>
      </c>
      <c r="AE4989">
        <v>-2.7830599999999999</v>
      </c>
      <c r="AF4989">
        <v>2.28486340212647</v>
      </c>
      <c r="AG4989">
        <v>-1.16005</v>
      </c>
      <c r="AH4989">
        <v>19.466980134699199</v>
      </c>
      <c r="AI4989">
        <v>93.387064275465306</v>
      </c>
      <c r="AJ4989">
        <v>83.305751768295906</v>
      </c>
      <c r="AK4989">
        <v>19.6349085135035</v>
      </c>
      <c r="AL4989">
        <v>86.696384120412702</v>
      </c>
      <c r="AM4989">
        <v>84.624632086714897</v>
      </c>
      <c r="AN4989">
        <v>0.99999997912880201</v>
      </c>
    </row>
    <row r="4990" spans="1:40" x14ac:dyDescent="0.25">
      <c r="A4990" t="str">
        <f>"20190312154700572"</f>
        <v>20190312154700572</v>
      </c>
      <c r="B4990" t="str">
        <f>"1552376820563081"</f>
        <v>1552376820563081</v>
      </c>
      <c r="C4990" t="s">
        <v>40</v>
      </c>
      <c r="D4990">
        <v>4.4224699999999997</v>
      </c>
      <c r="E4990">
        <v>0.50334920000000005</v>
      </c>
      <c r="F4990" t="s">
        <v>43</v>
      </c>
      <c r="G4990">
        <v>-307.79539999999997</v>
      </c>
      <c r="H4990">
        <v>-0.05</v>
      </c>
      <c r="I4990">
        <v>15.013439999999999</v>
      </c>
      <c r="J4990">
        <v>-326.92829999999998</v>
      </c>
      <c r="K4990">
        <v>1.1100179999999999</v>
      </c>
      <c r="L4990">
        <v>17.544280000000001</v>
      </c>
      <c r="M4990">
        <v>0.9995889</v>
      </c>
      <c r="N4990">
        <v>0</v>
      </c>
      <c r="O4990">
        <v>-2.5320559999999999E-2</v>
      </c>
      <c r="P4990">
        <v>0.99195789999999995</v>
      </c>
      <c r="Q4990">
        <v>4.4259979999999997E-2</v>
      </c>
      <c r="R4990">
        <v>-0.1185793</v>
      </c>
      <c r="S4990">
        <v>2.985535</v>
      </c>
      <c r="T4990">
        <v>-0.179258</v>
      </c>
      <c r="U4990">
        <v>-0.39184570000000002</v>
      </c>
      <c r="V4990">
        <v>9.3441350000000006E-2</v>
      </c>
      <c r="W4990">
        <v>5.7604660000000002E-2</v>
      </c>
      <c r="X4990">
        <v>0.99395690000000003</v>
      </c>
      <c r="Y4990">
        <v>0.10484209999999999</v>
      </c>
      <c r="Z4990">
        <v>-1.619395E-3</v>
      </c>
      <c r="AA4990">
        <v>0.99448760000000003</v>
      </c>
      <c r="AB4990">
        <v>19</v>
      </c>
      <c r="AC4990">
        <v>19.132899999999999</v>
      </c>
      <c r="AD4990">
        <v>-1.160018</v>
      </c>
      <c r="AE4990">
        <v>-2.53084</v>
      </c>
      <c r="AF4990">
        <v>2.03816552880691</v>
      </c>
      <c r="AG4990">
        <v>-1.160018</v>
      </c>
      <c r="AH4990">
        <v>19.121770985663002</v>
      </c>
      <c r="AI4990">
        <v>93.452074505689396</v>
      </c>
      <c r="AJ4990">
        <v>83.915886365736299</v>
      </c>
      <c r="AK4990">
        <v>19.265043112105499</v>
      </c>
      <c r="AL4990">
        <v>86.697667866383497</v>
      </c>
      <c r="AM4990">
        <v>84.629438951201607</v>
      </c>
      <c r="AN4990">
        <v>0.99999995090057203</v>
      </c>
    </row>
    <row r="4991" spans="1:40" x14ac:dyDescent="0.25">
      <c r="A4991" t="str">
        <f>"20190312154700595"</f>
        <v>20190312154700595</v>
      </c>
      <c r="B4991" t="str">
        <f>"1552376820582601"</f>
        <v>1552376820582601</v>
      </c>
      <c r="C4991" t="s">
        <v>40</v>
      </c>
      <c r="D4991">
        <v>4.418342</v>
      </c>
      <c r="E4991">
        <v>0.50214449999999999</v>
      </c>
      <c r="F4991" t="s">
        <v>43</v>
      </c>
      <c r="G4991">
        <v>-307.85669999999999</v>
      </c>
      <c r="H4991">
        <v>-0.05</v>
      </c>
      <c r="I4991">
        <v>15.15103</v>
      </c>
      <c r="J4991">
        <v>-326.73439999999999</v>
      </c>
      <c r="K4991">
        <v>1.109982</v>
      </c>
      <c r="L4991">
        <v>17.53912</v>
      </c>
      <c r="M4991">
        <v>0.99958239999999998</v>
      </c>
      <c r="N4991">
        <v>0</v>
      </c>
      <c r="O4991">
        <v>-2.558119E-2</v>
      </c>
      <c r="P4991">
        <v>0.99194550000000004</v>
      </c>
      <c r="Q4991">
        <v>4.4030029999999998E-2</v>
      </c>
      <c r="R4991">
        <v>-0.11876730000000001</v>
      </c>
      <c r="S4991">
        <v>2.9876100000000001</v>
      </c>
      <c r="T4991">
        <v>-0.18171909999999999</v>
      </c>
      <c r="U4991">
        <v>-0.37490839999999998</v>
      </c>
      <c r="V4991">
        <v>9.3375780000000005E-2</v>
      </c>
      <c r="W4991">
        <v>5.7364249999999999E-2</v>
      </c>
      <c r="X4991">
        <v>0.993977</v>
      </c>
      <c r="Y4991">
        <v>9.8952670000000006E-2</v>
      </c>
      <c r="Z4991">
        <v>-1.447011E-3</v>
      </c>
      <c r="AA4991">
        <v>0.99509110000000001</v>
      </c>
      <c r="AB4991">
        <v>19</v>
      </c>
      <c r="AC4991">
        <v>18.877700000000001</v>
      </c>
      <c r="AD4991">
        <v>-1.1599820000000001</v>
      </c>
      <c r="AE4991">
        <v>-2.38809</v>
      </c>
      <c r="AF4991">
        <v>1.8972997890035199</v>
      </c>
      <c r="AG4991">
        <v>-1.1599820000000001</v>
      </c>
      <c r="AH4991">
        <v>18.862518273638301</v>
      </c>
      <c r="AI4991">
        <v>93.501443703663696</v>
      </c>
      <c r="AJ4991">
        <v>84.256182358240395</v>
      </c>
      <c r="AK4991">
        <v>18.993154039100901</v>
      </c>
      <c r="AL4991">
        <v>86.711465272889797</v>
      </c>
      <c r="AM4991">
        <v>84.633293480971702</v>
      </c>
      <c r="AN4991">
        <v>0.99999998499883502</v>
      </c>
    </row>
    <row r="4992" spans="1:40" x14ac:dyDescent="0.25">
      <c r="A4992" t="str">
        <f>"20190312154700616"</f>
        <v>20190312154700616</v>
      </c>
      <c r="B4992" t="str">
        <f>"1552376820603097"</f>
        <v>1552376820603097</v>
      </c>
      <c r="C4992" t="s">
        <v>40</v>
      </c>
      <c r="D4992">
        <v>4.4146769999999904</v>
      </c>
      <c r="E4992">
        <v>0.50116490000000002</v>
      </c>
      <c r="F4992" t="s">
        <v>43</v>
      </c>
      <c r="G4992">
        <v>-307.86239999999998</v>
      </c>
      <c r="H4992">
        <v>-0.05</v>
      </c>
      <c r="I4992">
        <v>15.22922</v>
      </c>
      <c r="J4992">
        <v>-326.55500000000001</v>
      </c>
      <c r="K4992">
        <v>1.1099380000000001</v>
      </c>
      <c r="L4992">
        <v>17.534210000000002</v>
      </c>
      <c r="M4992">
        <v>0.99957439999999997</v>
      </c>
      <c r="N4992">
        <v>0</v>
      </c>
      <c r="O4992">
        <v>-2.5893389999999999E-2</v>
      </c>
      <c r="P4992">
        <v>0.99190909999999999</v>
      </c>
      <c r="Q4992">
        <v>4.354823E-2</v>
      </c>
      <c r="R4992">
        <v>-0.1192493</v>
      </c>
      <c r="S4992">
        <v>2.9887079999999999</v>
      </c>
      <c r="T4992">
        <v>-0.1837037</v>
      </c>
      <c r="U4992">
        <v>-0.36581419999999998</v>
      </c>
      <c r="V4992">
        <v>9.3553600000000001E-2</v>
      </c>
      <c r="W4992">
        <v>5.6871539999999998E-2</v>
      </c>
      <c r="X4992">
        <v>0.9939886</v>
      </c>
      <c r="Y4992">
        <v>9.5617880000000002E-2</v>
      </c>
      <c r="Z4992">
        <v>-1.341414E-3</v>
      </c>
      <c r="AA4992">
        <v>0.9954172</v>
      </c>
      <c r="AB4992">
        <v>19</v>
      </c>
      <c r="AC4992">
        <v>18.692599999999999</v>
      </c>
      <c r="AD4992">
        <v>-1.1599379999999999</v>
      </c>
      <c r="AE4992">
        <v>-2.3049900000000001</v>
      </c>
      <c r="AF4992">
        <v>1.8132808686086499</v>
      </c>
      <c r="AG4992">
        <v>-1.1599379999999999</v>
      </c>
      <c r="AH4992">
        <v>18.675186919429098</v>
      </c>
      <c r="AI4992">
        <v>93.537549490325802</v>
      </c>
      <c r="AJ4992">
        <v>84.454208778227994</v>
      </c>
      <c r="AK4992">
        <v>18.798831084616001</v>
      </c>
      <c r="AL4992">
        <v>86.739741664570204</v>
      </c>
      <c r="AM4992">
        <v>84.623195625561493</v>
      </c>
      <c r="AN4992">
        <v>0.99999999253244498</v>
      </c>
    </row>
    <row r="4993" spans="1:40" x14ac:dyDescent="0.25">
      <c r="A4993" t="str">
        <f>"20190312154700639"</f>
        <v>20190312154700639</v>
      </c>
      <c r="B4993" t="str">
        <f>"1552376820633354"</f>
        <v>1552376820633354</v>
      </c>
      <c r="C4993" t="s">
        <v>40</v>
      </c>
      <c r="D4993">
        <v>4.4131939999999998</v>
      </c>
      <c r="E4993">
        <v>0.50000829999999996</v>
      </c>
      <c r="F4993" t="s">
        <v>43</v>
      </c>
      <c r="G4993">
        <v>-307.97320000000002</v>
      </c>
      <c r="H4993">
        <v>-0.05</v>
      </c>
      <c r="I4993">
        <v>15.29964</v>
      </c>
      <c r="J4993">
        <v>-326.36090000000002</v>
      </c>
      <c r="K4993">
        <v>1.1098840000000001</v>
      </c>
      <c r="L4993">
        <v>17.52872</v>
      </c>
      <c r="M4993">
        <v>0.99956330000000004</v>
      </c>
      <c r="N4993">
        <v>0</v>
      </c>
      <c r="O4993">
        <v>-2.631739E-2</v>
      </c>
      <c r="P4993">
        <v>0.99192919999999996</v>
      </c>
      <c r="Q4993">
        <v>4.3564199999999997E-2</v>
      </c>
      <c r="R4993">
        <v>-0.1190741</v>
      </c>
      <c r="S4993">
        <v>2.9894409999999998</v>
      </c>
      <c r="T4993">
        <v>-0.1866112</v>
      </c>
      <c r="U4993">
        <v>-0.35949710000000001</v>
      </c>
      <c r="V4993">
        <v>9.2963779999999996E-2</v>
      </c>
      <c r="W4993">
        <v>5.6874870000000001E-2</v>
      </c>
      <c r="X4993">
        <v>0.99404380000000003</v>
      </c>
      <c r="Y4993">
        <v>9.3094529999999995E-2</v>
      </c>
      <c r="Z4993">
        <v>-1.2577129999999999E-3</v>
      </c>
      <c r="AA4993">
        <v>0.99565650000000006</v>
      </c>
      <c r="AB4993">
        <v>19</v>
      </c>
      <c r="AC4993">
        <v>18.387699999999899</v>
      </c>
      <c r="AD4993">
        <v>-1.1598839999999999</v>
      </c>
      <c r="AE4993">
        <v>-2.2290800000000002</v>
      </c>
      <c r="AF4993">
        <v>1.7375342904187101</v>
      </c>
      <c r="AG4993">
        <v>-1.1598839999999999</v>
      </c>
      <c r="AH4993">
        <v>18.367971200826801</v>
      </c>
      <c r="AI4993">
        <v>93.597247886512307</v>
      </c>
      <c r="AJ4993">
        <v>84.596135982043506</v>
      </c>
      <c r="AK4993">
        <v>18.486392896891498</v>
      </c>
      <c r="AL4993">
        <v>86.739550734082201</v>
      </c>
      <c r="AM4993">
        <v>84.657192522036297</v>
      </c>
      <c r="AN4993">
        <v>1.00000004577392</v>
      </c>
    </row>
    <row r="4994" spans="1:40" x14ac:dyDescent="0.25">
      <c r="A4994" t="str">
        <f>"20190312154700661"</f>
        <v>20190312154700661</v>
      </c>
      <c r="B4994" t="str">
        <f>"1552376820652874"</f>
        <v>1552376820652874</v>
      </c>
      <c r="C4994" t="s">
        <v>40</v>
      </c>
      <c r="D4994">
        <v>4.3907089999999904</v>
      </c>
      <c r="E4994">
        <v>0.49948809999999899</v>
      </c>
      <c r="F4994" t="s">
        <v>43</v>
      </c>
      <c r="G4994">
        <v>-307.79140000000001</v>
      </c>
      <c r="H4994">
        <v>-0.05</v>
      </c>
      <c r="I4994">
        <v>15.359629999999999</v>
      </c>
      <c r="J4994">
        <v>-326.16980000000001</v>
      </c>
      <c r="K4994">
        <v>1.1098209999999999</v>
      </c>
      <c r="L4994">
        <v>17.523129999999998</v>
      </c>
      <c r="M4994">
        <v>0.99954940000000003</v>
      </c>
      <c r="N4994">
        <v>0</v>
      </c>
      <c r="O4994">
        <v>-2.683462E-2</v>
      </c>
      <c r="P4994">
        <v>0.99187250000000005</v>
      </c>
      <c r="Q4994">
        <v>4.4372120000000001E-2</v>
      </c>
      <c r="R4994">
        <v>-0.11924899999999999</v>
      </c>
      <c r="S4994">
        <v>2.9906619999999999</v>
      </c>
      <c r="T4994">
        <v>-0.186802</v>
      </c>
      <c r="U4994">
        <v>-0.3493347</v>
      </c>
      <c r="V4994">
        <v>9.2634629999999996E-2</v>
      </c>
      <c r="W4994">
        <v>5.7667019999999999E-2</v>
      </c>
      <c r="X4994">
        <v>0.99402889999999999</v>
      </c>
      <c r="Y4994">
        <v>8.9202249999999997E-2</v>
      </c>
      <c r="Z4994">
        <v>-1.1055520000000001E-3</v>
      </c>
      <c r="AA4994">
        <v>0.99601289999999998</v>
      </c>
      <c r="AB4994">
        <v>19</v>
      </c>
      <c r="AC4994">
        <v>18.378399999999999</v>
      </c>
      <c r="AD4994">
        <v>-1.159821</v>
      </c>
      <c r="AE4994">
        <v>-2.1634999999999902</v>
      </c>
      <c r="AF4994">
        <v>1.6629663578803899</v>
      </c>
      <c r="AG4994">
        <v>-1.159821</v>
      </c>
      <c r="AH4994">
        <v>18.357730303320199</v>
      </c>
      <c r="AI4994">
        <v>93.6003757793235</v>
      </c>
      <c r="AJ4994">
        <v>84.823891390752706</v>
      </c>
      <c r="AK4994">
        <v>18.4693503878432</v>
      </c>
      <c r="AL4994">
        <v>86.694089303061304</v>
      </c>
      <c r="AM4994">
        <v>84.675921167202006</v>
      </c>
      <c r="AN4994">
        <v>1.00000005695306</v>
      </c>
    </row>
    <row r="4995" spans="1:40" x14ac:dyDescent="0.25">
      <c r="A4995" t="str">
        <f>"20190312154700673"</f>
        <v>20190312154700673</v>
      </c>
      <c r="B4995" t="str">
        <f>"1552376820662634"</f>
        <v>1552376820662634</v>
      </c>
      <c r="C4995" t="s">
        <v>40</v>
      </c>
      <c r="D4995">
        <v>4.3968730000000003</v>
      </c>
      <c r="E4995">
        <v>0.49929400000000002</v>
      </c>
      <c r="F4995" t="s">
        <v>43</v>
      </c>
      <c r="G4995">
        <v>-307.40690000000001</v>
      </c>
      <c r="H4995">
        <v>-0.05</v>
      </c>
      <c r="I4995">
        <v>15.356640000000001</v>
      </c>
      <c r="J4995">
        <v>-326.06849999999997</v>
      </c>
      <c r="K4995">
        <v>1.1097870000000001</v>
      </c>
      <c r="L4995">
        <v>17.52008</v>
      </c>
      <c r="M4995">
        <v>0.99954080000000001</v>
      </c>
      <c r="N4995">
        <v>0</v>
      </c>
      <c r="O4995">
        <v>-2.7162599999999999E-2</v>
      </c>
      <c r="P4995">
        <v>0.99180939999999995</v>
      </c>
      <c r="Q4995">
        <v>4.4823229999999999E-2</v>
      </c>
      <c r="R4995">
        <v>-0.1196055</v>
      </c>
      <c r="S4995">
        <v>2.991333</v>
      </c>
      <c r="T4995">
        <v>-0.18490760000000001</v>
      </c>
      <c r="U4995">
        <v>-0.34539789999999998</v>
      </c>
      <c r="V4995">
        <v>9.2672089999999999E-2</v>
      </c>
      <c r="W4995">
        <v>5.810879E-2</v>
      </c>
      <c r="X4995">
        <v>0.99399959999999998</v>
      </c>
      <c r="Y4995">
        <v>8.756237E-2</v>
      </c>
      <c r="Z4995">
        <v>-1.023557E-3</v>
      </c>
      <c r="AA4995">
        <v>0.99615849999999995</v>
      </c>
      <c r="AB4995">
        <v>19</v>
      </c>
      <c r="AC4995">
        <v>18.6615999999999</v>
      </c>
      <c r="AD4995">
        <v>-1.1597869999999999</v>
      </c>
      <c r="AE4995">
        <v>-2.16344</v>
      </c>
      <c r="AF4995">
        <v>1.64941208288651</v>
      </c>
      <c r="AG4995">
        <v>-1.1597869999999999</v>
      </c>
      <c r="AH4995">
        <v>18.642433231506601</v>
      </c>
      <c r="AI4995">
        <v>93.546092308040997</v>
      </c>
      <c r="AJ4995">
        <v>84.943851644603001</v>
      </c>
      <c r="AK4995">
        <v>18.751159508033702</v>
      </c>
      <c r="AL4995">
        <v>86.668734962187898</v>
      </c>
      <c r="AM4995">
        <v>84.6736244748991</v>
      </c>
      <c r="AN4995">
        <v>0.99999997627019499</v>
      </c>
    </row>
    <row r="4996" spans="1:40" x14ac:dyDescent="0.25">
      <c r="A4996" t="str">
        <f>"20190312154700694"</f>
        <v>20190312154700694</v>
      </c>
      <c r="B4996" t="str">
        <f>"1552376820683135"</f>
        <v>1552376820683135</v>
      </c>
      <c r="C4996" t="s">
        <v>40</v>
      </c>
      <c r="D4996">
        <v>4.3939199999999996</v>
      </c>
      <c r="E4996">
        <v>0.4989499</v>
      </c>
      <c r="F4996" t="s">
        <v>43</v>
      </c>
      <c r="G4996">
        <v>-307.22919999999999</v>
      </c>
      <c r="H4996">
        <v>-0.05</v>
      </c>
      <c r="I4996">
        <v>15.34836</v>
      </c>
      <c r="J4996">
        <v>-325.88130000000001</v>
      </c>
      <c r="K4996">
        <v>1.1097239999999999</v>
      </c>
      <c r="L4996">
        <v>17.514250000000001</v>
      </c>
      <c r="M4996">
        <v>0.99952189999999996</v>
      </c>
      <c r="N4996">
        <v>0</v>
      </c>
      <c r="O4996">
        <v>-2.7845229999999999E-2</v>
      </c>
      <c r="P4996">
        <v>0.99166430000000005</v>
      </c>
      <c r="Q4996">
        <v>4.5356750000000001E-2</v>
      </c>
      <c r="R4996">
        <v>-0.12060220000000001</v>
      </c>
      <c r="S4996">
        <v>2.9915159999999998</v>
      </c>
      <c r="T4996">
        <v>-0.18416299999999999</v>
      </c>
      <c r="U4996">
        <v>-0.34484860000000001</v>
      </c>
      <c r="V4996">
        <v>9.3004000000000003E-2</v>
      </c>
      <c r="W4996">
        <v>5.8623840000000003E-2</v>
      </c>
      <c r="X4996">
        <v>0.9939384</v>
      </c>
      <c r="Y4996">
        <v>8.6698349999999993E-2</v>
      </c>
      <c r="Z4996">
        <v>-9.5110219999999996E-4</v>
      </c>
      <c r="AA4996">
        <v>0.99623419999999896</v>
      </c>
      <c r="AB4996">
        <v>19</v>
      </c>
      <c r="AC4996">
        <v>18.652100000000001</v>
      </c>
      <c r="AD4996">
        <v>-1.159724</v>
      </c>
      <c r="AE4996">
        <v>-2.1658899999999899</v>
      </c>
      <c r="AF4996">
        <v>1.6393776962476301</v>
      </c>
      <c r="AG4996">
        <v>-1.159724</v>
      </c>
      <c r="AH4996">
        <v>18.634101756582101</v>
      </c>
      <c r="AI4996">
        <v>93.547636091135402</v>
      </c>
      <c r="AJ4996">
        <v>84.972217846593196</v>
      </c>
      <c r="AK4996">
        <v>18.741992083601701</v>
      </c>
      <c r="AL4996">
        <v>86.639174525894106</v>
      </c>
      <c r="AM4996">
        <v>84.654330859886599</v>
      </c>
      <c r="AN4996">
        <v>1.0000000208134501</v>
      </c>
    </row>
    <row r="4997" spans="1:40" x14ac:dyDescent="0.25">
      <c r="A4997" t="str">
        <f>"20190312154700718"</f>
        <v>20190312154700718</v>
      </c>
      <c r="B4997" t="str">
        <f>"1552376820713386"</f>
        <v>1552376820713386</v>
      </c>
      <c r="C4997" t="s">
        <v>40</v>
      </c>
      <c r="D4997">
        <v>4.38924</v>
      </c>
      <c r="E4997">
        <v>0.49849719999999997</v>
      </c>
      <c r="F4997" t="s">
        <v>43</v>
      </c>
      <c r="G4997">
        <v>-306.88569999999999</v>
      </c>
      <c r="H4997">
        <v>-0.05</v>
      </c>
      <c r="I4997">
        <v>15.325200000000001</v>
      </c>
      <c r="J4997">
        <v>-325.68790000000001</v>
      </c>
      <c r="K4997">
        <v>1.1096520000000001</v>
      </c>
      <c r="L4997">
        <v>17.50797</v>
      </c>
      <c r="M4997">
        <v>0.99949849999999996</v>
      </c>
      <c r="N4997">
        <v>0</v>
      </c>
      <c r="O4997">
        <v>-2.8674950000000001E-2</v>
      </c>
      <c r="P4997">
        <v>0.9915178</v>
      </c>
      <c r="Q4997">
        <v>4.4984469999999999E-2</v>
      </c>
      <c r="R4997">
        <v>-0.1219399</v>
      </c>
      <c r="S4997">
        <v>2.991638</v>
      </c>
      <c r="T4997">
        <v>-0.18264639999999999</v>
      </c>
      <c r="U4997">
        <v>-0.34475709999999998</v>
      </c>
      <c r="V4997">
        <v>9.3530080000000002E-2</v>
      </c>
      <c r="W4997">
        <v>5.8232069999999997E-2</v>
      </c>
      <c r="X4997">
        <v>0.99391200000000002</v>
      </c>
      <c r="Y4997">
        <v>8.5841529999999999E-2</v>
      </c>
      <c r="Z4997">
        <v>-8.6681110000000003E-4</v>
      </c>
      <c r="AA4997">
        <v>0.99630839999999998</v>
      </c>
      <c r="AB4997">
        <v>19</v>
      </c>
      <c r="AC4997">
        <v>18.802199999999999</v>
      </c>
      <c r="AD4997">
        <v>-1.1596519999999999</v>
      </c>
      <c r="AE4997">
        <v>-2.1827700000000001</v>
      </c>
      <c r="AF4997">
        <v>1.63652891381878</v>
      </c>
      <c r="AG4997">
        <v>-1.1596519999999999</v>
      </c>
      <c r="AH4997">
        <v>18.786550095352101</v>
      </c>
      <c r="AI4997">
        <v>93.518966536313499</v>
      </c>
      <c r="AJ4997">
        <v>85.021433245674402</v>
      </c>
      <c r="AK4997">
        <v>18.8933185050176</v>
      </c>
      <c r="AL4997">
        <v>86.661659492202801</v>
      </c>
      <c r="AM4997">
        <v>84.624127615435299</v>
      </c>
      <c r="AN4997">
        <v>0.99999995679264397</v>
      </c>
    </row>
    <row r="4998" spans="1:40" x14ac:dyDescent="0.25">
      <c r="A4998" t="str">
        <f>"20190312154700739"</f>
        <v>20190312154700739</v>
      </c>
      <c r="B4998" t="str">
        <f>"1552376820732906"</f>
        <v>1552376820732906</v>
      </c>
      <c r="C4998" t="s">
        <v>40</v>
      </c>
      <c r="D4998">
        <v>4.3890120000000001</v>
      </c>
      <c r="E4998">
        <v>0.4982877</v>
      </c>
      <c r="F4998" t="s">
        <v>43</v>
      </c>
      <c r="G4998">
        <v>-306.89229999999998</v>
      </c>
      <c r="H4998">
        <v>-0.05</v>
      </c>
      <c r="I4998">
        <v>15.33806</v>
      </c>
      <c r="J4998">
        <v>-325.49930000000001</v>
      </c>
      <c r="K4998">
        <v>1.1095759999999999</v>
      </c>
      <c r="L4998">
        <v>17.5015</v>
      </c>
      <c r="M4998">
        <v>0.9994712</v>
      </c>
      <c r="N4998">
        <v>0</v>
      </c>
      <c r="O4998">
        <v>-2.9608700000000002E-2</v>
      </c>
      <c r="P4998">
        <v>0.99122650000000001</v>
      </c>
      <c r="Q4998">
        <v>4.4270759999999999E-2</v>
      </c>
      <c r="R4998">
        <v>-0.1245402</v>
      </c>
      <c r="S4998">
        <v>2.9915769999999999</v>
      </c>
      <c r="T4998">
        <v>-0.18457480000000001</v>
      </c>
      <c r="U4998">
        <v>-0.34536739999999999</v>
      </c>
      <c r="V4998">
        <v>9.5218109999999995E-2</v>
      </c>
      <c r="W4998">
        <v>5.7497079999999999E-2</v>
      </c>
      <c r="X4998">
        <v>0.99379459999999997</v>
      </c>
      <c r="Y4998">
        <v>8.5114519999999999E-2</v>
      </c>
      <c r="Z4998">
        <v>-7.9631759999999896E-4</v>
      </c>
      <c r="AA4998">
        <v>0.99637089999999995</v>
      </c>
      <c r="AB4998">
        <v>19</v>
      </c>
      <c r="AC4998">
        <v>18.606999999999999</v>
      </c>
      <c r="AD4998">
        <v>-1.1595759999999999</v>
      </c>
      <c r="AE4998">
        <v>-2.16344</v>
      </c>
      <c r="AF4998">
        <v>1.6053608756954201</v>
      </c>
      <c r="AG4998">
        <v>-1.1595759999999999</v>
      </c>
      <c r="AH4998">
        <v>18.591661673835301</v>
      </c>
      <c r="AI4998">
        <v>93.555760797073205</v>
      </c>
      <c r="AJ4998">
        <v>85.064840459291304</v>
      </c>
      <c r="AK4998">
        <v>18.696836198548301</v>
      </c>
      <c r="AL4998">
        <v>86.703842322741295</v>
      </c>
      <c r="AM4998">
        <v>84.527045181069298</v>
      </c>
      <c r="AN4998">
        <v>1.00000005483482</v>
      </c>
    </row>
    <row r="4999" spans="1:40" x14ac:dyDescent="0.25">
      <c r="A4999" t="str">
        <f>"20190312154700762"</f>
        <v>20190312154700762</v>
      </c>
      <c r="B4999" t="str">
        <f>"1552376820752426"</f>
        <v>1552376820752426</v>
      </c>
      <c r="C4999" t="s">
        <v>40</v>
      </c>
      <c r="D4999">
        <v>4.4123130000000002</v>
      </c>
      <c r="E4999">
        <v>0.49813950000000001</v>
      </c>
      <c r="F4999" t="s">
        <v>43</v>
      </c>
      <c r="G4999">
        <v>-306.9554</v>
      </c>
      <c r="H4999">
        <v>-0.05</v>
      </c>
      <c r="I4999">
        <v>15.319520000000001</v>
      </c>
      <c r="J4999">
        <v>-325.31439999999998</v>
      </c>
      <c r="K4999">
        <v>1.109499</v>
      </c>
      <c r="L4999">
        <v>17.494869999999999</v>
      </c>
      <c r="M4999">
        <v>0.99943970000000004</v>
      </c>
      <c r="N4999">
        <v>0</v>
      </c>
      <c r="O4999">
        <v>-3.0656539999999999E-2</v>
      </c>
      <c r="P4999">
        <v>0.99084099999999997</v>
      </c>
      <c r="Q4999">
        <v>4.3188270000000001E-2</v>
      </c>
      <c r="R4999">
        <v>-0.1279419</v>
      </c>
      <c r="S4999">
        <v>2.9906619999999999</v>
      </c>
      <c r="T4999">
        <v>-0.1870097</v>
      </c>
      <c r="U4999">
        <v>-0.35189819999999999</v>
      </c>
      <c r="V4999">
        <v>9.7595909999999994E-2</v>
      </c>
      <c r="W4999">
        <v>5.639069E-2</v>
      </c>
      <c r="X4999">
        <v>0.99362729999999999</v>
      </c>
      <c r="Y4999">
        <v>8.62483E-2</v>
      </c>
      <c r="Z4999">
        <v>-7.7709289999999896E-4</v>
      </c>
      <c r="AA4999">
        <v>0.99627339999999998</v>
      </c>
      <c r="AB4999">
        <v>19</v>
      </c>
      <c r="AC4999">
        <v>18.358999999999899</v>
      </c>
      <c r="AD4999">
        <v>-1.1594990000000001</v>
      </c>
      <c r="AE4999">
        <v>-2.1753499999999999</v>
      </c>
      <c r="AF4999">
        <v>1.6051392040127701</v>
      </c>
      <c r="AG4999">
        <v>-1.1594990000000001</v>
      </c>
      <c r="AH4999">
        <v>18.3449029282278</v>
      </c>
      <c r="AI4999">
        <v>93.602869438547998</v>
      </c>
      <c r="AJ4999">
        <v>84.999478770306595</v>
      </c>
      <c r="AK4999">
        <v>18.451459921679898</v>
      </c>
      <c r="AL4999">
        <v>86.767336784085401</v>
      </c>
      <c r="AM4999">
        <v>84.390296385216899</v>
      </c>
      <c r="AN4999">
        <v>1.0000000414363399</v>
      </c>
    </row>
    <row r="5000" spans="1:40" x14ac:dyDescent="0.25">
      <c r="A5000" t="str">
        <f>"20190312154700784"</f>
        <v>20190312154700784</v>
      </c>
      <c r="B5000" t="str">
        <f>"1552376820772922"</f>
        <v>1552376820772922</v>
      </c>
      <c r="C5000" t="s">
        <v>40</v>
      </c>
      <c r="D5000">
        <v>4.3989349999999998</v>
      </c>
      <c r="E5000">
        <v>0.49798039999999999</v>
      </c>
      <c r="F5000" t="s">
        <v>43</v>
      </c>
      <c r="G5000">
        <v>-307.14870000000002</v>
      </c>
      <c r="H5000">
        <v>-0.05</v>
      </c>
      <c r="I5000">
        <v>15.30017</v>
      </c>
      <c r="J5000">
        <v>-325.12569999999999</v>
      </c>
      <c r="K5000">
        <v>1.1094059999999999</v>
      </c>
      <c r="L5000">
        <v>17.487729999999999</v>
      </c>
      <c r="M5000">
        <v>0.9994016</v>
      </c>
      <c r="N5000">
        <v>0</v>
      </c>
      <c r="O5000">
        <v>-3.1872499999999998E-2</v>
      </c>
      <c r="P5000">
        <v>0.99040649999999997</v>
      </c>
      <c r="Q5000">
        <v>4.2063589999999998E-2</v>
      </c>
      <c r="R5000">
        <v>-0.1316262</v>
      </c>
      <c r="S5000">
        <v>2.989471</v>
      </c>
      <c r="T5000">
        <v>-0.19081529999999999</v>
      </c>
      <c r="U5000">
        <v>-0.36117549999999998</v>
      </c>
      <c r="V5000">
        <v>0.1000915</v>
      </c>
      <c r="W5000">
        <v>5.5239980000000001E-2</v>
      </c>
      <c r="X5000">
        <v>0.99344359999999998</v>
      </c>
      <c r="Y5000">
        <v>8.8124709999999995E-2</v>
      </c>
      <c r="Z5000">
        <v>-7.7551390000000001E-4</v>
      </c>
      <c r="AA5000">
        <v>0.99610909999999997</v>
      </c>
      <c r="AB5000">
        <v>19</v>
      </c>
      <c r="AC5000">
        <v>17.976999999999901</v>
      </c>
      <c r="AD5000">
        <v>-1.1594059999999999</v>
      </c>
      <c r="AE5000">
        <v>-2.1875599999999902</v>
      </c>
      <c r="AF5000">
        <v>1.60683866616864</v>
      </c>
      <c r="AG5000">
        <v>-1.1594059999999999</v>
      </c>
      <c r="AH5000">
        <v>17.963964255933501</v>
      </c>
      <c r="AI5000">
        <v>93.678140935437597</v>
      </c>
      <c r="AJ5000">
        <v>84.888616488479897</v>
      </c>
      <c r="AK5000">
        <v>18.072912453735501</v>
      </c>
      <c r="AL5000">
        <v>86.833370340542302</v>
      </c>
      <c r="AM5000">
        <v>84.246746198313801</v>
      </c>
      <c r="AN5000">
        <v>0.99999997507180405</v>
      </c>
    </row>
    <row r="5001" spans="1:40" x14ac:dyDescent="0.25">
      <c r="A5001" t="str">
        <f>"20190312154700806"</f>
        <v>20190312154700806</v>
      </c>
      <c r="B5001" t="str">
        <f>"1552376820792445"</f>
        <v>1552376820792445</v>
      </c>
      <c r="C5001" t="s">
        <v>40</v>
      </c>
      <c r="D5001">
        <v>4.4030110000000002</v>
      </c>
      <c r="E5001">
        <v>0.4978341</v>
      </c>
      <c r="F5001" t="s">
        <v>41</v>
      </c>
      <c r="G5001">
        <v>-324.22489999999999</v>
      </c>
      <c r="H5001">
        <v>1.0506789999999999</v>
      </c>
      <c r="I5001">
        <v>17.375599999999999</v>
      </c>
      <c r="J5001">
        <v>-324.9402</v>
      </c>
      <c r="K5001">
        <v>1.109318</v>
      </c>
      <c r="L5001">
        <v>17.480319999999999</v>
      </c>
      <c r="M5001">
        <v>0.9993573</v>
      </c>
      <c r="N5001">
        <v>0</v>
      </c>
      <c r="O5001">
        <v>-3.3230790000000003E-2</v>
      </c>
      <c r="P5001">
        <v>0.98998819999999998</v>
      </c>
      <c r="Q5001">
        <v>4.1755689999999998E-2</v>
      </c>
      <c r="R5001">
        <v>-0.13483329999999999</v>
      </c>
      <c r="S5001">
        <v>2.987946</v>
      </c>
      <c r="T5001">
        <v>-0.19477449999999999</v>
      </c>
      <c r="U5001">
        <v>-0.37139889999999998</v>
      </c>
      <c r="V5001">
        <v>0.1019704</v>
      </c>
      <c r="W5001">
        <v>5.4905280000000001E-2</v>
      </c>
      <c r="X5001">
        <v>0.99327109999999996</v>
      </c>
      <c r="Y5001">
        <v>9.0182780000000004E-2</v>
      </c>
      <c r="Z5001">
        <v>-7.7059280000000001E-4</v>
      </c>
      <c r="AA5001">
        <v>0.9959249</v>
      </c>
      <c r="AB5001">
        <v>19</v>
      </c>
      <c r="AC5001">
        <v>0.71530000000001304</v>
      </c>
      <c r="AD5001">
        <v>-5.8638999999999802E-2</v>
      </c>
      <c r="AE5001">
        <v>-0.10472000000000301</v>
      </c>
      <c r="AF5001">
        <v>8.0361291498370804E-2</v>
      </c>
      <c r="AG5001">
        <v>-5.8638999999999802E-2</v>
      </c>
      <c r="AH5001">
        <v>0.71368946087431395</v>
      </c>
      <c r="AI5001">
        <v>94.667687778551198</v>
      </c>
      <c r="AJ5001">
        <v>83.575566604381805</v>
      </c>
      <c r="AK5001">
        <v>0.72058942266408199</v>
      </c>
      <c r="AL5001">
        <v>86.852576512888504</v>
      </c>
      <c r="AM5001">
        <v>84.138481282800399</v>
      </c>
      <c r="AN5001">
        <v>1.00000001517162</v>
      </c>
    </row>
    <row r="5002" spans="1:40" x14ac:dyDescent="0.25">
      <c r="A5002" t="str">
        <f>"20190312154700828"</f>
        <v>20190312154700828</v>
      </c>
      <c r="B5002" t="str">
        <f>"1552376820822697"</f>
        <v>1552376820822697</v>
      </c>
      <c r="C5002" t="s">
        <v>40</v>
      </c>
      <c r="D5002">
        <v>4.4173600000000004</v>
      </c>
      <c r="E5002">
        <v>0.49753530000000001</v>
      </c>
      <c r="F5002" t="s">
        <v>41</v>
      </c>
      <c r="G5002">
        <v>-324.05509999999998</v>
      </c>
      <c r="H5002">
        <v>1.0510489999999999</v>
      </c>
      <c r="I5002">
        <v>17.36741</v>
      </c>
      <c r="J5002">
        <v>-324.74939999999998</v>
      </c>
      <c r="K5002">
        <v>1.109229</v>
      </c>
      <c r="L5002">
        <v>17.47223</v>
      </c>
      <c r="M5002">
        <v>0.99930529999999995</v>
      </c>
      <c r="N5002">
        <v>0</v>
      </c>
      <c r="O5002">
        <v>-3.4759489999999997E-2</v>
      </c>
      <c r="P5002">
        <v>0.98951880000000003</v>
      </c>
      <c r="Q5002">
        <v>4.1871449999999998E-2</v>
      </c>
      <c r="R5002">
        <v>-0.13820109999999999</v>
      </c>
      <c r="S5002">
        <v>2.9868160000000001</v>
      </c>
      <c r="T5002">
        <v>-0.1965382</v>
      </c>
      <c r="U5002">
        <v>-0.38046259999999998</v>
      </c>
      <c r="V5002">
        <v>0.1038433</v>
      </c>
      <c r="W5002">
        <v>5.4995259999999997E-2</v>
      </c>
      <c r="X5002">
        <v>0.99307199999999995</v>
      </c>
      <c r="Y5002">
        <v>9.1678289999999996E-2</v>
      </c>
      <c r="Z5002">
        <v>-7.2674380000000002E-4</v>
      </c>
      <c r="AA5002">
        <v>0.99578840000000002</v>
      </c>
      <c r="AB5002">
        <v>19</v>
      </c>
      <c r="AC5002">
        <v>0.69429999999999803</v>
      </c>
      <c r="AD5002">
        <v>-5.81800000000001E-2</v>
      </c>
      <c r="AE5002">
        <v>-0.10482</v>
      </c>
      <c r="AF5002">
        <v>8.0071231256065897E-2</v>
      </c>
      <c r="AG5002">
        <v>-5.81800000000001E-2</v>
      </c>
      <c r="AH5002">
        <v>0.69276805574810996</v>
      </c>
      <c r="AI5002">
        <v>94.768944560753297</v>
      </c>
      <c r="AJ5002">
        <v>83.406918235118596</v>
      </c>
      <c r="AK5002">
        <v>0.69980275330972996</v>
      </c>
      <c r="AL5002">
        <v>86.847413042494907</v>
      </c>
      <c r="AM5002">
        <v>84.030404445176501</v>
      </c>
      <c r="AN5002">
        <v>0.99999995338067704</v>
      </c>
    </row>
    <row r="5003" spans="1:40" x14ac:dyDescent="0.25">
      <c r="A5003" t="str">
        <f>"20190312154700851"</f>
        <v>20190312154700851</v>
      </c>
      <c r="B5003" t="str">
        <f>"1552376820843198"</f>
        <v>1552376820843198</v>
      </c>
      <c r="C5003" t="s">
        <v>40</v>
      </c>
      <c r="D5003">
        <v>4.3853559999999998</v>
      </c>
      <c r="E5003">
        <v>0.49735269999999998</v>
      </c>
      <c r="F5003" t="s">
        <v>41</v>
      </c>
      <c r="G5003">
        <v>-323.88499999999999</v>
      </c>
      <c r="H5003">
        <v>1.052152</v>
      </c>
      <c r="I5003">
        <v>17.359369999999998</v>
      </c>
      <c r="J5003">
        <v>-324.55959999999999</v>
      </c>
      <c r="K5003">
        <v>1.109165</v>
      </c>
      <c r="L5003">
        <v>17.463750000000001</v>
      </c>
      <c r="M5003">
        <v>0.99924619999999997</v>
      </c>
      <c r="N5003">
        <v>0</v>
      </c>
      <c r="O5003">
        <v>-3.6416940000000002E-2</v>
      </c>
      <c r="P5003">
        <v>0.98908870000000004</v>
      </c>
      <c r="Q5003">
        <v>4.1941779999999998E-2</v>
      </c>
      <c r="R5003">
        <v>-0.1412255</v>
      </c>
      <c r="S5003">
        <v>2.9858090000000002</v>
      </c>
      <c r="T5003">
        <v>-0.19697629999999999</v>
      </c>
      <c r="U5003">
        <v>-0.38882450000000002</v>
      </c>
      <c r="V5003">
        <v>0.1052433</v>
      </c>
      <c r="W5003">
        <v>5.5041920000000001E-2</v>
      </c>
      <c r="X5003">
        <v>0.99292210000000003</v>
      </c>
      <c r="Y5003">
        <v>9.2812420000000007E-2</v>
      </c>
      <c r="Z5003">
        <v>-6.5711489999999997E-4</v>
      </c>
      <c r="AA5003">
        <v>0.9956834</v>
      </c>
      <c r="AB5003">
        <v>19</v>
      </c>
      <c r="AC5003">
        <v>0.67459999999999798</v>
      </c>
      <c r="AD5003">
        <v>-5.7012999999999897E-2</v>
      </c>
      <c r="AE5003">
        <v>-0.104379999999999</v>
      </c>
      <c r="AF5003">
        <v>7.9189270210633905E-2</v>
      </c>
      <c r="AG5003">
        <v>-5.7012999999999897E-2</v>
      </c>
      <c r="AH5003">
        <v>0.67325762850013504</v>
      </c>
      <c r="AI5003">
        <v>94.807406369118198</v>
      </c>
      <c r="AJ5003">
        <v>83.291632962408698</v>
      </c>
      <c r="AK5003">
        <v>0.68029203803889804</v>
      </c>
      <c r="AL5003">
        <v>86.844735810678699</v>
      </c>
      <c r="AM5003">
        <v>83.949609606998294</v>
      </c>
      <c r="AN5003">
        <v>1.0000000309102901</v>
      </c>
    </row>
    <row r="5004" spans="1:40" x14ac:dyDescent="0.25">
      <c r="A5004" t="str">
        <f>"20190312154700874"</f>
        <v>20190312154700874</v>
      </c>
      <c r="B5004" t="str">
        <f>"1552376820862714"</f>
        <v>1552376820862714</v>
      </c>
      <c r="C5004" t="s">
        <v>40</v>
      </c>
      <c r="D5004">
        <v>4.4165809999999999</v>
      </c>
      <c r="E5004">
        <v>0.49712190000000001</v>
      </c>
      <c r="F5004" t="s">
        <v>41</v>
      </c>
      <c r="G5004">
        <v>-323.71179999999998</v>
      </c>
      <c r="H5004">
        <v>1.0532280000000001</v>
      </c>
      <c r="I5004">
        <v>17.350929999999899</v>
      </c>
      <c r="J5004">
        <v>-324.36430000000001</v>
      </c>
      <c r="K5004">
        <v>1.109086</v>
      </c>
      <c r="L5004">
        <v>17.454470000000001</v>
      </c>
      <c r="M5004">
        <v>0.99917670000000003</v>
      </c>
      <c r="N5004">
        <v>0</v>
      </c>
      <c r="O5004">
        <v>-3.8278350000000003E-2</v>
      </c>
      <c r="P5004">
        <v>0.98868270000000003</v>
      </c>
      <c r="Q5004">
        <v>4.2365439999999997E-2</v>
      </c>
      <c r="R5004">
        <v>-0.14391599999999999</v>
      </c>
      <c r="S5004">
        <v>2.9848330000000001</v>
      </c>
      <c r="T5004">
        <v>-0.19678599999999999</v>
      </c>
      <c r="U5004">
        <v>-0.396698</v>
      </c>
      <c r="V5004">
        <v>0.1061074</v>
      </c>
      <c r="W5004">
        <v>5.5444229999999997E-2</v>
      </c>
      <c r="X5004">
        <v>0.99280769999999996</v>
      </c>
      <c r="Y5004">
        <v>9.3583589999999994E-2</v>
      </c>
      <c r="Z5004">
        <v>-5.6004480000000005E-4</v>
      </c>
      <c r="AA5004">
        <v>0.99561129999999998</v>
      </c>
      <c r="AB5004">
        <v>19</v>
      </c>
      <c r="AC5004">
        <v>0.65250000000003106</v>
      </c>
      <c r="AD5004">
        <v>-5.5857999999999901E-2</v>
      </c>
      <c r="AE5004">
        <v>-0.10354000000000201</v>
      </c>
      <c r="AF5004">
        <v>7.7928160562899099E-2</v>
      </c>
      <c r="AG5004">
        <v>-5.5857999999999901E-2</v>
      </c>
      <c r="AH5004">
        <v>0.651329433234903</v>
      </c>
      <c r="AI5004">
        <v>94.867147531481905</v>
      </c>
      <c r="AJ5004">
        <v>83.177291655668597</v>
      </c>
      <c r="AK5004">
        <v>0.65834865001062803</v>
      </c>
      <c r="AL5004">
        <v>86.8216497498493</v>
      </c>
      <c r="AM5004">
        <v>83.899608312698703</v>
      </c>
      <c r="AN5004">
        <v>0.999999986077171</v>
      </c>
    </row>
    <row r="5005" spans="1:40" x14ac:dyDescent="0.25">
      <c r="A5005" t="str">
        <f>"20190312154700894"</f>
        <v>20190312154700894</v>
      </c>
      <c r="B5005" t="str">
        <f>"1552376820883211"</f>
        <v>1552376820883211</v>
      </c>
      <c r="C5005" t="s">
        <v>40</v>
      </c>
      <c r="D5005">
        <v>4.3962589999999997</v>
      </c>
      <c r="E5005">
        <v>0.49689519999999998</v>
      </c>
      <c r="F5005" t="s">
        <v>43</v>
      </c>
      <c r="G5005">
        <v>-306.71300000000002</v>
      </c>
      <c r="H5005">
        <v>-0.05</v>
      </c>
      <c r="I5005">
        <v>15.068680000000001</v>
      </c>
      <c r="J5005">
        <v>-324.18450000000001</v>
      </c>
      <c r="K5005">
        <v>1.1090169999999999</v>
      </c>
      <c r="L5005">
        <v>17.445499999999999</v>
      </c>
      <c r="M5005">
        <v>0.99910370000000004</v>
      </c>
      <c r="N5005">
        <v>0</v>
      </c>
      <c r="O5005">
        <v>-4.0137449999999998E-2</v>
      </c>
      <c r="P5005">
        <v>0.98840890000000003</v>
      </c>
      <c r="Q5005">
        <v>4.1678460000000001E-2</v>
      </c>
      <c r="R5005">
        <v>-0.14598239999999901</v>
      </c>
      <c r="S5005">
        <v>2.983978</v>
      </c>
      <c r="T5005">
        <v>-0.19594590000000001</v>
      </c>
      <c r="U5005">
        <v>-0.40332030000000002</v>
      </c>
      <c r="V5005">
        <v>0.1063419</v>
      </c>
      <c r="W5005">
        <v>5.474006E-2</v>
      </c>
      <c r="X5005">
        <v>0.99282170000000003</v>
      </c>
      <c r="Y5005">
        <v>9.3942990000000004E-2</v>
      </c>
      <c r="Z5005">
        <v>-4.4831610000000002E-4</v>
      </c>
      <c r="AA5005">
        <v>0.9955775</v>
      </c>
      <c r="AB5005">
        <v>19</v>
      </c>
      <c r="AC5005">
        <v>17.471499999999999</v>
      </c>
      <c r="AD5005">
        <v>-1.159017</v>
      </c>
      <c r="AE5005">
        <v>-2.3768199999999999</v>
      </c>
      <c r="AF5005">
        <v>1.6663795363295899</v>
      </c>
      <c r="AG5005">
        <v>-1.159017</v>
      </c>
      <c r="AH5005">
        <v>17.4773120507272</v>
      </c>
      <c r="AI5005">
        <v>93.776965127793602</v>
      </c>
      <c r="AJ5005">
        <v>84.553580941692005</v>
      </c>
      <c r="AK5005">
        <v>17.594788367124</v>
      </c>
      <c r="AL5005">
        <v>86.862057134617004</v>
      </c>
      <c r="AM5005">
        <v>83.886313847656197</v>
      </c>
      <c r="AN5005">
        <v>1.00000000092765</v>
      </c>
    </row>
    <row r="5006" spans="1:40" x14ac:dyDescent="0.25">
      <c r="A5006" t="str">
        <f>"20190312154700918"</f>
        <v>20190312154700918</v>
      </c>
      <c r="B5006" t="str">
        <f>"1552376820912490"</f>
        <v>1552376820912490</v>
      </c>
      <c r="C5006" t="s">
        <v>40</v>
      </c>
      <c r="D5006">
        <v>4.3957360000000003</v>
      </c>
      <c r="E5006">
        <v>0.4965812</v>
      </c>
      <c r="F5006" t="s">
        <v>43</v>
      </c>
      <c r="G5006">
        <v>-306.78019999999998</v>
      </c>
      <c r="H5006">
        <v>-0.05</v>
      </c>
      <c r="I5006">
        <v>15.06372</v>
      </c>
      <c r="J5006">
        <v>-323.99489999999997</v>
      </c>
      <c r="K5006">
        <v>1.108932</v>
      </c>
      <c r="L5006">
        <v>17.435459999999999</v>
      </c>
      <c r="M5006">
        <v>0.99901680000000004</v>
      </c>
      <c r="N5006">
        <v>0</v>
      </c>
      <c r="O5006">
        <v>-4.2247430000000002E-2</v>
      </c>
      <c r="P5006">
        <v>0.98814460000000004</v>
      </c>
      <c r="Q5006">
        <v>4.037118E-2</v>
      </c>
      <c r="R5006">
        <v>-0.14812520000000001</v>
      </c>
      <c r="S5006">
        <v>2.983276</v>
      </c>
      <c r="T5006">
        <v>-0.19866739999999999</v>
      </c>
      <c r="U5006">
        <v>-0.40826420000000002</v>
      </c>
      <c r="V5006">
        <v>0.10640230000000001</v>
      </c>
      <c r="W5006">
        <v>5.3415919999999999E-2</v>
      </c>
      <c r="X5006">
        <v>0.99288739999999998</v>
      </c>
      <c r="Y5006">
        <v>9.3493759999999995E-2</v>
      </c>
      <c r="Z5006">
        <v>-3.0030049999999999E-4</v>
      </c>
      <c r="AA5006">
        <v>0.99561980000000005</v>
      </c>
      <c r="AB5006">
        <v>19</v>
      </c>
      <c r="AC5006">
        <v>17.214699999999901</v>
      </c>
      <c r="AD5006">
        <v>-1.1589320000000001</v>
      </c>
      <c r="AE5006">
        <v>-2.3717399999999902</v>
      </c>
      <c r="AF5006">
        <v>1.63500729158837</v>
      </c>
      <c r="AG5006">
        <v>-1.1589320000000001</v>
      </c>
      <c r="AH5006">
        <v>17.2229314423479</v>
      </c>
      <c r="AI5006">
        <v>93.832454051571403</v>
      </c>
      <c r="AJ5006">
        <v>84.577048910242098</v>
      </c>
      <c r="AK5006">
        <v>17.339138954745899</v>
      </c>
      <c r="AL5006">
        <v>86.938036101230495</v>
      </c>
      <c r="AM5006">
        <v>83.883269426174095</v>
      </c>
      <c r="AN5006">
        <v>1.00000004951674</v>
      </c>
    </row>
    <row r="5007" spans="1:40" x14ac:dyDescent="0.25">
      <c r="A5007" t="str">
        <f>"20190312154700941"</f>
        <v>20190312154700941</v>
      </c>
      <c r="B5007" t="str">
        <f>"1552376820932986"</f>
        <v>1552376820932986</v>
      </c>
      <c r="C5007" t="s">
        <v>40</v>
      </c>
      <c r="D5007">
        <v>4.3995739999999897</v>
      </c>
      <c r="E5007">
        <v>0.4963591</v>
      </c>
      <c r="F5007" t="s">
        <v>43</v>
      </c>
      <c r="G5007">
        <v>-306.99799999999999</v>
      </c>
      <c r="H5007">
        <v>-0.05</v>
      </c>
      <c r="I5007">
        <v>15.08389</v>
      </c>
      <c r="J5007">
        <v>-323.7937</v>
      </c>
      <c r="K5007">
        <v>1.108841</v>
      </c>
      <c r="L5007">
        <v>17.424189999999999</v>
      </c>
      <c r="M5007">
        <v>0.99891249999999998</v>
      </c>
      <c r="N5007">
        <v>0</v>
      </c>
      <c r="O5007">
        <v>-4.464402E-2</v>
      </c>
      <c r="P5007">
        <v>0.98786209999999997</v>
      </c>
      <c r="Q5007">
        <v>3.8365139999999999E-2</v>
      </c>
      <c r="R5007">
        <v>-0.15052260000000001</v>
      </c>
      <c r="S5007">
        <v>2.9824519999999999</v>
      </c>
      <c r="T5007">
        <v>-0.2033577</v>
      </c>
      <c r="U5007">
        <v>-0.4126282</v>
      </c>
      <c r="V5007">
        <v>0.1064312</v>
      </c>
      <c r="W5007">
        <v>5.1391190000000003E-2</v>
      </c>
      <c r="X5007">
        <v>0.99299110000000002</v>
      </c>
      <c r="Y5007">
        <v>9.2574050000000005E-2</v>
      </c>
      <c r="Z5007">
        <v>-1.141711E-4</v>
      </c>
      <c r="AA5007">
        <v>0.99570579999999997</v>
      </c>
      <c r="AB5007">
        <v>19</v>
      </c>
      <c r="AC5007">
        <v>16.7957</v>
      </c>
      <c r="AD5007">
        <v>-1.158841</v>
      </c>
      <c r="AE5007">
        <v>-2.3402999999999898</v>
      </c>
      <c r="AF5007">
        <v>1.5806893314680499</v>
      </c>
      <c r="AG5007">
        <v>-1.158841</v>
      </c>
      <c r="AH5007">
        <v>16.8049646210501</v>
      </c>
      <c r="AI5007">
        <v>93.927490726523899</v>
      </c>
      <c r="AJ5007">
        <v>84.626519994050099</v>
      </c>
      <c r="AK5007">
        <v>16.918874878095298</v>
      </c>
      <c r="AL5007">
        <v>87.054204039006294</v>
      </c>
      <c r="AM5007">
        <v>83.882254765093293</v>
      </c>
      <c r="AN5007">
        <v>0.99999998971113302</v>
      </c>
    </row>
    <row r="5008" spans="1:40" x14ac:dyDescent="0.25">
      <c r="A5008" t="str">
        <f>"20190312154700963"</f>
        <v>20190312154700963</v>
      </c>
      <c r="B5008" t="str">
        <f>"1552376820952506"</f>
        <v>1552376820952506</v>
      </c>
      <c r="C5008" t="s">
        <v>40</v>
      </c>
      <c r="D5008">
        <v>4.4063439999999998</v>
      </c>
      <c r="E5008">
        <v>0.49612840000000002</v>
      </c>
      <c r="F5008" t="s">
        <v>43</v>
      </c>
      <c r="G5008">
        <v>-307.33730000000003</v>
      </c>
      <c r="H5008">
        <v>-0.05</v>
      </c>
      <c r="I5008">
        <v>15.11708</v>
      </c>
      <c r="J5008">
        <v>-323.6087</v>
      </c>
      <c r="K5008">
        <v>1.10876</v>
      </c>
      <c r="L5008">
        <v>17.413209999999999</v>
      </c>
      <c r="M5008">
        <v>0.99880469999999999</v>
      </c>
      <c r="N5008">
        <v>0</v>
      </c>
      <c r="O5008">
        <v>-4.6988799999999997E-2</v>
      </c>
      <c r="P5008">
        <v>0.98759640000000004</v>
      </c>
      <c r="Q5008">
        <v>3.6443589999999998E-2</v>
      </c>
      <c r="R5008">
        <v>-0.15272629999999901</v>
      </c>
      <c r="S5008">
        <v>2.9813230000000002</v>
      </c>
      <c r="T5008">
        <v>-0.20994209999999999</v>
      </c>
      <c r="U5008">
        <v>-0.41796879999999997</v>
      </c>
      <c r="V5008">
        <v>0.1063153</v>
      </c>
      <c r="W5008">
        <v>4.9454850000000002E-2</v>
      </c>
      <c r="X5008">
        <v>0.99310180000000003</v>
      </c>
      <c r="Y5008">
        <v>9.2037330000000001E-2</v>
      </c>
      <c r="Z5008" s="1">
        <v>6.4600719999999994E-5</v>
      </c>
      <c r="AA5008">
        <v>0.99575559999999996</v>
      </c>
      <c r="AB5008">
        <v>19</v>
      </c>
      <c r="AC5008">
        <v>16.2713999999999</v>
      </c>
      <c r="AD5008">
        <v>-1.15876</v>
      </c>
      <c r="AE5008">
        <v>-2.2961299999999998</v>
      </c>
      <c r="AF5008">
        <v>1.52138534994679</v>
      </c>
      <c r="AG5008">
        <v>-1.15876</v>
      </c>
      <c r="AH5008">
        <v>16.280371806414699</v>
      </c>
      <c r="AI5008">
        <v>94.053575928526598</v>
      </c>
      <c r="AJ5008">
        <v>84.661268121014501</v>
      </c>
      <c r="AK5008">
        <v>16.392310522795</v>
      </c>
      <c r="AL5008">
        <v>87.165289375579604</v>
      </c>
      <c r="AM5008">
        <v>83.889542393799502</v>
      </c>
      <c r="AN5008">
        <v>0.99999995518292495</v>
      </c>
    </row>
    <row r="5009" spans="1:40" x14ac:dyDescent="0.25">
      <c r="A5009" t="str">
        <f>"20190312154700986"</f>
        <v>20190312154700986</v>
      </c>
      <c r="B5009" t="str">
        <f>"1552376820973006"</f>
        <v>1552376820973006</v>
      </c>
      <c r="C5009" t="s">
        <v>40</v>
      </c>
      <c r="D5009">
        <v>4.4388969999999999</v>
      </c>
      <c r="E5009">
        <v>0.49594080000000001</v>
      </c>
      <c r="F5009" t="s">
        <v>43</v>
      </c>
      <c r="G5009">
        <v>-307.6311</v>
      </c>
      <c r="H5009">
        <v>-0.05</v>
      </c>
      <c r="I5009">
        <v>15.145899999999999</v>
      </c>
      <c r="J5009">
        <v>-323.42110000000002</v>
      </c>
      <c r="K5009">
        <v>1.1086849999999999</v>
      </c>
      <c r="L5009">
        <v>17.401429999999898</v>
      </c>
      <c r="M5009">
        <v>0.99868290000000004</v>
      </c>
      <c r="N5009">
        <v>0</v>
      </c>
      <c r="O5009">
        <v>-4.9511619999999999E-2</v>
      </c>
      <c r="P5009">
        <v>0.98730949999999995</v>
      </c>
      <c r="Q5009">
        <v>3.464793E-2</v>
      </c>
      <c r="R5009">
        <v>-0.1549818</v>
      </c>
      <c r="S5009">
        <v>2.9802550000000001</v>
      </c>
      <c r="T5009">
        <v>-0.21614069999999999</v>
      </c>
      <c r="U5009">
        <v>-0.42291260000000003</v>
      </c>
      <c r="V5009">
        <v>0.1060735</v>
      </c>
      <c r="W5009">
        <v>4.7647370000000001E-2</v>
      </c>
      <c r="X5009">
        <v>0.99321599999999999</v>
      </c>
      <c r="Y5009">
        <v>9.1192800000000004E-2</v>
      </c>
      <c r="Z5009">
        <v>2.7828549999999998E-4</v>
      </c>
      <c r="AA5009">
        <v>0.99583319999999997</v>
      </c>
      <c r="AB5009">
        <v>19</v>
      </c>
      <c r="AC5009">
        <v>15.79</v>
      </c>
      <c r="AD5009">
        <v>-1.158685</v>
      </c>
      <c r="AE5009">
        <v>-2.25552999999999</v>
      </c>
      <c r="AF5009">
        <v>1.4631825946716299</v>
      </c>
      <c r="AG5009">
        <v>-1.158685</v>
      </c>
      <c r="AH5009">
        <v>15.7989435125242</v>
      </c>
      <c r="AI5009">
        <v>94.176718205741906</v>
      </c>
      <c r="AJ5009">
        <v>84.708777315602404</v>
      </c>
      <c r="AK5009">
        <v>15.9088048057202</v>
      </c>
      <c r="AL5009">
        <v>87.268972604884198</v>
      </c>
      <c r="AM5009">
        <v>83.904030750383896</v>
      </c>
      <c r="AN5009">
        <v>0.99999994096308098</v>
      </c>
    </row>
    <row r="5010" spans="1:40" x14ac:dyDescent="0.25">
      <c r="A5010" t="str">
        <f>"20190312154701007"</f>
        <v>20190312154701007</v>
      </c>
      <c r="B5010" t="str">
        <f>"1552376821003262"</f>
        <v>1552376821003262</v>
      </c>
      <c r="C5010" t="s">
        <v>40</v>
      </c>
      <c r="D5010">
        <v>4.4059949999999999</v>
      </c>
      <c r="E5010">
        <v>0.49561630000000001</v>
      </c>
      <c r="F5010" t="s">
        <v>41</v>
      </c>
      <c r="G5010">
        <v>-322.5471</v>
      </c>
      <c r="H5010">
        <v>1.043418</v>
      </c>
      <c r="I5010">
        <v>17.275279999999999</v>
      </c>
      <c r="J5010">
        <v>-323.2414</v>
      </c>
      <c r="K5010">
        <v>1.108627</v>
      </c>
      <c r="L5010">
        <v>17.389589999999998</v>
      </c>
      <c r="M5010">
        <v>0.99855430000000001</v>
      </c>
      <c r="N5010">
        <v>0</v>
      </c>
      <c r="O5010">
        <v>-5.2038519999999998E-2</v>
      </c>
      <c r="P5010">
        <v>0.98704150000000002</v>
      </c>
      <c r="Q5010">
        <v>3.3360059999999997E-2</v>
      </c>
      <c r="R5010">
        <v>-0.1569594</v>
      </c>
      <c r="S5010">
        <v>2.979034</v>
      </c>
      <c r="T5010">
        <v>-0.2220975</v>
      </c>
      <c r="U5010">
        <v>-0.42877199999999999</v>
      </c>
      <c r="V5010">
        <v>0.1055485</v>
      </c>
      <c r="W5010">
        <v>4.6352289999999997E-2</v>
      </c>
      <c r="X5010">
        <v>0.99333329999999997</v>
      </c>
      <c r="Y5010">
        <v>9.0651469999999998E-2</v>
      </c>
      <c r="Z5010">
        <v>4.9267919999999995E-4</v>
      </c>
      <c r="AA5010">
        <v>0.99588259999999995</v>
      </c>
      <c r="AB5010">
        <v>19</v>
      </c>
      <c r="AC5010">
        <v>0.69429999999999803</v>
      </c>
      <c r="AD5010">
        <v>-6.5209000000000003E-2</v>
      </c>
      <c r="AE5010">
        <v>-0.114309999999999</v>
      </c>
      <c r="AF5010">
        <v>7.7357107595953906E-2</v>
      </c>
      <c r="AG5010">
        <v>-6.5209000000000003E-2</v>
      </c>
      <c r="AH5010">
        <v>0.69335346887259497</v>
      </c>
      <c r="AI5010">
        <v>95.3398518289073</v>
      </c>
      <c r="AJ5010">
        <v>83.633865469347299</v>
      </c>
      <c r="AK5010">
        <v>0.70069634548374204</v>
      </c>
      <c r="AL5010">
        <v>87.3432575689461</v>
      </c>
      <c r="AM5010">
        <v>83.934687603897999</v>
      </c>
      <c r="AN5010">
        <v>1.0000000327646901</v>
      </c>
    </row>
    <row r="5011" spans="1:40" x14ac:dyDescent="0.25">
      <c r="A5011" t="str">
        <f>"20190312154701029"</f>
        <v>20190312154701029</v>
      </c>
      <c r="B5011" t="str">
        <f>"1552376821022783"</f>
        <v>1552376821022783</v>
      </c>
      <c r="C5011" t="s">
        <v>40</v>
      </c>
      <c r="D5011">
        <v>4.5026869999999999</v>
      </c>
      <c r="E5011">
        <v>0.49552479999999899</v>
      </c>
      <c r="F5011" t="s">
        <v>41</v>
      </c>
      <c r="G5011">
        <v>-322.38010000000003</v>
      </c>
      <c r="H5011">
        <v>1.043024</v>
      </c>
      <c r="I5011">
        <v>17.264209999999999</v>
      </c>
      <c r="J5011">
        <v>-323.0566</v>
      </c>
      <c r="K5011">
        <v>1.108592</v>
      </c>
      <c r="L5011">
        <v>17.37677</v>
      </c>
      <c r="M5011">
        <v>0.99841080000000004</v>
      </c>
      <c r="N5011">
        <v>0</v>
      </c>
      <c r="O5011">
        <v>-5.47225E-2</v>
      </c>
      <c r="P5011">
        <v>0.98668409999999995</v>
      </c>
      <c r="Q5011">
        <v>3.291496E-2</v>
      </c>
      <c r="R5011">
        <v>-0.15928429999999999</v>
      </c>
      <c r="S5011">
        <v>2.97818</v>
      </c>
      <c r="T5011">
        <v>-0.22659850000000001</v>
      </c>
      <c r="U5011">
        <v>-0.43295289999999997</v>
      </c>
      <c r="V5011">
        <v>0.1052192</v>
      </c>
      <c r="W5011">
        <v>4.5903109999999997E-2</v>
      </c>
      <c r="X5011">
        <v>0.99338910000000002</v>
      </c>
      <c r="Y5011">
        <v>8.9390929999999993E-2</v>
      </c>
      <c r="Z5011">
        <v>7.5259619999999998E-4</v>
      </c>
      <c r="AA5011">
        <v>0.9959964</v>
      </c>
      <c r="AB5011">
        <v>19</v>
      </c>
      <c r="AC5011">
        <v>0.67649999999997501</v>
      </c>
      <c r="AD5011">
        <v>-6.5568000000000001E-2</v>
      </c>
      <c r="AE5011">
        <v>-0.11255999999999799</v>
      </c>
      <c r="AF5011">
        <v>7.4685489686333498E-2</v>
      </c>
      <c r="AG5011">
        <v>-6.5568000000000001E-2</v>
      </c>
      <c r="AH5011">
        <v>0.67547185721066205</v>
      </c>
      <c r="AI5011">
        <v>95.510950983151901</v>
      </c>
      <c r="AJ5011">
        <v>83.690555494151795</v>
      </c>
      <c r="AK5011">
        <v>0.68274395997131199</v>
      </c>
      <c r="AL5011">
        <v>87.369021128997602</v>
      </c>
      <c r="AM5011">
        <v>83.953807452186098</v>
      </c>
      <c r="AN5011">
        <v>1.0000000397775599</v>
      </c>
    </row>
    <row r="5012" spans="1:40" x14ac:dyDescent="0.25">
      <c r="A5012" t="str">
        <f>"20190312154701051"</f>
        <v>20190312154701051</v>
      </c>
      <c r="B5012" t="str">
        <f>"1552376821043281"</f>
        <v>1552376821043281</v>
      </c>
      <c r="C5012" t="s">
        <v>40</v>
      </c>
      <c r="D5012">
        <v>4.5269190000000004</v>
      </c>
      <c r="E5012">
        <v>0.52433189999999996</v>
      </c>
      <c r="F5012" t="s">
        <v>41</v>
      </c>
      <c r="G5012">
        <v>-322.21269999999998</v>
      </c>
      <c r="H5012">
        <v>1.0438229999999999</v>
      </c>
      <c r="I5012">
        <v>17.25187</v>
      </c>
      <c r="J5012">
        <v>-322.87310000000002</v>
      </c>
      <c r="K5012">
        <v>1.1085780000000001</v>
      </c>
      <c r="L5012">
        <v>17.363489999999999</v>
      </c>
      <c r="M5012">
        <v>0.99825779999999997</v>
      </c>
      <c r="N5012">
        <v>0</v>
      </c>
      <c r="O5012">
        <v>-5.7446730000000001E-2</v>
      </c>
      <c r="P5012">
        <v>0.98622600000000005</v>
      </c>
      <c r="Q5012">
        <v>3.335022E-2</v>
      </c>
      <c r="R5012">
        <v>-0.16200680000000001</v>
      </c>
      <c r="S5012">
        <v>2.9771730000000001</v>
      </c>
      <c r="T5012">
        <v>-0.22813620000000001</v>
      </c>
      <c r="U5012">
        <v>-0.43930049999999998</v>
      </c>
      <c r="V5012">
        <v>0.10525420000000001</v>
      </c>
      <c r="W5012">
        <v>4.6335620000000001E-2</v>
      </c>
      <c r="X5012">
        <v>0.99336530000000001</v>
      </c>
      <c r="Y5012">
        <v>8.8808129999999999E-2</v>
      </c>
      <c r="Z5012">
        <v>9.8662100000000003E-4</v>
      </c>
      <c r="AA5012">
        <v>0.9960483</v>
      </c>
      <c r="AB5012">
        <v>19</v>
      </c>
      <c r="AC5012">
        <v>0.66040000000003796</v>
      </c>
      <c r="AD5012">
        <v>-6.4755000000000104E-2</v>
      </c>
      <c r="AE5012">
        <v>-0.111619999999998</v>
      </c>
      <c r="AF5012">
        <v>7.2813742268170806E-2</v>
      </c>
      <c r="AG5012">
        <v>-6.4755000000000104E-2</v>
      </c>
      <c r="AH5012">
        <v>0.65955671773071201</v>
      </c>
      <c r="AI5012">
        <v>95.573657749708403</v>
      </c>
      <c r="AJ5012">
        <v>83.700171414090505</v>
      </c>
      <c r="AK5012">
        <v>0.66671591775793504</v>
      </c>
      <c r="AL5012">
        <v>87.344213703629293</v>
      </c>
      <c r="AM5012">
        <v>83.951667324023703</v>
      </c>
      <c r="AN5012">
        <v>1.00000002777125</v>
      </c>
    </row>
    <row r="5013" spans="1:40" x14ac:dyDescent="0.25">
      <c r="A5013" t="str">
        <f>"20190312154701073"</f>
        <v>20190312154701073</v>
      </c>
      <c r="B5013" t="str">
        <f>"1552376821062797"</f>
        <v>1552376821062797</v>
      </c>
      <c r="C5013" t="s">
        <v>40</v>
      </c>
      <c r="D5013">
        <v>4.4297810000000002</v>
      </c>
      <c r="E5013">
        <v>0.56757590000000002</v>
      </c>
      <c r="F5013" t="s">
        <v>43</v>
      </c>
      <c r="G5013">
        <v>-307.93560000000002</v>
      </c>
      <c r="H5013">
        <v>-0.05</v>
      </c>
      <c r="I5013">
        <v>13.93671</v>
      </c>
      <c r="J5013">
        <v>-322.68169999999998</v>
      </c>
      <c r="K5013">
        <v>1.108582</v>
      </c>
      <c r="L5013">
        <v>17.349029999999999</v>
      </c>
      <c r="M5013">
        <v>0.99808770000000002</v>
      </c>
      <c r="N5013">
        <v>0</v>
      </c>
      <c r="O5013">
        <v>-6.0329519999999998E-2</v>
      </c>
      <c r="P5013">
        <v>0.98569070000000003</v>
      </c>
      <c r="Q5013">
        <v>3.3173519999999998E-2</v>
      </c>
      <c r="R5013">
        <v>-0.165269</v>
      </c>
      <c r="S5013">
        <v>2.9388429999999999</v>
      </c>
      <c r="T5013">
        <v>-0.22794130000000001</v>
      </c>
      <c r="U5013">
        <v>-0.67419430000000002</v>
      </c>
      <c r="V5013">
        <v>0.105670899999999</v>
      </c>
      <c r="W5013">
        <v>4.615843E-2</v>
      </c>
      <c r="X5013">
        <v>0.99332929999999997</v>
      </c>
      <c r="Y5013">
        <v>0.16408979999999901</v>
      </c>
      <c r="Z5013">
        <v>-1.6698129999999901E-3</v>
      </c>
      <c r="AA5013">
        <v>0.98644399999999999</v>
      </c>
      <c r="AB5013">
        <v>19</v>
      </c>
      <c r="AC5013">
        <v>14.746099999999901</v>
      </c>
      <c r="AD5013">
        <v>-1.158582</v>
      </c>
      <c r="AE5013">
        <v>-3.4123199999999998</v>
      </c>
      <c r="AF5013">
        <v>2.50173918922951</v>
      </c>
      <c r="AG5013">
        <v>-1.158582</v>
      </c>
      <c r="AH5013">
        <v>14.8381764885835</v>
      </c>
      <c r="AI5013">
        <v>94.402772668829101</v>
      </c>
      <c r="AJ5013">
        <v>80.429848711530198</v>
      </c>
      <c r="AK5013">
        <v>15.092133471713099</v>
      </c>
      <c r="AL5013">
        <v>87.354376793503505</v>
      </c>
      <c r="AM5013">
        <v>83.927682175898397</v>
      </c>
      <c r="AN5013">
        <v>1.0000000190026801</v>
      </c>
    </row>
    <row r="5014" spans="1:40" x14ac:dyDescent="0.25">
      <c r="A5014" t="str">
        <f>"20190312154701095"</f>
        <v>20190312154701095</v>
      </c>
      <c r="B5014" t="str">
        <f>"1552376821083293"</f>
        <v>1552376821083293</v>
      </c>
      <c r="C5014" t="s">
        <v>40</v>
      </c>
      <c r="D5014">
        <v>4.5459899999999998</v>
      </c>
      <c r="E5014">
        <v>0.57630389999999998</v>
      </c>
      <c r="F5014" t="s">
        <v>43</v>
      </c>
      <c r="G5014">
        <v>-306.55</v>
      </c>
      <c r="H5014">
        <v>-0.05</v>
      </c>
      <c r="I5014">
        <v>11.611129999999999</v>
      </c>
      <c r="J5014">
        <v>-322.50380000000001</v>
      </c>
      <c r="K5014">
        <v>1.108595</v>
      </c>
      <c r="L5014">
        <v>17.335079999999898</v>
      </c>
      <c r="M5014">
        <v>0.99792119999999995</v>
      </c>
      <c r="N5014">
        <v>0</v>
      </c>
      <c r="O5014">
        <v>-6.3021930000000004E-2</v>
      </c>
      <c r="P5014">
        <v>0.98514040000000003</v>
      </c>
      <c r="Q5014">
        <v>3.3286209999999997E-2</v>
      </c>
      <c r="R5014">
        <v>-0.16849459999999999</v>
      </c>
      <c r="S5014">
        <v>2.878784</v>
      </c>
      <c r="T5014">
        <v>-0.20675460000000001</v>
      </c>
      <c r="U5014">
        <v>-1.0239560000000001</v>
      </c>
      <c r="V5014">
        <v>0.10624210000000001</v>
      </c>
      <c r="W5014">
        <v>4.627179E-2</v>
      </c>
      <c r="X5014">
        <v>0.99326309999999995</v>
      </c>
      <c r="Y5014">
        <v>0.274592</v>
      </c>
      <c r="Z5014">
        <v>-5.1830950000000004E-3</v>
      </c>
      <c r="AA5014">
        <v>0.96154689999999998</v>
      </c>
      <c r="AB5014">
        <v>19</v>
      </c>
      <c r="AC5014">
        <v>15.953799999999999</v>
      </c>
      <c r="AD5014">
        <v>-1.158595</v>
      </c>
      <c r="AE5014">
        <v>-5.7239499999999897</v>
      </c>
      <c r="AF5014">
        <v>4.6851477770172298</v>
      </c>
      <c r="AG5014">
        <v>-1.158595</v>
      </c>
      <c r="AH5014">
        <v>16.207120140074501</v>
      </c>
      <c r="AI5014">
        <v>93.928612451233704</v>
      </c>
      <c r="AJ5014">
        <v>73.876497119975397</v>
      </c>
      <c r="AK5014">
        <v>16.910461120304301</v>
      </c>
      <c r="AL5014">
        <v>87.347874810252804</v>
      </c>
      <c r="AM5014">
        <v>83.894701892302706</v>
      </c>
      <c r="AN5014">
        <v>1.00000002409191</v>
      </c>
    </row>
    <row r="5015" spans="1:40" x14ac:dyDescent="0.25">
      <c r="A5015" t="str">
        <f>"20190312154701118"</f>
        <v>20190312154701118</v>
      </c>
      <c r="B5015" t="str">
        <f>"1552376821112574"</f>
        <v>1552376821112574</v>
      </c>
      <c r="C5015" t="s">
        <v>40</v>
      </c>
      <c r="D5015">
        <v>4.514678</v>
      </c>
      <c r="E5015">
        <v>0.60987380000000002</v>
      </c>
      <c r="F5015" t="s">
        <v>43</v>
      </c>
      <c r="G5015">
        <v>-308.08280000000002</v>
      </c>
      <c r="H5015">
        <v>-0.05</v>
      </c>
      <c r="I5015">
        <v>11.78964</v>
      </c>
      <c r="J5015">
        <v>-322.31220000000002</v>
      </c>
      <c r="K5015">
        <v>1.1086199999999999</v>
      </c>
      <c r="L5015">
        <v>17.319520000000001</v>
      </c>
      <c r="M5015">
        <v>0.99773429999999996</v>
      </c>
      <c r="N5015">
        <v>0</v>
      </c>
      <c r="O5015">
        <v>-6.5916539999999996E-2</v>
      </c>
      <c r="P5015">
        <v>0.9843809</v>
      </c>
      <c r="Q5015">
        <v>3.4093909999999998E-2</v>
      </c>
      <c r="R5015">
        <v>-0.17271979999999901</v>
      </c>
      <c r="S5015">
        <v>2.8646240000000001</v>
      </c>
      <c r="T5015">
        <v>-0.23014699999999999</v>
      </c>
      <c r="U5015">
        <v>-1.1015629999999901</v>
      </c>
      <c r="V5015">
        <v>0.1076252</v>
      </c>
      <c r="W5015">
        <v>4.7077250000000001E-2</v>
      </c>
      <c r="X5015">
        <v>0.99307630000000002</v>
      </c>
      <c r="Y5015">
        <v>0.29596499999999998</v>
      </c>
      <c r="Z5015">
        <v>-6.374635E-3</v>
      </c>
      <c r="AA5015">
        <v>0.95517750000000001</v>
      </c>
      <c r="AB5015">
        <v>19</v>
      </c>
      <c r="AC5015">
        <v>14.229399999999901</v>
      </c>
      <c r="AD5015">
        <v>-1.15862</v>
      </c>
      <c r="AE5015">
        <v>-5.5298800000000004</v>
      </c>
      <c r="AF5015">
        <v>4.5535845903433998</v>
      </c>
      <c r="AG5015">
        <v>-1.15862</v>
      </c>
      <c r="AH5015">
        <v>14.479588521969299</v>
      </c>
      <c r="AI5015">
        <v>94.365028411794199</v>
      </c>
      <c r="AJ5015">
        <v>72.542524118696704</v>
      </c>
      <c r="AK5015">
        <v>15.2228780685966</v>
      </c>
      <c r="AL5015">
        <v>87.301674920486207</v>
      </c>
      <c r="AM5015">
        <v>83.814678507881098</v>
      </c>
      <c r="AN5015">
        <v>0.99999999438214604</v>
      </c>
    </row>
    <row r="5016" spans="1:40" x14ac:dyDescent="0.25">
      <c r="A5016" t="str">
        <f>"20190312154701141"</f>
        <v>20190312154701141</v>
      </c>
      <c r="B5016" t="str">
        <f>"1552376821133069"</f>
        <v>1552376821133069</v>
      </c>
      <c r="C5016" t="s">
        <v>40</v>
      </c>
      <c r="D5016">
        <v>4.5031470000000002</v>
      </c>
      <c r="E5016">
        <v>0.60920540000000001</v>
      </c>
      <c r="F5016" t="s">
        <v>43</v>
      </c>
      <c r="G5016">
        <v>-314.81119999999999</v>
      </c>
      <c r="H5016">
        <v>-0.05</v>
      </c>
      <c r="I5016">
        <v>13.66464</v>
      </c>
      <c r="J5016">
        <v>-322.12119999999999</v>
      </c>
      <c r="K5016">
        <v>1.1086549999999999</v>
      </c>
      <c r="L5016">
        <v>17.303439999999998</v>
      </c>
      <c r="M5016">
        <v>0.99754069999999995</v>
      </c>
      <c r="N5016">
        <v>0</v>
      </c>
      <c r="O5016">
        <v>-6.8783979999999995E-2</v>
      </c>
      <c r="P5016">
        <v>0.98359850000000004</v>
      </c>
      <c r="Q5016">
        <v>3.461993E-2</v>
      </c>
      <c r="R5016">
        <v>-0.1770195</v>
      </c>
      <c r="S5016">
        <v>2.8215029999999999</v>
      </c>
      <c r="T5016">
        <v>-0.4358165</v>
      </c>
      <c r="U5016">
        <v>-1.3747860000000001</v>
      </c>
      <c r="V5016">
        <v>0.1091105</v>
      </c>
      <c r="W5016">
        <v>4.7602129999999999E-2</v>
      </c>
      <c r="X5016">
        <v>0.99288920000000003</v>
      </c>
      <c r="Y5016">
        <v>0.37225720000000001</v>
      </c>
      <c r="Z5016">
        <v>-1.7118959999999999E-2</v>
      </c>
      <c r="AA5016">
        <v>0.92797169999999896</v>
      </c>
      <c r="AB5016">
        <v>19</v>
      </c>
      <c r="AC5016">
        <v>7.31</v>
      </c>
      <c r="AD5016">
        <v>-1.158655</v>
      </c>
      <c r="AE5016">
        <v>-3.6387999999999998</v>
      </c>
      <c r="AF5016">
        <v>3.0656005930666801</v>
      </c>
      <c r="AG5016">
        <v>-1.158655</v>
      </c>
      <c r="AH5016">
        <v>7.3941234270205696</v>
      </c>
      <c r="AI5016">
        <v>98.236449850478905</v>
      </c>
      <c r="AJ5016">
        <v>67.481123550564305</v>
      </c>
      <c r="AK5016">
        <v>8.0878581626565502</v>
      </c>
      <c r="AL5016">
        <v>87.271567809361699</v>
      </c>
      <c r="AM5016">
        <v>83.728820106842804</v>
      </c>
      <c r="AN5016">
        <v>1.0000000137337099</v>
      </c>
    </row>
    <row r="5017" spans="1:40" x14ac:dyDescent="0.25">
      <c r="A5017" t="str">
        <f>"20190312154701165"</f>
        <v>20190312154701165</v>
      </c>
      <c r="B5017" t="str">
        <f>"1552376821152590"</f>
        <v>1552376821152590</v>
      </c>
      <c r="C5017" t="s">
        <v>40</v>
      </c>
      <c r="D5017">
        <v>4.4960659999999999</v>
      </c>
      <c r="E5017">
        <v>0.60923459999999996</v>
      </c>
      <c r="F5017" t="s">
        <v>43</v>
      </c>
      <c r="G5017">
        <v>-314.24079999999998</v>
      </c>
      <c r="H5017">
        <v>-0.05</v>
      </c>
      <c r="I5017">
        <v>13.43562</v>
      </c>
      <c r="J5017">
        <v>-321.93279999999999</v>
      </c>
      <c r="K5017">
        <v>1.1086910000000001</v>
      </c>
      <c r="L5017">
        <v>17.287050000000001</v>
      </c>
      <c r="M5017">
        <v>0.99734339999999999</v>
      </c>
      <c r="N5017">
        <v>0</v>
      </c>
      <c r="O5017">
        <v>-7.1587499999999998E-2</v>
      </c>
      <c r="P5017">
        <v>0.98285469999999997</v>
      </c>
      <c r="Q5017">
        <v>3.5433600000000003E-2</v>
      </c>
      <c r="R5017">
        <v>-0.18094550000000001</v>
      </c>
      <c r="S5017">
        <v>2.815887</v>
      </c>
      <c r="T5017">
        <v>-0.41402090000000003</v>
      </c>
      <c r="U5017">
        <v>-1.38208</v>
      </c>
      <c r="V5017">
        <v>0.1102866</v>
      </c>
      <c r="W5017">
        <v>4.8415619999999999E-2</v>
      </c>
      <c r="X5017">
        <v>0.99271989999999999</v>
      </c>
      <c r="Y5017">
        <v>0.37261559999999999</v>
      </c>
      <c r="Z5017">
        <v>-1.5931669999999998E-2</v>
      </c>
      <c r="AA5017">
        <v>0.92784909999999998</v>
      </c>
      <c r="AB5017">
        <v>19</v>
      </c>
      <c r="AC5017">
        <v>7.6920000000000002</v>
      </c>
      <c r="AD5017">
        <v>-1.1586909999999999</v>
      </c>
      <c r="AE5017">
        <v>-3.8514299999999899</v>
      </c>
      <c r="AF5017">
        <v>3.2322048448477898</v>
      </c>
      <c r="AG5017">
        <v>-1.1586909999999999</v>
      </c>
      <c r="AH5017">
        <v>7.8063720094349103</v>
      </c>
      <c r="AI5017">
        <v>97.808745892188</v>
      </c>
      <c r="AJ5017">
        <v>67.5081466305883</v>
      </c>
      <c r="AK5017">
        <v>8.5281391254028804</v>
      </c>
      <c r="AL5017">
        <v>87.224904428491101</v>
      </c>
      <c r="AM5017">
        <v>83.660698277921298</v>
      </c>
      <c r="AN5017">
        <v>1.00000000312777</v>
      </c>
    </row>
    <row r="5018" spans="1:40" x14ac:dyDescent="0.25">
      <c r="A5018" t="str">
        <f>"20190312154701185"</f>
        <v>20190312154701185</v>
      </c>
      <c r="B5018" t="str">
        <f>"1552376821172617"</f>
        <v>1552376821172617</v>
      </c>
      <c r="C5018" t="s">
        <v>40</v>
      </c>
      <c r="D5018">
        <v>4.4862840000000004</v>
      </c>
      <c r="E5018">
        <v>0.60902279999999998</v>
      </c>
      <c r="F5018" t="s">
        <v>43</v>
      </c>
      <c r="G5018">
        <v>-314.03870000000001</v>
      </c>
      <c r="H5018">
        <v>-0.05</v>
      </c>
      <c r="I5018">
        <v>13.371479999999901</v>
      </c>
      <c r="J5018">
        <v>-321.76049999999998</v>
      </c>
      <c r="K5018">
        <v>1.1087209999999901</v>
      </c>
      <c r="L5018">
        <v>17.271609999999999</v>
      </c>
      <c r="M5018">
        <v>0.99715759999999998</v>
      </c>
      <c r="N5018">
        <v>0</v>
      </c>
      <c r="O5018">
        <v>-7.4131119999999995E-2</v>
      </c>
      <c r="P5018">
        <v>0.98214500000000005</v>
      </c>
      <c r="Q5018">
        <v>3.637986E-2</v>
      </c>
      <c r="R5018">
        <v>-0.18457560000000001</v>
      </c>
      <c r="S5018">
        <v>2.8106080000000002</v>
      </c>
      <c r="T5018">
        <v>-0.41254020000000002</v>
      </c>
      <c r="U5018">
        <v>-1.394104</v>
      </c>
      <c r="V5018">
        <v>0.1114256</v>
      </c>
      <c r="W5018">
        <v>4.9361019999999999E-2</v>
      </c>
      <c r="X5018">
        <v>0.99254609999999999</v>
      </c>
      <c r="Y5018">
        <v>0.37415609999999999</v>
      </c>
      <c r="Z5018">
        <v>-1.5646810000000001E-2</v>
      </c>
      <c r="AA5018">
        <v>0.9272338</v>
      </c>
      <c r="AB5018">
        <v>18</v>
      </c>
      <c r="AC5018">
        <v>7.7217999999999698</v>
      </c>
      <c r="AD5018">
        <v>-1.1587209999999999</v>
      </c>
      <c r="AE5018">
        <v>-3.9001299999999999</v>
      </c>
      <c r="AF5018">
        <v>3.25846011535659</v>
      </c>
      <c r="AG5018">
        <v>-1.1587209999999999</v>
      </c>
      <c r="AH5018">
        <v>7.8488821552842802</v>
      </c>
      <c r="AI5018">
        <v>97.764177105464597</v>
      </c>
      <c r="AJ5018">
        <v>67.454239297627893</v>
      </c>
      <c r="AK5018">
        <v>8.5770127530947899</v>
      </c>
      <c r="AL5018">
        <v>87.170672047965397</v>
      </c>
      <c r="AM5018">
        <v>83.594657375340802</v>
      </c>
      <c r="AN5018">
        <v>0.99999996762800403</v>
      </c>
    </row>
    <row r="5019" spans="1:40" x14ac:dyDescent="0.25">
      <c r="A5019" t="str">
        <f>"20190312154701207"</f>
        <v>20190312154701207</v>
      </c>
      <c r="B5019" t="str">
        <f>"1552376821193116"</f>
        <v>1552376821193116</v>
      </c>
      <c r="C5019" t="s">
        <v>40</v>
      </c>
      <c r="D5019">
        <v>4.5081350000000002</v>
      </c>
      <c r="E5019">
        <v>0.6088462</v>
      </c>
      <c r="F5019" t="s">
        <v>43</v>
      </c>
      <c r="G5019">
        <v>-313.72329999999999</v>
      </c>
      <c r="H5019">
        <v>-0.05</v>
      </c>
      <c r="I5019">
        <v>13.2532</v>
      </c>
      <c r="J5019">
        <v>-321.57760000000002</v>
      </c>
      <c r="K5019">
        <v>1.1087450000000001</v>
      </c>
      <c r="L5019">
        <v>17.2547</v>
      </c>
      <c r="M5019">
        <v>0.99695460000000002</v>
      </c>
      <c r="N5019">
        <v>0</v>
      </c>
      <c r="O5019">
        <v>-7.6814019999999997E-2</v>
      </c>
      <c r="P5019">
        <v>0.98139460000000001</v>
      </c>
      <c r="Q5019">
        <v>3.7254629999999997E-2</v>
      </c>
      <c r="R5019">
        <v>-0.18835379999999999</v>
      </c>
      <c r="S5019">
        <v>2.8058779999999999</v>
      </c>
      <c r="T5019">
        <v>-0.40452189999999999</v>
      </c>
      <c r="U5019">
        <v>-1.402863</v>
      </c>
      <c r="V5019">
        <v>0.11257789999999999</v>
      </c>
      <c r="W5019">
        <v>5.0233979999999998E-2</v>
      </c>
      <c r="X5019">
        <v>0.99237229999999998</v>
      </c>
      <c r="Y5019">
        <v>0.37471690000000002</v>
      </c>
      <c r="Z5019">
        <v>-1.503696E-2</v>
      </c>
      <c r="AA5019">
        <v>0.92701730000000004</v>
      </c>
      <c r="AB5019">
        <v>18</v>
      </c>
      <c r="AC5019">
        <v>7.8543000000000198</v>
      </c>
      <c r="AD5019">
        <v>-1.1587449999999999</v>
      </c>
      <c r="AE5019">
        <v>-4.0015000000000001</v>
      </c>
      <c r="AF5019">
        <v>3.3287789200232498</v>
      </c>
      <c r="AG5019">
        <v>-1.1587449999999999</v>
      </c>
      <c r="AH5019">
        <v>8.0002448037610296</v>
      </c>
      <c r="AI5019">
        <v>97.6166838601401</v>
      </c>
      <c r="AJ5019">
        <v>67.408555866953606</v>
      </c>
      <c r="AK5019">
        <v>8.7422752183582908</v>
      </c>
      <c r="AL5019">
        <v>87.120593109116697</v>
      </c>
      <c r="AM5019">
        <v>83.5278523005301</v>
      </c>
      <c r="AN5019">
        <v>1.00000000906117</v>
      </c>
    </row>
    <row r="5020" spans="1:40" x14ac:dyDescent="0.25">
      <c r="A5020" t="str">
        <f>"20190312154701230"</f>
        <v>20190312154701230</v>
      </c>
      <c r="B5020" t="str">
        <f>"1552376821223368"</f>
        <v>1552376821223368</v>
      </c>
      <c r="C5020" t="s">
        <v>40</v>
      </c>
      <c r="D5020">
        <v>4.7482449999999998</v>
      </c>
      <c r="E5020">
        <v>0.60888869999999995</v>
      </c>
      <c r="F5020" t="s">
        <v>43</v>
      </c>
      <c r="G5020">
        <v>-313.45690000000002</v>
      </c>
      <c r="H5020">
        <v>-0.05</v>
      </c>
      <c r="I5020">
        <v>13.159649999999999</v>
      </c>
      <c r="J5020">
        <v>-321.38940000000002</v>
      </c>
      <c r="K5020">
        <v>1.1087640000000001</v>
      </c>
      <c r="L5020">
        <v>17.23685</v>
      </c>
      <c r="M5020">
        <v>0.99673909999999999</v>
      </c>
      <c r="N5020">
        <v>0</v>
      </c>
      <c r="O5020">
        <v>-7.9560259999999994E-2</v>
      </c>
      <c r="P5020">
        <v>0.98052669999999997</v>
      </c>
      <c r="Q5020">
        <v>3.83538E-2</v>
      </c>
      <c r="R5020">
        <v>-0.19260379999999999</v>
      </c>
      <c r="S5020">
        <v>2.8009949999999999</v>
      </c>
      <c r="T5020">
        <v>-0.39967799999999998</v>
      </c>
      <c r="U5020">
        <v>-1.4124760000000001</v>
      </c>
      <c r="V5020">
        <v>0.11414870000000001</v>
      </c>
      <c r="W5020">
        <v>5.1327860000000003E-2</v>
      </c>
      <c r="X5020">
        <v>0.99213680000000004</v>
      </c>
      <c r="Y5020">
        <v>0.37542360000000002</v>
      </c>
      <c r="Z5020">
        <v>-1.455451E-2</v>
      </c>
      <c r="AA5020">
        <v>0.92673899999999998</v>
      </c>
      <c r="AB5020">
        <v>18</v>
      </c>
      <c r="AC5020">
        <v>7.9325000000000001</v>
      </c>
      <c r="AD5020">
        <v>-1.1587639999999999</v>
      </c>
      <c r="AE5020">
        <v>-4.0772000000000004</v>
      </c>
      <c r="AF5020">
        <v>3.3761169421755701</v>
      </c>
      <c r="AG5020">
        <v>-1.1587639999999999</v>
      </c>
      <c r="AH5020">
        <v>8.0951206261989803</v>
      </c>
      <c r="AI5020">
        <v>97.5260021434149</v>
      </c>
      <c r="AJ5020">
        <v>67.361140561358397</v>
      </c>
      <c r="AK5020">
        <v>8.8471395132920296</v>
      </c>
      <c r="AL5020">
        <v>87.057837266118796</v>
      </c>
      <c r="AM5020">
        <v>83.436784648041893</v>
      </c>
      <c r="AN5020">
        <v>0.99999995241905304</v>
      </c>
    </row>
    <row r="5021" spans="1:40" x14ac:dyDescent="0.25">
      <c r="A5021" t="str">
        <f>"20190312154701252"</f>
        <v>20190312154701252</v>
      </c>
      <c r="B5021" t="str">
        <f>"1552376821242889"</f>
        <v>1552376821242889</v>
      </c>
      <c r="C5021" t="s">
        <v>40</v>
      </c>
      <c r="D5021">
        <v>4.4900500000000001</v>
      </c>
      <c r="E5021">
        <v>0.60873520000000003</v>
      </c>
      <c r="F5021" t="s">
        <v>43</v>
      </c>
      <c r="G5021">
        <v>-313.1397</v>
      </c>
      <c r="H5021">
        <v>-0.05</v>
      </c>
      <c r="I5021">
        <v>13.032489999999999</v>
      </c>
      <c r="J5021">
        <v>-321.20460000000003</v>
      </c>
      <c r="K5021">
        <v>1.108752</v>
      </c>
      <c r="L5021">
        <v>17.218869999999999</v>
      </c>
      <c r="M5021">
        <v>0.99649670000000001</v>
      </c>
      <c r="N5021">
        <v>0</v>
      </c>
      <c r="O5021">
        <v>-8.2565559999999996E-2</v>
      </c>
      <c r="P5021">
        <v>0.97942839999999998</v>
      </c>
      <c r="Q5021">
        <v>3.9821620000000002E-2</v>
      </c>
      <c r="R5021">
        <v>-0.1978251</v>
      </c>
      <c r="S5021">
        <v>2.7951350000000001</v>
      </c>
      <c r="T5021">
        <v>-0.39260519999999999</v>
      </c>
      <c r="U5021">
        <v>-1.4245000000000001</v>
      </c>
      <c r="V5021">
        <v>0.11644889999999999</v>
      </c>
      <c r="W5021">
        <v>5.265881E-2</v>
      </c>
      <c r="X5021">
        <v>0.99179969999999995</v>
      </c>
      <c r="Y5021">
        <v>0.37667640000000002</v>
      </c>
      <c r="Z5021">
        <v>-1.4004269999999999E-2</v>
      </c>
      <c r="AA5021">
        <v>0.92623909999999998</v>
      </c>
      <c r="AB5021">
        <v>18</v>
      </c>
      <c r="AC5021">
        <v>8.0649000000000193</v>
      </c>
      <c r="AD5021">
        <v>-1.158752</v>
      </c>
      <c r="AE5021">
        <v>-4.1863799999999998</v>
      </c>
      <c r="AF5021">
        <v>3.4500379825930998</v>
      </c>
      <c r="AG5021">
        <v>-1.158752</v>
      </c>
      <c r="AH5021">
        <v>8.2488985515297504</v>
      </c>
      <c r="AI5021">
        <v>97.384107306691106</v>
      </c>
      <c r="AJ5021">
        <v>67.303257462836399</v>
      </c>
      <c r="AK5021">
        <v>9.0160853807108996</v>
      </c>
      <c r="AL5021">
        <v>86.981476210827296</v>
      </c>
      <c r="AM5021">
        <v>83.303463889917396</v>
      </c>
      <c r="AN5021">
        <v>0.99999997075095703</v>
      </c>
    </row>
    <row r="5022" spans="1:40" x14ac:dyDescent="0.25">
      <c r="A5022" t="str">
        <f>"20190312154701264"</f>
        <v>20190312154701264</v>
      </c>
      <c r="B5022" t="str">
        <f>"1552376821252649"</f>
        <v>1552376821252649</v>
      </c>
      <c r="C5022" t="s">
        <v>40</v>
      </c>
      <c r="D5022">
        <v>4.49505</v>
      </c>
      <c r="E5022">
        <v>0.60865649999999905</v>
      </c>
      <c r="F5022" t="s">
        <v>43</v>
      </c>
      <c r="G5022">
        <v>-312.9212</v>
      </c>
      <c r="H5022">
        <v>-0.05</v>
      </c>
      <c r="I5022">
        <v>12.95021</v>
      </c>
      <c r="J5022">
        <v>-321.11009999999999</v>
      </c>
      <c r="K5022">
        <v>1.1087279999999999</v>
      </c>
      <c r="L5022">
        <v>17.209589999999999</v>
      </c>
      <c r="M5022">
        <v>0.99635099999999999</v>
      </c>
      <c r="N5022">
        <v>0</v>
      </c>
      <c r="O5022">
        <v>-8.4330349999999998E-2</v>
      </c>
      <c r="P5022">
        <v>0.97886649999999997</v>
      </c>
      <c r="Q5022">
        <v>4.013075E-2</v>
      </c>
      <c r="R5022">
        <v>-0.2005246</v>
      </c>
      <c r="S5022">
        <v>2.788605</v>
      </c>
      <c r="T5022">
        <v>-0.39009280000000002</v>
      </c>
      <c r="U5022">
        <v>-1.4370419999999999</v>
      </c>
      <c r="V5022">
        <v>0.1174258</v>
      </c>
      <c r="W5022">
        <v>5.2799760000000001E-2</v>
      </c>
      <c r="X5022">
        <v>0.99167700000000003</v>
      </c>
      <c r="Y5022">
        <v>0.37923079999999998</v>
      </c>
      <c r="Z5022">
        <v>-1.387036E-2</v>
      </c>
      <c r="AA5022">
        <v>0.92519810000000002</v>
      </c>
      <c r="AB5022">
        <v>18</v>
      </c>
      <c r="AC5022">
        <v>8.1888999999999896</v>
      </c>
      <c r="AD5022">
        <v>-1.158728</v>
      </c>
      <c r="AE5022">
        <v>-4.2593799999999904</v>
      </c>
      <c r="AF5022">
        <v>3.4984412433013001</v>
      </c>
      <c r="AG5022">
        <v>-1.158728</v>
      </c>
      <c r="AH5022">
        <v>8.3867858201043894</v>
      </c>
      <c r="AI5022">
        <v>97.266688141348993</v>
      </c>
      <c r="AJ5022">
        <v>67.357162243601294</v>
      </c>
      <c r="AK5022">
        <v>9.1607815225077704</v>
      </c>
      <c r="AL5022">
        <v>86.973389065506396</v>
      </c>
      <c r="AM5022">
        <v>83.2469748995385</v>
      </c>
      <c r="AN5022">
        <v>0.99999995274534703</v>
      </c>
    </row>
    <row r="5023" spans="1:40" x14ac:dyDescent="0.25">
      <c r="A5023" t="str">
        <f>"20190312154701276"</f>
        <v>20190312154701276</v>
      </c>
      <c r="B5023" t="str">
        <f>"1552376821263385"</f>
        <v>1552376821263385</v>
      </c>
      <c r="C5023" t="s">
        <v>40</v>
      </c>
      <c r="D5023">
        <v>4.4843089999999997</v>
      </c>
      <c r="E5023">
        <v>0.60857249999999996</v>
      </c>
      <c r="F5023" t="s">
        <v>43</v>
      </c>
      <c r="G5023">
        <v>-312.81810000000002</v>
      </c>
      <c r="H5023">
        <v>-0.05</v>
      </c>
      <c r="I5023">
        <v>12.91164</v>
      </c>
      <c r="J5023">
        <v>-321.0093</v>
      </c>
      <c r="K5023">
        <v>1.108555</v>
      </c>
      <c r="L5023">
        <v>17.199459999999998</v>
      </c>
      <c r="M5023">
        <v>0.99620500000000001</v>
      </c>
      <c r="N5023">
        <v>0</v>
      </c>
      <c r="O5023">
        <v>-8.6081699999999997E-2</v>
      </c>
      <c r="P5023">
        <v>0.97827679999999995</v>
      </c>
      <c r="Q5023">
        <v>4.0583710000000002E-2</v>
      </c>
      <c r="R5023">
        <v>-0.20329050000000001</v>
      </c>
      <c r="S5023">
        <v>2.785034</v>
      </c>
      <c r="T5023">
        <v>-0.389185</v>
      </c>
      <c r="U5023">
        <v>-1.443573</v>
      </c>
      <c r="V5023">
        <v>0.1184972</v>
      </c>
      <c r="W5023">
        <v>5.2945480000000003E-2</v>
      </c>
      <c r="X5023">
        <v>0.99154180000000003</v>
      </c>
      <c r="Y5023">
        <v>0.37981819999999999</v>
      </c>
      <c r="Z5023">
        <v>-1.365951E-2</v>
      </c>
      <c r="AA5023">
        <v>0.92496029999999996</v>
      </c>
      <c r="AB5023">
        <v>18</v>
      </c>
      <c r="AC5023">
        <v>8.1911999999999807</v>
      </c>
      <c r="AD5023">
        <v>-1.158555</v>
      </c>
      <c r="AE5023">
        <v>-4.28782</v>
      </c>
      <c r="AF5023">
        <v>3.5115905276832402</v>
      </c>
      <c r="AG5023">
        <v>-1.158555</v>
      </c>
      <c r="AH5023">
        <v>8.3980546119145991</v>
      </c>
      <c r="AI5023">
        <v>97.253401781253501</v>
      </c>
      <c r="AJ5023">
        <v>67.308082014325606</v>
      </c>
      <c r="AK5023">
        <v>9.1761015135426494</v>
      </c>
      <c r="AL5023">
        <v>86.965028299260396</v>
      </c>
      <c r="AM5023">
        <v>83.185016273877906</v>
      </c>
      <c r="AN5023">
        <v>0.99999997570375398</v>
      </c>
    </row>
    <row r="5024" spans="1:40" x14ac:dyDescent="0.25">
      <c r="A5024" t="str">
        <f>"20190312154701297"</f>
        <v>20190312154701297</v>
      </c>
      <c r="B5024" t="str">
        <f>"1552376821282905"</f>
        <v>1552376821282905</v>
      </c>
      <c r="C5024" t="s">
        <v>40</v>
      </c>
      <c r="D5024">
        <v>4.5170399999999997</v>
      </c>
      <c r="E5024">
        <v>0.6083752</v>
      </c>
      <c r="F5024" t="s">
        <v>43</v>
      </c>
      <c r="G5024">
        <v>-312.69720000000001</v>
      </c>
      <c r="H5024">
        <v>-0.05</v>
      </c>
      <c r="I5024">
        <v>12.863530000000001</v>
      </c>
      <c r="J5024">
        <v>-320.83339999999998</v>
      </c>
      <c r="K5024">
        <v>1.108147</v>
      </c>
      <c r="L5024">
        <v>17.18149</v>
      </c>
      <c r="M5024">
        <v>0.99597409999999997</v>
      </c>
      <c r="N5024">
        <v>0</v>
      </c>
      <c r="O5024">
        <v>-8.8746850000000002E-2</v>
      </c>
      <c r="P5024">
        <v>0.97738829999999999</v>
      </c>
      <c r="Q5024">
        <v>3.9789770000000002E-2</v>
      </c>
      <c r="R5024">
        <v>-0.20767569999999999</v>
      </c>
      <c r="S5024">
        <v>2.7812190000000001</v>
      </c>
      <c r="T5024">
        <v>-0.387652</v>
      </c>
      <c r="U5024">
        <v>-1.450806</v>
      </c>
      <c r="V5024">
        <v>0.1203104</v>
      </c>
      <c r="W5024">
        <v>5.1854539999999998E-2</v>
      </c>
      <c r="X5024">
        <v>0.99138110000000002</v>
      </c>
      <c r="Y5024">
        <v>0.3797932</v>
      </c>
      <c r="Z5024">
        <v>-1.32706E-2</v>
      </c>
      <c r="AA5024">
        <v>0.92497620000000003</v>
      </c>
      <c r="AB5024">
        <v>18</v>
      </c>
      <c r="AC5024">
        <v>8.1361999999999703</v>
      </c>
      <c r="AD5024">
        <v>-1.158147</v>
      </c>
      <c r="AE5024">
        <v>-4.3179599999999896</v>
      </c>
      <c r="AF5024">
        <v>3.5231018645330101</v>
      </c>
      <c r="AG5024">
        <v>-1.158147</v>
      </c>
      <c r="AH5024">
        <v>8.3552363087338897</v>
      </c>
      <c r="AI5024">
        <v>97.2785802571548</v>
      </c>
      <c r="AJ5024">
        <v>67.136601330168702</v>
      </c>
      <c r="AK5024">
        <v>9.1413087135415196</v>
      </c>
      <c r="AL5024">
        <v>87.027620581671499</v>
      </c>
      <c r="AM5024">
        <v>83.080628506313801</v>
      </c>
      <c r="AN5024">
        <v>0.99999998555198999</v>
      </c>
    </row>
    <row r="5025" spans="1:40" x14ac:dyDescent="0.25">
      <c r="A5025" t="str">
        <f>"20190312154701319"</f>
        <v>20190312154701319</v>
      </c>
      <c r="B5025" t="str">
        <f>"1552376821313164"</f>
        <v>1552376821313164</v>
      </c>
      <c r="C5025" t="s">
        <v>40</v>
      </c>
      <c r="D5025">
        <v>4.521452</v>
      </c>
      <c r="E5025">
        <v>0.6079561</v>
      </c>
      <c r="F5025" t="s">
        <v>43</v>
      </c>
      <c r="G5025">
        <v>-312.5684</v>
      </c>
      <c r="H5025">
        <v>-0.05</v>
      </c>
      <c r="I5025">
        <v>12.82668</v>
      </c>
      <c r="J5025">
        <v>-320.64769999999999</v>
      </c>
      <c r="K5025">
        <v>1.107629</v>
      </c>
      <c r="L5025">
        <v>17.161960000000001</v>
      </c>
      <c r="M5025">
        <v>0.99576189999999998</v>
      </c>
      <c r="N5025">
        <v>0</v>
      </c>
      <c r="O5025">
        <v>-9.1052060000000004E-2</v>
      </c>
      <c r="P5025">
        <v>0.97654850000000004</v>
      </c>
      <c r="Q5025">
        <v>3.8271289999999999E-2</v>
      </c>
      <c r="R5025">
        <v>-0.21186959999999999</v>
      </c>
      <c r="S5025">
        <v>2.7746279999999999</v>
      </c>
      <c r="T5025">
        <v>-0.38879819999999998</v>
      </c>
      <c r="U5025">
        <v>-1.4619450000000001</v>
      </c>
      <c r="V5025">
        <v>0.12229080000000001</v>
      </c>
      <c r="W5025">
        <v>5.0584959999999998E-2</v>
      </c>
      <c r="X5025">
        <v>0.99120439999999999</v>
      </c>
      <c r="Y5025">
        <v>0.3814535</v>
      </c>
      <c r="Z5025">
        <v>-1.313721E-2</v>
      </c>
      <c r="AA5025">
        <v>0.92429470000000002</v>
      </c>
      <c r="AB5025">
        <v>19</v>
      </c>
      <c r="AC5025">
        <v>8.0792999999999893</v>
      </c>
      <c r="AD5025">
        <v>-1.157629</v>
      </c>
      <c r="AE5025">
        <v>-4.33528</v>
      </c>
      <c r="AF5025">
        <v>3.52537431777264</v>
      </c>
      <c r="AG5025">
        <v>-1.157629</v>
      </c>
      <c r="AH5025">
        <v>8.3080694061813603</v>
      </c>
      <c r="AI5025">
        <v>97.309294358760496</v>
      </c>
      <c r="AJ5025">
        <v>67.006965349482996</v>
      </c>
      <c r="AK5025">
        <v>9.0990321595199593</v>
      </c>
      <c r="AL5025">
        <v>87.100457869713694</v>
      </c>
      <c r="AM5025">
        <v>82.966620660607504</v>
      </c>
      <c r="AN5025">
        <v>1.0000000202610999</v>
      </c>
    </row>
    <row r="5026" spans="1:40" x14ac:dyDescent="0.25">
      <c r="A5026" t="str">
        <f>"20190312154701333"</f>
        <v>20190312154701333</v>
      </c>
      <c r="B5026" t="str">
        <f>"1552376821322922"</f>
        <v>1552376821322922</v>
      </c>
      <c r="C5026" t="s">
        <v>40</v>
      </c>
      <c r="D5026">
        <v>4.5257009999999998</v>
      </c>
      <c r="E5026">
        <v>0.6078403</v>
      </c>
      <c r="F5026" t="s">
        <v>43</v>
      </c>
      <c r="G5026">
        <v>-312.45679999999999</v>
      </c>
      <c r="H5026">
        <v>-0.05</v>
      </c>
      <c r="I5026">
        <v>12.811109999999999</v>
      </c>
      <c r="J5026">
        <v>-320.5351</v>
      </c>
      <c r="K5026">
        <v>1.107246</v>
      </c>
      <c r="L5026">
        <v>17.149809999999999</v>
      </c>
      <c r="M5026">
        <v>0.99563219999999997</v>
      </c>
      <c r="N5026">
        <v>0</v>
      </c>
      <c r="O5026">
        <v>-9.2392680000000005E-2</v>
      </c>
      <c r="P5026">
        <v>0.97599729999999996</v>
      </c>
      <c r="Q5026">
        <v>3.7540110000000002E-2</v>
      </c>
      <c r="R5026">
        <v>-0.21452260000000001</v>
      </c>
      <c r="S5026">
        <v>2.7683409999999999</v>
      </c>
      <c r="T5026">
        <v>-0.39125310000000002</v>
      </c>
      <c r="U5026">
        <v>-1.4704900000000001</v>
      </c>
      <c r="V5026">
        <v>0.1236589</v>
      </c>
      <c r="W5026">
        <v>5.0261599999999997E-2</v>
      </c>
      <c r="X5026">
        <v>0.99105109999999996</v>
      </c>
      <c r="Y5026">
        <v>0.3832661</v>
      </c>
      <c r="Z5026">
        <v>-1.3182559999999999E-2</v>
      </c>
      <c r="AA5026">
        <v>0.92354389999999997</v>
      </c>
      <c r="AB5026">
        <v>19</v>
      </c>
      <c r="AC5026">
        <v>8.0783000000000094</v>
      </c>
      <c r="AD5026">
        <v>-1.157246</v>
      </c>
      <c r="AE5026">
        <v>-4.3387000000000002</v>
      </c>
      <c r="AF5026">
        <v>3.5176685636963598</v>
      </c>
      <c r="AG5026">
        <v>-1.157246</v>
      </c>
      <c r="AH5026">
        <v>8.3122486624376606</v>
      </c>
      <c r="AI5026">
        <v>97.3062284154324</v>
      </c>
      <c r="AJ5026">
        <v>67.062357493391602</v>
      </c>
      <c r="AK5026">
        <v>9.0998180341548807</v>
      </c>
      <c r="AL5026">
        <v>87.119008622155107</v>
      </c>
      <c r="AM5026">
        <v>82.887648814891307</v>
      </c>
      <c r="AN5026">
        <v>1.0000000173974899</v>
      </c>
    </row>
    <row r="5027" spans="1:40" x14ac:dyDescent="0.25">
      <c r="A5027" t="str">
        <f>"20190312154701355"</f>
        <v>20190312154701355</v>
      </c>
      <c r="B5027" t="str">
        <f>"1552376821342440"</f>
        <v>1552376821342440</v>
      </c>
      <c r="C5027" t="s">
        <v>40</v>
      </c>
      <c r="D5027">
        <v>4.5280170000000002</v>
      </c>
      <c r="E5027">
        <v>0.60758809999999996</v>
      </c>
      <c r="F5027" t="s">
        <v>43</v>
      </c>
      <c r="G5027">
        <v>-312.37020000000001</v>
      </c>
      <c r="H5027">
        <v>-0.05</v>
      </c>
      <c r="I5027">
        <v>12.786670000000001</v>
      </c>
      <c r="J5027">
        <v>-320.36090000000002</v>
      </c>
      <c r="K5027">
        <v>1.1065069999999999</v>
      </c>
      <c r="L5027">
        <v>17.130739999999999</v>
      </c>
      <c r="M5027">
        <v>0.99541880000000005</v>
      </c>
      <c r="N5027">
        <v>0</v>
      </c>
      <c r="O5027">
        <v>-9.453607E-2</v>
      </c>
      <c r="P5027">
        <v>0.9751396</v>
      </c>
      <c r="Q5027">
        <v>3.6194240000000003E-2</v>
      </c>
      <c r="R5027">
        <v>-0.21861630000000001</v>
      </c>
      <c r="S5027">
        <v>2.7641909999999998</v>
      </c>
      <c r="T5027">
        <v>-0.39177800000000002</v>
      </c>
      <c r="U5027">
        <v>-1.477112</v>
      </c>
      <c r="V5027">
        <v>0.1256901</v>
      </c>
      <c r="W5027">
        <v>4.9741540000000001E-2</v>
      </c>
      <c r="X5027">
        <v>0.99082179999999997</v>
      </c>
      <c r="Y5027">
        <v>0.38358150000000002</v>
      </c>
      <c r="Z5027">
        <v>-1.295223E-2</v>
      </c>
      <c r="AA5027">
        <v>0.92341620000000002</v>
      </c>
      <c r="AB5027">
        <v>18</v>
      </c>
      <c r="AC5027">
        <v>7.9907000000000004</v>
      </c>
      <c r="AD5027">
        <v>-1.156507</v>
      </c>
      <c r="AE5027">
        <v>-4.3440699999999897</v>
      </c>
      <c r="AF5027">
        <v>3.51233447852624</v>
      </c>
      <c r="AG5027">
        <v>-1.156507</v>
      </c>
      <c r="AH5027">
        <v>8.2325103445542709</v>
      </c>
      <c r="AI5027">
        <v>97.362510594774307</v>
      </c>
      <c r="AJ5027">
        <v>66.894869966195202</v>
      </c>
      <c r="AK5027">
        <v>9.0248672291223393</v>
      </c>
      <c r="AL5027">
        <v>87.148843221904301</v>
      </c>
      <c r="AM5027">
        <v>82.770393230900595</v>
      </c>
      <c r="AN5027">
        <v>1.0000000306974099</v>
      </c>
    </row>
    <row r="5028" spans="1:40" x14ac:dyDescent="0.25">
      <c r="A5028" t="str">
        <f>"20190312154701376"</f>
        <v>20190312154701376</v>
      </c>
      <c r="B5028" t="str">
        <f>"1552376821362937"</f>
        <v>1552376821362937</v>
      </c>
      <c r="C5028" t="s">
        <v>40</v>
      </c>
      <c r="D5028">
        <v>4.5106330000000003</v>
      </c>
      <c r="E5028">
        <v>0.60730150000000005</v>
      </c>
      <c r="F5028" t="s">
        <v>43</v>
      </c>
      <c r="G5028">
        <v>-312.21969999999999</v>
      </c>
      <c r="H5028">
        <v>-0.05</v>
      </c>
      <c r="I5028">
        <v>12.74086</v>
      </c>
      <c r="J5028">
        <v>-320.18459999999999</v>
      </c>
      <c r="K5028">
        <v>1.10555</v>
      </c>
      <c r="L5028">
        <v>17.110990000000001</v>
      </c>
      <c r="M5028">
        <v>0.99518649999999997</v>
      </c>
      <c r="N5028">
        <v>0</v>
      </c>
      <c r="O5028">
        <v>-9.6781370000000005E-2</v>
      </c>
      <c r="P5028">
        <v>0.97425930000000005</v>
      </c>
      <c r="Q5028">
        <v>3.4063070000000001E-2</v>
      </c>
      <c r="R5028">
        <v>-0.2228435</v>
      </c>
      <c r="S5028">
        <v>2.75766</v>
      </c>
      <c r="T5028">
        <v>-0.39174100000000001</v>
      </c>
      <c r="U5028">
        <v>-1.486969</v>
      </c>
      <c r="V5028">
        <v>0.12774659999999999</v>
      </c>
      <c r="W5028">
        <v>4.8676150000000001E-2</v>
      </c>
      <c r="X5028">
        <v>0.99061169999999998</v>
      </c>
      <c r="Y5028">
        <v>0.38497110000000001</v>
      </c>
      <c r="Z5028">
        <v>-1.2767199999999999E-2</v>
      </c>
      <c r="AA5028">
        <v>0.92284040000000001</v>
      </c>
      <c r="AB5028">
        <v>18</v>
      </c>
      <c r="AC5028">
        <v>7.9649000000000001</v>
      </c>
      <c r="AD5028">
        <v>-1.1555500000000001</v>
      </c>
      <c r="AE5028">
        <v>-4.3701299999999996</v>
      </c>
      <c r="AF5028">
        <v>3.52169091847815</v>
      </c>
      <c r="AG5028">
        <v>-1.1555500000000001</v>
      </c>
      <c r="AH5028">
        <v>8.2175547947097893</v>
      </c>
      <c r="AI5028">
        <v>97.364682068997993</v>
      </c>
      <c r="AJ5028">
        <v>66.802106207434505</v>
      </c>
      <c r="AK5028">
        <v>9.0147551010468003</v>
      </c>
      <c r="AL5028">
        <v>87.209959671404505</v>
      </c>
      <c r="AM5028">
        <v>82.651845706040106</v>
      </c>
      <c r="AN5028">
        <v>1.00000005078363</v>
      </c>
    </row>
    <row r="5029" spans="1:40" x14ac:dyDescent="0.25">
      <c r="A5029" t="str">
        <f>"20190312154701398"</f>
        <v>20190312154701398</v>
      </c>
      <c r="B5029" t="str">
        <f>"1552376821393193"</f>
        <v>1552376821393193</v>
      </c>
      <c r="C5029" t="s">
        <v>40</v>
      </c>
      <c r="D5029">
        <v>4.4896969999999996</v>
      </c>
      <c r="E5029">
        <v>0.60688699999999995</v>
      </c>
      <c r="F5029" t="s">
        <v>43</v>
      </c>
      <c r="G5029">
        <v>-312.12549999999999</v>
      </c>
      <c r="H5029">
        <v>-0.05</v>
      </c>
      <c r="I5029">
        <v>12.72476</v>
      </c>
      <c r="J5029">
        <v>-320.00869999999998</v>
      </c>
      <c r="K5029">
        <v>1.1044369999999999</v>
      </c>
      <c r="L5029">
        <v>17.090879999999999</v>
      </c>
      <c r="M5029">
        <v>0.99493350000000003</v>
      </c>
      <c r="N5029">
        <v>0</v>
      </c>
      <c r="O5029">
        <v>-9.9122290000000002E-2</v>
      </c>
      <c r="P5029">
        <v>0.97330680000000003</v>
      </c>
      <c r="Q5029">
        <v>3.202493E-2</v>
      </c>
      <c r="R5029">
        <v>-0.22726279999999999</v>
      </c>
      <c r="S5029">
        <v>2.7506409999999999</v>
      </c>
      <c r="T5029">
        <v>-0.39439560000000001</v>
      </c>
      <c r="U5029">
        <v>-1.4970399999999999</v>
      </c>
      <c r="V5029">
        <v>0.1299014</v>
      </c>
      <c r="W5029">
        <v>4.800364E-2</v>
      </c>
      <c r="X5029">
        <v>0.99036420000000003</v>
      </c>
      <c r="Y5029">
        <v>0.38636619999999999</v>
      </c>
      <c r="Z5029">
        <v>-1.265704E-2</v>
      </c>
      <c r="AA5029">
        <v>0.92225860000000004</v>
      </c>
      <c r="AB5029">
        <v>18</v>
      </c>
      <c r="AC5029">
        <v>7.88319999999998</v>
      </c>
      <c r="AD5029">
        <v>-1.1544369999999999</v>
      </c>
      <c r="AE5029">
        <v>-4.3661199999999898</v>
      </c>
      <c r="AF5029">
        <v>3.5055699376966398</v>
      </c>
      <c r="AG5029">
        <v>-1.1544369999999999</v>
      </c>
      <c r="AH5029">
        <v>8.1435609046745103</v>
      </c>
      <c r="AI5029">
        <v>97.418682802344406</v>
      </c>
      <c r="AJ5029">
        <v>66.709505314281103</v>
      </c>
      <c r="AK5029">
        <v>8.9408796873235303</v>
      </c>
      <c r="AL5029">
        <v>87.248536574989402</v>
      </c>
      <c r="AM5029">
        <v>82.527441503797405</v>
      </c>
      <c r="AN5029">
        <v>0.99999998590842398</v>
      </c>
    </row>
    <row r="5030" spans="1:40" x14ac:dyDescent="0.25">
      <c r="A5030" t="str">
        <f>"20190312154701421"</f>
        <v>20190312154701421</v>
      </c>
      <c r="B5030" t="str">
        <f>"1552376821412713"</f>
        <v>1552376821412713</v>
      </c>
      <c r="C5030" t="s">
        <v>40</v>
      </c>
      <c r="D5030">
        <v>4.4735950000000004</v>
      </c>
      <c r="E5030">
        <v>0.60683679999999995</v>
      </c>
      <c r="F5030" t="s">
        <v>43</v>
      </c>
      <c r="G5030">
        <v>-312.04309999999998</v>
      </c>
      <c r="H5030">
        <v>-0.05</v>
      </c>
      <c r="I5030">
        <v>12.713839999999999</v>
      </c>
      <c r="J5030">
        <v>-319.8177</v>
      </c>
      <c r="K5030">
        <v>1.103092</v>
      </c>
      <c r="L5030">
        <v>17.068570000000001</v>
      </c>
      <c r="M5030">
        <v>0.99461849999999996</v>
      </c>
      <c r="N5030">
        <v>0</v>
      </c>
      <c r="O5030">
        <v>-0.1019264</v>
      </c>
      <c r="P5030">
        <v>0.97227680000000005</v>
      </c>
      <c r="Q5030">
        <v>2.9366469999999999E-2</v>
      </c>
      <c r="R5030">
        <v>-0.2319821</v>
      </c>
      <c r="S5030">
        <v>2.7433779999999999</v>
      </c>
      <c r="T5030">
        <v>-0.39759420000000001</v>
      </c>
      <c r="U5030">
        <v>-1.507477</v>
      </c>
      <c r="V5030">
        <v>0.13189409999999999</v>
      </c>
      <c r="W5030">
        <v>4.7100099999999999E-2</v>
      </c>
      <c r="X5030">
        <v>0.99014420000000003</v>
      </c>
      <c r="Y5030">
        <v>0.38746239999999998</v>
      </c>
      <c r="Z5030">
        <v>-1.2479769999999999E-2</v>
      </c>
      <c r="AA5030">
        <v>0.92180099999999998</v>
      </c>
      <c r="AB5030">
        <v>18</v>
      </c>
      <c r="AC5030">
        <v>7.7746000000000199</v>
      </c>
      <c r="AD5030">
        <v>-1.153092</v>
      </c>
      <c r="AE5030">
        <v>-4.35473</v>
      </c>
      <c r="AF5030">
        <v>3.4811793223229599</v>
      </c>
      <c r="AG5030">
        <v>-1.153092</v>
      </c>
      <c r="AH5030">
        <v>8.0433547947269393</v>
      </c>
      <c r="AI5030">
        <v>97.495122098722902</v>
      </c>
      <c r="AJ5030">
        <v>66.596946823523197</v>
      </c>
      <c r="AK5030">
        <v>8.8398974535053192</v>
      </c>
      <c r="AL5030">
        <v>87.300364286470099</v>
      </c>
      <c r="AM5030">
        <v>82.412470867660801</v>
      </c>
      <c r="AN5030">
        <v>1.0000000049142299</v>
      </c>
    </row>
    <row r="5031" spans="1:40" x14ac:dyDescent="0.25">
      <c r="A5031" t="str">
        <f>"20190312154701442"</f>
        <v>20190312154701442</v>
      </c>
      <c r="B5031" t="str">
        <f>"1552376821433212"</f>
        <v>1552376821433212</v>
      </c>
      <c r="C5031" t="s">
        <v>40</v>
      </c>
      <c r="D5031">
        <v>4.5008029999999897</v>
      </c>
      <c r="E5031">
        <v>0.60672230000000005</v>
      </c>
      <c r="F5031" t="s">
        <v>43</v>
      </c>
      <c r="G5031">
        <v>-312.08049999999997</v>
      </c>
      <c r="H5031">
        <v>-0.05</v>
      </c>
      <c r="I5031">
        <v>12.76671</v>
      </c>
      <c r="J5031">
        <v>-319.63659999999999</v>
      </c>
      <c r="K5031">
        <v>1.1016379999999999</v>
      </c>
      <c r="L5031">
        <v>17.04684</v>
      </c>
      <c r="M5031">
        <v>0.99427390000000004</v>
      </c>
      <c r="N5031">
        <v>0</v>
      </c>
      <c r="O5031">
        <v>-0.1049226</v>
      </c>
      <c r="P5031">
        <v>0.97116170000000002</v>
      </c>
      <c r="Q5031">
        <v>2.7080679999999999E-2</v>
      </c>
      <c r="R5031">
        <v>-0.23687900000000001</v>
      </c>
      <c r="S5031">
        <v>2.7350159999999999</v>
      </c>
      <c r="T5031">
        <v>-0.40760489999999999</v>
      </c>
      <c r="U5031">
        <v>-1.5206599999999999</v>
      </c>
      <c r="V5031">
        <v>0.1338857</v>
      </c>
      <c r="W5031">
        <v>4.6485659999999998E-2</v>
      </c>
      <c r="X5031">
        <v>0.98990590000000001</v>
      </c>
      <c r="Y5031">
        <v>0.38916460000000003</v>
      </c>
      <c r="Z5031">
        <v>-1.252202E-2</v>
      </c>
      <c r="AA5031">
        <v>0.92108310000000004</v>
      </c>
      <c r="AB5031">
        <v>18</v>
      </c>
      <c r="AC5031">
        <v>7.5561000000000096</v>
      </c>
      <c r="AD5031">
        <v>-1.1516379999999999</v>
      </c>
      <c r="AE5031">
        <v>-4.2801299999999998</v>
      </c>
      <c r="AF5031">
        <v>3.4036685583709301</v>
      </c>
      <c r="AG5031">
        <v>-1.1516379999999999</v>
      </c>
      <c r="AH5031">
        <v>7.8259202680235003</v>
      </c>
      <c r="AI5031">
        <v>97.6854240582811</v>
      </c>
      <c r="AJ5031">
        <v>66.494695296679296</v>
      </c>
      <c r="AK5031">
        <v>8.6114027765369308</v>
      </c>
      <c r="AL5031">
        <v>87.335607681838397</v>
      </c>
      <c r="AM5031">
        <v>82.297432440766997</v>
      </c>
      <c r="AN5031">
        <v>0.99999999405246698</v>
      </c>
    </row>
    <row r="5032" spans="1:40" x14ac:dyDescent="0.25">
      <c r="A5032" t="str">
        <f>"20190312154701454"</f>
        <v>20190312154701454</v>
      </c>
      <c r="B5032" t="str">
        <f>"1552376821442969"</f>
        <v>1552376821442969</v>
      </c>
      <c r="C5032" t="s">
        <v>40</v>
      </c>
      <c r="D5032">
        <v>4.4583500000000003</v>
      </c>
      <c r="E5032">
        <v>0.60657249999999996</v>
      </c>
      <c r="F5032" t="s">
        <v>43</v>
      </c>
      <c r="G5032">
        <v>-312.0539</v>
      </c>
      <c r="H5032">
        <v>-0.05</v>
      </c>
      <c r="I5032">
        <v>12.78209</v>
      </c>
      <c r="J5032">
        <v>-319.53660000000002</v>
      </c>
      <c r="K5032">
        <v>1.100738</v>
      </c>
      <c r="L5032">
        <v>17.034479999999999</v>
      </c>
      <c r="M5032">
        <v>0.99406810000000001</v>
      </c>
      <c r="N5032">
        <v>0</v>
      </c>
      <c r="O5032">
        <v>-0.1066897</v>
      </c>
      <c r="P5032">
        <v>0.97053210000000001</v>
      </c>
      <c r="Q5032">
        <v>2.6377310000000001E-2</v>
      </c>
      <c r="R5032">
        <v>-0.2395246</v>
      </c>
      <c r="S5032">
        <v>2.7265929999999998</v>
      </c>
      <c r="T5032">
        <v>-0.41410259999999999</v>
      </c>
      <c r="U5032">
        <v>-1.5335080000000001</v>
      </c>
      <c r="V5032">
        <v>0.13482429999999901</v>
      </c>
      <c r="W5032">
        <v>4.6611409999999999E-2</v>
      </c>
      <c r="X5032">
        <v>0.9897726</v>
      </c>
      <c r="Y5032">
        <v>0.39194699999999999</v>
      </c>
      <c r="Z5032">
        <v>-1.2692500000000001E-2</v>
      </c>
      <c r="AA5032">
        <v>0.91990019999999995</v>
      </c>
      <c r="AB5032">
        <v>18</v>
      </c>
      <c r="AC5032">
        <v>7.4827000000000199</v>
      </c>
      <c r="AD5032">
        <v>-1.15073799999999</v>
      </c>
      <c r="AE5032">
        <v>-4.2523899999999903</v>
      </c>
      <c r="AF5032">
        <v>3.36936949651319</v>
      </c>
      <c r="AG5032">
        <v>-1.15073799999999</v>
      </c>
      <c r="AH5032">
        <v>7.7551231317170597</v>
      </c>
      <c r="AI5032">
        <v>97.750014330070101</v>
      </c>
      <c r="AJ5032">
        <v>66.516492499714701</v>
      </c>
      <c r="AK5032">
        <v>8.5333922643208293</v>
      </c>
      <c r="AL5032">
        <v>87.328394955212005</v>
      </c>
      <c r="AM5032">
        <v>82.243057078126199</v>
      </c>
      <c r="AN5032">
        <v>1.0000000075617099</v>
      </c>
    </row>
    <row r="5033" spans="1:40" x14ac:dyDescent="0.25">
      <c r="A5033" t="str">
        <f>"20190312154701476"</f>
        <v>20190312154701476</v>
      </c>
      <c r="B5033" t="str">
        <f>"1552376821462493"</f>
        <v>1552376821462493</v>
      </c>
      <c r="C5033" t="s">
        <v>40</v>
      </c>
      <c r="D5033">
        <v>4.4479170000000003</v>
      </c>
      <c r="E5033">
        <v>0.60628780000000004</v>
      </c>
      <c r="F5033" t="s">
        <v>43</v>
      </c>
      <c r="G5033">
        <v>-312.03870000000001</v>
      </c>
      <c r="H5033">
        <v>-0.05</v>
      </c>
      <c r="I5033">
        <v>12.792009999999999</v>
      </c>
      <c r="J5033">
        <v>-319.37040000000002</v>
      </c>
      <c r="K5033">
        <v>1.0991899999999999</v>
      </c>
      <c r="L5033">
        <v>17.013400000000001</v>
      </c>
      <c r="M5033">
        <v>0.99371790000000004</v>
      </c>
      <c r="N5033">
        <v>0</v>
      </c>
      <c r="O5033">
        <v>-0.10963639999999999</v>
      </c>
      <c r="P5033">
        <v>0.96943619999999997</v>
      </c>
      <c r="Q5033">
        <v>2.5325839999999999E-2</v>
      </c>
      <c r="R5033">
        <v>-0.24403349999999999</v>
      </c>
      <c r="S5033">
        <v>2.7222900000000001</v>
      </c>
      <c r="T5033">
        <v>-0.41780400000000001</v>
      </c>
      <c r="U5033">
        <v>-1.5403439999999999</v>
      </c>
      <c r="V5033">
        <v>0.13649700000000001</v>
      </c>
      <c r="W5033">
        <v>4.6851950000000003E-2</v>
      </c>
      <c r="X5033">
        <v>0.98953190000000002</v>
      </c>
      <c r="Y5033">
        <v>0.39157520000000001</v>
      </c>
      <c r="Z5033">
        <v>-1.237744E-2</v>
      </c>
      <c r="AA5033">
        <v>0.92006279999999996</v>
      </c>
      <c r="AB5033">
        <v>18</v>
      </c>
      <c r="AC5033">
        <v>7.3317000000000103</v>
      </c>
      <c r="AD5033">
        <v>-1.1491899999999999</v>
      </c>
      <c r="AE5033">
        <v>-4.2213900000000004</v>
      </c>
      <c r="AF5033">
        <v>3.3304540462938301</v>
      </c>
      <c r="AG5033">
        <v>-1.1491899999999999</v>
      </c>
      <c r="AH5033">
        <v>7.61000024977269</v>
      </c>
      <c r="AI5033">
        <v>97.876429150077797</v>
      </c>
      <c r="AJ5033">
        <v>66.363804354552499</v>
      </c>
      <c r="AK5033">
        <v>8.3859803012000604</v>
      </c>
      <c r="AL5033">
        <v>87.314597823572996</v>
      </c>
      <c r="AM5033">
        <v>82.146127502875402</v>
      </c>
      <c r="AN5033">
        <v>0.99999995867270497</v>
      </c>
    </row>
    <row r="5034" spans="1:40" x14ac:dyDescent="0.25">
      <c r="A5034" t="str">
        <f>"20190312154701487"</f>
        <v>20190312154701487</v>
      </c>
      <c r="B5034" t="str">
        <f>"1552376821473225"</f>
        <v>1552376821473225</v>
      </c>
      <c r="C5034" t="s">
        <v>40</v>
      </c>
      <c r="D5034">
        <v>4.4520229999999996</v>
      </c>
      <c r="E5034">
        <v>0.60612200000000005</v>
      </c>
      <c r="F5034" t="s">
        <v>43</v>
      </c>
      <c r="G5034">
        <v>-312.0059</v>
      </c>
      <c r="H5034">
        <v>-0.05</v>
      </c>
      <c r="I5034">
        <v>12.803100000000001</v>
      </c>
      <c r="J5034">
        <v>-319.26859999999999</v>
      </c>
      <c r="K5034">
        <v>1.0982339999999999</v>
      </c>
      <c r="L5034">
        <v>17.000150000000001</v>
      </c>
      <c r="M5034">
        <v>0.99349900000000002</v>
      </c>
      <c r="N5034">
        <v>0</v>
      </c>
      <c r="O5034">
        <v>-0.1114411</v>
      </c>
      <c r="P5034">
        <v>0.96885469999999896</v>
      </c>
      <c r="Q5034">
        <v>2.452466E-2</v>
      </c>
      <c r="R5034">
        <v>-0.24641179999999999</v>
      </c>
      <c r="S5034">
        <v>2.7149350000000001</v>
      </c>
      <c r="T5034">
        <v>-0.42364810000000003</v>
      </c>
      <c r="U5034">
        <v>-1.5521240000000001</v>
      </c>
      <c r="V5034">
        <v>0.137132</v>
      </c>
      <c r="W5034">
        <v>4.6800029999999999E-2</v>
      </c>
      <c r="X5034">
        <v>0.98944659999999995</v>
      </c>
      <c r="Y5034">
        <v>0.39390629999999999</v>
      </c>
      <c r="Z5034">
        <v>-1.247916E-2</v>
      </c>
      <c r="AA5034">
        <v>0.91906589999999999</v>
      </c>
      <c r="AB5034">
        <v>18</v>
      </c>
      <c r="AC5034">
        <v>7.2626999999999899</v>
      </c>
      <c r="AD5034">
        <v>-1.148234</v>
      </c>
      <c r="AE5034">
        <v>-4.1970499999999999</v>
      </c>
      <c r="AF5034">
        <v>3.2994847919207202</v>
      </c>
      <c r="AG5034">
        <v>-1.148234</v>
      </c>
      <c r="AH5034">
        <v>7.5439288779695399</v>
      </c>
      <c r="AI5034">
        <v>97.938794336281305</v>
      </c>
      <c r="AJ5034">
        <v>66.376895940648197</v>
      </c>
      <c r="AK5034">
        <v>8.3135975441883705</v>
      </c>
      <c r="AL5034">
        <v>87.317576001592897</v>
      </c>
      <c r="AM5034">
        <v>82.109377852008606</v>
      </c>
      <c r="AN5034">
        <v>1.00000000124178</v>
      </c>
    </row>
    <row r="5035" spans="1:40" x14ac:dyDescent="0.25">
      <c r="A5035" t="str">
        <f>"20190312154701500"</f>
        <v>20190312154701500</v>
      </c>
      <c r="B5035" t="str">
        <f>"1552376821492745"</f>
        <v>1552376821492745</v>
      </c>
      <c r="C5035" t="s">
        <v>40</v>
      </c>
      <c r="D5035">
        <v>4.4562580000000001</v>
      </c>
      <c r="E5035">
        <v>0.60581030000000002</v>
      </c>
      <c r="F5035" t="s">
        <v>43</v>
      </c>
      <c r="G5035">
        <v>-311.98140000000001</v>
      </c>
      <c r="H5035">
        <v>-0.05</v>
      </c>
      <c r="I5035">
        <v>12.81114</v>
      </c>
      <c r="J5035">
        <v>-319.16950000000003</v>
      </c>
      <c r="K5035">
        <v>1.097315</v>
      </c>
      <c r="L5035">
        <v>16.986940000000001</v>
      </c>
      <c r="M5035">
        <v>0.99328349999999999</v>
      </c>
      <c r="N5035">
        <v>0</v>
      </c>
      <c r="O5035">
        <v>-0.1131916</v>
      </c>
      <c r="P5035">
        <v>0.96828720000000001</v>
      </c>
      <c r="Q5035">
        <v>2.360458E-2</v>
      </c>
      <c r="R5035">
        <v>-0.24872250000000001</v>
      </c>
      <c r="S5035">
        <v>2.7108759999999998</v>
      </c>
      <c r="T5035">
        <v>-0.427153</v>
      </c>
      <c r="U5035">
        <v>-1.5583499999999999</v>
      </c>
      <c r="V5035">
        <v>0.13775129999999999</v>
      </c>
      <c r="W5035">
        <v>4.6588539999999998E-2</v>
      </c>
      <c r="X5035">
        <v>0.98937050000000004</v>
      </c>
      <c r="Y5035">
        <v>0.3944339</v>
      </c>
      <c r="Z5035">
        <v>-1.2379650000000001E-2</v>
      </c>
      <c r="AA5035">
        <v>0.91884089999999996</v>
      </c>
      <c r="AB5035">
        <v>18</v>
      </c>
      <c r="AC5035">
        <v>7.1881000000000101</v>
      </c>
      <c r="AD5035">
        <v>-1.1473149999999901</v>
      </c>
      <c r="AE5035">
        <v>-4.1757999999999997</v>
      </c>
      <c r="AF5035">
        <v>3.27274146076397</v>
      </c>
      <c r="AG5035">
        <v>-1.1473149999999901</v>
      </c>
      <c r="AH5035">
        <v>7.4723451228920696</v>
      </c>
      <c r="AI5035">
        <v>98.005758965312907</v>
      </c>
      <c r="AJ5035">
        <v>66.347518628142296</v>
      </c>
      <c r="AK5035">
        <v>8.2379068951911201</v>
      </c>
      <c r="AL5035">
        <v>87.329706579577007</v>
      </c>
      <c r="AM5035">
        <v>82.073593092798006</v>
      </c>
      <c r="AN5035">
        <v>0.99999994949063398</v>
      </c>
    </row>
    <row r="5036" spans="1:40" x14ac:dyDescent="0.25">
      <c r="A5036" t="str">
        <f>"20190312154701513"</f>
        <v>20190312154701513</v>
      </c>
      <c r="B5036" t="str">
        <f>"1552376821502505"</f>
        <v>1552376821502505</v>
      </c>
      <c r="C5036" t="s">
        <v>40</v>
      </c>
      <c r="D5036">
        <v>4.4487819999999996</v>
      </c>
      <c r="E5036">
        <v>0.60567439999999995</v>
      </c>
      <c r="F5036" t="s">
        <v>43</v>
      </c>
      <c r="G5036">
        <v>-312.01710000000003</v>
      </c>
      <c r="H5036">
        <v>-0.05</v>
      </c>
      <c r="I5036">
        <v>12.85858</v>
      </c>
      <c r="J5036">
        <v>-319.06580000000002</v>
      </c>
      <c r="K5036">
        <v>1.0964039999999999</v>
      </c>
      <c r="L5036">
        <v>16.97278</v>
      </c>
      <c r="M5036">
        <v>0.99305109999999996</v>
      </c>
      <c r="N5036">
        <v>0</v>
      </c>
      <c r="O5036">
        <v>-0.1150554</v>
      </c>
      <c r="P5036">
        <v>0.9676884</v>
      </c>
      <c r="Q5036">
        <v>2.2820690000000001E-2</v>
      </c>
      <c r="R5036">
        <v>-0.25111519999999998</v>
      </c>
      <c r="S5036">
        <v>2.7074280000000002</v>
      </c>
      <c r="T5036">
        <v>-0.43430220000000003</v>
      </c>
      <c r="U5036">
        <v>-1.5627439999999999</v>
      </c>
      <c r="V5036">
        <v>0.13834179999999999</v>
      </c>
      <c r="W5036">
        <v>4.6519959999999999E-2</v>
      </c>
      <c r="X5036">
        <v>0.98929140000000004</v>
      </c>
      <c r="Y5036">
        <v>0.39426509999999998</v>
      </c>
      <c r="Z5036">
        <v>-1.231076E-2</v>
      </c>
      <c r="AA5036">
        <v>0.91891429999999996</v>
      </c>
      <c r="AB5036">
        <v>18</v>
      </c>
      <c r="AC5036">
        <v>7.0486999999999904</v>
      </c>
      <c r="AD5036">
        <v>-1.146404</v>
      </c>
      <c r="AE5036">
        <v>-4.1142000000000003</v>
      </c>
      <c r="AF5036">
        <v>3.2122438594093898</v>
      </c>
      <c r="AG5036">
        <v>-1.146404</v>
      </c>
      <c r="AH5036">
        <v>7.3307306565427703</v>
      </c>
      <c r="AI5036">
        <v>98.151344471696405</v>
      </c>
      <c r="AJ5036">
        <v>66.337507026300997</v>
      </c>
      <c r="AK5036">
        <v>8.0853178479454595</v>
      </c>
      <c r="AL5036">
        <v>87.333640369994498</v>
      </c>
      <c r="AM5036">
        <v>82.039421198524195</v>
      </c>
      <c r="AN5036">
        <v>1.0000000172098</v>
      </c>
    </row>
    <row r="5037" spans="1:40" x14ac:dyDescent="0.25">
      <c r="A5037" t="str">
        <f>"20190312154701528"</f>
        <v>20190312154701528</v>
      </c>
      <c r="B5037" t="str">
        <f>"1552376821513240"</f>
        <v>1552376821513240</v>
      </c>
      <c r="C5037" t="s">
        <v>40</v>
      </c>
      <c r="D5037">
        <v>4.4477830000000003</v>
      </c>
      <c r="E5037">
        <v>0.60567439999999995</v>
      </c>
      <c r="F5037" t="s">
        <v>43</v>
      </c>
      <c r="G5037">
        <v>-311.99680000000001</v>
      </c>
      <c r="H5037">
        <v>-0.05</v>
      </c>
      <c r="I5037">
        <v>12.8712</v>
      </c>
      <c r="J5037">
        <v>-318.9479</v>
      </c>
      <c r="K5037">
        <v>1.0954060000000001</v>
      </c>
      <c r="L5037">
        <v>16.95636</v>
      </c>
      <c r="M5037">
        <v>0.99277660000000001</v>
      </c>
      <c r="N5037">
        <v>0</v>
      </c>
      <c r="O5037">
        <v>-0.1172257</v>
      </c>
      <c r="P5037">
        <v>0.96690920000000002</v>
      </c>
      <c r="Q5037">
        <v>2.185687E-2</v>
      </c>
      <c r="R5037">
        <v>-0.25418279999999999</v>
      </c>
      <c r="S5037">
        <v>2.7034609999999999</v>
      </c>
      <c r="T5037">
        <v>-0.43842829999999999</v>
      </c>
      <c r="U5037">
        <v>-1.5686040000000001</v>
      </c>
      <c r="V5037">
        <v>0.13931579999999999</v>
      </c>
      <c r="W5037">
        <v>4.6338480000000001E-2</v>
      </c>
      <c r="X5037">
        <v>0.98916320000000002</v>
      </c>
      <c r="Y5037">
        <v>0.39429959999999997</v>
      </c>
      <c r="Z5037">
        <v>-1.2120499999999999E-2</v>
      </c>
      <c r="AA5037">
        <v>0.918902</v>
      </c>
      <c r="AB5037">
        <v>18</v>
      </c>
      <c r="AC5037">
        <v>6.9510999999999896</v>
      </c>
      <c r="AD5037">
        <v>-1.1454059999999999</v>
      </c>
      <c r="AE5037">
        <v>-4.0851600000000001</v>
      </c>
      <c r="AF5037">
        <v>3.1777291431047199</v>
      </c>
      <c r="AG5037">
        <v>-1.1454059999999999</v>
      </c>
      <c r="AH5037">
        <v>7.2361453638690403</v>
      </c>
      <c r="AI5037">
        <v>98.246477767585304</v>
      </c>
      <c r="AJ5037">
        <v>66.291480340115598</v>
      </c>
      <c r="AK5037">
        <v>7.9857195755183197</v>
      </c>
      <c r="AL5037">
        <v>87.344049565219905</v>
      </c>
      <c r="AM5037">
        <v>81.983075076904498</v>
      </c>
      <c r="AN5037">
        <v>0.99999999154629504</v>
      </c>
    </row>
    <row r="5038" spans="1:40" x14ac:dyDescent="0.25">
      <c r="A5038" t="str">
        <f>"20190312154701544"</f>
        <v>20190312154701544</v>
      </c>
      <c r="B5038" t="str">
        <f>"1552376821532762"</f>
        <v>1552376821532762</v>
      </c>
      <c r="C5038" t="s">
        <v>40</v>
      </c>
      <c r="D5038">
        <v>4.4281069999999998</v>
      </c>
      <c r="E5038">
        <v>0.59726729999999995</v>
      </c>
      <c r="F5038" t="s">
        <v>43</v>
      </c>
      <c r="G5038">
        <v>-311.94499999999999</v>
      </c>
      <c r="H5038">
        <v>-0.05</v>
      </c>
      <c r="I5038">
        <v>12.86337</v>
      </c>
      <c r="J5038">
        <v>-318.822</v>
      </c>
      <c r="K5038">
        <v>1.0944160000000001</v>
      </c>
      <c r="L5038">
        <v>16.938479999999998</v>
      </c>
      <c r="M5038">
        <v>0.99246749999999995</v>
      </c>
      <c r="N5038">
        <v>0</v>
      </c>
      <c r="O5038">
        <v>-0.1196387</v>
      </c>
      <c r="P5038">
        <v>0.96587149999999999</v>
      </c>
      <c r="Q5038">
        <v>2.0826359999999999E-2</v>
      </c>
      <c r="R5038">
        <v>-0.25818370000000002</v>
      </c>
      <c r="S5038">
        <v>2.6980900000000001</v>
      </c>
      <c r="T5038">
        <v>-0.44130779999999997</v>
      </c>
      <c r="U5038">
        <v>-1.576965</v>
      </c>
      <c r="V5038">
        <v>0.14100279999999901</v>
      </c>
      <c r="W5038">
        <v>4.6088400000000002E-2</v>
      </c>
      <c r="X5038">
        <v>0.98893580000000003</v>
      </c>
      <c r="Y5038">
        <v>0.39496409999999998</v>
      </c>
      <c r="Z5038">
        <v>-1.190564E-2</v>
      </c>
      <c r="AA5038">
        <v>0.91861939999999997</v>
      </c>
      <c r="AB5038">
        <v>18</v>
      </c>
      <c r="AC5038">
        <v>6.8769999999999998</v>
      </c>
      <c r="AD5038">
        <v>-1.1444159999999901</v>
      </c>
      <c r="AE5038">
        <v>-4.0751099999999898</v>
      </c>
      <c r="AF5038">
        <v>3.1580512949473198</v>
      </c>
      <c r="AG5038">
        <v>-1.1444159999999901</v>
      </c>
      <c r="AH5038">
        <v>7.1683590178117598</v>
      </c>
      <c r="AI5038">
        <v>98.312025373308202</v>
      </c>
      <c r="AJ5038">
        <v>66.223903792291296</v>
      </c>
      <c r="AK5038">
        <v>7.9163341876665196</v>
      </c>
      <c r="AL5038">
        <v>87.358393371018593</v>
      </c>
      <c r="AM5038">
        <v>81.885440838312803</v>
      </c>
      <c r="AN5038">
        <v>0.99999997337201896</v>
      </c>
    </row>
    <row r="5039" spans="1:40" x14ac:dyDescent="0.25">
      <c r="A5039" t="str">
        <f>"20190312154701566"</f>
        <v>20190312154701566</v>
      </c>
      <c r="B5039" t="str">
        <f>"1552376821553257"</f>
        <v>1552376821553257</v>
      </c>
      <c r="C5039" t="s">
        <v>40</v>
      </c>
      <c r="D5039">
        <v>4.4492929999999999</v>
      </c>
      <c r="E5039">
        <v>0.59752759999999905</v>
      </c>
      <c r="F5039" t="s">
        <v>43</v>
      </c>
      <c r="G5039">
        <v>-312.91719999999998</v>
      </c>
      <c r="H5039">
        <v>-0.05</v>
      </c>
      <c r="I5039">
        <v>13.61786</v>
      </c>
      <c r="J5039">
        <v>-318.63529999999997</v>
      </c>
      <c r="K5039">
        <v>1.0930930000000001</v>
      </c>
      <c r="L5039">
        <v>16.911249999999999</v>
      </c>
      <c r="M5039">
        <v>0.99191839999999998</v>
      </c>
      <c r="N5039">
        <v>0</v>
      </c>
      <c r="O5039">
        <v>-0.1239223</v>
      </c>
      <c r="P5039">
        <v>0.96438190000000001</v>
      </c>
      <c r="Q5039">
        <v>1.9316759999999999E-2</v>
      </c>
      <c r="R5039">
        <v>-0.26380809999999999</v>
      </c>
      <c r="S5039">
        <v>2.7099609999999998</v>
      </c>
      <c r="T5039">
        <v>-0.52521649999999998</v>
      </c>
      <c r="U5039">
        <v>-1.5239560000000001</v>
      </c>
      <c r="V5039">
        <v>0.14248060000000001</v>
      </c>
      <c r="W5039">
        <v>4.5441530000000001E-2</v>
      </c>
      <c r="X5039">
        <v>0.98875389999999996</v>
      </c>
      <c r="Y5039">
        <v>0.37482789999999999</v>
      </c>
      <c r="Z5039">
        <v>-1.158635E-2</v>
      </c>
      <c r="AA5039">
        <v>0.92702200000000001</v>
      </c>
      <c r="AB5039">
        <v>18</v>
      </c>
      <c r="AC5039">
        <v>5.71809999999999</v>
      </c>
      <c r="AD5039">
        <v>-1.1430929999999999</v>
      </c>
      <c r="AE5039">
        <v>-3.2933899999999898</v>
      </c>
      <c r="AF5039">
        <v>2.4845645652598498</v>
      </c>
      <c r="AG5039">
        <v>-1.1430929999999999</v>
      </c>
      <c r="AH5039">
        <v>5.9050654140807897</v>
      </c>
      <c r="AI5039">
        <v>100.11670201160899</v>
      </c>
      <c r="AJ5039">
        <v>67.181007444546594</v>
      </c>
      <c r="AK5039">
        <v>6.50765089953103</v>
      </c>
      <c r="AL5039">
        <v>87.395495144117106</v>
      </c>
      <c r="AM5039">
        <v>81.800057539063502</v>
      </c>
      <c r="AN5039">
        <v>0.99999996439515404</v>
      </c>
    </row>
    <row r="5040" spans="1:40" x14ac:dyDescent="0.25">
      <c r="A5040" t="str">
        <f>"20190312154701588"</f>
        <v>20190312154701588</v>
      </c>
      <c r="B5040" t="str">
        <f>"1552376821572777"</f>
        <v>1552376821572777</v>
      </c>
      <c r="C5040" t="s">
        <v>40</v>
      </c>
      <c r="D5040">
        <v>4.445716</v>
      </c>
      <c r="E5040">
        <v>0.59711950000000003</v>
      </c>
      <c r="F5040" t="s">
        <v>43</v>
      </c>
      <c r="G5040">
        <v>-312.90069999999997</v>
      </c>
      <c r="H5040">
        <v>-0.05</v>
      </c>
      <c r="I5040">
        <v>13.635120000000001</v>
      </c>
      <c r="J5040">
        <v>-318.4597</v>
      </c>
      <c r="K5040">
        <v>1.0917699999999999</v>
      </c>
      <c r="L5040">
        <v>16.885010000000001</v>
      </c>
      <c r="M5040">
        <v>0.99136380000000002</v>
      </c>
      <c r="N5040">
        <v>0</v>
      </c>
      <c r="O5040">
        <v>-0.128156399999999</v>
      </c>
      <c r="P5040">
        <v>0.96268640000000005</v>
      </c>
      <c r="Q5040">
        <v>1.863006E-2</v>
      </c>
      <c r="R5040">
        <v>-0.26997739999999998</v>
      </c>
      <c r="S5040">
        <v>2.699646</v>
      </c>
      <c r="T5040">
        <v>-0.53812959999999999</v>
      </c>
      <c r="U5040">
        <v>-1.542297</v>
      </c>
      <c r="V5040">
        <v>0.14459279999999999</v>
      </c>
      <c r="W5040">
        <v>4.5303870000000003E-2</v>
      </c>
      <c r="X5040">
        <v>0.98845360000000004</v>
      </c>
      <c r="Y5040">
        <v>0.37699690000000002</v>
      </c>
      <c r="Z5040">
        <v>-1.132771E-2</v>
      </c>
      <c r="AA5040">
        <v>0.92614529999999995</v>
      </c>
      <c r="AB5040">
        <v>18</v>
      </c>
      <c r="AC5040">
        <v>5.5590000000000197</v>
      </c>
      <c r="AD5040">
        <v>-1.14177</v>
      </c>
      <c r="AE5040">
        <v>-3.2498900000000002</v>
      </c>
      <c r="AF5040">
        <v>2.4338528031595801</v>
      </c>
      <c r="AG5040">
        <v>-1.14177</v>
      </c>
      <c r="AH5040">
        <v>5.7490302855425401</v>
      </c>
      <c r="AI5040">
        <v>100.36417963320299</v>
      </c>
      <c r="AJ5040">
        <v>67.054623066751702</v>
      </c>
      <c r="AK5040">
        <v>6.3465445263098204</v>
      </c>
      <c r="AL5040">
        <v>87.403390754355897</v>
      </c>
      <c r="AM5040">
        <v>81.677694886833294</v>
      </c>
      <c r="AN5040">
        <v>1.00000001890088</v>
      </c>
    </row>
    <row r="5041" spans="1:40" x14ac:dyDescent="0.25">
      <c r="A5041" t="str">
        <f>"20190312154701611"</f>
        <v>20190312154701611</v>
      </c>
      <c r="B5041" t="str">
        <f>"1552376821603032"</f>
        <v>1552376821603032</v>
      </c>
      <c r="C5041" t="s">
        <v>40</v>
      </c>
      <c r="D5041">
        <v>4.4767869999999998</v>
      </c>
      <c r="E5041">
        <v>0.59695790000000004</v>
      </c>
      <c r="F5041" t="s">
        <v>43</v>
      </c>
      <c r="G5041">
        <v>-312.73989999999998</v>
      </c>
      <c r="H5041">
        <v>-0.05</v>
      </c>
      <c r="I5041">
        <v>13.5755</v>
      </c>
      <c r="J5041">
        <v>-318.27330000000001</v>
      </c>
      <c r="K5041">
        <v>1.090103</v>
      </c>
      <c r="L5041">
        <v>16.85632</v>
      </c>
      <c r="M5041">
        <v>0.99083270000000001</v>
      </c>
      <c r="N5041">
        <v>0</v>
      </c>
      <c r="O5041">
        <v>-0.13211600000000001</v>
      </c>
      <c r="P5041">
        <v>0.96087929999999999</v>
      </c>
      <c r="Q5041">
        <v>1.9283089999999999E-2</v>
      </c>
      <c r="R5041">
        <v>-0.27629589999999998</v>
      </c>
      <c r="S5041">
        <v>2.6901549999999999</v>
      </c>
      <c r="T5041">
        <v>-0.53699269999999999</v>
      </c>
      <c r="U5041">
        <v>-1.556519</v>
      </c>
      <c r="V5041">
        <v>0.14717949999999999</v>
      </c>
      <c r="W5041">
        <v>4.6214640000000001E-2</v>
      </c>
      <c r="X5041">
        <v>0.9880295</v>
      </c>
      <c r="Y5041">
        <v>0.37842700000000001</v>
      </c>
      <c r="Z5041">
        <v>-1.0747049999999999E-2</v>
      </c>
      <c r="AA5041">
        <v>0.92556879999999997</v>
      </c>
      <c r="AB5041">
        <v>18</v>
      </c>
      <c r="AC5041">
        <v>5.5334000000000199</v>
      </c>
      <c r="AD5041">
        <v>-1.1401030000000001</v>
      </c>
      <c r="AE5041">
        <v>-3.2808199999999998</v>
      </c>
      <c r="AF5041">
        <v>2.4439315144601998</v>
      </c>
      <c r="AG5041">
        <v>-1.1401030000000001</v>
      </c>
      <c r="AH5041">
        <v>5.7382378710648796</v>
      </c>
      <c r="AI5041">
        <v>100.359107035524</v>
      </c>
      <c r="AJ5041">
        <v>66.930709836286198</v>
      </c>
      <c r="AK5041">
        <v>6.3403477793338698</v>
      </c>
      <c r="AL5041">
        <v>87.351152562429306</v>
      </c>
      <c r="AM5041">
        <v>81.527370696495296</v>
      </c>
      <c r="AN5041">
        <v>0.99999994552041305</v>
      </c>
    </row>
    <row r="5042" spans="1:40" x14ac:dyDescent="0.25">
      <c r="A5042" t="str">
        <f>"20190312154701632"</f>
        <v>20190312154701632</v>
      </c>
      <c r="B5042" t="str">
        <f>"1552376821622556"</f>
        <v>1552376821622556</v>
      </c>
      <c r="C5042" t="s">
        <v>40</v>
      </c>
      <c r="D5042">
        <v>4.5336160000000003</v>
      </c>
      <c r="E5042">
        <v>0.597244</v>
      </c>
      <c r="F5042" t="s">
        <v>43</v>
      </c>
      <c r="G5042">
        <v>-312.61810000000003</v>
      </c>
      <c r="H5042">
        <v>-0.05</v>
      </c>
      <c r="I5042">
        <v>13.538589999999999</v>
      </c>
      <c r="J5042">
        <v>-318.10789999999997</v>
      </c>
      <c r="K5042">
        <v>1.0884689999999999</v>
      </c>
      <c r="L5042">
        <v>16.830079999999999</v>
      </c>
      <c r="M5042">
        <v>0.99039949999999999</v>
      </c>
      <c r="N5042">
        <v>0</v>
      </c>
      <c r="O5042">
        <v>-0.1352874</v>
      </c>
      <c r="P5042">
        <v>0.9588565</v>
      </c>
      <c r="Q5042">
        <v>2.009561E-2</v>
      </c>
      <c r="R5042">
        <v>-0.28317910000000002</v>
      </c>
      <c r="S5042">
        <v>2.6807249999999998</v>
      </c>
      <c r="T5042">
        <v>-0.54044689999999995</v>
      </c>
      <c r="U5042">
        <v>-1.5727230000000001</v>
      </c>
      <c r="V5042">
        <v>0.151151799999999</v>
      </c>
      <c r="W5042">
        <v>4.703533E-2</v>
      </c>
      <c r="X5042">
        <v>0.98739089999999996</v>
      </c>
      <c r="Y5042">
        <v>0.3810057</v>
      </c>
      <c r="Z5042">
        <v>-1.050043E-2</v>
      </c>
      <c r="AA5042">
        <v>0.92451300000000003</v>
      </c>
      <c r="AB5042">
        <v>18</v>
      </c>
      <c r="AC5042">
        <v>5.4897999999999403</v>
      </c>
      <c r="AD5042">
        <v>-1.138469</v>
      </c>
      <c r="AE5042">
        <v>-3.29149</v>
      </c>
      <c r="AF5042">
        <v>2.44098580570558</v>
      </c>
      <c r="AG5042">
        <v>-1.138469</v>
      </c>
      <c r="AH5042">
        <v>5.70431322365613</v>
      </c>
      <c r="AI5042">
        <v>100.397354081667</v>
      </c>
      <c r="AJ5042">
        <v>66.832982544023494</v>
      </c>
      <c r="AK5042">
        <v>6.3082257982094498</v>
      </c>
      <c r="AL5042">
        <v>87.3040794090943</v>
      </c>
      <c r="AM5042">
        <v>81.296611625296407</v>
      </c>
      <c r="AN5042">
        <v>0.99999998915712895</v>
      </c>
    </row>
    <row r="5043" spans="1:40" x14ac:dyDescent="0.25">
      <c r="A5043" t="str">
        <f>"20190312154701645"</f>
        <v>20190312154701645</v>
      </c>
      <c r="B5043" t="str">
        <f>"1552376821632313"</f>
        <v>1552376821632313</v>
      </c>
      <c r="C5043" t="s">
        <v>40</v>
      </c>
      <c r="D5043">
        <v>4.4741530000000003</v>
      </c>
      <c r="E5043">
        <v>0.59703430000000002</v>
      </c>
      <c r="F5043" t="s">
        <v>43</v>
      </c>
      <c r="G5043">
        <v>-312.55720000000002</v>
      </c>
      <c r="H5043">
        <v>-0.05</v>
      </c>
      <c r="I5043">
        <v>13.513870000000001</v>
      </c>
      <c r="J5043">
        <v>-318.00319999999999</v>
      </c>
      <c r="K5043">
        <v>1.0873999999999999</v>
      </c>
      <c r="L5043">
        <v>16.813079999999999</v>
      </c>
      <c r="M5043">
        <v>0.99012080000000002</v>
      </c>
      <c r="N5043">
        <v>0</v>
      </c>
      <c r="O5043">
        <v>-0.13730390000000001</v>
      </c>
      <c r="P5043">
        <v>0.95787409999999995</v>
      </c>
      <c r="Q5043">
        <v>2.0292640000000001E-2</v>
      </c>
      <c r="R5043">
        <v>-0.28647080000000003</v>
      </c>
      <c r="S5043">
        <v>2.6692499999999999</v>
      </c>
      <c r="T5043">
        <v>-0.54746430000000001</v>
      </c>
      <c r="U5043">
        <v>-1.5946959999999999</v>
      </c>
      <c r="V5043">
        <v>0.15255869999999999</v>
      </c>
      <c r="W5043">
        <v>4.7182979999999999E-2</v>
      </c>
      <c r="X5043">
        <v>0.98716749999999998</v>
      </c>
      <c r="Y5043">
        <v>0.38633030000000002</v>
      </c>
      <c r="Z5043">
        <v>-1.0787379999999999E-2</v>
      </c>
      <c r="AA5043">
        <v>0.92229740000000004</v>
      </c>
      <c r="AB5043">
        <v>18</v>
      </c>
      <c r="AC5043">
        <v>5.4459999999999598</v>
      </c>
      <c r="AD5043">
        <v>-1.1374</v>
      </c>
      <c r="AE5043">
        <v>-3.2992099999999902</v>
      </c>
      <c r="AF5043">
        <v>2.44195953193557</v>
      </c>
      <c r="AG5043">
        <v>-1.1374</v>
      </c>
      <c r="AH5043">
        <v>5.6667406552522701</v>
      </c>
      <c r="AI5043">
        <v>100.444015525154</v>
      </c>
      <c r="AJ5043">
        <v>66.687417173501103</v>
      </c>
      <c r="AK5043">
        <v>6.2744557349223502</v>
      </c>
      <c r="AL5043">
        <v>87.295610399695406</v>
      </c>
      <c r="AM5043">
        <v>81.214902519882401</v>
      </c>
      <c r="AN5043">
        <v>1.0000000318018001</v>
      </c>
    </row>
    <row r="5044" spans="1:40" x14ac:dyDescent="0.25">
      <c r="A5044" t="str">
        <f>"20190312154701665"</f>
        <v>20190312154701665</v>
      </c>
      <c r="B5044" t="str">
        <f>"1552376821652809"</f>
        <v>1552376821652809</v>
      </c>
      <c r="C5044" t="s">
        <v>40</v>
      </c>
      <c r="D5044">
        <v>4.4908919999999997</v>
      </c>
      <c r="E5044">
        <v>0.59684320000000002</v>
      </c>
      <c r="F5044" t="s">
        <v>43</v>
      </c>
      <c r="G5044">
        <v>-312.45229999999998</v>
      </c>
      <c r="H5044">
        <v>-0.05</v>
      </c>
      <c r="I5044">
        <v>13.47386</v>
      </c>
      <c r="J5044">
        <v>-317.84059999999999</v>
      </c>
      <c r="K5044">
        <v>1.085704</v>
      </c>
      <c r="L5044">
        <v>16.786069999999999</v>
      </c>
      <c r="M5044">
        <v>0.98963069999999997</v>
      </c>
      <c r="N5044">
        <v>0</v>
      </c>
      <c r="O5044">
        <v>-0.1408172</v>
      </c>
      <c r="P5044">
        <v>0.95602100000000001</v>
      </c>
      <c r="Q5044">
        <v>1.993081E-2</v>
      </c>
      <c r="R5044">
        <v>-0.29262080000000001</v>
      </c>
      <c r="S5044">
        <v>2.6641849999999998</v>
      </c>
      <c r="T5044">
        <v>-0.5458982</v>
      </c>
      <c r="U5044">
        <v>-1.6026609999999999</v>
      </c>
      <c r="V5044">
        <v>0.15542120000000001</v>
      </c>
      <c r="W5044">
        <v>4.6587110000000001E-2</v>
      </c>
      <c r="X5044">
        <v>0.98674919999999999</v>
      </c>
      <c r="Y5044">
        <v>0.385938</v>
      </c>
      <c r="Z5044">
        <v>-1.008944E-2</v>
      </c>
      <c r="AA5044">
        <v>0.9224696</v>
      </c>
      <c r="AB5044">
        <v>18</v>
      </c>
      <c r="AC5044">
        <v>5.3883000000000099</v>
      </c>
      <c r="AD5044">
        <v>-1.135704</v>
      </c>
      <c r="AE5044">
        <v>-3.3122099999999999</v>
      </c>
      <c r="AF5044">
        <v>2.4413943170622501</v>
      </c>
      <c r="AG5044">
        <v>-1.135704</v>
      </c>
      <c r="AH5044">
        <v>5.6199699898564699</v>
      </c>
      <c r="AI5044">
        <v>100.500596961082</v>
      </c>
      <c r="AJ5044">
        <v>66.519192994262198</v>
      </c>
      <c r="AK5044">
        <v>6.2317166554559602</v>
      </c>
      <c r="AL5044">
        <v>87.3297888593967</v>
      </c>
      <c r="AM5044">
        <v>81.048976678361797</v>
      </c>
      <c r="AN5044">
        <v>1.0000000459641101</v>
      </c>
    </row>
    <row r="5045" spans="1:40" x14ac:dyDescent="0.25">
      <c r="A5045" t="str">
        <f>"20190312154701687"</f>
        <v>20190312154701687</v>
      </c>
      <c r="B5045" t="str">
        <f>"1552376821683065"</f>
        <v>1552376821683065</v>
      </c>
      <c r="C5045" t="s">
        <v>40</v>
      </c>
      <c r="D5045">
        <v>4.5303899999999997</v>
      </c>
      <c r="E5045">
        <v>0.62782789999999999</v>
      </c>
      <c r="F5045" t="s">
        <v>43</v>
      </c>
      <c r="G5045">
        <v>-312.24849999999998</v>
      </c>
      <c r="H5045">
        <v>-0.05</v>
      </c>
      <c r="I5045">
        <v>13.37555</v>
      </c>
      <c r="J5045">
        <v>-317.66269999999997</v>
      </c>
      <c r="K5045">
        <v>1.083747</v>
      </c>
      <c r="L5045">
        <v>16.755710000000001</v>
      </c>
      <c r="M5045">
        <v>0.98900679999999996</v>
      </c>
      <c r="N5045">
        <v>0</v>
      </c>
      <c r="O5045">
        <v>-0.14520439999999901</v>
      </c>
      <c r="P5045">
        <v>0.95386110000000002</v>
      </c>
      <c r="Q5045">
        <v>2.0133040000000001E-2</v>
      </c>
      <c r="R5045">
        <v>-0.2995736</v>
      </c>
      <c r="S5045">
        <v>2.65387</v>
      </c>
      <c r="T5045">
        <v>-0.53898159999999995</v>
      </c>
      <c r="U5045">
        <v>-1.6185609999999999</v>
      </c>
      <c r="V5045">
        <v>0.15825069999999999</v>
      </c>
      <c r="W5045">
        <v>4.6332280000000003E-2</v>
      </c>
      <c r="X5045">
        <v>0.9863113</v>
      </c>
      <c r="Y5045">
        <v>0.38759939999999998</v>
      </c>
      <c r="Z5045">
        <v>-9.3473419999999998E-3</v>
      </c>
      <c r="AA5045">
        <v>0.9217805</v>
      </c>
      <c r="AB5045">
        <v>18</v>
      </c>
      <c r="AC5045">
        <v>5.4141999999999904</v>
      </c>
      <c r="AD5045">
        <v>-1.1337469999999901</v>
      </c>
      <c r="AE5045">
        <v>-3.3801600000000001</v>
      </c>
      <c r="AF5045">
        <v>2.4795995399445498</v>
      </c>
      <c r="AG5045">
        <v>-1.1337469999999901</v>
      </c>
      <c r="AH5045">
        <v>5.6689159966196501</v>
      </c>
      <c r="AI5045">
        <v>100.383249331001</v>
      </c>
      <c r="AJ5045">
        <v>66.375298481527494</v>
      </c>
      <c r="AK5045">
        <v>6.2905011497679899</v>
      </c>
      <c r="AL5045">
        <v>87.344405130032101</v>
      </c>
      <c r="AM5045">
        <v>80.884752275659594</v>
      </c>
      <c r="AN5045">
        <v>0.999999972364088</v>
      </c>
    </row>
    <row r="5046" spans="1:40" x14ac:dyDescent="0.25">
      <c r="A5046" t="str">
        <f>"20190312154701710"</f>
        <v>20190312154701710</v>
      </c>
      <c r="B5046" t="str">
        <f>"1552376821702584"</f>
        <v>1552376821702584</v>
      </c>
      <c r="C5046" t="s">
        <v>40</v>
      </c>
      <c r="D5046">
        <v>4.5540760000000002</v>
      </c>
      <c r="E5046">
        <v>0.63548680000000002</v>
      </c>
      <c r="F5046" t="s">
        <v>43</v>
      </c>
      <c r="G5046">
        <v>-312.4427</v>
      </c>
      <c r="H5046">
        <v>-0.05</v>
      </c>
      <c r="I5046">
        <v>12.94576</v>
      </c>
      <c r="J5046">
        <v>-317.48480000000001</v>
      </c>
      <c r="K5046">
        <v>1.0816049999999999</v>
      </c>
      <c r="L5046">
        <v>16.724399999999999</v>
      </c>
      <c r="M5046">
        <v>0.98834440000000001</v>
      </c>
      <c r="N5046">
        <v>0</v>
      </c>
      <c r="O5046">
        <v>-0.14974560000000001</v>
      </c>
      <c r="P5046">
        <v>0.95134940000000001</v>
      </c>
      <c r="Q5046">
        <v>2.034362E-2</v>
      </c>
      <c r="R5046">
        <v>-0.30744189999999999</v>
      </c>
      <c r="S5046">
        <v>2.5682070000000001</v>
      </c>
      <c r="T5046">
        <v>-0.55780069999999904</v>
      </c>
      <c r="U5046">
        <v>-1.8744810000000001</v>
      </c>
      <c r="V5046">
        <v>0.16189100000000001</v>
      </c>
      <c r="W5046">
        <v>4.5887869999999997E-2</v>
      </c>
      <c r="X5046">
        <v>0.98574110000000004</v>
      </c>
      <c r="Y5046">
        <v>0.45730789999999999</v>
      </c>
      <c r="Z5046">
        <v>-1.559989E-2</v>
      </c>
      <c r="AA5046">
        <v>0.88917159999999995</v>
      </c>
      <c r="AB5046">
        <v>18</v>
      </c>
      <c r="AC5046">
        <v>5.0420999999999996</v>
      </c>
      <c r="AD5046">
        <v>-1.131605</v>
      </c>
      <c r="AE5046">
        <v>-3.77863999999999</v>
      </c>
      <c r="AF5046">
        <v>2.88754947171339</v>
      </c>
      <c r="AG5046">
        <v>-1.131605</v>
      </c>
      <c r="AH5046">
        <v>5.3777948364469799</v>
      </c>
      <c r="AI5046">
        <v>100.50270843868</v>
      </c>
      <c r="AJ5046">
        <v>61.766900389024201</v>
      </c>
      <c r="AK5046">
        <v>6.2079907482641303</v>
      </c>
      <c r="AL5046">
        <v>87.369895012926804</v>
      </c>
      <c r="AM5046">
        <v>80.673413655743502</v>
      </c>
      <c r="AN5046">
        <v>0.99999995436167199</v>
      </c>
    </row>
    <row r="5047" spans="1:40" x14ac:dyDescent="0.25">
      <c r="A5047" t="str">
        <f>"20190312154701733"</f>
        <v>20190312154701733</v>
      </c>
      <c r="B5047" t="str">
        <f>"1552376821723085"</f>
        <v>1552376821723085</v>
      </c>
      <c r="C5047" t="s">
        <v>40</v>
      </c>
      <c r="D5047">
        <v>4.5369270000000004</v>
      </c>
      <c r="E5047">
        <v>0.63750509999999905</v>
      </c>
      <c r="F5047" t="s">
        <v>43</v>
      </c>
      <c r="G5047">
        <v>-312.2638</v>
      </c>
      <c r="H5047">
        <v>-0.05</v>
      </c>
      <c r="I5047">
        <v>12.69862</v>
      </c>
      <c r="J5047">
        <v>-317.303</v>
      </c>
      <c r="K5047">
        <v>1.079291</v>
      </c>
      <c r="L5047">
        <v>16.691189999999999</v>
      </c>
      <c r="M5047">
        <v>0.98765619999999998</v>
      </c>
      <c r="N5047">
        <v>0</v>
      </c>
      <c r="O5047">
        <v>-0.15434529999999999</v>
      </c>
      <c r="P5047">
        <v>0.948824</v>
      </c>
      <c r="Q5047">
        <v>2.0834749999999999E-2</v>
      </c>
      <c r="R5047">
        <v>-0.3151176</v>
      </c>
      <c r="S5047">
        <v>2.5337519999999998</v>
      </c>
      <c r="T5047">
        <v>-0.54916519999999902</v>
      </c>
      <c r="U5047">
        <v>-1.953705</v>
      </c>
      <c r="V5047">
        <v>0.16529099999999999</v>
      </c>
      <c r="W5047">
        <v>4.555157E-2</v>
      </c>
      <c r="X5047">
        <v>0.98519239999999997</v>
      </c>
      <c r="Y5047">
        <v>0.47644039999999999</v>
      </c>
      <c r="Z5047">
        <v>-1.638972E-2</v>
      </c>
      <c r="AA5047">
        <v>0.879054</v>
      </c>
      <c r="AB5047">
        <v>18</v>
      </c>
      <c r="AC5047">
        <v>5.0391999999999904</v>
      </c>
      <c r="AD5047">
        <v>-1.129291</v>
      </c>
      <c r="AE5047">
        <v>-3.99256999999999</v>
      </c>
      <c r="AF5047">
        <v>3.0718611162223399</v>
      </c>
      <c r="AG5047">
        <v>-1.129291</v>
      </c>
      <c r="AH5047">
        <v>5.4277611563494501</v>
      </c>
      <c r="AI5047">
        <v>100.26338554783101</v>
      </c>
      <c r="AJ5047">
        <v>60.492151265466703</v>
      </c>
      <c r="AK5047">
        <v>6.3381558871974502</v>
      </c>
      <c r="AL5047">
        <v>87.389184037477605</v>
      </c>
      <c r="AM5047">
        <v>80.475882869070304</v>
      </c>
      <c r="AN5047">
        <v>1.0000000626141099</v>
      </c>
    </row>
    <row r="5048" spans="1:40" x14ac:dyDescent="0.25">
      <c r="A5048" t="str">
        <f>"20190312154701755"</f>
        <v>20190312154701755</v>
      </c>
      <c r="B5048" t="str">
        <f>"1552376821742602"</f>
        <v>1552376821742602</v>
      </c>
      <c r="C5048" t="s">
        <v>40</v>
      </c>
      <c r="D5048">
        <v>4.5419910000000003</v>
      </c>
      <c r="E5048">
        <v>0.63798029999999994</v>
      </c>
      <c r="F5048" t="s">
        <v>43</v>
      </c>
      <c r="G5048">
        <v>-312.01909999999998</v>
      </c>
      <c r="H5048">
        <v>-0.05</v>
      </c>
      <c r="I5048">
        <v>12.5085</v>
      </c>
      <c r="J5048">
        <v>-317.12779999999998</v>
      </c>
      <c r="K5048">
        <v>1.077075</v>
      </c>
      <c r="L5048">
        <v>16.65802</v>
      </c>
      <c r="M5048">
        <v>0.98694749999999998</v>
      </c>
      <c r="N5048">
        <v>0</v>
      </c>
      <c r="O5048">
        <v>-0.15894939999999999</v>
      </c>
      <c r="P5048">
        <v>0.94629719999999995</v>
      </c>
      <c r="Q5048">
        <v>2.1753419999999999E-2</v>
      </c>
      <c r="R5048">
        <v>-0.3225653</v>
      </c>
      <c r="S5048">
        <v>2.5129389999999998</v>
      </c>
      <c r="T5048">
        <v>-0.53706599999999904</v>
      </c>
      <c r="U5048">
        <v>-1.9891970000000001</v>
      </c>
      <c r="V5048">
        <v>0.1684581</v>
      </c>
      <c r="W5048">
        <v>4.5582060000000001E-2</v>
      </c>
      <c r="X5048">
        <v>0.98465429999999998</v>
      </c>
      <c r="Y5048">
        <v>0.4836877</v>
      </c>
      <c r="Z5048">
        <v>-1.5932740000000001E-2</v>
      </c>
      <c r="AA5048">
        <v>0.87509570000000003</v>
      </c>
      <c r="AB5048">
        <v>18</v>
      </c>
      <c r="AC5048">
        <v>5.10869999999999</v>
      </c>
      <c r="AD5048">
        <v>-1.127075</v>
      </c>
      <c r="AE5048">
        <v>-4.1495199999999999</v>
      </c>
      <c r="AF5048">
        <v>3.1908603470347598</v>
      </c>
      <c r="AG5048">
        <v>-1.127075</v>
      </c>
      <c r="AH5048">
        <v>5.5410005467146997</v>
      </c>
      <c r="AI5048">
        <v>99.9967491291671</v>
      </c>
      <c r="AJ5048">
        <v>60.063927390239598</v>
      </c>
      <c r="AK5048">
        <v>6.4926554558667604</v>
      </c>
      <c r="AL5048">
        <v>87.387435038737493</v>
      </c>
      <c r="AM5048">
        <v>80.291629468930793</v>
      </c>
      <c r="AN5048">
        <v>0.99999997307897104</v>
      </c>
    </row>
    <row r="5049" spans="1:40" x14ac:dyDescent="0.25">
      <c r="A5049" t="str">
        <f>"20190312154701776"</f>
        <v>20190312154701776</v>
      </c>
      <c r="B5049" t="str">
        <f>"1552376821772857"</f>
        <v>1552376821772857</v>
      </c>
      <c r="C5049" t="s">
        <v>40</v>
      </c>
      <c r="D5049">
        <v>4.6029819999999999</v>
      </c>
      <c r="E5049">
        <v>0.63858990000000004</v>
      </c>
      <c r="F5049" t="s">
        <v>43</v>
      </c>
      <c r="G5049">
        <v>-311.86250000000001</v>
      </c>
      <c r="H5049">
        <v>-0.05</v>
      </c>
      <c r="I5049">
        <v>12.4138</v>
      </c>
      <c r="J5049">
        <v>-316.959</v>
      </c>
      <c r="K5049">
        <v>1.075064</v>
      </c>
      <c r="L5049">
        <v>16.624849999999999</v>
      </c>
      <c r="M5049">
        <v>0.98617500000000002</v>
      </c>
      <c r="N5049">
        <v>0</v>
      </c>
      <c r="O5049">
        <v>-0.16380999999999901</v>
      </c>
      <c r="P5049">
        <v>0.94374659999999999</v>
      </c>
      <c r="Q5049">
        <v>2.1708559999999998E-2</v>
      </c>
      <c r="R5049">
        <v>-0.32995669999999999</v>
      </c>
      <c r="S5049">
        <v>2.496521</v>
      </c>
      <c r="T5049">
        <v>-0.53440089999999996</v>
      </c>
      <c r="U5049">
        <v>-2.0123899999999999</v>
      </c>
      <c r="V5049">
        <v>0.171297799999999</v>
      </c>
      <c r="W5049">
        <v>4.4659360000000002E-2</v>
      </c>
      <c r="X5049">
        <v>0.98420660000000004</v>
      </c>
      <c r="Y5049">
        <v>0.48718139999999999</v>
      </c>
      <c r="Z5049">
        <v>-1.5356099999999999E-2</v>
      </c>
      <c r="AA5049">
        <v>0.87316579999999999</v>
      </c>
      <c r="AB5049">
        <v>18</v>
      </c>
      <c r="AC5049">
        <v>5.09649999999999</v>
      </c>
      <c r="AD5049">
        <v>-1.1250639999999901</v>
      </c>
      <c r="AE5049">
        <v>-4.2110499999999904</v>
      </c>
      <c r="AF5049">
        <v>3.2255983381812099</v>
      </c>
      <c r="AG5049">
        <v>-1.1250639999999901</v>
      </c>
      <c r="AH5049">
        <v>5.5567170625803799</v>
      </c>
      <c r="AI5049">
        <v>99.932093392730394</v>
      </c>
      <c r="AJ5049">
        <v>59.865420376947299</v>
      </c>
      <c r="AK5049">
        <v>6.5228335987471997</v>
      </c>
      <c r="AL5049">
        <v>87.440355857843997</v>
      </c>
      <c r="AM5049">
        <v>80.126766354067598</v>
      </c>
      <c r="AN5049">
        <v>1.0000000131019999</v>
      </c>
    </row>
    <row r="5050" spans="1:40" x14ac:dyDescent="0.25">
      <c r="A5050" t="str">
        <f>"20190312154701799"</f>
        <v>20190312154701799</v>
      </c>
      <c r="B5050" t="str">
        <f>"1552376821793353"</f>
        <v>1552376821793353</v>
      </c>
      <c r="C5050" t="s">
        <v>40</v>
      </c>
      <c r="D5050">
        <v>4.6021539999999996</v>
      </c>
      <c r="E5050">
        <v>0.63814950000000004</v>
      </c>
      <c r="F5050" t="s">
        <v>43</v>
      </c>
      <c r="G5050">
        <v>-311.63529999999997</v>
      </c>
      <c r="H5050">
        <v>-0.05</v>
      </c>
      <c r="I5050">
        <v>12.2525</v>
      </c>
      <c r="J5050">
        <v>-316.78210000000001</v>
      </c>
      <c r="K5050">
        <v>1.07307</v>
      </c>
      <c r="L5050">
        <v>16.588989999999999</v>
      </c>
      <c r="M5050">
        <v>0.9852651</v>
      </c>
      <c r="N5050">
        <v>0</v>
      </c>
      <c r="O5050">
        <v>-0.16933570000000001</v>
      </c>
      <c r="P5050">
        <v>0.94090419999999997</v>
      </c>
      <c r="Q5050">
        <v>2.2454709999999999E-2</v>
      </c>
      <c r="R5050">
        <v>-0.33792840000000002</v>
      </c>
      <c r="S5050">
        <v>2.4790040000000002</v>
      </c>
      <c r="T5050">
        <v>-0.5239007</v>
      </c>
      <c r="U5050">
        <v>-2.036041</v>
      </c>
      <c r="V5050">
        <v>0.17409949999999999</v>
      </c>
      <c r="W5050">
        <v>4.4478829999999997E-2</v>
      </c>
      <c r="X5050">
        <v>0.98372300000000001</v>
      </c>
      <c r="Y5050">
        <v>0.49048770000000003</v>
      </c>
      <c r="Z5050">
        <v>-1.443912E-2</v>
      </c>
      <c r="AA5050">
        <v>0.87132849999999995</v>
      </c>
      <c r="AB5050">
        <v>18</v>
      </c>
      <c r="AC5050">
        <v>5.1468000000000398</v>
      </c>
      <c r="AD5050">
        <v>-1.12307</v>
      </c>
      <c r="AE5050">
        <v>-4.3364900000000004</v>
      </c>
      <c r="AF5050">
        <v>3.3098713620879998</v>
      </c>
      <c r="AG5050">
        <v>-1.12307</v>
      </c>
      <c r="AH5050">
        <v>5.6496425327663804</v>
      </c>
      <c r="AI5050">
        <v>99.732591104513006</v>
      </c>
      <c r="AJ5050">
        <v>59.635881683443401</v>
      </c>
      <c r="AK5050">
        <v>6.6434174493639402</v>
      </c>
      <c r="AL5050">
        <v>87.450709647227995</v>
      </c>
      <c r="AM5050">
        <v>79.963705524760499</v>
      </c>
      <c r="AN5050">
        <v>0.999999971473709</v>
      </c>
    </row>
    <row r="5051" spans="1:40" x14ac:dyDescent="0.25">
      <c r="A5051" t="str">
        <f>"20190312154701822"</f>
        <v>20190312154701822</v>
      </c>
      <c r="B5051" t="str">
        <f>"1552376821812873"</f>
        <v>1552376821812873</v>
      </c>
      <c r="C5051" t="s">
        <v>40</v>
      </c>
      <c r="D5051">
        <v>4.6436549999999999</v>
      </c>
      <c r="E5051">
        <v>0.63751159999999996</v>
      </c>
      <c r="F5051" t="s">
        <v>43</v>
      </c>
      <c r="G5051">
        <v>-311.49119999999999</v>
      </c>
      <c r="H5051">
        <v>-0.05</v>
      </c>
      <c r="I5051">
        <v>12.178879999999999</v>
      </c>
      <c r="J5051">
        <v>-316.6053</v>
      </c>
      <c r="K5051">
        <v>1.07114</v>
      </c>
      <c r="L5051">
        <v>16.551909999999999</v>
      </c>
      <c r="M5051">
        <v>0.98428590000000005</v>
      </c>
      <c r="N5051">
        <v>0</v>
      </c>
      <c r="O5051">
        <v>-0.17506749999999999</v>
      </c>
      <c r="P5051">
        <v>0.93759440000000005</v>
      </c>
      <c r="Q5051">
        <v>2.3633990000000001E-2</v>
      </c>
      <c r="R5051">
        <v>-0.3469276</v>
      </c>
      <c r="S5051">
        <v>2.4634399999999999</v>
      </c>
      <c r="T5051">
        <v>-0.52290190000000003</v>
      </c>
      <c r="U5051">
        <v>-2.0533450000000002</v>
      </c>
      <c r="V5051">
        <v>0.17780070000000001</v>
      </c>
      <c r="W5051">
        <v>4.470176E-2</v>
      </c>
      <c r="X5051">
        <v>0.98305070000000006</v>
      </c>
      <c r="Y5051">
        <v>0.49180689999999999</v>
      </c>
      <c r="Z5051">
        <v>-1.357361E-2</v>
      </c>
      <c r="AA5051">
        <v>0.87059850000000005</v>
      </c>
      <c r="AB5051">
        <v>18</v>
      </c>
      <c r="AC5051">
        <v>5.1140999999999996</v>
      </c>
      <c r="AD5051">
        <v>-1.12114</v>
      </c>
      <c r="AE5051">
        <v>-4.37303</v>
      </c>
      <c r="AF5051">
        <v>3.31780119318916</v>
      </c>
      <c r="AG5051">
        <v>-1.12114</v>
      </c>
      <c r="AH5051">
        <v>5.6441681938377499</v>
      </c>
      <c r="AI5051">
        <v>99.7172152106846</v>
      </c>
      <c r="AJ5051">
        <v>59.551787129017903</v>
      </c>
      <c r="AK5051">
        <v>6.6423937144268299</v>
      </c>
      <c r="AL5051">
        <v>87.4379240739636</v>
      </c>
      <c r="AM5051">
        <v>79.747958347899996</v>
      </c>
      <c r="AN5051">
        <v>1.0000000075190301</v>
      </c>
    </row>
    <row r="5052" spans="1:40" x14ac:dyDescent="0.25">
      <c r="A5052" t="str">
        <f>"20190312154701845"</f>
        <v>20190312154701845</v>
      </c>
      <c r="B5052" t="str">
        <f>"1552376821833369"</f>
        <v>1552376821833369</v>
      </c>
      <c r="C5052" t="s">
        <v>40</v>
      </c>
      <c r="D5052">
        <v>4.6337289999999998</v>
      </c>
      <c r="E5052">
        <v>0.63682229999999995</v>
      </c>
      <c r="F5052" t="s">
        <v>43</v>
      </c>
      <c r="G5052">
        <v>-311.36419999999998</v>
      </c>
      <c r="H5052">
        <v>-0.05</v>
      </c>
      <c r="I5052">
        <v>12.11552</v>
      </c>
      <c r="J5052">
        <v>-316.43490000000003</v>
      </c>
      <c r="K5052">
        <v>1.0693569999999999</v>
      </c>
      <c r="L5052">
        <v>16.514859999999999</v>
      </c>
      <c r="M5052">
        <v>0.98331120000000005</v>
      </c>
      <c r="N5052">
        <v>0</v>
      </c>
      <c r="O5052">
        <v>-0.18057709999999999</v>
      </c>
      <c r="P5052">
        <v>0.93466499999999997</v>
      </c>
      <c r="Q5052">
        <v>2.4675539999999999E-2</v>
      </c>
      <c r="R5052">
        <v>-0.35467290000000001</v>
      </c>
      <c r="S5052">
        <v>2.446564</v>
      </c>
      <c r="T5052">
        <v>-0.5233508</v>
      </c>
      <c r="U5052">
        <v>-2.0709230000000001</v>
      </c>
      <c r="V5052">
        <v>0.18043480000000001</v>
      </c>
      <c r="W5052">
        <v>4.4823710000000003E-2</v>
      </c>
      <c r="X5052">
        <v>0.98256509999999997</v>
      </c>
      <c r="Y5052">
        <v>0.49357259999999997</v>
      </c>
      <c r="Z5052">
        <v>-1.282837E-2</v>
      </c>
      <c r="AA5052">
        <v>0.86960999999999999</v>
      </c>
      <c r="AB5052">
        <v>18</v>
      </c>
      <c r="AC5052">
        <v>5.0707000000000404</v>
      </c>
      <c r="AD5052">
        <v>-1.1193569999999999</v>
      </c>
      <c r="AE5052">
        <v>-4.3993399999999996</v>
      </c>
      <c r="AF5052">
        <v>3.3188331173446701</v>
      </c>
      <c r="AG5052">
        <v>-1.1193569999999999</v>
      </c>
      <c r="AH5052">
        <v>5.6255115813324803</v>
      </c>
      <c r="AI5052">
        <v>99.724716747248394</v>
      </c>
      <c r="AJ5052">
        <v>59.4610475904474</v>
      </c>
      <c r="AK5052">
        <v>6.6267634563140003</v>
      </c>
      <c r="AL5052">
        <v>87.430929897931705</v>
      </c>
      <c r="AM5052">
        <v>79.594338665572394</v>
      </c>
      <c r="AN5052">
        <v>1.0000000288836</v>
      </c>
    </row>
    <row r="5053" spans="1:40" x14ac:dyDescent="0.25">
      <c r="A5053" t="str">
        <f>"20190312154701865"</f>
        <v>20190312154701865</v>
      </c>
      <c r="B5053" t="str">
        <f>"1552376821862649"</f>
        <v>1552376821862649</v>
      </c>
      <c r="C5053" t="s">
        <v>40</v>
      </c>
      <c r="D5053">
        <v>4.6654489999999997</v>
      </c>
      <c r="E5053">
        <v>0.63575819999999905</v>
      </c>
      <c r="F5053" t="s">
        <v>43</v>
      </c>
      <c r="G5053">
        <v>-311.22809999999998</v>
      </c>
      <c r="H5053">
        <v>-0.05</v>
      </c>
      <c r="I5053">
        <v>12.05081</v>
      </c>
      <c r="J5053">
        <v>-316.26949999999999</v>
      </c>
      <c r="K5053">
        <v>1.0677410000000001</v>
      </c>
      <c r="L5053">
        <v>16.477599999999999</v>
      </c>
      <c r="M5053">
        <v>0.98233890000000001</v>
      </c>
      <c r="N5053">
        <v>0</v>
      </c>
      <c r="O5053">
        <v>-0.18589330000000001</v>
      </c>
      <c r="P5053">
        <v>0.93170989999999998</v>
      </c>
      <c r="Q5053">
        <v>2.5024749999999998E-2</v>
      </c>
      <c r="R5053">
        <v>-0.36234060000000001</v>
      </c>
      <c r="S5053">
        <v>2.4321899999999999</v>
      </c>
      <c r="T5053">
        <v>-0.52287159999999999</v>
      </c>
      <c r="U5053">
        <v>-2.0852360000000001</v>
      </c>
      <c r="V5053">
        <v>0.1831922</v>
      </c>
      <c r="W5053">
        <v>4.4303530000000001E-2</v>
      </c>
      <c r="X5053">
        <v>0.98207829999999996</v>
      </c>
      <c r="Y5053">
        <v>0.49441980000000002</v>
      </c>
      <c r="Z5053">
        <v>-1.2001390000000001E-2</v>
      </c>
      <c r="AA5053">
        <v>0.86914040000000004</v>
      </c>
      <c r="AB5053">
        <v>18</v>
      </c>
      <c r="AC5053">
        <v>5.0414000000000003</v>
      </c>
      <c r="AD5053">
        <v>-1.1177410000000001</v>
      </c>
      <c r="AE5053">
        <v>-4.4267899999999898</v>
      </c>
      <c r="AF5053">
        <v>3.3200692741739202</v>
      </c>
      <c r="AG5053">
        <v>-1.1177410000000001</v>
      </c>
      <c r="AH5053">
        <v>5.6205820454256799</v>
      </c>
      <c r="AI5053">
        <v>99.716222402572001</v>
      </c>
      <c r="AJ5053">
        <v>59.429718008175897</v>
      </c>
      <c r="AK5053">
        <v>6.6229258985554296</v>
      </c>
      <c r="AL5053">
        <v>87.460763545732405</v>
      </c>
      <c r="AM5053">
        <v>79.4337540387763</v>
      </c>
      <c r="AN5053">
        <v>0.99999998612109497</v>
      </c>
    </row>
    <row r="5054" spans="1:40" x14ac:dyDescent="0.25">
      <c r="A5054" t="str">
        <f>"20190312154701889"</f>
        <v>20190312154701889</v>
      </c>
      <c r="B5054" t="str">
        <f>"1552376821883145"</f>
        <v>1552376821883145</v>
      </c>
      <c r="C5054" t="s">
        <v>40</v>
      </c>
      <c r="D5054">
        <v>4.6870570000000003</v>
      </c>
      <c r="E5054">
        <v>0.63498739999999998</v>
      </c>
      <c r="F5054" t="s">
        <v>43</v>
      </c>
      <c r="G5054">
        <v>-311.14179999999999</v>
      </c>
      <c r="H5054">
        <v>-0.05</v>
      </c>
      <c r="I5054">
        <v>12.033189999999999</v>
      </c>
      <c r="J5054">
        <v>-316.08969999999999</v>
      </c>
      <c r="K5054">
        <v>1.066203</v>
      </c>
      <c r="L5054">
        <v>16.435849999999999</v>
      </c>
      <c r="M5054">
        <v>0.98123320000000003</v>
      </c>
      <c r="N5054">
        <v>0</v>
      </c>
      <c r="O5054">
        <v>-0.1917392</v>
      </c>
      <c r="P5054">
        <v>0.92875220000000003</v>
      </c>
      <c r="Q5054">
        <v>2.4473399999999999E-2</v>
      </c>
      <c r="R5054">
        <v>-0.36989260000000002</v>
      </c>
      <c r="S5054">
        <v>2.4187319999999999</v>
      </c>
      <c r="T5054">
        <v>-0.5272346</v>
      </c>
      <c r="U5054">
        <v>-2.0964049999999999</v>
      </c>
      <c r="V5054">
        <v>0.18529970000000001</v>
      </c>
      <c r="W5054">
        <v>4.2899140000000002E-2</v>
      </c>
      <c r="X5054">
        <v>0.98174519999999998</v>
      </c>
      <c r="Y5054">
        <v>0.49394260000000001</v>
      </c>
      <c r="Z5054">
        <v>-1.1058E-2</v>
      </c>
      <c r="AA5054">
        <v>0.86942419999999998</v>
      </c>
      <c r="AB5054">
        <v>18</v>
      </c>
      <c r="AC5054">
        <v>4.9478999999999997</v>
      </c>
      <c r="AD5054">
        <v>-1.1162030000000001</v>
      </c>
      <c r="AE5054">
        <v>-4.4026599999999902</v>
      </c>
      <c r="AF5054">
        <v>3.2789024802187501</v>
      </c>
      <c r="AG5054">
        <v>-1.1162030000000001</v>
      </c>
      <c r="AH5054">
        <v>5.5429586513862601</v>
      </c>
      <c r="AI5054">
        <v>99.832782516788896</v>
      </c>
      <c r="AJ5054">
        <v>59.3938288604921</v>
      </c>
      <c r="AK5054">
        <v>6.53616869603069</v>
      </c>
      <c r="AL5054">
        <v>87.541305744214796</v>
      </c>
      <c r="AM5054">
        <v>79.311438290412895</v>
      </c>
      <c r="AN5054">
        <v>0.99999997637793403</v>
      </c>
    </row>
    <row r="5055" spans="1:40" x14ac:dyDescent="0.25">
      <c r="A5055" t="str">
        <f>"20190312154701910"</f>
        <v>20190312154701910</v>
      </c>
      <c r="B5055" t="str">
        <f>"1552376821902665"</f>
        <v>1552376821902665</v>
      </c>
      <c r="C5055" t="s">
        <v>40</v>
      </c>
      <c r="D5055">
        <v>5.0124409999999999</v>
      </c>
      <c r="E5055">
        <v>0.63430310000000001</v>
      </c>
      <c r="F5055" t="s">
        <v>43</v>
      </c>
      <c r="G5055">
        <v>-311.03219999999999</v>
      </c>
      <c r="H5055">
        <v>-0.05</v>
      </c>
      <c r="I5055">
        <v>11.998519999999999</v>
      </c>
      <c r="J5055">
        <v>-315.92099999999999</v>
      </c>
      <c r="K5055">
        <v>1.064948</v>
      </c>
      <c r="L5055">
        <v>16.39545</v>
      </c>
      <c r="M5055">
        <v>0.98012630000000001</v>
      </c>
      <c r="N5055">
        <v>0</v>
      </c>
      <c r="O5055">
        <v>-0.1973956</v>
      </c>
      <c r="P5055">
        <v>0.92580469999999904</v>
      </c>
      <c r="Q5055">
        <v>2.452211E-2</v>
      </c>
      <c r="R5055">
        <v>-0.37720629999999999</v>
      </c>
      <c r="S5055">
        <v>2.404083</v>
      </c>
      <c r="T5055">
        <v>-0.5305803</v>
      </c>
      <c r="U5055">
        <v>-2.1092529999999998</v>
      </c>
      <c r="V5055">
        <v>0.18736910000000001</v>
      </c>
      <c r="W5055">
        <v>4.2229309999999999E-2</v>
      </c>
      <c r="X5055">
        <v>0.98138139999999996</v>
      </c>
      <c r="Y5055">
        <v>0.49419580000000002</v>
      </c>
      <c r="Z5055">
        <v>-1.0179779999999999E-2</v>
      </c>
      <c r="AA5055">
        <v>0.86929100000000004</v>
      </c>
      <c r="AB5055">
        <v>18</v>
      </c>
      <c r="AC5055">
        <v>4.8887999999999998</v>
      </c>
      <c r="AD5055">
        <v>-1.1149480000000001</v>
      </c>
      <c r="AE5055">
        <v>-4.3969300000000002</v>
      </c>
      <c r="AF5055">
        <v>3.2516703637109798</v>
      </c>
      <c r="AG5055">
        <v>-1.1149480000000001</v>
      </c>
      <c r="AH5055">
        <v>5.5024579526730397</v>
      </c>
      <c r="AI5055">
        <v>99.895341687335801</v>
      </c>
      <c r="AJ5055">
        <v>59.4190911438344</v>
      </c>
      <c r="AK5055">
        <v>6.4879513498388004</v>
      </c>
      <c r="AL5055">
        <v>87.579718982959307</v>
      </c>
      <c r="AM5055">
        <v>79.190954021266194</v>
      </c>
      <c r="AN5055">
        <v>0.99999997326192203</v>
      </c>
    </row>
    <row r="5056" spans="1:40" x14ac:dyDescent="0.25">
      <c r="A5056" t="str">
        <f>"20190312154701933"</f>
        <v>20190312154701933</v>
      </c>
      <c r="B5056" t="str">
        <f>"1552376821923165"</f>
        <v>1552376821923165</v>
      </c>
      <c r="C5056" t="s">
        <v>40</v>
      </c>
      <c r="D5056">
        <v>4.7009930000000004</v>
      </c>
      <c r="E5056">
        <v>0.63361709999999904</v>
      </c>
      <c r="F5056" t="s">
        <v>43</v>
      </c>
      <c r="G5056">
        <v>-310.89789999999999</v>
      </c>
      <c r="H5056">
        <v>-0.05</v>
      </c>
      <c r="I5056">
        <v>11.934430000000001</v>
      </c>
      <c r="J5056">
        <v>-315.74549999999999</v>
      </c>
      <c r="K5056">
        <v>1.063814</v>
      </c>
      <c r="L5056">
        <v>16.35229</v>
      </c>
      <c r="M5056">
        <v>0.97889340000000002</v>
      </c>
      <c r="N5056">
        <v>0</v>
      </c>
      <c r="O5056">
        <v>-0.20348769999999999</v>
      </c>
      <c r="P5056">
        <v>0.92269469999999998</v>
      </c>
      <c r="Q5056">
        <v>2.559867E-2</v>
      </c>
      <c r="R5056">
        <v>-0.38468089999999999</v>
      </c>
      <c r="S5056">
        <v>2.3897400000000002</v>
      </c>
      <c r="T5056">
        <v>-0.53044760000000002</v>
      </c>
      <c r="U5056">
        <v>-2.1223749999999999</v>
      </c>
      <c r="V5056">
        <v>0.1892045</v>
      </c>
      <c r="W5056">
        <v>4.2641409999999998E-2</v>
      </c>
      <c r="X5056">
        <v>0.98101139999999998</v>
      </c>
      <c r="Y5056">
        <v>0.49412909999999999</v>
      </c>
      <c r="Z5056">
        <v>-9.1176999999999994E-3</v>
      </c>
      <c r="AA5056">
        <v>0.86934069999999997</v>
      </c>
      <c r="AB5056">
        <v>18</v>
      </c>
      <c r="AC5056">
        <v>4.8475999999999999</v>
      </c>
      <c r="AD5056">
        <v>-1.1138139999999901</v>
      </c>
      <c r="AE5056">
        <v>-4.4178599999999904</v>
      </c>
      <c r="AF5056">
        <v>3.2451988401652101</v>
      </c>
      <c r="AG5056">
        <v>-1.1138139999999901</v>
      </c>
      <c r="AH5056">
        <v>5.4870378056272502</v>
      </c>
      <c r="AI5056">
        <v>99.910658140344793</v>
      </c>
      <c r="AJ5056">
        <v>59.398656015936901</v>
      </c>
      <c r="AK5056">
        <v>6.4714357772590496</v>
      </c>
      <c r="AL5056">
        <v>87.556086168156</v>
      </c>
      <c r="AM5056">
        <v>79.083585757726496</v>
      </c>
      <c r="AN5056">
        <v>0.99999999979849896</v>
      </c>
    </row>
    <row r="5057" spans="1:40" x14ac:dyDescent="0.25">
      <c r="A5057" t="str">
        <f>"20190312154701956"</f>
        <v>20190312154701956</v>
      </c>
      <c r="B5057" t="str">
        <f>"1552376821952441"</f>
        <v>1552376821952441</v>
      </c>
      <c r="C5057" t="s">
        <v>40</v>
      </c>
      <c r="D5057">
        <v>4.7279669999999996</v>
      </c>
      <c r="E5057">
        <v>0.63248149999999903</v>
      </c>
      <c r="F5057" t="s">
        <v>43</v>
      </c>
      <c r="G5057">
        <v>-310.71499999999997</v>
      </c>
      <c r="H5057">
        <v>-0.05</v>
      </c>
      <c r="I5057">
        <v>11.82823</v>
      </c>
      <c r="J5057">
        <v>-315.57209999999998</v>
      </c>
      <c r="K5057">
        <v>1.0628059999999999</v>
      </c>
      <c r="L5057">
        <v>16.30847</v>
      </c>
      <c r="M5057">
        <v>0.97759569999999996</v>
      </c>
      <c r="N5057">
        <v>0</v>
      </c>
      <c r="O5057">
        <v>-0.2096884</v>
      </c>
      <c r="P5057">
        <v>0.91940140000000004</v>
      </c>
      <c r="Q5057">
        <v>2.6322350000000001E-2</v>
      </c>
      <c r="R5057">
        <v>-0.39243919999999999</v>
      </c>
      <c r="S5057">
        <v>2.3753359999999999</v>
      </c>
      <c r="T5057">
        <v>-0.52592720000000004</v>
      </c>
      <c r="U5057">
        <v>-2.1362000000000001</v>
      </c>
      <c r="V5057">
        <v>0.1912519</v>
      </c>
      <c r="W5057">
        <v>4.2763839999999997E-2</v>
      </c>
      <c r="X5057">
        <v>0.98060890000000001</v>
      </c>
      <c r="Y5057">
        <v>0.49418079999999998</v>
      </c>
      <c r="Z5057">
        <v>-7.9788189999999998E-3</v>
      </c>
      <c r="AA5057">
        <v>0.8693225</v>
      </c>
      <c r="AB5057">
        <v>17</v>
      </c>
      <c r="AC5057">
        <v>4.8571</v>
      </c>
      <c r="AD5057">
        <v>-1.112806</v>
      </c>
      <c r="AE5057">
        <v>-4.4802400000000002</v>
      </c>
      <c r="AF5057">
        <v>3.2692355381509599</v>
      </c>
      <c r="AG5057">
        <v>-1.112806</v>
      </c>
      <c r="AH5057">
        <v>5.5318087445755904</v>
      </c>
      <c r="AI5057">
        <v>99.825157656367793</v>
      </c>
      <c r="AJ5057">
        <v>59.417399526749499</v>
      </c>
      <c r="AK5057">
        <v>6.5212840901242899</v>
      </c>
      <c r="AL5057">
        <v>87.549064857972994</v>
      </c>
      <c r="AM5057">
        <v>78.963924231605404</v>
      </c>
      <c r="AN5057">
        <v>0.99999992501218005</v>
      </c>
    </row>
    <row r="5058" spans="1:40" x14ac:dyDescent="0.25">
      <c r="A5058" t="str">
        <f>"20190312154701978"</f>
        <v>20190312154701978</v>
      </c>
      <c r="B5058" t="str">
        <f>"1552376821972937"</f>
        <v>1552376821972937</v>
      </c>
      <c r="C5058" t="s">
        <v>40</v>
      </c>
      <c r="D5058">
        <v>4.7527169999999996</v>
      </c>
      <c r="E5058">
        <v>0.61957969999999996</v>
      </c>
      <c r="F5058" t="s">
        <v>43</v>
      </c>
      <c r="G5058">
        <v>-310.5179</v>
      </c>
      <c r="H5058">
        <v>-0.05</v>
      </c>
      <c r="I5058">
        <v>11.71048</v>
      </c>
      <c r="J5058">
        <v>-315.39870000000002</v>
      </c>
      <c r="K5058">
        <v>1.0618749999999999</v>
      </c>
      <c r="L5058">
        <v>16.263339999999999</v>
      </c>
      <c r="M5058">
        <v>0.97621829999999998</v>
      </c>
      <c r="N5058">
        <v>0</v>
      </c>
      <c r="O5058">
        <v>-0.2160559</v>
      </c>
      <c r="P5058">
        <v>0.91600280000000001</v>
      </c>
      <c r="Q5058">
        <v>2.5876400000000001E-2</v>
      </c>
      <c r="R5058">
        <v>-0.40033659999999999</v>
      </c>
      <c r="S5058">
        <v>2.3610229999999999</v>
      </c>
      <c r="T5058">
        <v>-0.51983109999999999</v>
      </c>
      <c r="U5058">
        <v>-2.147888</v>
      </c>
      <c r="V5058">
        <v>0.19329099999999999</v>
      </c>
      <c r="W5058">
        <v>4.1756710000000002E-2</v>
      </c>
      <c r="X5058">
        <v>0.98025249999999997</v>
      </c>
      <c r="Y5058">
        <v>0.49365979999999998</v>
      </c>
      <c r="Z5058">
        <v>-6.7530569999999998E-3</v>
      </c>
      <c r="AA5058">
        <v>0.86962890000000004</v>
      </c>
      <c r="AB5058">
        <v>17</v>
      </c>
      <c r="AC5058">
        <v>4.8808000000000202</v>
      </c>
      <c r="AD5058">
        <v>-1.1118749999999999</v>
      </c>
      <c r="AE5058">
        <v>-4.5528599999999901</v>
      </c>
      <c r="AF5058">
        <v>3.2990508218172701</v>
      </c>
      <c r="AG5058">
        <v>-1.1118749999999999</v>
      </c>
      <c r="AH5058">
        <v>5.5940783072153302</v>
      </c>
      <c r="AI5058">
        <v>99.715120263118095</v>
      </c>
      <c r="AJ5058">
        <v>59.470453687042799</v>
      </c>
      <c r="AK5058">
        <v>6.5889084412985497</v>
      </c>
      <c r="AL5058">
        <v>87.606820936548104</v>
      </c>
      <c r="AM5058">
        <v>78.845240415031796</v>
      </c>
      <c r="AN5058">
        <v>0.99999999863363598</v>
      </c>
    </row>
    <row r="5059" spans="1:40" x14ac:dyDescent="0.25">
      <c r="A5059" t="str">
        <f>"20190312154702000"</f>
        <v>20190312154702000</v>
      </c>
      <c r="B5059" t="str">
        <f>"1552376821992457"</f>
        <v>1552376821992457</v>
      </c>
      <c r="C5059" t="s">
        <v>40</v>
      </c>
      <c r="D5059">
        <v>4.7570949999999996</v>
      </c>
      <c r="E5059">
        <v>0.65136280000000002</v>
      </c>
      <c r="F5059" t="s">
        <v>43</v>
      </c>
      <c r="G5059">
        <v>-310.09620000000001</v>
      </c>
      <c r="H5059">
        <v>-0.05</v>
      </c>
      <c r="I5059">
        <v>11.649749999999999</v>
      </c>
      <c r="J5059">
        <v>-315.23689999999999</v>
      </c>
      <c r="K5059">
        <v>1.061075</v>
      </c>
      <c r="L5059">
        <v>16.219909999999999</v>
      </c>
      <c r="M5059">
        <v>0.97485630000000001</v>
      </c>
      <c r="N5059">
        <v>0</v>
      </c>
      <c r="O5059">
        <v>-0.22215660000000001</v>
      </c>
      <c r="P5059">
        <v>0.9127402</v>
      </c>
      <c r="Q5059">
        <v>2.5902890000000001E-2</v>
      </c>
      <c r="R5059">
        <v>-0.4077189</v>
      </c>
      <c r="S5059">
        <v>2.3830260000000001</v>
      </c>
      <c r="T5059">
        <v>-0.49968800000000002</v>
      </c>
      <c r="U5059">
        <v>-2.0733950000000001</v>
      </c>
      <c r="V5059">
        <v>0.195079</v>
      </c>
      <c r="W5059">
        <v>4.1292669999999997E-2</v>
      </c>
      <c r="X5059">
        <v>0.97991790000000001</v>
      </c>
      <c r="Y5059">
        <v>0.46938859999999899</v>
      </c>
      <c r="Z5059">
        <v>-3.2805870000000002E-3</v>
      </c>
      <c r="AA5059">
        <v>0.88298559999999904</v>
      </c>
      <c r="AB5059">
        <v>17</v>
      </c>
      <c r="AC5059">
        <v>5.1406999999999803</v>
      </c>
      <c r="AD5059">
        <v>-1.111075</v>
      </c>
      <c r="AE5059">
        <v>-4.5701599999999996</v>
      </c>
      <c r="AF5059">
        <v>3.22944642589886</v>
      </c>
      <c r="AG5059">
        <v>-1.111075</v>
      </c>
      <c r="AH5059">
        <v>5.8743709621721401</v>
      </c>
      <c r="AI5059">
        <v>99.410895933673302</v>
      </c>
      <c r="AJ5059">
        <v>61.200122378869999</v>
      </c>
      <c r="AK5059">
        <v>6.7950015507420796</v>
      </c>
      <c r="AL5059">
        <v>87.633431415740304</v>
      </c>
      <c r="AM5059">
        <v>78.740933055911597</v>
      </c>
      <c r="AN5059">
        <v>0.99999999578856902</v>
      </c>
    </row>
    <row r="5060" spans="1:40" x14ac:dyDescent="0.25">
      <c r="A5060" t="str">
        <f>"20190312154702022"</f>
        <v>20190312154702022</v>
      </c>
      <c r="B5060" t="str">
        <f>"1552376822012953"</f>
        <v>1552376822012953</v>
      </c>
      <c r="C5060" t="s">
        <v>40</v>
      </c>
      <c r="D5060">
        <v>4.8993769999999897</v>
      </c>
      <c r="E5060">
        <v>0.68441149999999995</v>
      </c>
      <c r="F5060" t="s">
        <v>43</v>
      </c>
      <c r="G5060">
        <v>-310.83620000000002</v>
      </c>
      <c r="H5060">
        <v>-0.05</v>
      </c>
      <c r="I5060">
        <v>11.707000000000001</v>
      </c>
      <c r="J5060">
        <v>-315.06689999999998</v>
      </c>
      <c r="K5060">
        <v>1.0603</v>
      </c>
      <c r="L5060">
        <v>16.172940000000001</v>
      </c>
      <c r="M5060">
        <v>0.97333429999999999</v>
      </c>
      <c r="N5060">
        <v>0</v>
      </c>
      <c r="O5060">
        <v>-0.228764</v>
      </c>
      <c r="P5060">
        <v>0.90920080000000003</v>
      </c>
      <c r="Q5060">
        <v>2.60506E-2</v>
      </c>
      <c r="R5060">
        <v>-0.41554190000000002</v>
      </c>
      <c r="S5060">
        <v>2.26532</v>
      </c>
      <c r="T5060">
        <v>-0.57194290000000003</v>
      </c>
      <c r="U5060">
        <v>-2.3230900000000001</v>
      </c>
      <c r="V5060">
        <v>0.19685749999999999</v>
      </c>
      <c r="W5060">
        <v>4.09606E-2</v>
      </c>
      <c r="X5060">
        <v>0.97957609999999995</v>
      </c>
      <c r="Y5060">
        <v>0.53273740000000003</v>
      </c>
      <c r="Z5060">
        <v>-9.1216560000000006E-3</v>
      </c>
      <c r="AA5060">
        <v>0.84623150000000003</v>
      </c>
      <c r="AB5060">
        <v>17</v>
      </c>
      <c r="AC5060">
        <v>4.2306999999999499</v>
      </c>
      <c r="AD5060">
        <v>-1.1103000000000001</v>
      </c>
      <c r="AE5060">
        <v>-4.4659399999999998</v>
      </c>
      <c r="AF5060">
        <v>3.2728905634641299</v>
      </c>
      <c r="AG5060">
        <v>-1.1103000000000001</v>
      </c>
      <c r="AH5060">
        <v>4.9781064456827098</v>
      </c>
      <c r="AI5060">
        <v>100.55687850392999</v>
      </c>
      <c r="AJ5060">
        <v>56.676803319802801</v>
      </c>
      <c r="AK5060">
        <v>6.0602081247231396</v>
      </c>
      <c r="AL5060">
        <v>87.652473724776996</v>
      </c>
      <c r="AM5060">
        <v>78.637082807501898</v>
      </c>
      <c r="AN5060">
        <v>0.99999999087490898</v>
      </c>
    </row>
    <row r="5061" spans="1:40" x14ac:dyDescent="0.25">
      <c r="A5061" t="str">
        <f>"20190312154702045"</f>
        <v>20190312154702045</v>
      </c>
      <c r="B5061" t="str">
        <f>"1552376822032477"</f>
        <v>1552376822032477</v>
      </c>
      <c r="C5061" t="s">
        <v>40</v>
      </c>
      <c r="D5061">
        <v>4.8926550000000004</v>
      </c>
      <c r="E5061">
        <v>0.68798289999999995</v>
      </c>
      <c r="F5061" t="s">
        <v>43</v>
      </c>
      <c r="G5061">
        <v>-311.92070000000001</v>
      </c>
      <c r="H5061">
        <v>-0.05</v>
      </c>
      <c r="I5061">
        <v>12.381819999999999</v>
      </c>
      <c r="J5061">
        <v>-314.89879999999999</v>
      </c>
      <c r="K5061">
        <v>1.059607</v>
      </c>
      <c r="L5061">
        <v>16.12491</v>
      </c>
      <c r="M5061">
        <v>0.97171719999999895</v>
      </c>
      <c r="N5061">
        <v>0</v>
      </c>
      <c r="O5061">
        <v>-0.23556479999999999</v>
      </c>
      <c r="P5061">
        <v>0.90549599999999997</v>
      </c>
      <c r="Q5061">
        <v>2.554449E-2</v>
      </c>
      <c r="R5061">
        <v>-0.4235852</v>
      </c>
      <c r="S5061">
        <v>2.1417540000000002</v>
      </c>
      <c r="T5061">
        <v>-0.75581049999999905</v>
      </c>
      <c r="U5061">
        <v>-2.5807190000000002</v>
      </c>
      <c r="V5061">
        <v>0.19869339999999999</v>
      </c>
      <c r="W5061">
        <v>4.0021519999999998E-2</v>
      </c>
      <c r="X5061">
        <v>0.97924420000000001</v>
      </c>
      <c r="Y5061">
        <v>0.58898989999999996</v>
      </c>
      <c r="Z5061">
        <v>-1.806673E-2</v>
      </c>
      <c r="AA5061">
        <v>0.8079385</v>
      </c>
      <c r="AB5061">
        <v>17</v>
      </c>
      <c r="AC5061">
        <v>2.97809999999998</v>
      </c>
      <c r="AD5061">
        <v>-1.109607</v>
      </c>
      <c r="AE5061">
        <v>-3.74309</v>
      </c>
      <c r="AF5061">
        <v>2.78616166982719</v>
      </c>
      <c r="AG5061">
        <v>-1.109607</v>
      </c>
      <c r="AH5061">
        <v>3.5833025479072802</v>
      </c>
      <c r="AI5061">
        <v>103.73707102989999</v>
      </c>
      <c r="AJ5061">
        <v>52.133499871114502</v>
      </c>
      <c r="AK5061">
        <v>4.6726846346294399</v>
      </c>
      <c r="AL5061">
        <v>87.706323222142004</v>
      </c>
      <c r="AM5061">
        <v>78.530122876850101</v>
      </c>
      <c r="AN5061">
        <v>0.99999999625015501</v>
      </c>
    </row>
    <row r="5062" spans="1:40" x14ac:dyDescent="0.25">
      <c r="A5062" t="str">
        <f>"20190312154702066"</f>
        <v>20190312154702066</v>
      </c>
      <c r="B5062" t="str">
        <f>"1552376822062730"</f>
        <v>1552376822062730</v>
      </c>
      <c r="C5062" t="s">
        <v>40</v>
      </c>
      <c r="D5062">
        <v>4.9272199999999904</v>
      </c>
      <c r="E5062">
        <v>0.68883030000000001</v>
      </c>
      <c r="F5062" t="s">
        <v>43</v>
      </c>
      <c r="G5062">
        <v>-312.08100000000002</v>
      </c>
      <c r="H5062">
        <v>-0.05</v>
      </c>
      <c r="I5062">
        <v>12.61716</v>
      </c>
      <c r="J5062">
        <v>-314.73129999999998</v>
      </c>
      <c r="K5062">
        <v>1.058997</v>
      </c>
      <c r="L5062">
        <v>16.075379999999999</v>
      </c>
      <c r="M5062">
        <v>0.96998479999999998</v>
      </c>
      <c r="N5062">
        <v>0</v>
      </c>
      <c r="O5062">
        <v>-0.24262110000000001</v>
      </c>
      <c r="P5062">
        <v>0.90165050000000002</v>
      </c>
      <c r="Q5062">
        <v>2.5566620000000002E-2</v>
      </c>
      <c r="R5062">
        <v>-0.43170890000000001</v>
      </c>
      <c r="S5062">
        <v>2.1086119999999999</v>
      </c>
      <c r="T5062">
        <v>-0.8303294</v>
      </c>
      <c r="U5062">
        <v>-2.6248779999999998</v>
      </c>
      <c r="V5062">
        <v>0.20039090000000001</v>
      </c>
      <c r="W5062">
        <v>3.965656E-2</v>
      </c>
      <c r="X5062">
        <v>0.97891309999999998</v>
      </c>
      <c r="Y5062">
        <v>0.59436880000000003</v>
      </c>
      <c r="Z5062">
        <v>-1.874752E-2</v>
      </c>
      <c r="AA5062">
        <v>0.80397410000000002</v>
      </c>
      <c r="AB5062">
        <v>17</v>
      </c>
      <c r="AC5062">
        <v>2.6503000000000099</v>
      </c>
      <c r="AD5062">
        <v>-1.108997</v>
      </c>
      <c r="AE5062">
        <v>-3.4582199999999901</v>
      </c>
      <c r="AF5062">
        <v>2.5467638035339601</v>
      </c>
      <c r="AG5062">
        <v>-1.108997</v>
      </c>
      <c r="AH5062">
        <v>3.20274303139113</v>
      </c>
      <c r="AI5062">
        <v>105.164198944151</v>
      </c>
      <c r="AJ5062">
        <v>51.508909482793399</v>
      </c>
      <c r="AK5062">
        <v>4.2395097761562299</v>
      </c>
      <c r="AL5062">
        <v>87.727250527181596</v>
      </c>
      <c r="AM5062">
        <v>78.430955205786105</v>
      </c>
      <c r="AN5062">
        <v>1.0000000064527199</v>
      </c>
    </row>
    <row r="5063" spans="1:40" x14ac:dyDescent="0.25">
      <c r="A5063" t="str">
        <f>"20190312154702091"</f>
        <v>20190312154702091</v>
      </c>
      <c r="B5063" t="str">
        <f>"1552376822083225"</f>
        <v>1552376822083225</v>
      </c>
      <c r="C5063" t="s">
        <v>40</v>
      </c>
      <c r="D5063">
        <v>4.8958089999999999</v>
      </c>
      <c r="E5063">
        <v>0.68892819999999899</v>
      </c>
      <c r="F5063" t="s">
        <v>43</v>
      </c>
      <c r="G5063">
        <v>-312.08179999999999</v>
      </c>
      <c r="H5063">
        <v>-0.05</v>
      </c>
      <c r="I5063">
        <v>12.7036</v>
      </c>
      <c r="J5063">
        <v>-314.55889999999999</v>
      </c>
      <c r="K5063">
        <v>1.0584659999999999</v>
      </c>
      <c r="L5063">
        <v>16.022770000000001</v>
      </c>
      <c r="M5063">
        <v>0.96808190000000005</v>
      </c>
      <c r="N5063">
        <v>0</v>
      </c>
      <c r="O5063">
        <v>-0.25012440000000002</v>
      </c>
      <c r="P5063">
        <v>0.89698180000000005</v>
      </c>
      <c r="Q5063">
        <v>2.630571E-2</v>
      </c>
      <c r="R5063">
        <v>-0.44128410000000001</v>
      </c>
      <c r="S5063">
        <v>2.0828250000000001</v>
      </c>
      <c r="T5063">
        <v>-0.87181010000000003</v>
      </c>
      <c r="U5063">
        <v>-2.6506349999999999</v>
      </c>
      <c r="V5063">
        <v>0.20325509999999999</v>
      </c>
      <c r="W5063">
        <v>4.0030570000000001E-2</v>
      </c>
      <c r="X5063">
        <v>0.97830720000000004</v>
      </c>
      <c r="Y5063">
        <v>0.59598649999999997</v>
      </c>
      <c r="Z5063">
        <v>-1.7835739999999999E-2</v>
      </c>
      <c r="AA5063">
        <v>0.80279630000000002</v>
      </c>
      <c r="AB5063">
        <v>17</v>
      </c>
      <c r="AC5063">
        <v>2.4771000000000001</v>
      </c>
      <c r="AD5063">
        <v>-1.108466</v>
      </c>
      <c r="AE5063">
        <v>-3.3191700000000002</v>
      </c>
      <c r="AF5063">
        <v>2.42058503192471</v>
      </c>
      <c r="AG5063">
        <v>-1.108466</v>
      </c>
      <c r="AH5063">
        <v>3.01283764212342</v>
      </c>
      <c r="AI5063">
        <v>106.003588309713</v>
      </c>
      <c r="AJ5063">
        <v>51.2207809710699</v>
      </c>
      <c r="AK5063">
        <v>4.0205869506490899</v>
      </c>
      <c r="AL5063">
        <v>87.705804356694202</v>
      </c>
      <c r="AM5063">
        <v>78.263085726116401</v>
      </c>
      <c r="AN5063">
        <v>1.00000002989118</v>
      </c>
    </row>
    <row r="5064" spans="1:40" x14ac:dyDescent="0.25">
      <c r="A5064" t="str">
        <f>"20190312154702111"</f>
        <v>20190312154702111</v>
      </c>
      <c r="B5064" t="str">
        <f>"1552376822102745"</f>
        <v>1552376822102745</v>
      </c>
      <c r="C5064" t="s">
        <v>40</v>
      </c>
      <c r="D5064">
        <v>4.7931929999999996</v>
      </c>
      <c r="E5064">
        <v>0.68894979999999995</v>
      </c>
      <c r="F5064" t="s">
        <v>43</v>
      </c>
      <c r="G5064">
        <v>-311.82299999999998</v>
      </c>
      <c r="H5064">
        <v>-0.05</v>
      </c>
      <c r="I5064">
        <v>12.460100000000001</v>
      </c>
      <c r="J5064">
        <v>-314.39499999999998</v>
      </c>
      <c r="K5064">
        <v>1.0580290000000001</v>
      </c>
      <c r="L5064">
        <v>15.971069999999999</v>
      </c>
      <c r="M5064">
        <v>0.96615700000000004</v>
      </c>
      <c r="N5064">
        <v>0</v>
      </c>
      <c r="O5064">
        <v>-0.25747379999999997</v>
      </c>
      <c r="P5064">
        <v>0.89249279999999998</v>
      </c>
      <c r="Q5064">
        <v>2.7251899999999999E-2</v>
      </c>
      <c r="R5064">
        <v>-0.45023790000000002</v>
      </c>
      <c r="S5064">
        <v>2.053436</v>
      </c>
      <c r="T5064">
        <v>-0.83195520000000001</v>
      </c>
      <c r="U5064">
        <v>-2.67395</v>
      </c>
      <c r="V5064">
        <v>0.20563390000000001</v>
      </c>
      <c r="W5064">
        <v>4.067283E-2</v>
      </c>
      <c r="X5064">
        <v>0.97778339999999997</v>
      </c>
      <c r="Y5064">
        <v>0.59985189999999999</v>
      </c>
      <c r="Z5064">
        <v>-1.572088E-2</v>
      </c>
      <c r="AA5064">
        <v>0.79995660000000002</v>
      </c>
      <c r="AB5064">
        <v>17</v>
      </c>
      <c r="AC5064">
        <v>2.5720000000000001</v>
      </c>
      <c r="AD5064">
        <v>-1.1080289999999999</v>
      </c>
      <c r="AE5064">
        <v>-3.5109699999999999</v>
      </c>
      <c r="AF5064">
        <v>2.5640740803145601</v>
      </c>
      <c r="AG5064">
        <v>-1.1080289999999999</v>
      </c>
      <c r="AH5064">
        <v>3.18304993774984</v>
      </c>
      <c r="AI5064">
        <v>105.16769198750001</v>
      </c>
      <c r="AJ5064">
        <v>51.147165814594999</v>
      </c>
      <c r="AK5064">
        <v>4.2348566753068804</v>
      </c>
      <c r="AL5064">
        <v>87.668975454608599</v>
      </c>
      <c r="AM5064">
        <v>78.1234195898477</v>
      </c>
      <c r="AN5064">
        <v>0.99999997862248902</v>
      </c>
    </row>
    <row r="5065" spans="1:40" x14ac:dyDescent="0.25">
      <c r="A5065" t="str">
        <f>"20190312154702133"</f>
        <v>20190312154702133</v>
      </c>
      <c r="B5065" t="str">
        <f>"1552376822123241"</f>
        <v>1552376822123241</v>
      </c>
      <c r="C5065" t="s">
        <v>40</v>
      </c>
      <c r="D5065">
        <v>4.8396619999999997</v>
      </c>
      <c r="E5065">
        <v>0.68840089999999998</v>
      </c>
      <c r="F5065" t="s">
        <v>43</v>
      </c>
      <c r="G5065">
        <v>-311.49959999999999</v>
      </c>
      <c r="H5065">
        <v>-0.05</v>
      </c>
      <c r="I5065">
        <v>12.11966</v>
      </c>
      <c r="J5065">
        <v>-314.23020000000002</v>
      </c>
      <c r="K5065">
        <v>1.057663</v>
      </c>
      <c r="L5065">
        <v>15.91757</v>
      </c>
      <c r="M5065">
        <v>0.96410479999999998</v>
      </c>
      <c r="N5065">
        <v>0</v>
      </c>
      <c r="O5065">
        <v>-0.26506729999999901</v>
      </c>
      <c r="P5065">
        <v>0.88828119999999999</v>
      </c>
      <c r="Q5065">
        <v>2.7283930000000001E-2</v>
      </c>
      <c r="R5065">
        <v>-0.45848909999999998</v>
      </c>
      <c r="S5065">
        <v>2.0256959999999999</v>
      </c>
      <c r="T5065">
        <v>-0.77521859999999998</v>
      </c>
      <c r="U5065">
        <v>-2.6945800000000002</v>
      </c>
      <c r="V5065">
        <v>0.2070089</v>
      </c>
      <c r="W5065">
        <v>4.0444609999999999E-2</v>
      </c>
      <c r="X5065">
        <v>0.97750269999999995</v>
      </c>
      <c r="Y5065">
        <v>0.60311979999999998</v>
      </c>
      <c r="Z5065">
        <v>-1.3287759999999999E-2</v>
      </c>
      <c r="AA5065">
        <v>0.79753989999999997</v>
      </c>
      <c r="AB5065">
        <v>17</v>
      </c>
      <c r="AC5065">
        <v>2.7306000000000301</v>
      </c>
      <c r="AD5065">
        <v>-1.1076629999999901</v>
      </c>
      <c r="AE5065">
        <v>-3.7979099999999999</v>
      </c>
      <c r="AF5065">
        <v>2.7821390776322699</v>
      </c>
      <c r="AG5065">
        <v>-1.1076629999999901</v>
      </c>
      <c r="AH5065">
        <v>3.4464679166360601</v>
      </c>
      <c r="AI5065">
        <v>104.04044764532</v>
      </c>
      <c r="AJ5065">
        <v>51.088019660823797</v>
      </c>
      <c r="AK5065">
        <v>4.5656715025567998</v>
      </c>
      <c r="AL5065">
        <v>87.682062292112093</v>
      </c>
      <c r="AM5065">
        <v>78.042948554166401</v>
      </c>
      <c r="AN5065">
        <v>0.999999989832275</v>
      </c>
    </row>
    <row r="5066" spans="1:40" x14ac:dyDescent="0.25">
      <c r="A5066" t="str">
        <f>"20190312154702157"</f>
        <v>20190312154702157</v>
      </c>
      <c r="B5066" t="str">
        <f>"1552376822152522"</f>
        <v>1552376822152522</v>
      </c>
      <c r="C5066" t="s">
        <v>40</v>
      </c>
      <c r="D5066">
        <v>4.8339749999999997</v>
      </c>
      <c r="E5066">
        <v>0.68762590000000001</v>
      </c>
      <c r="F5066" t="s">
        <v>43</v>
      </c>
      <c r="G5066">
        <v>-311.2004</v>
      </c>
      <c r="H5066">
        <v>-0.05</v>
      </c>
      <c r="I5066">
        <v>11.81104</v>
      </c>
      <c r="J5066">
        <v>-314.06049999999999</v>
      </c>
      <c r="K5066">
        <v>1.0573330000000001</v>
      </c>
      <c r="L5066">
        <v>15.860659999999999</v>
      </c>
      <c r="M5066">
        <v>0.96186090000000002</v>
      </c>
      <c r="N5066">
        <v>0</v>
      </c>
      <c r="O5066">
        <v>-0.27310820000000002</v>
      </c>
      <c r="P5066">
        <v>0.88327929999999999</v>
      </c>
      <c r="Q5066">
        <v>2.7734390000000001E-2</v>
      </c>
      <c r="R5066">
        <v>-0.46802650000000001</v>
      </c>
      <c r="S5066">
        <v>2.0003359999999999</v>
      </c>
      <c r="T5066">
        <v>-0.73131590000000002</v>
      </c>
      <c r="U5066">
        <v>-2.7112729999999998</v>
      </c>
      <c r="V5066">
        <v>0.2093865</v>
      </c>
      <c r="W5066">
        <v>4.0641860000000002E-2</v>
      </c>
      <c r="X5066">
        <v>0.97698799999999997</v>
      </c>
      <c r="Y5066">
        <v>0.60467709999999997</v>
      </c>
      <c r="Z5066">
        <v>-1.088914E-2</v>
      </c>
      <c r="AA5066">
        <v>0.79639629999999995</v>
      </c>
      <c r="AB5066">
        <v>17</v>
      </c>
      <c r="AC5066">
        <v>2.8600999999999801</v>
      </c>
      <c r="AD5066">
        <v>-1.1073329999999999</v>
      </c>
      <c r="AE5066">
        <v>-4.04962</v>
      </c>
      <c r="AF5066">
        <v>2.96643644778805</v>
      </c>
      <c r="AG5066">
        <v>-1.1073329999999999</v>
      </c>
      <c r="AH5066">
        <v>3.6741663036288399</v>
      </c>
      <c r="AI5066">
        <v>103.19711609443399</v>
      </c>
      <c r="AJ5066">
        <v>51.083400063333698</v>
      </c>
      <c r="AK5066">
        <v>4.8503020110479698</v>
      </c>
      <c r="AL5066">
        <v>87.670751445682399</v>
      </c>
      <c r="AM5066">
        <v>77.903452679128605</v>
      </c>
      <c r="AN5066">
        <v>1.0000000096552499</v>
      </c>
    </row>
    <row r="5067" spans="1:40" x14ac:dyDescent="0.25">
      <c r="A5067" t="str">
        <f>"20190312154702178"</f>
        <v>20190312154702178</v>
      </c>
      <c r="B5067" t="str">
        <f>"1552376822173018"</f>
        <v>1552376822173018</v>
      </c>
      <c r="C5067" t="s">
        <v>40</v>
      </c>
      <c r="D5067">
        <v>4.8447930000000001</v>
      </c>
      <c r="E5067">
        <v>0.6868649</v>
      </c>
      <c r="F5067" t="s">
        <v>43</v>
      </c>
      <c r="G5067">
        <v>-310.92290000000003</v>
      </c>
      <c r="H5067">
        <v>-0.05</v>
      </c>
      <c r="I5067">
        <v>11.519880000000001</v>
      </c>
      <c r="J5067">
        <v>-313.89530000000002</v>
      </c>
      <c r="K5067">
        <v>1.057045</v>
      </c>
      <c r="L5067">
        <v>15.803559999999999</v>
      </c>
      <c r="M5067">
        <v>0.95954819999999996</v>
      </c>
      <c r="N5067">
        <v>0</v>
      </c>
      <c r="O5067">
        <v>-0.281134</v>
      </c>
      <c r="P5067">
        <v>0.87784139999999999</v>
      </c>
      <c r="Q5067">
        <v>2.9471850000000001E-2</v>
      </c>
      <c r="R5067">
        <v>-0.47804410000000003</v>
      </c>
      <c r="S5067">
        <v>1.9723820000000001</v>
      </c>
      <c r="T5067">
        <v>-0.69610709999999998</v>
      </c>
      <c r="U5067">
        <v>-2.7287599999999999</v>
      </c>
      <c r="V5067">
        <v>0.2123796</v>
      </c>
      <c r="W5067">
        <v>4.2145469999999997E-2</v>
      </c>
      <c r="X5067">
        <v>0.97627790000000003</v>
      </c>
      <c r="Y5067">
        <v>0.60658849999999997</v>
      </c>
      <c r="Z5067">
        <v>-8.8389739999999994E-3</v>
      </c>
      <c r="AA5067">
        <v>0.79496690000000003</v>
      </c>
      <c r="AB5067">
        <v>17</v>
      </c>
      <c r="AC5067">
        <v>2.9723999999999902</v>
      </c>
      <c r="AD5067">
        <v>-1.1070450000000001</v>
      </c>
      <c r="AE5067">
        <v>-4.2836800000000004</v>
      </c>
      <c r="AF5067">
        <v>3.1338535579634899</v>
      </c>
      <c r="AG5067">
        <v>-1.1070450000000001</v>
      </c>
      <c r="AH5067">
        <v>3.8819144280293898</v>
      </c>
      <c r="AI5067">
        <v>102.51101598046</v>
      </c>
      <c r="AJ5067">
        <v>51.086204890260497</v>
      </c>
      <c r="AK5067">
        <v>5.1103665603680701</v>
      </c>
      <c r="AL5067">
        <v>87.584526853044295</v>
      </c>
      <c r="AM5067">
        <v>77.727085430621003</v>
      </c>
      <c r="AN5067">
        <v>0.99999993658304298</v>
      </c>
    </row>
    <row r="5068" spans="1:40" x14ac:dyDescent="0.25">
      <c r="A5068" t="str">
        <f>"20190312154702201"</f>
        <v>20190312154702201</v>
      </c>
      <c r="B5068" t="str">
        <f>"1552376822192541"</f>
        <v>1552376822192541</v>
      </c>
      <c r="C5068" t="s">
        <v>40</v>
      </c>
      <c r="D5068">
        <v>4.8275949999999996</v>
      </c>
      <c r="E5068">
        <v>0.68594909999999998</v>
      </c>
      <c r="F5068" t="s">
        <v>43</v>
      </c>
      <c r="G5068">
        <v>-310.71820000000002</v>
      </c>
      <c r="H5068">
        <v>-0.05</v>
      </c>
      <c r="I5068">
        <v>11.31593</v>
      </c>
      <c r="J5068">
        <v>-313.73649999999998</v>
      </c>
      <c r="K5068">
        <v>1.0567949999999999</v>
      </c>
      <c r="L5068">
        <v>15.74689</v>
      </c>
      <c r="M5068">
        <v>0.95720070000000002</v>
      </c>
      <c r="N5068">
        <v>0</v>
      </c>
      <c r="O5068">
        <v>-0.28903329999999999</v>
      </c>
      <c r="P5068">
        <v>0.87221839999999995</v>
      </c>
      <c r="Q5068">
        <v>3.2271969999999997E-2</v>
      </c>
      <c r="R5068">
        <v>-0.48805120000000002</v>
      </c>
      <c r="S5068">
        <v>1.9445190000000001</v>
      </c>
      <c r="T5068">
        <v>-0.67755019999999999</v>
      </c>
      <c r="U5068">
        <v>-2.7465820000000001</v>
      </c>
      <c r="V5068">
        <v>0.21556259999999999</v>
      </c>
      <c r="W5068">
        <v>4.4733200000000001E-2</v>
      </c>
      <c r="X5068">
        <v>0.97546489999999997</v>
      </c>
      <c r="Y5068">
        <v>0.60828340000000003</v>
      </c>
      <c r="Z5068">
        <v>-7.1025419999999999E-3</v>
      </c>
      <c r="AA5068">
        <v>0.79368819999999995</v>
      </c>
      <c r="AB5068">
        <v>17</v>
      </c>
      <c r="AC5068">
        <v>3.0182999999999498</v>
      </c>
      <c r="AD5068">
        <v>-1.106795</v>
      </c>
      <c r="AE5068">
        <v>-4.43095999999999</v>
      </c>
      <c r="AF5068">
        <v>3.2315864409274302</v>
      </c>
      <c r="AG5068">
        <v>-1.106795</v>
      </c>
      <c r="AH5068">
        <v>3.99982152375817</v>
      </c>
      <c r="AI5068">
        <v>102.14700472467899</v>
      </c>
      <c r="AJ5068">
        <v>51.064123195902702</v>
      </c>
      <c r="AK5068">
        <v>5.2599161893636897</v>
      </c>
      <c r="AL5068">
        <v>87.4361209547735</v>
      </c>
      <c r="AM5068">
        <v>77.538790299704303</v>
      </c>
      <c r="AN5068">
        <v>1.0000000324164999</v>
      </c>
    </row>
    <row r="5069" spans="1:40" x14ac:dyDescent="0.25">
      <c r="A5069" t="str">
        <f>"20190312154702223"</f>
        <v>20190312154702223</v>
      </c>
      <c r="B5069" t="str">
        <f>"1552376822213033"</f>
        <v>1552376822213033</v>
      </c>
      <c r="C5069" t="s">
        <v>40</v>
      </c>
      <c r="D5069">
        <v>4.8303760000000002</v>
      </c>
      <c r="E5069">
        <v>0.68550469999999997</v>
      </c>
      <c r="F5069" t="s">
        <v>43</v>
      </c>
      <c r="G5069">
        <v>-310.50439999999998</v>
      </c>
      <c r="H5069">
        <v>-0.05</v>
      </c>
      <c r="I5069">
        <v>11.090529999999999</v>
      </c>
      <c r="J5069">
        <v>-313.57089999999999</v>
      </c>
      <c r="K5069">
        <v>1.0565519999999999</v>
      </c>
      <c r="L5069">
        <v>15.685969999999999</v>
      </c>
      <c r="M5069">
        <v>0.95461799999999997</v>
      </c>
      <c r="N5069">
        <v>0</v>
      </c>
      <c r="O5069">
        <v>-0.29745890000000003</v>
      </c>
      <c r="P5069">
        <v>0.86683029999999905</v>
      </c>
      <c r="Q5069">
        <v>3.228425E-2</v>
      </c>
      <c r="R5069">
        <v>-0.49755739999999998</v>
      </c>
      <c r="S5069">
        <v>1.917786</v>
      </c>
      <c r="T5069">
        <v>-0.65672209999999998</v>
      </c>
      <c r="U5069">
        <v>-2.7628780000000002</v>
      </c>
      <c r="V5069">
        <v>0.21763850000000001</v>
      </c>
      <c r="W5069">
        <v>4.4557899999999998E-2</v>
      </c>
      <c r="X5069">
        <v>0.97501179999999998</v>
      </c>
      <c r="Y5069">
        <v>0.60914969999999902</v>
      </c>
      <c r="Z5069">
        <v>-5.201738E-3</v>
      </c>
      <c r="AA5069">
        <v>0.79303819999999903</v>
      </c>
      <c r="AB5069">
        <v>17</v>
      </c>
      <c r="AC5069">
        <v>3.0665000000000102</v>
      </c>
      <c r="AD5069">
        <v>-1.106552</v>
      </c>
      <c r="AE5069">
        <v>-4.59544</v>
      </c>
      <c r="AF5069">
        <v>3.3410818602141101</v>
      </c>
      <c r="AG5069">
        <v>-1.106552</v>
      </c>
      <c r="AH5069">
        <v>4.1291174122801202</v>
      </c>
      <c r="AI5069">
        <v>101.768097991861</v>
      </c>
      <c r="AJ5069">
        <v>51.021892407846103</v>
      </c>
      <c r="AK5069">
        <v>5.4255779350914004</v>
      </c>
      <c r="AL5069">
        <v>87.446174761423705</v>
      </c>
      <c r="AM5069">
        <v>77.416929053930403</v>
      </c>
      <c r="AN5069">
        <v>0.99999996663694901</v>
      </c>
    </row>
    <row r="5070" spans="1:40" x14ac:dyDescent="0.25">
      <c r="A5070" t="str">
        <f>"20190312154702245"</f>
        <v>20190312154702245</v>
      </c>
      <c r="B5070" t="str">
        <f>"1552376822243289"</f>
        <v>1552376822243289</v>
      </c>
      <c r="C5070" t="s">
        <v>40</v>
      </c>
      <c r="D5070">
        <v>4.889246</v>
      </c>
      <c r="E5070">
        <v>0.68483530000000004</v>
      </c>
      <c r="F5070" t="s">
        <v>43</v>
      </c>
      <c r="G5070">
        <v>-310.41219999999998</v>
      </c>
      <c r="H5070">
        <v>-0.05</v>
      </c>
      <c r="I5070">
        <v>11.03844</v>
      </c>
      <c r="J5070">
        <v>-313.41300000000001</v>
      </c>
      <c r="K5070">
        <v>1.0563469999999999</v>
      </c>
      <c r="L5070">
        <v>15.626010000000001</v>
      </c>
      <c r="M5070">
        <v>0.95201460000000004</v>
      </c>
      <c r="N5070">
        <v>0</v>
      </c>
      <c r="O5070">
        <v>-0.30569279999999999</v>
      </c>
      <c r="P5070">
        <v>0.86129920000000004</v>
      </c>
      <c r="Q5070">
        <v>3.0623620000000001E-2</v>
      </c>
      <c r="R5070">
        <v>-0.50717469999999998</v>
      </c>
      <c r="S5070">
        <v>1.889648</v>
      </c>
      <c r="T5070">
        <v>-0.66197919999999999</v>
      </c>
      <c r="U5070">
        <v>-2.7803339999999999</v>
      </c>
      <c r="V5070">
        <v>0.2200413</v>
      </c>
      <c r="W5070">
        <v>4.2731449999999997E-2</v>
      </c>
      <c r="X5070">
        <v>0.97455420000000004</v>
      </c>
      <c r="Y5070">
        <v>0.61013819999999996</v>
      </c>
      <c r="Z5070">
        <v>-3.5929489999999998E-3</v>
      </c>
      <c r="AA5070">
        <v>0.79228690000000002</v>
      </c>
      <c r="AB5070">
        <v>17</v>
      </c>
      <c r="AC5070">
        <v>3.0008000000000199</v>
      </c>
      <c r="AD5070">
        <v>-1.106347</v>
      </c>
      <c r="AE5070">
        <v>-4.5875700000000004</v>
      </c>
      <c r="AF5070">
        <v>3.315447536627</v>
      </c>
      <c r="AG5070">
        <v>-1.106347</v>
      </c>
      <c r="AH5070">
        <v>4.0929496924212403</v>
      </c>
      <c r="AI5070">
        <v>101.862012696197</v>
      </c>
      <c r="AJ5070">
        <v>50.991189518113799</v>
      </c>
      <c r="AK5070">
        <v>5.38223310877801</v>
      </c>
      <c r="AL5070">
        <v>87.550922598226904</v>
      </c>
      <c r="AM5070">
        <v>77.276725395304197</v>
      </c>
      <c r="AN5070">
        <v>1.00000001963121</v>
      </c>
    </row>
    <row r="5071" spans="1:40" x14ac:dyDescent="0.25">
      <c r="A5071" t="str">
        <f>"20190312154702256"</f>
        <v>20190312154702256</v>
      </c>
      <c r="B5071" t="str">
        <f>"1552376822253050"</f>
        <v>1552376822253050</v>
      </c>
      <c r="C5071" t="s">
        <v>40</v>
      </c>
      <c r="D5071">
        <v>4.8007580000000001</v>
      </c>
      <c r="E5071">
        <v>0.68437250000000005</v>
      </c>
      <c r="F5071" t="s">
        <v>43</v>
      </c>
      <c r="G5071">
        <v>-310.34390000000002</v>
      </c>
      <c r="H5071">
        <v>-0.05</v>
      </c>
      <c r="I5071">
        <v>11.011049999999999</v>
      </c>
      <c r="J5071">
        <v>-313.32330000000002</v>
      </c>
      <c r="K5071">
        <v>1.056244</v>
      </c>
      <c r="L5071">
        <v>15.5910299999999</v>
      </c>
      <c r="M5071">
        <v>0.95047199999999998</v>
      </c>
      <c r="N5071">
        <v>0</v>
      </c>
      <c r="O5071">
        <v>-0.31045790000000001</v>
      </c>
      <c r="P5071">
        <v>0.85863429999999996</v>
      </c>
      <c r="Q5071">
        <v>2.997936E-2</v>
      </c>
      <c r="R5071">
        <v>-0.51171140000000004</v>
      </c>
      <c r="S5071">
        <v>1.8600159999999999</v>
      </c>
      <c r="T5071">
        <v>-0.67049740000000002</v>
      </c>
      <c r="U5071">
        <v>-2.796875</v>
      </c>
      <c r="V5071">
        <v>0.22029070000000001</v>
      </c>
      <c r="W5071">
        <v>4.2015879999999999E-2</v>
      </c>
      <c r="X5071">
        <v>0.97452899999999998</v>
      </c>
      <c r="Y5071">
        <v>0.61398909999999995</v>
      </c>
      <c r="Z5071">
        <v>-3.1057260000000001E-3</v>
      </c>
      <c r="AA5071">
        <v>0.78930840000000002</v>
      </c>
      <c r="AB5071">
        <v>17</v>
      </c>
      <c r="AC5071">
        <v>2.9793999999999898</v>
      </c>
      <c r="AD5071">
        <v>-1.106244</v>
      </c>
      <c r="AE5071">
        <v>-4.5799799999999902</v>
      </c>
      <c r="AF5071">
        <v>3.29352704022544</v>
      </c>
      <c r="AG5071">
        <v>-1.106244</v>
      </c>
      <c r="AH5071">
        <v>4.0866667240405299</v>
      </c>
      <c r="AI5071">
        <v>101.90191489108599</v>
      </c>
      <c r="AJ5071">
        <v>51.1339593452984</v>
      </c>
      <c r="AK5071">
        <v>5.3639482720858096</v>
      </c>
      <c r="AL5071">
        <v>87.591958667819995</v>
      </c>
      <c r="AM5071">
        <v>77.262456108040396</v>
      </c>
      <c r="AN5071">
        <v>1.00000004925983</v>
      </c>
    </row>
    <row r="5072" spans="1:40" x14ac:dyDescent="0.25">
      <c r="A5072" t="str">
        <f>"20190312154702269"</f>
        <v>20190312154702269</v>
      </c>
      <c r="B5072" t="str">
        <f>"1552376822262810"</f>
        <v>1552376822262810</v>
      </c>
      <c r="C5072" t="s">
        <v>40</v>
      </c>
      <c r="D5072">
        <v>4.850104</v>
      </c>
      <c r="E5072">
        <v>0.68407830000000003</v>
      </c>
      <c r="F5072" t="s">
        <v>43</v>
      </c>
      <c r="G5072">
        <v>-310.28649999999999</v>
      </c>
      <c r="H5072">
        <v>-0.05</v>
      </c>
      <c r="I5072">
        <v>10.97879</v>
      </c>
      <c r="J5072">
        <v>-313.23320000000001</v>
      </c>
      <c r="K5072">
        <v>1.0561579999999999</v>
      </c>
      <c r="L5072">
        <v>15.55545</v>
      </c>
      <c r="M5072">
        <v>0.94888280000000003</v>
      </c>
      <c r="N5072">
        <v>0</v>
      </c>
      <c r="O5072">
        <v>-0.3152837</v>
      </c>
      <c r="P5072">
        <v>0.85557780000000005</v>
      </c>
      <c r="Q5072">
        <v>2.9725850000000002E-2</v>
      </c>
      <c r="R5072">
        <v>-0.5168201</v>
      </c>
      <c r="S5072">
        <v>1.846252</v>
      </c>
      <c r="T5072">
        <v>-0.67255819999999999</v>
      </c>
      <c r="U5072">
        <v>-2.8040769999999999</v>
      </c>
      <c r="V5072">
        <v>0.22114539999999999</v>
      </c>
      <c r="W5072">
        <v>4.1688580000000003E-2</v>
      </c>
      <c r="X5072">
        <v>0.97434940000000003</v>
      </c>
      <c r="Y5072">
        <v>0.61366919999999903</v>
      </c>
      <c r="Z5072">
        <v>-2.0067990000000001E-3</v>
      </c>
      <c r="AA5072">
        <v>0.7895607</v>
      </c>
      <c r="AB5072">
        <v>17</v>
      </c>
      <c r="AC5072">
        <v>2.9467000000000199</v>
      </c>
      <c r="AD5072">
        <v>-1.106158</v>
      </c>
      <c r="AE5072">
        <v>-4.5766599999999897</v>
      </c>
      <c r="AF5072">
        <v>3.2786406691399801</v>
      </c>
      <c r="AG5072">
        <v>-1.106158</v>
      </c>
      <c r="AH5072">
        <v>4.0713458442041599</v>
      </c>
      <c r="AI5072">
        <v>101.948051718614</v>
      </c>
      <c r="AJ5072">
        <v>51.1556273790559</v>
      </c>
      <c r="AK5072">
        <v>5.3431196076282301</v>
      </c>
      <c r="AL5072">
        <v>87.6107278781476</v>
      </c>
      <c r="AM5072">
        <v>77.212378153047595</v>
      </c>
      <c r="AN5072">
        <v>0.999999989461968</v>
      </c>
    </row>
    <row r="5073" spans="1:40" x14ac:dyDescent="0.25">
      <c r="A5073" t="str">
        <f>"20190312154702291"</f>
        <v>20190312154702291</v>
      </c>
      <c r="B5073" t="str">
        <f>"1552376822283305"</f>
        <v>1552376822283305</v>
      </c>
      <c r="C5073" t="s">
        <v>40</v>
      </c>
      <c r="D5073">
        <v>4.8716100000000004</v>
      </c>
      <c r="E5073">
        <v>0.6835</v>
      </c>
      <c r="F5073" t="s">
        <v>43</v>
      </c>
      <c r="G5073">
        <v>-310.23250000000002</v>
      </c>
      <c r="H5073">
        <v>-0.05</v>
      </c>
      <c r="I5073">
        <v>10.94247</v>
      </c>
      <c r="J5073">
        <v>-313.0838</v>
      </c>
      <c r="K5073">
        <v>1.056036</v>
      </c>
      <c r="L5073">
        <v>15.4950299999999</v>
      </c>
      <c r="M5073">
        <v>0.94614819999999999</v>
      </c>
      <c r="N5073">
        <v>0</v>
      </c>
      <c r="O5073">
        <v>-0.32340059999999998</v>
      </c>
      <c r="P5073">
        <v>0.85070769999999996</v>
      </c>
      <c r="Q5073">
        <v>3.0172750000000002E-2</v>
      </c>
      <c r="R5073">
        <v>-0.52477269999999998</v>
      </c>
      <c r="S5073">
        <v>1.8302609999999999</v>
      </c>
      <c r="T5073">
        <v>-0.67468009999999901</v>
      </c>
      <c r="U5073">
        <v>-2.813599</v>
      </c>
      <c r="V5073">
        <v>0.22189519999999999</v>
      </c>
      <c r="W5073">
        <v>4.2036370000000003E-2</v>
      </c>
      <c r="X5073">
        <v>0.97416389999999997</v>
      </c>
      <c r="Y5073">
        <v>0.61144219999999905</v>
      </c>
      <c r="Z5073" s="1">
        <v>8.7767839999999898E-5</v>
      </c>
      <c r="AA5073">
        <v>0.79128909999999997</v>
      </c>
      <c r="AB5073">
        <v>17</v>
      </c>
      <c r="AC5073">
        <v>2.8512999999999802</v>
      </c>
      <c r="AD5073">
        <v>-1.106036</v>
      </c>
      <c r="AE5073">
        <v>-4.5525599999999899</v>
      </c>
      <c r="AF5073">
        <v>3.2479548440375301</v>
      </c>
      <c r="AG5073">
        <v>-1.106036</v>
      </c>
      <c r="AH5073">
        <v>4.0008881265657097</v>
      </c>
      <c r="AI5073">
        <v>102.113478320008</v>
      </c>
      <c r="AJ5073">
        <v>50.930015683002303</v>
      </c>
      <c r="AK5073">
        <v>5.2706386807954599</v>
      </c>
      <c r="AL5073">
        <v>87.590783327933806</v>
      </c>
      <c r="AM5073">
        <v>77.168091702196904</v>
      </c>
      <c r="AN5073">
        <v>0.99999992012451</v>
      </c>
    </row>
    <row r="5074" spans="1:40" x14ac:dyDescent="0.25">
      <c r="A5074" t="str">
        <f>"20190312154702313"</f>
        <v>20190312154702313</v>
      </c>
      <c r="B5074" t="str">
        <f>"1552376822302826"</f>
        <v>1552376822302826</v>
      </c>
      <c r="C5074" t="s">
        <v>40</v>
      </c>
      <c r="D5074">
        <v>4.8892290000000003</v>
      </c>
      <c r="E5074">
        <v>0.68292140000000001</v>
      </c>
      <c r="F5074" t="s">
        <v>43</v>
      </c>
      <c r="G5074">
        <v>-310.12119999999999</v>
      </c>
      <c r="H5074">
        <v>-0.05</v>
      </c>
      <c r="I5074">
        <v>10.85989</v>
      </c>
      <c r="J5074">
        <v>-312.92509999999999</v>
      </c>
      <c r="K5074">
        <v>1.0559229999999999</v>
      </c>
      <c r="L5074">
        <v>15.429080000000001</v>
      </c>
      <c r="M5074">
        <v>0.94310620000000001</v>
      </c>
      <c r="N5074">
        <v>0</v>
      </c>
      <c r="O5074">
        <v>-0.33216990000000002</v>
      </c>
      <c r="P5074">
        <v>0.84511569999999903</v>
      </c>
      <c r="Q5074">
        <v>2.9796779999999998E-2</v>
      </c>
      <c r="R5074">
        <v>-0.53375240000000002</v>
      </c>
      <c r="S5074">
        <v>1.806732</v>
      </c>
      <c r="T5074">
        <v>-0.67450330000000003</v>
      </c>
      <c r="U5074">
        <v>-2.8266909999999998</v>
      </c>
      <c r="V5074">
        <v>0.2231638</v>
      </c>
      <c r="W5074">
        <v>4.1563280000000001E-2</v>
      </c>
      <c r="X5074">
        <v>0.97389440000000005</v>
      </c>
      <c r="Y5074">
        <v>0.61061140000000003</v>
      </c>
      <c r="Z5074">
        <v>2.1525099999999998E-3</v>
      </c>
      <c r="AA5074">
        <v>0.79192750000000001</v>
      </c>
      <c r="AB5074">
        <v>17</v>
      </c>
      <c r="AC5074">
        <v>2.8038999999999898</v>
      </c>
      <c r="AD5074">
        <v>-1.105923</v>
      </c>
      <c r="AE5074">
        <v>-4.5691899999999901</v>
      </c>
      <c r="AF5074">
        <v>3.2403225010968701</v>
      </c>
      <c r="AG5074">
        <v>-1.105923</v>
      </c>
      <c r="AH5074">
        <v>3.99265197918879</v>
      </c>
      <c r="AI5074">
        <v>102.137888475303</v>
      </c>
      <c r="AJ5074">
        <v>50.938200804591602</v>
      </c>
      <c r="AK5074">
        <v>5.2596602000475201</v>
      </c>
      <c r="AL5074">
        <v>87.617913161522793</v>
      </c>
      <c r="AM5074">
        <v>77.093727887903697</v>
      </c>
      <c r="AN5074">
        <v>0.99999994511307699</v>
      </c>
    </row>
    <row r="5075" spans="1:40" x14ac:dyDescent="0.25">
      <c r="A5075" t="str">
        <f>"20190312154702334"</f>
        <v>20190312154702334</v>
      </c>
      <c r="B5075" t="str">
        <f>"1552376822323321"</f>
        <v>1552376822323321</v>
      </c>
      <c r="C5075" t="s">
        <v>40</v>
      </c>
      <c r="D5075">
        <v>4.9021410000000003</v>
      </c>
      <c r="E5075">
        <v>0.68222450000000001</v>
      </c>
      <c r="F5075" t="s">
        <v>43</v>
      </c>
      <c r="G5075">
        <v>-310.01859999999999</v>
      </c>
      <c r="H5075">
        <v>-0.05</v>
      </c>
      <c r="I5075">
        <v>10.78842</v>
      </c>
      <c r="J5075">
        <v>-312.77190000000002</v>
      </c>
      <c r="K5075">
        <v>1.0558270000000001</v>
      </c>
      <c r="L5075">
        <v>15.36359</v>
      </c>
      <c r="M5075">
        <v>0.94003360000000002</v>
      </c>
      <c r="N5075">
        <v>0</v>
      </c>
      <c r="O5075">
        <v>-0.34077089999999999</v>
      </c>
      <c r="P5075">
        <v>0.83942600000000001</v>
      </c>
      <c r="Q5075">
        <v>2.7768589999999999E-2</v>
      </c>
      <c r="R5075">
        <v>-0.54276459999999904</v>
      </c>
      <c r="S5075">
        <v>1.779388</v>
      </c>
      <c r="T5075">
        <v>-0.67704529999999996</v>
      </c>
      <c r="U5075">
        <v>-2.8410030000000002</v>
      </c>
      <c r="V5075">
        <v>0.22464500000000001</v>
      </c>
      <c r="W5075">
        <v>3.9449289999999998E-2</v>
      </c>
      <c r="X5075">
        <v>0.9736418</v>
      </c>
      <c r="Y5075">
        <v>0.61075119999999905</v>
      </c>
      <c r="Z5075">
        <v>4.0743949999999998E-3</v>
      </c>
      <c r="AA5075">
        <v>0.79181210000000002</v>
      </c>
      <c r="AB5075">
        <v>17</v>
      </c>
      <c r="AC5075">
        <v>2.7533000000000198</v>
      </c>
      <c r="AD5075">
        <v>-1.1058269999999999</v>
      </c>
      <c r="AE5075">
        <v>-4.57517</v>
      </c>
      <c r="AF5075">
        <v>3.2246282884941899</v>
      </c>
      <c r="AG5075">
        <v>-1.1058269999999999</v>
      </c>
      <c r="AH5075">
        <v>3.9771478755292402</v>
      </c>
      <c r="AI5075">
        <v>102.18729321077799</v>
      </c>
      <c r="AJ5075">
        <v>50.965236404827898</v>
      </c>
      <c r="AK5075">
        <v>5.2382044802310599</v>
      </c>
      <c r="AL5075">
        <v>87.739135483262302</v>
      </c>
      <c r="AM5075">
        <v>77.007705763978194</v>
      </c>
      <c r="AN5075">
        <v>0.999999988606872</v>
      </c>
    </row>
    <row r="5076" spans="1:40" x14ac:dyDescent="0.25">
      <c r="A5076" t="str">
        <f>"20190312154702358"</f>
        <v>20190312154702358</v>
      </c>
      <c r="B5076" t="str">
        <f>"1552376822352601"</f>
        <v>1552376822352601</v>
      </c>
      <c r="C5076" t="s">
        <v>40</v>
      </c>
      <c r="D5076">
        <v>4.9691280000000004</v>
      </c>
      <c r="E5076">
        <v>0.68153599999999903</v>
      </c>
      <c r="F5076" t="s">
        <v>43</v>
      </c>
      <c r="G5076">
        <v>-309.93549999999999</v>
      </c>
      <c r="H5076">
        <v>-0.05</v>
      </c>
      <c r="I5076">
        <v>10.740080000000001</v>
      </c>
      <c r="J5076">
        <v>-312.60829999999999</v>
      </c>
      <c r="K5076">
        <v>1.055733</v>
      </c>
      <c r="L5076">
        <v>15.29172</v>
      </c>
      <c r="M5076">
        <v>0.93660339999999997</v>
      </c>
      <c r="N5076">
        <v>0</v>
      </c>
      <c r="O5076">
        <v>-0.35008990000000001</v>
      </c>
      <c r="P5076">
        <v>0.83314909999999998</v>
      </c>
      <c r="Q5076">
        <v>2.605356E-2</v>
      </c>
      <c r="R5076">
        <v>-0.55243450000000005</v>
      </c>
      <c r="S5076">
        <v>1.750977</v>
      </c>
      <c r="T5076">
        <v>-0.68265019999999998</v>
      </c>
      <c r="U5076">
        <v>-2.854187</v>
      </c>
      <c r="V5076">
        <v>0.22619800000000001</v>
      </c>
      <c r="W5076">
        <v>3.7651999999999998E-2</v>
      </c>
      <c r="X5076">
        <v>0.97335340000000004</v>
      </c>
      <c r="Y5076">
        <v>0.61032399999999998</v>
      </c>
      <c r="Z5076">
        <v>6.2868300000000002E-3</v>
      </c>
      <c r="AA5076">
        <v>0.79212700000000003</v>
      </c>
      <c r="AB5076">
        <v>17</v>
      </c>
      <c r="AC5076">
        <v>2.6727999999999899</v>
      </c>
      <c r="AD5076">
        <v>-1.1057330000000001</v>
      </c>
      <c r="AE5076">
        <v>-4.5516399999999999</v>
      </c>
      <c r="AF5076">
        <v>3.1878204175440099</v>
      </c>
      <c r="AG5076">
        <v>-1.1057330000000001</v>
      </c>
      <c r="AH5076">
        <v>3.9250261776276001</v>
      </c>
      <c r="AI5076">
        <v>102.335055276776</v>
      </c>
      <c r="AJ5076">
        <v>50.917251363461702</v>
      </c>
      <c r="AK5076">
        <v>5.1759709211761802</v>
      </c>
      <c r="AL5076">
        <v>87.842189313329399</v>
      </c>
      <c r="AM5076">
        <v>76.917224143975105</v>
      </c>
      <c r="AN5076">
        <v>1.00000002479977</v>
      </c>
    </row>
    <row r="5077" spans="1:40" x14ac:dyDescent="0.25">
      <c r="A5077" t="str">
        <f>"20190312154702624"</f>
        <v>20190312154702624</v>
      </c>
      <c r="B5077" t="str">
        <f>"1552376822612729"</f>
        <v>1552376822612729</v>
      </c>
      <c r="C5077" t="s">
        <v>40</v>
      </c>
      <c r="D5077">
        <v>4.7935910000000002</v>
      </c>
      <c r="E5077">
        <v>0.65106679999999995</v>
      </c>
      <c r="F5077" t="s">
        <v>43</v>
      </c>
      <c r="G5077">
        <v>-309.83499999999998</v>
      </c>
      <c r="H5077">
        <v>-0.05</v>
      </c>
      <c r="I5077">
        <v>10.66333</v>
      </c>
      <c r="J5077">
        <v>-310.7998</v>
      </c>
      <c r="K5077">
        <v>1.0553889999999999</v>
      </c>
      <c r="L5077">
        <v>14.34052</v>
      </c>
      <c r="M5077">
        <v>0.88696489999999995</v>
      </c>
      <c r="N5077">
        <v>0</v>
      </c>
      <c r="O5077">
        <v>-0.46161429999999998</v>
      </c>
      <c r="P5077">
        <v>0.74693869999999996</v>
      </c>
      <c r="Q5077">
        <v>4.0246900000000002E-2</v>
      </c>
      <c r="R5077">
        <v>-0.66367379999999998</v>
      </c>
      <c r="S5077">
        <v>1.719482</v>
      </c>
      <c r="T5077">
        <v>-0.68555339999999998</v>
      </c>
      <c r="U5077">
        <v>-2.8695979999999999</v>
      </c>
      <c r="V5077">
        <v>0.24449979999999999</v>
      </c>
      <c r="W5077">
        <v>5.1286430000000001E-2</v>
      </c>
      <c r="X5077">
        <v>0.96829209999999999</v>
      </c>
      <c r="Y5077">
        <v>0.52195469999999999</v>
      </c>
      <c r="Z5077">
        <v>4.2889620000000003E-2</v>
      </c>
      <c r="AA5077">
        <v>0.85189419999999905</v>
      </c>
      <c r="AB5077">
        <v>17</v>
      </c>
      <c r="AC5077">
        <v>0.96480000000002497</v>
      </c>
      <c r="AD5077">
        <v>-1.105389</v>
      </c>
      <c r="AE5077">
        <v>-3.67719</v>
      </c>
      <c r="AF5077">
        <v>2.5969081108634202</v>
      </c>
      <c r="AG5077">
        <v>-1.105389</v>
      </c>
      <c r="AH5077">
        <v>2.3543982015765201</v>
      </c>
      <c r="AI5077">
        <v>107.50256312740601</v>
      </c>
      <c r="AJ5077">
        <v>42.195952248670302</v>
      </c>
      <c r="AK5077">
        <v>3.67546017107736</v>
      </c>
      <c r="AL5077">
        <v>87.060214361290903</v>
      </c>
      <c r="AM5077">
        <v>75.828686195175905</v>
      </c>
      <c r="AN5077">
        <v>1.0000000205122901</v>
      </c>
    </row>
    <row r="5078" spans="1:40" x14ac:dyDescent="0.25">
      <c r="A5078" t="str">
        <f>"20190312154702658"</f>
        <v>20190312154702658</v>
      </c>
      <c r="B5078" t="str">
        <f>"1552376822652745"</f>
        <v>1552376822652745</v>
      </c>
      <c r="C5078" t="s">
        <v>40</v>
      </c>
      <c r="D5078">
        <v>4.899095</v>
      </c>
      <c r="E5078">
        <v>0.64326499999999998</v>
      </c>
      <c r="F5078" t="s">
        <v>42</v>
      </c>
      <c r="G5078">
        <v>-301.18130000000002</v>
      </c>
      <c r="H5078" s="1">
        <v>-2.4940779999999998E-6</v>
      </c>
      <c r="I5078">
        <v>-4.8514609999999996</v>
      </c>
      <c r="J5078">
        <v>-310.58109999999999</v>
      </c>
      <c r="K5078">
        <v>1.0554190000000001</v>
      </c>
      <c r="L5078">
        <v>14.204219999999999</v>
      </c>
      <c r="M5078">
        <v>0.87948999999999999</v>
      </c>
      <c r="N5078">
        <v>0</v>
      </c>
      <c r="O5078">
        <v>-0.47570200000000001</v>
      </c>
      <c r="P5078">
        <v>0.73705010000000004</v>
      </c>
      <c r="Q5078">
        <v>3.6575259999999998E-2</v>
      </c>
      <c r="R5078">
        <v>-0.67484840000000001</v>
      </c>
      <c r="S5078">
        <v>1.451538</v>
      </c>
      <c r="T5078">
        <v>-0.15927140000000001</v>
      </c>
      <c r="U5078">
        <v>-2.8963009999999998</v>
      </c>
      <c r="V5078">
        <v>0.24349779999999999</v>
      </c>
      <c r="W5078">
        <v>4.765167E-2</v>
      </c>
      <c r="X5078">
        <v>0.96873019999999999</v>
      </c>
      <c r="Y5078">
        <v>0.57305550000000005</v>
      </c>
      <c r="Z5078">
        <v>9.7632719999999999E-3</v>
      </c>
      <c r="AA5078">
        <v>0.81945840000000003</v>
      </c>
      <c r="AB5078">
        <v>16</v>
      </c>
      <c r="AC5078">
        <v>9.3997999999999706</v>
      </c>
      <c r="AD5078">
        <v>-1.055421494078</v>
      </c>
      <c r="AE5078">
        <v>-19.055681</v>
      </c>
      <c r="AF5078">
        <v>12.258790753401801</v>
      </c>
      <c r="AG5078">
        <v>-1.055421494078</v>
      </c>
      <c r="AH5078">
        <v>17.290970377206101</v>
      </c>
      <c r="AI5078">
        <v>92.850645804521506</v>
      </c>
      <c r="AJ5078">
        <v>54.664477766239798</v>
      </c>
      <c r="AK5078">
        <v>21.221911361874799</v>
      </c>
      <c r="AL5078">
        <v>87.268726197107597</v>
      </c>
      <c r="AM5078">
        <v>75.890565105622599</v>
      </c>
      <c r="AN5078">
        <v>1.00000003032533</v>
      </c>
    </row>
    <row r="5079" spans="1:40" x14ac:dyDescent="0.25">
      <c r="A5079" t="str">
        <f>"20190312154702681"</f>
        <v>20190312154702681</v>
      </c>
      <c r="B5079" t="str">
        <f>"1552376822673241"</f>
        <v>1552376822673241</v>
      </c>
      <c r="C5079" t="s">
        <v>40</v>
      </c>
      <c r="D5079">
        <v>5.0080299999999998</v>
      </c>
      <c r="E5079">
        <v>0.64090290000000005</v>
      </c>
      <c r="F5079" t="s">
        <v>43</v>
      </c>
      <c r="G5079">
        <v>-307.31979999999999</v>
      </c>
      <c r="H5079">
        <v>-0.05</v>
      </c>
      <c r="I5079">
        <v>7.7865909999999996</v>
      </c>
      <c r="J5079">
        <v>-310.44220000000001</v>
      </c>
      <c r="K5079">
        <v>1.0554520000000001</v>
      </c>
      <c r="L5079">
        <v>14.11523</v>
      </c>
      <c r="M5079">
        <v>0.87459259999999905</v>
      </c>
      <c r="N5079">
        <v>0</v>
      </c>
      <c r="O5079">
        <v>-0.4846472</v>
      </c>
      <c r="P5079">
        <v>0.73037089999999905</v>
      </c>
      <c r="Q5079">
        <v>3.5870310000000002E-2</v>
      </c>
      <c r="R5079">
        <v>-0.68210850000000001</v>
      </c>
      <c r="S5079">
        <v>1.4615479999999901</v>
      </c>
      <c r="T5079">
        <v>-0.49539290000000002</v>
      </c>
      <c r="U5079">
        <v>-2.8760680000000001</v>
      </c>
      <c r="V5079">
        <v>0.24317330000000001</v>
      </c>
      <c r="W5079">
        <v>4.6966250000000001E-2</v>
      </c>
      <c r="X5079">
        <v>0.96884510000000001</v>
      </c>
      <c r="Y5079">
        <v>0.55906820000000002</v>
      </c>
      <c r="Z5079">
        <v>3.3150069999999997E-2</v>
      </c>
      <c r="AA5079">
        <v>0.82845869999999999</v>
      </c>
      <c r="AB5079">
        <v>16</v>
      </c>
      <c r="AC5079">
        <v>3.1224000000000198</v>
      </c>
      <c r="AD5079">
        <v>-1.1054520000000001</v>
      </c>
      <c r="AE5079">
        <v>-6.3286389999999901</v>
      </c>
      <c r="AF5079">
        <v>3.92579874647245</v>
      </c>
      <c r="AG5079">
        <v>-1.1054520000000001</v>
      </c>
      <c r="AH5079">
        <v>5.6597007250858997</v>
      </c>
      <c r="AI5079">
        <v>99.1176648604429</v>
      </c>
      <c r="AJ5079">
        <v>55.253248868181402</v>
      </c>
      <c r="AK5079">
        <v>6.9761115400806597</v>
      </c>
      <c r="AL5079">
        <v>87.308041688933997</v>
      </c>
      <c r="AM5079">
        <v>75.910223218913998</v>
      </c>
      <c r="AN5079">
        <v>0.99999995513298001</v>
      </c>
    </row>
    <row r="5080" spans="1:40" x14ac:dyDescent="0.25">
      <c r="A5080" t="str">
        <f>"20190312154702704"</f>
        <v>20190312154702704</v>
      </c>
      <c r="B5080" t="str">
        <f>"1552376822693269"</f>
        <v>1552376822693269</v>
      </c>
      <c r="C5080" t="s">
        <v>40</v>
      </c>
      <c r="D5080">
        <v>5.1029849999999897</v>
      </c>
      <c r="E5080">
        <v>0.62262899999999999</v>
      </c>
      <c r="F5080" t="s">
        <v>43</v>
      </c>
      <c r="G5080">
        <v>-307.24099999999999</v>
      </c>
      <c r="H5080">
        <v>-0.05</v>
      </c>
      <c r="I5080">
        <v>7.7467499999999996</v>
      </c>
      <c r="J5080">
        <v>-310.2978</v>
      </c>
      <c r="K5080">
        <v>1.055491</v>
      </c>
      <c r="L5080">
        <v>14.020630000000001</v>
      </c>
      <c r="M5080">
        <v>0.86937960000000003</v>
      </c>
      <c r="N5080">
        <v>0</v>
      </c>
      <c r="O5080">
        <v>-0.49393759999999998</v>
      </c>
      <c r="P5080">
        <v>0.72294499999999995</v>
      </c>
      <c r="Q5080">
        <v>3.5080510000000002E-2</v>
      </c>
      <c r="R5080">
        <v>-0.69001449999999998</v>
      </c>
      <c r="S5080">
        <v>1.4458009999999999</v>
      </c>
      <c r="T5080">
        <v>-0.49926900000000002</v>
      </c>
      <c r="U5080">
        <v>-2.8762819999999998</v>
      </c>
      <c r="V5080">
        <v>0.24335909999999999</v>
      </c>
      <c r="W5080">
        <v>4.6188430000000003E-2</v>
      </c>
      <c r="X5080">
        <v>0.96883589999999997</v>
      </c>
      <c r="Y5080">
        <v>0.55396939999999995</v>
      </c>
      <c r="Z5080">
        <v>3.5598419999999999E-2</v>
      </c>
      <c r="AA5080">
        <v>0.83177559999999995</v>
      </c>
      <c r="AB5080">
        <v>16</v>
      </c>
      <c r="AC5080">
        <v>3.0568</v>
      </c>
      <c r="AD5080">
        <v>-1.105491</v>
      </c>
      <c r="AE5080">
        <v>-6.2738799999999904</v>
      </c>
      <c r="AF5080">
        <v>3.84835659163884</v>
      </c>
      <c r="AG5080">
        <v>-1.105491</v>
      </c>
      <c r="AH5080">
        <v>5.6160963385292302</v>
      </c>
      <c r="AI5080">
        <v>99.223103895252393</v>
      </c>
      <c r="AJ5080">
        <v>55.579618163445303</v>
      </c>
      <c r="AK5080">
        <v>6.8972818480277098</v>
      </c>
      <c r="AL5080">
        <v>87.352656066022902</v>
      </c>
      <c r="AM5080">
        <v>75.899758437715093</v>
      </c>
      <c r="AN5080">
        <v>1.00000001187374</v>
      </c>
    </row>
    <row r="5081" spans="1:40" x14ac:dyDescent="0.25">
      <c r="A5081" t="str">
        <f>"20190312154702725"</f>
        <v>20190312154702725</v>
      </c>
      <c r="B5081" t="str">
        <f>"1552376822712788"</f>
        <v>1552376822712788</v>
      </c>
      <c r="C5081" t="s">
        <v>40</v>
      </c>
      <c r="D5081">
        <v>5.1598540000000002</v>
      </c>
      <c r="E5081">
        <v>0.62129999999999996</v>
      </c>
      <c r="F5081" t="s">
        <v>43</v>
      </c>
      <c r="G5081">
        <v>-307.11290000000002</v>
      </c>
      <c r="H5081">
        <v>-0.05</v>
      </c>
      <c r="I5081">
        <v>8.1652070000000005</v>
      </c>
      <c r="J5081">
        <v>-310.1626</v>
      </c>
      <c r="K5081">
        <v>1.05552</v>
      </c>
      <c r="L5081">
        <v>13.929959999999999</v>
      </c>
      <c r="M5081">
        <v>0.86438519999999897</v>
      </c>
      <c r="N5081">
        <v>0</v>
      </c>
      <c r="O5081">
        <v>-0.50262709999999999</v>
      </c>
      <c r="P5081">
        <v>0.71567609999999904</v>
      </c>
      <c r="Q5081">
        <v>3.4515730000000001E-2</v>
      </c>
      <c r="R5081">
        <v>-0.69757899999999995</v>
      </c>
      <c r="S5081">
        <v>1.5156559999999999</v>
      </c>
      <c r="T5081">
        <v>-0.52608969999999999</v>
      </c>
      <c r="U5081">
        <v>-2.78653</v>
      </c>
      <c r="V5081">
        <v>0.24381230000000001</v>
      </c>
      <c r="W5081">
        <v>4.5627790000000001E-2</v>
      </c>
      <c r="X5081">
        <v>0.96874850000000001</v>
      </c>
      <c r="Y5081">
        <v>0.51853359999999904</v>
      </c>
      <c r="Z5081">
        <v>4.2938259999999999E-2</v>
      </c>
      <c r="AA5081">
        <v>0.85397849999999997</v>
      </c>
      <c r="AB5081">
        <v>16</v>
      </c>
      <c r="AC5081">
        <v>3.0496999999999699</v>
      </c>
      <c r="AD5081">
        <v>-1.1055200000000001</v>
      </c>
      <c r="AE5081">
        <v>-5.7647529999999998</v>
      </c>
      <c r="AF5081">
        <v>3.3540791911152801</v>
      </c>
      <c r="AG5081">
        <v>-1.1055200000000001</v>
      </c>
      <c r="AH5081">
        <v>5.3796199840653296</v>
      </c>
      <c r="AI5081">
        <v>99.891998943659701</v>
      </c>
      <c r="AJ5081">
        <v>58.057333933936299</v>
      </c>
      <c r="AK5081">
        <v>6.4352414767145696</v>
      </c>
      <c r="AL5081">
        <v>87.384812229915298</v>
      </c>
      <c r="AM5081">
        <v>75.873326845052205</v>
      </c>
      <c r="AN5081">
        <v>0.99999999455191202</v>
      </c>
    </row>
    <row r="5082" spans="1:40" x14ac:dyDescent="0.25">
      <c r="A5082" t="str">
        <f>"20190312154702748"</f>
        <v>20190312154702748</v>
      </c>
      <c r="B5082" t="str">
        <f>"1552376822733285"</f>
        <v>1552376822733285</v>
      </c>
      <c r="C5082" t="s">
        <v>40</v>
      </c>
      <c r="D5082">
        <v>5.1683250000000003</v>
      </c>
      <c r="E5082">
        <v>0.620040699999999</v>
      </c>
      <c r="F5082" t="s">
        <v>43</v>
      </c>
      <c r="G5082">
        <v>-306.99040000000002</v>
      </c>
      <c r="H5082">
        <v>-0.05</v>
      </c>
      <c r="I5082">
        <v>7.9941709999999997</v>
      </c>
      <c r="J5082">
        <v>-310.02249999999998</v>
      </c>
      <c r="K5082">
        <v>1.0555369999999999</v>
      </c>
      <c r="L5082">
        <v>13.833920000000001</v>
      </c>
      <c r="M5082">
        <v>0.85909219999999897</v>
      </c>
      <c r="N5082">
        <v>0</v>
      </c>
      <c r="O5082">
        <v>-0.51162180000000002</v>
      </c>
      <c r="P5082">
        <v>0.70713979999999999</v>
      </c>
      <c r="Q5082">
        <v>3.2485840000000002E-2</v>
      </c>
      <c r="R5082">
        <v>-0.70632740000000005</v>
      </c>
      <c r="S5082">
        <v>1.493317</v>
      </c>
      <c r="T5082">
        <v>-0.52042460000000001</v>
      </c>
      <c r="U5082">
        <v>-2.7942809999999998</v>
      </c>
      <c r="V5082">
        <v>0.24553910000000001</v>
      </c>
      <c r="W5082">
        <v>4.3581330000000001E-2</v>
      </c>
      <c r="X5082">
        <v>0.96840660000000001</v>
      </c>
      <c r="Y5082">
        <v>0.51601809999999904</v>
      </c>
      <c r="Z5082">
        <v>4.4457469999999999E-2</v>
      </c>
      <c r="AA5082">
        <v>0.85542320000000005</v>
      </c>
      <c r="AB5082">
        <v>16</v>
      </c>
      <c r="AC5082">
        <v>3.0320999999999501</v>
      </c>
      <c r="AD5082">
        <v>-1.105537</v>
      </c>
      <c r="AE5082">
        <v>-5.8397489999999896</v>
      </c>
      <c r="AF5082">
        <v>3.3707932375997198</v>
      </c>
      <c r="AG5082">
        <v>-1.105537</v>
      </c>
      <c r="AH5082">
        <v>5.4396112284390199</v>
      </c>
      <c r="AI5082">
        <v>99.801549017207194</v>
      </c>
      <c r="AJ5082">
        <v>58.214523458619603</v>
      </c>
      <c r="AK5082">
        <v>6.4941380818070797</v>
      </c>
      <c r="AL5082">
        <v>87.502182758012495</v>
      </c>
      <c r="AM5082">
        <v>75.772503574846098</v>
      </c>
      <c r="AN5082">
        <v>1.00000006243846</v>
      </c>
    </row>
    <row r="5083" spans="1:40" x14ac:dyDescent="0.25">
      <c r="A5083" t="str">
        <f>"20190312154702771"</f>
        <v>20190312154702771</v>
      </c>
      <c r="B5083" t="str">
        <f>"1552376822762564"</f>
        <v>1552376822762564</v>
      </c>
      <c r="C5083" t="s">
        <v>40</v>
      </c>
      <c r="D5083">
        <v>5.2250120000000004</v>
      </c>
      <c r="E5083">
        <v>0.61811400000000005</v>
      </c>
      <c r="F5083" t="s">
        <v>43</v>
      </c>
      <c r="G5083">
        <v>-306.94510000000002</v>
      </c>
      <c r="H5083">
        <v>-0.05</v>
      </c>
      <c r="I5083">
        <v>7.9458310000000001</v>
      </c>
      <c r="J5083">
        <v>-309.87909999999999</v>
      </c>
      <c r="K5083">
        <v>1.055552</v>
      </c>
      <c r="L5083">
        <v>13.733370000000001</v>
      </c>
      <c r="M5083">
        <v>0.85354560000000002</v>
      </c>
      <c r="N5083">
        <v>0</v>
      </c>
      <c r="O5083">
        <v>-0.52082289999999998</v>
      </c>
      <c r="P5083">
        <v>0.69762789999999997</v>
      </c>
      <c r="Q5083">
        <v>2.9079020000000001E-2</v>
      </c>
      <c r="R5083">
        <v>-0.71587009999999995</v>
      </c>
      <c r="S5083">
        <v>1.4656370000000001</v>
      </c>
      <c r="T5083">
        <v>-0.52652180000000004</v>
      </c>
      <c r="U5083">
        <v>-2.8042600000000002</v>
      </c>
      <c r="V5083">
        <v>0.2481729</v>
      </c>
      <c r="W5083">
        <v>4.0143020000000001E-2</v>
      </c>
      <c r="X5083">
        <v>0.96788359999999996</v>
      </c>
      <c r="Y5083">
        <v>0.51476999999999995</v>
      </c>
      <c r="Z5083">
        <v>4.6905990000000002E-2</v>
      </c>
      <c r="AA5083">
        <v>0.85604419999999903</v>
      </c>
      <c r="AB5083">
        <v>16</v>
      </c>
      <c r="AC5083">
        <v>2.9339999999999602</v>
      </c>
      <c r="AD5083">
        <v>-1.1055520000000001</v>
      </c>
      <c r="AE5083">
        <v>-5.7875389999999998</v>
      </c>
      <c r="AF5083">
        <v>3.3159224795077802</v>
      </c>
      <c r="AG5083">
        <v>-1.1055520000000001</v>
      </c>
      <c r="AH5083">
        <v>5.36345022830095</v>
      </c>
      <c r="AI5083">
        <v>99.944346933890003</v>
      </c>
      <c r="AJ5083">
        <v>58.273807390594797</v>
      </c>
      <c r="AK5083">
        <v>6.4018892107151197</v>
      </c>
      <c r="AL5083">
        <v>87.699356095144594</v>
      </c>
      <c r="AM5083">
        <v>75.618737720248404</v>
      </c>
      <c r="AN5083">
        <v>0.99999995674904396</v>
      </c>
    </row>
    <row r="5084" spans="1:40" x14ac:dyDescent="0.25">
      <c r="A5084" t="str">
        <f>"20190312154702793"</f>
        <v>20190312154702793</v>
      </c>
      <c r="B5084" t="str">
        <f>"1552376822782591"</f>
        <v>1552376822782591</v>
      </c>
      <c r="C5084" t="s">
        <v>40</v>
      </c>
      <c r="D5084">
        <v>5.1982949999999999</v>
      </c>
      <c r="E5084">
        <v>0.61073759999999999</v>
      </c>
      <c r="F5084" t="s">
        <v>43</v>
      </c>
      <c r="G5084">
        <v>-306.93110000000001</v>
      </c>
      <c r="H5084">
        <v>-0.05</v>
      </c>
      <c r="I5084">
        <v>7.9673160000000003</v>
      </c>
      <c r="J5084">
        <v>-309.7448</v>
      </c>
      <c r="K5084">
        <v>1.0555680000000001</v>
      </c>
      <c r="L5084">
        <v>13.63721</v>
      </c>
      <c r="M5084">
        <v>0.84823079999999995</v>
      </c>
      <c r="N5084">
        <v>0</v>
      </c>
      <c r="O5084">
        <v>-0.52943509999999905</v>
      </c>
      <c r="P5084">
        <v>0.68805749999999999</v>
      </c>
      <c r="Q5084">
        <v>2.7712130000000001E-2</v>
      </c>
      <c r="R5084">
        <v>-0.72512710000000002</v>
      </c>
      <c r="S5084">
        <v>1.4375610000000001</v>
      </c>
      <c r="T5084">
        <v>-0.53910259999999999</v>
      </c>
      <c r="U5084">
        <v>-2.8117070000000002</v>
      </c>
      <c r="V5084">
        <v>0.25126150000000003</v>
      </c>
      <c r="W5084">
        <v>3.8735539999999999E-2</v>
      </c>
      <c r="X5084">
        <v>0.9671438</v>
      </c>
      <c r="Y5084">
        <v>0.51384039999999997</v>
      </c>
      <c r="Z5084">
        <v>4.9886630000000001E-2</v>
      </c>
      <c r="AA5084">
        <v>0.85643400000000003</v>
      </c>
      <c r="AB5084">
        <v>16</v>
      </c>
      <c r="AC5084">
        <v>2.8136999999999799</v>
      </c>
      <c r="AD5084">
        <v>-1.1055680000000001</v>
      </c>
      <c r="AE5084">
        <v>-5.6698940000000002</v>
      </c>
      <c r="AF5084">
        <v>3.22175567225066</v>
      </c>
      <c r="AG5084">
        <v>-1.1055680000000001</v>
      </c>
      <c r="AH5084">
        <v>5.2295142109839796</v>
      </c>
      <c r="AI5084">
        <v>100.203600565107</v>
      </c>
      <c r="AJ5084">
        <v>58.363953029167497</v>
      </c>
      <c r="AK5084">
        <v>6.2409782163685499</v>
      </c>
      <c r="AL5084">
        <v>87.780061560246395</v>
      </c>
      <c r="AM5084">
        <v>75.436654370659795</v>
      </c>
      <c r="AN5084">
        <v>0.99999995665988906</v>
      </c>
    </row>
    <row r="5085" spans="1:40" x14ac:dyDescent="0.25">
      <c r="A5085" t="str">
        <f>"20190312154702815"</f>
        <v>20190312154702815</v>
      </c>
      <c r="B5085" t="str">
        <f>"1552376822803088"</f>
        <v>1552376822803088</v>
      </c>
      <c r="C5085" t="s">
        <v>40</v>
      </c>
      <c r="D5085">
        <v>5.2000849999999996</v>
      </c>
      <c r="E5085">
        <v>0.60965100000000005</v>
      </c>
      <c r="F5085" t="s">
        <v>43</v>
      </c>
      <c r="G5085">
        <v>-306.64280000000002</v>
      </c>
      <c r="H5085">
        <v>-0.05</v>
      </c>
      <c r="I5085">
        <v>7.6350860000000003</v>
      </c>
      <c r="J5085">
        <v>-309.61309999999997</v>
      </c>
      <c r="K5085">
        <v>1.0555840000000001</v>
      </c>
      <c r="L5085">
        <v>13.54083</v>
      </c>
      <c r="M5085">
        <v>0.84289539999999996</v>
      </c>
      <c r="N5085">
        <v>0</v>
      </c>
      <c r="O5085">
        <v>-0.53788859999999905</v>
      </c>
      <c r="P5085">
        <v>0.67816480000000001</v>
      </c>
      <c r="Q5085">
        <v>2.7023459999999999E-2</v>
      </c>
      <c r="R5085">
        <v>-0.73441290000000004</v>
      </c>
      <c r="S5085">
        <v>1.4414370000000001</v>
      </c>
      <c r="T5085">
        <v>-0.51373340000000001</v>
      </c>
      <c r="U5085">
        <v>-2.7890630000000001</v>
      </c>
      <c r="V5085">
        <v>0.2547143</v>
      </c>
      <c r="W5085">
        <v>3.8001279999999998E-2</v>
      </c>
      <c r="X5085">
        <v>0.96626939999999995</v>
      </c>
      <c r="Y5085">
        <v>0.50168889999999999</v>
      </c>
      <c r="Z5085">
        <v>5.0494150000000002E-2</v>
      </c>
      <c r="AA5085">
        <v>0.86357309999999998</v>
      </c>
      <c r="AB5085">
        <v>16</v>
      </c>
      <c r="AC5085">
        <v>2.9702999999999502</v>
      </c>
      <c r="AD5085">
        <v>-1.1055839999999999</v>
      </c>
      <c r="AE5085">
        <v>-5.9057439999999897</v>
      </c>
      <c r="AF5085">
        <v>3.2885944477028501</v>
      </c>
      <c r="AG5085">
        <v>-1.1055839999999999</v>
      </c>
      <c r="AH5085">
        <v>5.5262897906574597</v>
      </c>
      <c r="AI5085">
        <v>99.754989517836506</v>
      </c>
      <c r="AJ5085">
        <v>59.243893409747798</v>
      </c>
      <c r="AK5085">
        <v>6.5251090621416301</v>
      </c>
      <c r="AL5085">
        <v>87.822162684656007</v>
      </c>
      <c r="AM5085">
        <v>75.232434310746797</v>
      </c>
      <c r="AN5085">
        <v>1.0000000126412401</v>
      </c>
    </row>
    <row r="5086" spans="1:40" x14ac:dyDescent="0.25">
      <c r="A5086" t="str">
        <f>"20190312154702837"</f>
        <v>20190312154702837</v>
      </c>
      <c r="B5086" t="str">
        <f>"1552376822822607"</f>
        <v>1552376822822607</v>
      </c>
      <c r="C5086" t="s">
        <v>40</v>
      </c>
      <c r="D5086">
        <v>5.1634180000000001</v>
      </c>
      <c r="E5086">
        <v>0.60839529999999997</v>
      </c>
      <c r="F5086" t="s">
        <v>43</v>
      </c>
      <c r="G5086">
        <v>-306.93079999999998</v>
      </c>
      <c r="H5086">
        <v>-0.05</v>
      </c>
      <c r="I5086">
        <v>8.2172549999999998</v>
      </c>
      <c r="J5086">
        <v>-309.48239999999998</v>
      </c>
      <c r="K5086">
        <v>1.055604</v>
      </c>
      <c r="L5086">
        <v>13.443239999999999</v>
      </c>
      <c r="M5086">
        <v>0.8374876</v>
      </c>
      <c r="N5086">
        <v>0</v>
      </c>
      <c r="O5086">
        <v>-0.54627079999999995</v>
      </c>
      <c r="P5086">
        <v>0.66833169999999897</v>
      </c>
      <c r="Q5086">
        <v>2.6043699999999999E-2</v>
      </c>
      <c r="R5086">
        <v>-0.74340719999999905</v>
      </c>
      <c r="S5086">
        <v>1.412018</v>
      </c>
      <c r="T5086">
        <v>-0.58200589999999996</v>
      </c>
      <c r="U5086">
        <v>-2.80246</v>
      </c>
      <c r="V5086">
        <v>0.25794919999999999</v>
      </c>
      <c r="W5086">
        <v>3.6979659999999998E-2</v>
      </c>
      <c r="X5086">
        <v>0.96545049999999999</v>
      </c>
      <c r="Y5086">
        <v>0.50197029999999998</v>
      </c>
      <c r="Z5086">
        <v>5.8867889999999999E-2</v>
      </c>
      <c r="AA5086">
        <v>0.86287919999999996</v>
      </c>
      <c r="AB5086">
        <v>16</v>
      </c>
      <c r="AC5086">
        <v>2.5516000000000001</v>
      </c>
      <c r="AD5086">
        <v>-1.105604</v>
      </c>
      <c r="AE5086">
        <v>-5.2259849999999997</v>
      </c>
      <c r="AF5086">
        <v>2.8790813604436698</v>
      </c>
      <c r="AG5086">
        <v>-1.105604</v>
      </c>
      <c r="AH5086">
        <v>4.8181091034708396</v>
      </c>
      <c r="AI5086">
        <v>101.14344683226901</v>
      </c>
      <c r="AJ5086">
        <v>59.139394118808397</v>
      </c>
      <c r="AK5086">
        <v>5.7206332706981602</v>
      </c>
      <c r="AL5086">
        <v>87.880738303677106</v>
      </c>
      <c r="AM5086">
        <v>75.041119651553899</v>
      </c>
      <c r="AN5086">
        <v>0.99999997649230199</v>
      </c>
    </row>
    <row r="5087" spans="1:40" x14ac:dyDescent="0.25">
      <c r="A5087" t="str">
        <f>"20190312154702860"</f>
        <v>20190312154702860</v>
      </c>
      <c r="B5087" t="str">
        <f>"1552376822852864"</f>
        <v>1552376822852864</v>
      </c>
      <c r="C5087" t="s">
        <v>40</v>
      </c>
      <c r="D5087">
        <v>5.1906379999999999</v>
      </c>
      <c r="E5087">
        <v>0.60673730000000003</v>
      </c>
      <c r="F5087" t="s">
        <v>43</v>
      </c>
      <c r="G5087">
        <v>-306.93430000000001</v>
      </c>
      <c r="H5087">
        <v>-0.05</v>
      </c>
      <c r="I5087">
        <v>8.2560579999999995</v>
      </c>
      <c r="J5087">
        <v>-309.34559999999999</v>
      </c>
      <c r="K5087">
        <v>1.055634</v>
      </c>
      <c r="L5087">
        <v>13.33893</v>
      </c>
      <c r="M5087">
        <v>0.83169819999999905</v>
      </c>
      <c r="N5087">
        <v>0</v>
      </c>
      <c r="O5087">
        <v>-0.55504589999999998</v>
      </c>
      <c r="P5087">
        <v>0.65783669999999905</v>
      </c>
      <c r="Q5087">
        <v>2.552186E-2</v>
      </c>
      <c r="R5087">
        <v>-0.75272830000000002</v>
      </c>
      <c r="S5087">
        <v>1.382233</v>
      </c>
      <c r="T5087">
        <v>-0.599746</v>
      </c>
      <c r="U5087">
        <v>-2.8138429999999999</v>
      </c>
      <c r="V5087">
        <v>0.26134980000000002</v>
      </c>
      <c r="W5087">
        <v>3.6415459999999997E-2</v>
      </c>
      <c r="X5087">
        <v>0.964557</v>
      </c>
      <c r="Y5087">
        <v>0.50170020000000004</v>
      </c>
      <c r="Z5087">
        <v>6.2653269999999997E-2</v>
      </c>
      <c r="AA5087">
        <v>0.86276969999999997</v>
      </c>
      <c r="AB5087">
        <v>16</v>
      </c>
      <c r="AC5087">
        <v>2.4112999999999798</v>
      </c>
      <c r="AD5087">
        <v>-1.105634</v>
      </c>
      <c r="AE5087">
        <v>-5.0828720000000001</v>
      </c>
      <c r="AF5087">
        <v>2.7818799177669198</v>
      </c>
      <c r="AG5087">
        <v>-1.105634</v>
      </c>
      <c r="AH5087">
        <v>4.64768020660477</v>
      </c>
      <c r="AI5087">
        <v>101.53666242158</v>
      </c>
      <c r="AJ5087">
        <v>59.097270756288097</v>
      </c>
      <c r="AK5087">
        <v>5.5283102049086104</v>
      </c>
      <c r="AL5087">
        <v>87.913086432210207</v>
      </c>
      <c r="AM5087">
        <v>74.839533942115096</v>
      </c>
      <c r="AN5087">
        <v>1.00000000496802</v>
      </c>
    </row>
    <row r="5088" spans="1:40" x14ac:dyDescent="0.25">
      <c r="A5088" t="str">
        <f>"20190312154702881"</f>
        <v>20190312154702881</v>
      </c>
      <c r="B5088" t="str">
        <f>"1552376822873363"</f>
        <v>1552376822873363</v>
      </c>
      <c r="C5088" t="s">
        <v>40</v>
      </c>
      <c r="D5088">
        <v>5.3456210000000004</v>
      </c>
      <c r="E5088">
        <v>0.60776600000000003</v>
      </c>
      <c r="F5088" t="s">
        <v>43</v>
      </c>
      <c r="G5088">
        <v>-306.84870000000001</v>
      </c>
      <c r="H5088">
        <v>-0.05</v>
      </c>
      <c r="I5088">
        <v>8.1228179999999899</v>
      </c>
      <c r="J5088">
        <v>-309.21800000000002</v>
      </c>
      <c r="K5088">
        <v>1.0556570000000001</v>
      </c>
      <c r="L5088">
        <v>13.239649999999999</v>
      </c>
      <c r="M5088">
        <v>0.82618740000000002</v>
      </c>
      <c r="N5088">
        <v>0</v>
      </c>
      <c r="O5088">
        <v>-0.5632163</v>
      </c>
      <c r="P5088">
        <v>0.64797629999999995</v>
      </c>
      <c r="Q5088">
        <v>2.5742379999999999E-2</v>
      </c>
      <c r="R5088">
        <v>-0.76122570000000001</v>
      </c>
      <c r="S5088">
        <v>1.3519589999999999</v>
      </c>
      <c r="T5088">
        <v>-0.59864839999999997</v>
      </c>
      <c r="U5088">
        <v>-2.8242799999999999</v>
      </c>
      <c r="V5088">
        <v>0.26440039999999998</v>
      </c>
      <c r="W5088">
        <v>3.659987E-2</v>
      </c>
      <c r="X5088">
        <v>0.96371819999999997</v>
      </c>
      <c r="Y5088">
        <v>0.50201899999999999</v>
      </c>
      <c r="Z5088">
        <v>6.4402020000000004E-2</v>
      </c>
      <c r="AA5088">
        <v>0.86245539999999998</v>
      </c>
      <c r="AB5088">
        <v>16</v>
      </c>
      <c r="AC5088">
        <v>2.3693</v>
      </c>
      <c r="AD5088">
        <v>-1.1056569999999999</v>
      </c>
      <c r="AE5088">
        <v>-5.1168319999999996</v>
      </c>
      <c r="AF5088">
        <v>2.78620161257918</v>
      </c>
      <c r="AG5088">
        <v>-1.1056569999999999</v>
      </c>
      <c r="AH5088">
        <v>4.6606638132161704</v>
      </c>
      <c r="AI5088">
        <v>101.509267107631</v>
      </c>
      <c r="AJ5088">
        <v>59.128503489693003</v>
      </c>
      <c r="AK5088">
        <v>5.54140632036765</v>
      </c>
      <c r="AL5088">
        <v>87.902513344552304</v>
      </c>
      <c r="AM5088">
        <v>74.658139925449305</v>
      </c>
      <c r="AN5088">
        <v>0.99999994550770699</v>
      </c>
    </row>
    <row r="5089" spans="1:40" x14ac:dyDescent="0.25">
      <c r="A5089" t="str">
        <f>"20190312154702905"</f>
        <v>20190312154702905</v>
      </c>
      <c r="B5089" t="str">
        <f>"1552376822893386"</f>
        <v>1552376822893386</v>
      </c>
      <c r="C5089" t="s">
        <v>40</v>
      </c>
      <c r="D5089">
        <v>5.240545</v>
      </c>
      <c r="E5089">
        <v>0.6582441</v>
      </c>
      <c r="F5089" t="s">
        <v>43</v>
      </c>
      <c r="G5089">
        <v>-306.81540000000001</v>
      </c>
      <c r="H5089">
        <v>-0.05</v>
      </c>
      <c r="I5089">
        <v>8.015625</v>
      </c>
      <c r="J5089">
        <v>-309.08769999999998</v>
      </c>
      <c r="K5089">
        <v>1.055688</v>
      </c>
      <c r="L5089">
        <v>13.1360799999999</v>
      </c>
      <c r="M5089">
        <v>0.8204439</v>
      </c>
      <c r="N5089">
        <v>0</v>
      </c>
      <c r="O5089">
        <v>-0.57155069999999997</v>
      </c>
      <c r="P5089">
        <v>0.63808669999999901</v>
      </c>
      <c r="Q5089">
        <v>2.5279940000000001E-2</v>
      </c>
      <c r="R5089">
        <v>-0.76954929999999999</v>
      </c>
      <c r="S5089">
        <v>1.309296</v>
      </c>
      <c r="T5089">
        <v>-0.60253159999999995</v>
      </c>
      <c r="U5089">
        <v>-2.8468629999999999</v>
      </c>
      <c r="V5089">
        <v>0.26710129999999999</v>
      </c>
      <c r="W5089">
        <v>3.610857E-2</v>
      </c>
      <c r="X5089">
        <v>0.96299170000000001</v>
      </c>
      <c r="Y5089">
        <v>0.50656950000000001</v>
      </c>
      <c r="Z5089">
        <v>6.6192920000000002E-2</v>
      </c>
      <c r="AA5089">
        <v>0.85965449999999999</v>
      </c>
      <c r="AB5089">
        <v>16</v>
      </c>
      <c r="AC5089">
        <v>2.2722999999999698</v>
      </c>
      <c r="AD5089">
        <v>-1.105688</v>
      </c>
      <c r="AE5089">
        <v>-5.12045499999999</v>
      </c>
      <c r="AF5089">
        <v>2.7937688100395301</v>
      </c>
      <c r="AG5089">
        <v>-1.105688</v>
      </c>
      <c r="AH5089">
        <v>4.6117212092108399</v>
      </c>
      <c r="AI5089">
        <v>101.588577101675</v>
      </c>
      <c r="AJ5089">
        <v>58.792627081738097</v>
      </c>
      <c r="AK5089">
        <v>5.50414958270383</v>
      </c>
      <c r="AL5089">
        <v>87.930681441382205</v>
      </c>
      <c r="AM5089">
        <v>74.497786441615403</v>
      </c>
      <c r="AN5089">
        <v>0.99999997377901195</v>
      </c>
    </row>
    <row r="5090" spans="1:40" x14ac:dyDescent="0.25">
      <c r="A5090" t="str">
        <f>"20190312154702926"</f>
        <v>20190312154702926</v>
      </c>
      <c r="B5090" t="str">
        <f>"1552376822922666"</f>
        <v>1552376822922666</v>
      </c>
      <c r="C5090" t="s">
        <v>40</v>
      </c>
      <c r="D5090">
        <v>5.2078350000000002</v>
      </c>
      <c r="E5090">
        <v>0.68192450000000004</v>
      </c>
      <c r="F5090" t="s">
        <v>43</v>
      </c>
      <c r="G5090">
        <v>-307.63010000000003</v>
      </c>
      <c r="H5090">
        <v>-0.05</v>
      </c>
      <c r="I5090">
        <v>8.4307859999999994</v>
      </c>
      <c r="J5090">
        <v>-308.95979999999997</v>
      </c>
      <c r="K5090">
        <v>1.055725</v>
      </c>
      <c r="L5090">
        <v>13.032349999999999</v>
      </c>
      <c r="M5090">
        <v>0.81469879999999995</v>
      </c>
      <c r="N5090">
        <v>0</v>
      </c>
      <c r="O5090">
        <v>-0.57971070000000002</v>
      </c>
      <c r="P5090">
        <v>0.62845490000000004</v>
      </c>
      <c r="Q5090">
        <v>2.522663E-2</v>
      </c>
      <c r="R5090">
        <v>-0.77743689999999999</v>
      </c>
      <c r="S5090">
        <v>0.96676640000000003</v>
      </c>
      <c r="T5090">
        <v>-0.73337030000000003</v>
      </c>
      <c r="U5090">
        <v>-3.1208800000000001</v>
      </c>
      <c r="V5090">
        <v>0.26947910000000003</v>
      </c>
      <c r="W5090">
        <v>3.6032330000000001E-2</v>
      </c>
      <c r="X5090">
        <v>0.96233190000000002</v>
      </c>
      <c r="Y5090">
        <v>0.60476980000000002</v>
      </c>
      <c r="Z5090">
        <v>6.7481040000000006E-2</v>
      </c>
      <c r="AA5090">
        <v>0.79353629999999997</v>
      </c>
      <c r="AB5090">
        <v>16</v>
      </c>
      <c r="AC5090">
        <v>1.3296999999999399</v>
      </c>
      <c r="AD5090">
        <v>-1.1057250000000001</v>
      </c>
      <c r="AE5090">
        <v>-4.6015639999999998</v>
      </c>
      <c r="AF5090">
        <v>2.8276585663248301</v>
      </c>
      <c r="AG5090">
        <v>-1.1057250000000001</v>
      </c>
      <c r="AH5090">
        <v>3.5614646801763601</v>
      </c>
      <c r="AI5090">
        <v>103.66629057485</v>
      </c>
      <c r="AJ5090">
        <v>51.551849565446503</v>
      </c>
      <c r="AK5090">
        <v>4.6799905354048397</v>
      </c>
      <c r="AL5090">
        <v>87.935052570271495</v>
      </c>
      <c r="AM5090">
        <v>74.356308817300004</v>
      </c>
      <c r="AN5090">
        <v>0.99999999994982403</v>
      </c>
    </row>
    <row r="5091" spans="1:40" x14ac:dyDescent="0.25">
      <c r="A5091" t="str">
        <f>"20190312154702949"</f>
        <v>20190312154702949</v>
      </c>
      <c r="B5091" t="str">
        <f>"1552376822943161"</f>
        <v>1552376822943161</v>
      </c>
      <c r="C5091" t="s">
        <v>40</v>
      </c>
      <c r="D5091">
        <v>5.1310169999999999</v>
      </c>
      <c r="E5091">
        <v>0.68027979999999999</v>
      </c>
      <c r="F5091" t="s">
        <v>43</v>
      </c>
      <c r="G5091">
        <v>-307.43</v>
      </c>
      <c r="H5091">
        <v>-0.05</v>
      </c>
      <c r="I5091">
        <v>6.6236569999999997</v>
      </c>
      <c r="J5091">
        <v>-308.83100000000002</v>
      </c>
      <c r="K5091">
        <v>1.0557609999999999</v>
      </c>
      <c r="L5091">
        <v>12.92581</v>
      </c>
      <c r="M5091">
        <v>0.80880090000000004</v>
      </c>
      <c r="N5091">
        <v>0</v>
      </c>
      <c r="O5091">
        <v>-0.58791169999999904</v>
      </c>
      <c r="P5091">
        <v>0.61956599999999995</v>
      </c>
      <c r="Q5091">
        <v>2.5388600000000001E-2</v>
      </c>
      <c r="R5091">
        <v>-0.78453390000000001</v>
      </c>
      <c r="S5091">
        <v>0.77578740000000002</v>
      </c>
      <c r="T5091">
        <v>-0.56072349999999904</v>
      </c>
      <c r="U5091">
        <v>-3.249908</v>
      </c>
      <c r="V5091">
        <v>0.27070450000000001</v>
      </c>
      <c r="W5091">
        <v>3.6187200000000003E-2</v>
      </c>
      <c r="X5091">
        <v>0.96198209999999995</v>
      </c>
      <c r="Y5091">
        <v>0.64873709999999996</v>
      </c>
      <c r="Z5091">
        <v>4.8232570000000002E-2</v>
      </c>
      <c r="AA5091">
        <v>0.75948260000000001</v>
      </c>
      <c r="AB5091">
        <v>16</v>
      </c>
      <c r="AC5091">
        <v>1.4009999999999501</v>
      </c>
      <c r="AD5091">
        <v>-1.105761</v>
      </c>
      <c r="AE5091">
        <v>-6.3021529999999997</v>
      </c>
      <c r="AF5091">
        <v>4.1521462905958604</v>
      </c>
      <c r="AG5091">
        <v>-1.105761</v>
      </c>
      <c r="AH5091">
        <v>4.7008240423515204</v>
      </c>
      <c r="AI5091">
        <v>99.998556140908406</v>
      </c>
      <c r="AJ5091">
        <v>48.546466319855803</v>
      </c>
      <c r="AK5091">
        <v>6.3687340095799403</v>
      </c>
      <c r="AL5091">
        <v>87.926173382753504</v>
      </c>
      <c r="AM5091">
        <v>74.283247051913605</v>
      </c>
      <c r="AN5091">
        <v>1.00000000024224</v>
      </c>
    </row>
    <row r="5092" spans="1:40" x14ac:dyDescent="0.25">
      <c r="A5092" t="str">
        <f>"20190312154702971"</f>
        <v>20190312154702971</v>
      </c>
      <c r="B5092" t="str">
        <f>"1552376822962681"</f>
        <v>1552376822962681</v>
      </c>
      <c r="C5092" t="s">
        <v>40</v>
      </c>
      <c r="D5092">
        <v>5.0706790000000002</v>
      </c>
      <c r="E5092">
        <v>0.67807469999999903</v>
      </c>
      <c r="F5092" t="s">
        <v>43</v>
      </c>
      <c r="G5092">
        <v>-307.43400000000003</v>
      </c>
      <c r="H5092">
        <v>-0.05</v>
      </c>
      <c r="I5092">
        <v>6.8688200000000004</v>
      </c>
      <c r="J5092">
        <v>-308.70659999999998</v>
      </c>
      <c r="K5092">
        <v>1.055804</v>
      </c>
      <c r="L5092">
        <v>12.82077</v>
      </c>
      <c r="M5092">
        <v>0.8029944</v>
      </c>
      <c r="N5092">
        <v>0</v>
      </c>
      <c r="O5092">
        <v>-0.59581819999999996</v>
      </c>
      <c r="P5092">
        <v>0.61154529999999996</v>
      </c>
      <c r="Q5092">
        <v>2.738954E-2</v>
      </c>
      <c r="R5092">
        <v>-0.79073539999999998</v>
      </c>
      <c r="S5092">
        <v>0.74984740000000005</v>
      </c>
      <c r="T5092">
        <v>-0.59348919999999905</v>
      </c>
      <c r="U5092">
        <v>-3.2509459999999999</v>
      </c>
      <c r="V5092">
        <v>0.27102690000000002</v>
      </c>
      <c r="W5092">
        <v>3.8191870000000003E-2</v>
      </c>
      <c r="X5092">
        <v>0.96181380000000005</v>
      </c>
      <c r="Y5092">
        <v>0.6469686</v>
      </c>
      <c r="Z5092">
        <v>5.3019400000000001E-2</v>
      </c>
      <c r="AA5092">
        <v>0.76067119999999999</v>
      </c>
      <c r="AB5092">
        <v>16</v>
      </c>
      <c r="AC5092">
        <v>1.27259999999995</v>
      </c>
      <c r="AD5092">
        <v>-1.105804</v>
      </c>
      <c r="AE5092">
        <v>-5.9519500000000001</v>
      </c>
      <c r="AF5092">
        <v>3.8930447137431301</v>
      </c>
      <c r="AG5092">
        <v>-1.105804</v>
      </c>
      <c r="AH5092">
        <v>4.4226448967623497</v>
      </c>
      <c r="AI5092">
        <v>100.62956812441701</v>
      </c>
      <c r="AJ5092">
        <v>48.644066965842299</v>
      </c>
      <c r="AK5092">
        <v>5.99486342734156</v>
      </c>
      <c r="AL5092">
        <v>87.811234705409902</v>
      </c>
      <c r="AM5092">
        <v>74.262838547024501</v>
      </c>
      <c r="AN5092">
        <v>0.99999999266407302</v>
      </c>
    </row>
    <row r="5093" spans="1:40" x14ac:dyDescent="0.25">
      <c r="A5093" t="str">
        <f>"20190312154702995"</f>
        <v>20190312154702995</v>
      </c>
      <c r="B5093" t="str">
        <f>"1552376822982667"</f>
        <v>1552376822982667</v>
      </c>
      <c r="C5093" t="s">
        <v>40</v>
      </c>
      <c r="D5093">
        <v>5.1551689999999999</v>
      </c>
      <c r="E5093">
        <v>0.67649609999999905</v>
      </c>
      <c r="F5093" t="s">
        <v>43</v>
      </c>
      <c r="G5093">
        <v>-307.3811</v>
      </c>
      <c r="H5093">
        <v>-0.05</v>
      </c>
      <c r="I5093">
        <v>6.9361879999999996</v>
      </c>
      <c r="J5093">
        <v>-308.5736</v>
      </c>
      <c r="K5093">
        <v>1.055841</v>
      </c>
      <c r="L5093">
        <v>12.706329999999999</v>
      </c>
      <c r="M5093">
        <v>0.79666749999999997</v>
      </c>
      <c r="N5093">
        <v>0</v>
      </c>
      <c r="O5093">
        <v>-0.60425229999999996</v>
      </c>
      <c r="P5093">
        <v>0.60370610000000002</v>
      </c>
      <c r="Q5093">
        <v>2.9759939999999999E-2</v>
      </c>
      <c r="R5093">
        <v>-0.79665180000000002</v>
      </c>
      <c r="S5093">
        <v>0.73187259999999998</v>
      </c>
      <c r="T5093">
        <v>-0.61054830000000004</v>
      </c>
      <c r="U5093">
        <v>-3.2490540000000001</v>
      </c>
      <c r="V5093">
        <v>0.27033810000000003</v>
      </c>
      <c r="W5093">
        <v>4.0578019999999999E-2</v>
      </c>
      <c r="X5093">
        <v>0.96190989999999998</v>
      </c>
      <c r="Y5093">
        <v>0.64284439999999998</v>
      </c>
      <c r="Z5093">
        <v>5.6989089999999999E-2</v>
      </c>
      <c r="AA5093">
        <v>0.76387389999999999</v>
      </c>
      <c r="AB5093">
        <v>16</v>
      </c>
      <c r="AC5093">
        <v>1.1924999999999899</v>
      </c>
      <c r="AD5093">
        <v>-1.1058410000000001</v>
      </c>
      <c r="AE5093">
        <v>-5.7701419999999901</v>
      </c>
      <c r="AF5093">
        <v>3.7447920597042201</v>
      </c>
      <c r="AG5093">
        <v>-1.1058410000000001</v>
      </c>
      <c r="AH5093">
        <v>4.2861140058488498</v>
      </c>
      <c r="AI5093">
        <v>100.995219874188</v>
      </c>
      <c r="AJ5093">
        <v>48.856179892801897</v>
      </c>
      <c r="AK5093">
        <v>5.7980276955908403</v>
      </c>
      <c r="AL5093">
        <v>87.674412112231096</v>
      </c>
      <c r="AM5093">
        <v>74.302350508029093</v>
      </c>
      <c r="AN5093">
        <v>0.99999995986836898</v>
      </c>
    </row>
    <row r="5094" spans="1:40" x14ac:dyDescent="0.25">
      <c r="A5094" t="str">
        <f>"20190312154703015"</f>
        <v>20190312154703015</v>
      </c>
      <c r="B5094" t="str">
        <f>"1552376823012923"</f>
        <v>1552376823012923</v>
      </c>
      <c r="C5094" t="s">
        <v>40</v>
      </c>
      <c r="D5094">
        <v>5.1447719999999997</v>
      </c>
      <c r="E5094">
        <v>0.67439209999999905</v>
      </c>
      <c r="F5094" t="s">
        <v>43</v>
      </c>
      <c r="G5094">
        <v>-307.30900000000003</v>
      </c>
      <c r="H5094">
        <v>-0.05</v>
      </c>
      <c r="I5094">
        <v>6.9300079999999999</v>
      </c>
      <c r="J5094">
        <v>-308.4599</v>
      </c>
      <c r="K5094">
        <v>1.055863</v>
      </c>
      <c r="L5094">
        <v>12.606479999999999</v>
      </c>
      <c r="M5094">
        <v>0.79114910000000005</v>
      </c>
      <c r="N5094">
        <v>0</v>
      </c>
      <c r="O5094">
        <v>-0.61146</v>
      </c>
      <c r="P5094">
        <v>0.59723630000000005</v>
      </c>
      <c r="Q5094">
        <v>3.1224229999999999E-2</v>
      </c>
      <c r="R5094">
        <v>-0.80145759999999999</v>
      </c>
      <c r="S5094">
        <v>0.71148679999999997</v>
      </c>
      <c r="T5094">
        <v>-0.62215830000000005</v>
      </c>
      <c r="U5094">
        <v>-3.2498170000000002</v>
      </c>
      <c r="V5094">
        <v>0.26936189999999999</v>
      </c>
      <c r="W5094">
        <v>4.2059239999999998E-2</v>
      </c>
      <c r="X5094">
        <v>0.96212019999999998</v>
      </c>
      <c r="Y5094">
        <v>0.64051950000000002</v>
      </c>
      <c r="Z5094">
        <v>6.0058769999999997E-2</v>
      </c>
      <c r="AA5094">
        <v>0.76558979999999999</v>
      </c>
      <c r="AB5094">
        <v>16</v>
      </c>
      <c r="AC5094">
        <v>1.1508999999999701</v>
      </c>
      <c r="AD5094">
        <v>-1.10586299999999</v>
      </c>
      <c r="AE5094">
        <v>-5.6764720000000004</v>
      </c>
      <c r="AF5094">
        <v>3.6543669149542399</v>
      </c>
      <c r="AG5094">
        <v>-1.10586299999999</v>
      </c>
      <c r="AH5094">
        <v>4.2277853148516504</v>
      </c>
      <c r="AI5094">
        <v>101.193677719105</v>
      </c>
      <c r="AJ5094">
        <v>49.160878506718099</v>
      </c>
      <c r="AK5094">
        <v>5.6966217350598702</v>
      </c>
      <c r="AL5094">
        <v>87.589472117160895</v>
      </c>
      <c r="AM5094">
        <v>74.359507192854906</v>
      </c>
      <c r="AN5094">
        <v>1.00000004604451</v>
      </c>
    </row>
    <row r="5095" spans="1:40" x14ac:dyDescent="0.25">
      <c r="A5095" t="str">
        <f>"20190312154703038"</f>
        <v>20190312154703038</v>
      </c>
      <c r="B5095" t="str">
        <f>"1552376823033427"</f>
        <v>1552376823033427</v>
      </c>
      <c r="C5095" t="s">
        <v>40</v>
      </c>
      <c r="D5095">
        <v>5.2129909999999997</v>
      </c>
      <c r="E5095">
        <v>0.67320719999999901</v>
      </c>
      <c r="F5095" t="s">
        <v>43</v>
      </c>
      <c r="G5095">
        <v>-307.2441</v>
      </c>
      <c r="H5095">
        <v>-0.05</v>
      </c>
      <c r="I5095">
        <v>6.9659880000000003</v>
      </c>
      <c r="J5095">
        <v>-308.33499999999998</v>
      </c>
      <c r="K5095">
        <v>1.0558879999999999</v>
      </c>
      <c r="L5095">
        <v>12.49478</v>
      </c>
      <c r="M5095">
        <v>0.78497359999999905</v>
      </c>
      <c r="N5095">
        <v>0</v>
      </c>
      <c r="O5095">
        <v>-0.61936809999999998</v>
      </c>
      <c r="P5095">
        <v>0.59087639999999997</v>
      </c>
      <c r="Q5095">
        <v>3.3162589999999999E-2</v>
      </c>
      <c r="R5095">
        <v>-0.80608029999999997</v>
      </c>
      <c r="S5095">
        <v>0.6997681</v>
      </c>
      <c r="T5095">
        <v>-0.63651279999999999</v>
      </c>
      <c r="U5095">
        <v>-3.2465519999999999</v>
      </c>
      <c r="V5095">
        <v>0.26727529999999999</v>
      </c>
      <c r="W5095">
        <v>4.4028650000000003E-2</v>
      </c>
      <c r="X5095">
        <v>0.96261379999999996</v>
      </c>
      <c r="Y5095">
        <v>0.63533219999999901</v>
      </c>
      <c r="Z5095">
        <v>6.3991049999999994E-2</v>
      </c>
      <c r="AA5095">
        <v>0.76958300000000002</v>
      </c>
      <c r="AB5095">
        <v>16</v>
      </c>
      <c r="AC5095">
        <v>1.09089999999997</v>
      </c>
      <c r="AD5095">
        <v>-1.105888</v>
      </c>
      <c r="AE5095">
        <v>-5.5287920000000002</v>
      </c>
      <c r="AF5095">
        <v>3.5287599831810401</v>
      </c>
      <c r="AG5095">
        <v>-1.105888</v>
      </c>
      <c r="AH5095">
        <v>4.1223599185331103</v>
      </c>
      <c r="AI5095">
        <v>101.51896921287801</v>
      </c>
      <c r="AJ5095">
        <v>49.436314919143797</v>
      </c>
      <c r="AK5095">
        <v>5.5379587020284102</v>
      </c>
      <c r="AL5095">
        <v>87.476528347371698</v>
      </c>
      <c r="AM5095">
        <v>74.482377649338801</v>
      </c>
      <c r="AN5095">
        <v>0.99999996798067503</v>
      </c>
    </row>
    <row r="5096" spans="1:40" x14ac:dyDescent="0.25">
      <c r="A5096" t="str">
        <f>"20190312154703060"</f>
        <v>20190312154703060</v>
      </c>
      <c r="B5096" t="str">
        <f>"1552376823052939"</f>
        <v>1552376823052939</v>
      </c>
      <c r="C5096" t="s">
        <v>40</v>
      </c>
      <c r="D5096">
        <v>5.1113160000000004</v>
      </c>
      <c r="E5096">
        <v>0.67171449999999999</v>
      </c>
      <c r="F5096" t="s">
        <v>43</v>
      </c>
      <c r="G5096">
        <v>-307.14710000000002</v>
      </c>
      <c r="H5096">
        <v>-0.05</v>
      </c>
      <c r="I5096">
        <v>6.8469699999999998</v>
      </c>
      <c r="J5096">
        <v>-308.21510000000001</v>
      </c>
      <c r="K5096">
        <v>1.055911</v>
      </c>
      <c r="L5096">
        <v>12.38541</v>
      </c>
      <c r="M5096">
        <v>0.77892119999999998</v>
      </c>
      <c r="N5096">
        <v>0</v>
      </c>
      <c r="O5096">
        <v>-0.62696269999999998</v>
      </c>
      <c r="P5096">
        <v>0.58455819999999903</v>
      </c>
      <c r="Q5096">
        <v>3.5022049999999999E-2</v>
      </c>
      <c r="R5096">
        <v>-0.81059539999999997</v>
      </c>
      <c r="S5096">
        <v>0.68301389999999995</v>
      </c>
      <c r="T5096">
        <v>-0.63583210000000001</v>
      </c>
      <c r="U5096">
        <v>-3.247223</v>
      </c>
      <c r="V5096">
        <v>0.265405</v>
      </c>
      <c r="W5096">
        <v>4.591311E-2</v>
      </c>
      <c r="X5096">
        <v>0.96304319999999999</v>
      </c>
      <c r="Y5096">
        <v>0.63176860000000001</v>
      </c>
      <c r="Z5096">
        <v>6.6199010000000003E-2</v>
      </c>
      <c r="AA5096">
        <v>0.77232509999999999</v>
      </c>
      <c r="AB5096">
        <v>16</v>
      </c>
      <c r="AC5096">
        <v>1.0679999999999801</v>
      </c>
      <c r="AD5096">
        <v>-1.1059110000000001</v>
      </c>
      <c r="AE5096">
        <v>-5.5384399999999996</v>
      </c>
      <c r="AF5096">
        <v>3.5098491870007802</v>
      </c>
      <c r="AG5096">
        <v>-1.1059110000000001</v>
      </c>
      <c r="AH5096">
        <v>4.1453556782691496</v>
      </c>
      <c r="AI5096">
        <v>101.508363403757</v>
      </c>
      <c r="AJ5096">
        <v>49.745599646223397</v>
      </c>
      <c r="AK5096">
        <v>5.5431087085469803</v>
      </c>
      <c r="AL5096">
        <v>87.368447504885594</v>
      </c>
      <c r="AM5096">
        <v>74.592329884589503</v>
      </c>
      <c r="AN5096">
        <v>1.00000001638055</v>
      </c>
    </row>
    <row r="5097" spans="1:40" x14ac:dyDescent="0.25">
      <c r="A5097" t="str">
        <f>"20190312154703083"</f>
        <v>20190312154703083</v>
      </c>
      <c r="B5097" t="str">
        <f>"1552376823073435"</f>
        <v>1552376823073435</v>
      </c>
      <c r="C5097" t="s">
        <v>40</v>
      </c>
      <c r="D5097">
        <v>5.1394769999999896</v>
      </c>
      <c r="E5097">
        <v>0.67020709999999994</v>
      </c>
      <c r="F5097" t="s">
        <v>43</v>
      </c>
      <c r="G5097">
        <v>-307.05549999999999</v>
      </c>
      <c r="H5097">
        <v>-0.05</v>
      </c>
      <c r="I5097">
        <v>6.7513429999999897</v>
      </c>
      <c r="J5097">
        <v>-308.09359999999998</v>
      </c>
      <c r="K5097">
        <v>1.0559229999999999</v>
      </c>
      <c r="L5097">
        <v>12.27237</v>
      </c>
      <c r="M5097">
        <v>0.77265430000000002</v>
      </c>
      <c r="N5097">
        <v>0</v>
      </c>
      <c r="O5097">
        <v>-0.63467010000000001</v>
      </c>
      <c r="P5097">
        <v>0.57818579999999997</v>
      </c>
      <c r="Q5097">
        <v>3.5893460000000002E-2</v>
      </c>
      <c r="R5097">
        <v>-0.81511540000000005</v>
      </c>
      <c r="S5097">
        <v>0.6682129</v>
      </c>
      <c r="T5097">
        <v>-0.63728359999999995</v>
      </c>
      <c r="U5097">
        <v>-3.2466430000000002</v>
      </c>
      <c r="V5097">
        <v>0.26336399999999999</v>
      </c>
      <c r="W5097">
        <v>4.6812409999999999E-2</v>
      </c>
      <c r="X5097">
        <v>0.96356010000000003</v>
      </c>
      <c r="Y5097">
        <v>0.62751380000000001</v>
      </c>
      <c r="Z5097">
        <v>6.8745290000000001E-2</v>
      </c>
      <c r="AA5097">
        <v>0.7755647</v>
      </c>
      <c r="AB5097">
        <v>16</v>
      </c>
      <c r="AC5097">
        <v>1.03809999999998</v>
      </c>
      <c r="AD5097">
        <v>-1.105923</v>
      </c>
      <c r="AE5097">
        <v>-5.5210270000000001</v>
      </c>
      <c r="AF5097">
        <v>3.4727684220242399</v>
      </c>
      <c r="AG5097">
        <v>-1.105923</v>
      </c>
      <c r="AH5097">
        <v>4.1458809491648401</v>
      </c>
      <c r="AI5097">
        <v>101.55711709508699</v>
      </c>
      <c r="AJ5097">
        <v>50.049008625039903</v>
      </c>
      <c r="AK5097">
        <v>5.5201009990384797</v>
      </c>
      <c r="AL5097">
        <v>87.3168659848766</v>
      </c>
      <c r="AM5097">
        <v>74.713068738164793</v>
      </c>
      <c r="AN5097">
        <v>1.0000000322689999</v>
      </c>
    </row>
    <row r="5098" spans="1:40" x14ac:dyDescent="0.25">
      <c r="A5098" t="str">
        <f>"20190312154703105"</f>
        <v>20190312154703105</v>
      </c>
      <c r="B5098" t="str">
        <f>"1552376823093461"</f>
        <v>1552376823093461</v>
      </c>
      <c r="C5098" t="s">
        <v>40</v>
      </c>
      <c r="D5098">
        <v>5.3513089999999996</v>
      </c>
      <c r="E5098">
        <v>0.66899909999999996</v>
      </c>
      <c r="F5098" t="s">
        <v>43</v>
      </c>
      <c r="G5098">
        <v>-306.93920000000003</v>
      </c>
      <c r="H5098">
        <v>-0.05</v>
      </c>
      <c r="I5098">
        <v>6.5237579999999999</v>
      </c>
      <c r="J5098">
        <v>-307.9794</v>
      </c>
      <c r="K5098">
        <v>1.0559320000000001</v>
      </c>
      <c r="L5098">
        <v>12.163970000000001</v>
      </c>
      <c r="M5098">
        <v>0.76663769999999998</v>
      </c>
      <c r="N5098">
        <v>0</v>
      </c>
      <c r="O5098">
        <v>-0.64192490000000002</v>
      </c>
      <c r="P5098">
        <v>0.57158940000000003</v>
      </c>
      <c r="Q5098">
        <v>3.5765249999999998E-2</v>
      </c>
      <c r="R5098">
        <v>-0.81976009999999999</v>
      </c>
      <c r="S5098">
        <v>0.65173340000000002</v>
      </c>
      <c r="T5098">
        <v>-0.62440010000000001</v>
      </c>
      <c r="U5098">
        <v>-3.2456360000000002</v>
      </c>
      <c r="V5098">
        <v>0.26205810000000002</v>
      </c>
      <c r="W5098">
        <v>4.6701430000000002E-2</v>
      </c>
      <c r="X5098">
        <v>0.96392140000000004</v>
      </c>
      <c r="Y5098">
        <v>0.624054</v>
      </c>
      <c r="Z5098">
        <v>6.9568060000000001E-2</v>
      </c>
      <c r="AA5098">
        <v>0.77827819999999903</v>
      </c>
      <c r="AB5098">
        <v>16</v>
      </c>
      <c r="AC5098">
        <v>1.04019999999997</v>
      </c>
      <c r="AD5098">
        <v>-1.1059319999999999</v>
      </c>
      <c r="AE5098">
        <v>-5.6402119999999902</v>
      </c>
      <c r="AF5098">
        <v>3.5255438564762298</v>
      </c>
      <c r="AG5098">
        <v>-1.1059319999999999</v>
      </c>
      <c r="AH5098">
        <v>4.2600876072345102</v>
      </c>
      <c r="AI5098">
        <v>101.30981244579</v>
      </c>
      <c r="AJ5098">
        <v>50.389678051096404</v>
      </c>
      <c r="AK5098">
        <v>5.6392279164682098</v>
      </c>
      <c r="AL5098">
        <v>87.323231461214206</v>
      </c>
      <c r="AM5098">
        <v>74.790786590549502</v>
      </c>
      <c r="AN5098">
        <v>0.999999968358807</v>
      </c>
    </row>
    <row r="5099" spans="1:40" x14ac:dyDescent="0.25">
      <c r="A5099" t="str">
        <f>"20190312154703127"</f>
        <v>20190312154703127</v>
      </c>
      <c r="B5099" t="str">
        <f>"1552376823122741"</f>
        <v>1552376823122741</v>
      </c>
      <c r="C5099" t="s">
        <v>40</v>
      </c>
      <c r="D5099">
        <v>5.2612839999999998</v>
      </c>
      <c r="E5099">
        <v>0.66776150000000001</v>
      </c>
      <c r="F5099" t="s">
        <v>43</v>
      </c>
      <c r="G5099">
        <v>-306.83920000000001</v>
      </c>
      <c r="H5099">
        <v>-0.05</v>
      </c>
      <c r="I5099">
        <v>6.3056340000000004</v>
      </c>
      <c r="J5099">
        <v>-307.86110000000002</v>
      </c>
      <c r="K5099">
        <v>1.0559400000000001</v>
      </c>
      <c r="L5099">
        <v>12.049440000000001</v>
      </c>
      <c r="M5099">
        <v>0.76026689999999997</v>
      </c>
      <c r="N5099">
        <v>0</v>
      </c>
      <c r="O5099">
        <v>-0.64945790000000003</v>
      </c>
      <c r="P5099">
        <v>0.56456399999999995</v>
      </c>
      <c r="Q5099">
        <v>3.5299850000000001E-2</v>
      </c>
      <c r="R5099">
        <v>-0.82463439999999999</v>
      </c>
      <c r="S5099">
        <v>0.63171390000000005</v>
      </c>
      <c r="T5099">
        <v>-0.61274719999999905</v>
      </c>
      <c r="U5099">
        <v>-3.2458499999999999</v>
      </c>
      <c r="V5099">
        <v>0.26079239999999998</v>
      </c>
      <c r="W5099">
        <v>4.6253210000000003E-2</v>
      </c>
      <c r="X5099">
        <v>0.96428630000000004</v>
      </c>
      <c r="Y5099">
        <v>0.62110410000000005</v>
      </c>
      <c r="Z5099">
        <v>7.0447739999999995E-2</v>
      </c>
      <c r="AA5099">
        <v>0.78055540000000001</v>
      </c>
      <c r="AB5099">
        <v>16</v>
      </c>
      <c r="AC5099">
        <v>1.02190000000001</v>
      </c>
      <c r="AD5099">
        <v>-1.1059399999999999</v>
      </c>
      <c r="AE5099">
        <v>-5.7438059999999904</v>
      </c>
      <c r="AF5099">
        <v>3.57503979791157</v>
      </c>
      <c r="AG5099">
        <v>-1.1059399999999999</v>
      </c>
      <c r="AH5099">
        <v>4.3513544133149402</v>
      </c>
      <c r="AI5099">
        <v>101.110376398905</v>
      </c>
      <c r="AJ5099">
        <v>50.593734295416397</v>
      </c>
      <c r="AK5099">
        <v>5.7391896701997096</v>
      </c>
      <c r="AL5099">
        <v>87.348940580475201</v>
      </c>
      <c r="AM5099">
        <v>74.866331585955805</v>
      </c>
      <c r="AN5099">
        <v>1.00000005185037</v>
      </c>
    </row>
    <row r="5100" spans="1:40" x14ac:dyDescent="0.25">
      <c r="A5100" t="str">
        <f>"20190312154703150"</f>
        <v>20190312154703150</v>
      </c>
      <c r="B5100" t="str">
        <f>"1552376823143238"</f>
        <v>1552376823143238</v>
      </c>
      <c r="C5100" t="s">
        <v>40</v>
      </c>
      <c r="D5100">
        <v>5.1015829999999998</v>
      </c>
      <c r="E5100">
        <v>0.66704569999999996</v>
      </c>
      <c r="F5100" t="s">
        <v>43</v>
      </c>
      <c r="G5100">
        <v>-306.7303</v>
      </c>
      <c r="H5100">
        <v>-0.05</v>
      </c>
      <c r="I5100">
        <v>6.036346</v>
      </c>
      <c r="J5100">
        <v>-307.74549999999999</v>
      </c>
      <c r="K5100">
        <v>1.0559419999999999</v>
      </c>
      <c r="L5100">
        <v>11.935269999999999</v>
      </c>
      <c r="M5100">
        <v>0.7539013</v>
      </c>
      <c r="N5100">
        <v>0</v>
      </c>
      <c r="O5100">
        <v>-0.65683649999999905</v>
      </c>
      <c r="P5100">
        <v>0.55768039999999997</v>
      </c>
      <c r="Q5100">
        <v>3.4201170000000003E-2</v>
      </c>
      <c r="R5100">
        <v>-0.8293509</v>
      </c>
      <c r="S5100">
        <v>0.61035159999999999</v>
      </c>
      <c r="T5100">
        <v>-0.59694950000000002</v>
      </c>
      <c r="U5100">
        <v>-3.2456670000000001</v>
      </c>
      <c r="V5100">
        <v>0.25944260000000002</v>
      </c>
      <c r="W5100">
        <v>4.5174310000000002E-2</v>
      </c>
      <c r="X5100">
        <v>0.96470140000000004</v>
      </c>
      <c r="Y5100">
        <v>0.61854600000000004</v>
      </c>
      <c r="Z5100">
        <v>7.0710300000000004E-2</v>
      </c>
      <c r="AA5100">
        <v>0.78256049999999999</v>
      </c>
      <c r="AB5100">
        <v>16</v>
      </c>
      <c r="AC5100">
        <v>1.0151999999999901</v>
      </c>
      <c r="AD5100">
        <v>-1.105942</v>
      </c>
      <c r="AE5100">
        <v>-5.8989239999999903</v>
      </c>
      <c r="AF5100">
        <v>3.6559532601692202</v>
      </c>
      <c r="AG5100">
        <v>-1.105942</v>
      </c>
      <c r="AH5100">
        <v>4.4872622431233298</v>
      </c>
      <c r="AI5100">
        <v>100.817311048278</v>
      </c>
      <c r="AJ5100">
        <v>50.828908944199597</v>
      </c>
      <c r="AK5100">
        <v>5.8927603367578199</v>
      </c>
      <c r="AL5100">
        <v>87.410821518142399</v>
      </c>
      <c r="AM5100">
        <v>74.947279166430107</v>
      </c>
      <c r="AN5100">
        <v>0.99999998607034801</v>
      </c>
    </row>
    <row r="5101" spans="1:40" x14ac:dyDescent="0.25">
      <c r="A5101" t="str">
        <f>"20190312154703173"</f>
        <v>20190312154703173</v>
      </c>
      <c r="B5101" t="str">
        <f>"1552376823162757"</f>
        <v>1552376823162757</v>
      </c>
      <c r="C5101" t="s">
        <v>40</v>
      </c>
      <c r="D5101">
        <v>5.1432089999999997</v>
      </c>
      <c r="E5101">
        <v>0.66617269999999995</v>
      </c>
      <c r="F5101" t="s">
        <v>43</v>
      </c>
      <c r="G5101">
        <v>-306.65710000000001</v>
      </c>
      <c r="H5101">
        <v>-0.05</v>
      </c>
      <c r="I5101">
        <v>5.9094699999999998</v>
      </c>
      <c r="J5101">
        <v>-307.62709999999998</v>
      </c>
      <c r="K5101">
        <v>1.0559430000000001</v>
      </c>
      <c r="L5101">
        <v>11.81607</v>
      </c>
      <c r="M5101">
        <v>0.74724080000000004</v>
      </c>
      <c r="N5101">
        <v>0</v>
      </c>
      <c r="O5101">
        <v>-0.66440390000000005</v>
      </c>
      <c r="P5101">
        <v>0.54972739999999998</v>
      </c>
      <c r="Q5101">
        <v>3.3956340000000002E-2</v>
      </c>
      <c r="R5101">
        <v>-0.83465419999999901</v>
      </c>
      <c r="S5101">
        <v>0.58657840000000006</v>
      </c>
      <c r="T5101">
        <v>-0.59601719999999903</v>
      </c>
      <c r="U5101">
        <v>-3.2474370000000001</v>
      </c>
      <c r="V5101">
        <v>0.25894149999999999</v>
      </c>
      <c r="W5101">
        <v>4.4937560000000001E-2</v>
      </c>
      <c r="X5101">
        <v>0.96484709999999996</v>
      </c>
      <c r="Y5101">
        <v>0.61631669999999905</v>
      </c>
      <c r="Z5101">
        <v>7.2621909999999998E-2</v>
      </c>
      <c r="AA5101">
        <v>0.78414269999999997</v>
      </c>
      <c r="AB5101">
        <v>16</v>
      </c>
      <c r="AC5101">
        <v>0.96999999999997</v>
      </c>
      <c r="AD5101">
        <v>-1.1059429999999999</v>
      </c>
      <c r="AE5101">
        <v>-5.9066000000000001</v>
      </c>
      <c r="AF5101">
        <v>3.6451195262116398</v>
      </c>
      <c r="AG5101">
        <v>-1.1059429999999999</v>
      </c>
      <c r="AH5101">
        <v>4.4961652150819402</v>
      </c>
      <c r="AI5101">
        <v>100.817181673044</v>
      </c>
      <c r="AJ5101">
        <v>50.967715225582602</v>
      </c>
      <c r="AK5101">
        <v>5.8928353040731798</v>
      </c>
      <c r="AL5101">
        <v>87.424400133867195</v>
      </c>
      <c r="AM5101">
        <v>74.977203200917799</v>
      </c>
      <c r="AN5101">
        <v>1.0000000055497</v>
      </c>
    </row>
    <row r="5102" spans="1:40" x14ac:dyDescent="0.25">
      <c r="A5102" t="str">
        <f>"20190312154703195"</f>
        <v>20190312154703195</v>
      </c>
      <c r="B5102" t="str">
        <f>"1552376823182784"</f>
        <v>1552376823182784</v>
      </c>
      <c r="C5102" t="s">
        <v>40</v>
      </c>
      <c r="D5102">
        <v>5.1104050000000001</v>
      </c>
      <c r="E5102">
        <v>0.66543560000000002</v>
      </c>
      <c r="F5102" t="s">
        <v>43</v>
      </c>
      <c r="G5102">
        <v>-306.59050000000002</v>
      </c>
      <c r="H5102">
        <v>-0.05</v>
      </c>
      <c r="I5102">
        <v>5.7990719999999998</v>
      </c>
      <c r="J5102">
        <v>-307.51530000000002</v>
      </c>
      <c r="K5102">
        <v>1.0559419999999999</v>
      </c>
      <c r="L5102">
        <v>11.7012</v>
      </c>
      <c r="M5102">
        <v>0.74081009999999903</v>
      </c>
      <c r="N5102">
        <v>0</v>
      </c>
      <c r="O5102">
        <v>-0.67156709999999997</v>
      </c>
      <c r="P5102">
        <v>0.54167900000000002</v>
      </c>
      <c r="Q5102">
        <v>3.3428630000000001E-2</v>
      </c>
      <c r="R5102">
        <v>-0.83992080000000002</v>
      </c>
      <c r="S5102">
        <v>0.55990600000000001</v>
      </c>
      <c r="T5102">
        <v>-0.59733029999999998</v>
      </c>
      <c r="U5102">
        <v>-3.2498469999999999</v>
      </c>
      <c r="V5102">
        <v>0.25893640000000001</v>
      </c>
      <c r="W5102">
        <v>4.4411659999999999E-2</v>
      </c>
      <c r="X5102">
        <v>0.96487279999999997</v>
      </c>
      <c r="Y5102">
        <v>0.6151335</v>
      </c>
      <c r="Z5102">
        <v>7.4609200000000001E-2</v>
      </c>
      <c r="AA5102">
        <v>0.78488480000000005</v>
      </c>
      <c r="AB5102">
        <v>16</v>
      </c>
      <c r="AC5102">
        <v>0.92480000000000395</v>
      </c>
      <c r="AD5102">
        <v>-1.105942</v>
      </c>
      <c r="AE5102">
        <v>-5.9021280000000003</v>
      </c>
      <c r="AF5102">
        <v>3.6273530032214301</v>
      </c>
      <c r="AG5102">
        <v>-1.105942</v>
      </c>
      <c r="AH5102">
        <v>4.4951866368603701</v>
      </c>
      <c r="AI5102">
        <v>100.838991726053</v>
      </c>
      <c r="AJ5102">
        <v>51.098497455648697</v>
      </c>
      <c r="AK5102">
        <v>5.8811138755810202</v>
      </c>
      <c r="AL5102">
        <v>87.454562052452005</v>
      </c>
      <c r="AM5102">
        <v>74.977867755556602</v>
      </c>
      <c r="AN5102">
        <v>0.99999998748437702</v>
      </c>
    </row>
    <row r="5103" spans="1:40" x14ac:dyDescent="0.25">
      <c r="A5103" t="str">
        <f>"20190312154703217"</f>
        <v>20190312154703217</v>
      </c>
      <c r="B5103" t="str">
        <f>"1552376823213041"</f>
        <v>1552376823213041</v>
      </c>
      <c r="C5103" t="s">
        <v>40</v>
      </c>
      <c r="D5103">
        <v>5.0990359999999999</v>
      </c>
      <c r="E5103">
        <v>0.66401449999999995</v>
      </c>
      <c r="F5103" t="s">
        <v>43</v>
      </c>
      <c r="G5103">
        <v>-306.53820000000002</v>
      </c>
      <c r="H5103">
        <v>-0.05</v>
      </c>
      <c r="I5103">
        <v>5.7415469999999997</v>
      </c>
      <c r="J5103">
        <v>-307.40359999999998</v>
      </c>
      <c r="K5103">
        <v>1.055939</v>
      </c>
      <c r="L5103">
        <v>11.584289999999999</v>
      </c>
      <c r="M5103">
        <v>0.73425130000000005</v>
      </c>
      <c r="N5103">
        <v>0</v>
      </c>
      <c r="O5103">
        <v>-0.67873190000000005</v>
      </c>
      <c r="P5103">
        <v>0.53258559999999999</v>
      </c>
      <c r="Q5103">
        <v>3.05601E-2</v>
      </c>
      <c r="R5103">
        <v>-0.84582459999999904</v>
      </c>
      <c r="S5103">
        <v>0.53314209999999995</v>
      </c>
      <c r="T5103">
        <v>-0.60346959999999905</v>
      </c>
      <c r="U5103">
        <v>-3.2519529999999999</v>
      </c>
      <c r="V5103">
        <v>0.26002320000000001</v>
      </c>
      <c r="W5103">
        <v>4.153184E-2</v>
      </c>
      <c r="X5103">
        <v>0.96470880000000003</v>
      </c>
      <c r="Y5103">
        <v>0.61388129999999996</v>
      </c>
      <c r="Z5103">
        <v>7.7223910000000007E-2</v>
      </c>
      <c r="AA5103">
        <v>0.78561199999999998</v>
      </c>
      <c r="AB5103">
        <v>16</v>
      </c>
      <c r="AC5103">
        <v>0.86539999999996498</v>
      </c>
      <c r="AD5103">
        <v>-1.105939</v>
      </c>
      <c r="AE5103">
        <v>-5.8427429999999996</v>
      </c>
      <c r="AF5103">
        <v>3.5776051446070798</v>
      </c>
      <c r="AG5103">
        <v>-1.105939</v>
      </c>
      <c r="AH5103">
        <v>4.4456703686152403</v>
      </c>
      <c r="AI5103">
        <v>100.96829223685</v>
      </c>
      <c r="AJ5103">
        <v>51.1750038176922</v>
      </c>
      <c r="AK5103">
        <v>5.8126022286772399</v>
      </c>
      <c r="AL5103">
        <v>87.619716260672703</v>
      </c>
      <c r="AM5103">
        <v>74.915237147349103</v>
      </c>
      <c r="AN5103">
        <v>1.00000001353473</v>
      </c>
    </row>
    <row r="5104" spans="1:40" x14ac:dyDescent="0.25">
      <c r="A5104" t="str">
        <f>"20190312154703240"</f>
        <v>20190312154703240</v>
      </c>
      <c r="B5104" t="str">
        <f>"1552376823233536"</f>
        <v>1552376823233536</v>
      </c>
      <c r="C5104" t="s">
        <v>40</v>
      </c>
      <c r="D5104">
        <v>5.1111019999999998</v>
      </c>
      <c r="E5104">
        <v>0.663029599999999</v>
      </c>
      <c r="F5104" t="s">
        <v>43</v>
      </c>
      <c r="G5104">
        <v>-306.4896</v>
      </c>
      <c r="H5104">
        <v>-0.05</v>
      </c>
      <c r="I5104">
        <v>5.7115479999999996</v>
      </c>
      <c r="J5104">
        <v>-307.29379999999998</v>
      </c>
      <c r="K5104">
        <v>1.055936</v>
      </c>
      <c r="L5104">
        <v>11.467129999999999</v>
      </c>
      <c r="M5104">
        <v>0.72766769999999903</v>
      </c>
      <c r="N5104">
        <v>0</v>
      </c>
      <c r="O5104">
        <v>-0.68578530000000004</v>
      </c>
      <c r="P5104">
        <v>0.52405040000000003</v>
      </c>
      <c r="Q5104">
        <v>2.680538E-2</v>
      </c>
      <c r="R5104">
        <v>-0.85126550000000001</v>
      </c>
      <c r="S5104">
        <v>0.50585939999999996</v>
      </c>
      <c r="T5104">
        <v>-0.61211199999999999</v>
      </c>
      <c r="U5104">
        <v>-3.2504270000000002</v>
      </c>
      <c r="V5104">
        <v>0.26047169999999997</v>
      </c>
      <c r="W5104">
        <v>3.7774929999999998E-2</v>
      </c>
      <c r="X5104">
        <v>0.96474219999999999</v>
      </c>
      <c r="Y5104">
        <v>0.61266369999999903</v>
      </c>
      <c r="Z5104">
        <v>8.0254300000000001E-2</v>
      </c>
      <c r="AA5104">
        <v>0.78625849999999997</v>
      </c>
      <c r="AB5104">
        <v>16</v>
      </c>
      <c r="AC5104">
        <v>0.80419999999998004</v>
      </c>
      <c r="AD5104">
        <v>-1.105936</v>
      </c>
      <c r="AE5104">
        <v>-5.7555819999999898</v>
      </c>
      <c r="AF5104">
        <v>3.5098934970587798</v>
      </c>
      <c r="AG5104">
        <v>-1.105936</v>
      </c>
      <c r="AH5104">
        <v>4.3743187354700703</v>
      </c>
      <c r="AI5104">
        <v>101.155216936854</v>
      </c>
      <c r="AJ5104">
        <v>51.256919311497697</v>
      </c>
      <c r="AK5104">
        <v>5.7163896994760597</v>
      </c>
      <c r="AL5104">
        <v>87.835140836686406</v>
      </c>
      <c r="AM5104">
        <v>74.890906129864007</v>
      </c>
      <c r="AN5104">
        <v>0.99999998214911701</v>
      </c>
    </row>
    <row r="5105" spans="1:40" x14ac:dyDescent="0.25">
      <c r="A5105" t="str">
        <f>"20190312154703261"</f>
        <v>20190312154703261</v>
      </c>
      <c r="B5105" t="str">
        <f>"1552376823253057"</f>
        <v>1552376823253057</v>
      </c>
      <c r="C5105" t="s">
        <v>40</v>
      </c>
      <c r="D5105">
        <v>5.0683989999999897</v>
      </c>
      <c r="E5105">
        <v>0.64636000000000005</v>
      </c>
      <c r="F5105" t="s">
        <v>43</v>
      </c>
      <c r="G5105">
        <v>-306.44540000000001</v>
      </c>
      <c r="H5105">
        <v>-0.05</v>
      </c>
      <c r="I5105">
        <v>5.6882929999999998</v>
      </c>
      <c r="J5105">
        <v>-307.18619999999999</v>
      </c>
      <c r="K5105">
        <v>1.05593</v>
      </c>
      <c r="L5105">
        <v>11.35004</v>
      </c>
      <c r="M5105">
        <v>0.72106840000000005</v>
      </c>
      <c r="N5105">
        <v>0</v>
      </c>
      <c r="O5105">
        <v>-0.69272080000000003</v>
      </c>
      <c r="P5105">
        <v>0.51598739999999998</v>
      </c>
      <c r="Q5105">
        <v>2.4042480000000001E-2</v>
      </c>
      <c r="R5105">
        <v>-0.85625899999999999</v>
      </c>
      <c r="S5105">
        <v>0.47717290000000001</v>
      </c>
      <c r="T5105">
        <v>-0.62197429999999998</v>
      </c>
      <c r="U5105">
        <v>-3.25</v>
      </c>
      <c r="V5105">
        <v>0.26037690000000002</v>
      </c>
      <c r="W5105">
        <v>3.501493E-2</v>
      </c>
      <c r="X5105">
        <v>0.9648719</v>
      </c>
      <c r="Y5105">
        <v>0.61188750000000003</v>
      </c>
      <c r="Z5105">
        <v>8.3410070000000003E-2</v>
      </c>
      <c r="AA5105">
        <v>0.78653450000000003</v>
      </c>
      <c r="AB5105">
        <v>16</v>
      </c>
      <c r="AC5105">
        <v>0.74079999999997803</v>
      </c>
      <c r="AD5105">
        <v>-1.1059299999999901</v>
      </c>
      <c r="AE5105">
        <v>-5.6617470000000001</v>
      </c>
      <c r="AF5105">
        <v>3.44062487117953</v>
      </c>
      <c r="AG5105">
        <v>-1.1059299999999901</v>
      </c>
      <c r="AH5105">
        <v>4.2954825865653303</v>
      </c>
      <c r="AI5105">
        <v>101.362175230185</v>
      </c>
      <c r="AJ5105">
        <v>51.305732887376898</v>
      </c>
      <c r="AK5105">
        <v>5.6135685014583299</v>
      </c>
      <c r="AL5105">
        <v>87.993382073080596</v>
      </c>
      <c r="AM5105">
        <v>74.8980914272869</v>
      </c>
      <c r="AN5105">
        <v>0.99999997939306196</v>
      </c>
    </row>
    <row r="5106" spans="1:40" x14ac:dyDescent="0.25">
      <c r="A5106" t="str">
        <f>"20190312154703284"</f>
        <v>20190312154703284</v>
      </c>
      <c r="B5106" t="str">
        <f>"1552376823273552"</f>
        <v>1552376823273552</v>
      </c>
      <c r="C5106" t="s">
        <v>40</v>
      </c>
      <c r="D5106">
        <v>5.0492350000000004</v>
      </c>
      <c r="E5106">
        <v>0.64415819999999901</v>
      </c>
      <c r="F5106" t="s">
        <v>43</v>
      </c>
      <c r="G5106">
        <v>-306.12</v>
      </c>
      <c r="H5106">
        <v>-0.05</v>
      </c>
      <c r="I5106">
        <v>5.2568970000000004</v>
      </c>
      <c r="J5106">
        <v>-307.07799999999997</v>
      </c>
      <c r="K5106">
        <v>1.055922</v>
      </c>
      <c r="L5106">
        <v>11.230040000000001</v>
      </c>
      <c r="M5106">
        <v>0.71427890000000005</v>
      </c>
      <c r="N5106">
        <v>0</v>
      </c>
      <c r="O5106">
        <v>-0.6997196</v>
      </c>
      <c r="P5106">
        <v>0.50847569999999997</v>
      </c>
      <c r="Q5106">
        <v>2.3462E-2</v>
      </c>
      <c r="R5106">
        <v>-0.86075679999999999</v>
      </c>
      <c r="S5106">
        <v>0.55715939999999997</v>
      </c>
      <c r="T5106">
        <v>-0.57792929999999998</v>
      </c>
      <c r="U5106">
        <v>-3.184113</v>
      </c>
      <c r="V5106">
        <v>0.25941520000000001</v>
      </c>
      <c r="W5106">
        <v>3.4444500000000003E-2</v>
      </c>
      <c r="X5106">
        <v>0.96515139999999999</v>
      </c>
      <c r="Y5106">
        <v>0.58254399999999995</v>
      </c>
      <c r="Z5106">
        <v>8.306769E-2</v>
      </c>
      <c r="AA5106">
        <v>0.80854329999999996</v>
      </c>
      <c r="AB5106">
        <v>16</v>
      </c>
      <c r="AC5106">
        <v>0.95799999999996899</v>
      </c>
      <c r="AD5106">
        <v>-1.1059219999999901</v>
      </c>
      <c r="AE5106">
        <v>-5.9731429999999897</v>
      </c>
      <c r="AF5106">
        <v>3.4802047542446899</v>
      </c>
      <c r="AG5106">
        <v>-1.1059219999999901</v>
      </c>
      <c r="AH5106">
        <v>4.7069767978809098</v>
      </c>
      <c r="AI5106">
        <v>100.698367353896</v>
      </c>
      <c r="AJ5106">
        <v>53.521832379990599</v>
      </c>
      <c r="AK5106">
        <v>5.9573919778155098</v>
      </c>
      <c r="AL5106">
        <v>88.026084970567993</v>
      </c>
      <c r="AM5106">
        <v>74.955496150078105</v>
      </c>
      <c r="AN5106">
        <v>0.999999947246623</v>
      </c>
    </row>
    <row r="5107" spans="1:40" x14ac:dyDescent="0.25">
      <c r="A5107" t="str">
        <f>"20190312154703308"</f>
        <v>20190312154703308</v>
      </c>
      <c r="B5107" t="str">
        <f>"1552376823303133"</f>
        <v>1552376823303133</v>
      </c>
      <c r="C5107" t="s">
        <v>40</v>
      </c>
      <c r="D5107">
        <v>5.0342349999999998</v>
      </c>
      <c r="E5107">
        <v>0.64175780000000004</v>
      </c>
      <c r="F5107" t="s">
        <v>43</v>
      </c>
      <c r="G5107">
        <v>-306.04930000000002</v>
      </c>
      <c r="H5107">
        <v>-0.05</v>
      </c>
      <c r="I5107">
        <v>5.2062679999999997</v>
      </c>
      <c r="J5107">
        <v>-306.96589999999998</v>
      </c>
      <c r="K5107">
        <v>1.0559179999999999</v>
      </c>
      <c r="L5107">
        <v>11.10284</v>
      </c>
      <c r="M5107">
        <v>0.70704109999999998</v>
      </c>
      <c r="N5107">
        <v>0</v>
      </c>
      <c r="O5107">
        <v>-0.70703240000000001</v>
      </c>
      <c r="P5107">
        <v>0.50171169999999998</v>
      </c>
      <c r="Q5107">
        <v>2.5398250000000001E-2</v>
      </c>
      <c r="R5107">
        <v>-0.86466219999999905</v>
      </c>
      <c r="S5107">
        <v>0.54315190000000002</v>
      </c>
      <c r="T5107">
        <v>-0.5838854</v>
      </c>
      <c r="U5107">
        <v>-3.1803279999999998</v>
      </c>
      <c r="V5107">
        <v>0.25703150000000002</v>
      </c>
      <c r="W5107">
        <v>3.6402120000000003E-2</v>
      </c>
      <c r="X5107">
        <v>0.96571719999999905</v>
      </c>
      <c r="Y5107">
        <v>0.57753619999999894</v>
      </c>
      <c r="Z5107">
        <v>8.6199709999999999E-2</v>
      </c>
      <c r="AA5107">
        <v>0.81180140000000001</v>
      </c>
      <c r="AB5107">
        <v>16</v>
      </c>
      <c r="AC5107">
        <v>0.91659999999996</v>
      </c>
      <c r="AD5107">
        <v>-1.105918</v>
      </c>
      <c r="AE5107">
        <v>-5.8965719999999902</v>
      </c>
      <c r="AF5107">
        <v>3.40447132522117</v>
      </c>
      <c r="AG5107">
        <v>-1.105918</v>
      </c>
      <c r="AH5107">
        <v>4.6576465009931702</v>
      </c>
      <c r="AI5107">
        <v>100.851518236708</v>
      </c>
      <c r="AJ5107">
        <v>53.835347115763902</v>
      </c>
      <c r="AK5107">
        <v>5.87427872637919</v>
      </c>
      <c r="AL5107">
        <v>87.913851272071796</v>
      </c>
      <c r="AM5107">
        <v>75.095898788767002</v>
      </c>
      <c r="AN5107">
        <v>1.0000000083542899</v>
      </c>
    </row>
    <row r="5108" spans="1:40" x14ac:dyDescent="0.25">
      <c r="A5108" t="str">
        <f>"20190312154703329"</f>
        <v>20190312154703329</v>
      </c>
      <c r="B5108" t="str">
        <f>"1552376823322654"</f>
        <v>1552376823322654</v>
      </c>
      <c r="C5108" t="s">
        <v>40</v>
      </c>
      <c r="D5108">
        <v>5.0377429999999999</v>
      </c>
      <c r="E5108">
        <v>0.64020120000000003</v>
      </c>
      <c r="F5108" t="s">
        <v>43</v>
      </c>
      <c r="G5108">
        <v>-305.95650000000001</v>
      </c>
      <c r="H5108">
        <v>-0.05</v>
      </c>
      <c r="I5108">
        <v>5.1140589999999904</v>
      </c>
      <c r="J5108">
        <v>-306.86689999999999</v>
      </c>
      <c r="K5108">
        <v>1.0559130000000001</v>
      </c>
      <c r="L5108">
        <v>10.988340000000001</v>
      </c>
      <c r="M5108">
        <v>0.70047780000000004</v>
      </c>
      <c r="N5108">
        <v>0</v>
      </c>
      <c r="O5108">
        <v>-0.71353509999999998</v>
      </c>
      <c r="P5108">
        <v>0.4954152</v>
      </c>
      <c r="Q5108">
        <v>2.9184180000000001E-2</v>
      </c>
      <c r="R5108">
        <v>-0.86816559999999898</v>
      </c>
      <c r="S5108">
        <v>0.53533940000000002</v>
      </c>
      <c r="T5108">
        <v>-0.58652930000000003</v>
      </c>
      <c r="U5108">
        <v>-3.1761780000000002</v>
      </c>
      <c r="V5108">
        <v>0.25508170000000002</v>
      </c>
      <c r="W5108">
        <v>4.0201149999999998E-2</v>
      </c>
      <c r="X5108">
        <v>0.96608349999999998</v>
      </c>
      <c r="Y5108">
        <v>0.57182219999999995</v>
      </c>
      <c r="Z5108">
        <v>8.8741020000000004E-2</v>
      </c>
      <c r="AA5108">
        <v>0.81556379999999995</v>
      </c>
      <c r="AB5108">
        <v>16</v>
      </c>
      <c r="AC5108">
        <v>0.910399999999981</v>
      </c>
      <c r="AD5108">
        <v>-1.1059129999999999</v>
      </c>
      <c r="AE5108">
        <v>-5.8742809999999999</v>
      </c>
      <c r="AF5108">
        <v>3.3496089974118299</v>
      </c>
      <c r="AG5108">
        <v>-1.1059129999999999</v>
      </c>
      <c r="AH5108">
        <v>4.6681276640462697</v>
      </c>
      <c r="AI5108">
        <v>100.895146673719</v>
      </c>
      <c r="AJ5108">
        <v>54.338717934634602</v>
      </c>
      <c r="AK5108">
        <v>5.8510118686382304</v>
      </c>
      <c r="AL5108">
        <v>87.696023056051601</v>
      </c>
      <c r="AM5108">
        <v>75.209345524255596</v>
      </c>
      <c r="AN5108">
        <v>1.00000006755422</v>
      </c>
    </row>
    <row r="5109" spans="1:40" x14ac:dyDescent="0.25">
      <c r="A5109" t="str">
        <f>"20190312154703350"</f>
        <v>20190312154703350</v>
      </c>
      <c r="B5109" t="str">
        <f>"1552376823343149"</f>
        <v>1552376823343149</v>
      </c>
      <c r="C5109" t="s">
        <v>40</v>
      </c>
      <c r="D5109">
        <v>5.0130359999999996</v>
      </c>
      <c r="E5109">
        <v>0.64020809999999995</v>
      </c>
      <c r="F5109" t="s">
        <v>43</v>
      </c>
      <c r="G5109">
        <v>-305.85890000000001</v>
      </c>
      <c r="H5109">
        <v>-0.05</v>
      </c>
      <c r="I5109">
        <v>4.8899839999999903</v>
      </c>
      <c r="J5109">
        <v>-306.7654</v>
      </c>
      <c r="K5109">
        <v>1.055906</v>
      </c>
      <c r="L5109">
        <v>10.86835</v>
      </c>
      <c r="M5109">
        <v>0.69354839999999995</v>
      </c>
      <c r="N5109">
        <v>0</v>
      </c>
      <c r="O5109">
        <v>-0.72027220000000003</v>
      </c>
      <c r="P5109">
        <v>0.48837120000000001</v>
      </c>
      <c r="Q5109">
        <v>3.4046979999999998E-2</v>
      </c>
      <c r="R5109">
        <v>-0.87197169999999902</v>
      </c>
      <c r="S5109">
        <v>0.52490230000000004</v>
      </c>
      <c r="T5109">
        <v>-0.57584829999999998</v>
      </c>
      <c r="U5109">
        <v>-3.1754150000000001</v>
      </c>
      <c r="V5109">
        <v>0.253494</v>
      </c>
      <c r="W5109">
        <v>4.5068560000000001E-2</v>
      </c>
      <c r="X5109">
        <v>0.96628650000000005</v>
      </c>
      <c r="Y5109">
        <v>0.56654819999999995</v>
      </c>
      <c r="Z5109">
        <v>8.922745E-2</v>
      </c>
      <c r="AA5109">
        <v>0.81918349999999995</v>
      </c>
      <c r="AB5109">
        <v>16</v>
      </c>
      <c r="AC5109">
        <v>0.90649999999999398</v>
      </c>
      <c r="AD5109">
        <v>-1.1059060000000001</v>
      </c>
      <c r="AE5109">
        <v>-5.9783660000000003</v>
      </c>
      <c r="AF5109">
        <v>3.3806236271171102</v>
      </c>
      <c r="AG5109">
        <v>-1.1059060000000001</v>
      </c>
      <c r="AH5109">
        <v>4.7755008054970602</v>
      </c>
      <c r="AI5109">
        <v>100.703317983125</v>
      </c>
      <c r="AJ5109">
        <v>54.704950410283303</v>
      </c>
      <c r="AK5109">
        <v>5.9545824481957998</v>
      </c>
      <c r="AL5109">
        <v>87.416886738586399</v>
      </c>
      <c r="AM5109">
        <v>75.300361582799397</v>
      </c>
      <c r="AN5109">
        <v>0.99999999160936104</v>
      </c>
    </row>
    <row r="5110" spans="1:40" x14ac:dyDescent="0.25">
      <c r="A5110" t="str">
        <f>"20190312154703375"</f>
        <v>20190312154703375</v>
      </c>
      <c r="B5110" t="str">
        <f>"1552376823362669"</f>
        <v>1552376823362669</v>
      </c>
      <c r="C5110" t="s">
        <v>40</v>
      </c>
      <c r="D5110">
        <v>5.0200310000000004</v>
      </c>
      <c r="E5110">
        <v>0.65707859999999996</v>
      </c>
      <c r="F5110" t="s">
        <v>43</v>
      </c>
      <c r="G5110">
        <v>-305.79169999999999</v>
      </c>
      <c r="H5110">
        <v>-0.05</v>
      </c>
      <c r="I5110">
        <v>4.6856229999999996</v>
      </c>
      <c r="J5110">
        <v>-306.65730000000002</v>
      </c>
      <c r="K5110">
        <v>1.0558259999999999</v>
      </c>
      <c r="L5110">
        <v>10.73804</v>
      </c>
      <c r="M5110">
        <v>0.68590069999999903</v>
      </c>
      <c r="N5110">
        <v>0</v>
      </c>
      <c r="O5110">
        <v>-0.72756140000000002</v>
      </c>
      <c r="P5110">
        <v>0.47956500000000002</v>
      </c>
      <c r="Q5110">
        <v>3.8556220000000002E-2</v>
      </c>
      <c r="R5110">
        <v>-0.87665890000000002</v>
      </c>
      <c r="S5110">
        <v>0.50112920000000005</v>
      </c>
      <c r="T5110">
        <v>-0.56917249999999997</v>
      </c>
      <c r="U5110">
        <v>-3.1820369999999998</v>
      </c>
      <c r="V5110">
        <v>0.25293959999999999</v>
      </c>
      <c r="W5110">
        <v>4.9421979999999997E-2</v>
      </c>
      <c r="X5110">
        <v>0.96621889999999999</v>
      </c>
      <c r="Y5110">
        <v>0.56414430000000004</v>
      </c>
      <c r="Z5110">
        <v>9.0013090000000004E-2</v>
      </c>
      <c r="AA5110">
        <v>0.82075499999999901</v>
      </c>
      <c r="AB5110">
        <v>16</v>
      </c>
      <c r="AC5110">
        <v>0.86560000000002901</v>
      </c>
      <c r="AD5110">
        <v>-1.105826</v>
      </c>
      <c r="AE5110">
        <v>-6.0524169999999904</v>
      </c>
      <c r="AF5110">
        <v>3.4103590542333202</v>
      </c>
      <c r="AG5110">
        <v>-1.105826</v>
      </c>
      <c r="AH5110">
        <v>4.8393951201994199</v>
      </c>
      <c r="AI5110">
        <v>100.58005040118999</v>
      </c>
      <c r="AJ5110">
        <v>54.827351751294799</v>
      </c>
      <c r="AK5110">
        <v>6.0227190828127704</v>
      </c>
      <c r="AL5110">
        <v>87.167175030160806</v>
      </c>
      <c r="AM5110">
        <v>75.330140243103799</v>
      </c>
      <c r="AN5110">
        <v>0.99999996803624402</v>
      </c>
    </row>
    <row r="5111" spans="1:40" x14ac:dyDescent="0.25">
      <c r="A5111" t="str">
        <f>"20190312154703398"</f>
        <v>20190312154703398</v>
      </c>
      <c r="B5111" t="str">
        <f>"1552376823393430"</f>
        <v>1552376823393430</v>
      </c>
      <c r="C5111" t="s">
        <v>40</v>
      </c>
      <c r="D5111">
        <v>4.9895769999999997</v>
      </c>
      <c r="E5111">
        <v>0.65857580000000004</v>
      </c>
      <c r="F5111" t="s">
        <v>43</v>
      </c>
      <c r="G5111">
        <v>-305.98669999999998</v>
      </c>
      <c r="H5111">
        <v>-0.05</v>
      </c>
      <c r="I5111">
        <v>4.5500339999999904</v>
      </c>
      <c r="J5111">
        <v>-306.55250000000001</v>
      </c>
      <c r="K5111">
        <v>1.05566</v>
      </c>
      <c r="L5111">
        <v>10.60858</v>
      </c>
      <c r="M5111">
        <v>0.67816909999999997</v>
      </c>
      <c r="N5111">
        <v>0</v>
      </c>
      <c r="O5111">
        <v>-0.73477939999999997</v>
      </c>
      <c r="P5111">
        <v>0.46952579999999999</v>
      </c>
      <c r="Q5111">
        <v>4.2424330000000003E-2</v>
      </c>
      <c r="R5111">
        <v>-0.88189930000000005</v>
      </c>
      <c r="S5111">
        <v>0.35275269999999997</v>
      </c>
      <c r="T5111">
        <v>-0.58163089999999995</v>
      </c>
      <c r="U5111">
        <v>-3.2547000000000001</v>
      </c>
      <c r="V5111">
        <v>0.25368030000000003</v>
      </c>
      <c r="W5111">
        <v>5.2915480000000001E-2</v>
      </c>
      <c r="X5111">
        <v>0.96583969999999997</v>
      </c>
      <c r="Y5111">
        <v>0.59444069999999904</v>
      </c>
      <c r="Z5111">
        <v>8.9735899999999993E-2</v>
      </c>
      <c r="AA5111">
        <v>0.79911679999999996</v>
      </c>
      <c r="AB5111">
        <v>16</v>
      </c>
      <c r="AC5111">
        <v>0.56580000000002395</v>
      </c>
      <c r="AD5111">
        <v>-1.1056600000000001</v>
      </c>
      <c r="AE5111">
        <v>-6.0585459999999998</v>
      </c>
      <c r="AF5111">
        <v>3.5752794976430602</v>
      </c>
      <c r="AG5111">
        <v>-1.1056600000000001</v>
      </c>
      <c r="AH5111">
        <v>4.6812910960513898</v>
      </c>
      <c r="AI5111">
        <v>100.63098020999701</v>
      </c>
      <c r="AJ5111">
        <v>52.629655527473403</v>
      </c>
      <c r="AK5111">
        <v>5.9932957417298196</v>
      </c>
      <c r="AL5111">
        <v>86.966749763684902</v>
      </c>
      <c r="AM5111">
        <v>75.2835171691178</v>
      </c>
      <c r="AN5111">
        <v>1.0000000343638999</v>
      </c>
    </row>
    <row r="5112" spans="1:40" x14ac:dyDescent="0.25">
      <c r="A5112" t="str">
        <f>"20190312154703420"</f>
        <v>20190312154703420</v>
      </c>
      <c r="B5112" t="str">
        <f>"1552376823412950"</f>
        <v>1552376823412950</v>
      </c>
      <c r="C5112" t="s">
        <v>40</v>
      </c>
      <c r="D5112">
        <v>5.0522309999999999</v>
      </c>
      <c r="E5112">
        <v>0.65835940000000004</v>
      </c>
      <c r="F5112" t="s">
        <v>43</v>
      </c>
      <c r="G5112">
        <v>-305.95569999999998</v>
      </c>
      <c r="H5112">
        <v>-0.05</v>
      </c>
      <c r="I5112">
        <v>4.2481839999999904</v>
      </c>
      <c r="J5112">
        <v>-306.45229999999998</v>
      </c>
      <c r="K5112">
        <v>1.0555760000000001</v>
      </c>
      <c r="L5112">
        <v>10.48193</v>
      </c>
      <c r="M5112">
        <v>0.67056419999999906</v>
      </c>
      <c r="N5112">
        <v>0</v>
      </c>
      <c r="O5112">
        <v>-0.74172959999999999</v>
      </c>
      <c r="P5112">
        <v>0.45956439999999998</v>
      </c>
      <c r="Q5112">
        <v>4.6451800000000001E-2</v>
      </c>
      <c r="R5112">
        <v>-0.88692899999999997</v>
      </c>
      <c r="S5112">
        <v>0.306427</v>
      </c>
      <c r="T5112">
        <v>-0.56773409999999902</v>
      </c>
      <c r="U5112">
        <v>-3.26593</v>
      </c>
      <c r="V5112">
        <v>0.25452249999999998</v>
      </c>
      <c r="W5112">
        <v>5.6686350000000003E-2</v>
      </c>
      <c r="X5112">
        <v>0.96540400000000004</v>
      </c>
      <c r="Y5112">
        <v>0.59771669999999999</v>
      </c>
      <c r="Z5112">
        <v>8.8821319999999995E-2</v>
      </c>
      <c r="AA5112">
        <v>0.79677189999999998</v>
      </c>
      <c r="AB5112">
        <v>16</v>
      </c>
      <c r="AC5112">
        <v>0.49659999999999999</v>
      </c>
      <c r="AD5112">
        <v>-1.1055759999999999</v>
      </c>
      <c r="AE5112">
        <v>-6.233746</v>
      </c>
      <c r="AF5112">
        <v>3.6965886252018598</v>
      </c>
      <c r="AG5112">
        <v>-1.1055759999999999</v>
      </c>
      <c r="AH5112">
        <v>4.8069587220038503</v>
      </c>
      <c r="AI5112">
        <v>100.332627370496</v>
      </c>
      <c r="AJ5112">
        <v>52.439435834452603</v>
      </c>
      <c r="AK5112">
        <v>6.1639206606507102</v>
      </c>
      <c r="AL5112">
        <v>86.750369323023094</v>
      </c>
      <c r="AM5112">
        <v>75.230418574971097</v>
      </c>
      <c r="AN5112">
        <v>0.99999996424928494</v>
      </c>
    </row>
    <row r="5113" spans="1:40" x14ac:dyDescent="0.25">
      <c r="A5113" t="str">
        <f>"20190312154703441"</f>
        <v>20190312154703441</v>
      </c>
      <c r="B5113" t="str">
        <f>"1552376823433447"</f>
        <v>1552376823433447</v>
      </c>
      <c r="C5113" t="s">
        <v>40</v>
      </c>
      <c r="D5113">
        <v>5.054805</v>
      </c>
      <c r="E5113">
        <v>0.65432860000000004</v>
      </c>
      <c r="F5113" t="s">
        <v>43</v>
      </c>
      <c r="G5113">
        <v>-305.91059999999999</v>
      </c>
      <c r="H5113">
        <v>-0.05</v>
      </c>
      <c r="I5113">
        <v>3.9763030000000001</v>
      </c>
      <c r="J5113">
        <v>-306.35899999999998</v>
      </c>
      <c r="K5113">
        <v>1.055596</v>
      </c>
      <c r="L5113">
        <v>10.361359999999999</v>
      </c>
      <c r="M5113">
        <v>0.66326269999999998</v>
      </c>
      <c r="N5113">
        <v>0</v>
      </c>
      <c r="O5113">
        <v>-0.7482666</v>
      </c>
      <c r="P5113">
        <v>0.44952199999999998</v>
      </c>
      <c r="Q5113">
        <v>5.0109349999999997E-2</v>
      </c>
      <c r="R5113">
        <v>-0.89186299999999996</v>
      </c>
      <c r="S5113">
        <v>0.27233889999999999</v>
      </c>
      <c r="T5113">
        <v>-0.55578470000000002</v>
      </c>
      <c r="U5113">
        <v>-3.2704469999999999</v>
      </c>
      <c r="V5113">
        <v>0.25587100000000002</v>
      </c>
      <c r="W5113">
        <v>6.0280779999999999E-2</v>
      </c>
      <c r="X5113">
        <v>0.96482959999999995</v>
      </c>
      <c r="Y5113">
        <v>0.59825869999999903</v>
      </c>
      <c r="Z5113">
        <v>8.8406029999999997E-2</v>
      </c>
      <c r="AA5113">
        <v>0.79641130000000004</v>
      </c>
      <c r="AB5113">
        <v>16</v>
      </c>
      <c r="AC5113">
        <v>0.44840000000004898</v>
      </c>
      <c r="AD5113">
        <v>-1.105596</v>
      </c>
      <c r="AE5113">
        <v>-6.3850569999999998</v>
      </c>
      <c r="AF5113">
        <v>3.78681788154557</v>
      </c>
      <c r="AG5113">
        <v>-1.105596</v>
      </c>
      <c r="AH5113">
        <v>4.9285445343873704</v>
      </c>
      <c r="AI5113">
        <v>100.086365058331</v>
      </c>
      <c r="AJ5113">
        <v>52.463340106024702</v>
      </c>
      <c r="AK5113">
        <v>6.3129140189494901</v>
      </c>
      <c r="AL5113">
        <v>86.544070374846598</v>
      </c>
      <c r="AM5113">
        <v>75.147166650899905</v>
      </c>
      <c r="AN5113">
        <v>0.99999994905728196</v>
      </c>
    </row>
    <row r="5114" spans="1:40" x14ac:dyDescent="0.25">
      <c r="A5114" t="str">
        <f>"20190312154703463"</f>
        <v>20190312154703463</v>
      </c>
      <c r="B5114" t="str">
        <f>"1552376823452967"</f>
        <v>1552376823452967</v>
      </c>
      <c r="C5114" t="s">
        <v>40</v>
      </c>
      <c r="D5114">
        <v>5.0834760000000001</v>
      </c>
      <c r="E5114">
        <v>0.65301919999999902</v>
      </c>
      <c r="F5114" t="s">
        <v>43</v>
      </c>
      <c r="G5114">
        <v>-305.67500000000001</v>
      </c>
      <c r="H5114">
        <v>-0.05</v>
      </c>
      <c r="I5114">
        <v>1.872665</v>
      </c>
      <c r="J5114">
        <v>-306.26240000000001</v>
      </c>
      <c r="K5114">
        <v>1.0556399999999999</v>
      </c>
      <c r="L5114">
        <v>10.233829999999999</v>
      </c>
      <c r="M5114">
        <v>0.65541110000000002</v>
      </c>
      <c r="N5114">
        <v>0</v>
      </c>
      <c r="O5114">
        <v>-0.75515339999999997</v>
      </c>
      <c r="P5114">
        <v>0.43977579999999999</v>
      </c>
      <c r="Q5114">
        <v>5.2881570000000003E-2</v>
      </c>
      <c r="R5114">
        <v>-0.89654969999999901</v>
      </c>
      <c r="S5114">
        <v>0.26232909999999998</v>
      </c>
      <c r="T5114">
        <v>-0.42398619999999998</v>
      </c>
      <c r="U5114">
        <v>-3.255341</v>
      </c>
      <c r="V5114">
        <v>0.25623309999999999</v>
      </c>
      <c r="W5114">
        <v>6.3053059999999994E-2</v>
      </c>
      <c r="X5114">
        <v>0.96455630000000003</v>
      </c>
      <c r="Y5114">
        <v>0.59231899999999904</v>
      </c>
      <c r="Z5114">
        <v>6.9654359999999998E-2</v>
      </c>
      <c r="AA5114">
        <v>0.80268700000000004</v>
      </c>
      <c r="AB5114">
        <v>16</v>
      </c>
      <c r="AC5114">
        <v>0.58740000000000203</v>
      </c>
      <c r="AD5114">
        <v>-1.10564</v>
      </c>
      <c r="AE5114">
        <v>-8.3611649999999997</v>
      </c>
      <c r="AF5114">
        <v>4.9507316472851102</v>
      </c>
      <c r="AG5114">
        <v>-1.10564</v>
      </c>
      <c r="AH5114">
        <v>6.58497219689069</v>
      </c>
      <c r="AI5114">
        <v>97.643725492977495</v>
      </c>
      <c r="AJ5114">
        <v>53.063323284197601</v>
      </c>
      <c r="AK5114">
        <v>8.3122826279460593</v>
      </c>
      <c r="AL5114">
        <v>86.384927574495194</v>
      </c>
      <c r="AM5114">
        <v>75.123051098582806</v>
      </c>
      <c r="AN5114">
        <v>0.99999997289033105</v>
      </c>
    </row>
    <row r="5115" spans="1:40" x14ac:dyDescent="0.25">
      <c r="A5115" t="str">
        <f>"20190312154703485"</f>
        <v>20190312154703485</v>
      </c>
      <c r="B5115" t="str">
        <f>"1552376823482753"</f>
        <v>1552376823482753</v>
      </c>
      <c r="C5115" t="s">
        <v>40</v>
      </c>
      <c r="D5115">
        <v>5.0776120000000002</v>
      </c>
      <c r="E5115">
        <v>0.65083800000000003</v>
      </c>
      <c r="F5115" t="s">
        <v>43</v>
      </c>
      <c r="G5115">
        <v>-305.67660000000001</v>
      </c>
      <c r="H5115">
        <v>-0.05</v>
      </c>
      <c r="I5115">
        <v>2.1846619999999999</v>
      </c>
      <c r="J5115">
        <v>-306.16849999999999</v>
      </c>
      <c r="K5115">
        <v>1.055642</v>
      </c>
      <c r="L5115">
        <v>10.106960000000001</v>
      </c>
      <c r="M5115">
        <v>0.64750019999999997</v>
      </c>
      <c r="N5115">
        <v>0</v>
      </c>
      <c r="O5115">
        <v>-0.76194830000000002</v>
      </c>
      <c r="P5115">
        <v>0.43059819999999999</v>
      </c>
      <c r="Q5115">
        <v>5.2963349999999999E-2</v>
      </c>
      <c r="R5115">
        <v>-0.90098860000000003</v>
      </c>
      <c r="S5115">
        <v>0.23696900000000001</v>
      </c>
      <c r="T5115">
        <v>-0.44729039999999998</v>
      </c>
      <c r="U5115">
        <v>-3.2563170000000001</v>
      </c>
      <c r="V5115">
        <v>0.25601960000000001</v>
      </c>
      <c r="W5115">
        <v>6.3079709999999997E-2</v>
      </c>
      <c r="X5115">
        <v>0.96461129999999995</v>
      </c>
      <c r="Y5115">
        <v>0.59012959999999903</v>
      </c>
      <c r="Z5115">
        <v>7.4852520000000006E-2</v>
      </c>
      <c r="AA5115">
        <v>0.80383099999999996</v>
      </c>
      <c r="AB5115">
        <v>16</v>
      </c>
      <c r="AC5115">
        <v>0.49189999999998602</v>
      </c>
      <c r="AD5115">
        <v>-1.105642</v>
      </c>
      <c r="AE5115">
        <v>-7.9222979999999996</v>
      </c>
      <c r="AF5115">
        <v>4.6648026745250002</v>
      </c>
      <c r="AG5115">
        <v>-1.105642</v>
      </c>
      <c r="AH5115">
        <v>6.2344892887491801</v>
      </c>
      <c r="AI5115">
        <v>98.081694869194706</v>
      </c>
      <c r="AJ5115">
        <v>53.195234483790301</v>
      </c>
      <c r="AK5115">
        <v>7.8645842176142997</v>
      </c>
      <c r="AL5115">
        <v>86.383397776790503</v>
      </c>
      <c r="AM5115">
        <v>75.135707977543206</v>
      </c>
      <c r="AN5115">
        <v>1.0000000227427599</v>
      </c>
    </row>
    <row r="5116" spans="1:40" x14ac:dyDescent="0.25">
      <c r="A5116" t="str">
        <f>"20190312154703508"</f>
        <v>20190312154703508</v>
      </c>
      <c r="B5116" t="str">
        <f>"1552376823503250"</f>
        <v>1552376823503250</v>
      </c>
      <c r="C5116" t="s">
        <v>40</v>
      </c>
      <c r="D5116">
        <v>5.0857760000000001</v>
      </c>
      <c r="E5116">
        <v>0.64931909999999904</v>
      </c>
      <c r="F5116" t="s">
        <v>43</v>
      </c>
      <c r="G5116">
        <v>-305.62950000000001</v>
      </c>
      <c r="H5116">
        <v>-0.05</v>
      </c>
      <c r="I5116">
        <v>2.0848080000000002</v>
      </c>
      <c r="J5116">
        <v>-306.07369999999997</v>
      </c>
      <c r="K5116">
        <v>1.0556179999999999</v>
      </c>
      <c r="L5116">
        <v>9.9758300000000002</v>
      </c>
      <c r="M5116">
        <v>0.63932829999999996</v>
      </c>
      <c r="N5116">
        <v>0</v>
      </c>
      <c r="O5116">
        <v>-0.76881959999999905</v>
      </c>
      <c r="P5116">
        <v>0.42304570000000002</v>
      </c>
      <c r="Q5116">
        <v>5.1746519999999997E-2</v>
      </c>
      <c r="R5116">
        <v>-0.90462969999999998</v>
      </c>
      <c r="S5116">
        <v>0.21847530000000001</v>
      </c>
      <c r="T5116">
        <v>-0.44814480000000001</v>
      </c>
      <c r="U5116">
        <v>-3.2515869999999998</v>
      </c>
      <c r="V5116">
        <v>0.253820399999999</v>
      </c>
      <c r="W5116">
        <v>6.1803810000000001E-2</v>
      </c>
      <c r="X5116">
        <v>0.96527479999999999</v>
      </c>
      <c r="Y5116">
        <v>0.58599540000000006</v>
      </c>
      <c r="Z5116">
        <v>7.6672950000000004E-2</v>
      </c>
      <c r="AA5116">
        <v>0.80667880000000003</v>
      </c>
      <c r="AB5116">
        <v>16</v>
      </c>
      <c r="AC5116">
        <v>0.44419999999996601</v>
      </c>
      <c r="AD5116">
        <v>-1.105618</v>
      </c>
      <c r="AE5116">
        <v>-7.8910219999999898</v>
      </c>
      <c r="AF5116">
        <v>4.6135741261965304</v>
      </c>
      <c r="AG5116">
        <v>-1.105618</v>
      </c>
      <c r="AH5116">
        <v>6.2294164011589697</v>
      </c>
      <c r="AI5116">
        <v>98.117174653074997</v>
      </c>
      <c r="AJ5116">
        <v>53.475945928716698</v>
      </c>
      <c r="AK5116">
        <v>7.8302673057094596</v>
      </c>
      <c r="AL5116">
        <v>86.456644221355305</v>
      </c>
      <c r="AM5116">
        <v>75.267500510011899</v>
      </c>
      <c r="AN5116">
        <v>0.99999997295085696</v>
      </c>
    </row>
    <row r="5117" spans="1:40" x14ac:dyDescent="0.25">
      <c r="A5117" t="str">
        <f>"20190312154703532"</f>
        <v>20190312154703532</v>
      </c>
      <c r="B5117" t="str">
        <f>"1552376823522769"</f>
        <v>1552376823522769</v>
      </c>
      <c r="C5117" t="s">
        <v>40</v>
      </c>
      <c r="D5117">
        <v>5.0738430000000001</v>
      </c>
      <c r="E5117">
        <v>0.64805159999999995</v>
      </c>
      <c r="F5117" t="s">
        <v>43</v>
      </c>
      <c r="G5117">
        <v>-305.58460000000002</v>
      </c>
      <c r="H5117">
        <v>-0.05</v>
      </c>
      <c r="I5117">
        <v>2.0407869999999999</v>
      </c>
      <c r="J5117">
        <v>-305.97320000000002</v>
      </c>
      <c r="K5117">
        <v>1.0556110000000001</v>
      </c>
      <c r="L5117">
        <v>9.8334659999999996</v>
      </c>
      <c r="M5117">
        <v>0.63050569999999995</v>
      </c>
      <c r="N5117">
        <v>0</v>
      </c>
      <c r="O5117">
        <v>-0.77607209999999904</v>
      </c>
      <c r="P5117">
        <v>0.41609180000000001</v>
      </c>
      <c r="Q5117">
        <v>5.0858979999999998E-2</v>
      </c>
      <c r="R5117">
        <v>-0.90789920000000002</v>
      </c>
      <c r="S5117">
        <v>0.2002563</v>
      </c>
      <c r="T5117">
        <v>-0.45262580000000002</v>
      </c>
      <c r="U5117">
        <v>-3.2485050000000002</v>
      </c>
      <c r="V5117">
        <v>0.2502199</v>
      </c>
      <c r="W5117">
        <v>6.0906189999999999E-2</v>
      </c>
      <c r="X5117">
        <v>0.9662714</v>
      </c>
      <c r="Y5117">
        <v>0.58120950000000005</v>
      </c>
      <c r="Z5117">
        <v>7.9199389999999995E-2</v>
      </c>
      <c r="AA5117">
        <v>0.80989069999999996</v>
      </c>
      <c r="AB5117">
        <v>16</v>
      </c>
      <c r="AC5117">
        <v>0.388599999999996</v>
      </c>
      <c r="AD5117">
        <v>-1.1056109999999999</v>
      </c>
      <c r="AE5117">
        <v>-7.7926789999999997</v>
      </c>
      <c r="AF5117">
        <v>4.5213630766254402</v>
      </c>
      <c r="AG5117">
        <v>-1.1056109999999999</v>
      </c>
      <c r="AH5117">
        <v>6.1693671852728498</v>
      </c>
      <c r="AI5117">
        <v>98.2249869822748</v>
      </c>
      <c r="AJ5117">
        <v>53.7633148478875</v>
      </c>
      <c r="AK5117">
        <v>7.7282722015153196</v>
      </c>
      <c r="AL5117">
        <v>86.508171199442998</v>
      </c>
      <c r="AM5117">
        <v>75.481931536668796</v>
      </c>
      <c r="AN5117">
        <v>0.99999999039714205</v>
      </c>
    </row>
    <row r="5118" spans="1:40" x14ac:dyDescent="0.25">
      <c r="A5118" t="str">
        <f>"20190312154703555"</f>
        <v>20190312154703555</v>
      </c>
      <c r="B5118" t="str">
        <f>"1552376823553026"</f>
        <v>1552376823553026</v>
      </c>
      <c r="C5118" t="s">
        <v>40</v>
      </c>
      <c r="D5118">
        <v>5.0976220000000003</v>
      </c>
      <c r="E5118">
        <v>0.64596129999999996</v>
      </c>
      <c r="F5118" t="s">
        <v>43</v>
      </c>
      <c r="G5118">
        <v>-305.5274</v>
      </c>
      <c r="H5118">
        <v>-0.05</v>
      </c>
      <c r="I5118">
        <v>1.934952</v>
      </c>
      <c r="J5118">
        <v>-305.87740000000002</v>
      </c>
      <c r="K5118">
        <v>1.055623</v>
      </c>
      <c r="L5118">
        <v>9.6944890000000008</v>
      </c>
      <c r="M5118">
        <v>0.62191409999999903</v>
      </c>
      <c r="N5118">
        <v>0</v>
      </c>
      <c r="O5118">
        <v>-0.78297450000000002</v>
      </c>
      <c r="P5118">
        <v>0.40862130000000002</v>
      </c>
      <c r="Q5118">
        <v>5.0255670000000002E-2</v>
      </c>
      <c r="R5118">
        <v>-0.91131960000000001</v>
      </c>
      <c r="S5118">
        <v>0.183197</v>
      </c>
      <c r="T5118">
        <v>-0.45434020000000003</v>
      </c>
      <c r="U5118">
        <v>-3.245819</v>
      </c>
      <c r="V5118">
        <v>0.2475146</v>
      </c>
      <c r="W5118">
        <v>6.0324089999999997E-2</v>
      </c>
      <c r="X5118">
        <v>0.96700439999999999</v>
      </c>
      <c r="Y5118">
        <v>0.57645990000000003</v>
      </c>
      <c r="Z5118">
        <v>8.1193299999999996E-2</v>
      </c>
      <c r="AA5118">
        <v>0.81308159999999996</v>
      </c>
      <c r="AB5118">
        <v>16</v>
      </c>
      <c r="AC5118">
        <v>0.35000000000002202</v>
      </c>
      <c r="AD5118">
        <v>-1.105623</v>
      </c>
      <c r="AE5118">
        <v>-7.7595369999999999</v>
      </c>
      <c r="AF5118">
        <v>4.4617212410181102</v>
      </c>
      <c r="AG5118">
        <v>-1.105623</v>
      </c>
      <c r="AH5118">
        <v>6.1687516640586804</v>
      </c>
      <c r="AI5118">
        <v>98.263009008784294</v>
      </c>
      <c r="AJ5118">
        <v>54.122618689135798</v>
      </c>
      <c r="AK5118">
        <v>7.6930394346778099</v>
      </c>
      <c r="AL5118">
        <v>86.541584516745502</v>
      </c>
      <c r="AM5118">
        <v>75.642805796961596</v>
      </c>
      <c r="AN5118">
        <v>0.99999999133342399</v>
      </c>
    </row>
    <row r="5119" spans="1:40" x14ac:dyDescent="0.25">
      <c r="A5119" t="str">
        <f>"20190312154703599"</f>
        <v>20190312154703599</v>
      </c>
      <c r="B5119" t="str">
        <f>"1552376823592572"</f>
        <v>1552376823592572</v>
      </c>
      <c r="C5119" t="s">
        <v>40</v>
      </c>
      <c r="D5119">
        <v>5.0651039999999998</v>
      </c>
      <c r="E5119">
        <v>0.64334199999999997</v>
      </c>
      <c r="F5119" t="s">
        <v>43</v>
      </c>
      <c r="G5119">
        <v>-305.46850000000001</v>
      </c>
      <c r="H5119">
        <v>-0.05</v>
      </c>
      <c r="I5119">
        <v>2.0531619999999999</v>
      </c>
      <c r="J5119">
        <v>-305.70940000000002</v>
      </c>
      <c r="K5119">
        <v>1.0556760000000001</v>
      </c>
      <c r="L5119">
        <v>9.4424130000000002</v>
      </c>
      <c r="M5119">
        <v>0.60629489999999997</v>
      </c>
      <c r="N5119">
        <v>0</v>
      </c>
      <c r="O5119">
        <v>-0.79513140000000004</v>
      </c>
      <c r="P5119">
        <v>0.39314789999999999</v>
      </c>
      <c r="Q5119">
        <v>4.6072809999999999E-2</v>
      </c>
      <c r="R5119">
        <v>-0.91832009999999997</v>
      </c>
      <c r="S5119">
        <v>0.17337040000000001</v>
      </c>
      <c r="T5119">
        <v>-0.46880230000000001</v>
      </c>
      <c r="U5119">
        <v>-3.2400509999999998</v>
      </c>
      <c r="V5119">
        <v>0.24480499999999999</v>
      </c>
      <c r="W5119">
        <v>5.6175509999999998E-2</v>
      </c>
      <c r="X5119">
        <v>0.96794360000000002</v>
      </c>
      <c r="Y5119">
        <v>0.56262939999999995</v>
      </c>
      <c r="Z5119">
        <v>8.7136690000000003E-2</v>
      </c>
      <c r="AA5119">
        <v>0.82210419999999995</v>
      </c>
      <c r="AB5119">
        <v>16</v>
      </c>
      <c r="AC5119">
        <v>0.24090000000001</v>
      </c>
      <c r="AD5119">
        <v>-1.1056760000000001</v>
      </c>
      <c r="AE5119">
        <v>-7.3892509999999998</v>
      </c>
      <c r="AF5119">
        <v>4.1950602299135999</v>
      </c>
      <c r="AG5119">
        <v>-1.1056760000000001</v>
      </c>
      <c r="AH5119">
        <v>5.8902583922616198</v>
      </c>
      <c r="AI5119">
        <v>98.693115132472698</v>
      </c>
      <c r="AJ5119">
        <v>54.541412936290897</v>
      </c>
      <c r="AK5119">
        <v>7.3154763123932796</v>
      </c>
      <c r="AL5119">
        <v>86.779685111880397</v>
      </c>
      <c r="AM5119">
        <v>75.806808627190506</v>
      </c>
      <c r="AN5119">
        <v>0.99999999436485998</v>
      </c>
    </row>
    <row r="5120" spans="1:40" x14ac:dyDescent="0.25">
      <c r="A5120" t="str">
        <f>"20190312154703627"</f>
        <v>20190312154703627</v>
      </c>
      <c r="B5120" t="str">
        <f>"1552376823622827"</f>
        <v>1552376823622827</v>
      </c>
      <c r="C5120" t="s">
        <v>40</v>
      </c>
      <c r="D5120">
        <v>5.0797439999999998</v>
      </c>
      <c r="E5120">
        <v>0.62963910000000001</v>
      </c>
      <c r="F5120" t="s">
        <v>43</v>
      </c>
      <c r="G5120">
        <v>-305.40879999999999</v>
      </c>
      <c r="H5120">
        <v>-0.05</v>
      </c>
      <c r="I5120">
        <v>2.4097599999999999</v>
      </c>
      <c r="J5120">
        <v>-305.59879999999998</v>
      </c>
      <c r="K5120">
        <v>1.055723</v>
      </c>
      <c r="L5120">
        <v>9.2707820000000005</v>
      </c>
      <c r="M5120">
        <v>0.59566719999999995</v>
      </c>
      <c r="N5120">
        <v>0</v>
      </c>
      <c r="O5120">
        <v>-0.80312439999999996</v>
      </c>
      <c r="P5120">
        <v>0.38114979999999998</v>
      </c>
      <c r="Q5120">
        <v>4.3700910000000003E-2</v>
      </c>
      <c r="R5120">
        <v>-0.92347999999999997</v>
      </c>
      <c r="S5120">
        <v>0.13818359999999999</v>
      </c>
      <c r="T5120">
        <v>-0.50832250000000001</v>
      </c>
      <c r="U5120">
        <v>-3.2331850000000002</v>
      </c>
      <c r="V5120">
        <v>0.24457970000000001</v>
      </c>
      <c r="W5120">
        <v>5.3804930000000001E-2</v>
      </c>
      <c r="X5120">
        <v>0.96813519999999997</v>
      </c>
      <c r="Y5120">
        <v>0.56042250000000005</v>
      </c>
      <c r="Z5120">
        <v>9.6459310000000006E-2</v>
      </c>
      <c r="AA5120">
        <v>0.82257049999999998</v>
      </c>
      <c r="AB5120">
        <v>16</v>
      </c>
      <c r="AC5120">
        <v>0.189999999999997</v>
      </c>
      <c r="AD5120">
        <v>-1.105723</v>
      </c>
      <c r="AE5120">
        <v>-6.8610220000000002</v>
      </c>
      <c r="AF5120">
        <v>3.83509901709908</v>
      </c>
      <c r="AG5120">
        <v>-1.105723</v>
      </c>
      <c r="AH5120">
        <v>5.4816505204580697</v>
      </c>
      <c r="AI5120">
        <v>99.384961541589604</v>
      </c>
      <c r="AJ5120">
        <v>55.022407531399097</v>
      </c>
      <c r="AK5120">
        <v>6.7807890582233501</v>
      </c>
      <c r="AL5120">
        <v>86.915715166235799</v>
      </c>
      <c r="AM5120">
        <v>75.822037068110106</v>
      </c>
      <c r="AN5120">
        <v>0.99999998281171698</v>
      </c>
    </row>
    <row r="5121" spans="1:40" x14ac:dyDescent="0.25">
      <c r="A5121" t="str">
        <f>"20190312154703826"</f>
        <v>20190312154703826</v>
      </c>
      <c r="B5121" t="str">
        <f>"1552376823822908"</f>
        <v>1552376823822908</v>
      </c>
      <c r="C5121" t="s">
        <v>40</v>
      </c>
      <c r="D5121">
        <v>5.0763800000000003</v>
      </c>
      <c r="E5121">
        <v>0.67705340000000003</v>
      </c>
      <c r="F5121" t="s">
        <v>43</v>
      </c>
      <c r="G5121">
        <v>-305.24790000000002</v>
      </c>
      <c r="H5121">
        <v>-0.05</v>
      </c>
      <c r="I5121">
        <v>3.5937960000000002</v>
      </c>
      <c r="J5121">
        <v>-304.9255</v>
      </c>
      <c r="K5121">
        <v>1.059596</v>
      </c>
      <c r="L5121">
        <v>8.1302489999999992</v>
      </c>
      <c r="M5121">
        <v>0.53381880000000004</v>
      </c>
      <c r="N5121">
        <v>0</v>
      </c>
      <c r="O5121">
        <v>-0.84529569999999998</v>
      </c>
      <c r="P5121">
        <v>0.30786370000000002</v>
      </c>
      <c r="Q5121">
        <v>2.0446099999999998E-2</v>
      </c>
      <c r="R5121">
        <v>-0.95121069999999996</v>
      </c>
      <c r="S5121">
        <v>0.19760130000000001</v>
      </c>
      <c r="T5121">
        <v>-0.6225927</v>
      </c>
      <c r="U5121">
        <v>-3.1965029999999999</v>
      </c>
      <c r="V5121">
        <v>0.24781710000000001</v>
      </c>
      <c r="W5121">
        <v>4.1094480000000003E-2</v>
      </c>
      <c r="X5121">
        <v>0.96793479999999998</v>
      </c>
      <c r="Y5121">
        <v>0.48077059999999999</v>
      </c>
      <c r="Z5121">
        <v>0.1355054</v>
      </c>
      <c r="AA5121">
        <v>0.86631279999999999</v>
      </c>
      <c r="AB5121">
        <v>14</v>
      </c>
      <c r="AC5121">
        <v>-0.32240000000001601</v>
      </c>
      <c r="AD5121">
        <v>-1.10959599999999</v>
      </c>
      <c r="AE5121">
        <v>-4.5364529999999998</v>
      </c>
      <c r="AF5121">
        <v>2.5434555868564299</v>
      </c>
      <c r="AG5121">
        <v>-1.10959599999999</v>
      </c>
      <c r="AH5121">
        <v>3.4576585846104799</v>
      </c>
      <c r="AI5121">
        <v>104.493866142606</v>
      </c>
      <c r="AJ5121">
        <v>53.661779422096899</v>
      </c>
      <c r="AK5121">
        <v>4.4334831107446204</v>
      </c>
      <c r="AL5121">
        <v>87.644796344507498</v>
      </c>
      <c r="AM5121">
        <v>75.639230683477905</v>
      </c>
      <c r="AN5121">
        <v>0.99999992419495698</v>
      </c>
    </row>
    <row r="5122" spans="1:40" x14ac:dyDescent="0.25">
      <c r="A5122" t="str">
        <f>"20190312154703909"</f>
        <v>20190312154703909</v>
      </c>
      <c r="B5122" t="str">
        <f>"1552376823902939"</f>
        <v>1552376823902939</v>
      </c>
      <c r="C5122" t="s">
        <v>40</v>
      </c>
      <c r="D5122">
        <v>4.9002699999999999</v>
      </c>
      <c r="E5122">
        <v>0.62755890000000003</v>
      </c>
      <c r="F5122" t="s">
        <v>43</v>
      </c>
      <c r="G5122">
        <v>-305.48570000000001</v>
      </c>
      <c r="H5122">
        <v>-0.05</v>
      </c>
      <c r="I5122">
        <v>3.6570130000000001</v>
      </c>
      <c r="J5122">
        <v>-304.69529999999997</v>
      </c>
      <c r="K5122">
        <v>1.05592</v>
      </c>
      <c r="L5122">
        <v>7.674347</v>
      </c>
      <c r="M5122">
        <v>0.50400449999999997</v>
      </c>
      <c r="N5122">
        <v>0</v>
      </c>
      <c r="O5122">
        <v>-0.86346319999999999</v>
      </c>
      <c r="P5122">
        <v>0.27615529999999999</v>
      </c>
      <c r="Q5122">
        <v>1.602114E-2</v>
      </c>
      <c r="R5122">
        <v>-0.96097980000000005</v>
      </c>
      <c r="S5122">
        <v>-0.41397089999999998</v>
      </c>
      <c r="T5122">
        <v>-0.81993479999999996</v>
      </c>
      <c r="U5122">
        <v>-3.3054809999999999</v>
      </c>
      <c r="V5122">
        <v>0.24632480000000001</v>
      </c>
      <c r="W5122">
        <v>3.2893749999999999E-2</v>
      </c>
      <c r="X5122">
        <v>0.96862890000000001</v>
      </c>
      <c r="Y5122">
        <v>0.6039563</v>
      </c>
      <c r="Z5122">
        <v>0.1662826</v>
      </c>
      <c r="AA5122">
        <v>0.77947849999999996</v>
      </c>
      <c r="AB5122">
        <v>13</v>
      </c>
      <c r="AC5122">
        <v>-0.79040000000003297</v>
      </c>
      <c r="AD5122">
        <v>-1.10592</v>
      </c>
      <c r="AE5122">
        <v>-4.017334</v>
      </c>
      <c r="AF5122">
        <v>2.5236682233747998</v>
      </c>
      <c r="AG5122">
        <v>-1.10592</v>
      </c>
      <c r="AH5122">
        <v>2.8622588792157901</v>
      </c>
      <c r="AI5122">
        <v>106.162412170594</v>
      </c>
      <c r="AJ5122">
        <v>48.5972115647197</v>
      </c>
      <c r="AK5122">
        <v>3.9729694486267202</v>
      </c>
      <c r="AL5122">
        <v>88.114986778329794</v>
      </c>
      <c r="AM5122">
        <v>75.731975504348995</v>
      </c>
      <c r="AN5122">
        <v>0.99999992589965303</v>
      </c>
    </row>
    <row r="5123" spans="1:40" x14ac:dyDescent="0.25">
      <c r="A5123" t="str">
        <f>"20190312154703932"</f>
        <v>20190312154703932</v>
      </c>
      <c r="B5123" t="str">
        <f>"1552376823923436"</f>
        <v>1552376823923436</v>
      </c>
      <c r="C5123" t="s">
        <v>40</v>
      </c>
      <c r="D5123">
        <v>4.8151960000000003</v>
      </c>
      <c r="E5123">
        <v>0.62805679999999997</v>
      </c>
      <c r="F5123" t="s">
        <v>43</v>
      </c>
      <c r="G5123">
        <v>-305.08940000000001</v>
      </c>
      <c r="H5123">
        <v>-0.05</v>
      </c>
      <c r="I5123">
        <v>-0.64163210000000004</v>
      </c>
      <c r="J5123">
        <v>-304.63850000000002</v>
      </c>
      <c r="K5123">
        <v>1.056162</v>
      </c>
      <c r="L5123">
        <v>7.552155</v>
      </c>
      <c r="M5123">
        <v>0.49588919999999997</v>
      </c>
      <c r="N5123">
        <v>0</v>
      </c>
      <c r="O5123">
        <v>-0.86816499999999996</v>
      </c>
      <c r="P5123">
        <v>0.268731</v>
      </c>
      <c r="Q5123">
        <v>1.7521789999999999E-2</v>
      </c>
      <c r="R5123">
        <v>-0.96305600000000002</v>
      </c>
      <c r="S5123">
        <v>-0.15032960000000001</v>
      </c>
      <c r="T5123">
        <v>-0.42184379999999999</v>
      </c>
      <c r="U5123">
        <v>-3.1720579999999998</v>
      </c>
      <c r="V5123">
        <v>0.2446768</v>
      </c>
      <c r="W5123">
        <v>3.3980330000000003E-2</v>
      </c>
      <c r="X5123">
        <v>0.96900909999999996</v>
      </c>
      <c r="Y5123">
        <v>0.53592810000000002</v>
      </c>
      <c r="Z5123">
        <v>9.5428789999999999E-2</v>
      </c>
      <c r="AA5123">
        <v>0.83885299999999996</v>
      </c>
      <c r="AB5123">
        <v>13</v>
      </c>
      <c r="AC5123">
        <v>-0.45089999999998998</v>
      </c>
      <c r="AD5123">
        <v>-1.1061620000000001</v>
      </c>
      <c r="AE5123">
        <v>-8.1937870999999998</v>
      </c>
      <c r="AF5123">
        <v>4.3760083329328499</v>
      </c>
      <c r="AG5123">
        <v>-1.1061620000000001</v>
      </c>
      <c r="AH5123">
        <v>6.7683039497837401</v>
      </c>
      <c r="AI5123">
        <v>97.814758796634806</v>
      </c>
      <c r="AJ5123">
        <v>57.115541816010797</v>
      </c>
      <c r="AK5123">
        <v>8.1352923522636793</v>
      </c>
      <c r="AL5123">
        <v>88.052695669459396</v>
      </c>
      <c r="AM5123">
        <v>75.828911143325698</v>
      </c>
      <c r="AN5123">
        <v>1.0000000175839701</v>
      </c>
    </row>
    <row r="5124" spans="1:40" x14ac:dyDescent="0.25">
      <c r="A5124" t="str">
        <f>"20190312154703955"</f>
        <v>20190312154703955</v>
      </c>
      <c r="B5124" t="str">
        <f>"1552376823942955"</f>
        <v>1552376823942955</v>
      </c>
      <c r="C5124" t="s">
        <v>40</v>
      </c>
      <c r="D5124">
        <v>4.8546690000000003</v>
      </c>
      <c r="E5124">
        <v>0.6280154</v>
      </c>
      <c r="F5124" t="s">
        <v>42</v>
      </c>
      <c r="G5124">
        <v>-305.08749999999998</v>
      </c>
      <c r="H5124" s="1">
        <v>-5.1581849999999998E-6</v>
      </c>
      <c r="I5124">
        <v>-0.46755600000000003</v>
      </c>
      <c r="J5124">
        <v>-304.57799999999997</v>
      </c>
      <c r="K5124">
        <v>1.0566450000000001</v>
      </c>
      <c r="L5124">
        <v>7.4208979999999896</v>
      </c>
      <c r="M5124">
        <v>0.4867438</v>
      </c>
      <c r="N5124">
        <v>0</v>
      </c>
      <c r="O5124">
        <v>-0.87334480000000003</v>
      </c>
      <c r="P5124">
        <v>0.25980239999999999</v>
      </c>
      <c r="Q5124">
        <v>1.9460939999999999E-2</v>
      </c>
      <c r="R5124">
        <v>-0.96546600000000005</v>
      </c>
      <c r="S5124">
        <v>-0.177612299999999</v>
      </c>
      <c r="T5124">
        <v>-0.4177729</v>
      </c>
      <c r="U5124">
        <v>-3.1722410000000001</v>
      </c>
      <c r="V5124">
        <v>0.2434007</v>
      </c>
      <c r="W5124">
        <v>3.5459539999999998E-2</v>
      </c>
      <c r="X5124">
        <v>0.96927739999999996</v>
      </c>
      <c r="Y5124">
        <v>0.53426560000000001</v>
      </c>
      <c r="Z5124">
        <v>9.5560800000000001E-2</v>
      </c>
      <c r="AA5124">
        <v>0.83989789999999998</v>
      </c>
      <c r="AB5124">
        <v>13</v>
      </c>
      <c r="AC5124">
        <v>-0.50950000000000195</v>
      </c>
      <c r="AD5124">
        <v>-1.0566501581850001</v>
      </c>
      <c r="AE5124">
        <v>-7.8884539999999896</v>
      </c>
      <c r="AF5124">
        <v>4.2101478151674803</v>
      </c>
      <c r="AG5124">
        <v>-1.0566501581850001</v>
      </c>
      <c r="AH5124">
        <v>6.5259012432645704</v>
      </c>
      <c r="AI5124">
        <v>97.748019858811801</v>
      </c>
      <c r="AJ5124">
        <v>57.172146662728501</v>
      </c>
      <c r="AK5124">
        <v>7.8376808571919998</v>
      </c>
      <c r="AL5124">
        <v>87.967891964928697</v>
      </c>
      <c r="AM5124">
        <v>75.903611779206997</v>
      </c>
      <c r="AN5124">
        <v>0.99999997894412995</v>
      </c>
    </row>
    <row r="5125" spans="1:40" x14ac:dyDescent="0.25">
      <c r="A5125" t="str">
        <f>"20190312154703978"</f>
        <v>20190312154703978</v>
      </c>
      <c r="B5125" t="str">
        <f>"1552376823963452"</f>
        <v>1552376823963452</v>
      </c>
      <c r="C5125" t="s">
        <v>40</v>
      </c>
      <c r="D5125">
        <v>5.089207</v>
      </c>
      <c r="E5125">
        <v>0.62301619999999902</v>
      </c>
      <c r="F5125" t="s">
        <v>42</v>
      </c>
      <c r="G5125">
        <v>-305.1071</v>
      </c>
      <c r="H5125" s="1">
        <v>-5.0573830000000002E-6</v>
      </c>
      <c r="I5125">
        <v>-0.73910710000000002</v>
      </c>
      <c r="J5125">
        <v>-304.5197</v>
      </c>
      <c r="K5125">
        <v>1.0569789999999999</v>
      </c>
      <c r="L5125">
        <v>7.2928160000000002</v>
      </c>
      <c r="M5125">
        <v>0.4777708</v>
      </c>
      <c r="N5125">
        <v>0</v>
      </c>
      <c r="O5125">
        <v>-0.87830569999999897</v>
      </c>
      <c r="P5125">
        <v>0.25148110000000001</v>
      </c>
      <c r="Q5125">
        <v>2.1698519999999999E-2</v>
      </c>
      <c r="R5125">
        <v>-0.96761920000000001</v>
      </c>
      <c r="S5125">
        <v>-0.2055969</v>
      </c>
      <c r="T5125">
        <v>-0.41060380000000002</v>
      </c>
      <c r="U5125">
        <v>-3.1708980000000002</v>
      </c>
      <c r="V5125">
        <v>0.24174950000000001</v>
      </c>
      <c r="W5125">
        <v>3.7059710000000003E-2</v>
      </c>
      <c r="X5125">
        <v>0.96963069999999896</v>
      </c>
      <c r="Y5125">
        <v>0.53303120000000004</v>
      </c>
      <c r="Z5125">
        <v>9.4948809999999995E-2</v>
      </c>
      <c r="AA5125">
        <v>0.84075119999999903</v>
      </c>
      <c r="AB5125">
        <v>13</v>
      </c>
      <c r="AC5125">
        <v>-0.58740000000000203</v>
      </c>
      <c r="AD5125">
        <v>-1.0569840573830001</v>
      </c>
      <c r="AE5125">
        <v>-8.0319231000000002</v>
      </c>
      <c r="AF5125">
        <v>4.2802874006720897</v>
      </c>
      <c r="AG5125">
        <v>-1.0569840573830001</v>
      </c>
      <c r="AH5125">
        <v>6.6601781928641</v>
      </c>
      <c r="AI5125">
        <v>97.604487994200099</v>
      </c>
      <c r="AJ5125">
        <v>57.272418143455397</v>
      </c>
      <c r="AK5125">
        <v>7.9872428966832203</v>
      </c>
      <c r="AL5125">
        <v>87.876148613635195</v>
      </c>
      <c r="AM5125">
        <v>76.000366388707405</v>
      </c>
      <c r="AN5125">
        <v>0.99999996861901097</v>
      </c>
    </row>
    <row r="5126" spans="1:40" x14ac:dyDescent="0.25">
      <c r="A5126" t="str">
        <f>"20190312154704011"</f>
        <v>20190312154704011</v>
      </c>
      <c r="B5126" t="str">
        <f>"1552376824003467"</f>
        <v>1552376824003467</v>
      </c>
      <c r="C5126" t="s">
        <v>40</v>
      </c>
      <c r="D5126">
        <v>5.0779779999999999</v>
      </c>
      <c r="E5126">
        <v>0.60176399999999997</v>
      </c>
      <c r="F5126" t="s">
        <v>43</v>
      </c>
      <c r="G5126">
        <v>-305.00020000000001</v>
      </c>
      <c r="H5126">
        <v>-0.05</v>
      </c>
      <c r="I5126">
        <v>-0.53692629999999997</v>
      </c>
      <c r="J5126">
        <v>-304.43759999999997</v>
      </c>
      <c r="K5126">
        <v>1.0569999999999999</v>
      </c>
      <c r="L5126">
        <v>7.10907</v>
      </c>
      <c r="M5126">
        <v>0.46551589999999998</v>
      </c>
      <c r="N5126">
        <v>0</v>
      </c>
      <c r="O5126">
        <v>-0.88488929999999999</v>
      </c>
      <c r="P5126">
        <v>0.23960899999999999</v>
      </c>
      <c r="Q5126">
        <v>2.394568E-2</v>
      </c>
      <c r="R5126">
        <v>-0.97057420000000005</v>
      </c>
      <c r="S5126">
        <v>-0.19396969999999999</v>
      </c>
      <c r="T5126">
        <v>-0.44688240000000001</v>
      </c>
      <c r="U5126">
        <v>-3.160828</v>
      </c>
      <c r="V5126">
        <v>0.2400986</v>
      </c>
      <c r="W5126">
        <v>3.8073700000000002E-2</v>
      </c>
      <c r="X5126">
        <v>0.97000160000000002</v>
      </c>
      <c r="Y5126">
        <v>0.51817780000000002</v>
      </c>
      <c r="Z5126">
        <v>0.1055599</v>
      </c>
      <c r="AA5126">
        <v>0.84873369999999904</v>
      </c>
      <c r="AB5126">
        <v>13</v>
      </c>
      <c r="AC5126">
        <v>-0.56260000000003096</v>
      </c>
      <c r="AD5126">
        <v>-1.107</v>
      </c>
      <c r="AE5126">
        <v>-7.6459963000000002</v>
      </c>
      <c r="AF5126">
        <v>3.9748401828389301</v>
      </c>
      <c r="AG5126">
        <v>-1.107</v>
      </c>
      <c r="AH5126">
        <v>6.3719774629734296</v>
      </c>
      <c r="AI5126">
        <v>98.385114477837305</v>
      </c>
      <c r="AJ5126">
        <v>58.044081058512504</v>
      </c>
      <c r="AK5126">
        <v>7.5912383882837204</v>
      </c>
      <c r="AL5126">
        <v>87.818010344527195</v>
      </c>
      <c r="AM5126">
        <v>76.097357742551793</v>
      </c>
      <c r="AN5126">
        <v>1.0000000241781</v>
      </c>
    </row>
    <row r="5127" spans="1:40" x14ac:dyDescent="0.25">
      <c r="A5127" t="str">
        <f>"20190312154704045"</f>
        <v>20190312154704045</v>
      </c>
      <c r="B5127" t="str">
        <f>"1552376824032747"</f>
        <v>1552376824032747</v>
      </c>
      <c r="C5127" t="s">
        <v>40</v>
      </c>
      <c r="D5127">
        <v>5.1275120000000003</v>
      </c>
      <c r="E5127">
        <v>0.60126199999999996</v>
      </c>
      <c r="F5127" t="s">
        <v>43</v>
      </c>
      <c r="G5127">
        <v>-304.56299999999999</v>
      </c>
      <c r="H5127">
        <v>-0.05</v>
      </c>
      <c r="I5127">
        <v>1.239182</v>
      </c>
      <c r="J5127">
        <v>-304.3535</v>
      </c>
      <c r="K5127">
        <v>1.0566679999999999</v>
      </c>
      <c r="L5127">
        <v>6.9140929999999896</v>
      </c>
      <c r="M5127">
        <v>0.45321149999999999</v>
      </c>
      <c r="N5127">
        <v>0</v>
      </c>
      <c r="O5127">
        <v>-0.89127860000000003</v>
      </c>
      <c r="P5127">
        <v>0.22879730000000001</v>
      </c>
      <c r="Q5127">
        <v>2.6859399999999999E-2</v>
      </c>
      <c r="R5127">
        <v>-0.97310379999999996</v>
      </c>
      <c r="S5127">
        <v>-6.6680909999999996E-2</v>
      </c>
      <c r="T5127">
        <v>-0.58876649999999997</v>
      </c>
      <c r="U5127">
        <v>-3.1219480000000002</v>
      </c>
      <c r="V5127">
        <v>0.2374317</v>
      </c>
      <c r="W5127">
        <v>3.9532200000000003E-2</v>
      </c>
      <c r="X5127">
        <v>0.97059949999999995</v>
      </c>
      <c r="Y5127">
        <v>0.47144900000000001</v>
      </c>
      <c r="Z5127">
        <v>0.14427509999999999</v>
      </c>
      <c r="AA5127">
        <v>0.8700118</v>
      </c>
      <c r="AB5127">
        <v>13</v>
      </c>
      <c r="AC5127">
        <v>-0.209499999999991</v>
      </c>
      <c r="AD5127">
        <v>-1.106668</v>
      </c>
      <c r="AE5127">
        <v>-5.6749109999999998</v>
      </c>
      <c r="AF5127">
        <v>2.6580191403082298</v>
      </c>
      <c r="AG5127">
        <v>-1.106668</v>
      </c>
      <c r="AH5127">
        <v>4.78192438336308</v>
      </c>
      <c r="AI5127">
        <v>101.43542328804701</v>
      </c>
      <c r="AJ5127">
        <v>60.932629793317403</v>
      </c>
      <c r="AK5127">
        <v>5.5818080064322597</v>
      </c>
      <c r="AL5127">
        <v>87.734381403373007</v>
      </c>
      <c r="AM5127">
        <v>76.254037313526993</v>
      </c>
      <c r="AN5127">
        <v>0.99999999820098995</v>
      </c>
    </row>
    <row r="5128" spans="1:40" x14ac:dyDescent="0.25">
      <c r="A5128" t="str">
        <f>"20190312154704071"</f>
        <v>20190312154704071</v>
      </c>
      <c r="B5128" t="str">
        <f>"1552376824063004"</f>
        <v>1552376824063004</v>
      </c>
      <c r="C5128" t="s">
        <v>40</v>
      </c>
      <c r="D5128">
        <v>5.1075359999999996</v>
      </c>
      <c r="E5128">
        <v>0.60061409999999904</v>
      </c>
      <c r="F5128" t="s">
        <v>43</v>
      </c>
      <c r="G5128">
        <v>-304.55070000000001</v>
      </c>
      <c r="H5128">
        <v>-0.05</v>
      </c>
      <c r="I5128">
        <v>0.53108219999999995</v>
      </c>
      <c r="J5128">
        <v>-304.28739999999999</v>
      </c>
      <c r="K5128">
        <v>1.056352</v>
      </c>
      <c r="L5128">
        <v>6.7548830000000004</v>
      </c>
      <c r="M5128">
        <v>0.44330809999999998</v>
      </c>
      <c r="N5128">
        <v>0</v>
      </c>
      <c r="O5128">
        <v>-0.89626289999999997</v>
      </c>
      <c r="P5128">
        <v>0.21919169999999999</v>
      </c>
      <c r="Q5128">
        <v>2.8843049999999999E-2</v>
      </c>
      <c r="R5128">
        <v>-0.97525569999999895</v>
      </c>
      <c r="S5128">
        <v>-9.6405030000000003E-2</v>
      </c>
      <c r="T5128">
        <v>-0.54102519999999998</v>
      </c>
      <c r="U5128">
        <v>-3.120514</v>
      </c>
      <c r="V5128">
        <v>0.23624220000000001</v>
      </c>
      <c r="W5128">
        <v>4.0354080000000001E-2</v>
      </c>
      <c r="X5128">
        <v>0.97085589999999999</v>
      </c>
      <c r="Y5128">
        <v>0.47010160000000001</v>
      </c>
      <c r="Z5128">
        <v>0.13426379999999999</v>
      </c>
      <c r="AA5128">
        <v>0.87234040000000002</v>
      </c>
      <c r="AB5128">
        <v>14</v>
      </c>
      <c r="AC5128">
        <v>-0.26330000000001502</v>
      </c>
      <c r="AD5128">
        <v>-1.106352</v>
      </c>
      <c r="AE5128">
        <v>-6.2238008000000002</v>
      </c>
      <c r="AF5128">
        <v>2.9037412079927098</v>
      </c>
      <c r="AG5128">
        <v>-1.106352</v>
      </c>
      <c r="AH5128">
        <v>5.2949429364502496</v>
      </c>
      <c r="AI5128">
        <v>100.381725884578</v>
      </c>
      <c r="AJ5128">
        <v>61.259682078001099</v>
      </c>
      <c r="AK5128">
        <v>6.13939316636126</v>
      </c>
      <c r="AL5128">
        <v>87.687253549221495</v>
      </c>
      <c r="AM5128">
        <v>76.323786234518593</v>
      </c>
      <c r="AN5128">
        <v>1.0000000036991401</v>
      </c>
    </row>
    <row r="5129" spans="1:40" x14ac:dyDescent="0.25">
      <c r="A5129" t="str">
        <f>"20190312154704092"</f>
        <v>20190312154704092</v>
      </c>
      <c r="B5129" t="str">
        <f>"1552376824082524"</f>
        <v>1552376824082524</v>
      </c>
      <c r="C5129" t="s">
        <v>40</v>
      </c>
      <c r="D5129">
        <v>5.1055979999999996</v>
      </c>
      <c r="E5129">
        <v>0.59983819999999999</v>
      </c>
      <c r="F5129" t="s">
        <v>43</v>
      </c>
      <c r="G5129">
        <v>-304.55470000000003</v>
      </c>
      <c r="H5129">
        <v>-0.05</v>
      </c>
      <c r="I5129">
        <v>-8.5983279999999995E-2</v>
      </c>
      <c r="J5129">
        <v>-304.23930000000001</v>
      </c>
      <c r="K5129">
        <v>1.0561689999999999</v>
      </c>
      <c r="L5129">
        <v>6.6354979999999903</v>
      </c>
      <c r="M5129">
        <v>0.43583129999999998</v>
      </c>
      <c r="N5129">
        <v>0</v>
      </c>
      <c r="O5129">
        <v>-0.899933599999999</v>
      </c>
      <c r="P5129">
        <v>0.2123834</v>
      </c>
      <c r="Q5129">
        <v>3.0000249999999999E-2</v>
      </c>
      <c r="R5129">
        <v>-0.97672619999999999</v>
      </c>
      <c r="S5129">
        <v>-0.1218262</v>
      </c>
      <c r="T5129">
        <v>-0.50433019999999995</v>
      </c>
      <c r="U5129">
        <v>-3.1184080000000001</v>
      </c>
      <c r="V5129">
        <v>0.23492759999999999</v>
      </c>
      <c r="W5129">
        <v>4.0712379999999999E-2</v>
      </c>
      <c r="X5129">
        <v>0.97115989999999996</v>
      </c>
      <c r="Y5129">
        <v>0.46997800000000001</v>
      </c>
      <c r="Z5129">
        <v>0.1263137</v>
      </c>
      <c r="AA5129">
        <v>0.87359339999999996</v>
      </c>
      <c r="AB5129">
        <v>14</v>
      </c>
      <c r="AC5129">
        <v>-0.315400000000011</v>
      </c>
      <c r="AD5129">
        <v>-1.106169</v>
      </c>
      <c r="AE5129">
        <v>-6.7214812799999901</v>
      </c>
      <c r="AF5129">
        <v>3.1289858020738701</v>
      </c>
      <c r="AG5129">
        <v>-1.106169</v>
      </c>
      <c r="AH5129">
        <v>5.7563669687235199</v>
      </c>
      <c r="AI5129">
        <v>99.583097686037604</v>
      </c>
      <c r="AJ5129">
        <v>61.472843721313502</v>
      </c>
      <c r="AK5129">
        <v>6.6445408182019703</v>
      </c>
      <c r="AL5129">
        <v>87.666707608820801</v>
      </c>
      <c r="AM5129">
        <v>76.401154085211402</v>
      </c>
      <c r="AN5129">
        <v>1.00000001324751</v>
      </c>
    </row>
    <row r="5130" spans="1:40" x14ac:dyDescent="0.25">
      <c r="A5130" t="str">
        <f>"20190312154704116"</f>
        <v>20190312154704116</v>
      </c>
      <c r="B5130" t="str">
        <f>"1552376824112780"</f>
        <v>1552376824112780</v>
      </c>
      <c r="C5130" t="s">
        <v>40</v>
      </c>
      <c r="D5130">
        <v>5.1923450000000004</v>
      </c>
      <c r="E5130">
        <v>0.59835130000000003</v>
      </c>
      <c r="F5130" t="s">
        <v>43</v>
      </c>
      <c r="G5130">
        <v>-304.5548</v>
      </c>
      <c r="H5130">
        <v>-0.05</v>
      </c>
      <c r="I5130">
        <v>-0.50312809999999997</v>
      </c>
      <c r="J5130">
        <v>-304.1816</v>
      </c>
      <c r="K5130">
        <v>1.056</v>
      </c>
      <c r="L5130">
        <v>6.4884950000000003</v>
      </c>
      <c r="M5130">
        <v>0.4265659</v>
      </c>
      <c r="N5130">
        <v>0</v>
      </c>
      <c r="O5130">
        <v>-0.90437449999999997</v>
      </c>
      <c r="P5130">
        <v>0.20415700000000001</v>
      </c>
      <c r="Q5130">
        <v>3.0314250000000001E-2</v>
      </c>
      <c r="R5130">
        <v>-0.97846880000000003</v>
      </c>
      <c r="S5130">
        <v>-0.1377563</v>
      </c>
      <c r="T5130">
        <v>-0.48288300000000001</v>
      </c>
      <c r="U5130">
        <v>-3.1162719999999999</v>
      </c>
      <c r="V5130">
        <v>0.2331213</v>
      </c>
      <c r="W5130">
        <v>4.0126349999999998E-2</v>
      </c>
      <c r="X5130">
        <v>0.97161940000000002</v>
      </c>
      <c r="Y5130">
        <v>0.4654546</v>
      </c>
      <c r="Z5130">
        <v>0.1223243</v>
      </c>
      <c r="AA5130">
        <v>0.87657790000000002</v>
      </c>
      <c r="AB5130">
        <v>14</v>
      </c>
      <c r="AC5130">
        <v>-0.37319999999999698</v>
      </c>
      <c r="AD5130">
        <v>-1.1059999999999901</v>
      </c>
      <c r="AE5130">
        <v>-6.9916230999999902</v>
      </c>
      <c r="AF5130">
        <v>3.2393168594119799</v>
      </c>
      <c r="AG5130">
        <v>-1.1059999999999901</v>
      </c>
      <c r="AH5130">
        <v>6.0142365397684703</v>
      </c>
      <c r="AI5130">
        <v>99.196729221736405</v>
      </c>
      <c r="AJ5130">
        <v>61.692732215525602</v>
      </c>
      <c r="AK5130">
        <v>6.92007592963812</v>
      </c>
      <c r="AL5130">
        <v>87.700311996867896</v>
      </c>
      <c r="AM5130">
        <v>76.508022395321404</v>
      </c>
      <c r="AN5130">
        <v>0.99999996146718495</v>
      </c>
    </row>
    <row r="5131" spans="1:40" x14ac:dyDescent="0.25">
      <c r="A5131" t="str">
        <f>"20190312154704155"</f>
        <v>20190312154704155</v>
      </c>
      <c r="B5131" t="str">
        <f>"1552376824143036"</f>
        <v>1552376824143036</v>
      </c>
      <c r="C5131" t="s">
        <v>40</v>
      </c>
      <c r="D5131">
        <v>5.0666399999999996</v>
      </c>
      <c r="E5131">
        <v>0.59755659999999999</v>
      </c>
      <c r="F5131" t="s">
        <v>42</v>
      </c>
      <c r="G5131">
        <v>-304.52769999999998</v>
      </c>
      <c r="H5131" s="1">
        <v>-5.0255679999999998E-6</v>
      </c>
      <c r="I5131">
        <v>-0.55431560000000002</v>
      </c>
      <c r="J5131">
        <v>-304.09350000000001</v>
      </c>
      <c r="K5131">
        <v>1.05579</v>
      </c>
      <c r="L5131">
        <v>6.2548219999999999</v>
      </c>
      <c r="M5131">
        <v>0.4117615</v>
      </c>
      <c r="N5131">
        <v>0</v>
      </c>
      <c r="O5131">
        <v>-0.91122709999999996</v>
      </c>
      <c r="P5131">
        <v>0.1919997</v>
      </c>
      <c r="Q5131">
        <v>3.066843E-2</v>
      </c>
      <c r="R5131">
        <v>-0.98091589999999995</v>
      </c>
      <c r="S5131">
        <v>-0.15292359999999999</v>
      </c>
      <c r="T5131">
        <v>-0.46667520000000001</v>
      </c>
      <c r="U5131">
        <v>-3.1123959999999999</v>
      </c>
      <c r="V5131">
        <v>0.22932050000000001</v>
      </c>
      <c r="W5131">
        <v>3.9176280000000001E-2</v>
      </c>
      <c r="X5131">
        <v>0.97256229999999999</v>
      </c>
      <c r="Y5131">
        <v>0.45535910000000002</v>
      </c>
      <c r="Z5131">
        <v>0.1203394</v>
      </c>
      <c r="AA5131">
        <v>0.88213750000000002</v>
      </c>
      <c r="AB5131">
        <v>14</v>
      </c>
      <c r="AC5131">
        <v>-0.43419999999997499</v>
      </c>
      <c r="AD5131">
        <v>-1.055795025568</v>
      </c>
      <c r="AE5131">
        <v>-6.8091375999999899</v>
      </c>
      <c r="AF5131">
        <v>3.1247616856145299</v>
      </c>
      <c r="AG5131">
        <v>-1.055795025568</v>
      </c>
      <c r="AH5131">
        <v>5.8853151836490198</v>
      </c>
      <c r="AI5131">
        <v>99.003473626231795</v>
      </c>
      <c r="AJ5131">
        <v>62.034285125413803</v>
      </c>
      <c r="AK5131">
        <v>6.7465378927853399</v>
      </c>
      <c r="AL5131">
        <v>87.754790043777703</v>
      </c>
      <c r="AM5131">
        <v>76.732559591542596</v>
      </c>
      <c r="AN5131">
        <v>1.0000000500080799</v>
      </c>
    </row>
    <row r="5132" spans="1:40" x14ac:dyDescent="0.25">
      <c r="A5132" t="str">
        <f>"20190312154704182"</f>
        <v>20190312154704182</v>
      </c>
      <c r="B5132" t="str">
        <f>"1552376824173292"</f>
        <v>1552376824173292</v>
      </c>
      <c r="C5132" t="s">
        <v>40</v>
      </c>
      <c r="D5132">
        <v>5.1000310000000004</v>
      </c>
      <c r="E5132">
        <v>0.59682829999999998</v>
      </c>
      <c r="F5132" t="s">
        <v>42</v>
      </c>
      <c r="G5132">
        <v>-304.52640000000002</v>
      </c>
      <c r="H5132" s="1">
        <v>-4.8566490000000001E-6</v>
      </c>
      <c r="I5132">
        <v>-0.99358080000000004</v>
      </c>
      <c r="J5132">
        <v>-304.03250000000003</v>
      </c>
      <c r="K5132">
        <v>1.0556509999999999</v>
      </c>
      <c r="L5132">
        <v>6.0862730000000003</v>
      </c>
      <c r="M5132">
        <v>0.4010415</v>
      </c>
      <c r="N5132">
        <v>0</v>
      </c>
      <c r="O5132">
        <v>-0.91600610000000005</v>
      </c>
      <c r="P5132">
        <v>0.181894</v>
      </c>
      <c r="Q5132">
        <v>3.1627349999999999E-2</v>
      </c>
      <c r="R5132">
        <v>-0.98280940000000006</v>
      </c>
      <c r="S5132">
        <v>-0.18563840000000001</v>
      </c>
      <c r="T5132">
        <v>-0.45283279999999898</v>
      </c>
      <c r="U5132">
        <v>-3.1088559999999998</v>
      </c>
      <c r="V5132">
        <v>0.2279081</v>
      </c>
      <c r="W5132">
        <v>3.9228689999999997E-2</v>
      </c>
      <c r="X5132">
        <v>0.97289210000000004</v>
      </c>
      <c r="Y5132">
        <v>0.45426</v>
      </c>
      <c r="Z5132">
        <v>0.1179974</v>
      </c>
      <c r="AA5132">
        <v>0.88302009999999898</v>
      </c>
      <c r="AB5132">
        <v>14</v>
      </c>
      <c r="AC5132">
        <v>-0.49389999999999601</v>
      </c>
      <c r="AD5132">
        <v>-1.055655856649</v>
      </c>
      <c r="AE5132">
        <v>-7.0798538000000004</v>
      </c>
      <c r="AF5132">
        <v>3.22063550790994</v>
      </c>
      <c r="AG5132">
        <v>-1.055655856649</v>
      </c>
      <c r="AH5132">
        <v>6.1513252004350996</v>
      </c>
      <c r="AI5132">
        <v>98.644848609636497</v>
      </c>
      <c r="AJ5132">
        <v>62.364895735507602</v>
      </c>
      <c r="AK5132">
        <v>7.0232260453438</v>
      </c>
      <c r="AL5132">
        <v>87.751784783713305</v>
      </c>
      <c r="AM5132">
        <v>76.815724875979399</v>
      </c>
      <c r="AN5132">
        <v>1.00000001520356</v>
      </c>
    </row>
    <row r="5133" spans="1:40" x14ac:dyDescent="0.25">
      <c r="A5133" t="str">
        <f>"20190312154704211"</f>
        <v>20190312154704211</v>
      </c>
      <c r="B5133" t="str">
        <f>"1552376824202571"</f>
        <v>1552376824202571</v>
      </c>
      <c r="C5133" t="s">
        <v>40</v>
      </c>
      <c r="D5133">
        <v>5.0673029999999999</v>
      </c>
      <c r="E5133">
        <v>0.59643000000000002</v>
      </c>
      <c r="F5133" t="s">
        <v>42</v>
      </c>
      <c r="G5133">
        <v>-304.53530000000001</v>
      </c>
      <c r="H5133" s="1">
        <v>-4.7393620000000001E-6</v>
      </c>
      <c r="I5133">
        <v>-1.3031200000000001</v>
      </c>
      <c r="J5133">
        <v>-303.96980000000002</v>
      </c>
      <c r="K5133">
        <v>1.0554790000000001</v>
      </c>
      <c r="L5133">
        <v>5.9065859999999999</v>
      </c>
      <c r="M5133">
        <v>0.3895747</v>
      </c>
      <c r="N5133">
        <v>0</v>
      </c>
      <c r="O5133">
        <v>-0.92095090000000002</v>
      </c>
      <c r="P5133">
        <v>0.172227399999999</v>
      </c>
      <c r="Q5133">
        <v>3.2581110000000003E-2</v>
      </c>
      <c r="R5133">
        <v>-0.98451829999999996</v>
      </c>
      <c r="S5133">
        <v>-0.2113342</v>
      </c>
      <c r="T5133">
        <v>-0.44370700000000002</v>
      </c>
      <c r="U5133">
        <v>-3.1058650000000001</v>
      </c>
      <c r="V5133">
        <v>0.22531280000000001</v>
      </c>
      <c r="W5133">
        <v>3.9251559999999998E-2</v>
      </c>
      <c r="X5133">
        <v>0.97349549999999996</v>
      </c>
      <c r="Y5133">
        <v>0.45049289999999997</v>
      </c>
      <c r="Z5133">
        <v>0.11691849999999999</v>
      </c>
      <c r="AA5133">
        <v>0.88509110000000002</v>
      </c>
      <c r="AB5133">
        <v>14</v>
      </c>
      <c r="AC5133">
        <v>-0.56549999999998501</v>
      </c>
      <c r="AD5133">
        <v>-1.055483739362</v>
      </c>
      <c r="AE5133">
        <v>-7.2097059999999997</v>
      </c>
      <c r="AF5133">
        <v>3.2602053050805999</v>
      </c>
      <c r="AG5133">
        <v>-1.055483739362</v>
      </c>
      <c r="AH5133">
        <v>6.2858446130545298</v>
      </c>
      <c r="AI5133">
        <v>98.477987016831307</v>
      </c>
      <c r="AJ5133">
        <v>62.586114316525197</v>
      </c>
      <c r="AK5133">
        <v>7.1592476598313004</v>
      </c>
      <c r="AL5133">
        <v>87.750473420290206</v>
      </c>
      <c r="AM5133">
        <v>76.968508406340604</v>
      </c>
      <c r="AN5133">
        <v>1.00000001566326</v>
      </c>
    </row>
    <row r="5134" spans="1:40" x14ac:dyDescent="0.25">
      <c r="A5134" t="str">
        <f>"20190312154704246"</f>
        <v>20190312154704246</v>
      </c>
      <c r="B5134" t="str">
        <f>"1552376824232828"</f>
        <v>1552376824232828</v>
      </c>
      <c r="C5134" t="s">
        <v>40</v>
      </c>
      <c r="D5134">
        <v>5.0959960000000004</v>
      </c>
      <c r="E5134">
        <v>0.59595050000000005</v>
      </c>
      <c r="F5134" t="s">
        <v>42</v>
      </c>
      <c r="G5134">
        <v>-304.55439999999999</v>
      </c>
      <c r="H5134" s="1">
        <v>-4.5913030000000003E-6</v>
      </c>
      <c r="I5134">
        <v>-1.697511</v>
      </c>
      <c r="J5134">
        <v>-303.89350000000002</v>
      </c>
      <c r="K5134">
        <v>1.0552319999999999</v>
      </c>
      <c r="L5134">
        <v>5.6789550000000002</v>
      </c>
      <c r="M5134">
        <v>0.37499450000000001</v>
      </c>
      <c r="N5134">
        <v>0</v>
      </c>
      <c r="O5134">
        <v>-0.92699410000000004</v>
      </c>
      <c r="P5134">
        <v>0.15887019999999999</v>
      </c>
      <c r="Q5134">
        <v>3.2036240000000001E-2</v>
      </c>
      <c r="R5134">
        <v>-0.98677959999999998</v>
      </c>
      <c r="S5134">
        <v>-0.2385864</v>
      </c>
      <c r="T5134">
        <v>-0.43073149999999899</v>
      </c>
      <c r="U5134">
        <v>-3.1031490000000002</v>
      </c>
      <c r="V5134">
        <v>0.22314110000000001</v>
      </c>
      <c r="W5134">
        <v>3.7520959999999999E-2</v>
      </c>
      <c r="X5134">
        <v>0.97406380000000004</v>
      </c>
      <c r="Y5134">
        <v>0.44422810000000001</v>
      </c>
      <c r="Z5134">
        <v>0.1150775</v>
      </c>
      <c r="AA5134">
        <v>0.88849230000000001</v>
      </c>
      <c r="AB5134">
        <v>15</v>
      </c>
      <c r="AC5134">
        <v>-0.66089999999996896</v>
      </c>
      <c r="AD5134">
        <v>-1.055236591303</v>
      </c>
      <c r="AE5134">
        <v>-7.3764659999999997</v>
      </c>
      <c r="AF5134">
        <v>3.3116557736351502</v>
      </c>
      <c r="AG5134">
        <v>-1.055236591303</v>
      </c>
      <c r="AH5134">
        <v>6.4591760851572504</v>
      </c>
      <c r="AI5134">
        <v>98.271508037178293</v>
      </c>
      <c r="AJ5134">
        <v>62.855531444076497</v>
      </c>
      <c r="AK5134">
        <v>7.33495357352336</v>
      </c>
      <c r="AL5134">
        <v>87.849702671750407</v>
      </c>
      <c r="AM5134">
        <v>77.097165945290598</v>
      </c>
      <c r="AN5134">
        <v>1.00000002970948</v>
      </c>
    </row>
    <row r="5135" spans="1:40" x14ac:dyDescent="0.25">
      <c r="A5135" t="str">
        <f>"20190312154704289"</f>
        <v>20190312154704289</v>
      </c>
      <c r="B5135" t="str">
        <f>"1552376824282605"</f>
        <v>1552376824282605</v>
      </c>
      <c r="C5135" t="s">
        <v>40</v>
      </c>
      <c r="D5135">
        <v>5.0550790000000001</v>
      </c>
      <c r="E5135">
        <v>0.59511740000000002</v>
      </c>
      <c r="F5135" t="s">
        <v>42</v>
      </c>
      <c r="G5135">
        <v>-304.5772</v>
      </c>
      <c r="H5135" s="1">
        <v>-4.4914760000000003E-6</v>
      </c>
      <c r="I5135">
        <v>-1.968019</v>
      </c>
      <c r="J5135">
        <v>-303.80070000000001</v>
      </c>
      <c r="K5135">
        <v>1.0548690000000001</v>
      </c>
      <c r="L5135">
        <v>5.3848880000000001</v>
      </c>
      <c r="M5135">
        <v>0.35618179999999999</v>
      </c>
      <c r="N5135">
        <v>0</v>
      </c>
      <c r="O5135">
        <v>-0.93439490000000003</v>
      </c>
      <c r="P5135">
        <v>0.14116319999999999</v>
      </c>
      <c r="Q5135">
        <v>3.3339140000000003E-2</v>
      </c>
      <c r="R5135">
        <v>-0.989425</v>
      </c>
      <c r="S5135">
        <v>-0.27706910000000001</v>
      </c>
      <c r="T5135">
        <v>-0.42760110000000001</v>
      </c>
      <c r="U5135">
        <v>-3.0986940000000001</v>
      </c>
      <c r="V5135">
        <v>0.22090499999999999</v>
      </c>
      <c r="W5135">
        <v>3.7352759999999999E-2</v>
      </c>
      <c r="X5135">
        <v>0.9745798</v>
      </c>
      <c r="Y5135">
        <v>0.43717669999999997</v>
      </c>
      <c r="Z5135">
        <v>0.1161035</v>
      </c>
      <c r="AA5135">
        <v>0.89185009999999998</v>
      </c>
      <c r="AB5135">
        <v>15</v>
      </c>
      <c r="AC5135">
        <v>-0.77649999999999797</v>
      </c>
      <c r="AD5135">
        <v>-1.0548734914759901</v>
      </c>
      <c r="AE5135">
        <v>-7.3529070000000001</v>
      </c>
      <c r="AF5135">
        <v>3.2778769414347799</v>
      </c>
      <c r="AG5135">
        <v>-1.0548734914759901</v>
      </c>
      <c r="AH5135">
        <v>6.4625344591963403</v>
      </c>
      <c r="AI5135">
        <v>98.282602621999601</v>
      </c>
      <c r="AJ5135">
        <v>63.105316133717999</v>
      </c>
      <c r="AK5135">
        <v>7.3226762158727796</v>
      </c>
      <c r="AL5135">
        <v>87.859346555090696</v>
      </c>
      <c r="AM5135">
        <v>77.228743716714106</v>
      </c>
      <c r="AN5135">
        <v>1.0000000171363199</v>
      </c>
    </row>
    <row r="5136" spans="1:40" x14ac:dyDescent="0.25">
      <c r="A5136" t="str">
        <f>"20190312154704334"</f>
        <v>20190312154704334</v>
      </c>
      <c r="B5136" t="str">
        <f>"1552376824322621"</f>
        <v>1552376824322621</v>
      </c>
      <c r="C5136" t="s">
        <v>40</v>
      </c>
      <c r="D5136">
        <v>4.8990939999999998</v>
      </c>
      <c r="E5136">
        <v>0.59435859999999996</v>
      </c>
      <c r="F5136" t="s">
        <v>42</v>
      </c>
      <c r="G5136">
        <v>-304.625</v>
      </c>
      <c r="H5136" s="1">
        <v>-4.3141589999999996E-6</v>
      </c>
      <c r="I5136">
        <v>-2.4518080000000002</v>
      </c>
      <c r="J5136">
        <v>-303.7088</v>
      </c>
      <c r="K5136">
        <v>1.0544770000000001</v>
      </c>
      <c r="L5136">
        <v>5.0728150000000003</v>
      </c>
      <c r="M5136">
        <v>0.33630919999999997</v>
      </c>
      <c r="N5136">
        <v>0</v>
      </c>
      <c r="O5136">
        <v>-0.94173839999999998</v>
      </c>
      <c r="P5136">
        <v>0.123029399999999</v>
      </c>
      <c r="Q5136">
        <v>3.6200169999999997E-2</v>
      </c>
      <c r="R5136">
        <v>-0.99174280000000004</v>
      </c>
      <c r="S5136">
        <v>-0.32528689999999999</v>
      </c>
      <c r="T5136">
        <v>-0.41627160000000002</v>
      </c>
      <c r="U5136">
        <v>-3.0924990000000001</v>
      </c>
      <c r="V5136">
        <v>0.21810009999999999</v>
      </c>
      <c r="W5136">
        <v>3.8780799999999997E-2</v>
      </c>
      <c r="X5136">
        <v>0.97515560000000001</v>
      </c>
      <c r="Y5136">
        <v>0.43209999999999998</v>
      </c>
      <c r="Z5136">
        <v>0.1148417</v>
      </c>
      <c r="AA5136">
        <v>0.89448359999999905</v>
      </c>
      <c r="AB5136">
        <v>15</v>
      </c>
      <c r="AC5136">
        <v>-0.91620000000000301</v>
      </c>
      <c r="AD5136">
        <v>-1.0544813141589999</v>
      </c>
      <c r="AE5136">
        <v>-7.5246229999999903</v>
      </c>
      <c r="AF5136">
        <v>3.3290406611769301</v>
      </c>
      <c r="AG5136">
        <v>-1.0544813141589999</v>
      </c>
      <c r="AH5136">
        <v>6.6495057726579496</v>
      </c>
      <c r="AI5136">
        <v>98.070849274095593</v>
      </c>
      <c r="AJ5136">
        <v>63.405399796077702</v>
      </c>
      <c r="AK5136">
        <v>7.5106836963282699</v>
      </c>
      <c r="AL5136">
        <v>87.777466553255394</v>
      </c>
      <c r="AM5136">
        <v>77.392893419811102</v>
      </c>
      <c r="AN5136">
        <v>1.00000002414</v>
      </c>
    </row>
    <row r="5137" spans="1:40" x14ac:dyDescent="0.25">
      <c r="A5137" t="str">
        <f>"20190312154704366"</f>
        <v>20190312154704366</v>
      </c>
      <c r="B5137" t="str">
        <f>"1552376824352876"</f>
        <v>1552376824352876</v>
      </c>
      <c r="C5137" t="s">
        <v>40</v>
      </c>
      <c r="D5137">
        <v>4.865183</v>
      </c>
      <c r="E5137">
        <v>0.59404509999999999</v>
      </c>
      <c r="F5137" t="s">
        <v>42</v>
      </c>
      <c r="G5137">
        <v>-304.70089999999999</v>
      </c>
      <c r="H5137" s="1">
        <v>-4.0867259999999996E-6</v>
      </c>
      <c r="I5137">
        <v>-3.0791460000000002</v>
      </c>
      <c r="J5137">
        <v>-303.64600000000002</v>
      </c>
      <c r="K5137">
        <v>1.0541849999999999</v>
      </c>
      <c r="L5137">
        <v>4.8455810000000001</v>
      </c>
      <c r="M5137">
        <v>0.32190020000000003</v>
      </c>
      <c r="N5137">
        <v>0</v>
      </c>
      <c r="O5137">
        <v>-0.94676479999999996</v>
      </c>
      <c r="P5137">
        <v>0.10940130000000001</v>
      </c>
      <c r="Q5137">
        <v>3.6806819999999997E-2</v>
      </c>
      <c r="R5137">
        <v>-0.99331610000000004</v>
      </c>
      <c r="S5137">
        <v>-0.37561040000000001</v>
      </c>
      <c r="T5137">
        <v>-0.39920290000000003</v>
      </c>
      <c r="U5137">
        <v>-3.0861510000000001</v>
      </c>
      <c r="V5137">
        <v>0.21661449999999999</v>
      </c>
      <c r="W5137">
        <v>3.8407719999999999E-2</v>
      </c>
      <c r="X5137">
        <v>0.97550139999999996</v>
      </c>
      <c r="Y5137">
        <v>0.4330079</v>
      </c>
      <c r="Z5137">
        <v>0.1112625</v>
      </c>
      <c r="AA5137">
        <v>0.89449699999999999</v>
      </c>
      <c r="AB5137">
        <v>16</v>
      </c>
      <c r="AC5137">
        <v>-1.0549000000000299</v>
      </c>
      <c r="AD5137">
        <v>-1.054189086726</v>
      </c>
      <c r="AE5137">
        <v>-7.9247269999999999</v>
      </c>
      <c r="AF5137">
        <v>3.48907623913375</v>
      </c>
      <c r="AG5137">
        <v>-1.054189086726</v>
      </c>
      <c r="AH5137">
        <v>7.0409149844018701</v>
      </c>
      <c r="AI5137">
        <v>97.640889280593001</v>
      </c>
      <c r="AJ5137">
        <v>63.6396059633664</v>
      </c>
      <c r="AK5137">
        <v>7.9283952632695298</v>
      </c>
      <c r="AL5137">
        <v>87.798858320355905</v>
      </c>
      <c r="AM5137">
        <v>77.480348802462601</v>
      </c>
      <c r="AN5137">
        <v>0.99999998798390399</v>
      </c>
    </row>
    <row r="5138" spans="1:40" x14ac:dyDescent="0.25">
      <c r="A5138" t="str">
        <f>"20190312154704388"</f>
        <v>20190312154704388</v>
      </c>
      <c r="B5138" t="str">
        <f>"1552376824383132"</f>
        <v>1552376824383132</v>
      </c>
      <c r="C5138" t="s">
        <v>40</v>
      </c>
      <c r="D5138">
        <v>4.8072629999999998</v>
      </c>
      <c r="E5138">
        <v>0.5937462</v>
      </c>
      <c r="F5138" t="s">
        <v>42</v>
      </c>
      <c r="G5138">
        <v>-304.76119999999997</v>
      </c>
      <c r="H5138" s="1">
        <v>-3.9657360000000001E-6</v>
      </c>
      <c r="I5138">
        <v>-3.4220290000000002</v>
      </c>
      <c r="J5138">
        <v>-303.60199999999998</v>
      </c>
      <c r="K5138">
        <v>1.0539799999999999</v>
      </c>
      <c r="L5138">
        <v>4.6770319999999996</v>
      </c>
      <c r="M5138">
        <v>0.31125789999999998</v>
      </c>
      <c r="N5138">
        <v>0</v>
      </c>
      <c r="O5138">
        <v>-0.95031920000000003</v>
      </c>
      <c r="P5138">
        <v>0.10043050000000001</v>
      </c>
      <c r="Q5138">
        <v>3.744078E-2</v>
      </c>
      <c r="R5138">
        <v>-0.99423969999999995</v>
      </c>
      <c r="S5138">
        <v>-0.4154968</v>
      </c>
      <c r="T5138">
        <v>-0.39279009999999998</v>
      </c>
      <c r="U5138">
        <v>-3.080505</v>
      </c>
      <c r="V5138">
        <v>0.21447959999999999</v>
      </c>
      <c r="W5138">
        <v>3.8376739999999999E-2</v>
      </c>
      <c r="X5138">
        <v>0.97597429999999996</v>
      </c>
      <c r="Y5138">
        <v>0.4345155</v>
      </c>
      <c r="Z5138">
        <v>0.1102335</v>
      </c>
      <c r="AA5138">
        <v>0.8938931</v>
      </c>
      <c r="AB5138">
        <v>16</v>
      </c>
      <c r="AC5138">
        <v>-1.1591999999999401</v>
      </c>
      <c r="AD5138">
        <v>-1.053983965736</v>
      </c>
      <c r="AE5138">
        <v>-8.0990609999999901</v>
      </c>
      <c r="AF5138">
        <v>3.56339188761965</v>
      </c>
      <c r="AG5138">
        <v>-1.053983965736</v>
      </c>
      <c r="AH5138">
        <v>7.2161704378969098</v>
      </c>
      <c r="AI5138">
        <v>97.461087830048498</v>
      </c>
      <c r="AJ5138">
        <v>63.719540534955001</v>
      </c>
      <c r="AK5138">
        <v>8.1167579570638502</v>
      </c>
      <c r="AL5138">
        <v>87.800634797673496</v>
      </c>
      <c r="AM5138">
        <v>77.605726979942105</v>
      </c>
      <c r="AN5138">
        <v>1.0000000536248299</v>
      </c>
    </row>
    <row r="5139" spans="1:40" x14ac:dyDescent="0.25">
      <c r="A5139" t="str">
        <f>"20190312154704425"</f>
        <v>20190312154704425</v>
      </c>
      <c r="B5139" t="str">
        <f>"1552376824413388"</f>
        <v>1552376824413388</v>
      </c>
      <c r="C5139" t="s">
        <v>40</v>
      </c>
      <c r="D5139">
        <v>4.8324040000000004</v>
      </c>
      <c r="E5139">
        <v>0.59329129999999997</v>
      </c>
      <c r="F5139" t="s">
        <v>42</v>
      </c>
      <c r="G5139">
        <v>-304.8075</v>
      </c>
      <c r="H5139" s="1">
        <v>-3.8595019999999997E-6</v>
      </c>
      <c r="I5139">
        <v>-3.7200690000000001</v>
      </c>
      <c r="J5139">
        <v>-303.53590000000003</v>
      </c>
      <c r="K5139">
        <v>1.053669</v>
      </c>
      <c r="L5139">
        <v>4.4109189999999998</v>
      </c>
      <c r="M5139">
        <v>0.29453940000000001</v>
      </c>
      <c r="N5139">
        <v>0</v>
      </c>
      <c r="O5139">
        <v>-0.95563609999999999</v>
      </c>
      <c r="P5139">
        <v>8.6885299999999999E-2</v>
      </c>
      <c r="Q5139">
        <v>3.7121510000000003E-2</v>
      </c>
      <c r="R5139">
        <v>-0.99552649999999998</v>
      </c>
      <c r="S5139">
        <v>-0.44168089999999999</v>
      </c>
      <c r="T5139">
        <v>-0.38615969999999999</v>
      </c>
      <c r="U5139">
        <v>-3.0765380000000002</v>
      </c>
      <c r="V5139">
        <v>0.210651</v>
      </c>
      <c r="W5139">
        <v>3.7104489999999997E-2</v>
      </c>
      <c r="X5139">
        <v>0.97685690000000003</v>
      </c>
      <c r="Y5139">
        <v>0.42634899999999998</v>
      </c>
      <c r="Z5139">
        <v>0.10970829999999999</v>
      </c>
      <c r="AA5139">
        <v>0.89788119999999905</v>
      </c>
      <c r="AB5139">
        <v>16</v>
      </c>
      <c r="AC5139">
        <v>-1.2715999999999701</v>
      </c>
      <c r="AD5139">
        <v>-1.053672859502</v>
      </c>
      <c r="AE5139">
        <v>-8.1309880000000003</v>
      </c>
      <c r="AF5139">
        <v>3.5518722030882599</v>
      </c>
      <c r="AG5139">
        <v>-1.053672859502</v>
      </c>
      <c r="AH5139">
        <v>7.2764765081734897</v>
      </c>
      <c r="AI5139">
        <v>97.414224257360502</v>
      </c>
      <c r="AJ5139">
        <v>63.9815721702074</v>
      </c>
      <c r="AK5139">
        <v>8.1653617810800601</v>
      </c>
      <c r="AL5139">
        <v>87.873581198881894</v>
      </c>
      <c r="AM5139">
        <v>77.830986844157707</v>
      </c>
      <c r="AN5139">
        <v>0.99999999502838499</v>
      </c>
    </row>
    <row r="5140" spans="1:40" x14ac:dyDescent="0.25">
      <c r="A5140" t="str">
        <f>"20190312154704469"</f>
        <v>20190312154704469</v>
      </c>
      <c r="B5140" t="str">
        <f>"1552376824463164"</f>
        <v>1552376824463164</v>
      </c>
      <c r="C5140" t="s">
        <v>40</v>
      </c>
      <c r="D5140">
        <v>4.8475380000000001</v>
      </c>
      <c r="E5140">
        <v>0.5577261</v>
      </c>
      <c r="F5140" t="s">
        <v>42</v>
      </c>
      <c r="G5140">
        <v>-304.85289999999998</v>
      </c>
      <c r="H5140" s="1">
        <v>-3.755971E-6</v>
      </c>
      <c r="I5140">
        <v>-4.0106580000000003</v>
      </c>
      <c r="J5140">
        <v>-303.4579</v>
      </c>
      <c r="K5140">
        <v>1.053301</v>
      </c>
      <c r="L5140">
        <v>4.0674130000000002</v>
      </c>
      <c r="M5140">
        <v>0.27324399999999999</v>
      </c>
      <c r="N5140">
        <v>0</v>
      </c>
      <c r="O5140">
        <v>-0.96194360000000001</v>
      </c>
      <c r="P5140">
        <v>6.6974980000000003E-2</v>
      </c>
      <c r="Q5140">
        <v>3.634888E-2</v>
      </c>
      <c r="R5140">
        <v>-0.99709250000000005</v>
      </c>
      <c r="S5140">
        <v>-0.48004150000000001</v>
      </c>
      <c r="T5140">
        <v>-0.38406829999999997</v>
      </c>
      <c r="U5140">
        <v>-3.0697019999999999</v>
      </c>
      <c r="V5140">
        <v>0.2084831</v>
      </c>
      <c r="W5140">
        <v>3.5273690000000003E-2</v>
      </c>
      <c r="X5140">
        <v>0.97738970000000003</v>
      </c>
      <c r="Y5140">
        <v>0.41750510000000002</v>
      </c>
      <c r="Z5140">
        <v>0.1106869</v>
      </c>
      <c r="AA5140">
        <v>0.90190789999999998</v>
      </c>
      <c r="AB5140">
        <v>17</v>
      </c>
      <c r="AC5140">
        <v>-1.39499999999998</v>
      </c>
      <c r="AD5140">
        <v>-1.053304755971</v>
      </c>
      <c r="AE5140">
        <v>-8.0780709999999996</v>
      </c>
      <c r="AF5140">
        <v>3.4915562851787199</v>
      </c>
      <c r="AG5140">
        <v>-1.053304755971</v>
      </c>
      <c r="AH5140">
        <v>7.26946716843337</v>
      </c>
      <c r="AI5140">
        <v>97.441284273186398</v>
      </c>
      <c r="AJ5140">
        <v>64.344825932722799</v>
      </c>
      <c r="AK5140">
        <v>8.1329926296814499</v>
      </c>
      <c r="AL5140">
        <v>87.978547156682296</v>
      </c>
      <c r="AM5140">
        <v>77.958922069038707</v>
      </c>
      <c r="AN5140">
        <v>1.0000000309289501</v>
      </c>
    </row>
    <row r="5141" spans="1:40" x14ac:dyDescent="0.25">
      <c r="A5141" t="str">
        <f>"20190312154704513"</f>
        <v>20190312154704513</v>
      </c>
      <c r="B5141" t="str">
        <f>"1552376824503180"</f>
        <v>1552376824503180</v>
      </c>
      <c r="C5141" t="s">
        <v>40</v>
      </c>
      <c r="D5141">
        <v>4.8714079999999997</v>
      </c>
      <c r="E5141">
        <v>0.55266309999999996</v>
      </c>
      <c r="F5141" t="s">
        <v>42</v>
      </c>
      <c r="G5141">
        <v>-303.88810000000001</v>
      </c>
      <c r="H5141" s="1">
        <v>-4.7129530000000002E-6</v>
      </c>
      <c r="I5141">
        <v>-1.072954</v>
      </c>
      <c r="J5141">
        <v>-303.38380000000001</v>
      </c>
      <c r="K5141">
        <v>1.052961</v>
      </c>
      <c r="L5141">
        <v>3.7061459999999999</v>
      </c>
      <c r="M5141">
        <v>0.25126900000000002</v>
      </c>
      <c r="N5141">
        <v>0</v>
      </c>
      <c r="O5141">
        <v>-0.96791719999999903</v>
      </c>
      <c r="P5141">
        <v>4.801913E-2</v>
      </c>
      <c r="Q5141">
        <v>3.2561529999999998E-2</v>
      </c>
      <c r="R5141">
        <v>-0.99831579999999998</v>
      </c>
      <c r="S5141">
        <v>-0.25515749999999998</v>
      </c>
      <c r="T5141">
        <v>-0.62470019999999904</v>
      </c>
      <c r="U5141">
        <v>-3.0486759999999999</v>
      </c>
      <c r="V5141">
        <v>0.2047853</v>
      </c>
      <c r="W5141">
        <v>3.0634209999999999E-2</v>
      </c>
      <c r="X5141">
        <v>0.97832739999999996</v>
      </c>
      <c r="Y5141">
        <v>0.32948460000000002</v>
      </c>
      <c r="Z5141">
        <v>0.18517339999999999</v>
      </c>
      <c r="AA5141">
        <v>0.92582430000000004</v>
      </c>
      <c r="AB5141">
        <v>17</v>
      </c>
      <c r="AC5141">
        <v>-0.50429999999999997</v>
      </c>
      <c r="AD5141">
        <v>-1.0529657129529999</v>
      </c>
      <c r="AE5141">
        <v>-4.7790999999999997</v>
      </c>
      <c r="AF5141">
        <v>1.6115889086614199</v>
      </c>
      <c r="AG5141">
        <v>-1.0529657129529999</v>
      </c>
      <c r="AH5141">
        <v>4.2929559055018904</v>
      </c>
      <c r="AI5141">
        <v>102.93263304654501</v>
      </c>
      <c r="AJ5141">
        <v>69.423709522002397</v>
      </c>
      <c r="AK5141">
        <v>4.7048300723574199</v>
      </c>
      <c r="AL5141">
        <v>88.244514389749895</v>
      </c>
      <c r="AM5141">
        <v>78.1774400174953</v>
      </c>
      <c r="AN5141">
        <v>0.99999998775458698</v>
      </c>
    </row>
    <row r="5142" spans="1:40" x14ac:dyDescent="0.25">
      <c r="A5142" t="str">
        <f>"20190312154704581"</f>
        <v>20190312154704581</v>
      </c>
      <c r="B5142" t="str">
        <f>"1552376824573453"</f>
        <v>1552376824573453</v>
      </c>
      <c r="C5142" t="s">
        <v>40</v>
      </c>
      <c r="D5142">
        <v>4.7748799999999996</v>
      </c>
      <c r="E5142">
        <v>0.50918069999999904</v>
      </c>
      <c r="F5142" t="s">
        <v>42</v>
      </c>
      <c r="G5142">
        <v>-303.81369999999998</v>
      </c>
      <c r="H5142" s="1">
        <v>-4.6993269999999997E-6</v>
      </c>
      <c r="I5142">
        <v>-1.0740809999999901</v>
      </c>
      <c r="J5142">
        <v>-303.28300000000002</v>
      </c>
      <c r="K5142">
        <v>1.0526439999999999</v>
      </c>
      <c r="L5142">
        <v>3.1390380000000002</v>
      </c>
      <c r="M5142">
        <v>0.21785470000000001</v>
      </c>
      <c r="N5142">
        <v>0</v>
      </c>
      <c r="O5142">
        <v>-0.97598119999999999</v>
      </c>
      <c r="P5142">
        <v>2.00363E-2</v>
      </c>
      <c r="Q5142">
        <v>2.9231469999999999E-2</v>
      </c>
      <c r="R5142">
        <v>-0.99937169999999997</v>
      </c>
      <c r="S5142">
        <v>-0.27340700000000001</v>
      </c>
      <c r="T5142">
        <v>-0.66965169999999996</v>
      </c>
      <c r="U5142">
        <v>-3.0400700000000001</v>
      </c>
      <c r="V5142">
        <v>0.19853879999999999</v>
      </c>
      <c r="W5142">
        <v>2.6417349999999999E-2</v>
      </c>
      <c r="X5142">
        <v>0.97973690000000002</v>
      </c>
      <c r="Y5142">
        <v>0.30238700000000002</v>
      </c>
      <c r="Z5142">
        <v>0.20195550000000001</v>
      </c>
      <c r="AA5142">
        <v>0.93154499999999996</v>
      </c>
      <c r="AB5142">
        <v>18</v>
      </c>
      <c r="AC5142">
        <v>-0.53069999999996698</v>
      </c>
      <c r="AD5142">
        <v>-1.0526486993269999</v>
      </c>
      <c r="AE5142">
        <v>-4.2131189999999998</v>
      </c>
      <c r="AF5142">
        <v>1.35267875743155</v>
      </c>
      <c r="AG5142">
        <v>-1.0526486993269999</v>
      </c>
      <c r="AH5142">
        <v>3.7649527362193802</v>
      </c>
      <c r="AI5142">
        <v>104.741761581162</v>
      </c>
      <c r="AJ5142">
        <v>70.237563868700903</v>
      </c>
      <c r="AK5142">
        <v>4.1367472984178297</v>
      </c>
      <c r="AL5142">
        <v>88.486221175510295</v>
      </c>
      <c r="AM5142">
        <v>78.544422436092901</v>
      </c>
      <c r="AN5142">
        <v>0.99999996235403499</v>
      </c>
    </row>
    <row r="5143" spans="1:40" x14ac:dyDescent="0.25">
      <c r="A5143" t="str">
        <f>"20190312154704626"</f>
        <v>20190312154704626</v>
      </c>
      <c r="B5143" t="str">
        <f>"1552376824613469"</f>
        <v>1552376824613469</v>
      </c>
      <c r="C5143" t="s">
        <v>40</v>
      </c>
      <c r="D5143">
        <v>4.8049629999999999</v>
      </c>
      <c r="E5143">
        <v>0.50957730000000001</v>
      </c>
      <c r="F5143" t="s">
        <v>41</v>
      </c>
      <c r="G5143">
        <v>-303.28559999999999</v>
      </c>
      <c r="H5143">
        <v>0.87099769999999899</v>
      </c>
      <c r="I5143">
        <v>2.4266619999999999</v>
      </c>
      <c r="J5143">
        <v>-303.22519999999997</v>
      </c>
      <c r="K5143">
        <v>1.0525359999999999</v>
      </c>
      <c r="L5143">
        <v>2.7568969999999999</v>
      </c>
      <c r="M5143">
        <v>0.1962489</v>
      </c>
      <c r="N5143">
        <v>0</v>
      </c>
      <c r="O5143">
        <v>-0.98055400000000004</v>
      </c>
      <c r="P5143">
        <v>9.1536860000000005E-4</v>
      </c>
      <c r="Q5143">
        <v>2.657085E-2</v>
      </c>
      <c r="R5143">
        <v>-0.9996467</v>
      </c>
      <c r="S5143">
        <v>-1.089478E-2</v>
      </c>
      <c r="T5143">
        <v>-0.77080059999999995</v>
      </c>
      <c r="U5143">
        <v>-3.0246580000000001</v>
      </c>
      <c r="V5143">
        <v>0.19561870000000001</v>
      </c>
      <c r="W5143">
        <v>2.3368920000000001E-2</v>
      </c>
      <c r="X5143">
        <v>0.98040159999999998</v>
      </c>
      <c r="Y5143">
        <v>0.1996117</v>
      </c>
      <c r="Z5143">
        <v>0.23733019999999999</v>
      </c>
      <c r="AA5143">
        <v>0.95069950000000003</v>
      </c>
      <c r="AB5143">
        <v>19</v>
      </c>
      <c r="AC5143">
        <v>-6.0400000000015497E-2</v>
      </c>
      <c r="AD5143">
        <v>-0.18153830000000001</v>
      </c>
      <c r="AE5143">
        <v>-0.330235</v>
      </c>
      <c r="AF5143">
        <v>9.5970503730767404E-2</v>
      </c>
      <c r="AG5143">
        <v>-0.18153830000000001</v>
      </c>
      <c r="AH5143">
        <v>0.24137743710163001</v>
      </c>
      <c r="AI5143">
        <v>124.948888630843</v>
      </c>
      <c r="AJ5143">
        <v>68.317470363107205</v>
      </c>
      <c r="AK5143">
        <v>0.31690623076073898</v>
      </c>
      <c r="AL5143">
        <v>88.660937668163101</v>
      </c>
      <c r="AM5143">
        <v>78.716009868846299</v>
      </c>
      <c r="AN5143">
        <v>1.0000000397471001</v>
      </c>
    </row>
    <row r="5144" spans="1:40" x14ac:dyDescent="0.25">
      <c r="A5144" t="str">
        <f>"20190312154704670"</f>
        <v>20190312154704670</v>
      </c>
      <c r="B5144" t="str">
        <f>"1552376824663248"</f>
        <v>1552376824663248</v>
      </c>
      <c r="C5144" t="s">
        <v>40</v>
      </c>
      <c r="D5144">
        <v>4.7950850000000003</v>
      </c>
      <c r="E5144">
        <v>0.50941170000000002</v>
      </c>
      <c r="F5144" t="s">
        <v>41</v>
      </c>
      <c r="G5144">
        <v>-303.245</v>
      </c>
      <c r="H5144">
        <v>0.83528659999999999</v>
      </c>
      <c r="I5144">
        <v>1.9116</v>
      </c>
      <c r="J5144">
        <v>-303.17250000000001</v>
      </c>
      <c r="K5144">
        <v>1.052459</v>
      </c>
      <c r="L5144">
        <v>2.3559269999999999</v>
      </c>
      <c r="M5144">
        <v>0.1745015</v>
      </c>
      <c r="N5144">
        <v>0</v>
      </c>
      <c r="O5144">
        <v>-0.98465670000000005</v>
      </c>
      <c r="P5144">
        <v>-1.9060939999999998E-2</v>
      </c>
      <c r="Q5144">
        <v>2.5343460000000002E-2</v>
      </c>
      <c r="R5144">
        <v>-0.99949699999999997</v>
      </c>
      <c r="S5144">
        <v>-7.0556640000000004E-2</v>
      </c>
      <c r="T5144">
        <v>-0.77592869999999903</v>
      </c>
      <c r="U5144">
        <v>-3.0217589999999999</v>
      </c>
      <c r="V5144">
        <v>0.19349830000000001</v>
      </c>
      <c r="W5144">
        <v>2.184295E-2</v>
      </c>
      <c r="X5144">
        <v>0.98085739999999999</v>
      </c>
      <c r="Y5144">
        <v>0.19668730000000001</v>
      </c>
      <c r="Z5144">
        <v>0.24057690000000001</v>
      </c>
      <c r="AA5144">
        <v>0.95049300000000003</v>
      </c>
      <c r="AB5144">
        <v>19</v>
      </c>
      <c r="AC5144">
        <v>-7.2499999999990905E-2</v>
      </c>
      <c r="AD5144">
        <v>-0.21717239999999999</v>
      </c>
      <c r="AE5144">
        <v>-0.44432699999999897</v>
      </c>
      <c r="AF5144">
        <v>0.120810919091493</v>
      </c>
      <c r="AG5144">
        <v>-0.21717239999999999</v>
      </c>
      <c r="AH5144">
        <v>0.34465725730825097</v>
      </c>
      <c r="AI5144">
        <v>120.7373401401</v>
      </c>
      <c r="AJ5144">
        <v>70.683170363294096</v>
      </c>
      <c r="AK5144">
        <v>0.42490911323333302</v>
      </c>
      <c r="AL5144">
        <v>88.748391578697706</v>
      </c>
      <c r="AM5144">
        <v>78.840291173997997</v>
      </c>
      <c r="AN5144">
        <v>0.99999997285117503</v>
      </c>
    </row>
    <row r="5145" spans="1:40" x14ac:dyDescent="0.25">
      <c r="A5145" t="str">
        <f>"20190312154704714"</f>
        <v>20190312154704714</v>
      </c>
      <c r="B5145" t="str">
        <f>"1552376824703261"</f>
        <v>1552376824703261</v>
      </c>
      <c r="C5145" t="s">
        <v>40</v>
      </c>
      <c r="D5145">
        <v>4.8062829999999996</v>
      </c>
      <c r="E5145">
        <v>0.49133169999999998</v>
      </c>
      <c r="F5145" t="s">
        <v>41</v>
      </c>
      <c r="G5145">
        <v>-303.20600000000002</v>
      </c>
      <c r="H5145">
        <v>0.84360000000000002</v>
      </c>
      <c r="I5145">
        <v>1.54762</v>
      </c>
      <c r="J5145">
        <v>-303.1259</v>
      </c>
      <c r="K5145">
        <v>1.052408</v>
      </c>
      <c r="L5145">
        <v>1.941254</v>
      </c>
      <c r="M5145">
        <v>0.15299749999999901</v>
      </c>
      <c r="N5145">
        <v>0</v>
      </c>
      <c r="O5145">
        <v>-0.98822600000000005</v>
      </c>
      <c r="P5145">
        <v>-3.9661910000000002E-2</v>
      </c>
      <c r="Q5145">
        <v>2.3398639999999998E-2</v>
      </c>
      <c r="R5145">
        <v>-0.99893920000000003</v>
      </c>
      <c r="S5145">
        <v>-0.124816899999999</v>
      </c>
      <c r="T5145">
        <v>-0.77956309999999995</v>
      </c>
      <c r="U5145">
        <v>-3.0188899999999999</v>
      </c>
      <c r="V5145">
        <v>0.1923156</v>
      </c>
      <c r="W5145">
        <v>1.966714E-2</v>
      </c>
      <c r="X5145">
        <v>0.98113600000000001</v>
      </c>
      <c r="Y5145">
        <v>0.19238820000000001</v>
      </c>
      <c r="Z5145">
        <v>0.24320900000000001</v>
      </c>
      <c r="AA5145">
        <v>0.95070299999999996</v>
      </c>
      <c r="AB5145">
        <v>20</v>
      </c>
      <c r="AC5145">
        <v>-8.0099999999958899E-2</v>
      </c>
      <c r="AD5145">
        <v>-0.20880799999999999</v>
      </c>
      <c r="AE5145">
        <v>-0.39363399999999998</v>
      </c>
      <c r="AF5145">
        <v>0.109732165179299</v>
      </c>
      <c r="AG5145">
        <v>-0.20880799999999999</v>
      </c>
      <c r="AH5145">
        <v>0.29660204498838399</v>
      </c>
      <c r="AI5145">
        <v>123.435303116463</v>
      </c>
      <c r="AJ5145">
        <v>69.697325937197206</v>
      </c>
      <c r="AK5145">
        <v>0.37896530452038502</v>
      </c>
      <c r="AL5145">
        <v>88.873083191491205</v>
      </c>
      <c r="AM5145">
        <v>78.909876534471607</v>
      </c>
      <c r="AN5145">
        <v>0.999999968447569</v>
      </c>
    </row>
    <row r="5146" spans="1:40" x14ac:dyDescent="0.25">
      <c r="A5146" t="str">
        <f>"20190312154704758"</f>
        <v>20190312154704758</v>
      </c>
      <c r="B5146" t="str">
        <f>"1552376824753040"</f>
        <v>1552376824753040</v>
      </c>
      <c r="C5146" t="s">
        <v>40</v>
      </c>
      <c r="D5146">
        <v>4.8061920000000002</v>
      </c>
      <c r="E5146">
        <v>0.49126750000000002</v>
      </c>
      <c r="F5146" t="s">
        <v>41</v>
      </c>
      <c r="G5146">
        <v>-303.13630000000001</v>
      </c>
      <c r="H5146">
        <v>0.86190519999999904</v>
      </c>
      <c r="I5146">
        <v>1.1772499999999999</v>
      </c>
      <c r="J5146">
        <v>-303.0865</v>
      </c>
      <c r="K5146">
        <v>1.0524150000000001</v>
      </c>
      <c r="L5146">
        <v>1.5220340000000001</v>
      </c>
      <c r="M5146">
        <v>0.13244790000000001</v>
      </c>
      <c r="N5146">
        <v>0</v>
      </c>
      <c r="O5146">
        <v>-0.99118930000000005</v>
      </c>
      <c r="P5146">
        <v>-5.7739430000000001E-2</v>
      </c>
      <c r="Q5146">
        <v>2.1324449999999998E-2</v>
      </c>
      <c r="R5146">
        <v>-0.99810430000000006</v>
      </c>
      <c r="S5146">
        <v>-4.0435789999999999E-2</v>
      </c>
      <c r="T5146">
        <v>-0.75206070000000003</v>
      </c>
      <c r="U5146">
        <v>-3.019196</v>
      </c>
      <c r="V5146">
        <v>0.18967990000000001</v>
      </c>
      <c r="W5146">
        <v>1.7484079999999999E-2</v>
      </c>
      <c r="X5146">
        <v>0.98169030000000002</v>
      </c>
      <c r="Y5146">
        <v>0.14530270000000001</v>
      </c>
      <c r="Z5146">
        <v>0.2372484</v>
      </c>
      <c r="AA5146">
        <v>0.96052090000000001</v>
      </c>
      <c r="AB5146">
        <v>20</v>
      </c>
      <c r="AC5146">
        <v>-4.9800000000004702E-2</v>
      </c>
      <c r="AD5146">
        <v>-0.19050979999999901</v>
      </c>
      <c r="AE5146">
        <v>-0.34478399999999998</v>
      </c>
      <c r="AF5146">
        <v>7.3150167555423098E-2</v>
      </c>
      <c r="AG5146">
        <v>-0.19050979999999901</v>
      </c>
      <c r="AH5146">
        <v>0.25799261189610001</v>
      </c>
      <c r="AI5146">
        <v>125.39100130983201</v>
      </c>
      <c r="AJ5146">
        <v>74.1700628608221</v>
      </c>
      <c r="AK5146">
        <v>0.328945464632662</v>
      </c>
      <c r="AL5146">
        <v>88.998184962911296</v>
      </c>
      <c r="AM5146">
        <v>79.064203670431198</v>
      </c>
      <c r="AN5146">
        <v>1.0000000013157699</v>
      </c>
    </row>
    <row r="5147" spans="1:40" x14ac:dyDescent="0.25">
      <c r="A5147" t="str">
        <f>"20190312154704788"</f>
        <v>20190312154704788</v>
      </c>
      <c r="B5147" t="str">
        <f>"1552376824783293"</f>
        <v>1552376824783293</v>
      </c>
      <c r="C5147" t="s">
        <v>40</v>
      </c>
      <c r="D5147">
        <v>4.8200430000000001</v>
      </c>
      <c r="E5147">
        <v>0.4915678</v>
      </c>
      <c r="F5147" t="s">
        <v>41</v>
      </c>
      <c r="G5147">
        <v>-303.1096</v>
      </c>
      <c r="H5147">
        <v>0.86941170000000001</v>
      </c>
      <c r="I5147">
        <v>0.79414869999999904</v>
      </c>
      <c r="J5147">
        <v>-303.06389999999999</v>
      </c>
      <c r="K5147">
        <v>1.052487</v>
      </c>
      <c r="L5147">
        <v>1.2364809999999999</v>
      </c>
      <c r="M5147">
        <v>0.1192561</v>
      </c>
      <c r="N5147">
        <v>0</v>
      </c>
      <c r="O5147">
        <v>-0.99286269999999999</v>
      </c>
      <c r="P5147">
        <v>-6.8029569999999998E-2</v>
      </c>
      <c r="Q5147">
        <v>2.026184E-2</v>
      </c>
      <c r="R5147">
        <v>-0.99747759999999996</v>
      </c>
      <c r="S5147">
        <v>-9.4757079999999994E-2</v>
      </c>
      <c r="T5147">
        <v>-0.75717389999999996</v>
      </c>
      <c r="U5147">
        <v>-3.0163880000000001</v>
      </c>
      <c r="V5147">
        <v>0.18673319999999999</v>
      </c>
      <c r="W5147">
        <v>1.642851E-2</v>
      </c>
      <c r="X5147">
        <v>0.98227330000000002</v>
      </c>
      <c r="Y5147">
        <v>0.14943090000000001</v>
      </c>
      <c r="Z5147">
        <v>0.23945630000000001</v>
      </c>
      <c r="AA5147">
        <v>0.95933889999999999</v>
      </c>
      <c r="AB5147">
        <v>21</v>
      </c>
      <c r="AC5147">
        <v>-4.5700000000010697E-2</v>
      </c>
      <c r="AD5147">
        <v>-0.1830753</v>
      </c>
      <c r="AE5147">
        <v>-0.44233230000000001</v>
      </c>
      <c r="AF5147">
        <v>8.3903670410861095E-2</v>
      </c>
      <c r="AG5147">
        <v>-0.1830753</v>
      </c>
      <c r="AH5147">
        <v>0.37086643636105898</v>
      </c>
      <c r="AI5147">
        <v>115.70961568604601</v>
      </c>
      <c r="AJ5147">
        <v>77.252180488152007</v>
      </c>
      <c r="AK5147">
        <v>0.42201694870900103</v>
      </c>
      <c r="AL5147">
        <v>89.058673376027599</v>
      </c>
      <c r="AM5147">
        <v>79.236331609138304</v>
      </c>
      <c r="AN5147">
        <v>1.00000000990797</v>
      </c>
    </row>
    <row r="5148" spans="1:40" x14ac:dyDescent="0.25">
      <c r="A5148" t="str">
        <f>"20190312154704827"</f>
        <v>20190312154704827</v>
      </c>
      <c r="B5148" t="str">
        <f>"1552376824823308"</f>
        <v>1552376824823308</v>
      </c>
      <c r="C5148" t="s">
        <v>40</v>
      </c>
      <c r="D5148">
        <v>4.8278869999999996</v>
      </c>
      <c r="E5148">
        <v>0.49144690000000002</v>
      </c>
      <c r="F5148" t="s">
        <v>41</v>
      </c>
      <c r="G5148">
        <v>-303.09960000000001</v>
      </c>
      <c r="H5148">
        <v>0.8458135</v>
      </c>
      <c r="I5148">
        <v>0.41383560000000003</v>
      </c>
      <c r="J5148">
        <v>-303.03859999999997</v>
      </c>
      <c r="K5148">
        <v>1.052856</v>
      </c>
      <c r="L5148">
        <v>0.86199950000000003</v>
      </c>
      <c r="M5148">
        <v>0.10240299999999999</v>
      </c>
      <c r="N5148">
        <v>0</v>
      </c>
      <c r="O5148">
        <v>-0.99474260000000003</v>
      </c>
      <c r="P5148">
        <v>-7.9414129999999999E-2</v>
      </c>
      <c r="Q5148">
        <v>1.9692419999999999E-2</v>
      </c>
      <c r="R5148">
        <v>-0.99664750000000002</v>
      </c>
      <c r="S5148">
        <v>-0.13015750000000001</v>
      </c>
      <c r="T5148">
        <v>-0.75623769999999901</v>
      </c>
      <c r="U5148">
        <v>-3.0140690000000001</v>
      </c>
      <c r="V5148">
        <v>0.18127879999999999</v>
      </c>
      <c r="W5148">
        <v>1.6438999999999999E-2</v>
      </c>
      <c r="X5148">
        <v>0.98329429999999995</v>
      </c>
      <c r="Y5148">
        <v>0.14393880000000001</v>
      </c>
      <c r="Z5148">
        <v>0.24007829999999999</v>
      </c>
      <c r="AA5148">
        <v>0.96002290000000001</v>
      </c>
      <c r="AB5148">
        <v>21</v>
      </c>
      <c r="AC5148">
        <v>-6.1000000000035401E-2</v>
      </c>
      <c r="AD5148">
        <v>-0.20704249999999999</v>
      </c>
      <c r="AE5148">
        <v>-0.4481639</v>
      </c>
      <c r="AF5148">
        <v>8.8109866401356499E-2</v>
      </c>
      <c r="AG5148">
        <v>-0.20704249999999999</v>
      </c>
      <c r="AH5148">
        <v>0.363411080499627</v>
      </c>
      <c r="AI5148">
        <v>118.972365738479</v>
      </c>
      <c r="AJ5148">
        <v>76.371484703844501</v>
      </c>
      <c r="AK5148">
        <v>0.427431349801838</v>
      </c>
      <c r="AL5148">
        <v>89.058072217218196</v>
      </c>
      <c r="AM5148">
        <v>79.5543170876049</v>
      </c>
      <c r="AN5148">
        <v>0.99999996223146403</v>
      </c>
    </row>
    <row r="5149" spans="1:40" x14ac:dyDescent="0.25">
      <c r="A5149" t="str">
        <f>"20190312154704871"</f>
        <v>20190312154704871</v>
      </c>
      <c r="B5149" t="str">
        <f>"1552376824863328"</f>
        <v>1552376824863328</v>
      </c>
      <c r="C5149" t="s">
        <v>40</v>
      </c>
      <c r="D5149">
        <v>4.8062909999999999</v>
      </c>
      <c r="E5149">
        <v>0.49103790000000003</v>
      </c>
      <c r="F5149" t="s">
        <v>41</v>
      </c>
      <c r="G5149">
        <v>-303.08440000000002</v>
      </c>
      <c r="H5149">
        <v>0.84335959999999999</v>
      </c>
      <c r="I5149">
        <v>2.429914E-2</v>
      </c>
      <c r="J5149">
        <v>-303.01569999999998</v>
      </c>
      <c r="K5149">
        <v>1.05385</v>
      </c>
      <c r="L5149">
        <v>0.42858889999999999</v>
      </c>
      <c r="M5149">
        <v>8.848019E-2</v>
      </c>
      <c r="N5149">
        <v>0</v>
      </c>
      <c r="O5149">
        <v>-0.99607809999999997</v>
      </c>
      <c r="P5149">
        <v>-8.7220119999999998E-2</v>
      </c>
      <c r="Q5149">
        <v>2.0509940000000001E-2</v>
      </c>
      <c r="R5149">
        <v>-0.99597820000000004</v>
      </c>
      <c r="S5149">
        <v>-0.16412349999999901</v>
      </c>
      <c r="T5149">
        <v>-0.75278619999999996</v>
      </c>
      <c r="U5149">
        <v>-3.0119020000000001</v>
      </c>
      <c r="V5149">
        <v>0.17525979999999999</v>
      </c>
      <c r="W5149">
        <v>1.8383719999999999E-2</v>
      </c>
      <c r="X5149">
        <v>0.98435059999999996</v>
      </c>
      <c r="Y5149">
        <v>0.1409406</v>
      </c>
      <c r="Z5149">
        <v>0.2396789</v>
      </c>
      <c r="AA5149">
        <v>0.96056739999999996</v>
      </c>
      <c r="AB5149">
        <v>22</v>
      </c>
      <c r="AC5149">
        <v>-6.8700000000035205E-2</v>
      </c>
      <c r="AD5149">
        <v>-0.21049039999999999</v>
      </c>
      <c r="AE5149">
        <v>-0.40428976</v>
      </c>
      <c r="AF5149">
        <v>8.2473605482662499E-2</v>
      </c>
      <c r="AG5149">
        <v>-0.21049039999999999</v>
      </c>
      <c r="AH5149">
        <v>0.31391987983888198</v>
      </c>
      <c r="AI5149">
        <v>122.964012133083</v>
      </c>
      <c r="AJ5149">
        <v>75.279806130810599</v>
      </c>
      <c r="AK5149">
        <v>0.38685112776302899</v>
      </c>
      <c r="AL5149">
        <v>88.946631126461099</v>
      </c>
      <c r="AM5149">
        <v>79.904499145066396</v>
      </c>
      <c r="AN5149">
        <v>1.0000000311887101</v>
      </c>
    </row>
    <row r="5150" spans="1:40" x14ac:dyDescent="0.25">
      <c r="A5150" t="str">
        <f>"20190312154704900"</f>
        <v>20190312154704900</v>
      </c>
      <c r="B5150" t="str">
        <f>"1552376824893581"</f>
        <v>1552376824893581</v>
      </c>
      <c r="C5150" t="s">
        <v>40</v>
      </c>
      <c r="D5150">
        <v>4.8474649999999997</v>
      </c>
      <c r="E5150">
        <v>0.49120160000000002</v>
      </c>
      <c r="F5150" t="s">
        <v>41</v>
      </c>
      <c r="G5150">
        <v>-303.06509999999997</v>
      </c>
      <c r="H5150">
        <v>0.85547969999999895</v>
      </c>
      <c r="I5150">
        <v>-0.37129990000000002</v>
      </c>
      <c r="J5150">
        <v>-303.00299999999999</v>
      </c>
      <c r="K5150">
        <v>1.055151</v>
      </c>
      <c r="L5150">
        <v>0.12792970000000001</v>
      </c>
      <c r="M5150">
        <v>7.8997899999999996E-2</v>
      </c>
      <c r="N5150">
        <v>0</v>
      </c>
      <c r="O5150">
        <v>-0.99687400000000004</v>
      </c>
      <c r="P5150">
        <v>-9.2453789999999994E-2</v>
      </c>
      <c r="Q5150">
        <v>2.3378960000000001E-2</v>
      </c>
      <c r="R5150">
        <v>-0.99544259999999996</v>
      </c>
      <c r="S5150">
        <v>-0.1855164</v>
      </c>
      <c r="T5150">
        <v>-0.74638470000000001</v>
      </c>
      <c r="U5150">
        <v>-3.0112299999999999</v>
      </c>
      <c r="V5150">
        <v>0.17107240000000001</v>
      </c>
      <c r="W5150">
        <v>1.9908849999999999E-2</v>
      </c>
      <c r="X5150">
        <v>0.98505730000000002</v>
      </c>
      <c r="Y5150">
        <v>0.13836229999999999</v>
      </c>
      <c r="Z5150">
        <v>0.23809089999999999</v>
      </c>
      <c r="AA5150">
        <v>0.96133690000000005</v>
      </c>
      <c r="AB5150">
        <v>22</v>
      </c>
      <c r="AC5150">
        <v>-6.2099999999986701E-2</v>
      </c>
      <c r="AD5150">
        <v>-0.1996713</v>
      </c>
      <c r="AE5150">
        <v>-0.4992296</v>
      </c>
      <c r="AF5150">
        <v>8.7552012172457505E-2</v>
      </c>
      <c r="AG5150">
        <v>-0.1996713</v>
      </c>
      <c r="AH5150">
        <v>0.42570283186784702</v>
      </c>
      <c r="AI5150">
        <v>114.67516000669799</v>
      </c>
      <c r="AJ5150">
        <v>78.378334272596405</v>
      </c>
      <c r="AK5150">
        <v>0.47828535827415902</v>
      </c>
      <c r="AL5150">
        <v>88.859231559180401</v>
      </c>
      <c r="AM5150">
        <v>80.147851386553</v>
      </c>
      <c r="AN5150">
        <v>1.0000000063166801</v>
      </c>
    </row>
    <row r="5151" spans="1:40" x14ac:dyDescent="0.25">
      <c r="A5151" t="str">
        <f>"20190312154704937"</f>
        <v>20190312154704937</v>
      </c>
      <c r="B5151" t="str">
        <f>"1552376824933596"</f>
        <v>1552376824933596</v>
      </c>
      <c r="C5151" t="s">
        <v>40</v>
      </c>
      <c r="D5151">
        <v>4.8773390000000001</v>
      </c>
      <c r="E5151">
        <v>0.49146879999999998</v>
      </c>
      <c r="F5151" t="s">
        <v>41</v>
      </c>
      <c r="G5151">
        <v>-303.05040000000002</v>
      </c>
      <c r="H5151">
        <v>0.88204179999999999</v>
      </c>
      <c r="I5151">
        <v>-0.5818335</v>
      </c>
      <c r="J5151">
        <v>-302.98970000000003</v>
      </c>
      <c r="K5151">
        <v>1.058093</v>
      </c>
      <c r="L5151">
        <v>-0.2441101</v>
      </c>
      <c r="M5151">
        <v>6.5830570000000005E-2</v>
      </c>
      <c r="N5151">
        <v>0</v>
      </c>
      <c r="O5151">
        <v>-0.99782369999999998</v>
      </c>
      <c r="P5151">
        <v>-9.5156359999999995E-2</v>
      </c>
      <c r="Q5151">
        <v>2.973775E-2</v>
      </c>
      <c r="R5151">
        <v>-0.99501819999999996</v>
      </c>
      <c r="S5151">
        <v>-0.2010498</v>
      </c>
      <c r="T5151">
        <v>-0.73444529999999997</v>
      </c>
      <c r="U5151">
        <v>-3.0122990000000001</v>
      </c>
      <c r="V5151">
        <v>0.16072629999999999</v>
      </c>
      <c r="W5151">
        <v>2.4298009999999998E-2</v>
      </c>
      <c r="X5151">
        <v>0.98669989999999996</v>
      </c>
      <c r="Y5151">
        <v>0.1302603</v>
      </c>
      <c r="Z5151">
        <v>0.23484959999999999</v>
      </c>
      <c r="AA5151">
        <v>0.96326420000000001</v>
      </c>
      <c r="AB5151">
        <v>22</v>
      </c>
      <c r="AC5151">
        <v>-6.0699999999996999E-2</v>
      </c>
      <c r="AD5151">
        <v>-0.17605119999999899</v>
      </c>
      <c r="AE5151">
        <v>-0.33772340000000001</v>
      </c>
      <c r="AF5151">
        <v>6.55466582643396E-2</v>
      </c>
      <c r="AG5151">
        <v>-0.17605119999999899</v>
      </c>
      <c r="AH5151">
        <v>0.26360427568365602</v>
      </c>
      <c r="AI5151">
        <v>122.94830274154</v>
      </c>
      <c r="AJ5151">
        <v>76.036281107236405</v>
      </c>
      <c r="AK5151">
        <v>0.32369368790535202</v>
      </c>
      <c r="AL5151">
        <v>88.607689572231806</v>
      </c>
      <c r="AM5151">
        <v>80.748188878362697</v>
      </c>
      <c r="AN5151">
        <v>1.0000000147308299</v>
      </c>
    </row>
    <row r="5152" spans="1:40" x14ac:dyDescent="0.25">
      <c r="A5152" t="str">
        <f>"20190312154704982"</f>
        <v>20190312154704982</v>
      </c>
      <c r="B5152" t="str">
        <f>"1552376824973622"</f>
        <v>1552376824973622</v>
      </c>
      <c r="C5152" t="s">
        <v>40</v>
      </c>
      <c r="D5152">
        <v>4.9469469999999998</v>
      </c>
      <c r="E5152">
        <v>0.49199100000000001</v>
      </c>
      <c r="F5152" t="s">
        <v>41</v>
      </c>
      <c r="G5152">
        <v>-303.04079999999999</v>
      </c>
      <c r="H5152">
        <v>0.88178049999999997</v>
      </c>
      <c r="I5152">
        <v>-0.988429</v>
      </c>
      <c r="J5152">
        <v>-302.97609999999997</v>
      </c>
      <c r="K5152">
        <v>1.06202</v>
      </c>
      <c r="L5152">
        <v>-0.71145630000000004</v>
      </c>
      <c r="M5152">
        <v>4.978718E-2</v>
      </c>
      <c r="N5152">
        <v>0</v>
      </c>
      <c r="O5152">
        <v>-0.99873719999999999</v>
      </c>
      <c r="P5152">
        <v>-0.10097059999999999</v>
      </c>
      <c r="Q5152">
        <v>3.6577070000000003E-2</v>
      </c>
      <c r="R5152">
        <v>-0.99421709999999996</v>
      </c>
      <c r="S5152">
        <v>-0.20697019999999999</v>
      </c>
      <c r="T5152">
        <v>-0.71430749999999998</v>
      </c>
      <c r="U5152">
        <v>-3.0165709999999999</v>
      </c>
      <c r="V5152">
        <v>0.150609299999999</v>
      </c>
      <c r="W5152">
        <v>2.8545620000000001E-2</v>
      </c>
      <c r="X5152">
        <v>0.98818119999999998</v>
      </c>
      <c r="Y5152">
        <v>0.1162115</v>
      </c>
      <c r="Z5152">
        <v>0.22895689999999999</v>
      </c>
      <c r="AA5152">
        <v>0.96647479999999997</v>
      </c>
      <c r="AB5152">
        <v>23</v>
      </c>
      <c r="AC5152">
        <v>-6.4700000000016106E-2</v>
      </c>
      <c r="AD5152">
        <v>-0.180239499999999</v>
      </c>
      <c r="AE5152">
        <v>-0.27697270000000002</v>
      </c>
      <c r="AF5152">
        <v>5.5944590469380898E-2</v>
      </c>
      <c r="AG5152">
        <v>-0.180239499999999</v>
      </c>
      <c r="AH5152">
        <v>0.19507383478228299</v>
      </c>
      <c r="AI5152">
        <v>131.609980216737</v>
      </c>
      <c r="AJ5152">
        <v>73.997810257979197</v>
      </c>
      <c r="AK5152">
        <v>0.27142195117510698</v>
      </c>
      <c r="AL5152">
        <v>88.364234327754303</v>
      </c>
      <c r="AM5152">
        <v>81.334203849768798</v>
      </c>
      <c r="AN5152">
        <v>1.00000004885055</v>
      </c>
    </row>
    <row r="5153" spans="1:40" x14ac:dyDescent="0.25">
      <c r="A5153" t="str">
        <f>"20190312154705018"</f>
        <v>20190312154705018</v>
      </c>
      <c r="B5153" t="str">
        <f>"1552376825013628"</f>
        <v>1552376825013628</v>
      </c>
      <c r="C5153" t="s">
        <v>40</v>
      </c>
      <c r="D5153">
        <v>4.9624879999999996</v>
      </c>
      <c r="E5153">
        <v>0.48897279999999999</v>
      </c>
      <c r="F5153" t="s">
        <v>41</v>
      </c>
      <c r="G5153">
        <v>-303.02890000000002</v>
      </c>
      <c r="H5153">
        <v>0.90134049999999999</v>
      </c>
      <c r="I5153">
        <v>-1.4122870000000001</v>
      </c>
      <c r="J5153">
        <v>-302.96879999999999</v>
      </c>
      <c r="K5153">
        <v>1.064603</v>
      </c>
      <c r="L5153">
        <v>-1.0708310000000001</v>
      </c>
      <c r="M5153">
        <v>3.9303249999999998E-2</v>
      </c>
      <c r="N5153">
        <v>0</v>
      </c>
      <c r="O5153">
        <v>-0.99918850000000003</v>
      </c>
      <c r="P5153">
        <v>-0.10715810000000001</v>
      </c>
      <c r="Q5153">
        <v>3.8579719999999998E-2</v>
      </c>
      <c r="R5153">
        <v>-0.99349339999999997</v>
      </c>
      <c r="S5153">
        <v>-0.22686770000000001</v>
      </c>
      <c r="T5153">
        <v>-0.69183869999999903</v>
      </c>
      <c r="U5153">
        <v>-3.0198670000000001</v>
      </c>
      <c r="V5153">
        <v>0.14637559999999999</v>
      </c>
      <c r="W5153">
        <v>2.8592329999999999E-2</v>
      </c>
      <c r="X5153">
        <v>0.98881580000000002</v>
      </c>
      <c r="Y5153">
        <v>0.1121755</v>
      </c>
      <c r="Z5153">
        <v>0.22204769999999999</v>
      </c>
      <c r="AA5153">
        <v>0.96856149999999996</v>
      </c>
      <c r="AB5153">
        <v>23</v>
      </c>
      <c r="AC5153">
        <v>-6.0100000000034001E-2</v>
      </c>
      <c r="AD5153">
        <v>-0.16326249999999901</v>
      </c>
      <c r="AE5153">
        <v>-0.34145599999999998</v>
      </c>
      <c r="AF5153">
        <v>6.0138923770998803E-2</v>
      </c>
      <c r="AG5153">
        <v>-0.16326249999999901</v>
      </c>
      <c r="AH5153">
        <v>0.277332846402505</v>
      </c>
      <c r="AI5153">
        <v>119.91254134264101</v>
      </c>
      <c r="AJ5153">
        <v>77.764983388485405</v>
      </c>
      <c r="AK5153">
        <v>0.32739096162279602</v>
      </c>
      <c r="AL5153">
        <v>88.361556888737596</v>
      </c>
      <c r="AM5153">
        <v>81.579587220670305</v>
      </c>
      <c r="AN5153">
        <v>1.00000001196991</v>
      </c>
    </row>
    <row r="5154" spans="1:40" x14ac:dyDescent="0.25">
      <c r="A5154" t="str">
        <f>"20190312154705050"</f>
        <v>20190312154705050</v>
      </c>
      <c r="B5154" t="str">
        <f>"1552376825042908"</f>
        <v>1552376825042908</v>
      </c>
      <c r="C5154" t="s">
        <v>40</v>
      </c>
      <c r="D5154">
        <v>4.9912020000000004</v>
      </c>
      <c r="E5154">
        <v>0.48811599999999999</v>
      </c>
      <c r="F5154" t="s">
        <v>41</v>
      </c>
      <c r="G5154">
        <v>-303.02789999999999</v>
      </c>
      <c r="H5154">
        <v>0.95523519999999895</v>
      </c>
      <c r="I5154">
        <v>-1.8609020000000001</v>
      </c>
      <c r="J5154">
        <v>-302.964</v>
      </c>
      <c r="K5154">
        <v>1.0670489999999999</v>
      </c>
      <c r="L5154">
        <v>-1.4368289999999999</v>
      </c>
      <c r="M5154">
        <v>3.0454499999999999E-2</v>
      </c>
      <c r="N5154">
        <v>0</v>
      </c>
      <c r="O5154">
        <v>-0.99948079999999995</v>
      </c>
      <c r="P5154">
        <v>-0.1074484</v>
      </c>
      <c r="Q5154">
        <v>3.895494E-2</v>
      </c>
      <c r="R5154">
        <v>-0.99344739999999998</v>
      </c>
      <c r="S5154">
        <v>-0.22531129999999999</v>
      </c>
      <c r="T5154">
        <v>-0.41697719999999999</v>
      </c>
      <c r="U5154">
        <v>-3.011536</v>
      </c>
      <c r="V5154">
        <v>0.13788590000000001</v>
      </c>
      <c r="W5154">
        <v>2.7401180000000001E-2</v>
      </c>
      <c r="X5154">
        <v>0.99006899999999998</v>
      </c>
      <c r="Y5154">
        <v>0.1042449</v>
      </c>
      <c r="Z5154">
        <v>0.136494899999999</v>
      </c>
      <c r="AA5154">
        <v>0.98514069999999998</v>
      </c>
      <c r="AB5154">
        <v>24</v>
      </c>
      <c r="AC5154">
        <v>-6.3899999999989604E-2</v>
      </c>
      <c r="AD5154">
        <v>-0.1118138</v>
      </c>
      <c r="AE5154">
        <v>-0.42407299999999898</v>
      </c>
      <c r="AF5154">
        <v>7.1898584001592797E-2</v>
      </c>
      <c r="AG5154">
        <v>-0.1118138</v>
      </c>
      <c r="AH5154">
        <v>0.39507432787687602</v>
      </c>
      <c r="AI5154">
        <v>105.559660402509</v>
      </c>
      <c r="AJ5154">
        <v>79.6857637688707</v>
      </c>
      <c r="AK5154">
        <v>0.41683984550332898</v>
      </c>
      <c r="AL5154">
        <v>88.429831480738798</v>
      </c>
      <c r="AM5154">
        <v>82.071472917006801</v>
      </c>
      <c r="AN5154">
        <v>0.99999998542260105</v>
      </c>
    </row>
    <row r="5155" spans="1:40" x14ac:dyDescent="0.25">
      <c r="A5155" t="str">
        <f>"20190312154705094"</f>
        <v>20190312154705094</v>
      </c>
      <c r="B5155" t="str">
        <f>"1552376825082925"</f>
        <v>1552376825082925</v>
      </c>
      <c r="C5155" t="s">
        <v>40</v>
      </c>
      <c r="D5155">
        <v>5.0098789999999997</v>
      </c>
      <c r="E5155">
        <v>0.4873962</v>
      </c>
      <c r="F5155" t="s">
        <v>41</v>
      </c>
      <c r="G5155">
        <v>-303.02710000000002</v>
      </c>
      <c r="H5155">
        <v>0.97181320000000004</v>
      </c>
      <c r="I5155">
        <v>-2.2983950000000002</v>
      </c>
      <c r="J5155">
        <v>-302.96069999999997</v>
      </c>
      <c r="K5155">
        <v>1.070829</v>
      </c>
      <c r="L5155">
        <v>-1.9121090000000001</v>
      </c>
      <c r="M5155">
        <v>2.0868439999999999E-2</v>
      </c>
      <c r="N5155">
        <v>0</v>
      </c>
      <c r="O5155">
        <v>-0.99972329999999998</v>
      </c>
      <c r="P5155">
        <v>-0.1064059</v>
      </c>
      <c r="Q5155">
        <v>4.014823E-2</v>
      </c>
      <c r="R5155">
        <v>-0.99351210000000001</v>
      </c>
      <c r="S5155">
        <v>-0.21990970000000001</v>
      </c>
      <c r="T5155">
        <v>-0.3324397</v>
      </c>
      <c r="U5155">
        <v>-3.0090330000000001</v>
      </c>
      <c r="V5155">
        <v>0.12731139999999999</v>
      </c>
      <c r="W5155">
        <v>2.85318E-2</v>
      </c>
      <c r="X5155">
        <v>0.99145229999999995</v>
      </c>
      <c r="Y5155">
        <v>9.324926E-2</v>
      </c>
      <c r="Z5155">
        <v>0.109393</v>
      </c>
      <c r="AA5155">
        <v>0.98961500000000002</v>
      </c>
      <c r="AB5155">
        <v>24</v>
      </c>
      <c r="AC5155">
        <v>-6.6400000000044201E-2</v>
      </c>
      <c r="AD5155">
        <v>-9.9015800000000098E-2</v>
      </c>
      <c r="AE5155">
        <v>-0.38628600000000002</v>
      </c>
      <c r="AF5155">
        <v>6.9981127929649195E-2</v>
      </c>
      <c r="AG5155">
        <v>-9.9015800000000098E-2</v>
      </c>
      <c r="AH5155">
        <v>0.36173108541056898</v>
      </c>
      <c r="AI5155">
        <v>105.04251402701099</v>
      </c>
      <c r="AJ5155">
        <v>79.050722269220799</v>
      </c>
      <c r="AK5155">
        <v>0.381511290879122</v>
      </c>
      <c r="AL5155">
        <v>88.365026332206696</v>
      </c>
      <c r="AM5155">
        <v>82.682748568030902</v>
      </c>
      <c r="AN5155">
        <v>0.99999995967824395</v>
      </c>
    </row>
    <row r="5156" spans="1:40" x14ac:dyDescent="0.25">
      <c r="A5156" t="str">
        <f>"20190312154705127"</f>
        <v>20190312154705127</v>
      </c>
      <c r="B5156" t="str">
        <f>"1552376825112820"</f>
        <v>1552376825112820</v>
      </c>
      <c r="C5156" t="s">
        <v>40</v>
      </c>
      <c r="D5156">
        <v>4.9881320000000002</v>
      </c>
      <c r="E5156">
        <v>0.48686230000000003</v>
      </c>
      <c r="F5156" t="s">
        <v>41</v>
      </c>
      <c r="G5156">
        <v>-303.01900000000001</v>
      </c>
      <c r="H5156">
        <v>0.99025739999999995</v>
      </c>
      <c r="I5156">
        <v>-2.7364649999999999</v>
      </c>
      <c r="J5156">
        <v>-302.95940000000002</v>
      </c>
      <c r="K5156">
        <v>1.074573</v>
      </c>
      <c r="L5156">
        <v>-2.2729189999999999</v>
      </c>
      <c r="M5156">
        <v>1.456036E-2</v>
      </c>
      <c r="N5156">
        <v>0</v>
      </c>
      <c r="O5156">
        <v>-0.99984819999999996</v>
      </c>
      <c r="P5156">
        <v>-0.1058684</v>
      </c>
      <c r="Q5156">
        <v>3.9721970000000002E-2</v>
      </c>
      <c r="R5156">
        <v>-0.99358659999999999</v>
      </c>
      <c r="S5156">
        <v>-0.2123718</v>
      </c>
      <c r="T5156">
        <v>-0.29389880000000002</v>
      </c>
      <c r="U5156">
        <v>-3.0087280000000001</v>
      </c>
      <c r="V5156">
        <v>0.1204901</v>
      </c>
      <c r="W5156">
        <v>2.9552749999999999E-2</v>
      </c>
      <c r="X5156">
        <v>0.99227449999999995</v>
      </c>
      <c r="Y5156">
        <v>8.459593E-2</v>
      </c>
      <c r="Z5156">
        <v>9.6910140000000006E-2</v>
      </c>
      <c r="AA5156">
        <v>0.99169149999999995</v>
      </c>
      <c r="AB5156">
        <v>24</v>
      </c>
      <c r="AC5156">
        <v>-5.9599999999989002E-2</v>
      </c>
      <c r="AD5156">
        <v>-8.4315599999999893E-2</v>
      </c>
      <c r="AE5156">
        <v>-0.46354600000000001</v>
      </c>
      <c r="AF5156">
        <v>6.4252178724902298E-2</v>
      </c>
      <c r="AG5156">
        <v>-8.4315599999999893E-2</v>
      </c>
      <c r="AH5156">
        <v>0.44804650055797002</v>
      </c>
      <c r="AI5156">
        <v>100.55207249219499</v>
      </c>
      <c r="AJ5156">
        <v>81.839129093750799</v>
      </c>
      <c r="AK5156">
        <v>0.46041625681170301</v>
      </c>
      <c r="AL5156">
        <v>88.306505510457399</v>
      </c>
      <c r="AM5156">
        <v>83.076572423754499</v>
      </c>
      <c r="AN5156">
        <v>0.99999995629041005</v>
      </c>
    </row>
    <row r="5157" spans="1:40" x14ac:dyDescent="0.25">
      <c r="A5157" t="str">
        <f>"20190312154705160"</f>
        <v>20190312154705160</v>
      </c>
      <c r="B5157" t="str">
        <f>"1552376825152836"</f>
        <v>1552376825152836</v>
      </c>
      <c r="C5157" t="s">
        <v>40</v>
      </c>
      <c r="D5157">
        <v>5.0090050000000002</v>
      </c>
      <c r="E5157">
        <v>0.48634480000000002</v>
      </c>
      <c r="F5157" t="s">
        <v>41</v>
      </c>
      <c r="G5157">
        <v>-303.02109999999999</v>
      </c>
      <c r="H5157">
        <v>0.99022049999999995</v>
      </c>
      <c r="I5157">
        <v>-3.171217</v>
      </c>
      <c r="J5157">
        <v>-302.95920000000001</v>
      </c>
      <c r="K5157">
        <v>1.078546</v>
      </c>
      <c r="L5157">
        <v>-2.6488040000000002</v>
      </c>
      <c r="M5157">
        <v>9.3768429999999993E-3</v>
      </c>
      <c r="N5157">
        <v>0</v>
      </c>
      <c r="O5157">
        <v>-0.99991490000000005</v>
      </c>
      <c r="P5157">
        <v>-0.10410899999999999</v>
      </c>
      <c r="Q5157">
        <v>3.7714049999999999E-2</v>
      </c>
      <c r="R5157">
        <v>-0.99385069999999998</v>
      </c>
      <c r="S5157">
        <v>-0.20666499999999999</v>
      </c>
      <c r="T5157">
        <v>-0.28248830000000003</v>
      </c>
      <c r="U5157">
        <v>-3.0086360000000001</v>
      </c>
      <c r="V5157">
        <v>0.1135567</v>
      </c>
      <c r="W5157">
        <v>2.8170500000000001E-2</v>
      </c>
      <c r="X5157">
        <v>0.99313209999999996</v>
      </c>
      <c r="Y5157">
        <v>7.7582789999999999E-2</v>
      </c>
      <c r="Z5157">
        <v>9.3225359999999993E-2</v>
      </c>
      <c r="AA5157">
        <v>0.99261770000000005</v>
      </c>
      <c r="AB5157">
        <v>24</v>
      </c>
      <c r="AC5157">
        <v>-6.1899999999979999E-2</v>
      </c>
      <c r="AD5157">
        <v>-8.8325500000000001E-2</v>
      </c>
      <c r="AE5157">
        <v>-0.52241299999999902</v>
      </c>
      <c r="AF5157">
        <v>6.4964732898093999E-2</v>
      </c>
      <c r="AG5157">
        <v>-8.8325500000000001E-2</v>
      </c>
      <c r="AH5157">
        <v>0.50750325206946401</v>
      </c>
      <c r="AI5157">
        <v>99.794472761298906</v>
      </c>
      <c r="AJ5157">
        <v>82.705324211273407</v>
      </c>
      <c r="AK5157">
        <v>0.51921225075286104</v>
      </c>
      <c r="AL5157">
        <v>88.385735743907105</v>
      </c>
      <c r="AM5157">
        <v>83.477015515604705</v>
      </c>
      <c r="AN5157">
        <v>1.00000003461777</v>
      </c>
    </row>
    <row r="5158" spans="1:40" x14ac:dyDescent="0.25">
      <c r="A5158" t="str">
        <f>"20190312154705194"</f>
        <v>20190312154705194</v>
      </c>
      <c r="B5158" t="str">
        <f>"1552376825183092"</f>
        <v>1552376825183092</v>
      </c>
      <c r="C5158" t="s">
        <v>40</v>
      </c>
      <c r="D5158">
        <v>5.0338129999999897</v>
      </c>
      <c r="E5158">
        <v>0.48581780000000002</v>
      </c>
      <c r="F5158" t="s">
        <v>41</v>
      </c>
      <c r="G5158">
        <v>-303.00889999999998</v>
      </c>
      <c r="H5158">
        <v>1.008486</v>
      </c>
      <c r="I5158">
        <v>-3.4016310000000001</v>
      </c>
      <c r="J5158">
        <v>-302.95979999999997</v>
      </c>
      <c r="K5158">
        <v>1.0829150000000001</v>
      </c>
      <c r="L5158">
        <v>-3.0233759999999998</v>
      </c>
      <c r="M5158">
        <v>6.1588709999999998E-3</v>
      </c>
      <c r="N5158">
        <v>0</v>
      </c>
      <c r="O5158">
        <v>-0.99994839999999996</v>
      </c>
      <c r="P5158">
        <v>-0.1019936</v>
      </c>
      <c r="Q5158">
        <v>3.839451E-2</v>
      </c>
      <c r="R5158">
        <v>-0.99404409999999999</v>
      </c>
      <c r="S5158">
        <v>-0.19824220000000001</v>
      </c>
      <c r="T5158">
        <v>-0.27989530000000001</v>
      </c>
      <c r="U5158">
        <v>-3.0084230000000001</v>
      </c>
      <c r="V5158">
        <v>0.1082241</v>
      </c>
      <c r="W5158">
        <v>2.996646E-2</v>
      </c>
      <c r="X5158">
        <v>0.99367479999999997</v>
      </c>
      <c r="Y5158">
        <v>7.1616180000000002E-2</v>
      </c>
      <c r="Z5158">
        <v>9.2416200000000004E-2</v>
      </c>
      <c r="AA5158">
        <v>0.99314170000000002</v>
      </c>
      <c r="AB5158">
        <v>24</v>
      </c>
      <c r="AC5158">
        <v>-4.91000000000099E-2</v>
      </c>
      <c r="AD5158">
        <v>-7.4428999999999995E-2</v>
      </c>
      <c r="AE5158">
        <v>-0.37825499999999901</v>
      </c>
      <c r="AF5158">
        <v>4.9542363456064401E-2</v>
      </c>
      <c r="AG5158">
        <v>-7.4428999999999995E-2</v>
      </c>
      <c r="AH5158">
        <v>0.364082393449287</v>
      </c>
      <c r="AI5158">
        <v>101.451022476623</v>
      </c>
      <c r="AJ5158">
        <v>82.251093253025701</v>
      </c>
      <c r="AK5158">
        <v>0.37490013475267597</v>
      </c>
      <c r="AL5158">
        <v>88.282791289211303</v>
      </c>
      <c r="AM5158">
        <v>83.784244884097504</v>
      </c>
      <c r="AN5158">
        <v>1.0000000263503901</v>
      </c>
    </row>
    <row r="5159" spans="1:40" x14ac:dyDescent="0.25">
      <c r="A5159" t="str">
        <f>"20190312154705229"</f>
        <v>20190312154705229</v>
      </c>
      <c r="B5159" t="str">
        <f>"1552376825223601"</f>
        <v>1552376825223601</v>
      </c>
      <c r="C5159" t="s">
        <v>40</v>
      </c>
      <c r="D5159">
        <v>4.9423529999999998</v>
      </c>
      <c r="E5159">
        <v>0.4852013</v>
      </c>
      <c r="F5159" t="s">
        <v>41</v>
      </c>
      <c r="G5159">
        <v>-303.01170000000002</v>
      </c>
      <c r="H5159">
        <v>1.008092</v>
      </c>
      <c r="I5159">
        <v>-3.8491230000000001</v>
      </c>
      <c r="J5159">
        <v>-302.96050000000002</v>
      </c>
      <c r="K5159">
        <v>1.0876920000000001</v>
      </c>
      <c r="L5159">
        <v>-3.4089659999999999</v>
      </c>
      <c r="M5159">
        <v>4.4199900000000004E-3</v>
      </c>
      <c r="N5159">
        <v>0</v>
      </c>
      <c r="O5159">
        <v>-0.99997100000000005</v>
      </c>
      <c r="P5159">
        <v>-9.9784960000000006E-2</v>
      </c>
      <c r="Q5159">
        <v>3.692782E-2</v>
      </c>
      <c r="R5159">
        <v>-0.99432359999999997</v>
      </c>
      <c r="S5159">
        <v>-0.18826290000000001</v>
      </c>
      <c r="T5159">
        <v>-0.27263929999999997</v>
      </c>
      <c r="U5159">
        <v>-3.0091860000000001</v>
      </c>
      <c r="V5159">
        <v>0.10424369999999999</v>
      </c>
      <c r="W5159">
        <v>3.0495990000000001E-2</v>
      </c>
      <c r="X5159">
        <v>0.99408410000000003</v>
      </c>
      <c r="Y5159">
        <v>6.6597829999999997E-2</v>
      </c>
      <c r="Z5159">
        <v>9.004392E-2</v>
      </c>
      <c r="AA5159">
        <v>0.99370860000000005</v>
      </c>
      <c r="AB5159">
        <v>25</v>
      </c>
      <c r="AC5159">
        <v>-5.1199999999994299E-2</v>
      </c>
      <c r="AD5159">
        <v>-7.9600000000000101E-2</v>
      </c>
      <c r="AE5159">
        <v>-0.44015700000000002</v>
      </c>
      <c r="AF5159">
        <v>5.1483742165757303E-2</v>
      </c>
      <c r="AG5159">
        <v>-7.9600000000000101E-2</v>
      </c>
      <c r="AH5159">
        <v>0.42617453265984001</v>
      </c>
      <c r="AI5159">
        <v>100.505026285225</v>
      </c>
      <c r="AJ5159">
        <v>83.111798643907903</v>
      </c>
      <c r="AK5159">
        <v>0.43659073283250399</v>
      </c>
      <c r="AL5159">
        <v>88.252437494040706</v>
      </c>
      <c r="AM5159">
        <v>84.013610711166805</v>
      </c>
      <c r="AN5159">
        <v>0.99999997613428904</v>
      </c>
    </row>
    <row r="5160" spans="1:40" x14ac:dyDescent="0.25">
      <c r="A5160" t="str">
        <f>"20190312154705261"</f>
        <v>20190312154705261</v>
      </c>
      <c r="B5160" t="str">
        <f>"1552376825252882"</f>
        <v>1552376825252882</v>
      </c>
      <c r="C5160" t="s">
        <v>40</v>
      </c>
      <c r="D5160">
        <v>4.8945889999999999</v>
      </c>
      <c r="E5160">
        <v>0.48478599999999999</v>
      </c>
      <c r="F5160" t="s">
        <v>41</v>
      </c>
      <c r="G5160">
        <v>-303.0127</v>
      </c>
      <c r="H5160">
        <v>1.006888</v>
      </c>
      <c r="I5160">
        <v>-4.2985689999999996</v>
      </c>
      <c r="J5160">
        <v>-302.96030000000002</v>
      </c>
      <c r="K5160">
        <v>1.0920449999999999</v>
      </c>
      <c r="L5160">
        <v>-3.7845759999999999</v>
      </c>
      <c r="M5160">
        <v>3.7582380000000001E-3</v>
      </c>
      <c r="N5160">
        <v>0</v>
      </c>
      <c r="O5160">
        <v>-0.99998339999999997</v>
      </c>
      <c r="P5160">
        <v>-9.5702540000000003E-2</v>
      </c>
      <c r="Q5160">
        <v>3.0966790000000001E-2</v>
      </c>
      <c r="R5160">
        <v>-0.99492840000000005</v>
      </c>
      <c r="S5160">
        <v>-0.17636109999999999</v>
      </c>
      <c r="T5160">
        <v>-0.27336379999999999</v>
      </c>
      <c r="U5160">
        <v>-3.0095830000000001</v>
      </c>
      <c r="V5160">
        <v>9.9454000000000001E-2</v>
      </c>
      <c r="W5160">
        <v>2.65694E-2</v>
      </c>
      <c r="X5160">
        <v>0.9946874</v>
      </c>
      <c r="Y5160">
        <v>6.2011950000000003E-2</v>
      </c>
      <c r="Z5160">
        <v>9.0293940000000003E-2</v>
      </c>
      <c r="AA5160">
        <v>0.9939827</v>
      </c>
      <c r="AB5160">
        <v>25</v>
      </c>
      <c r="AC5160">
        <v>-5.2399999999977298E-2</v>
      </c>
      <c r="AD5160">
        <v>-8.5157000000000094E-2</v>
      </c>
      <c r="AE5160">
        <v>-0.51399300000000003</v>
      </c>
      <c r="AF5160">
        <v>5.2894393544924097E-2</v>
      </c>
      <c r="AG5160">
        <v>-8.5157000000000094E-2</v>
      </c>
      <c r="AH5160">
        <v>0.50020358673370502</v>
      </c>
      <c r="AI5160">
        <v>99.609101435309896</v>
      </c>
      <c r="AJ5160">
        <v>83.963649066710204</v>
      </c>
      <c r="AK5160">
        <v>0.51015013446901003</v>
      </c>
      <c r="AL5160">
        <v>88.477506391972796</v>
      </c>
      <c r="AM5160">
        <v>84.290247507749001</v>
      </c>
      <c r="AN5160">
        <v>1.0000000274255501</v>
      </c>
    </row>
    <row r="5161" spans="1:40" x14ac:dyDescent="0.25">
      <c r="A5161" t="str">
        <f>"20190312154705295"</f>
        <v>20190312154705295</v>
      </c>
      <c r="B5161" t="str">
        <f>"1552376825283138"</f>
        <v>1552376825283138</v>
      </c>
      <c r="C5161" t="s">
        <v>40</v>
      </c>
      <c r="D5161">
        <v>4.8797009999999998</v>
      </c>
      <c r="E5161">
        <v>0.48442420000000003</v>
      </c>
      <c r="F5161" t="s">
        <v>41</v>
      </c>
      <c r="G5161">
        <v>-303.00020000000001</v>
      </c>
      <c r="H5161">
        <v>1.02013</v>
      </c>
      <c r="I5161">
        <v>-4.5311890000000004</v>
      </c>
      <c r="J5161">
        <v>-302.95870000000002</v>
      </c>
      <c r="K5161">
        <v>1.095793</v>
      </c>
      <c r="L5161">
        <v>-4.1632999999999996</v>
      </c>
      <c r="M5161">
        <v>4.1785959999999997E-3</v>
      </c>
      <c r="N5161">
        <v>0</v>
      </c>
      <c r="O5161">
        <v>-0.99998799999999999</v>
      </c>
      <c r="P5161">
        <v>-9.1839309999999993E-2</v>
      </c>
      <c r="Q5161">
        <v>2.6536799999999999E-2</v>
      </c>
      <c r="R5161">
        <v>-0.99542030000000004</v>
      </c>
      <c r="S5161">
        <v>-0.160553</v>
      </c>
      <c r="T5161">
        <v>-0.28984389999999999</v>
      </c>
      <c r="U5161">
        <v>-3.0088810000000001</v>
      </c>
      <c r="V5161">
        <v>9.5976489999999998E-2</v>
      </c>
      <c r="W5161">
        <v>2.3989590000000002E-2</v>
      </c>
      <c r="X5161">
        <v>0.99509449999999999</v>
      </c>
      <c r="Y5161">
        <v>5.7211329999999998E-2</v>
      </c>
      <c r="Z5161">
        <v>9.573835E-2</v>
      </c>
      <c r="AA5161">
        <v>0.99376109999999895</v>
      </c>
      <c r="AB5161">
        <v>25</v>
      </c>
      <c r="AC5161">
        <v>-4.1499999999984903E-2</v>
      </c>
      <c r="AD5161">
        <v>-7.5662999999999994E-2</v>
      </c>
      <c r="AE5161">
        <v>-0.36788900000000002</v>
      </c>
      <c r="AF5161">
        <v>4.1311414077815301E-2</v>
      </c>
      <c r="AG5161">
        <v>-7.5662999999999994E-2</v>
      </c>
      <c r="AH5161">
        <v>0.35296960139983902</v>
      </c>
      <c r="AI5161">
        <v>102.01926200552001</v>
      </c>
      <c r="AJ5161">
        <v>83.324496385857501</v>
      </c>
      <c r="AK5161">
        <v>0.363344274778714</v>
      </c>
      <c r="AL5161">
        <v>88.625365903877096</v>
      </c>
      <c r="AM5161">
        <v>84.490884362886803</v>
      </c>
      <c r="AN5161">
        <v>1.00000002549566</v>
      </c>
    </row>
    <row r="5162" spans="1:40" x14ac:dyDescent="0.25">
      <c r="A5162" t="str">
        <f>"20190312154705328"</f>
        <v>20190312154705328</v>
      </c>
      <c r="B5162" t="str">
        <f>"1552376825323662"</f>
        <v>1552376825323662</v>
      </c>
      <c r="C5162" t="s">
        <v>40</v>
      </c>
      <c r="D5162">
        <v>4.7464829999999996</v>
      </c>
      <c r="E5162">
        <v>0.4839367</v>
      </c>
      <c r="F5162" t="s">
        <v>41</v>
      </c>
      <c r="G5162">
        <v>-302.99849999999998</v>
      </c>
      <c r="H5162">
        <v>1.013655</v>
      </c>
      <c r="I5162">
        <v>-4.982901</v>
      </c>
      <c r="J5162">
        <v>-302.9556</v>
      </c>
      <c r="K5162">
        <v>1.099046</v>
      </c>
      <c r="L5162">
        <v>-4.5482480000000001</v>
      </c>
      <c r="M5162">
        <v>5.695149E-3</v>
      </c>
      <c r="N5162">
        <v>0</v>
      </c>
      <c r="O5162">
        <v>-0.99998330000000002</v>
      </c>
      <c r="P5162">
        <v>-8.8662489999999997E-2</v>
      </c>
      <c r="Q5162">
        <v>2.62895E-2</v>
      </c>
      <c r="R5162">
        <v>-0.99571469999999995</v>
      </c>
      <c r="S5162">
        <v>-0.14593510000000001</v>
      </c>
      <c r="T5162">
        <v>-0.30152709999999999</v>
      </c>
      <c r="U5162">
        <v>-3.0083920000000002</v>
      </c>
      <c r="V5162">
        <v>9.4279039999999995E-2</v>
      </c>
      <c r="W5162">
        <v>2.5460179999999999E-2</v>
      </c>
      <c r="X5162">
        <v>0.9952202</v>
      </c>
      <c r="Y5162">
        <v>5.3899089999999997E-2</v>
      </c>
      <c r="Z5162">
        <v>9.9596080000000003E-2</v>
      </c>
      <c r="AA5162">
        <v>0.99356699999999998</v>
      </c>
      <c r="AB5162">
        <v>25</v>
      </c>
      <c r="AC5162">
        <v>-4.2899999999974597E-2</v>
      </c>
      <c r="AD5162">
        <v>-8.5390999999999995E-2</v>
      </c>
      <c r="AE5162">
        <v>-0.43465300000000001</v>
      </c>
      <c r="AF5162">
        <v>4.3704198752061302E-2</v>
      </c>
      <c r="AG5162">
        <v>-8.5390999999999995E-2</v>
      </c>
      <c r="AH5162">
        <v>0.41840865408646599</v>
      </c>
      <c r="AI5162">
        <v>101.47405968928599</v>
      </c>
      <c r="AJ5162">
        <v>84.036886215856399</v>
      </c>
      <c r="AK5162">
        <v>0.42926388350757799</v>
      </c>
      <c r="AL5162">
        <v>88.541081497903406</v>
      </c>
      <c r="AM5162">
        <v>84.588414940827604</v>
      </c>
      <c r="AN5162">
        <v>1.0000000023184901</v>
      </c>
    </row>
    <row r="5163" spans="1:40" x14ac:dyDescent="0.25">
      <c r="A5163" t="str">
        <f>"20190312154705362"</f>
        <v>20190312154705362</v>
      </c>
      <c r="B5163" t="str">
        <f>"1552376825352942"</f>
        <v>1552376825352942</v>
      </c>
      <c r="C5163" t="s">
        <v>40</v>
      </c>
      <c r="D5163">
        <v>4.7139319999999998</v>
      </c>
      <c r="E5163">
        <v>0.48361949999999998</v>
      </c>
      <c r="F5163" t="s">
        <v>41</v>
      </c>
      <c r="G5163">
        <v>-302.995</v>
      </c>
      <c r="H5163">
        <v>1.01000499999999</v>
      </c>
      <c r="I5163">
        <v>-5.4383269999999904</v>
      </c>
      <c r="J5163">
        <v>-302.95080000000002</v>
      </c>
      <c r="K5163">
        <v>1.101764</v>
      </c>
      <c r="L5163">
        <v>-4.9358519999999997</v>
      </c>
      <c r="M5163">
        <v>8.1672759999999994E-3</v>
      </c>
      <c r="N5163">
        <v>0</v>
      </c>
      <c r="O5163">
        <v>-0.99996669999999999</v>
      </c>
      <c r="P5163">
        <v>-8.4807460000000001E-2</v>
      </c>
      <c r="Q5163">
        <v>2.6349850000000001E-2</v>
      </c>
      <c r="R5163">
        <v>-0.99604899999999996</v>
      </c>
      <c r="S5163">
        <v>-0.1329041</v>
      </c>
      <c r="T5163">
        <v>-0.30103609999999997</v>
      </c>
      <c r="U5163">
        <v>-3.0090330000000001</v>
      </c>
      <c r="V5163">
        <v>9.2857850000000006E-2</v>
      </c>
      <c r="W5163">
        <v>2.7048450000000002E-2</v>
      </c>
      <c r="X5163">
        <v>0.99531190000000003</v>
      </c>
      <c r="Y5163">
        <v>5.2064510000000001E-2</v>
      </c>
      <c r="Z5163">
        <v>9.9426689999999998E-2</v>
      </c>
      <c r="AA5163">
        <v>0.99368179999999995</v>
      </c>
      <c r="AB5163">
        <v>26</v>
      </c>
      <c r="AC5163">
        <v>-4.4199999999989303E-2</v>
      </c>
      <c r="AD5163">
        <v>-9.1759000000000104E-2</v>
      </c>
      <c r="AE5163">
        <v>-0.50247499999999901</v>
      </c>
      <c r="AF5163">
        <v>4.6755163303778699E-2</v>
      </c>
      <c r="AG5163">
        <v>-9.1759000000000104E-2</v>
      </c>
      <c r="AH5163">
        <v>0.48601414604203302</v>
      </c>
      <c r="AI5163">
        <v>100.64353199838099</v>
      </c>
      <c r="AJ5163">
        <v>84.504984887405996</v>
      </c>
      <c r="AK5163">
        <v>0.49680530344344098</v>
      </c>
      <c r="AL5163">
        <v>88.450048920274597</v>
      </c>
      <c r="AM5163">
        <v>84.670005582858295</v>
      </c>
      <c r="AN5163">
        <v>0.99999998861781703</v>
      </c>
    </row>
    <row r="5164" spans="1:40" x14ac:dyDescent="0.25">
      <c r="A5164" t="str">
        <f>"20190312154705395"</f>
        <v>20190312154705395</v>
      </c>
      <c r="B5164" t="str">
        <f>"1552376825392958"</f>
        <v>1552376825392958</v>
      </c>
      <c r="C5164" t="s">
        <v>40</v>
      </c>
      <c r="D5164">
        <v>4.6896940000000003</v>
      </c>
      <c r="E5164">
        <v>0.45573059999999999</v>
      </c>
      <c r="F5164" t="s">
        <v>41</v>
      </c>
      <c r="G5164">
        <v>-302.98039999999997</v>
      </c>
      <c r="H5164">
        <v>1.0275510000000001</v>
      </c>
      <c r="I5164">
        <v>-5.6761780000000002</v>
      </c>
      <c r="J5164">
        <v>-302.94420000000002</v>
      </c>
      <c r="K5164">
        <v>1.103907</v>
      </c>
      <c r="L5164">
        <v>-5.3186650000000002</v>
      </c>
      <c r="M5164">
        <v>1.138043E-2</v>
      </c>
      <c r="N5164">
        <v>0</v>
      </c>
      <c r="O5164">
        <v>-0.99993379999999998</v>
      </c>
      <c r="P5164">
        <v>-7.8413559999999993E-2</v>
      </c>
      <c r="Q5164">
        <v>2.6450640000000001E-2</v>
      </c>
      <c r="R5164">
        <v>-0.99657010000000001</v>
      </c>
      <c r="S5164">
        <v>-0.11972049999999999</v>
      </c>
      <c r="T5164">
        <v>-0.30185790000000001</v>
      </c>
      <c r="U5164">
        <v>-3.0097049999999999</v>
      </c>
      <c r="V5164">
        <v>8.9642200000000005E-2</v>
      </c>
      <c r="W5164">
        <v>2.842455E-2</v>
      </c>
      <c r="X5164">
        <v>0.99556829999999996</v>
      </c>
      <c r="Y5164">
        <v>5.0917579999999997E-2</v>
      </c>
      <c r="Z5164">
        <v>9.9680729999999995E-2</v>
      </c>
      <c r="AA5164">
        <v>0.99371580000000004</v>
      </c>
      <c r="AB5164">
        <v>26</v>
      </c>
      <c r="AC5164">
        <v>-3.6199999999951098E-2</v>
      </c>
      <c r="AD5164">
        <v>-7.6355999999999799E-2</v>
      </c>
      <c r="AE5164">
        <v>-0.35751300000000003</v>
      </c>
      <c r="AF5164">
        <v>3.8526769764023298E-2</v>
      </c>
      <c r="AG5164">
        <v>-7.6355999999999799E-2</v>
      </c>
      <c r="AH5164">
        <v>0.341651767696179</v>
      </c>
      <c r="AI5164">
        <v>102.521214395475</v>
      </c>
      <c r="AJ5164">
        <v>83.566152499759298</v>
      </c>
      <c r="AK5164">
        <v>0.35219381183429899</v>
      </c>
      <c r="AL5164">
        <v>88.371173797866106</v>
      </c>
      <c r="AM5164">
        <v>84.854891800192405</v>
      </c>
      <c r="AN5164">
        <v>0.99999995951421505</v>
      </c>
    </row>
    <row r="5165" spans="1:40" x14ac:dyDescent="0.25">
      <c r="A5165" t="str">
        <f>"20190312154705429"</f>
        <v>20190312154705429</v>
      </c>
      <c r="B5165" t="str">
        <f>"1552376825423214"</f>
        <v>1552376825423214</v>
      </c>
      <c r="C5165" t="s">
        <v>40</v>
      </c>
      <c r="D5165">
        <v>4.6806199999999896</v>
      </c>
      <c r="E5165">
        <v>0.43683139999999998</v>
      </c>
      <c r="F5165" t="s">
        <v>42</v>
      </c>
      <c r="G5165">
        <v>-302.3073</v>
      </c>
      <c r="H5165" s="1">
        <v>-4.3471579999999998E-6</v>
      </c>
      <c r="I5165">
        <v>-21.44153</v>
      </c>
      <c r="J5165">
        <v>-302.93549999999999</v>
      </c>
      <c r="K5165">
        <v>1.1056569999999999</v>
      </c>
      <c r="L5165">
        <v>-5.7078860000000002</v>
      </c>
      <c r="M5165">
        <v>1.5247770000000001E-2</v>
      </c>
      <c r="N5165">
        <v>0</v>
      </c>
      <c r="O5165">
        <v>-0.99988030000000006</v>
      </c>
      <c r="P5165">
        <v>-7.1603330000000007E-2</v>
      </c>
      <c r="Q5165">
        <v>2.4797550000000002E-2</v>
      </c>
      <c r="R5165">
        <v>-0.99712520000000004</v>
      </c>
      <c r="S5165">
        <v>0.1195068</v>
      </c>
      <c r="T5165">
        <v>-0.20713400000000001</v>
      </c>
      <c r="U5165">
        <v>-3.0252379999999999</v>
      </c>
      <c r="V5165">
        <v>8.667503E-2</v>
      </c>
      <c r="W5165">
        <v>2.787164E-2</v>
      </c>
      <c r="X5165">
        <v>0.99584669999999997</v>
      </c>
      <c r="Y5165">
        <v>-2.4139899999999999E-2</v>
      </c>
      <c r="Z5165">
        <v>6.8260420000000002E-2</v>
      </c>
      <c r="AA5165">
        <v>0.99737540000000002</v>
      </c>
      <c r="AB5165">
        <v>26</v>
      </c>
      <c r="AC5165">
        <v>0.62819999999999199</v>
      </c>
      <c r="AD5165">
        <v>-1.1056613471579999</v>
      </c>
      <c r="AE5165">
        <v>-15.733644</v>
      </c>
      <c r="AF5165">
        <v>-0.38631840171969101</v>
      </c>
      <c r="AG5165">
        <v>-1.1056613471579999</v>
      </c>
      <c r="AH5165">
        <v>15.6641609162695</v>
      </c>
      <c r="AI5165">
        <v>94.036326719893097</v>
      </c>
      <c r="AJ5165">
        <v>91.412774551253506</v>
      </c>
      <c r="AK5165">
        <v>15.707885476183399</v>
      </c>
      <c r="AL5165">
        <v>88.402865862372295</v>
      </c>
      <c r="AM5165">
        <v>85.025710208559602</v>
      </c>
      <c r="AN5165">
        <v>1.0000000195213401</v>
      </c>
    </row>
    <row r="5166" spans="1:40" x14ac:dyDescent="0.25">
      <c r="A5166" t="str">
        <f>"20190312154705463"</f>
        <v>20190312154705463</v>
      </c>
      <c r="B5166" t="str">
        <f>"1552376825453470"</f>
        <v>1552376825453470</v>
      </c>
      <c r="C5166" t="s">
        <v>40</v>
      </c>
      <c r="D5166">
        <v>4.6210719999999998</v>
      </c>
      <c r="E5166">
        <v>0.43152590000000002</v>
      </c>
      <c r="F5166" t="s">
        <v>42</v>
      </c>
      <c r="G5166">
        <v>-300.89409999999998</v>
      </c>
      <c r="H5166" s="1">
        <v>-1.68309E-6</v>
      </c>
      <c r="I5166">
        <v>-27.042079999999999</v>
      </c>
      <c r="J5166">
        <v>-302.92439999999999</v>
      </c>
      <c r="K5166">
        <v>1.107051</v>
      </c>
      <c r="L5166">
        <v>-6.1077269999999997</v>
      </c>
      <c r="M5166">
        <v>1.966379E-2</v>
      </c>
      <c r="N5166">
        <v>0</v>
      </c>
      <c r="O5166">
        <v>-0.99980040000000003</v>
      </c>
      <c r="P5166">
        <v>-6.695537E-2</v>
      </c>
      <c r="Q5166">
        <v>2.344249E-2</v>
      </c>
      <c r="R5166">
        <v>-0.9974809</v>
      </c>
      <c r="S5166">
        <v>0.29025269999999997</v>
      </c>
      <c r="T5166">
        <v>-0.15720729999999999</v>
      </c>
      <c r="U5166">
        <v>-3.0333860000000001</v>
      </c>
      <c r="V5166">
        <v>8.6421349999999994E-2</v>
      </c>
      <c r="W5166">
        <v>2.7462670000000002E-2</v>
      </c>
      <c r="X5166">
        <v>0.99588010000000005</v>
      </c>
      <c r="Y5166">
        <v>-7.5531420000000002E-2</v>
      </c>
      <c r="Z5166">
        <v>5.1549909999999997E-2</v>
      </c>
      <c r="AA5166">
        <v>0.99580999999999997</v>
      </c>
      <c r="AB5166">
        <v>26</v>
      </c>
      <c r="AC5166">
        <v>2.0303000000000102</v>
      </c>
      <c r="AD5166">
        <v>-1.10705268309</v>
      </c>
      <c r="AE5166">
        <v>-20.934353000000002</v>
      </c>
      <c r="AF5166">
        <v>-1.61378521653878</v>
      </c>
      <c r="AG5166">
        <v>-1.10705268309</v>
      </c>
      <c r="AH5166">
        <v>20.9122922762234</v>
      </c>
      <c r="AI5166">
        <v>93.021323168954694</v>
      </c>
      <c r="AJ5166">
        <v>94.412724909689103</v>
      </c>
      <c r="AK5166">
        <v>21.003662457163301</v>
      </c>
      <c r="AL5166">
        <v>88.4263070767757</v>
      </c>
      <c r="AM5166">
        <v>85.040361718379003</v>
      </c>
      <c r="AN5166">
        <v>1.0000000107776801</v>
      </c>
    </row>
    <row r="5167" spans="1:40" x14ac:dyDescent="0.25">
      <c r="A5167" t="str">
        <f>"20190312154705496"</f>
        <v>20190312154705496</v>
      </c>
      <c r="B5167" t="str">
        <f>"1552376825493486"</f>
        <v>1552376825493486</v>
      </c>
      <c r="C5167" t="s">
        <v>40</v>
      </c>
      <c r="D5167">
        <v>4.5652140000000001</v>
      </c>
      <c r="E5167">
        <v>0.43063600000000002</v>
      </c>
      <c r="F5167" t="s">
        <v>42</v>
      </c>
      <c r="G5167">
        <v>-300.27519999999998</v>
      </c>
      <c r="H5167" s="1">
        <v>-5.5816040000000004E-7</v>
      </c>
      <c r="I5167">
        <v>-29.280470000000001</v>
      </c>
      <c r="J5167">
        <v>-302.91199999999998</v>
      </c>
      <c r="K5167">
        <v>1.1079909999999999</v>
      </c>
      <c r="L5167">
        <v>-6.4810489999999996</v>
      </c>
      <c r="M5167">
        <v>2.4041090000000001E-2</v>
      </c>
      <c r="N5167">
        <v>0</v>
      </c>
      <c r="O5167">
        <v>-0.99970170000000003</v>
      </c>
      <c r="P5167">
        <v>-6.1999859999999997E-2</v>
      </c>
      <c r="Q5167">
        <v>1.826587E-2</v>
      </c>
      <c r="R5167">
        <v>-0.99790889999999999</v>
      </c>
      <c r="S5167">
        <v>0.34689330000000002</v>
      </c>
      <c r="T5167">
        <v>-0.1449589</v>
      </c>
      <c r="U5167">
        <v>-3.0342709999999999</v>
      </c>
      <c r="V5167">
        <v>8.5854360000000005E-2</v>
      </c>
      <c r="W5167">
        <v>2.299518E-2</v>
      </c>
      <c r="X5167">
        <v>0.99604230000000005</v>
      </c>
      <c r="Y5167">
        <v>-8.9538720000000002E-2</v>
      </c>
      <c r="Z5167">
        <v>4.7448780000000003E-2</v>
      </c>
      <c r="AA5167">
        <v>0.99485250000000003</v>
      </c>
      <c r="AB5167">
        <v>26</v>
      </c>
      <c r="AC5167">
        <v>2.6368000000000502</v>
      </c>
      <c r="AD5167">
        <v>-1.1079915581603901</v>
      </c>
      <c r="AE5167">
        <v>-22.799420999999999</v>
      </c>
      <c r="AF5167">
        <v>-2.0830552371502198</v>
      </c>
      <c r="AG5167">
        <v>-1.1079915581603901</v>
      </c>
      <c r="AH5167">
        <v>22.803080034752501</v>
      </c>
      <c r="AI5167">
        <v>92.770272154245703</v>
      </c>
      <c r="AJ5167">
        <v>95.219467812644993</v>
      </c>
      <c r="AK5167">
        <v>22.924816760124799</v>
      </c>
      <c r="AL5167">
        <v>88.682357104407302</v>
      </c>
      <c r="AM5167">
        <v>85.073538442805898</v>
      </c>
      <c r="AN5167">
        <v>1.00000000641176</v>
      </c>
    </row>
    <row r="5168" spans="1:40" x14ac:dyDescent="0.25">
      <c r="A5168" t="str">
        <f>"20190312154705530"</f>
        <v>20190312154705530</v>
      </c>
      <c r="B5168" t="str">
        <f>"1552376825522766"</f>
        <v>1552376825522766</v>
      </c>
      <c r="C5168" t="s">
        <v>40</v>
      </c>
      <c r="D5168">
        <v>4.7381739999999999</v>
      </c>
      <c r="E5168">
        <v>0.43041679999999999</v>
      </c>
      <c r="F5168" t="s">
        <v>42</v>
      </c>
      <c r="G5168">
        <v>-300.31450000000001</v>
      </c>
      <c r="H5168" s="1">
        <v>-1.179252E-6</v>
      </c>
      <c r="I5168">
        <v>-27.85708</v>
      </c>
      <c r="J5168">
        <v>-302.89690000000002</v>
      </c>
      <c r="K5168">
        <v>1.108738</v>
      </c>
      <c r="L5168">
        <v>-6.8823850000000002</v>
      </c>
      <c r="M5168">
        <v>2.885165E-2</v>
      </c>
      <c r="N5168">
        <v>0</v>
      </c>
      <c r="O5168">
        <v>-0.99957169999999895</v>
      </c>
      <c r="P5168">
        <v>-5.5562599999999997E-2</v>
      </c>
      <c r="Q5168">
        <v>1.3222019999999999E-2</v>
      </c>
      <c r="R5168">
        <v>-0.99836780000000003</v>
      </c>
      <c r="S5168">
        <v>0.36843870000000001</v>
      </c>
      <c r="T5168">
        <v>-0.1571611</v>
      </c>
      <c r="U5168">
        <v>-3.0320429999999998</v>
      </c>
      <c r="V5168">
        <v>8.4246849999999998E-2</v>
      </c>
      <c r="W5168">
        <v>1.8572519999999999E-2</v>
      </c>
      <c r="X5168">
        <v>0.99627180000000004</v>
      </c>
      <c r="Y5168">
        <v>-9.1776479999999994E-2</v>
      </c>
      <c r="Z5168">
        <v>5.1433779999999998E-2</v>
      </c>
      <c r="AA5168">
        <v>0.99445039999999996</v>
      </c>
      <c r="AB5168">
        <v>26</v>
      </c>
      <c r="AC5168">
        <v>2.5823999999999998</v>
      </c>
      <c r="AD5168">
        <v>-1.1087391792520001</v>
      </c>
      <c r="AE5168">
        <v>-20.974695000000001</v>
      </c>
      <c r="AF5168">
        <v>-1.9707385753712801</v>
      </c>
      <c r="AG5168">
        <v>-1.1087391792520001</v>
      </c>
      <c r="AH5168">
        <v>20.9827147533702</v>
      </c>
      <c r="AI5168">
        <v>93.0115011365763</v>
      </c>
      <c r="AJ5168">
        <v>95.365594009311096</v>
      </c>
      <c r="AK5168">
        <v>21.104204119591099</v>
      </c>
      <c r="AL5168">
        <v>88.935811787064694</v>
      </c>
      <c r="AM5168">
        <v>85.166447024678106</v>
      </c>
      <c r="AN5168">
        <v>0.99999998485465602</v>
      </c>
    </row>
    <row r="5169" spans="1:40" x14ac:dyDescent="0.25">
      <c r="A5169" t="str">
        <f>"20190312154705564"</f>
        <v>20190312154705564</v>
      </c>
      <c r="B5169" t="str">
        <f>"1552376825553022"</f>
        <v>1552376825553022</v>
      </c>
      <c r="C5169" t="s">
        <v>40</v>
      </c>
      <c r="D5169">
        <v>4.7494489999999896</v>
      </c>
      <c r="E5169">
        <v>0.43039110000000003</v>
      </c>
      <c r="F5169" t="s">
        <v>42</v>
      </c>
      <c r="G5169">
        <v>-300.3972</v>
      </c>
      <c r="H5169" s="1">
        <v>-1.8624440000000001E-6</v>
      </c>
      <c r="I5169">
        <v>-26.31587</v>
      </c>
      <c r="J5169">
        <v>-302.87990000000002</v>
      </c>
      <c r="K5169">
        <v>1.1092919999999999</v>
      </c>
      <c r="L5169">
        <v>-7.2850339999999996</v>
      </c>
      <c r="M5169">
        <v>3.3692159999999999E-2</v>
      </c>
      <c r="N5169">
        <v>0</v>
      </c>
      <c r="O5169">
        <v>-0.99941740000000001</v>
      </c>
      <c r="P5169">
        <v>-4.8540979999999997E-2</v>
      </c>
      <c r="Q5169">
        <v>9.3754340000000002E-3</v>
      </c>
      <c r="R5169">
        <v>-0.99877729999999998</v>
      </c>
      <c r="S5169">
        <v>0.38958739999999997</v>
      </c>
      <c r="T5169">
        <v>-0.1728064</v>
      </c>
      <c r="U5169">
        <v>-3.02887</v>
      </c>
      <c r="V5169">
        <v>8.2084840000000006E-2</v>
      </c>
      <c r="W5169">
        <v>1.523132E-2</v>
      </c>
      <c r="X5169">
        <v>0.99650899999999998</v>
      </c>
      <c r="Y5169">
        <v>-9.3879740000000003E-2</v>
      </c>
      <c r="Z5169">
        <v>5.6554140000000003E-2</v>
      </c>
      <c r="AA5169">
        <v>0.99397590000000002</v>
      </c>
      <c r="AB5169">
        <v>26</v>
      </c>
      <c r="AC5169">
        <v>2.4827000000000199</v>
      </c>
      <c r="AD5169">
        <v>-1.1092938624440001</v>
      </c>
      <c r="AE5169">
        <v>-19.030835999999901</v>
      </c>
      <c r="AF5169">
        <v>-1.83396405370608</v>
      </c>
      <c r="AG5169">
        <v>-1.1092938624440001</v>
      </c>
      <c r="AH5169">
        <v>19.0400710707797</v>
      </c>
      <c r="AI5169">
        <v>93.319014597967893</v>
      </c>
      <c r="AJ5169">
        <v>95.501829885607506</v>
      </c>
      <c r="AK5169">
        <v>19.1603304617609</v>
      </c>
      <c r="AL5169">
        <v>89.127275945179406</v>
      </c>
      <c r="AM5169">
        <v>85.291040242327398</v>
      </c>
      <c r="AN5169">
        <v>1.00000005057388</v>
      </c>
    </row>
    <row r="5170" spans="1:40" x14ac:dyDescent="0.25">
      <c r="A5170" t="str">
        <f>"20190312154705595"</f>
        <v>20190312154705595</v>
      </c>
      <c r="B5170" t="str">
        <f>"1552376825593038"</f>
        <v>1552376825593038</v>
      </c>
      <c r="C5170" t="s">
        <v>40</v>
      </c>
      <c r="D5170">
        <v>4.7182469999999999</v>
      </c>
      <c r="E5170">
        <v>0.43041780000000002</v>
      </c>
      <c r="F5170" t="s">
        <v>42</v>
      </c>
      <c r="G5170">
        <v>-300.37450000000001</v>
      </c>
      <c r="H5170" s="1">
        <v>-2.1092789999999999E-6</v>
      </c>
      <c r="I5170">
        <v>-25.726369999999999</v>
      </c>
      <c r="J5170">
        <v>-302.86169999999998</v>
      </c>
      <c r="K5170">
        <v>1.109675</v>
      </c>
      <c r="L5170">
        <v>-7.6690670000000001</v>
      </c>
      <c r="M5170">
        <v>3.8256209999999999E-2</v>
      </c>
      <c r="N5170">
        <v>0</v>
      </c>
      <c r="O5170">
        <v>-0.99925079999999999</v>
      </c>
      <c r="P5170">
        <v>-4.1905049999999999E-2</v>
      </c>
      <c r="Q5170">
        <v>6.5738630000000001E-3</v>
      </c>
      <c r="R5170">
        <v>-0.99909999999999999</v>
      </c>
      <c r="S5170">
        <v>0.41101070000000001</v>
      </c>
      <c r="T5170">
        <v>-0.18198320000000001</v>
      </c>
      <c r="U5170">
        <v>-3.02536</v>
      </c>
      <c r="V5170">
        <v>8.0029600000000006E-2</v>
      </c>
      <c r="W5170">
        <v>1.283307E-2</v>
      </c>
      <c r="X5170">
        <v>0.99670990000000004</v>
      </c>
      <c r="Y5170">
        <v>-9.6372299999999994E-2</v>
      </c>
      <c r="Z5170">
        <v>5.9566010000000003E-2</v>
      </c>
      <c r="AA5170">
        <v>0.99356140000000004</v>
      </c>
      <c r="AB5170">
        <v>26</v>
      </c>
      <c r="AC5170">
        <v>2.4871999999999699</v>
      </c>
      <c r="AD5170">
        <v>-1.1096771092790001</v>
      </c>
      <c r="AE5170">
        <v>-18.057303000000001</v>
      </c>
      <c r="AF5170">
        <v>-1.78793699600056</v>
      </c>
      <c r="AG5170">
        <v>-1.1096771092790001</v>
      </c>
      <c r="AH5170">
        <v>18.0722575788844</v>
      </c>
      <c r="AI5170">
        <v>93.496650167357899</v>
      </c>
      <c r="AJ5170">
        <v>95.650039681160294</v>
      </c>
      <c r="AK5170">
        <v>18.194356157503101</v>
      </c>
      <c r="AL5170">
        <v>89.264699085494101</v>
      </c>
      <c r="AM5170">
        <v>85.409354129438498</v>
      </c>
      <c r="AN5170">
        <v>1.0000000246598899</v>
      </c>
    </row>
    <row r="5171" spans="1:40" x14ac:dyDescent="0.25">
      <c r="A5171" t="str">
        <f>"20190312154705631"</f>
        <v>20190312154705631</v>
      </c>
      <c r="B5171" t="str">
        <f>"1552376825623297"</f>
        <v>1552376825623297</v>
      </c>
      <c r="C5171" t="s">
        <v>40</v>
      </c>
      <c r="D5171">
        <v>4.7593670000000001</v>
      </c>
      <c r="E5171">
        <v>0.43066159999999998</v>
      </c>
      <c r="F5171" t="s">
        <v>42</v>
      </c>
      <c r="G5171">
        <v>-300.30739999999997</v>
      </c>
      <c r="H5171" s="1">
        <v>-2.165092E-6</v>
      </c>
      <c r="I5171">
        <v>-25.554670000000002</v>
      </c>
      <c r="J5171">
        <v>-302.84070000000003</v>
      </c>
      <c r="K5171">
        <v>1.11002</v>
      </c>
      <c r="L5171">
        <v>-8.0756839999999901</v>
      </c>
      <c r="M5171">
        <v>4.3017569999999998E-2</v>
      </c>
      <c r="N5171">
        <v>0</v>
      </c>
      <c r="O5171">
        <v>-0.99905509999999997</v>
      </c>
      <c r="P5171">
        <v>-3.735028E-2</v>
      </c>
      <c r="Q5171">
        <v>5.2301279999999997E-3</v>
      </c>
      <c r="R5171">
        <v>-0.99928899999999998</v>
      </c>
      <c r="S5171">
        <v>0.43157960000000001</v>
      </c>
      <c r="T5171">
        <v>-0.1874962</v>
      </c>
      <c r="U5171">
        <v>-3.0220340000000001</v>
      </c>
      <c r="V5171">
        <v>8.0241450000000006E-2</v>
      </c>
      <c r="W5171">
        <v>1.189568E-2</v>
      </c>
      <c r="X5171">
        <v>0.99670449999999999</v>
      </c>
      <c r="Y5171">
        <v>-9.8392779999999999E-2</v>
      </c>
      <c r="Z5171">
        <v>6.1377899999999999E-2</v>
      </c>
      <c r="AA5171">
        <v>0.9932531</v>
      </c>
      <c r="AB5171">
        <v>27</v>
      </c>
      <c r="AC5171">
        <v>2.5333000000000498</v>
      </c>
      <c r="AD5171">
        <v>-1.1100221650919999</v>
      </c>
      <c r="AE5171">
        <v>-17.478985999999999</v>
      </c>
      <c r="AF5171">
        <v>-1.7720372992644899</v>
      </c>
      <c r="AG5171">
        <v>-1.1100221650919999</v>
      </c>
      <c r="AH5171">
        <v>17.502647528434998</v>
      </c>
      <c r="AI5171">
        <v>93.610444481639405</v>
      </c>
      <c r="AJ5171">
        <v>95.781152237252201</v>
      </c>
      <c r="AK5171">
        <v>17.627107984624502</v>
      </c>
      <c r="AL5171">
        <v>89.318411685680104</v>
      </c>
      <c r="AM5171">
        <v>85.397229337496</v>
      </c>
      <c r="AN5171">
        <v>1.0000000289105</v>
      </c>
    </row>
    <row r="5172" spans="1:40" x14ac:dyDescent="0.25">
      <c r="A5172" t="str">
        <f>"20190312154705664"</f>
        <v>20190312154705664</v>
      </c>
      <c r="B5172" t="str">
        <f>"1552376825653550"</f>
        <v>1552376825653550</v>
      </c>
      <c r="C5172" t="s">
        <v>40</v>
      </c>
      <c r="D5172">
        <v>4.759315</v>
      </c>
      <c r="E5172">
        <v>0.43108610000000003</v>
      </c>
      <c r="F5172" t="s">
        <v>42</v>
      </c>
      <c r="G5172">
        <v>-300.32530000000003</v>
      </c>
      <c r="H5172" s="1">
        <v>-2.3208739999999998E-6</v>
      </c>
      <c r="I5172">
        <v>-25.2026</v>
      </c>
      <c r="J5172">
        <v>-302.81849999999997</v>
      </c>
      <c r="K5172">
        <v>1.1103000000000001</v>
      </c>
      <c r="L5172">
        <v>-8.4708249999999996</v>
      </c>
      <c r="M5172">
        <v>4.7567819999999997E-2</v>
      </c>
      <c r="N5172">
        <v>0</v>
      </c>
      <c r="O5172">
        <v>-0.99884589999999995</v>
      </c>
      <c r="P5172">
        <v>-3.3515820000000002E-2</v>
      </c>
      <c r="Q5172">
        <v>4.091112E-3</v>
      </c>
      <c r="R5172">
        <v>-0.99942980000000003</v>
      </c>
      <c r="S5172">
        <v>0.44351200000000002</v>
      </c>
      <c r="T5172">
        <v>-0.19571440000000001</v>
      </c>
      <c r="U5172">
        <v>-3.0197449999999999</v>
      </c>
      <c r="V5172">
        <v>8.09618E-2</v>
      </c>
      <c r="W5172">
        <v>1.115186E-2</v>
      </c>
      <c r="X5172">
        <v>0.99665479999999995</v>
      </c>
      <c r="Y5172">
        <v>-9.7784659999999995E-2</v>
      </c>
      <c r="Z5172">
        <v>6.4069260000000003E-2</v>
      </c>
      <c r="AA5172">
        <v>0.99314309999999995</v>
      </c>
      <c r="AB5172">
        <v>27</v>
      </c>
      <c r="AC5172">
        <v>2.4931999999999399</v>
      </c>
      <c r="AD5172">
        <v>-1.1103023208739999</v>
      </c>
      <c r="AE5172">
        <v>-16.731774999999999</v>
      </c>
      <c r="AF5172">
        <v>-1.6871977590571601</v>
      </c>
      <c r="AG5172">
        <v>-1.1103023208739999</v>
      </c>
      <c r="AH5172">
        <v>16.759236345945698</v>
      </c>
      <c r="AI5172">
        <v>93.771308995070896</v>
      </c>
      <c r="AJ5172">
        <v>95.748752478725095</v>
      </c>
      <c r="AK5172">
        <v>16.8805038556665</v>
      </c>
      <c r="AL5172">
        <v>89.361032233302396</v>
      </c>
      <c r="AM5172">
        <v>85.355858339619203</v>
      </c>
      <c r="AN5172">
        <v>0.99999998370186904</v>
      </c>
    </row>
    <row r="5173" spans="1:40" x14ac:dyDescent="0.25">
      <c r="A5173" t="str">
        <f>"20190312154705696"</f>
        <v>20190312154705696</v>
      </c>
      <c r="B5173" t="str">
        <f>"1552376825693566"</f>
        <v>1552376825693566</v>
      </c>
      <c r="C5173" t="s">
        <v>40</v>
      </c>
      <c r="D5173">
        <v>4.7511330000000003</v>
      </c>
      <c r="E5173">
        <v>0.39934900000000001</v>
      </c>
      <c r="F5173" t="s">
        <v>42</v>
      </c>
      <c r="G5173">
        <v>-300.25450000000001</v>
      </c>
      <c r="H5173" s="1">
        <v>-2.1263369999999998E-6</v>
      </c>
      <c r="I5173">
        <v>-25.612179999999999</v>
      </c>
      <c r="J5173">
        <v>-302.79489999999998</v>
      </c>
      <c r="K5173">
        <v>1.110509</v>
      </c>
      <c r="L5173">
        <v>-8.8599549999999994</v>
      </c>
      <c r="M5173">
        <v>5.198345E-2</v>
      </c>
      <c r="N5173">
        <v>0</v>
      </c>
      <c r="O5173">
        <v>-0.99862340000000005</v>
      </c>
      <c r="P5173">
        <v>-3.096409E-2</v>
      </c>
      <c r="Q5173">
        <v>6.5559320000000004E-3</v>
      </c>
      <c r="R5173">
        <v>-0.99949900000000003</v>
      </c>
      <c r="S5173">
        <v>0.4513855</v>
      </c>
      <c r="T5173">
        <v>-0.19546230000000001</v>
      </c>
      <c r="U5173">
        <v>-3.017639</v>
      </c>
      <c r="V5173">
        <v>8.280846E-2</v>
      </c>
      <c r="W5173">
        <v>1.398691E-2</v>
      </c>
      <c r="X5173">
        <v>0.9964674</v>
      </c>
      <c r="Y5173">
        <v>-9.6020240000000007E-2</v>
      </c>
      <c r="Z5173">
        <v>6.4003350000000001E-2</v>
      </c>
      <c r="AA5173">
        <v>0.99331950000000002</v>
      </c>
      <c r="AB5173">
        <v>27</v>
      </c>
      <c r="AC5173">
        <v>2.5403999999999698</v>
      </c>
      <c r="AD5173">
        <v>-1.110511126337</v>
      </c>
      <c r="AE5173">
        <v>-16.7522249999999</v>
      </c>
      <c r="AF5173">
        <v>-1.65897891876463</v>
      </c>
      <c r="AG5173">
        <v>-1.110511126337</v>
      </c>
      <c r="AH5173">
        <v>16.789514455593199</v>
      </c>
      <c r="AI5173">
        <v>93.765923907042904</v>
      </c>
      <c r="AJ5173">
        <v>95.643101947145794</v>
      </c>
      <c r="AK5173">
        <v>16.907786421326598</v>
      </c>
      <c r="AL5173">
        <v>89.198583018129398</v>
      </c>
      <c r="AM5173">
        <v>85.249520083025502</v>
      </c>
      <c r="AN5173">
        <v>1.0000000769808299</v>
      </c>
    </row>
    <row r="5174" spans="1:40" x14ac:dyDescent="0.25">
      <c r="A5174" t="str">
        <f>"20190312154705731"</f>
        <v>20190312154705731</v>
      </c>
      <c r="B5174" t="str">
        <f>"1552376825722846"</f>
        <v>1552376825722846</v>
      </c>
      <c r="C5174" t="s">
        <v>40</v>
      </c>
      <c r="D5174">
        <v>4.9958320000000001</v>
      </c>
      <c r="E5174">
        <v>0.3963526</v>
      </c>
      <c r="F5174" t="s">
        <v>42</v>
      </c>
      <c r="G5174">
        <v>-299.32319999999999</v>
      </c>
      <c r="H5174" s="1">
        <v>-3.022076E-6</v>
      </c>
      <c r="I5174">
        <v>-23.602550000000001</v>
      </c>
      <c r="J5174">
        <v>-302.76839999999999</v>
      </c>
      <c r="K5174">
        <v>1.1106819999999999</v>
      </c>
      <c r="L5174">
        <v>-9.2678829999999994</v>
      </c>
      <c r="M5174">
        <v>5.654439E-2</v>
      </c>
      <c r="N5174">
        <v>0</v>
      </c>
      <c r="O5174">
        <v>-0.99837310000000001</v>
      </c>
      <c r="P5174">
        <v>-2.894124E-2</v>
      </c>
      <c r="Q5174">
        <v>6.8175800000000002E-3</v>
      </c>
      <c r="R5174">
        <v>-0.9995581</v>
      </c>
      <c r="S5174">
        <v>0.7123718</v>
      </c>
      <c r="T5174">
        <v>-0.2278676</v>
      </c>
      <c r="U5174">
        <v>-3.025055</v>
      </c>
      <c r="V5174">
        <v>8.5340780000000005E-2</v>
      </c>
      <c r="W5174">
        <v>1.4603400000000001E-2</v>
      </c>
      <c r="X5174">
        <v>0.99624480000000004</v>
      </c>
      <c r="Y5174">
        <v>-0.17319570000000001</v>
      </c>
      <c r="Z5174">
        <v>7.3369480000000001E-2</v>
      </c>
      <c r="AA5174">
        <v>0.98215079999999999</v>
      </c>
      <c r="AB5174">
        <v>27</v>
      </c>
      <c r="AC5174">
        <v>3.4451999999999998</v>
      </c>
      <c r="AD5174">
        <v>-1.1106850220759901</v>
      </c>
      <c r="AE5174">
        <v>-14.334667</v>
      </c>
      <c r="AF5174">
        <v>-2.6142830009392299</v>
      </c>
      <c r="AG5174">
        <v>-1.1106850220759901</v>
      </c>
      <c r="AH5174">
        <v>14.424673656033001</v>
      </c>
      <c r="AI5174">
        <v>94.332720385016898</v>
      </c>
      <c r="AJ5174">
        <v>100.27260341553399</v>
      </c>
      <c r="AK5174">
        <v>14.7016770101345</v>
      </c>
      <c r="AL5174">
        <v>89.1632570751229</v>
      </c>
      <c r="AM5174">
        <v>85.103855315910394</v>
      </c>
      <c r="AN5174">
        <v>1.0000000047748001</v>
      </c>
    </row>
    <row r="5175" spans="1:40" x14ac:dyDescent="0.25">
      <c r="A5175" t="str">
        <f>"20190312154705763"</f>
        <v>20190312154705763</v>
      </c>
      <c r="B5175" t="str">
        <f>"1552376825753103"</f>
        <v>1552376825753103</v>
      </c>
      <c r="C5175" t="s">
        <v>40</v>
      </c>
      <c r="D5175">
        <v>5.0005040000000003</v>
      </c>
      <c r="E5175">
        <v>0.3968198</v>
      </c>
      <c r="F5175" t="s">
        <v>42</v>
      </c>
      <c r="G5175">
        <v>-299.57139999999998</v>
      </c>
      <c r="H5175" s="1">
        <v>-3.5438069999999998E-6</v>
      </c>
      <c r="I5175">
        <v>-22.283750000000001</v>
      </c>
      <c r="J5175">
        <v>-302.74090000000001</v>
      </c>
      <c r="K5175">
        <v>1.1107910000000001</v>
      </c>
      <c r="L5175">
        <v>-9.6651310000000006</v>
      </c>
      <c r="M5175">
        <v>6.0898929999999997E-2</v>
      </c>
      <c r="N5175">
        <v>0</v>
      </c>
      <c r="O5175">
        <v>-0.99811430000000001</v>
      </c>
      <c r="P5175">
        <v>-2.7072840000000001E-2</v>
      </c>
      <c r="Q5175">
        <v>5.9160080000000004E-3</v>
      </c>
      <c r="R5175">
        <v>-0.99961599999999995</v>
      </c>
      <c r="S5175">
        <v>0.74291989999999997</v>
      </c>
      <c r="T5175">
        <v>-0.25809850000000001</v>
      </c>
      <c r="U5175">
        <v>-3.024597</v>
      </c>
      <c r="V5175">
        <v>8.7828790000000004E-2</v>
      </c>
      <c r="W5175">
        <v>1.4036969999999999E-2</v>
      </c>
      <c r="X5175">
        <v>0.9960367</v>
      </c>
      <c r="Y5175">
        <v>-0.1781296</v>
      </c>
      <c r="Z5175">
        <v>8.2886440000000006E-2</v>
      </c>
      <c r="AA5175">
        <v>0.98050990000000005</v>
      </c>
      <c r="AB5175">
        <v>27</v>
      </c>
      <c r="AC5175">
        <v>3.1695000000000202</v>
      </c>
      <c r="AD5175">
        <v>-1.1107945438069999</v>
      </c>
      <c r="AE5175">
        <v>-12.618619000000001</v>
      </c>
      <c r="AF5175">
        <v>-2.3778016972727101</v>
      </c>
      <c r="AG5175">
        <v>-1.1107945438069999</v>
      </c>
      <c r="AH5175">
        <v>12.695681438944799</v>
      </c>
      <c r="AI5175">
        <v>94.915260179806296</v>
      </c>
      <c r="AJ5175">
        <v>100.608151349943</v>
      </c>
      <c r="AK5175">
        <v>12.964109403629401</v>
      </c>
      <c r="AL5175">
        <v>89.1957144644403</v>
      </c>
      <c r="AM5175">
        <v>84.960791122600895</v>
      </c>
      <c r="AN5175">
        <v>1.00000002031326</v>
      </c>
    </row>
    <row r="5176" spans="1:40" x14ac:dyDescent="0.25">
      <c r="A5176" t="str">
        <f>"20190312154705797"</f>
        <v>20190312154705797</v>
      </c>
      <c r="B5176" t="str">
        <f>"1552376825793119"</f>
        <v>1552376825793119</v>
      </c>
      <c r="C5176" t="s">
        <v>40</v>
      </c>
      <c r="D5176">
        <v>4.912515</v>
      </c>
      <c r="E5176">
        <v>0.3968835</v>
      </c>
      <c r="F5176" t="s">
        <v>42</v>
      </c>
      <c r="G5176">
        <v>-299.55340000000001</v>
      </c>
      <c r="H5176" s="1">
        <v>-3.413889E-6</v>
      </c>
      <c r="I5176">
        <v>-22.594010000000001</v>
      </c>
      <c r="J5176">
        <v>-302.7115</v>
      </c>
      <c r="K5176">
        <v>1.110849</v>
      </c>
      <c r="L5176">
        <v>-10.06555</v>
      </c>
      <c r="M5176">
        <v>6.5189819999999996E-2</v>
      </c>
      <c r="N5176">
        <v>0</v>
      </c>
      <c r="O5176">
        <v>-0.99784059999999997</v>
      </c>
      <c r="P5176">
        <v>-2.2799219999999999E-2</v>
      </c>
      <c r="Q5176">
        <v>1.628366E-3</v>
      </c>
      <c r="R5176">
        <v>-0.99973869999999998</v>
      </c>
      <c r="S5176">
        <v>0.74526979999999998</v>
      </c>
      <c r="T5176">
        <v>-0.25971359999999999</v>
      </c>
      <c r="U5176">
        <v>-3.022888</v>
      </c>
      <c r="V5176">
        <v>8.7875690000000006E-2</v>
      </c>
      <c r="W5176">
        <v>1.0076659999999999E-2</v>
      </c>
      <c r="X5176">
        <v>0.99608050000000004</v>
      </c>
      <c r="Y5176">
        <v>-0.17473420000000001</v>
      </c>
      <c r="Z5176">
        <v>8.3430989999999997E-2</v>
      </c>
      <c r="AA5176">
        <v>0.98107449999999996</v>
      </c>
      <c r="AB5176">
        <v>27</v>
      </c>
      <c r="AC5176">
        <v>3.1580999999999899</v>
      </c>
      <c r="AD5176">
        <v>-1.1108524138889999</v>
      </c>
      <c r="AE5176">
        <v>-12.528460000000001</v>
      </c>
      <c r="AF5176">
        <v>-2.31749657668002</v>
      </c>
      <c r="AG5176">
        <v>-1.1108524138889999</v>
      </c>
      <c r="AH5176">
        <v>12.6144451674003</v>
      </c>
      <c r="AI5176">
        <v>94.950170445926304</v>
      </c>
      <c r="AJ5176">
        <v>100.410161602404</v>
      </c>
      <c r="AK5176">
        <v>12.8735779933053</v>
      </c>
      <c r="AL5176">
        <v>89.422640150466094</v>
      </c>
      <c r="AM5176">
        <v>84.958334645173807</v>
      </c>
      <c r="AN5176">
        <v>1.00000001922499</v>
      </c>
    </row>
    <row r="5177" spans="1:40" x14ac:dyDescent="0.25">
      <c r="A5177" t="str">
        <f>"20190312154705832"</f>
        <v>20190312154705832</v>
      </c>
      <c r="B5177" t="str">
        <f>"1552376825823374"</f>
        <v>1552376825823374</v>
      </c>
      <c r="C5177" t="s">
        <v>40</v>
      </c>
      <c r="D5177">
        <v>6.8002659999999997</v>
      </c>
      <c r="E5177">
        <v>0.39696809999999899</v>
      </c>
      <c r="F5177" t="s">
        <v>42</v>
      </c>
      <c r="G5177">
        <v>-299.68220000000002</v>
      </c>
      <c r="H5177" s="1">
        <v>-3.5953160000000001E-6</v>
      </c>
      <c r="I5177">
        <v>-22.11786</v>
      </c>
      <c r="J5177">
        <v>-302.67950000000002</v>
      </c>
      <c r="K5177">
        <v>1.1109089999999999</v>
      </c>
      <c r="L5177">
        <v>-10.476990000000001</v>
      </c>
      <c r="M5177">
        <v>6.949785E-2</v>
      </c>
      <c r="N5177">
        <v>0</v>
      </c>
      <c r="O5177">
        <v>-0.99754690000000001</v>
      </c>
      <c r="P5177">
        <v>-1.849139E-2</v>
      </c>
      <c r="Q5177">
        <v>-1.760555E-3</v>
      </c>
      <c r="R5177">
        <v>-0.99982760000000004</v>
      </c>
      <c r="S5177">
        <v>0.75869750000000002</v>
      </c>
      <c r="T5177">
        <v>-0.27821509999999999</v>
      </c>
      <c r="U5177">
        <v>-3.0185240000000002</v>
      </c>
      <c r="V5177">
        <v>8.7901179999999995E-2</v>
      </c>
      <c r="W5177">
        <v>7.0254849999999997E-3</v>
      </c>
      <c r="X5177">
        <v>0.9961044</v>
      </c>
      <c r="Y5177">
        <v>-0.17479629999999999</v>
      </c>
      <c r="Z5177">
        <v>8.9365589999999995E-2</v>
      </c>
      <c r="AA5177">
        <v>0.98054070000000004</v>
      </c>
      <c r="AB5177">
        <v>27</v>
      </c>
      <c r="AC5177">
        <v>2.9972999999999899</v>
      </c>
      <c r="AD5177">
        <v>-1.110912595316</v>
      </c>
      <c r="AE5177">
        <v>-11.64087</v>
      </c>
      <c r="AF5177">
        <v>-2.1625381404517099</v>
      </c>
      <c r="AG5177">
        <v>-1.110912595316</v>
      </c>
      <c r="AH5177">
        <v>11.7209258480289</v>
      </c>
      <c r="AI5177">
        <v>95.324989522478603</v>
      </c>
      <c r="AJ5177">
        <v>100.453644966474</v>
      </c>
      <c r="AK5177">
        <v>11.970413557531399</v>
      </c>
      <c r="AL5177">
        <v>89.597466039134403</v>
      </c>
      <c r="AM5177">
        <v>84.957000133626593</v>
      </c>
      <c r="AN5177">
        <v>0.99999997529211804</v>
      </c>
    </row>
    <row r="5178" spans="1:40" x14ac:dyDescent="0.25">
      <c r="A5178" t="str">
        <f>"20190312154705865"</f>
        <v>20190312154705865</v>
      </c>
      <c r="B5178" t="str">
        <f>"1552376825852655"</f>
        <v>1552376825852655</v>
      </c>
      <c r="C5178" t="s">
        <v>40</v>
      </c>
      <c r="D5178">
        <v>4.9089470000000004</v>
      </c>
      <c r="E5178">
        <v>0.39701649999999999</v>
      </c>
      <c r="F5178" t="s">
        <v>42</v>
      </c>
      <c r="G5178">
        <v>-299.55020000000002</v>
      </c>
      <c r="H5178" s="1">
        <v>-3.3685640000000001E-6</v>
      </c>
      <c r="I5178">
        <v>-22.70101</v>
      </c>
      <c r="J5178">
        <v>-302.64670000000001</v>
      </c>
      <c r="K5178">
        <v>1.1109599999999999</v>
      </c>
      <c r="L5178">
        <v>-10.880649999999999</v>
      </c>
      <c r="M5178">
        <v>7.3603210000000002E-2</v>
      </c>
      <c r="N5178">
        <v>0</v>
      </c>
      <c r="O5178">
        <v>-0.99724959999999996</v>
      </c>
      <c r="P5178">
        <v>-1.3745800000000001E-2</v>
      </c>
      <c r="Q5178">
        <v>-9.1775769999999997E-4</v>
      </c>
      <c r="R5178">
        <v>-0.9999055</v>
      </c>
      <c r="S5178">
        <v>0.77166749999999995</v>
      </c>
      <c r="T5178">
        <v>-0.27393909999999899</v>
      </c>
      <c r="U5178">
        <v>-3.014313</v>
      </c>
      <c r="V5178">
        <v>8.7268670000000007E-2</v>
      </c>
      <c r="W5178">
        <v>8.2080079999999993E-3</v>
      </c>
      <c r="X5178">
        <v>0.99615100000000001</v>
      </c>
      <c r="Y5178">
        <v>-0.17506089999999999</v>
      </c>
      <c r="Z5178">
        <v>8.8034680000000004E-2</v>
      </c>
      <c r="AA5178">
        <v>0.98061390000000004</v>
      </c>
      <c r="AB5178">
        <v>27</v>
      </c>
      <c r="AC5178">
        <v>3.09649999999999</v>
      </c>
      <c r="AD5178">
        <v>-1.1109633685639999</v>
      </c>
      <c r="AE5178">
        <v>-11.820360000000001</v>
      </c>
      <c r="AF5178">
        <v>-2.1998661915545199</v>
      </c>
      <c r="AG5178">
        <v>-1.1109633685639999</v>
      </c>
      <c r="AH5178">
        <v>11.9177013852286</v>
      </c>
      <c r="AI5178">
        <v>95.237718903593503</v>
      </c>
      <c r="AJ5178">
        <v>100.45839888200599</v>
      </c>
      <c r="AK5178">
        <v>12.1698503349267</v>
      </c>
      <c r="AL5178">
        <v>89.529710504249493</v>
      </c>
      <c r="AM5178">
        <v>84.993335928595101</v>
      </c>
      <c r="AN5178">
        <v>1.0000000034799399</v>
      </c>
    </row>
    <row r="5179" spans="1:40" x14ac:dyDescent="0.25">
      <c r="A5179" t="str">
        <f>"20190312154705909"</f>
        <v>20190312154705909</v>
      </c>
      <c r="B5179" t="str">
        <f>"1552376825903410"</f>
        <v>1552376825903410</v>
      </c>
      <c r="C5179" t="s">
        <v>40</v>
      </c>
      <c r="D5179">
        <v>4.9628969999999999</v>
      </c>
      <c r="E5179">
        <v>0.3968641</v>
      </c>
      <c r="F5179" t="s">
        <v>42</v>
      </c>
      <c r="G5179">
        <v>-299.30810000000002</v>
      </c>
      <c r="H5179" s="1">
        <v>-2.9937709999999999E-6</v>
      </c>
      <c r="I5179">
        <v>-23.674759999999999</v>
      </c>
      <c r="J5179">
        <v>-302.60039999999998</v>
      </c>
      <c r="K5179">
        <v>1.1110169999999999</v>
      </c>
      <c r="L5179">
        <v>-11.418670000000001</v>
      </c>
      <c r="M5179">
        <v>7.8866240000000004E-2</v>
      </c>
      <c r="N5179">
        <v>0</v>
      </c>
      <c r="O5179">
        <v>-0.99684249999999996</v>
      </c>
      <c r="P5179">
        <v>-5.8162700000000001E-3</v>
      </c>
      <c r="Q5179">
        <v>1.1379579999999999E-3</v>
      </c>
      <c r="R5179">
        <v>-0.99998279999999995</v>
      </c>
      <c r="S5179">
        <v>0.78567500000000001</v>
      </c>
      <c r="T5179">
        <v>-0.26144240000000002</v>
      </c>
      <c r="U5179">
        <v>-3.010834</v>
      </c>
      <c r="V5179">
        <v>8.461697E-2</v>
      </c>
      <c r="W5179">
        <v>1.075039E-2</v>
      </c>
      <c r="X5179">
        <v>0.99635549999999995</v>
      </c>
      <c r="Y5179">
        <v>-0.1744995</v>
      </c>
      <c r="Z5179">
        <v>8.4047109999999994E-2</v>
      </c>
      <c r="AA5179">
        <v>0.98106369999999998</v>
      </c>
      <c r="AB5179">
        <v>27</v>
      </c>
      <c r="AC5179">
        <v>3.2922999999999498</v>
      </c>
      <c r="AD5179">
        <v>-1.1110199937709999</v>
      </c>
      <c r="AE5179">
        <v>-12.25609</v>
      </c>
      <c r="AF5179">
        <v>-2.2978000554836702</v>
      </c>
      <c r="AG5179">
        <v>-1.1110199937709999</v>
      </c>
      <c r="AH5179">
        <v>12.3826677373936</v>
      </c>
      <c r="AI5179">
        <v>95.041455271744297</v>
      </c>
      <c r="AJ5179">
        <v>100.512561969635</v>
      </c>
      <c r="AK5179">
        <v>12.6429708065877</v>
      </c>
      <c r="AL5179">
        <v>89.384036124453701</v>
      </c>
      <c r="AM5179">
        <v>85.145719016302195</v>
      </c>
      <c r="AN5179">
        <v>0.99999994243868895</v>
      </c>
    </row>
    <row r="5180" spans="1:40" x14ac:dyDescent="0.25">
      <c r="A5180" t="str">
        <f>"20190312154705939"</f>
        <v>20190312154705939</v>
      </c>
      <c r="B5180" t="str">
        <f>"1552376825932687"</f>
        <v>1552376825932687</v>
      </c>
      <c r="C5180" t="s">
        <v>40</v>
      </c>
      <c r="D5180">
        <v>4.9090020000000001</v>
      </c>
      <c r="E5180">
        <v>0.39701180000000003</v>
      </c>
      <c r="F5180" t="s">
        <v>42</v>
      </c>
      <c r="G5180">
        <v>-298.84059999999999</v>
      </c>
      <c r="H5180" s="1">
        <v>-2.354298E-6</v>
      </c>
      <c r="I5180">
        <v>-25.35867</v>
      </c>
      <c r="J5180">
        <v>-302.56709999999998</v>
      </c>
      <c r="K5180">
        <v>1.1110409999999999</v>
      </c>
      <c r="L5180">
        <v>-11.78754</v>
      </c>
      <c r="M5180">
        <v>8.233116E-2</v>
      </c>
      <c r="N5180">
        <v>0</v>
      </c>
      <c r="O5180">
        <v>-0.99655839999999996</v>
      </c>
      <c r="P5180">
        <v>-1.715764E-3</v>
      </c>
      <c r="Q5180">
        <v>8.4126559999999999E-4</v>
      </c>
      <c r="R5180">
        <v>-0.99999830000000001</v>
      </c>
      <c r="S5180">
        <v>0.81048580000000003</v>
      </c>
      <c r="T5180">
        <v>-0.23950170000000001</v>
      </c>
      <c r="U5180">
        <v>-3.0050349999999999</v>
      </c>
      <c r="V5180">
        <v>8.3996500000000002E-2</v>
      </c>
      <c r="W5180">
        <v>1.0826199999999999E-2</v>
      </c>
      <c r="X5180">
        <v>0.99640720000000005</v>
      </c>
      <c r="Y5180">
        <v>-0.1792511</v>
      </c>
      <c r="Z5180">
        <v>7.7035569999999998E-2</v>
      </c>
      <c r="AA5180">
        <v>0.98078259999999995</v>
      </c>
      <c r="AB5180">
        <v>27</v>
      </c>
      <c r="AC5180">
        <v>3.7264999999999802</v>
      </c>
      <c r="AD5180">
        <v>-1.1110433542980001</v>
      </c>
      <c r="AE5180">
        <v>-13.571129999999901</v>
      </c>
      <c r="AF5180">
        <v>-2.5803864816161899</v>
      </c>
      <c r="AG5180">
        <v>-1.1110433542980001</v>
      </c>
      <c r="AH5180">
        <v>13.746200665880499</v>
      </c>
      <c r="AI5180">
        <v>94.541924827821603</v>
      </c>
      <c r="AJ5180">
        <v>100.631629215858</v>
      </c>
      <c r="AK5180">
        <v>14.030354395962</v>
      </c>
      <c r="AL5180">
        <v>89.379692291378504</v>
      </c>
      <c r="AM5180">
        <v>85.181394575095396</v>
      </c>
      <c r="AN5180">
        <v>0.99999996341526398</v>
      </c>
    </row>
    <row r="5181" spans="1:40" x14ac:dyDescent="0.25">
      <c r="A5181" t="str">
        <f>"20190312154705975"</f>
        <v>20190312154705975</v>
      </c>
      <c r="B5181" t="str">
        <f>"1552376825972702"</f>
        <v>1552376825972702</v>
      </c>
      <c r="C5181" t="s">
        <v>40</v>
      </c>
      <c r="D5181">
        <v>4.9561310000000001</v>
      </c>
      <c r="E5181">
        <v>0.39733780000000002</v>
      </c>
      <c r="F5181" t="s">
        <v>42</v>
      </c>
      <c r="G5181">
        <v>-298.6508</v>
      </c>
      <c r="H5181" s="1">
        <v>-2.072123E-6</v>
      </c>
      <c r="I5181">
        <v>-26.094909999999999</v>
      </c>
      <c r="J5181">
        <v>-302.52690000000001</v>
      </c>
      <c r="K5181">
        <v>1.111043</v>
      </c>
      <c r="L5181">
        <v>-12.21771</v>
      </c>
      <c r="M5181">
        <v>8.6140330000000001E-2</v>
      </c>
      <c r="N5181">
        <v>0</v>
      </c>
      <c r="O5181">
        <v>-0.99623139999999999</v>
      </c>
      <c r="P5181">
        <v>4.4942089999999999E-3</v>
      </c>
      <c r="Q5181">
        <v>3.9793620000000002E-3</v>
      </c>
      <c r="R5181">
        <v>-0.99998200000000004</v>
      </c>
      <c r="S5181">
        <v>0.82162479999999904</v>
      </c>
      <c r="T5181">
        <v>-0.2330914</v>
      </c>
      <c r="U5181">
        <v>-3.001617</v>
      </c>
      <c r="V5181">
        <v>8.1604629999999997E-2</v>
      </c>
      <c r="W5181">
        <v>1.4446540000000001E-2</v>
      </c>
      <c r="X5181">
        <v>0.99656009999999995</v>
      </c>
      <c r="Y5181">
        <v>-0.1792011</v>
      </c>
      <c r="Z5181">
        <v>7.4995919999999994E-2</v>
      </c>
      <c r="AA5181">
        <v>0.98094979999999998</v>
      </c>
      <c r="AB5181">
        <v>27</v>
      </c>
      <c r="AC5181">
        <v>3.8761000000000001</v>
      </c>
      <c r="AD5181">
        <v>-1.1110450721230001</v>
      </c>
      <c r="AE5181">
        <v>-13.8772</v>
      </c>
      <c r="AF5181">
        <v>-2.6504829341354301</v>
      </c>
      <c r="AG5181">
        <v>-1.1110450721230001</v>
      </c>
      <c r="AH5181">
        <v>14.075822382721601</v>
      </c>
      <c r="AI5181">
        <v>94.435531776092901</v>
      </c>
      <c r="AJ5181">
        <v>100.66395069354201</v>
      </c>
      <c r="AK5181">
        <v>14.3662192899301</v>
      </c>
      <c r="AL5181">
        <v>89.172245456457105</v>
      </c>
      <c r="AM5181">
        <v>85.318704621138906</v>
      </c>
      <c r="AN5181">
        <v>1.0000000255337</v>
      </c>
    </row>
    <row r="5182" spans="1:40" x14ac:dyDescent="0.25">
      <c r="A5182" t="str">
        <f>"20190312154706021"</f>
        <v>20190312154706021</v>
      </c>
      <c r="B5182" t="str">
        <f>"1552376826012718"</f>
        <v>1552376826012718</v>
      </c>
      <c r="C5182" t="s">
        <v>40</v>
      </c>
      <c r="D5182">
        <v>4.9598779999999998</v>
      </c>
      <c r="E5182">
        <v>0.4779504</v>
      </c>
      <c r="F5182" t="s">
        <v>42</v>
      </c>
      <c r="G5182">
        <v>-298.21679999999998</v>
      </c>
      <c r="H5182" s="1">
        <v>-1.49057799999999E-6</v>
      </c>
      <c r="I5182">
        <v>-27.62997</v>
      </c>
      <c r="J5182">
        <v>-302.4744</v>
      </c>
      <c r="K5182">
        <v>1.1109659999999999</v>
      </c>
      <c r="L5182">
        <v>-12.75961</v>
      </c>
      <c r="M5182">
        <v>9.0518849999999998E-2</v>
      </c>
      <c r="N5182">
        <v>0</v>
      </c>
      <c r="O5182">
        <v>-0.99583580000000005</v>
      </c>
      <c r="P5182">
        <v>9.175117E-3</v>
      </c>
      <c r="Q5182">
        <v>2.7232850000000002E-3</v>
      </c>
      <c r="R5182">
        <v>-0.99995440000000002</v>
      </c>
      <c r="S5182">
        <v>0.8381653</v>
      </c>
      <c r="T5182">
        <v>-0.21605830000000001</v>
      </c>
      <c r="U5182">
        <v>-2.997131</v>
      </c>
      <c r="V5182">
        <v>8.1330399999999997E-2</v>
      </c>
      <c r="W5182">
        <v>1.3834340000000001E-2</v>
      </c>
      <c r="X5182">
        <v>0.99659120000000001</v>
      </c>
      <c r="Y5182">
        <v>-0.1803845</v>
      </c>
      <c r="Z5182">
        <v>6.9545170000000003E-2</v>
      </c>
      <c r="AA5182">
        <v>0.98113450000000002</v>
      </c>
      <c r="AB5182">
        <v>27</v>
      </c>
      <c r="AC5182">
        <v>4.2576000000000196</v>
      </c>
      <c r="AD5182">
        <v>-1.11096749057799</v>
      </c>
      <c r="AE5182">
        <v>-14.87036</v>
      </c>
      <c r="AF5182">
        <v>-2.8791398128559602</v>
      </c>
      <c r="AG5182">
        <v>-1.11096749057799</v>
      </c>
      <c r="AH5182">
        <v>15.116738788245399</v>
      </c>
      <c r="AI5182">
        <v>94.129291131625607</v>
      </c>
      <c r="AJ5182">
        <v>100.783423702875</v>
      </c>
      <c r="AK5182">
        <v>15.4285283296605</v>
      </c>
      <c r="AL5182">
        <v>89.207325436400794</v>
      </c>
      <c r="AM5182">
        <v>85.334511367002307</v>
      </c>
      <c r="AN5182">
        <v>1.0000000214224101</v>
      </c>
    </row>
    <row r="5183" spans="1:40" x14ac:dyDescent="0.25">
      <c r="A5183" t="str">
        <f>"20190312154706068"</f>
        <v>20190312154706068</v>
      </c>
      <c r="B5183" t="str">
        <f>"1552376826063470"</f>
        <v>1552376826063470</v>
      </c>
      <c r="C5183" t="s">
        <v>40</v>
      </c>
      <c r="D5183">
        <v>4.9392250000000004</v>
      </c>
      <c r="E5183">
        <v>0.48783789999999999</v>
      </c>
      <c r="F5183" t="s">
        <v>41</v>
      </c>
      <c r="G5183">
        <v>-302.42070000000001</v>
      </c>
      <c r="H5183">
        <v>1.048378</v>
      </c>
      <c r="I5183">
        <v>-13.526020000000001</v>
      </c>
      <c r="J5183">
        <v>-302.41919999999999</v>
      </c>
      <c r="K5183">
        <v>1.110859</v>
      </c>
      <c r="L5183">
        <v>-13.310879999999999</v>
      </c>
      <c r="M5183">
        <v>9.443501E-2</v>
      </c>
      <c r="N5183">
        <v>0</v>
      </c>
      <c r="O5183">
        <v>-0.9954655</v>
      </c>
      <c r="P5183">
        <v>1.375204E-2</v>
      </c>
      <c r="Q5183">
        <v>3.108605E-3</v>
      </c>
      <c r="R5183">
        <v>-0.99990089999999998</v>
      </c>
      <c r="S5183">
        <v>0.2099915</v>
      </c>
      <c r="T5183">
        <v>-0.24488589999999999</v>
      </c>
      <c r="U5183">
        <v>-2.9988709999999998</v>
      </c>
      <c r="V5183">
        <v>8.0692630000000001E-2</v>
      </c>
      <c r="W5183">
        <v>1.478553E-2</v>
      </c>
      <c r="X5183">
        <v>0.9966294</v>
      </c>
      <c r="Y5183">
        <v>2.4899230000000001E-2</v>
      </c>
      <c r="Z5183">
        <v>8.0733639999999995E-2</v>
      </c>
      <c r="AA5183">
        <v>0.99642470000000005</v>
      </c>
      <c r="AB5183">
        <v>27</v>
      </c>
      <c r="AC5183">
        <v>-1.5000000000213701E-3</v>
      </c>
      <c r="AD5183">
        <v>-6.2481000000000002E-2</v>
      </c>
      <c r="AE5183">
        <v>-0.215140000000001</v>
      </c>
      <c r="AF5183">
        <v>2.0114884124485699E-2</v>
      </c>
      <c r="AG5183">
        <v>-6.2481000000000002E-2</v>
      </c>
      <c r="AH5183">
        <v>0.19738901073134599</v>
      </c>
      <c r="AI5183">
        <v>107.47955439144199</v>
      </c>
      <c r="AJ5183">
        <v>84.181371944968802</v>
      </c>
      <c r="AK5183">
        <v>0.20801659905363601</v>
      </c>
      <c r="AL5183">
        <v>89.152820695061195</v>
      </c>
      <c r="AM5183">
        <v>85.371113845173596</v>
      </c>
      <c r="AN5183">
        <v>1.00000003668902</v>
      </c>
    </row>
    <row r="5184" spans="1:40" x14ac:dyDescent="0.25">
      <c r="A5184" t="str">
        <f>"20190312154706111"</f>
        <v>20190312154706111</v>
      </c>
      <c r="B5184" t="str">
        <f>"1552376826103486"</f>
        <v>1552376826103486</v>
      </c>
      <c r="C5184" t="s">
        <v>40</v>
      </c>
      <c r="D5184">
        <v>5.0473790000000003</v>
      </c>
      <c r="E5184">
        <v>0.4892841</v>
      </c>
      <c r="F5184" t="s">
        <v>41</v>
      </c>
      <c r="G5184">
        <v>-302.37479999999999</v>
      </c>
      <c r="H5184">
        <v>1.040835</v>
      </c>
      <c r="I5184">
        <v>-14.24091</v>
      </c>
      <c r="J5184">
        <v>-302.36529999999999</v>
      </c>
      <c r="K5184">
        <v>1.1107199999999999</v>
      </c>
      <c r="L5184">
        <v>-13.834989999999999</v>
      </c>
      <c r="M5184">
        <v>9.7627989999999998E-2</v>
      </c>
      <c r="N5184">
        <v>0</v>
      </c>
      <c r="O5184">
        <v>-0.99515129999999996</v>
      </c>
      <c r="P5184">
        <v>1.8616810000000001E-2</v>
      </c>
      <c r="Q5184">
        <v>3.2915029999999999E-3</v>
      </c>
      <c r="R5184">
        <v>-0.99982090000000001</v>
      </c>
      <c r="S5184">
        <v>0.1442871</v>
      </c>
      <c r="T5184">
        <v>-0.2258742</v>
      </c>
      <c r="U5184">
        <v>-2.9990230000000002</v>
      </c>
      <c r="V5184">
        <v>7.9045829999999997E-2</v>
      </c>
      <c r="W5184">
        <v>1.541202E-2</v>
      </c>
      <c r="X5184">
        <v>0.99675179999999997</v>
      </c>
      <c r="Y5184">
        <v>4.9829909999999998E-2</v>
      </c>
      <c r="Z5184">
        <v>7.4476669999999995E-2</v>
      </c>
      <c r="AA5184">
        <v>0.995977</v>
      </c>
      <c r="AB5184">
        <v>27</v>
      </c>
      <c r="AC5184">
        <v>-9.5000000000027198E-3</v>
      </c>
      <c r="AD5184">
        <v>-6.9885000000000197E-2</v>
      </c>
      <c r="AE5184">
        <v>-0.405920000000001</v>
      </c>
      <c r="AF5184">
        <v>4.7674272045386698E-2</v>
      </c>
      <c r="AG5184">
        <v>-6.9885000000000197E-2</v>
      </c>
      <c r="AH5184">
        <v>0.39145644826981602</v>
      </c>
      <c r="AI5184">
        <v>100.049404942379</v>
      </c>
      <c r="AJ5184">
        <v>83.056318881691794</v>
      </c>
      <c r="AK5184">
        <v>0.40049332120782799</v>
      </c>
      <c r="AL5184">
        <v>89.116921304829006</v>
      </c>
      <c r="AM5184">
        <v>85.465738024805006</v>
      </c>
      <c r="AN5184">
        <v>0.99999996220205301</v>
      </c>
    </row>
    <row r="5185" spans="1:40" x14ac:dyDescent="0.25">
      <c r="A5185" t="str">
        <f>"20190312154706155"</f>
        <v>20190312154706155</v>
      </c>
      <c r="B5185" t="str">
        <f>"1552376826143503"</f>
        <v>1552376826143503</v>
      </c>
      <c r="C5185" t="s">
        <v>40</v>
      </c>
      <c r="D5185">
        <v>4.9952649999999998</v>
      </c>
      <c r="E5185">
        <v>0.49036249999999998</v>
      </c>
      <c r="F5185" t="s">
        <v>41</v>
      </c>
      <c r="G5185">
        <v>-302.32240000000002</v>
      </c>
      <c r="H5185">
        <v>1.0431589999999999</v>
      </c>
      <c r="I5185">
        <v>-14.72073</v>
      </c>
      <c r="J5185">
        <v>-302.30919999999998</v>
      </c>
      <c r="K5185">
        <v>1.110574</v>
      </c>
      <c r="L5185">
        <v>-14.368650000000001</v>
      </c>
      <c r="M5185">
        <v>0.1003627</v>
      </c>
      <c r="N5185">
        <v>0</v>
      </c>
      <c r="O5185">
        <v>-0.99487389999999998</v>
      </c>
      <c r="P5185">
        <v>2.3745160000000001E-2</v>
      </c>
      <c r="Q5185">
        <v>7.8399100000000005E-4</v>
      </c>
      <c r="R5185">
        <v>-0.999718</v>
      </c>
      <c r="S5185">
        <v>0.1459656</v>
      </c>
      <c r="T5185">
        <v>-0.22879640000000001</v>
      </c>
      <c r="U5185">
        <v>-2.9985659999999998</v>
      </c>
      <c r="V5185">
        <v>7.6685349999999999E-2</v>
      </c>
      <c r="W5185">
        <v>1.3318450000000001E-2</v>
      </c>
      <c r="X5185">
        <v>0.99696640000000003</v>
      </c>
      <c r="Y5185">
        <v>5.2015260000000001E-2</v>
      </c>
      <c r="Z5185">
        <v>7.5409889999999993E-2</v>
      </c>
      <c r="AA5185">
        <v>0.99579499999999999</v>
      </c>
      <c r="AB5185">
        <v>27</v>
      </c>
      <c r="AC5185">
        <v>-1.32000000000402E-2</v>
      </c>
      <c r="AD5185">
        <v>-6.7415000000000003E-2</v>
      </c>
      <c r="AE5185">
        <v>-0.352079999999999</v>
      </c>
      <c r="AF5185">
        <v>4.67597919698923E-2</v>
      </c>
      <c r="AG5185">
        <v>-6.7415000000000003E-2</v>
      </c>
      <c r="AH5185">
        <v>0.33665175102667899</v>
      </c>
      <c r="AI5185">
        <v>101.21885295412299</v>
      </c>
      <c r="AJ5185">
        <v>82.092402447472494</v>
      </c>
      <c r="AK5185">
        <v>0.34650492325419702</v>
      </c>
      <c r="AL5185">
        <v>89.236886474093893</v>
      </c>
      <c r="AM5185">
        <v>85.601544487987198</v>
      </c>
      <c r="AN5185">
        <v>1.00000001337199</v>
      </c>
    </row>
    <row r="5186" spans="1:40" x14ac:dyDescent="0.25">
      <c r="A5186" t="str">
        <f>"20190312154706200"</f>
        <v>20190312154706200</v>
      </c>
      <c r="B5186" t="str">
        <f>"1552376826193279"</f>
        <v>1552376826193279</v>
      </c>
      <c r="C5186" t="s">
        <v>40</v>
      </c>
      <c r="D5186">
        <v>4.9911339999999997</v>
      </c>
      <c r="E5186">
        <v>0.49152269999999998</v>
      </c>
      <c r="F5186" t="s">
        <v>41</v>
      </c>
      <c r="G5186">
        <v>-302.26729999999998</v>
      </c>
      <c r="H5186">
        <v>1.0441879999999999</v>
      </c>
      <c r="I5186">
        <v>-15.19871</v>
      </c>
      <c r="J5186">
        <v>-302.25310000000002</v>
      </c>
      <c r="K5186">
        <v>1.1104309999999999</v>
      </c>
      <c r="L5186">
        <v>-14.897</v>
      </c>
      <c r="M5186">
        <v>0.1025311</v>
      </c>
      <c r="N5186">
        <v>0</v>
      </c>
      <c r="O5186">
        <v>-0.99464680000000005</v>
      </c>
      <c r="P5186">
        <v>2.7765990000000001E-2</v>
      </c>
      <c r="Q5186">
        <v>7.7759170000000002E-4</v>
      </c>
      <c r="R5186">
        <v>-0.99961449999999996</v>
      </c>
      <c r="S5186">
        <v>0.15222169999999999</v>
      </c>
      <c r="T5186">
        <v>-0.23976310000000001</v>
      </c>
      <c r="U5186">
        <v>-2.9974059999999998</v>
      </c>
      <c r="V5186">
        <v>7.4855190000000002E-2</v>
      </c>
      <c r="W5186">
        <v>1.374852E-2</v>
      </c>
      <c r="X5186">
        <v>0.99709959999999997</v>
      </c>
      <c r="Y5186">
        <v>5.211495E-2</v>
      </c>
      <c r="Z5186">
        <v>7.9001870000000002E-2</v>
      </c>
      <c r="AA5186">
        <v>0.99551129999999999</v>
      </c>
      <c r="AB5186">
        <v>27</v>
      </c>
      <c r="AC5186">
        <v>-1.41999999999598E-2</v>
      </c>
      <c r="AD5186">
        <v>-6.6242999999999996E-2</v>
      </c>
      <c r="AE5186">
        <v>-0.30170999999999898</v>
      </c>
      <c r="AF5186">
        <v>4.2994360395352198E-2</v>
      </c>
      <c r="AG5186">
        <v>-6.6242999999999996E-2</v>
      </c>
      <c r="AH5186">
        <v>0.28495732722755601</v>
      </c>
      <c r="AI5186">
        <v>102.945401682069</v>
      </c>
      <c r="AJ5186">
        <v>81.419930197543195</v>
      </c>
      <c r="AK5186">
        <v>0.295698035866791</v>
      </c>
      <c r="AL5186">
        <v>89.212242984753701</v>
      </c>
      <c r="AM5186">
        <v>85.706691398428802</v>
      </c>
      <c r="AN5186">
        <v>0.999999966796142</v>
      </c>
    </row>
    <row r="5187" spans="1:40" x14ac:dyDescent="0.25">
      <c r="A5187" t="str">
        <f>"20190312154706245"</f>
        <v>20190312154706245</v>
      </c>
      <c r="B5187" t="str">
        <f>"1552376826233294"</f>
        <v>1552376826233294</v>
      </c>
      <c r="C5187" t="s">
        <v>40</v>
      </c>
      <c r="D5187">
        <v>5.0213559999999999</v>
      </c>
      <c r="E5187">
        <v>0.49250579999999999</v>
      </c>
      <c r="F5187" t="s">
        <v>41</v>
      </c>
      <c r="G5187">
        <v>-302.21269999999998</v>
      </c>
      <c r="H5187">
        <v>1.047264</v>
      </c>
      <c r="I5187">
        <v>-15.677619999999999</v>
      </c>
      <c r="J5187">
        <v>-302.19569999999999</v>
      </c>
      <c r="K5187">
        <v>1.1102939999999999</v>
      </c>
      <c r="L5187">
        <v>-15.43155</v>
      </c>
      <c r="M5187">
        <v>0.10421569999999999</v>
      </c>
      <c r="N5187">
        <v>0</v>
      </c>
      <c r="O5187">
        <v>-0.99446540000000005</v>
      </c>
      <c r="P5187">
        <v>3.055737E-2</v>
      </c>
      <c r="Q5187">
        <v>1.004357E-3</v>
      </c>
      <c r="R5187">
        <v>-0.99953259999999999</v>
      </c>
      <c r="S5187">
        <v>0.155365</v>
      </c>
      <c r="T5187">
        <v>-0.24255679999999999</v>
      </c>
      <c r="U5187">
        <v>-2.9970400000000001</v>
      </c>
      <c r="V5187">
        <v>7.3765810000000001E-2</v>
      </c>
      <c r="W5187">
        <v>1.4412680000000001E-2</v>
      </c>
      <c r="X5187">
        <v>0.99717149999999999</v>
      </c>
      <c r="Y5187">
        <v>5.2763369999999997E-2</v>
      </c>
      <c r="Z5187">
        <v>7.9901550000000002E-2</v>
      </c>
      <c r="AA5187">
        <v>0.99540530000000005</v>
      </c>
      <c r="AB5187">
        <v>27</v>
      </c>
      <c r="AC5187">
        <v>-1.69999999999959E-2</v>
      </c>
      <c r="AD5187">
        <v>-6.30300000000001E-2</v>
      </c>
      <c r="AE5187">
        <v>-0.24607000000000101</v>
      </c>
      <c r="AF5187">
        <v>3.99456229630335E-2</v>
      </c>
      <c r="AG5187">
        <v>-6.30300000000001E-2</v>
      </c>
      <c r="AH5187">
        <v>0.22806547185603199</v>
      </c>
      <c r="AI5187">
        <v>105.228275101118</v>
      </c>
      <c r="AJ5187">
        <v>80.065426550625801</v>
      </c>
      <c r="AK5187">
        <v>0.23996310788706601</v>
      </c>
      <c r="AL5187">
        <v>89.174185722168104</v>
      </c>
      <c r="AM5187">
        <v>85.769248032063899</v>
      </c>
      <c r="AN5187">
        <v>1.00000006024099</v>
      </c>
    </row>
    <row r="5188" spans="1:40" x14ac:dyDescent="0.25">
      <c r="A5188" t="str">
        <f>"20190312154706289"</f>
        <v>20190312154706289</v>
      </c>
      <c r="B5188" t="str">
        <f>"1552376826283071"</f>
        <v>1552376826283071</v>
      </c>
      <c r="C5188" t="s">
        <v>40</v>
      </c>
      <c r="D5188">
        <v>4.9981530000000003</v>
      </c>
      <c r="E5188">
        <v>0.49352960000000001</v>
      </c>
      <c r="F5188" t="s">
        <v>41</v>
      </c>
      <c r="G5188">
        <v>-302.14609999999999</v>
      </c>
      <c r="H5188">
        <v>1.0327959999999901</v>
      </c>
      <c r="I5188">
        <v>-16.380569999999999</v>
      </c>
      <c r="J5188">
        <v>-302.1388</v>
      </c>
      <c r="K5188">
        <v>1.1102240000000001</v>
      </c>
      <c r="L5188">
        <v>-15.95731</v>
      </c>
      <c r="M5188">
        <v>0.1054741</v>
      </c>
      <c r="N5188">
        <v>0</v>
      </c>
      <c r="O5188">
        <v>-0.99432710000000002</v>
      </c>
      <c r="P5188">
        <v>3.2420740000000003E-2</v>
      </c>
      <c r="Q5188">
        <v>2.1383740000000001E-4</v>
      </c>
      <c r="R5188">
        <v>-0.99947439999999999</v>
      </c>
      <c r="S5188">
        <v>0.15646360000000001</v>
      </c>
      <c r="T5188">
        <v>-0.24472050000000001</v>
      </c>
      <c r="U5188">
        <v>-2.9968569999999999</v>
      </c>
      <c r="V5188">
        <v>7.3174069999999994E-2</v>
      </c>
      <c r="W5188">
        <v>1.399215E-2</v>
      </c>
      <c r="X5188">
        <v>0.99722109999999997</v>
      </c>
      <c r="Y5188">
        <v>5.3663559999999999E-2</v>
      </c>
      <c r="Z5188">
        <v>8.0595630000000001E-2</v>
      </c>
      <c r="AA5188">
        <v>0.9953012</v>
      </c>
      <c r="AB5188">
        <v>27</v>
      </c>
      <c r="AC5188">
        <v>-7.2999999999865299E-3</v>
      </c>
      <c r="AD5188">
        <v>-7.7427999999999997E-2</v>
      </c>
      <c r="AE5188">
        <v>-0.42326000000000003</v>
      </c>
      <c r="AF5188">
        <v>5.0226172992259198E-2</v>
      </c>
      <c r="AG5188">
        <v>-7.7427999999999997E-2</v>
      </c>
      <c r="AH5188">
        <v>0.40652845525628001</v>
      </c>
      <c r="AI5188">
        <v>100.70399899207101</v>
      </c>
      <c r="AJ5188">
        <v>82.956856918935998</v>
      </c>
      <c r="AK5188">
        <v>0.41687306049984302</v>
      </c>
      <c r="AL5188">
        <v>89.198282756121202</v>
      </c>
      <c r="AM5188">
        <v>85.803272833529206</v>
      </c>
      <c r="AN5188">
        <v>1.0000000735335901</v>
      </c>
    </row>
    <row r="5189" spans="1:40" x14ac:dyDescent="0.25">
      <c r="A5189" t="str">
        <f>"20190312154706333"</f>
        <v>20190312154706333</v>
      </c>
      <c r="B5189" t="str">
        <f>"1552376826323090"</f>
        <v>1552376826323090</v>
      </c>
      <c r="C5189" t="s">
        <v>40</v>
      </c>
      <c r="D5189">
        <v>4.9502540000000002</v>
      </c>
      <c r="E5189">
        <v>0.47554780000000002</v>
      </c>
      <c r="F5189" t="s">
        <v>41</v>
      </c>
      <c r="G5189">
        <v>-302.09289999999999</v>
      </c>
      <c r="H5189">
        <v>1.0351330000000001</v>
      </c>
      <c r="I5189">
        <v>-16.853279999999899</v>
      </c>
      <c r="J5189">
        <v>-302.08210000000003</v>
      </c>
      <c r="K5189">
        <v>1.1101840000000001</v>
      </c>
      <c r="L5189">
        <v>-16.47916</v>
      </c>
      <c r="M5189">
        <v>0.10649790000000001</v>
      </c>
      <c r="N5189">
        <v>0</v>
      </c>
      <c r="O5189">
        <v>-0.99421369999999998</v>
      </c>
      <c r="P5189">
        <v>3.3305019999999998E-2</v>
      </c>
      <c r="Q5189">
        <v>1.0565100000000001E-3</v>
      </c>
      <c r="R5189">
        <v>-0.99944480000000002</v>
      </c>
      <c r="S5189">
        <v>0.1539307</v>
      </c>
      <c r="T5189">
        <v>-0.25115929999999997</v>
      </c>
      <c r="U5189">
        <v>-2.9966430000000002</v>
      </c>
      <c r="V5189">
        <v>7.3320540000000003E-2</v>
      </c>
      <c r="W5189">
        <v>1.513168E-2</v>
      </c>
      <c r="X5189">
        <v>0.99719360000000001</v>
      </c>
      <c r="Y5189">
        <v>5.553636E-2</v>
      </c>
      <c r="Z5189">
        <v>8.2691379999999995E-2</v>
      </c>
      <c r="AA5189">
        <v>0.99502650000000004</v>
      </c>
      <c r="AB5189">
        <v>27</v>
      </c>
      <c r="AC5189">
        <v>-1.07999999999606E-2</v>
      </c>
      <c r="AD5189">
        <v>-7.5050999999999896E-2</v>
      </c>
      <c r="AE5189">
        <v>-0.37411999999999701</v>
      </c>
      <c r="AF5189">
        <v>4.8630098242406002E-2</v>
      </c>
      <c r="AG5189">
        <v>-7.5050999999999896E-2</v>
      </c>
      <c r="AH5189">
        <v>0.35650666345266102</v>
      </c>
      <c r="AI5189">
        <v>101.782172267974</v>
      </c>
      <c r="AJ5189">
        <v>82.232379999575002</v>
      </c>
      <c r="AK5189">
        <v>0.36755209173968101</v>
      </c>
      <c r="AL5189">
        <v>89.132985486764198</v>
      </c>
      <c r="AM5189">
        <v>85.7947869441753</v>
      </c>
      <c r="AN5189">
        <v>0.99999997260323603</v>
      </c>
    </row>
    <row r="5190" spans="1:40" x14ac:dyDescent="0.25">
      <c r="A5190" t="str">
        <f>"20190312154706364"</f>
        <v>20190312154706364</v>
      </c>
      <c r="B5190" t="str">
        <f>"1552376826353343"</f>
        <v>1552376826353343</v>
      </c>
      <c r="C5190" t="s">
        <v>40</v>
      </c>
      <c r="D5190">
        <v>4.921392</v>
      </c>
      <c r="E5190">
        <v>0.47628359999999897</v>
      </c>
      <c r="F5190" t="s">
        <v>41</v>
      </c>
      <c r="G5190">
        <v>-301.99740000000003</v>
      </c>
      <c r="H5190">
        <v>1.036456</v>
      </c>
      <c r="I5190">
        <v>-17.321069999999999</v>
      </c>
      <c r="J5190">
        <v>-302.04320000000001</v>
      </c>
      <c r="K5190">
        <v>1.1101570000000001</v>
      </c>
      <c r="L5190">
        <v>-16.834529999999901</v>
      </c>
      <c r="M5190">
        <v>0.1071213</v>
      </c>
      <c r="N5190">
        <v>0</v>
      </c>
      <c r="O5190">
        <v>-0.99414420000000003</v>
      </c>
      <c r="P5190">
        <v>3.3412459999999998E-2</v>
      </c>
      <c r="Q5190">
        <v>8.8454259999999998E-4</v>
      </c>
      <c r="R5190">
        <v>-0.99944129999999998</v>
      </c>
      <c r="S5190">
        <v>0.30044559999999998</v>
      </c>
      <c r="T5190">
        <v>-0.26199689999999998</v>
      </c>
      <c r="U5190">
        <v>-2.991943</v>
      </c>
      <c r="V5190">
        <v>7.3840260000000005E-2</v>
      </c>
      <c r="W5190">
        <v>1.512262E-2</v>
      </c>
      <c r="X5190">
        <v>0.99715540000000003</v>
      </c>
      <c r="Y5190">
        <v>7.62998199999999E-3</v>
      </c>
      <c r="Z5190">
        <v>8.6267200000000002E-2</v>
      </c>
      <c r="AA5190">
        <v>0.99624279999999998</v>
      </c>
      <c r="AB5190">
        <v>26</v>
      </c>
      <c r="AC5190">
        <v>4.5799999999985602E-2</v>
      </c>
      <c r="AD5190">
        <v>-7.3701000000000003E-2</v>
      </c>
      <c r="AE5190">
        <v>-0.48654000000000502</v>
      </c>
      <c r="AF5190">
        <v>6.4411579036745504E-3</v>
      </c>
      <c r="AG5190">
        <v>-7.3701000000000003E-2</v>
      </c>
      <c r="AH5190">
        <v>0.47777960846895401</v>
      </c>
      <c r="AI5190">
        <v>98.768389596481697</v>
      </c>
      <c r="AJ5190">
        <v>89.227617083913103</v>
      </c>
      <c r="AK5190">
        <v>0.48347355686209598</v>
      </c>
      <c r="AL5190">
        <v>89.133504656418694</v>
      </c>
      <c r="AM5190">
        <v>85.764925437527296</v>
      </c>
      <c r="AN5190">
        <v>0.99999998469084495</v>
      </c>
    </row>
    <row r="5191" spans="1:40" x14ac:dyDescent="0.25">
      <c r="A5191" t="str">
        <f>"20190312154706400"</f>
        <v>20190312154706400</v>
      </c>
      <c r="B5191" t="str">
        <f>"1552376826393359"</f>
        <v>1552376826393359</v>
      </c>
      <c r="C5191" t="s">
        <v>40</v>
      </c>
      <c r="D5191">
        <v>4.8353429999999999</v>
      </c>
      <c r="E5191">
        <v>0.47716229999999998</v>
      </c>
      <c r="F5191" t="s">
        <v>41</v>
      </c>
      <c r="G5191">
        <v>-301.9495</v>
      </c>
      <c r="H5191">
        <v>1.031398</v>
      </c>
      <c r="I5191">
        <v>-17.785629999999902</v>
      </c>
      <c r="J5191">
        <v>-301.99599999999998</v>
      </c>
      <c r="K5191">
        <v>1.1101449999999999</v>
      </c>
      <c r="L5191">
        <v>-17.263950000000001</v>
      </c>
      <c r="M5191">
        <v>0.107833</v>
      </c>
      <c r="N5191">
        <v>0</v>
      </c>
      <c r="O5191">
        <v>-0.99406519999999998</v>
      </c>
      <c r="P5191">
        <v>3.2430590000000002E-2</v>
      </c>
      <c r="Q5191">
        <v>1.075593E-4</v>
      </c>
      <c r="R5191">
        <v>-0.99947419999999998</v>
      </c>
      <c r="S5191">
        <v>0.2947998</v>
      </c>
      <c r="T5191">
        <v>-0.2477713</v>
      </c>
      <c r="U5191">
        <v>-2.992035</v>
      </c>
      <c r="V5191">
        <v>7.5535740000000004E-2</v>
      </c>
      <c r="W5191">
        <v>1.450327E-2</v>
      </c>
      <c r="X5191">
        <v>0.99703759999999997</v>
      </c>
      <c r="Y5191">
        <v>1.0171929999999999E-2</v>
      </c>
      <c r="Z5191">
        <v>8.1610269999999999E-2</v>
      </c>
      <c r="AA5191">
        <v>0.99661239999999995</v>
      </c>
      <c r="AB5191">
        <v>26</v>
      </c>
      <c r="AC5191">
        <v>4.6499999999980397E-2</v>
      </c>
      <c r="AD5191">
        <v>-7.8747000000000095E-2</v>
      </c>
      <c r="AE5191">
        <v>-0.52167999999999604</v>
      </c>
      <c r="AF5191">
        <v>9.8095684070172093E-3</v>
      </c>
      <c r="AG5191">
        <v>-7.8747000000000095E-2</v>
      </c>
      <c r="AH5191">
        <v>0.51207624661182904</v>
      </c>
      <c r="AI5191">
        <v>98.740871315962593</v>
      </c>
      <c r="AJ5191">
        <v>88.902549891785696</v>
      </c>
      <c r="AK5191">
        <v>0.51818857569941701</v>
      </c>
      <c r="AL5191">
        <v>89.168994692160894</v>
      </c>
      <c r="AM5191">
        <v>85.6675381157619</v>
      </c>
      <c r="AN5191">
        <v>0.99999998433589998</v>
      </c>
    </row>
    <row r="5192" spans="1:40" x14ac:dyDescent="0.25">
      <c r="A5192" t="str">
        <f>"20190312154706447"</f>
        <v>20190312154706447</v>
      </c>
      <c r="B5192" t="str">
        <f>"1552376826443134"</f>
        <v>1552376826443134</v>
      </c>
      <c r="C5192" t="s">
        <v>40</v>
      </c>
      <c r="D5192">
        <v>4.6595760000000004</v>
      </c>
      <c r="E5192">
        <v>0.4779986</v>
      </c>
      <c r="F5192" t="s">
        <v>42</v>
      </c>
      <c r="G5192">
        <v>-300.71159999999998</v>
      </c>
      <c r="H5192" s="1">
        <v>-4.2926360000000003E-6</v>
      </c>
      <c r="I5192">
        <v>-30.770009999999999</v>
      </c>
      <c r="J5192">
        <v>-301.93770000000001</v>
      </c>
      <c r="K5192">
        <v>1.110158</v>
      </c>
      <c r="L5192">
        <v>-17.791869999999999</v>
      </c>
      <c r="M5192">
        <v>0.1086613</v>
      </c>
      <c r="N5192">
        <v>0</v>
      </c>
      <c r="O5192">
        <v>-0.99397279999999999</v>
      </c>
      <c r="P5192">
        <v>3.0729159999999998E-2</v>
      </c>
      <c r="Q5192">
        <v>1.6597630000000001E-3</v>
      </c>
      <c r="R5192">
        <v>-0.99952669999999999</v>
      </c>
      <c r="S5192">
        <v>0.28457640000000001</v>
      </c>
      <c r="T5192">
        <v>-0.24596199999999999</v>
      </c>
      <c r="U5192">
        <v>-2.9923709999999999</v>
      </c>
      <c r="V5192">
        <v>7.8063480000000005E-2</v>
      </c>
      <c r="W5192">
        <v>1.6203950000000002E-2</v>
      </c>
      <c r="X5192">
        <v>0.9968167</v>
      </c>
      <c r="Y5192">
        <v>1.438481E-2</v>
      </c>
      <c r="Z5192">
        <v>8.1009360000000002E-2</v>
      </c>
      <c r="AA5192">
        <v>0.99660950000000004</v>
      </c>
      <c r="AB5192">
        <v>26</v>
      </c>
      <c r="AC5192">
        <v>1.2261000000000299</v>
      </c>
      <c r="AD5192">
        <v>-1.110162292636</v>
      </c>
      <c r="AE5192">
        <v>-12.97814</v>
      </c>
      <c r="AF5192">
        <v>0.19015261608982001</v>
      </c>
      <c r="AG5192">
        <v>-1.110162292636</v>
      </c>
      <c r="AH5192">
        <v>12.940669178142199</v>
      </c>
      <c r="AI5192">
        <v>94.902794334440102</v>
      </c>
      <c r="AJ5192">
        <v>89.158145674328907</v>
      </c>
      <c r="AK5192">
        <v>12.9895934159433</v>
      </c>
      <c r="AL5192">
        <v>89.071541423806494</v>
      </c>
      <c r="AM5192">
        <v>85.522147758298004</v>
      </c>
      <c r="AN5192">
        <v>1.0000000041521</v>
      </c>
    </row>
    <row r="5193" spans="1:40" x14ac:dyDescent="0.25">
      <c r="A5193" t="str">
        <f>"20190312154706489"</f>
        <v>20190312154706489</v>
      </c>
      <c r="B5193" t="str">
        <f>"1552376826483154"</f>
        <v>1552376826483154</v>
      </c>
      <c r="C5193" t="s">
        <v>40</v>
      </c>
      <c r="D5193">
        <v>4.5282309999999999</v>
      </c>
      <c r="E5193">
        <v>0.4783155</v>
      </c>
      <c r="F5193" t="s">
        <v>41</v>
      </c>
      <c r="G5193">
        <v>-301.8526</v>
      </c>
      <c r="H5193">
        <v>1.0380590000000001</v>
      </c>
      <c r="I5193">
        <v>-18.720980000000001</v>
      </c>
      <c r="J5193">
        <v>-301.88130000000001</v>
      </c>
      <c r="K5193">
        <v>1.1101529999999999</v>
      </c>
      <c r="L5193">
        <v>-18.298490000000001</v>
      </c>
      <c r="M5193">
        <v>0.10940859999999999</v>
      </c>
      <c r="N5193">
        <v>0</v>
      </c>
      <c r="O5193">
        <v>-0.99388900000000002</v>
      </c>
      <c r="P5193">
        <v>3.1115139999999999E-2</v>
      </c>
      <c r="Q5193">
        <v>1.30798E-3</v>
      </c>
      <c r="R5193">
        <v>-0.99951500000000004</v>
      </c>
      <c r="S5193">
        <v>0.27410889999999999</v>
      </c>
      <c r="T5193">
        <v>-0.23228409999999999</v>
      </c>
      <c r="U5193">
        <v>-2.9933779999999999</v>
      </c>
      <c r="V5193">
        <v>7.8429139999999994E-2</v>
      </c>
      <c r="W5193">
        <v>1.5956499999999998E-2</v>
      </c>
      <c r="X5193">
        <v>0.99679200000000001</v>
      </c>
      <c r="Y5193">
        <v>1.8590599999999999E-2</v>
      </c>
      <c r="Z5193">
        <v>7.6506569999999996E-2</v>
      </c>
      <c r="AA5193">
        <v>0.99689570000000005</v>
      </c>
      <c r="AB5193">
        <v>26</v>
      </c>
      <c r="AC5193">
        <v>2.87000000000148E-2</v>
      </c>
      <c r="AD5193">
        <v>-7.2094000000000102E-2</v>
      </c>
      <c r="AE5193">
        <v>-0.42248999999999598</v>
      </c>
      <c r="AF5193">
        <v>1.7202710842255001E-2</v>
      </c>
      <c r="AG5193">
        <v>-7.2094000000000102E-2</v>
      </c>
      <c r="AH5193">
        <v>0.41117582325067997</v>
      </c>
      <c r="AI5193">
        <v>99.936414913972996</v>
      </c>
      <c r="AJ5193">
        <v>87.604265174329996</v>
      </c>
      <c r="AK5193">
        <v>0.41780262771097598</v>
      </c>
      <c r="AL5193">
        <v>89.085721108235802</v>
      </c>
      <c r="AM5193">
        <v>85.501147769855706</v>
      </c>
      <c r="AN5193">
        <v>1.0000000155786899</v>
      </c>
    </row>
    <row r="5194" spans="1:40" x14ac:dyDescent="0.25">
      <c r="A5194" t="str">
        <f>"20190312154706534"</f>
        <v>20190312154706534</v>
      </c>
      <c r="B5194" t="str">
        <f>"1552376826523167"</f>
        <v>1552376826523167</v>
      </c>
      <c r="C5194" t="s">
        <v>40</v>
      </c>
      <c r="D5194">
        <v>4.406288</v>
      </c>
      <c r="E5194">
        <v>0.48004449999999999</v>
      </c>
      <c r="F5194" t="s">
        <v>41</v>
      </c>
      <c r="G5194">
        <v>-301.80029999999999</v>
      </c>
      <c r="H5194">
        <v>1.04304</v>
      </c>
      <c r="I5194">
        <v>-19.18807</v>
      </c>
      <c r="J5194">
        <v>-301.82339999999999</v>
      </c>
      <c r="K5194">
        <v>1.110114</v>
      </c>
      <c r="L5194">
        <v>-18.816130000000001</v>
      </c>
      <c r="M5194">
        <v>0.1100643</v>
      </c>
      <c r="N5194">
        <v>0</v>
      </c>
      <c r="O5194">
        <v>-0.99381569999999997</v>
      </c>
      <c r="P5194">
        <v>3.3790010000000002E-2</v>
      </c>
      <c r="Q5194">
        <v>3.4529599999999998E-4</v>
      </c>
      <c r="R5194">
        <v>-0.99942929999999996</v>
      </c>
      <c r="S5194">
        <v>0.27291870000000001</v>
      </c>
      <c r="T5194">
        <v>-0.22582540000000001</v>
      </c>
      <c r="U5194">
        <v>-2.9932560000000001</v>
      </c>
      <c r="V5194">
        <v>7.6421100000000006E-2</v>
      </c>
      <c r="W5194">
        <v>1.506588E-2</v>
      </c>
      <c r="X5194">
        <v>0.99696180000000001</v>
      </c>
      <c r="Y5194">
        <v>1.9625099999999999E-2</v>
      </c>
      <c r="Z5194">
        <v>7.4386859999999999E-2</v>
      </c>
      <c r="AA5194">
        <v>0.99703629999999999</v>
      </c>
      <c r="AB5194">
        <v>26</v>
      </c>
      <c r="AC5194">
        <v>2.3099999999999399E-2</v>
      </c>
      <c r="AD5194">
        <v>-6.7073999999999995E-2</v>
      </c>
      <c r="AE5194">
        <v>-0.37194000000000199</v>
      </c>
      <c r="AF5194">
        <v>1.7417849359939799E-2</v>
      </c>
      <c r="AG5194">
        <v>-6.7073999999999995E-2</v>
      </c>
      <c r="AH5194">
        <v>0.36054242380929702</v>
      </c>
      <c r="AI5194">
        <v>100.526619677662</v>
      </c>
      <c r="AJ5194">
        <v>87.234184107550604</v>
      </c>
      <c r="AK5194">
        <v>0.36714185585221498</v>
      </c>
      <c r="AL5194">
        <v>89.136756000862903</v>
      </c>
      <c r="AM5194">
        <v>85.616621804894393</v>
      </c>
      <c r="AN5194">
        <v>0.99999999796231198</v>
      </c>
    </row>
    <row r="5195" spans="1:40" x14ac:dyDescent="0.25">
      <c r="A5195" t="str">
        <f>"20190312154706580"</f>
        <v>20190312154706580</v>
      </c>
      <c r="B5195" t="str">
        <f>"1552376826572943"</f>
        <v>1552376826572943</v>
      </c>
      <c r="C5195" t="s">
        <v>40</v>
      </c>
      <c r="D5195">
        <v>4.2985049999999996</v>
      </c>
      <c r="E5195">
        <v>0.48091810000000002</v>
      </c>
      <c r="F5195" t="s">
        <v>42</v>
      </c>
      <c r="G5195">
        <v>-300.2706</v>
      </c>
      <c r="H5195" s="1">
        <v>-1.859204E-6</v>
      </c>
      <c r="I5195">
        <v>-36.244860000000003</v>
      </c>
      <c r="J5195">
        <v>-301.76459999999997</v>
      </c>
      <c r="K5195">
        <v>1.110036</v>
      </c>
      <c r="L5195">
        <v>-19.340610000000002</v>
      </c>
      <c r="M5195">
        <v>0.1104844</v>
      </c>
      <c r="N5195">
        <v>0</v>
      </c>
      <c r="O5195">
        <v>-0.99376799999999998</v>
      </c>
      <c r="P5195">
        <v>3.8466800000000002E-2</v>
      </c>
      <c r="Q5195">
        <v>2.807754E-3</v>
      </c>
      <c r="R5195">
        <v>-0.99925609999999998</v>
      </c>
      <c r="S5195">
        <v>0.26663209999999998</v>
      </c>
      <c r="T5195">
        <v>-0.19062299999999999</v>
      </c>
      <c r="U5195">
        <v>-2.9927670000000002</v>
      </c>
      <c r="V5195">
        <v>7.2178519999999996E-2</v>
      </c>
      <c r="W5195">
        <v>1.7569419999999999E-2</v>
      </c>
      <c r="X5195">
        <v>0.99723700000000004</v>
      </c>
      <c r="Y5195">
        <v>2.203977E-2</v>
      </c>
      <c r="Z5195">
        <v>6.2851859999999996E-2</v>
      </c>
      <c r="AA5195">
        <v>0.99777950000000004</v>
      </c>
      <c r="AB5195">
        <v>26</v>
      </c>
      <c r="AC5195">
        <v>1.49399999999997</v>
      </c>
      <c r="AD5195">
        <v>-1.1100378592039899</v>
      </c>
      <c r="AE5195">
        <v>-16.904249999999902</v>
      </c>
      <c r="AF5195">
        <v>0.38137657677881498</v>
      </c>
      <c r="AG5195">
        <v>-1.1100378592039899</v>
      </c>
      <c r="AH5195">
        <v>16.893537649019802</v>
      </c>
      <c r="AI5195">
        <v>93.758422838004805</v>
      </c>
      <c r="AJ5195">
        <v>88.706750609530403</v>
      </c>
      <c r="AK5195">
        <v>16.934262500653301</v>
      </c>
      <c r="AL5195">
        <v>88.993294617494996</v>
      </c>
      <c r="AM5195">
        <v>85.860236169543299</v>
      </c>
      <c r="AN5195">
        <v>1.00000002871876</v>
      </c>
    </row>
    <row r="5196" spans="1:40" x14ac:dyDescent="0.25">
      <c r="A5196" t="str">
        <f>"20190312154706624"</f>
        <v>20190312154706624</v>
      </c>
      <c r="B5196" t="str">
        <f>"1552376826612959"</f>
        <v>1552376826612959</v>
      </c>
      <c r="C5196" t="s">
        <v>40</v>
      </c>
      <c r="D5196">
        <v>4.2012010000000002</v>
      </c>
      <c r="E5196">
        <v>0.4809464</v>
      </c>
      <c r="F5196" t="s">
        <v>42</v>
      </c>
      <c r="G5196">
        <v>-300.01159999999999</v>
      </c>
      <c r="H5196" s="1">
        <v>-8.1332420000000002E-7</v>
      </c>
      <c r="I5196">
        <v>-38.522170000000003</v>
      </c>
      <c r="J5196">
        <v>-301.7088</v>
      </c>
      <c r="K5196">
        <v>1.1099270000000001</v>
      </c>
      <c r="L5196">
        <v>-19.84055</v>
      </c>
      <c r="M5196">
        <v>0.1105632</v>
      </c>
      <c r="N5196">
        <v>0</v>
      </c>
      <c r="O5196">
        <v>-0.99375869999999999</v>
      </c>
      <c r="P5196">
        <v>4.1950010000000003E-2</v>
      </c>
      <c r="Q5196">
        <v>5.1131240000000001E-3</v>
      </c>
      <c r="R5196">
        <v>-0.99910690000000002</v>
      </c>
      <c r="S5196">
        <v>0.27346799999999999</v>
      </c>
      <c r="T5196">
        <v>-0.1731578</v>
      </c>
      <c r="U5196">
        <v>-2.9921880000000001</v>
      </c>
      <c r="V5196">
        <v>6.8784910000000005E-2</v>
      </c>
      <c r="W5196">
        <v>1.989312E-2</v>
      </c>
      <c r="X5196">
        <v>0.99743309999999996</v>
      </c>
      <c r="Y5196">
        <v>1.9809299999999998E-2</v>
      </c>
      <c r="Z5196">
        <v>5.711902E-2</v>
      </c>
      <c r="AA5196">
        <v>0.99817089999999997</v>
      </c>
      <c r="AB5196">
        <v>26</v>
      </c>
      <c r="AC5196">
        <v>1.6972</v>
      </c>
      <c r="AD5196">
        <v>-1.1099278133241901</v>
      </c>
      <c r="AE5196">
        <v>-18.681619999999999</v>
      </c>
      <c r="AF5196">
        <v>0.37761198364145998</v>
      </c>
      <c r="AG5196">
        <v>-1.1099278133241901</v>
      </c>
      <c r="AH5196">
        <v>18.689296996865401</v>
      </c>
      <c r="AI5196">
        <v>93.398021921151795</v>
      </c>
      <c r="AJ5196">
        <v>88.842512397365994</v>
      </c>
      <c r="AK5196">
        <v>18.726034091553402</v>
      </c>
      <c r="AL5196">
        <v>88.860132929863894</v>
      </c>
      <c r="AM5196">
        <v>86.055018424588098</v>
      </c>
      <c r="AN5196">
        <v>0.99999994452132401</v>
      </c>
    </row>
    <row r="5197" spans="1:40" x14ac:dyDescent="0.25">
      <c r="A5197" t="str">
        <f>"20190312154706669"</f>
        <v>20190312154706669</v>
      </c>
      <c r="B5197" t="str">
        <f>"1552376826663710"</f>
        <v>1552376826663710</v>
      </c>
      <c r="C5197" t="s">
        <v>40</v>
      </c>
      <c r="D5197">
        <v>4.1991889999999996</v>
      </c>
      <c r="E5197">
        <v>0.4813501</v>
      </c>
      <c r="F5197" t="s">
        <v>42</v>
      </c>
      <c r="G5197">
        <v>-299.79469999999998</v>
      </c>
      <c r="H5197" s="1">
        <v>-1.8683480000000001E-7</v>
      </c>
      <c r="I5197">
        <v>-40.016570000000002</v>
      </c>
      <c r="J5197">
        <v>-301.65219999999999</v>
      </c>
      <c r="K5197">
        <v>1.109774</v>
      </c>
      <c r="L5197">
        <v>-20.353300000000001</v>
      </c>
      <c r="M5197">
        <v>0.1101786</v>
      </c>
      <c r="N5197">
        <v>0</v>
      </c>
      <c r="O5197">
        <v>-0.99380089999999999</v>
      </c>
      <c r="P5197">
        <v>4.426095E-2</v>
      </c>
      <c r="Q5197">
        <v>2.694199E-3</v>
      </c>
      <c r="R5197">
        <v>-0.99901649999999997</v>
      </c>
      <c r="S5197">
        <v>0.2838135</v>
      </c>
      <c r="T5197">
        <v>-0.1645749</v>
      </c>
      <c r="U5197">
        <v>-2.9916079999999998</v>
      </c>
      <c r="V5197">
        <v>6.6098749999999998E-2</v>
      </c>
      <c r="W5197">
        <v>1.7477880000000001E-2</v>
      </c>
      <c r="X5197">
        <v>0.99765999999999999</v>
      </c>
      <c r="Y5197">
        <v>1.5967700000000001E-2</v>
      </c>
      <c r="Z5197">
        <v>5.4303669999999998E-2</v>
      </c>
      <c r="AA5197">
        <v>0.99839679999999997</v>
      </c>
      <c r="AB5197">
        <v>26</v>
      </c>
      <c r="AC5197">
        <v>1.8575000000000099</v>
      </c>
      <c r="AD5197">
        <v>-1.1097741868347999</v>
      </c>
      <c r="AE5197">
        <v>-19.663270000000001</v>
      </c>
      <c r="AF5197">
        <v>0.31951295918766598</v>
      </c>
      <c r="AG5197">
        <v>-1.1097741868347999</v>
      </c>
      <c r="AH5197">
        <v>19.6860565768485</v>
      </c>
      <c r="AI5197">
        <v>93.226131164179904</v>
      </c>
      <c r="AJ5197">
        <v>89.070147098796099</v>
      </c>
      <c r="AK5197">
        <v>19.7199013898076</v>
      </c>
      <c r="AL5197">
        <v>88.998540248033194</v>
      </c>
      <c r="AM5197">
        <v>86.209477577868896</v>
      </c>
      <c r="AN5197">
        <v>0.99999999832042796</v>
      </c>
    </row>
    <row r="5198" spans="1:40" x14ac:dyDescent="0.25">
      <c r="A5198" t="str">
        <f>"20190312154706713"</f>
        <v>20190312154706713</v>
      </c>
      <c r="B5198" t="str">
        <f>"1552376826703039"</f>
        <v>1552376826703039</v>
      </c>
      <c r="C5198" t="s">
        <v>40</v>
      </c>
      <c r="D5198">
        <v>4.1509749999999999</v>
      </c>
      <c r="E5198">
        <v>0.4816414</v>
      </c>
      <c r="F5198" t="s">
        <v>42</v>
      </c>
      <c r="G5198">
        <v>-299.81470000000002</v>
      </c>
      <c r="H5198" s="1">
        <v>-4.2254070000000002E-7</v>
      </c>
      <c r="I5198">
        <v>-39.458889999999997</v>
      </c>
      <c r="J5198">
        <v>-301.59739999999999</v>
      </c>
      <c r="K5198">
        <v>1.1095980000000001</v>
      </c>
      <c r="L5198">
        <v>-20.855799999999999</v>
      </c>
      <c r="M5198">
        <v>0.10929079999999999</v>
      </c>
      <c r="N5198">
        <v>0</v>
      </c>
      <c r="O5198">
        <v>-0.99389879999999997</v>
      </c>
      <c r="P5198">
        <v>4.5510769999999999E-2</v>
      </c>
      <c r="Q5198">
        <v>4.9650090000000003E-3</v>
      </c>
      <c r="R5198">
        <v>-0.9989519</v>
      </c>
      <c r="S5198">
        <v>0.2876282</v>
      </c>
      <c r="T5198">
        <v>-0.1737185</v>
      </c>
      <c r="U5198">
        <v>-2.9906920000000001</v>
      </c>
      <c r="V5198">
        <v>6.3967999999999997E-2</v>
      </c>
      <c r="W5198">
        <v>1.9739130000000001E-2</v>
      </c>
      <c r="X5198">
        <v>0.99775670000000005</v>
      </c>
      <c r="Y5198">
        <v>1.3800099999999999E-2</v>
      </c>
      <c r="Z5198">
        <v>5.7334330000000003E-2</v>
      </c>
      <c r="AA5198">
        <v>0.99825969999999997</v>
      </c>
      <c r="AB5198">
        <v>26</v>
      </c>
      <c r="AC5198">
        <v>1.78269999999997</v>
      </c>
      <c r="AD5198">
        <v>-1.1095984225406901</v>
      </c>
      <c r="AE5198">
        <v>-18.603090000000002</v>
      </c>
      <c r="AF5198">
        <v>0.26043394094718397</v>
      </c>
      <c r="AG5198">
        <v>-1.1095984225406901</v>
      </c>
      <c r="AH5198">
        <v>18.620840307322901</v>
      </c>
      <c r="AI5198">
        <v>93.409836578199005</v>
      </c>
      <c r="AJ5198">
        <v>89.198704646791697</v>
      </c>
      <c r="AK5198">
        <v>18.655688897698798</v>
      </c>
      <c r="AL5198">
        <v>88.868957686427194</v>
      </c>
      <c r="AM5198">
        <v>86.3316836741797</v>
      </c>
      <c r="AN5198">
        <v>0.99999998533602297</v>
      </c>
    </row>
    <row r="5199" spans="1:40" x14ac:dyDescent="0.25">
      <c r="A5199" t="str">
        <f>"20190312154706745"</f>
        <v>20190312154706745</v>
      </c>
      <c r="B5199" t="str">
        <f>"1552376826733295"</f>
        <v>1552376826733295</v>
      </c>
      <c r="C5199" t="s">
        <v>40</v>
      </c>
      <c r="D5199">
        <v>4.1469579999999997</v>
      </c>
      <c r="E5199">
        <v>0.48192780000000002</v>
      </c>
      <c r="F5199" t="s">
        <v>71</v>
      </c>
      <c r="G5199">
        <v>-299.70249999999999</v>
      </c>
      <c r="H5199" s="1">
        <v>-1.292273E-7</v>
      </c>
      <c r="I5199">
        <v>-40.482610000000001</v>
      </c>
      <c r="J5199">
        <v>-301.55900000000003</v>
      </c>
      <c r="K5199">
        <v>1.1094329999999999</v>
      </c>
      <c r="L5199">
        <v>-21.216090000000001</v>
      </c>
      <c r="M5199">
        <v>0.1082678</v>
      </c>
      <c r="N5199">
        <v>0</v>
      </c>
      <c r="O5199">
        <v>-0.99401079999999997</v>
      </c>
      <c r="P5199">
        <v>4.438193E-2</v>
      </c>
      <c r="Q5199">
        <v>4.4705150000000004E-3</v>
      </c>
      <c r="R5199">
        <v>-0.99900480000000003</v>
      </c>
      <c r="S5199">
        <v>0.28875729999999999</v>
      </c>
      <c r="T5199">
        <v>-0.16908679999999901</v>
      </c>
      <c r="U5199">
        <v>-2.9908450000000002</v>
      </c>
      <c r="V5199">
        <v>6.4076359999999999E-2</v>
      </c>
      <c r="W5199">
        <v>1.92271E-2</v>
      </c>
      <c r="X5199">
        <v>0.99775979999999997</v>
      </c>
      <c r="Y5199">
        <v>1.239406E-2</v>
      </c>
      <c r="Z5199">
        <v>5.58166999999999E-2</v>
      </c>
      <c r="AA5199">
        <v>0.99836409999999998</v>
      </c>
      <c r="AB5199">
        <v>26</v>
      </c>
      <c r="AC5199">
        <v>1.85650000000004</v>
      </c>
      <c r="AD5199">
        <v>-1.1094331292273001</v>
      </c>
      <c r="AE5199">
        <v>-19.26652</v>
      </c>
      <c r="AF5199">
        <v>0.23980139195057201</v>
      </c>
      <c r="AG5199">
        <v>-1.1094331292273001</v>
      </c>
      <c r="AH5199">
        <v>19.290885802331999</v>
      </c>
      <c r="AI5199">
        <v>93.291243327543199</v>
      </c>
      <c r="AJ5199">
        <v>89.287803567875301</v>
      </c>
      <c r="AK5199">
        <v>19.324249574418801</v>
      </c>
      <c r="AL5199">
        <v>88.898300474930494</v>
      </c>
      <c r="AM5199">
        <v>86.3254980447214</v>
      </c>
      <c r="AN5199">
        <v>1.0000000398906399</v>
      </c>
    </row>
    <row r="5200" spans="1:40" x14ac:dyDescent="0.25">
      <c r="A5200" t="str">
        <f>"20190312154706780"</f>
        <v>20190312154706780</v>
      </c>
      <c r="B5200" t="str">
        <f>"1552376826773314"</f>
        <v>1552376826773314</v>
      </c>
      <c r="C5200" t="s">
        <v>40</v>
      </c>
      <c r="D5200">
        <v>4.1207529999999997</v>
      </c>
      <c r="E5200">
        <v>0.48236499999999999</v>
      </c>
      <c r="F5200" t="s">
        <v>71</v>
      </c>
      <c r="G5200">
        <v>-299.71820000000002</v>
      </c>
      <c r="H5200" s="1">
        <v>-2.6079040000000002E-7</v>
      </c>
      <c r="I5200">
        <v>-40.69614</v>
      </c>
      <c r="J5200">
        <v>-301.5172</v>
      </c>
      <c r="K5200">
        <v>1.109221</v>
      </c>
      <c r="L5200">
        <v>-21.616520000000001</v>
      </c>
      <c r="M5200">
        <v>0.1066666</v>
      </c>
      <c r="N5200">
        <v>0</v>
      </c>
      <c r="O5200">
        <v>-0.9941835</v>
      </c>
      <c r="P5200">
        <v>4.3099749999999999E-2</v>
      </c>
      <c r="Q5200">
        <v>3.50666E-3</v>
      </c>
      <c r="R5200">
        <v>-0.99906470000000003</v>
      </c>
      <c r="S5200">
        <v>0.28265380000000001</v>
      </c>
      <c r="T5200">
        <v>-0.17035449999999999</v>
      </c>
      <c r="U5200">
        <v>-2.9911799999999999</v>
      </c>
      <c r="V5200">
        <v>6.3758700000000001E-2</v>
      </c>
      <c r="W5200">
        <v>1.8237360000000001E-2</v>
      </c>
      <c r="X5200">
        <v>0.99779870000000004</v>
      </c>
      <c r="Y5200">
        <v>1.281528E-2</v>
      </c>
      <c r="Z5200">
        <v>5.6247499999999999E-2</v>
      </c>
      <c r="AA5200">
        <v>0.99833459999999996</v>
      </c>
      <c r="AB5200">
        <v>25</v>
      </c>
      <c r="AC5200">
        <v>1.79899999999997</v>
      </c>
      <c r="AD5200">
        <v>-1.1092212607904</v>
      </c>
      <c r="AE5200">
        <v>-19.079619999999998</v>
      </c>
      <c r="AF5200">
        <v>0.24582585237923099</v>
      </c>
      <c r="AG5200">
        <v>-1.1092212607904</v>
      </c>
      <c r="AH5200">
        <v>19.098676311426001</v>
      </c>
      <c r="AI5200">
        <v>93.323640659114204</v>
      </c>
      <c r="AJ5200">
        <v>89.262566375435597</v>
      </c>
      <c r="AK5200">
        <v>19.13243944205</v>
      </c>
      <c r="AL5200">
        <v>88.955018319883294</v>
      </c>
      <c r="AM5200">
        <v>86.343807091347301</v>
      </c>
      <c r="AN5200">
        <v>1.0000000094235699</v>
      </c>
    </row>
    <row r="5201" spans="1:40" x14ac:dyDescent="0.25">
      <c r="A5201" t="str">
        <f>"20190312154706836"</f>
        <v>20190312154706836</v>
      </c>
      <c r="B5201" t="str">
        <f>"1552376826832847"</f>
        <v>1552376826832847</v>
      </c>
      <c r="C5201" t="s">
        <v>40</v>
      </c>
      <c r="D5201">
        <v>4.1229820000000004</v>
      </c>
      <c r="E5201">
        <v>0.48276999999999998</v>
      </c>
      <c r="F5201" t="s">
        <v>71</v>
      </c>
      <c r="G5201">
        <v>-299.76690000000002</v>
      </c>
      <c r="H5201" s="1">
        <v>-2.18964E-7</v>
      </c>
      <c r="I5201">
        <v>-40.650750000000002</v>
      </c>
      <c r="J5201">
        <v>-301.45490000000001</v>
      </c>
      <c r="K5201">
        <v>1.108948</v>
      </c>
      <c r="L5201">
        <v>-22.23837</v>
      </c>
      <c r="M5201">
        <v>0.1032617</v>
      </c>
      <c r="N5201">
        <v>0</v>
      </c>
      <c r="O5201">
        <v>-0.99454299999999995</v>
      </c>
      <c r="P5201">
        <v>4.2080350000000002E-2</v>
      </c>
      <c r="Q5201">
        <v>8.4318029999999999E-3</v>
      </c>
      <c r="R5201">
        <v>-0.99907889999999999</v>
      </c>
      <c r="S5201">
        <v>0.27508539999999998</v>
      </c>
      <c r="T5201">
        <v>-0.1743326</v>
      </c>
      <c r="U5201">
        <v>-2.9915470000000002</v>
      </c>
      <c r="V5201">
        <v>6.1383269999999997E-2</v>
      </c>
      <c r="W5201">
        <v>2.3129609999999998E-2</v>
      </c>
      <c r="X5201">
        <v>0.99784620000000002</v>
      </c>
      <c r="Y5201">
        <v>1.1913709999999999E-2</v>
      </c>
      <c r="Z5201">
        <v>5.7587880000000001E-2</v>
      </c>
      <c r="AA5201">
        <v>0.99826939999999997</v>
      </c>
      <c r="AB5201">
        <v>25</v>
      </c>
      <c r="AC5201">
        <v>1.68799999999998</v>
      </c>
      <c r="AD5201">
        <v>-1.1089482189640001</v>
      </c>
      <c r="AE5201">
        <v>-18.412379999999999</v>
      </c>
      <c r="AF5201">
        <v>0.22173207321228999</v>
      </c>
      <c r="AG5201">
        <v>-1.1089482189640001</v>
      </c>
      <c r="AH5201">
        <v>18.421986638849202</v>
      </c>
      <c r="AI5201">
        <v>93.4446277618637</v>
      </c>
      <c r="AJ5201">
        <v>89.310405615804996</v>
      </c>
      <c r="AK5201">
        <v>18.456666085362599</v>
      </c>
      <c r="AL5201">
        <v>88.6746527245039</v>
      </c>
      <c r="AM5201">
        <v>86.479842268831604</v>
      </c>
      <c r="AN5201">
        <v>0.99999996177454098</v>
      </c>
    </row>
    <row r="5202" spans="1:40" x14ac:dyDescent="0.25">
      <c r="A5202" t="str">
        <f>"20190312154706870"</f>
        <v>20190312154706870</v>
      </c>
      <c r="B5202" t="str">
        <f>"1552376826863103"</f>
        <v>1552376826863103</v>
      </c>
      <c r="C5202" t="s">
        <v>40</v>
      </c>
      <c r="D5202">
        <v>4.1517679999999997</v>
      </c>
      <c r="E5202">
        <v>0.48299199999999998</v>
      </c>
      <c r="F5202" t="s">
        <v>71</v>
      </c>
      <c r="G5202">
        <v>-299.60809999999998</v>
      </c>
      <c r="H5202" s="1">
        <v>-1.611363E-6</v>
      </c>
      <c r="I5202">
        <v>-42.774830000000001</v>
      </c>
      <c r="J5202">
        <v>-301.41809999999998</v>
      </c>
      <c r="K5202">
        <v>1.1088249999999999</v>
      </c>
      <c r="L5202">
        <v>-22.622160000000001</v>
      </c>
      <c r="M5202">
        <v>0.10071339999999999</v>
      </c>
      <c r="N5202">
        <v>0</v>
      </c>
      <c r="O5202">
        <v>-0.99480429999999997</v>
      </c>
      <c r="P5202">
        <v>3.9330589999999999E-2</v>
      </c>
      <c r="Q5202">
        <v>1.1448409999999999E-2</v>
      </c>
      <c r="R5202">
        <v>-0.99916110000000002</v>
      </c>
      <c r="S5202">
        <v>0.2691345</v>
      </c>
      <c r="T5202">
        <v>-0.16160829999999901</v>
      </c>
      <c r="U5202">
        <v>-2.9927980000000001</v>
      </c>
      <c r="V5202">
        <v>6.1586450000000001E-2</v>
      </c>
      <c r="W5202">
        <v>2.6127999999999998E-2</v>
      </c>
      <c r="X5202">
        <v>0.99775970000000003</v>
      </c>
      <c r="Y5202">
        <v>1.1337730000000001E-2</v>
      </c>
      <c r="Z5202">
        <v>5.340102E-2</v>
      </c>
      <c r="AA5202">
        <v>0.99850879999999997</v>
      </c>
      <c r="AB5202">
        <v>25</v>
      </c>
      <c r="AC5202">
        <v>1.81</v>
      </c>
      <c r="AD5202">
        <v>-1.1088266113630001</v>
      </c>
      <c r="AE5202">
        <v>-20.152670000000001</v>
      </c>
      <c r="AF5202">
        <v>0.228387594887551</v>
      </c>
      <c r="AG5202">
        <v>-1.1088266113630001</v>
      </c>
      <c r="AH5202">
        <v>20.1719133232241</v>
      </c>
      <c r="AI5202">
        <v>93.146114724353097</v>
      </c>
      <c r="AJ5202">
        <v>89.351321514812398</v>
      </c>
      <c r="AK5202">
        <v>20.2036567102897</v>
      </c>
      <c r="AL5202">
        <v>88.502805477666001</v>
      </c>
      <c r="AM5202">
        <v>86.467914502193494</v>
      </c>
      <c r="AN5202">
        <v>0.99999999107584603</v>
      </c>
    </row>
    <row r="5203" spans="1:40" x14ac:dyDescent="0.25">
      <c r="A5203" t="str">
        <f>"20190312154706904"</f>
        <v>20190312154706904</v>
      </c>
      <c r="B5203" t="str">
        <f>"1552376826893359"</f>
        <v>1552376826893359</v>
      </c>
      <c r="C5203" t="s">
        <v>40</v>
      </c>
      <c r="D5203">
        <v>4.1514579999999999</v>
      </c>
      <c r="E5203">
        <v>0.48321239999999999</v>
      </c>
      <c r="F5203" t="s">
        <v>71</v>
      </c>
      <c r="G5203">
        <v>-299.54239999999999</v>
      </c>
      <c r="H5203" s="1">
        <v>-2.549978E-6</v>
      </c>
      <c r="I5203">
        <v>-44.223999999999997</v>
      </c>
      <c r="J5203">
        <v>-301.38279999999997</v>
      </c>
      <c r="K5203">
        <v>1.1087629999999999</v>
      </c>
      <c r="L5203">
        <v>-23.002780000000001</v>
      </c>
      <c r="M5203">
        <v>9.796755E-2</v>
      </c>
      <c r="N5203">
        <v>0</v>
      </c>
      <c r="O5203">
        <v>-0.99507809999999997</v>
      </c>
      <c r="P5203">
        <v>3.4336819999999997E-2</v>
      </c>
      <c r="Q5203">
        <v>1.6119250000000002E-2</v>
      </c>
      <c r="R5203">
        <v>-0.99927999999999995</v>
      </c>
      <c r="S5203">
        <v>0.25997920000000002</v>
      </c>
      <c r="T5203">
        <v>-0.1536853</v>
      </c>
      <c r="U5203">
        <v>-2.994049</v>
      </c>
      <c r="V5203">
        <v>6.3832819999999998E-2</v>
      </c>
      <c r="W5203">
        <v>3.0776709999999999E-2</v>
      </c>
      <c r="X5203">
        <v>0.99748590000000004</v>
      </c>
      <c r="Y5203">
        <v>1.163309E-2</v>
      </c>
      <c r="Z5203">
        <v>5.0796580000000001E-2</v>
      </c>
      <c r="AA5203">
        <v>0.99864129999999995</v>
      </c>
      <c r="AB5203">
        <v>25</v>
      </c>
      <c r="AC5203">
        <v>1.8403999999999801</v>
      </c>
      <c r="AD5203">
        <v>-1.108765549978</v>
      </c>
      <c r="AE5203">
        <v>-21.221219999999999</v>
      </c>
      <c r="AF5203">
        <v>0.24700742207481</v>
      </c>
      <c r="AG5203">
        <v>-1.108765549978</v>
      </c>
      <c r="AH5203">
        <v>21.241880153838199</v>
      </c>
      <c r="AI5203">
        <v>92.987762980315907</v>
      </c>
      <c r="AJ5203">
        <v>89.333776254596401</v>
      </c>
      <c r="AK5203">
        <v>21.272231810071101</v>
      </c>
      <c r="AL5203">
        <v>88.236345871757607</v>
      </c>
      <c r="AM5203">
        <v>86.338423540222806</v>
      </c>
      <c r="AN5203">
        <v>0.99999997774319305</v>
      </c>
    </row>
    <row r="5204" spans="1:40" x14ac:dyDescent="0.25">
      <c r="A5204" t="str">
        <f>"20190312154706936"</f>
        <v>20190312154706936</v>
      </c>
      <c r="B5204" t="str">
        <f>"1552376826933376"</f>
        <v>1552376826933376</v>
      </c>
      <c r="C5204" t="s">
        <v>40</v>
      </c>
      <c r="D5204">
        <v>4.2020559999999998</v>
      </c>
      <c r="E5204">
        <v>0.4833691</v>
      </c>
      <c r="F5204" t="s">
        <v>71</v>
      </c>
      <c r="G5204">
        <v>-299.46640000000002</v>
      </c>
      <c r="H5204" s="1">
        <v>-3.8753059999999997E-6</v>
      </c>
      <c r="I5204">
        <v>-46.541179999999997</v>
      </c>
      <c r="J5204">
        <v>-301.35059999999999</v>
      </c>
      <c r="K5204">
        <v>1.108757</v>
      </c>
      <c r="L5204">
        <v>-23.363309999999998</v>
      </c>
      <c r="M5204">
        <v>9.5247200000000004E-2</v>
      </c>
      <c r="N5204">
        <v>0</v>
      </c>
      <c r="O5204">
        <v>-0.99534239999999996</v>
      </c>
      <c r="P5204">
        <v>2.7792339999999999E-2</v>
      </c>
      <c r="Q5204">
        <v>2.0029120000000001E-2</v>
      </c>
      <c r="R5204">
        <v>-0.99941340000000001</v>
      </c>
      <c r="S5204">
        <v>0.243927</v>
      </c>
      <c r="T5204">
        <v>-0.14112829999999901</v>
      </c>
      <c r="U5204">
        <v>-2.9960629999999999</v>
      </c>
      <c r="V5204">
        <v>6.7647230000000003E-2</v>
      </c>
      <c r="W5204">
        <v>3.4662289999999998E-2</v>
      </c>
      <c r="X5204">
        <v>0.99710699999999997</v>
      </c>
      <c r="Y5204">
        <v>1.4254030000000001E-2</v>
      </c>
      <c r="Z5204">
        <v>4.6652699999999998E-2</v>
      </c>
      <c r="AA5204">
        <v>0.99880950000000002</v>
      </c>
      <c r="AB5204">
        <v>25</v>
      </c>
      <c r="AC5204">
        <v>1.8841999999999599</v>
      </c>
      <c r="AD5204">
        <v>-1.1087608753059901</v>
      </c>
      <c r="AE5204">
        <v>-23.177869999999899</v>
      </c>
      <c r="AF5204">
        <v>0.33148627579789097</v>
      </c>
      <c r="AG5204">
        <v>-1.1087608753059901</v>
      </c>
      <c r="AH5204">
        <v>23.199216404759699</v>
      </c>
      <c r="AI5204">
        <v>92.735978028997096</v>
      </c>
      <c r="AJ5204">
        <v>89.181374412193804</v>
      </c>
      <c r="AK5204">
        <v>23.2280622442882</v>
      </c>
      <c r="AL5204">
        <v>88.013599162554897</v>
      </c>
      <c r="AM5204">
        <v>86.118801137073106</v>
      </c>
      <c r="AN5204">
        <v>0.99999999576185805</v>
      </c>
    </row>
    <row r="5205" spans="1:40" x14ac:dyDescent="0.25">
      <c r="A5205" t="str">
        <f>"20190312154706969"</f>
        <v>20190312154706969</v>
      </c>
      <c r="B5205" t="str">
        <f>"1552376826963631"</f>
        <v>1552376826963631</v>
      </c>
      <c r="C5205" t="s">
        <v>40</v>
      </c>
      <c r="D5205">
        <v>4.189622</v>
      </c>
      <c r="E5205">
        <v>0.48556719999999998</v>
      </c>
      <c r="F5205" t="s">
        <v>71</v>
      </c>
      <c r="G5205">
        <v>-299.44920000000002</v>
      </c>
      <c r="H5205" s="1">
        <v>-5.0671810000000001E-6</v>
      </c>
      <c r="I5205">
        <v>-48.87283</v>
      </c>
      <c r="J5205">
        <v>-301.31830000000002</v>
      </c>
      <c r="K5205">
        <v>1.108786</v>
      </c>
      <c r="L5205">
        <v>-23.736910000000002</v>
      </c>
      <c r="M5205">
        <v>9.2402419999999999E-2</v>
      </c>
      <c r="N5205">
        <v>0</v>
      </c>
      <c r="O5205">
        <v>-0.99561040000000001</v>
      </c>
      <c r="P5205">
        <v>2.3767190000000001E-2</v>
      </c>
      <c r="Q5205">
        <v>2.5757840000000001E-2</v>
      </c>
      <c r="R5205">
        <v>-0.99938559999999999</v>
      </c>
      <c r="S5205">
        <v>0.22348019999999999</v>
      </c>
      <c r="T5205">
        <v>-0.1303144</v>
      </c>
      <c r="U5205">
        <v>-2.9981689999999999</v>
      </c>
      <c r="V5205">
        <v>6.8820450000000005E-2</v>
      </c>
      <c r="W5205">
        <v>4.037934E-2</v>
      </c>
      <c r="X5205">
        <v>0.99681160000000002</v>
      </c>
      <c r="Y5205">
        <v>1.8211700000000001E-2</v>
      </c>
      <c r="Z5205">
        <v>4.308215E-2</v>
      </c>
      <c r="AA5205">
        <v>0.9989055</v>
      </c>
      <c r="AB5205">
        <v>25</v>
      </c>
      <c r="AC5205">
        <v>1.8691</v>
      </c>
      <c r="AD5205">
        <v>-1.108791067181</v>
      </c>
      <c r="AE5205">
        <v>-25.135919999999999</v>
      </c>
      <c r="AF5205">
        <v>0.46088375437152701</v>
      </c>
      <c r="AG5205">
        <v>-1.108791067181</v>
      </c>
      <c r="AH5205">
        <v>25.152412984027301</v>
      </c>
      <c r="AI5205">
        <v>92.523706281405097</v>
      </c>
      <c r="AJ5205">
        <v>88.950250252981903</v>
      </c>
      <c r="AK5205">
        <v>25.181058563626099</v>
      </c>
      <c r="AL5205">
        <v>87.685805197559802</v>
      </c>
      <c r="AM5205">
        <v>86.0505334305237</v>
      </c>
      <c r="AN5205">
        <v>1.00000005566579</v>
      </c>
    </row>
    <row r="5206" spans="1:40" x14ac:dyDescent="0.25">
      <c r="A5206" t="str">
        <f>"20190312154707003"</f>
        <v>20190312154707003</v>
      </c>
      <c r="B5206" t="str">
        <f>"1552376826992911"</f>
        <v>1552376826992911</v>
      </c>
      <c r="C5206" t="s">
        <v>40</v>
      </c>
      <c r="D5206">
        <v>4.225549</v>
      </c>
      <c r="E5206">
        <v>0.48542780000000002</v>
      </c>
      <c r="F5206" t="s">
        <v>71</v>
      </c>
      <c r="G5206">
        <v>-299.97809999999998</v>
      </c>
      <c r="H5206" s="1">
        <v>-2.456066E-6</v>
      </c>
      <c r="I5206">
        <v>-44.245699999999999</v>
      </c>
      <c r="J5206">
        <v>-301.28680000000003</v>
      </c>
      <c r="K5206">
        <v>1.1088249999999999</v>
      </c>
      <c r="L5206">
        <v>-24.113530000000001</v>
      </c>
      <c r="M5206">
        <v>8.9543040000000004E-2</v>
      </c>
      <c r="N5206">
        <v>0</v>
      </c>
      <c r="O5206">
        <v>-0.99587199999999998</v>
      </c>
      <c r="P5206">
        <v>2.140711E-2</v>
      </c>
      <c r="Q5206">
        <v>3.1915239999999997E-2</v>
      </c>
      <c r="R5206">
        <v>-0.99926170000000003</v>
      </c>
      <c r="S5206">
        <v>0.19613649999999999</v>
      </c>
      <c r="T5206">
        <v>-0.16226640000000001</v>
      </c>
      <c r="U5206">
        <v>-3.0013730000000001</v>
      </c>
      <c r="V5206">
        <v>6.831392E-2</v>
      </c>
      <c r="W5206">
        <v>4.6532339999999998E-2</v>
      </c>
      <c r="X5206">
        <v>0.99657810000000002</v>
      </c>
      <c r="Y5206">
        <v>2.450859E-2</v>
      </c>
      <c r="Z5206">
        <v>5.3595339999999998E-2</v>
      </c>
      <c r="AA5206">
        <v>0.99826190000000004</v>
      </c>
      <c r="AB5206">
        <v>25</v>
      </c>
      <c r="AC5206">
        <v>1.3087000000000399</v>
      </c>
      <c r="AD5206">
        <v>-1.1088274560660001</v>
      </c>
      <c r="AE5206">
        <v>-20.132169999999999</v>
      </c>
      <c r="AF5206">
        <v>0.49794902895619297</v>
      </c>
      <c r="AG5206">
        <v>-1.1088274560660001</v>
      </c>
      <c r="AH5206">
        <v>20.1077376161263</v>
      </c>
      <c r="AI5206">
        <v>93.155374422714601</v>
      </c>
      <c r="AJ5206">
        <v>88.581414364024496</v>
      </c>
      <c r="AK5206">
        <v>20.1444424991546</v>
      </c>
      <c r="AL5206">
        <v>87.332930179607899</v>
      </c>
      <c r="AM5206">
        <v>86.078595468410995</v>
      </c>
      <c r="AN5206">
        <v>0.99999997986562505</v>
      </c>
    </row>
    <row r="5207" spans="1:40" x14ac:dyDescent="0.25">
      <c r="A5207" t="str">
        <f>"20190312154707036"</f>
        <v>20190312154707036</v>
      </c>
      <c r="B5207" t="str">
        <f>"1552376827032927"</f>
        <v>1552376827032927</v>
      </c>
      <c r="C5207" t="s">
        <v>40</v>
      </c>
      <c r="D5207">
        <v>4.3186980000000004</v>
      </c>
      <c r="E5207">
        <v>0.48520960000000002</v>
      </c>
      <c r="F5207" t="s">
        <v>71</v>
      </c>
      <c r="G5207">
        <v>-299.87779999999998</v>
      </c>
      <c r="H5207" s="1">
        <v>-3.6868520000000002E-6</v>
      </c>
      <c r="I5207">
        <v>-46.350349999999999</v>
      </c>
      <c r="J5207">
        <v>-301.25720000000001</v>
      </c>
      <c r="K5207">
        <v>1.1088290000000001</v>
      </c>
      <c r="L5207">
        <v>-24.480260000000001</v>
      </c>
      <c r="M5207">
        <v>8.6781399999999995E-2</v>
      </c>
      <c r="N5207">
        <v>0</v>
      </c>
      <c r="O5207">
        <v>-0.99611660000000002</v>
      </c>
      <c r="P5207">
        <v>2.114042E-2</v>
      </c>
      <c r="Q5207">
        <v>3.0444229999999999E-2</v>
      </c>
      <c r="R5207">
        <v>-0.99931289999999995</v>
      </c>
      <c r="S5207">
        <v>0.1902771</v>
      </c>
      <c r="T5207">
        <v>-0.1497397</v>
      </c>
      <c r="U5207">
        <v>-3.0029300000000001</v>
      </c>
      <c r="V5207">
        <v>6.5812079999999995E-2</v>
      </c>
      <c r="W5207">
        <v>4.5069030000000003E-2</v>
      </c>
      <c r="X5207">
        <v>0.99681370000000002</v>
      </c>
      <c r="Y5207">
        <v>2.369659E-2</v>
      </c>
      <c r="Z5207">
        <v>4.946478E-2</v>
      </c>
      <c r="AA5207">
        <v>0.99849469999999996</v>
      </c>
      <c r="AB5207">
        <v>25</v>
      </c>
      <c r="AC5207">
        <v>1.3794000000000299</v>
      </c>
      <c r="AD5207">
        <v>-1.108832686852</v>
      </c>
      <c r="AE5207">
        <v>-21.870090000000001</v>
      </c>
      <c r="AF5207">
        <v>0.52259356642501598</v>
      </c>
      <c r="AG5207">
        <v>-1.108832686852</v>
      </c>
      <c r="AH5207">
        <v>21.851335634826</v>
      </c>
      <c r="AI5207">
        <v>92.904118664881906</v>
      </c>
      <c r="AJ5207">
        <v>88.629983104431105</v>
      </c>
      <c r="AK5207">
        <v>21.885691284236799</v>
      </c>
      <c r="AL5207">
        <v>87.416859803669894</v>
      </c>
      <c r="AM5207">
        <v>86.222674458187001</v>
      </c>
      <c r="AN5207">
        <v>0.99999999992337796</v>
      </c>
    </row>
    <row r="5208" spans="1:40" x14ac:dyDescent="0.25">
      <c r="A5208" t="str">
        <f>"20190312154707072"</f>
        <v>20190312154707072</v>
      </c>
      <c r="B5208" t="str">
        <f>"1552376827063183"</f>
        <v>1552376827063183</v>
      </c>
      <c r="C5208" t="s">
        <v>40</v>
      </c>
      <c r="D5208">
        <v>4.3034829999999999</v>
      </c>
      <c r="E5208">
        <v>0.4854774</v>
      </c>
      <c r="F5208" t="s">
        <v>71</v>
      </c>
      <c r="G5208">
        <v>-299.94600000000003</v>
      </c>
      <c r="H5208" s="1">
        <v>-3.0024869999999999E-6</v>
      </c>
      <c r="I5208">
        <v>-45.104849999999999</v>
      </c>
      <c r="J5208">
        <v>-301.2269</v>
      </c>
      <c r="K5208">
        <v>1.1088</v>
      </c>
      <c r="L5208">
        <v>-24.869540000000001</v>
      </c>
      <c r="M5208">
        <v>8.3871609999999999E-2</v>
      </c>
      <c r="N5208">
        <v>0</v>
      </c>
      <c r="O5208">
        <v>-0.99636570000000002</v>
      </c>
      <c r="P5208">
        <v>2.2897830000000001E-2</v>
      </c>
      <c r="Q5208">
        <v>1.5618989999999999E-2</v>
      </c>
      <c r="R5208">
        <v>-0.9996157</v>
      </c>
      <c r="S5208">
        <v>0.190918</v>
      </c>
      <c r="T5208">
        <v>-0.16144539999999999</v>
      </c>
      <c r="U5208">
        <v>-3.0029300000000001</v>
      </c>
      <c r="V5208">
        <v>6.112513E-2</v>
      </c>
      <c r="W5208">
        <v>3.0264820000000001E-2</v>
      </c>
      <c r="X5208">
        <v>0.99767119999999998</v>
      </c>
      <c r="Y5208">
        <v>2.057697E-2</v>
      </c>
      <c r="Z5208">
        <v>5.334241E-2</v>
      </c>
      <c r="AA5208">
        <v>0.99836429999999998</v>
      </c>
      <c r="AB5208">
        <v>25</v>
      </c>
      <c r="AC5208">
        <v>1.2809000000000299</v>
      </c>
      <c r="AD5208">
        <v>-1.1088030024869999</v>
      </c>
      <c r="AE5208">
        <v>-20.235309999999998</v>
      </c>
      <c r="AF5208">
        <v>0.41971453053123498</v>
      </c>
      <c r="AG5208">
        <v>-1.1088030024869999</v>
      </c>
      <c r="AH5208">
        <v>20.2109973400411</v>
      </c>
      <c r="AI5208">
        <v>93.139501545640201</v>
      </c>
      <c r="AJ5208">
        <v>88.810330099955706</v>
      </c>
      <c r="AK5208">
        <v>20.245740733907699</v>
      </c>
      <c r="AL5208">
        <v>88.265688773417693</v>
      </c>
      <c r="AM5208">
        <v>86.493995538781306</v>
      </c>
      <c r="AN5208">
        <v>1.00000003207829</v>
      </c>
    </row>
    <row r="5209" spans="1:40" x14ac:dyDescent="0.25">
      <c r="A5209" t="str">
        <f>"20190312154707108"</f>
        <v>20190312154707108</v>
      </c>
      <c r="B5209" t="str">
        <f>"1552376827103201"</f>
        <v>1552376827103201</v>
      </c>
      <c r="C5209" t="s">
        <v>40</v>
      </c>
      <c r="D5209">
        <v>4.3846800000000004</v>
      </c>
      <c r="E5209">
        <v>0.48577219999999999</v>
      </c>
      <c r="F5209" t="s">
        <v>71</v>
      </c>
      <c r="G5209">
        <v>-300.2106</v>
      </c>
      <c r="H5209" s="1">
        <v>-2.5376880000000002E-7</v>
      </c>
      <c r="I5209">
        <v>-40.73001</v>
      </c>
      <c r="J5209">
        <v>-301.19740000000002</v>
      </c>
      <c r="K5209">
        <v>1.108768</v>
      </c>
      <c r="L5209">
        <v>-25.262360000000001</v>
      </c>
      <c r="M5209">
        <v>8.0951159999999994E-2</v>
      </c>
      <c r="N5209">
        <v>0</v>
      </c>
      <c r="O5209">
        <v>-0.99660749999999998</v>
      </c>
      <c r="P5209">
        <v>2.5204089999999998E-2</v>
      </c>
      <c r="Q5209">
        <v>6.1954239999999997E-3</v>
      </c>
      <c r="R5209">
        <v>-0.99966330000000003</v>
      </c>
      <c r="S5209">
        <v>0.19223019999999999</v>
      </c>
      <c r="T5209">
        <v>-0.20973120000000001</v>
      </c>
      <c r="U5209">
        <v>-3.0000309999999999</v>
      </c>
      <c r="V5209">
        <v>5.5875279999999999E-2</v>
      </c>
      <c r="W5209">
        <v>2.085851E-2</v>
      </c>
      <c r="X5209">
        <v>0.99821979999999999</v>
      </c>
      <c r="Y5209">
        <v>1.7213659999999999E-2</v>
      </c>
      <c r="Z5209">
        <v>6.9320980000000004E-2</v>
      </c>
      <c r="AA5209">
        <v>0.9974459</v>
      </c>
      <c r="AB5209">
        <v>25</v>
      </c>
      <c r="AC5209">
        <v>0.986800000000016</v>
      </c>
      <c r="AD5209">
        <v>-1.1087682537687999</v>
      </c>
      <c r="AE5209">
        <v>-15.467650000000001</v>
      </c>
      <c r="AF5209">
        <v>0.26733342816702299</v>
      </c>
      <c r="AG5209">
        <v>-1.1087682537687999</v>
      </c>
      <c r="AH5209">
        <v>15.4178635317705</v>
      </c>
      <c r="AI5209">
        <v>94.112701214418493</v>
      </c>
      <c r="AJ5209">
        <v>89.006636529993798</v>
      </c>
      <c r="AK5209">
        <v>15.4599919174196</v>
      </c>
      <c r="AL5209">
        <v>88.804808668916706</v>
      </c>
      <c r="AM5209">
        <v>86.796216181936003</v>
      </c>
      <c r="AN5209">
        <v>0.99999994673326698</v>
      </c>
    </row>
    <row r="5210" spans="1:40" x14ac:dyDescent="0.25">
      <c r="A5210" t="str">
        <f>"20190312154707137"</f>
        <v>20190312154707137</v>
      </c>
      <c r="B5210" t="str">
        <f>"1552376827133456"</f>
        <v>1552376827133456</v>
      </c>
      <c r="C5210" t="s">
        <v>40</v>
      </c>
      <c r="D5210">
        <v>4.3710319999999996</v>
      </c>
      <c r="E5210">
        <v>0.48569180000000001</v>
      </c>
      <c r="F5210" t="s">
        <v>41</v>
      </c>
      <c r="G5210">
        <v>-301.13889999999998</v>
      </c>
      <c r="H5210">
        <v>1.0356339999999999</v>
      </c>
      <c r="I5210">
        <v>-26.16281</v>
      </c>
      <c r="J5210">
        <v>-301.17410000000001</v>
      </c>
      <c r="K5210">
        <v>1.108797</v>
      </c>
      <c r="L5210">
        <v>-25.583919999999999</v>
      </c>
      <c r="M5210">
        <v>7.8565259999999998E-2</v>
      </c>
      <c r="N5210">
        <v>0</v>
      </c>
      <c r="O5210">
        <v>-0.99679850000000003</v>
      </c>
      <c r="P5210">
        <v>2.4263699999999999E-2</v>
      </c>
      <c r="Q5210">
        <v>1.4205250000000001E-2</v>
      </c>
      <c r="R5210">
        <v>-0.99960479999999996</v>
      </c>
      <c r="S5210">
        <v>0.1952209</v>
      </c>
      <c r="T5210">
        <v>-0.24338419999999999</v>
      </c>
      <c r="U5210">
        <v>-2.9975890000000001</v>
      </c>
      <c r="V5210">
        <v>5.4441660000000003E-2</v>
      </c>
      <c r="W5210">
        <v>2.88664E-2</v>
      </c>
      <c r="X5210">
        <v>0.99809959999999998</v>
      </c>
      <c r="Y5210">
        <v>1.3831799999999899E-2</v>
      </c>
      <c r="Z5210">
        <v>8.0464240000000006E-2</v>
      </c>
      <c r="AA5210">
        <v>0.99666149999999998</v>
      </c>
      <c r="AB5210">
        <v>25</v>
      </c>
      <c r="AC5210">
        <v>3.5200000000031602E-2</v>
      </c>
      <c r="AD5210">
        <v>-7.3163000000000006E-2</v>
      </c>
      <c r="AE5210">
        <v>-0.57888999999999702</v>
      </c>
      <c r="AF5210">
        <v>1.02316511324381E-2</v>
      </c>
      <c r="AG5210">
        <v>-7.3163000000000006E-2</v>
      </c>
      <c r="AH5210">
        <v>0.570782427109084</v>
      </c>
      <c r="AI5210">
        <v>97.303193184566396</v>
      </c>
      <c r="AJ5210">
        <v>88.973045383655901</v>
      </c>
      <c r="AK5210">
        <v>0.57554330015250199</v>
      </c>
      <c r="AL5210">
        <v>88.345847309545107</v>
      </c>
      <c r="AM5210">
        <v>86.877877342600698</v>
      </c>
      <c r="AN5210">
        <v>0.999999987456337</v>
      </c>
    </row>
    <row r="5211" spans="1:40" x14ac:dyDescent="0.25">
      <c r="A5211" t="str">
        <f>"20190312154707171"</f>
        <v>20190312154707171</v>
      </c>
      <c r="B5211" t="str">
        <f>"1552376827163711"</f>
        <v>1552376827163711</v>
      </c>
      <c r="C5211" t="s">
        <v>40</v>
      </c>
      <c r="D5211">
        <v>4.3781670000000004</v>
      </c>
      <c r="E5211">
        <v>0.4856898</v>
      </c>
      <c r="F5211" t="s">
        <v>71</v>
      </c>
      <c r="G5211">
        <v>-300.2226</v>
      </c>
      <c r="H5211" s="1">
        <v>-8.5099469999999998E-8</v>
      </c>
      <c r="I5211">
        <v>-40.426079999999999</v>
      </c>
      <c r="J5211">
        <v>-301.14819999999997</v>
      </c>
      <c r="K5211">
        <v>1.1088389999999999</v>
      </c>
      <c r="L5211">
        <v>-25.955259999999999</v>
      </c>
      <c r="M5211">
        <v>7.5808429999999996E-2</v>
      </c>
      <c r="N5211">
        <v>0</v>
      </c>
      <c r="O5211">
        <v>-0.99701209999999996</v>
      </c>
      <c r="P5211">
        <v>2.4309379999999998E-2</v>
      </c>
      <c r="Q5211">
        <v>2.225446E-2</v>
      </c>
      <c r="R5211">
        <v>-0.99945720000000005</v>
      </c>
      <c r="S5211">
        <v>0.1922913</v>
      </c>
      <c r="T5211">
        <v>-0.22409499999999999</v>
      </c>
      <c r="U5211">
        <v>-2.999695</v>
      </c>
      <c r="V5211">
        <v>5.164705E-2</v>
      </c>
      <c r="W5211">
        <v>3.6916270000000001E-2</v>
      </c>
      <c r="X5211">
        <v>0.99798290000000001</v>
      </c>
      <c r="Y5211">
        <v>1.204966E-2</v>
      </c>
      <c r="Z5211">
        <v>7.4099199999999907E-2</v>
      </c>
      <c r="AA5211">
        <v>0.99717809999999996</v>
      </c>
      <c r="AB5211">
        <v>25</v>
      </c>
      <c r="AC5211">
        <v>0.925599999999974</v>
      </c>
      <c r="AD5211">
        <v>-1.1088390850994601</v>
      </c>
      <c r="AE5211">
        <v>-14.47082</v>
      </c>
      <c r="AF5211">
        <v>0.17318220372656301</v>
      </c>
      <c r="AG5211">
        <v>-1.1088390850994601</v>
      </c>
      <c r="AH5211">
        <v>14.4150521630669</v>
      </c>
      <c r="AI5211">
        <v>94.398345406798896</v>
      </c>
      <c r="AJ5211">
        <v>89.311682545893007</v>
      </c>
      <c r="AK5211">
        <v>14.4586736963067</v>
      </c>
      <c r="AL5211">
        <v>87.884372917764196</v>
      </c>
      <c r="AM5211">
        <v>87.037503872904395</v>
      </c>
      <c r="AN5211">
        <v>1.00000004872841</v>
      </c>
    </row>
    <row r="5212" spans="1:40" x14ac:dyDescent="0.25">
      <c r="A5212" t="str">
        <f>"20190312154707204"</f>
        <v>20190312154707204</v>
      </c>
      <c r="B5212" t="str">
        <f>"1552376827192991"</f>
        <v>1552376827192991</v>
      </c>
      <c r="C5212" t="s">
        <v>40</v>
      </c>
      <c r="D5212">
        <v>4.4015069999999996</v>
      </c>
      <c r="E5212">
        <v>0.48573830000000001</v>
      </c>
      <c r="F5212" t="s">
        <v>71</v>
      </c>
      <c r="G5212">
        <v>-300.09249999999997</v>
      </c>
      <c r="H5212" s="1">
        <v>-1.274951E-6</v>
      </c>
      <c r="I5212">
        <v>-42.362450000000003</v>
      </c>
      <c r="J5212">
        <v>-301.12369999999999</v>
      </c>
      <c r="K5212">
        <v>1.1088739999999999</v>
      </c>
      <c r="L5212">
        <v>-26.319489999999998</v>
      </c>
      <c r="M5212">
        <v>7.3101340000000001E-2</v>
      </c>
      <c r="N5212">
        <v>0</v>
      </c>
      <c r="O5212">
        <v>-0.9972143</v>
      </c>
      <c r="P5212">
        <v>2.5627500000000001E-2</v>
      </c>
      <c r="Q5212">
        <v>2.414235E-2</v>
      </c>
      <c r="R5212">
        <v>-0.99938020000000005</v>
      </c>
      <c r="S5212">
        <v>0.19311519999999999</v>
      </c>
      <c r="T5212">
        <v>-0.2028469</v>
      </c>
      <c r="U5212">
        <v>-3.001465</v>
      </c>
      <c r="V5212">
        <v>4.7620860000000001E-2</v>
      </c>
      <c r="W5212">
        <v>3.88113E-2</v>
      </c>
      <c r="X5212">
        <v>0.99811119999999998</v>
      </c>
      <c r="Y5212">
        <v>9.0678240000000004E-3</v>
      </c>
      <c r="Z5212">
        <v>6.7088309999999998E-2</v>
      </c>
      <c r="AA5212">
        <v>0.99770579999999998</v>
      </c>
      <c r="AB5212">
        <v>24</v>
      </c>
      <c r="AC5212">
        <v>1.0312000000000101</v>
      </c>
      <c r="AD5212">
        <v>-1.108875274951</v>
      </c>
      <c r="AE5212">
        <v>-16.042960000000001</v>
      </c>
      <c r="AF5212">
        <v>0.14376635491291101</v>
      </c>
      <c r="AG5212">
        <v>-1.108875274951</v>
      </c>
      <c r="AH5212">
        <v>15.999296904129499</v>
      </c>
      <c r="AI5212">
        <v>93.964541915147194</v>
      </c>
      <c r="AJ5212">
        <v>89.485165896370901</v>
      </c>
      <c r="AK5212">
        <v>16.0383220620703</v>
      </c>
      <c r="AL5212">
        <v>87.775717696048901</v>
      </c>
      <c r="AM5212">
        <v>87.268433809201298</v>
      </c>
      <c r="AN5212">
        <v>1.0000000154401301</v>
      </c>
    </row>
    <row r="5213" spans="1:40" x14ac:dyDescent="0.25">
      <c r="A5213" t="str">
        <f>"20190312154707237"</f>
        <v>20190312154707237</v>
      </c>
      <c r="B5213" t="str">
        <f>"1552376827233007"</f>
        <v>1552376827233007</v>
      </c>
      <c r="C5213" t="s">
        <v>40</v>
      </c>
      <c r="D5213">
        <v>4.3996909999999998</v>
      </c>
      <c r="E5213">
        <v>0.48591440000000002</v>
      </c>
      <c r="F5213" t="s">
        <v>71</v>
      </c>
      <c r="G5213">
        <v>-300.03289999999998</v>
      </c>
      <c r="H5213" s="1">
        <v>-1.6431739999999999E-6</v>
      </c>
      <c r="I5213">
        <v>-42.954819999999998</v>
      </c>
      <c r="J5213">
        <v>-301.1003</v>
      </c>
      <c r="K5213">
        <v>1.1089020000000001</v>
      </c>
      <c r="L5213">
        <v>-26.68478</v>
      </c>
      <c r="M5213">
        <v>7.0382929999999996E-2</v>
      </c>
      <c r="N5213">
        <v>0</v>
      </c>
      <c r="O5213">
        <v>-0.99741000000000002</v>
      </c>
      <c r="P5213">
        <v>2.596014E-2</v>
      </c>
      <c r="Q5213">
        <v>2.606953E-2</v>
      </c>
      <c r="R5213">
        <v>-0.99932330000000003</v>
      </c>
      <c r="S5213">
        <v>0.1968384</v>
      </c>
      <c r="T5213">
        <v>-0.20008339999999999</v>
      </c>
      <c r="U5213">
        <v>-3.0016479999999999</v>
      </c>
      <c r="V5213">
        <v>4.4567919999999997E-2</v>
      </c>
      <c r="W5213">
        <v>4.0741439999999997E-2</v>
      </c>
      <c r="X5213">
        <v>0.99817529999999999</v>
      </c>
      <c r="Y5213">
        <v>5.109756E-3</v>
      </c>
      <c r="Z5213">
        <v>6.6192130000000002E-2</v>
      </c>
      <c r="AA5213">
        <v>0.99779379999999995</v>
      </c>
      <c r="AB5213">
        <v>24</v>
      </c>
      <c r="AC5213">
        <v>1.0674000000000201</v>
      </c>
      <c r="AD5213">
        <v>-1.108903643174</v>
      </c>
      <c r="AE5213">
        <v>-16.270039999999899</v>
      </c>
      <c r="AF5213">
        <v>8.0135833143329199E-2</v>
      </c>
      <c r="AG5213">
        <v>-1.108903643174</v>
      </c>
      <c r="AH5213">
        <v>16.229748807439201</v>
      </c>
      <c r="AI5213">
        <v>93.908633198171302</v>
      </c>
      <c r="AJ5213">
        <v>89.717099274358404</v>
      </c>
      <c r="AK5213">
        <v>16.267785202484401</v>
      </c>
      <c r="AL5213">
        <v>87.665041289708697</v>
      </c>
      <c r="AM5213">
        <v>87.443476261099704</v>
      </c>
      <c r="AN5213">
        <v>1.00000004697824</v>
      </c>
    </row>
    <row r="5214" spans="1:40" x14ac:dyDescent="0.25">
      <c r="A5214" t="str">
        <f>"20190312154707272"</f>
        <v>20190312154707272</v>
      </c>
      <c r="B5214" t="str">
        <f>"1552376827263263"</f>
        <v>1552376827263263</v>
      </c>
      <c r="C5214" t="s">
        <v>40</v>
      </c>
      <c r="D5214">
        <v>4.400201</v>
      </c>
      <c r="E5214">
        <v>0.4860814</v>
      </c>
      <c r="F5214" t="s">
        <v>71</v>
      </c>
      <c r="G5214">
        <v>-299.99849999999998</v>
      </c>
      <c r="H5214" s="1">
        <v>-2.0129930000000001E-6</v>
      </c>
      <c r="I5214">
        <v>-43.544170000000001</v>
      </c>
      <c r="J5214">
        <v>-301.07780000000002</v>
      </c>
      <c r="K5214">
        <v>1.1089230000000001</v>
      </c>
      <c r="L5214">
        <v>-27.050989999999999</v>
      </c>
      <c r="M5214">
        <v>6.7667420000000006E-2</v>
      </c>
      <c r="N5214">
        <v>0</v>
      </c>
      <c r="O5214">
        <v>-0.99759790000000004</v>
      </c>
      <c r="P5214">
        <v>2.566916E-2</v>
      </c>
      <c r="Q5214">
        <v>2.680884E-2</v>
      </c>
      <c r="R5214">
        <v>-0.99931099999999995</v>
      </c>
      <c r="S5214">
        <v>0.1961975</v>
      </c>
      <c r="T5214">
        <v>-0.19745770000000001</v>
      </c>
      <c r="U5214">
        <v>-3.002075</v>
      </c>
      <c r="V5214">
        <v>4.2139509999999998E-2</v>
      </c>
      <c r="W5214">
        <v>4.1481820000000003E-2</v>
      </c>
      <c r="X5214">
        <v>0.99825019999999998</v>
      </c>
      <c r="Y5214">
        <v>2.6051289999999999E-3</v>
      </c>
      <c r="Z5214">
        <v>6.5337179999999995E-2</v>
      </c>
      <c r="AA5214">
        <v>0.99785979999999996</v>
      </c>
      <c r="AB5214">
        <v>24</v>
      </c>
      <c r="AC5214">
        <v>1.0793000000000399</v>
      </c>
      <c r="AD5214">
        <v>-1.1089250129929999</v>
      </c>
      <c r="AE5214">
        <v>-16.493179999999999</v>
      </c>
      <c r="AF5214">
        <v>3.91715208777332E-2</v>
      </c>
      <c r="AG5214">
        <v>-1.1089250129929999</v>
      </c>
      <c r="AH5214">
        <v>16.454343442719299</v>
      </c>
      <c r="AI5214">
        <v>93.855554103015294</v>
      </c>
      <c r="AJ5214">
        <v>89.863600842454105</v>
      </c>
      <c r="AK5214">
        <v>16.491715108606801</v>
      </c>
      <c r="AL5214">
        <v>87.6225845656773</v>
      </c>
      <c r="AM5214">
        <v>87.582786893571694</v>
      </c>
      <c r="AN5214">
        <v>0.99999997074679503</v>
      </c>
    </row>
    <row r="5215" spans="1:40" x14ac:dyDescent="0.25">
      <c r="A5215" t="str">
        <f>"20190312154707308"</f>
        <v>20190312154707308</v>
      </c>
      <c r="B5215" t="str">
        <f>"1552376827303279"</f>
        <v>1552376827303279</v>
      </c>
      <c r="C5215" t="s">
        <v>40</v>
      </c>
      <c r="D5215">
        <v>4.400131</v>
      </c>
      <c r="E5215">
        <v>0.48622660000000001</v>
      </c>
      <c r="F5215" t="s">
        <v>71</v>
      </c>
      <c r="G5215">
        <v>-299.99430000000001</v>
      </c>
      <c r="H5215" s="1">
        <v>-2.2340920000000001E-6</v>
      </c>
      <c r="I5215">
        <v>-43.89293</v>
      </c>
      <c r="J5215">
        <v>-301.05470000000003</v>
      </c>
      <c r="K5215">
        <v>1.108948</v>
      </c>
      <c r="L5215">
        <v>-27.44351</v>
      </c>
      <c r="M5215">
        <v>6.4794340000000006E-2</v>
      </c>
      <c r="N5215">
        <v>0</v>
      </c>
      <c r="O5215">
        <v>-0.99778889999999998</v>
      </c>
      <c r="P5215">
        <v>2.5960159999999999E-2</v>
      </c>
      <c r="Q5215">
        <v>2.7318599999999998E-2</v>
      </c>
      <c r="R5215">
        <v>-0.99928980000000001</v>
      </c>
      <c r="S5215">
        <v>0.19314580000000001</v>
      </c>
      <c r="T5215">
        <v>-0.19768820000000001</v>
      </c>
      <c r="U5215">
        <v>-3.0024109999999999</v>
      </c>
      <c r="V5215">
        <v>3.8970249999999998E-2</v>
      </c>
      <c r="W5215">
        <v>4.1995400000000002E-2</v>
      </c>
      <c r="X5215">
        <v>0.99835750000000001</v>
      </c>
      <c r="Y5215">
        <v>7.4301369999999996E-4</v>
      </c>
      <c r="Z5215">
        <v>6.5426860000000003E-2</v>
      </c>
      <c r="AA5215">
        <v>0.99785710000000005</v>
      </c>
      <c r="AB5215">
        <v>24</v>
      </c>
      <c r="AC5215">
        <v>1.06040000000001</v>
      </c>
      <c r="AD5215">
        <v>-1.1089502340919899</v>
      </c>
      <c r="AE5215">
        <v>-16.44942</v>
      </c>
      <c r="AF5215">
        <v>7.7397832770769101E-3</v>
      </c>
      <c r="AG5215">
        <v>-1.1089502340919899</v>
      </c>
      <c r="AH5215">
        <v>16.409291979081502</v>
      </c>
      <c r="AI5215">
        <v>93.866205567754903</v>
      </c>
      <c r="AJ5215">
        <v>89.972975257933001</v>
      </c>
      <c r="AK5215">
        <v>16.446722888791101</v>
      </c>
      <c r="AL5215">
        <v>87.593132993440193</v>
      </c>
      <c r="AM5215">
        <v>87.764630559572197</v>
      </c>
      <c r="AN5215">
        <v>0.99999999590623601</v>
      </c>
    </row>
    <row r="5216" spans="1:40" x14ac:dyDescent="0.25">
      <c r="A5216" t="str">
        <f>"20190312154707338"</f>
        <v>20190312154707338</v>
      </c>
      <c r="B5216" t="str">
        <f>"1552376827333539"</f>
        <v>1552376827333539</v>
      </c>
      <c r="C5216" t="s">
        <v>40</v>
      </c>
      <c r="D5216">
        <v>4.4178459999999999</v>
      </c>
      <c r="E5216">
        <v>0.48640489999999997</v>
      </c>
      <c r="F5216" t="s">
        <v>71</v>
      </c>
      <c r="G5216">
        <v>-299.9803</v>
      </c>
      <c r="H5216" s="1">
        <v>-2.436345E-6</v>
      </c>
      <c r="I5216">
        <v>-44.214179999999999</v>
      </c>
      <c r="J5216">
        <v>-301.03629999999998</v>
      </c>
      <c r="K5216">
        <v>1.108954</v>
      </c>
      <c r="L5216">
        <v>-27.77103</v>
      </c>
      <c r="M5216">
        <v>6.2448799999999999E-2</v>
      </c>
      <c r="N5216">
        <v>0</v>
      </c>
      <c r="O5216">
        <v>-0.9979384</v>
      </c>
      <c r="P5216">
        <v>2.4677640000000001E-2</v>
      </c>
      <c r="Q5216">
        <v>2.3925760000000001E-2</v>
      </c>
      <c r="R5216">
        <v>-0.9994092</v>
      </c>
      <c r="S5216">
        <v>0.1923523</v>
      </c>
      <c r="T5216">
        <v>-0.19854260000000001</v>
      </c>
      <c r="U5216">
        <v>-3.0025629999999999</v>
      </c>
      <c r="V5216">
        <v>3.7896730000000003E-2</v>
      </c>
      <c r="W5216">
        <v>3.8602600000000001E-2</v>
      </c>
      <c r="X5216">
        <v>0.99853579999999997</v>
      </c>
      <c r="Y5216">
        <v>-1.340464E-3</v>
      </c>
      <c r="Z5216">
        <v>6.5720379999999995E-2</v>
      </c>
      <c r="AA5216">
        <v>0.99783719999999998</v>
      </c>
      <c r="AB5216">
        <v>24</v>
      </c>
      <c r="AC5216">
        <v>1.0559999999999801</v>
      </c>
      <c r="AD5216">
        <v>-1.108956436345</v>
      </c>
      <c r="AE5216">
        <v>-16.443149999999999</v>
      </c>
      <c r="AF5216">
        <v>-2.6849299639207701E-2</v>
      </c>
      <c r="AG5216">
        <v>-1.108956436345</v>
      </c>
      <c r="AH5216">
        <v>16.402702205954899</v>
      </c>
      <c r="AI5216">
        <v>93.867770928814707</v>
      </c>
      <c r="AJ5216">
        <v>90.093786387081195</v>
      </c>
      <c r="AK5216">
        <v>16.4401686402494</v>
      </c>
      <c r="AL5216">
        <v>87.787684332476104</v>
      </c>
      <c r="AM5216">
        <v>87.826536536206305</v>
      </c>
      <c r="AN5216">
        <v>1.00000003337654</v>
      </c>
    </row>
    <row r="5217" spans="1:40" x14ac:dyDescent="0.25">
      <c r="A5217" t="str">
        <f>"20190312154707372"</f>
        <v>20190312154707372</v>
      </c>
      <c r="B5217" t="str">
        <f>"1552376827362815"</f>
        <v>1552376827362815</v>
      </c>
      <c r="C5217" t="s">
        <v>40</v>
      </c>
      <c r="D5217">
        <v>4.1965070000000004</v>
      </c>
      <c r="E5217">
        <v>0.4753793</v>
      </c>
      <c r="F5217" t="s">
        <v>71</v>
      </c>
      <c r="G5217">
        <v>-300.05200000000002</v>
      </c>
      <c r="H5217" s="1">
        <v>-2.0433809999999999E-6</v>
      </c>
      <c r="I5217">
        <v>-43.580249999999999</v>
      </c>
      <c r="J5217">
        <v>-301.01679999999999</v>
      </c>
      <c r="K5217">
        <v>1.1089910000000001</v>
      </c>
      <c r="L5217">
        <v>-28.13129</v>
      </c>
      <c r="M5217">
        <v>5.9970929999999999E-2</v>
      </c>
      <c r="N5217">
        <v>0</v>
      </c>
      <c r="O5217">
        <v>-0.9980907</v>
      </c>
      <c r="P5217">
        <v>2.3150210000000001E-2</v>
      </c>
      <c r="Q5217">
        <v>1.7257359999999999E-2</v>
      </c>
      <c r="R5217">
        <v>-0.99958320000000001</v>
      </c>
      <c r="S5217">
        <v>0.18692020000000001</v>
      </c>
      <c r="T5217">
        <v>-0.21059249999999999</v>
      </c>
      <c r="U5217">
        <v>-3.0021969999999998</v>
      </c>
      <c r="V5217">
        <v>3.69284E-2</v>
      </c>
      <c r="W5217">
        <v>3.1935329999999998E-2</v>
      </c>
      <c r="X5217">
        <v>0.99880749999999996</v>
      </c>
      <c r="Y5217">
        <v>-2.0158849999999998E-3</v>
      </c>
      <c r="Z5217">
        <v>6.9718420000000003E-2</v>
      </c>
      <c r="AA5217">
        <v>0.99756469999999997</v>
      </c>
      <c r="AB5217">
        <v>24</v>
      </c>
      <c r="AC5217">
        <v>0.96479999999996802</v>
      </c>
      <c r="AD5217">
        <v>-1.108993043381</v>
      </c>
      <c r="AE5217">
        <v>-15.4489599999999</v>
      </c>
      <c r="AF5217">
        <v>-3.6287131782353099E-2</v>
      </c>
      <c r="AG5217">
        <v>-1.108993043381</v>
      </c>
      <c r="AH5217">
        <v>15.3999664292679</v>
      </c>
      <c r="AI5217">
        <v>94.118901771057097</v>
      </c>
      <c r="AJ5217">
        <v>90.135006505595996</v>
      </c>
      <c r="AK5217">
        <v>15.439888223325299</v>
      </c>
      <c r="AL5217">
        <v>88.169929207343998</v>
      </c>
      <c r="AM5217">
        <v>87.882596836336404</v>
      </c>
      <c r="AN5217">
        <v>0.99999999704250897</v>
      </c>
    </row>
    <row r="5218" spans="1:40" x14ac:dyDescent="0.25">
      <c r="A5218" t="str">
        <f>"20190312154707540"</f>
        <v>20190312154707540</v>
      </c>
      <c r="B5218" t="str">
        <f>"1552376827533616"</f>
        <v>1552376827533616</v>
      </c>
      <c r="C5218" t="s">
        <v>40</v>
      </c>
      <c r="D5218">
        <v>4.5882630000000004</v>
      </c>
      <c r="E5218">
        <v>0.46813250000000001</v>
      </c>
      <c r="F5218" t="s">
        <v>41</v>
      </c>
      <c r="G5218">
        <v>-300.85910000000001</v>
      </c>
      <c r="H5218">
        <v>0.90517190000000003</v>
      </c>
      <c r="I5218">
        <v>-30.40738</v>
      </c>
      <c r="J5218">
        <v>-300.92829999999998</v>
      </c>
      <c r="K5218">
        <v>1.109632</v>
      </c>
      <c r="L5218">
        <v>-29.91461</v>
      </c>
      <c r="M5218">
        <v>5.1056440000000002E-2</v>
      </c>
      <c r="N5218">
        <v>0</v>
      </c>
      <c r="O5218">
        <v>-0.99858729999999996</v>
      </c>
      <c r="P5218">
        <v>2.830498E-2</v>
      </c>
      <c r="Q5218">
        <v>1.6571780000000001E-2</v>
      </c>
      <c r="R5218">
        <v>-0.99946210000000002</v>
      </c>
      <c r="S5218">
        <v>0.30853269999999999</v>
      </c>
      <c r="T5218">
        <v>-0.73058509999999999</v>
      </c>
      <c r="U5218">
        <v>-3.0038450000000001</v>
      </c>
      <c r="V5218">
        <v>2.2800629999999999E-2</v>
      </c>
      <c r="W5218">
        <v>3.127286E-2</v>
      </c>
      <c r="X5218">
        <v>0.99925079999999999</v>
      </c>
      <c r="Y5218">
        <v>-4.8378900000000002E-2</v>
      </c>
      <c r="Z5218">
        <v>0.23515559999999999</v>
      </c>
      <c r="AA5218">
        <v>0.97075299999999998</v>
      </c>
      <c r="AB5218">
        <v>24</v>
      </c>
      <c r="AC5218">
        <v>6.9199999999966594E-2</v>
      </c>
      <c r="AD5218">
        <v>-0.20446009999999901</v>
      </c>
      <c r="AE5218">
        <v>-0.49277000000000298</v>
      </c>
      <c r="AF5218">
        <v>-3.7599953033054197E-2</v>
      </c>
      <c r="AG5218">
        <v>-0.20446009999999901</v>
      </c>
      <c r="AH5218">
        <v>0.424065977621218</v>
      </c>
      <c r="AI5218">
        <v>115.653023645396</v>
      </c>
      <c r="AJ5218">
        <v>95.066899469257606</v>
      </c>
      <c r="AK5218">
        <v>0.47228131694567099</v>
      </c>
      <c r="AL5218">
        <v>88.207904938213801</v>
      </c>
      <c r="AM5218">
        <v>88.692867477882203</v>
      </c>
      <c r="AN5218">
        <v>1.0000000109008</v>
      </c>
    </row>
    <row r="5219" spans="1:40" x14ac:dyDescent="0.25">
      <c r="A5219" t="str">
        <f>"20190312154707574"</f>
        <v>20190312154707574</v>
      </c>
      <c r="B5219" t="str">
        <f>"1552376827562896"</f>
        <v>1552376827562896</v>
      </c>
      <c r="C5219" t="s">
        <v>40</v>
      </c>
      <c r="D5219">
        <v>4.4769649999999999</v>
      </c>
      <c r="E5219">
        <v>0.46640419999999999</v>
      </c>
      <c r="F5219" t="s">
        <v>41</v>
      </c>
      <c r="G5219">
        <v>-300.8449</v>
      </c>
      <c r="H5219">
        <v>0.96474349999999998</v>
      </c>
      <c r="I5219">
        <v>-30.64453</v>
      </c>
      <c r="J5219">
        <v>-300.91120000000001</v>
      </c>
      <c r="K5219">
        <v>1.109823</v>
      </c>
      <c r="L5219">
        <v>-30.270510000000002</v>
      </c>
      <c r="M5219">
        <v>5.0299589999999998E-2</v>
      </c>
      <c r="N5219">
        <v>0</v>
      </c>
      <c r="O5219">
        <v>-0.99862580000000001</v>
      </c>
      <c r="P5219">
        <v>3.063573E-2</v>
      </c>
      <c r="Q5219">
        <v>1.7802289999999998E-2</v>
      </c>
      <c r="R5219">
        <v>-0.99937209999999999</v>
      </c>
      <c r="S5219">
        <v>0.34405520000000001</v>
      </c>
      <c r="T5219">
        <v>-0.59581110000000004</v>
      </c>
      <c r="U5219">
        <v>-3.0017399999999999</v>
      </c>
      <c r="V5219">
        <v>1.9697800000000001E-2</v>
      </c>
      <c r="W5219">
        <v>3.2505340000000001E-2</v>
      </c>
      <c r="X5219">
        <v>0.99927739999999998</v>
      </c>
      <c r="Y5219">
        <v>-6.15963E-2</v>
      </c>
      <c r="Z5219">
        <v>0.19353429999999999</v>
      </c>
      <c r="AA5219">
        <v>0.97915799999999997</v>
      </c>
      <c r="AB5219">
        <v>24</v>
      </c>
      <c r="AC5219">
        <v>6.6300000000012405E-2</v>
      </c>
      <c r="AD5219">
        <v>-0.1450795</v>
      </c>
      <c r="AE5219">
        <v>-0.37402000000000102</v>
      </c>
      <c r="AF5219">
        <v>-4.1366552073030298E-2</v>
      </c>
      <c r="AG5219">
        <v>-0.1450795</v>
      </c>
      <c r="AH5219">
        <v>0.32890246839919701</v>
      </c>
      <c r="AI5219">
        <v>113.63678153354201</v>
      </c>
      <c r="AJ5219">
        <v>97.168535033891999</v>
      </c>
      <c r="AK5219">
        <v>0.36185091774064299</v>
      </c>
      <c r="AL5219">
        <v>88.137253007155905</v>
      </c>
      <c r="AM5219">
        <v>88.870729327384097</v>
      </c>
      <c r="AN5219">
        <v>0.99999996130205604</v>
      </c>
    </row>
    <row r="5220" spans="1:40" x14ac:dyDescent="0.25">
      <c r="A5220" t="str">
        <f>"20190312154707607"</f>
        <v>20190312154707607</v>
      </c>
      <c r="B5220" t="str">
        <f>"1552376827602911"</f>
        <v>1552376827602911</v>
      </c>
      <c r="C5220" t="s">
        <v>40</v>
      </c>
      <c r="D5220">
        <v>4.5201549999999999</v>
      </c>
      <c r="E5220">
        <v>0.4672444</v>
      </c>
      <c r="F5220" t="s">
        <v>41</v>
      </c>
      <c r="G5220">
        <v>-300.81400000000002</v>
      </c>
      <c r="H5220">
        <v>0.98632450000000005</v>
      </c>
      <c r="I5220">
        <v>-31.074909999999999</v>
      </c>
      <c r="J5220">
        <v>-300.89409999999998</v>
      </c>
      <c r="K5220">
        <v>1.1100179999999999</v>
      </c>
      <c r="L5220">
        <v>-30.620609999999999</v>
      </c>
      <c r="M5220">
        <v>4.9965969999999998E-2</v>
      </c>
      <c r="N5220">
        <v>0</v>
      </c>
      <c r="O5220">
        <v>-0.99864260000000005</v>
      </c>
      <c r="P5220">
        <v>3.253288E-2</v>
      </c>
      <c r="Q5220">
        <v>1.7975479999999999E-2</v>
      </c>
      <c r="R5220">
        <v>-0.99930920000000001</v>
      </c>
      <c r="S5220">
        <v>0.36300660000000001</v>
      </c>
      <c r="T5220">
        <v>-0.46041369999999998</v>
      </c>
      <c r="U5220">
        <v>-2.9989620000000001</v>
      </c>
      <c r="V5220">
        <v>1.7451330000000001E-2</v>
      </c>
      <c r="W5220">
        <v>3.267834E-2</v>
      </c>
      <c r="X5220">
        <v>0.99931349999999997</v>
      </c>
      <c r="Y5220">
        <v>-6.9033280000000002E-2</v>
      </c>
      <c r="Z5220">
        <v>0.15074749999999901</v>
      </c>
      <c r="AA5220">
        <v>0.98615900000000001</v>
      </c>
      <c r="AB5220">
        <v>24</v>
      </c>
      <c r="AC5220">
        <v>8.0099999999958899E-2</v>
      </c>
      <c r="AD5220">
        <v>-0.123693499999999</v>
      </c>
      <c r="AE5220">
        <v>-0.45429999999999898</v>
      </c>
      <c r="AF5220">
        <v>-5.3454680441902797E-2</v>
      </c>
      <c r="AG5220">
        <v>-0.123693499999999</v>
      </c>
      <c r="AH5220">
        <v>0.42703260999697501</v>
      </c>
      <c r="AI5220">
        <v>106.035453508868</v>
      </c>
      <c r="AJ5220">
        <v>97.135004028898905</v>
      </c>
      <c r="AK5220">
        <v>0.44778827006100203</v>
      </c>
      <c r="AL5220">
        <v>88.127335541520395</v>
      </c>
      <c r="AM5220">
        <v>88.999527245370203</v>
      </c>
      <c r="AN5220">
        <v>0.99999994705308504</v>
      </c>
    </row>
    <row r="5221" spans="1:40" x14ac:dyDescent="0.25">
      <c r="A5221" t="str">
        <f>"20190312154707640"</f>
        <v>20190312154707640</v>
      </c>
      <c r="B5221" t="str">
        <f>"1552376827633168"</f>
        <v>1552376827633168</v>
      </c>
      <c r="C5221" t="s">
        <v>40</v>
      </c>
      <c r="D5221">
        <v>4.5387709999999997</v>
      </c>
      <c r="E5221">
        <v>0.46780270000000002</v>
      </c>
      <c r="F5221" t="s">
        <v>41</v>
      </c>
      <c r="G5221">
        <v>-300.78800000000001</v>
      </c>
      <c r="H5221">
        <v>0.99996629999999997</v>
      </c>
      <c r="I5221">
        <v>-31.503299999999999</v>
      </c>
      <c r="J5221">
        <v>-300.87689999999998</v>
      </c>
      <c r="K5221">
        <v>1.110177</v>
      </c>
      <c r="L5221">
        <v>-30.967500000000001</v>
      </c>
      <c r="M5221">
        <v>4.9974490000000003E-2</v>
      </c>
      <c r="N5221">
        <v>0</v>
      </c>
      <c r="O5221">
        <v>-0.99864240000000004</v>
      </c>
      <c r="P5221">
        <v>3.546552E-2</v>
      </c>
      <c r="Q5221">
        <v>1.8574549999999999E-2</v>
      </c>
      <c r="R5221">
        <v>-0.9991987</v>
      </c>
      <c r="S5221">
        <v>0.3609619</v>
      </c>
      <c r="T5221">
        <v>-0.37365140000000002</v>
      </c>
      <c r="U5221">
        <v>-2.9970400000000001</v>
      </c>
      <c r="V5221">
        <v>1.451305E-2</v>
      </c>
      <c r="W5221">
        <v>3.3274539999999998E-2</v>
      </c>
      <c r="X5221">
        <v>0.99934089999999998</v>
      </c>
      <c r="Y5221">
        <v>-6.8897429999999996E-2</v>
      </c>
      <c r="Z5221">
        <v>0.1229017</v>
      </c>
      <c r="AA5221">
        <v>0.99002440000000003</v>
      </c>
      <c r="AB5221">
        <v>23</v>
      </c>
      <c r="AC5221">
        <v>8.8899999999966894E-2</v>
      </c>
      <c r="AD5221">
        <v>-0.110210699999999</v>
      </c>
      <c r="AE5221">
        <v>-0.53579999999999794</v>
      </c>
      <c r="AF5221">
        <v>-5.95573193317546E-2</v>
      </c>
      <c r="AG5221">
        <v>-0.110210699999999</v>
      </c>
      <c r="AH5221">
        <v>0.51823457570043796</v>
      </c>
      <c r="AI5221">
        <v>101.929730081982</v>
      </c>
      <c r="AJ5221">
        <v>96.555869144490302</v>
      </c>
      <c r="AK5221">
        <v>0.53316090266624805</v>
      </c>
      <c r="AL5221">
        <v>88.093157363222105</v>
      </c>
      <c r="AM5221">
        <v>89.167973549939106</v>
      </c>
      <c r="AN5221">
        <v>1.0000000290226601</v>
      </c>
    </row>
    <row r="5222" spans="1:40" x14ac:dyDescent="0.25">
      <c r="A5222" t="str">
        <f>"20190312154707674"</f>
        <v>20190312154707674</v>
      </c>
      <c r="B5222" t="str">
        <f>"1552376827663424"</f>
        <v>1552376827663424</v>
      </c>
      <c r="C5222" t="s">
        <v>40</v>
      </c>
      <c r="D5222">
        <v>4.6044839999999896</v>
      </c>
      <c r="E5222">
        <v>0.46811659999999999</v>
      </c>
      <c r="F5222" t="s">
        <v>71</v>
      </c>
      <c r="G5222">
        <v>-299.69009999999997</v>
      </c>
      <c r="H5222" s="1">
        <v>-2.8716879999999998E-7</v>
      </c>
      <c r="I5222">
        <v>-40.72587</v>
      </c>
      <c r="J5222">
        <v>-300.85930000000002</v>
      </c>
      <c r="K5222">
        <v>1.110306</v>
      </c>
      <c r="L5222">
        <v>-31.313659999999999</v>
      </c>
      <c r="M5222">
        <v>5.0319389999999999E-2</v>
      </c>
      <c r="N5222">
        <v>0</v>
      </c>
      <c r="O5222">
        <v>-0.99862530000000005</v>
      </c>
      <c r="P5222">
        <v>3.7828939999999998E-2</v>
      </c>
      <c r="Q5222">
        <v>1.9922869999999999E-2</v>
      </c>
      <c r="R5222">
        <v>-0.99908580000000002</v>
      </c>
      <c r="S5222">
        <v>0.36434939999999999</v>
      </c>
      <c r="T5222">
        <v>-0.34082440000000003</v>
      </c>
      <c r="U5222">
        <v>-2.995819</v>
      </c>
      <c r="V5222">
        <v>1.2480750000000001E-2</v>
      </c>
      <c r="W5222">
        <v>3.4617479999999999E-2</v>
      </c>
      <c r="X5222">
        <v>0.99932270000000001</v>
      </c>
      <c r="Y5222">
        <v>-6.9856050000000003E-2</v>
      </c>
      <c r="Z5222">
        <v>0.112278</v>
      </c>
      <c r="AA5222">
        <v>0.9912183</v>
      </c>
      <c r="AB5222">
        <v>23</v>
      </c>
      <c r="AC5222">
        <v>1.16920000000004</v>
      </c>
      <c r="AD5222">
        <v>-1.1103062871688001</v>
      </c>
      <c r="AE5222">
        <v>-9.41221</v>
      </c>
      <c r="AF5222">
        <v>-0.68466802217547296</v>
      </c>
      <c r="AG5222">
        <v>-1.1103062871688001</v>
      </c>
      <c r="AH5222">
        <v>9.3312468318657409</v>
      </c>
      <c r="AI5222">
        <v>96.767582250939796</v>
      </c>
      <c r="AJ5222">
        <v>94.196482739930602</v>
      </c>
      <c r="AK5222">
        <v>9.4219805661612703</v>
      </c>
      <c r="AL5222">
        <v>88.016168134392899</v>
      </c>
      <c r="AM5222">
        <v>89.284458240146193</v>
      </c>
      <c r="AN5222">
        <v>0.99999999888870095</v>
      </c>
    </row>
    <row r="5223" spans="1:40" x14ac:dyDescent="0.25">
      <c r="A5223" t="str">
        <f>"20190312154707711"</f>
        <v>20190312154707711</v>
      </c>
      <c r="B5223" t="str">
        <f>"1552376827703440"</f>
        <v>1552376827703440</v>
      </c>
      <c r="C5223" t="s">
        <v>40</v>
      </c>
      <c r="D5223">
        <v>4.6434480000000002</v>
      </c>
      <c r="E5223">
        <v>0.46843770000000001</v>
      </c>
      <c r="F5223" t="s">
        <v>71</v>
      </c>
      <c r="G5223">
        <v>-299.56360000000001</v>
      </c>
      <c r="H5223" s="1">
        <v>-1.036557E-6</v>
      </c>
      <c r="I5223">
        <v>-41.851900000000001</v>
      </c>
      <c r="J5223">
        <v>-300.83909999999997</v>
      </c>
      <c r="K5223">
        <v>1.1104780000000001</v>
      </c>
      <c r="L5223">
        <v>-31.697970000000002</v>
      </c>
      <c r="M5223">
        <v>5.1157800000000003E-2</v>
      </c>
      <c r="N5223">
        <v>0</v>
      </c>
      <c r="O5223">
        <v>-0.99858279999999999</v>
      </c>
      <c r="P5223">
        <v>3.9193949999999998E-2</v>
      </c>
      <c r="Q5223">
        <v>2.052066E-2</v>
      </c>
      <c r="R5223">
        <v>-0.9990211</v>
      </c>
      <c r="S5223">
        <v>0.36825560000000002</v>
      </c>
      <c r="T5223">
        <v>-0.3155618</v>
      </c>
      <c r="U5223">
        <v>-2.9950869999999998</v>
      </c>
      <c r="V5223">
        <v>1.193781E-2</v>
      </c>
      <c r="W5223">
        <v>3.5210789999999999E-2</v>
      </c>
      <c r="X5223">
        <v>0.99930859999999999</v>
      </c>
      <c r="Y5223">
        <v>-7.0430530000000005E-2</v>
      </c>
      <c r="Z5223">
        <v>0.10405789999999999</v>
      </c>
      <c r="AA5223">
        <v>0.99207429999999996</v>
      </c>
      <c r="AB5223">
        <v>23</v>
      </c>
      <c r="AC5223">
        <v>1.2754999999999601</v>
      </c>
      <c r="AD5223">
        <v>-1.1104790365570001</v>
      </c>
      <c r="AE5223">
        <v>-10.153930000000001</v>
      </c>
      <c r="AF5223">
        <v>-0.745542238197623</v>
      </c>
      <c r="AG5223">
        <v>-1.1104790365570001</v>
      </c>
      <c r="AH5223">
        <v>10.0871165765773</v>
      </c>
      <c r="AI5223">
        <v>96.265374873884397</v>
      </c>
      <c r="AJ5223">
        <v>94.227064735593004</v>
      </c>
      <c r="AK5223">
        <v>10.1754074979349</v>
      </c>
      <c r="AL5223">
        <v>87.982153227778298</v>
      </c>
      <c r="AM5223">
        <v>89.315573191785703</v>
      </c>
      <c r="AN5223">
        <v>0.99999999453698996</v>
      </c>
    </row>
    <row r="5224" spans="1:40" x14ac:dyDescent="0.25">
      <c r="A5224" t="str">
        <f>"20190312154707740"</f>
        <v>20190312154707740</v>
      </c>
      <c r="B5224" t="str">
        <f>"1552376827732719"</f>
        <v>1552376827732719</v>
      </c>
      <c r="C5224" t="s">
        <v>40</v>
      </c>
      <c r="D5224">
        <v>4.6723220000000003</v>
      </c>
      <c r="E5224">
        <v>0.46877229999999998</v>
      </c>
      <c r="F5224" t="s">
        <v>71</v>
      </c>
      <c r="G5224">
        <v>-299.44850000000002</v>
      </c>
      <c r="H5224" s="1">
        <v>-1.7690759999999999E-6</v>
      </c>
      <c r="I5224">
        <v>-42.956150000000001</v>
      </c>
      <c r="J5224">
        <v>-300.82209999999998</v>
      </c>
      <c r="K5224">
        <v>1.110636</v>
      </c>
      <c r="L5224">
        <v>-32.006770000000003</v>
      </c>
      <c r="M5224">
        <v>5.2155699999999999E-2</v>
      </c>
      <c r="N5224">
        <v>0</v>
      </c>
      <c r="O5224">
        <v>-0.99853099999999995</v>
      </c>
      <c r="P5224">
        <v>4.0556050000000003E-2</v>
      </c>
      <c r="Q5224">
        <v>1.9696499999999999E-2</v>
      </c>
      <c r="R5224">
        <v>-0.99898339999999997</v>
      </c>
      <c r="S5224">
        <v>0.36987300000000001</v>
      </c>
      <c r="T5224">
        <v>-0.29537069999999999</v>
      </c>
      <c r="U5224">
        <v>-2.994507</v>
      </c>
      <c r="V5224">
        <v>1.156194E-2</v>
      </c>
      <c r="W5224">
        <v>3.4385400000000003E-2</v>
      </c>
      <c r="X5224">
        <v>0.99934179999999995</v>
      </c>
      <c r="Y5224">
        <v>-7.0066589999999998E-2</v>
      </c>
      <c r="Z5224">
        <v>9.7474560000000002E-2</v>
      </c>
      <c r="AA5224">
        <v>0.99276850000000005</v>
      </c>
      <c r="AB5224">
        <v>23</v>
      </c>
      <c r="AC5224">
        <v>1.37359999999995</v>
      </c>
      <c r="AD5224">
        <v>-1.1106377690760001</v>
      </c>
      <c r="AE5224">
        <v>-10.9493799999999</v>
      </c>
      <c r="AF5224">
        <v>-0.79256767733692102</v>
      </c>
      <c r="AG5224">
        <v>-1.1106377690760001</v>
      </c>
      <c r="AH5224">
        <v>10.895755493321399</v>
      </c>
      <c r="AI5224">
        <v>95.804999547459303</v>
      </c>
      <c r="AJ5224">
        <v>94.160422195323903</v>
      </c>
      <c r="AK5224">
        <v>10.980854590946</v>
      </c>
      <c r="AL5224">
        <v>88.029473328819407</v>
      </c>
      <c r="AM5224">
        <v>89.337142897441893</v>
      </c>
      <c r="AN5224">
        <v>1.00000003370848</v>
      </c>
    </row>
    <row r="5225" spans="1:40" x14ac:dyDescent="0.25">
      <c r="A5225" t="str">
        <f>"20190312154707774"</f>
        <v>20190312154707774</v>
      </c>
      <c r="B5225" t="str">
        <f>"1552376827762976"</f>
        <v>1552376827762976</v>
      </c>
      <c r="C5225" t="s">
        <v>40</v>
      </c>
      <c r="D5225">
        <v>4.6984599999999999</v>
      </c>
      <c r="E5225">
        <v>0.46918789999999999</v>
      </c>
      <c r="F5225" t="s">
        <v>71</v>
      </c>
      <c r="G5225">
        <v>-299.41109999999998</v>
      </c>
      <c r="H5225" s="1">
        <v>-2.0675000000000001E-6</v>
      </c>
      <c r="I5225">
        <v>-43.41</v>
      </c>
      <c r="J5225">
        <v>-300.80250000000001</v>
      </c>
      <c r="K5225">
        <v>1.11083</v>
      </c>
      <c r="L5225">
        <v>-32.349209999999999</v>
      </c>
      <c r="M5225">
        <v>5.3673720000000001E-2</v>
      </c>
      <c r="N5225">
        <v>0</v>
      </c>
      <c r="O5225">
        <v>-0.99845090000000003</v>
      </c>
      <c r="P5225">
        <v>4.2898289999999999E-2</v>
      </c>
      <c r="Q5225">
        <v>1.7651159999999999E-2</v>
      </c>
      <c r="R5225">
        <v>-0.99892380000000003</v>
      </c>
      <c r="S5225">
        <v>0.37045289999999997</v>
      </c>
      <c r="T5225">
        <v>-0.29158430000000002</v>
      </c>
      <c r="U5225">
        <v>-2.9937740000000002</v>
      </c>
      <c r="V5225">
        <v>1.0727759999999999E-2</v>
      </c>
      <c r="W5225">
        <v>3.2339010000000001E-2</v>
      </c>
      <c r="X5225">
        <v>0.99941939999999996</v>
      </c>
      <c r="Y5225">
        <v>-6.8783529999999996E-2</v>
      </c>
      <c r="Z5225">
        <v>9.6251420000000004E-2</v>
      </c>
      <c r="AA5225">
        <v>0.99297760000000002</v>
      </c>
      <c r="AB5225">
        <v>23</v>
      </c>
      <c r="AC5225">
        <v>1.3914000000000299</v>
      </c>
      <c r="AD5225">
        <v>-1.1108320675000001</v>
      </c>
      <c r="AE5225">
        <v>-11.0607899999999</v>
      </c>
      <c r="AF5225">
        <v>-0.78783393881726005</v>
      </c>
      <c r="AG5225">
        <v>-1.1108320675000001</v>
      </c>
      <c r="AH5225">
        <v>11.0102119102228</v>
      </c>
      <c r="AI5225">
        <v>95.746543826693198</v>
      </c>
      <c r="AJ5225">
        <v>94.092814581240603</v>
      </c>
      <c r="AK5225">
        <v>11.0941153998573</v>
      </c>
      <c r="AL5225">
        <v>88.146788130246193</v>
      </c>
      <c r="AM5225">
        <v>89.385011170799203</v>
      </c>
      <c r="AN5225">
        <v>1.0000000167493699</v>
      </c>
    </row>
    <row r="5226" spans="1:40" x14ac:dyDescent="0.25">
      <c r="A5226" t="str">
        <f>"20190312154707807"</f>
        <v>20190312154707807</v>
      </c>
      <c r="B5226" t="str">
        <f>"1552376827802994"</f>
        <v>1552376827802994</v>
      </c>
      <c r="C5226" t="s">
        <v>40</v>
      </c>
      <c r="D5226">
        <v>4.7291160000000003</v>
      </c>
      <c r="E5226">
        <v>0.4697344</v>
      </c>
      <c r="F5226" t="s">
        <v>71</v>
      </c>
      <c r="G5226">
        <v>-299.38069999999999</v>
      </c>
      <c r="H5226" s="1">
        <v>-2.2954500000000002E-6</v>
      </c>
      <c r="I5226">
        <v>-43.75591</v>
      </c>
      <c r="J5226">
        <v>-300.78179999999998</v>
      </c>
      <c r="K5226">
        <v>1.1110260000000001</v>
      </c>
      <c r="L5226">
        <v>-32.691499999999998</v>
      </c>
      <c r="M5226">
        <v>5.5647469999999997E-2</v>
      </c>
      <c r="N5226">
        <v>0</v>
      </c>
      <c r="O5226">
        <v>-0.99834290000000003</v>
      </c>
      <c r="P5226">
        <v>4.6679520000000002E-2</v>
      </c>
      <c r="Q5226">
        <v>1.9172620000000001E-2</v>
      </c>
      <c r="R5226">
        <v>-0.99872609999999995</v>
      </c>
      <c r="S5226">
        <v>0.37298579999999998</v>
      </c>
      <c r="T5226">
        <v>-0.29140969999999999</v>
      </c>
      <c r="U5226">
        <v>-2.9923709999999999</v>
      </c>
      <c r="V5226">
        <v>8.8991880000000006E-3</v>
      </c>
      <c r="W5226">
        <v>3.3857379999999999E-2</v>
      </c>
      <c r="X5226">
        <v>0.99938700000000003</v>
      </c>
      <c r="Y5226">
        <v>-6.7696160000000005E-2</v>
      </c>
      <c r="Z5226">
        <v>9.6221780000000007E-2</v>
      </c>
      <c r="AA5226">
        <v>0.99305520000000003</v>
      </c>
      <c r="AB5226">
        <v>23</v>
      </c>
      <c r="AC5226">
        <v>1.40109999999998</v>
      </c>
      <c r="AD5226">
        <v>-1.1110282954499999</v>
      </c>
      <c r="AE5226">
        <v>-11.064410000000001</v>
      </c>
      <c r="AF5226">
        <v>-0.77546030003020305</v>
      </c>
      <c r="AG5226">
        <v>-1.1110282954499999</v>
      </c>
      <c r="AH5226">
        <v>11.0159163503664</v>
      </c>
      <c r="AI5226">
        <v>95.745063355487702</v>
      </c>
      <c r="AJ5226">
        <v>94.026667239535101</v>
      </c>
      <c r="AK5226">
        <v>11.0989249744506</v>
      </c>
      <c r="AL5226">
        <v>88.059744103757097</v>
      </c>
      <c r="AM5226">
        <v>89.4898148190982</v>
      </c>
      <c r="AN5226">
        <v>0.99999994674825998</v>
      </c>
    </row>
    <row r="5227" spans="1:40" x14ac:dyDescent="0.25">
      <c r="A5227" t="str">
        <f>"20190312154707841"</f>
        <v>20190312154707841</v>
      </c>
      <c r="B5227" t="str">
        <f>"1552376827833248"</f>
        <v>1552376827833248</v>
      </c>
      <c r="C5227" t="s">
        <v>40</v>
      </c>
      <c r="D5227">
        <v>4.7365259999999996</v>
      </c>
      <c r="E5227">
        <v>0.47003729999999999</v>
      </c>
      <c r="F5227" t="s">
        <v>71</v>
      </c>
      <c r="G5227">
        <v>-299.27730000000003</v>
      </c>
      <c r="H5227" s="1">
        <v>-2.828986E-6</v>
      </c>
      <c r="I5227">
        <v>-44.552019999999999</v>
      </c>
      <c r="J5227">
        <v>-300.76</v>
      </c>
      <c r="K5227">
        <v>1.111221</v>
      </c>
      <c r="L5227">
        <v>-33.031399999999998</v>
      </c>
      <c r="M5227">
        <v>5.80385E-2</v>
      </c>
      <c r="N5227">
        <v>0</v>
      </c>
      <c r="O5227">
        <v>-0.9982067</v>
      </c>
      <c r="P5227">
        <v>5.1551699999999902E-2</v>
      </c>
      <c r="Q5227">
        <v>2.096282E-2</v>
      </c>
      <c r="R5227">
        <v>-0.99845030000000001</v>
      </c>
      <c r="S5227">
        <v>0.3794556</v>
      </c>
      <c r="T5227">
        <v>-0.28022599999999998</v>
      </c>
      <c r="U5227">
        <v>-2.9914860000000001</v>
      </c>
      <c r="V5227">
        <v>6.3943899999999998E-3</v>
      </c>
      <c r="W5227">
        <v>3.564109E-2</v>
      </c>
      <c r="X5227">
        <v>0.99934420000000002</v>
      </c>
      <c r="Y5227">
        <v>-6.7500580000000004E-2</v>
      </c>
      <c r="Z5227">
        <v>9.2557739999999999E-2</v>
      </c>
      <c r="AA5227">
        <v>0.99341670000000004</v>
      </c>
      <c r="AB5227">
        <v>23</v>
      </c>
      <c r="AC5227">
        <v>1.4826999999999599</v>
      </c>
      <c r="AD5227">
        <v>-1.1112238289859999</v>
      </c>
      <c r="AE5227">
        <v>-11.520619999999999</v>
      </c>
      <c r="AF5227">
        <v>-0.80412937023021203</v>
      </c>
      <c r="AG5227">
        <v>-1.1112238289859999</v>
      </c>
      <c r="AH5227">
        <v>11.482173916238199</v>
      </c>
      <c r="AI5227">
        <v>95.514343386714998</v>
      </c>
      <c r="AJ5227">
        <v>94.006045958307297</v>
      </c>
      <c r="AK5227">
        <v>11.5638125324183</v>
      </c>
      <c r="AL5227">
        <v>87.957483385243094</v>
      </c>
      <c r="AM5227">
        <v>89.633393019441797</v>
      </c>
      <c r="AN5227">
        <v>1.0000000027967499</v>
      </c>
    </row>
    <row r="5228" spans="1:40" x14ac:dyDescent="0.25">
      <c r="A5228" t="str">
        <f>"20190312154707876"</f>
        <v>20190312154707876</v>
      </c>
      <c r="B5228" t="str">
        <f>"1552376827863504"</f>
        <v>1552376827863504</v>
      </c>
      <c r="C5228" t="s">
        <v>40</v>
      </c>
      <c r="D5228">
        <v>4.7408460000000003</v>
      </c>
      <c r="E5228">
        <v>0.47013199999999999</v>
      </c>
      <c r="F5228" t="s">
        <v>71</v>
      </c>
      <c r="G5228">
        <v>-299.15170000000001</v>
      </c>
      <c r="H5228" s="1">
        <v>-3.315191E-6</v>
      </c>
      <c r="I5228">
        <v>-45.310339999999997</v>
      </c>
      <c r="J5228">
        <v>-300.7364</v>
      </c>
      <c r="K5228">
        <v>1.111389</v>
      </c>
      <c r="L5228">
        <v>-33.379640000000002</v>
      </c>
      <c r="M5228">
        <v>6.091568E-2</v>
      </c>
      <c r="N5228">
        <v>0</v>
      </c>
      <c r="O5228">
        <v>-0.99803529999999996</v>
      </c>
      <c r="P5228">
        <v>5.8318259999999997E-2</v>
      </c>
      <c r="Q5228">
        <v>2.1677080000000001E-2</v>
      </c>
      <c r="R5228">
        <v>-0.99806280000000003</v>
      </c>
      <c r="S5228">
        <v>0.39166260000000003</v>
      </c>
      <c r="T5228">
        <v>-0.27060060000000002</v>
      </c>
      <c r="U5228">
        <v>-2.9901119999999999</v>
      </c>
      <c r="V5228">
        <v>2.4827120000000002E-3</v>
      </c>
      <c r="W5228">
        <v>3.6343019999999997E-2</v>
      </c>
      <c r="X5228">
        <v>0.99933629999999996</v>
      </c>
      <c r="Y5228">
        <v>-6.8708329999999998E-2</v>
      </c>
      <c r="Z5228">
        <v>8.9395169999999996E-2</v>
      </c>
      <c r="AA5228">
        <v>0.99362349999999999</v>
      </c>
      <c r="AB5228">
        <v>23</v>
      </c>
      <c r="AC5228">
        <v>1.58469999999999</v>
      </c>
      <c r="AD5228">
        <v>-1.1113923151909999</v>
      </c>
      <c r="AE5228">
        <v>-11.9307</v>
      </c>
      <c r="AF5228">
        <v>-0.84768328252478398</v>
      </c>
      <c r="AG5228">
        <v>-1.1113923151909999</v>
      </c>
      <c r="AH5228">
        <v>11.9035778950458</v>
      </c>
      <c r="AI5228">
        <v>95.320631670384401</v>
      </c>
      <c r="AJ5228">
        <v>94.073298215506398</v>
      </c>
      <c r="AK5228">
        <v>11.9853630119893</v>
      </c>
      <c r="AL5228">
        <v>87.917239697601104</v>
      </c>
      <c r="AM5228">
        <v>89.857656900192794</v>
      </c>
      <c r="AN5228">
        <v>1.00000000972964</v>
      </c>
    </row>
    <row r="5229" spans="1:40" x14ac:dyDescent="0.25">
      <c r="A5229" t="str">
        <f>"20190312154707912"</f>
        <v>20190312154707912</v>
      </c>
      <c r="B5229" t="str">
        <f>"1552376827903522"</f>
        <v>1552376827903522</v>
      </c>
      <c r="C5229" t="s">
        <v>40</v>
      </c>
      <c r="D5229">
        <v>4.7781690000000001</v>
      </c>
      <c r="E5229">
        <v>0.4220989</v>
      </c>
      <c r="F5229" t="s">
        <v>71</v>
      </c>
      <c r="G5229">
        <v>-299.01499999999999</v>
      </c>
      <c r="H5229" s="1">
        <v>-3.6427049999999998E-6</v>
      </c>
      <c r="I5229">
        <v>-45.888249999999999</v>
      </c>
      <c r="J5229">
        <v>-300.70979999999997</v>
      </c>
      <c r="K5229">
        <v>1.1115349999999999</v>
      </c>
      <c r="L5229">
        <v>-33.747219999999999</v>
      </c>
      <c r="M5229">
        <v>6.4410919999999997E-2</v>
      </c>
      <c r="N5229">
        <v>0</v>
      </c>
      <c r="O5229">
        <v>-0.99781589999999998</v>
      </c>
      <c r="P5229">
        <v>6.58358E-2</v>
      </c>
      <c r="Q5229">
        <v>1.8854059999999999E-2</v>
      </c>
      <c r="R5229">
        <v>-0.9976526</v>
      </c>
      <c r="S5229">
        <v>0.41113280000000002</v>
      </c>
      <c r="T5229">
        <v>-0.26544420000000002</v>
      </c>
      <c r="U5229">
        <v>-2.987549</v>
      </c>
      <c r="V5229">
        <v>-1.548675E-3</v>
      </c>
      <c r="W5229">
        <v>3.3507099999999998E-2</v>
      </c>
      <c r="X5229">
        <v>0.99943729999999997</v>
      </c>
      <c r="Y5229">
        <v>-7.1704939999999995E-2</v>
      </c>
      <c r="Z5229">
        <v>8.7703349999999999E-2</v>
      </c>
      <c r="AA5229">
        <v>0.99356250000000002</v>
      </c>
      <c r="AB5229">
        <v>23</v>
      </c>
      <c r="AC5229">
        <v>1.6947999999999801</v>
      </c>
      <c r="AD5229">
        <v>-1.111538642705</v>
      </c>
      <c r="AE5229">
        <v>-12.141030000000001</v>
      </c>
      <c r="AF5229">
        <v>-0.90176708924537696</v>
      </c>
      <c r="AG5229">
        <v>-1.111538642705</v>
      </c>
      <c r="AH5229">
        <v>12.1252991503807</v>
      </c>
      <c r="AI5229">
        <v>95.223378675035505</v>
      </c>
      <c r="AJ5229">
        <v>94.253297585873</v>
      </c>
      <c r="AK5229">
        <v>12.209487357120899</v>
      </c>
      <c r="AL5229">
        <v>88.079825206122294</v>
      </c>
      <c r="AM5229">
        <v>90.088782428191394</v>
      </c>
      <c r="AN5229">
        <v>1.00000002038797</v>
      </c>
    </row>
    <row r="5230" spans="1:40" x14ac:dyDescent="0.25">
      <c r="A5230" t="str">
        <f>"20190312154707941"</f>
        <v>20190312154707941</v>
      </c>
      <c r="B5230" t="str">
        <f>"1552376827932800"</f>
        <v>1552376827932800</v>
      </c>
      <c r="C5230" t="s">
        <v>40</v>
      </c>
      <c r="D5230">
        <v>4.7712529999999997</v>
      </c>
      <c r="E5230">
        <v>0.41494160000000002</v>
      </c>
      <c r="F5230" t="s">
        <v>71</v>
      </c>
      <c r="G5230">
        <v>-295.20170000000002</v>
      </c>
      <c r="H5230" s="1">
        <v>-8.5840809999999994E-6</v>
      </c>
      <c r="I5230">
        <v>-53.693269999999998</v>
      </c>
      <c r="J5230">
        <v>-300.6866</v>
      </c>
      <c r="K5230">
        <v>1.1116440000000001</v>
      </c>
      <c r="L5230">
        <v>-34.049959999999999</v>
      </c>
      <c r="M5230">
        <v>6.7594130000000002E-2</v>
      </c>
      <c r="N5230">
        <v>0</v>
      </c>
      <c r="O5230">
        <v>-0.99760519999999997</v>
      </c>
      <c r="P5230">
        <v>7.1656819999999996E-2</v>
      </c>
      <c r="Q5230">
        <v>1.516907E-2</v>
      </c>
      <c r="R5230">
        <v>-0.99731389999999998</v>
      </c>
      <c r="S5230">
        <v>0.81637569999999904</v>
      </c>
      <c r="T5230">
        <v>-0.16474720000000001</v>
      </c>
      <c r="U5230">
        <v>-2.956299</v>
      </c>
      <c r="V5230">
        <v>-4.1855360000000001E-3</v>
      </c>
      <c r="W5230">
        <v>2.981251E-2</v>
      </c>
      <c r="X5230">
        <v>0.99954679999999996</v>
      </c>
      <c r="Y5230">
        <v>-0.20002710000000001</v>
      </c>
      <c r="Z5230">
        <v>5.3883779999999999E-2</v>
      </c>
      <c r="AA5230">
        <v>0.9783075</v>
      </c>
      <c r="AB5230">
        <v>23</v>
      </c>
      <c r="AC5230">
        <v>5.4848999999999801</v>
      </c>
      <c r="AD5230">
        <v>-1.1116525840809901</v>
      </c>
      <c r="AE5230">
        <v>-19.64331</v>
      </c>
      <c r="AF5230">
        <v>-4.1321609766146201</v>
      </c>
      <c r="AG5230">
        <v>-1.1116525840809901</v>
      </c>
      <c r="AH5230">
        <v>19.9100082741694</v>
      </c>
      <c r="AI5230">
        <v>93.129181046857298</v>
      </c>
      <c r="AJ5230">
        <v>101.724822629833</v>
      </c>
      <c r="AK5230">
        <v>20.3646496479032</v>
      </c>
      <c r="AL5230">
        <v>88.291615965837593</v>
      </c>
      <c r="AM5230">
        <v>90.239920878278497</v>
      </c>
      <c r="AN5230">
        <v>1.0000000549271699</v>
      </c>
    </row>
    <row r="5231" spans="1:40" x14ac:dyDescent="0.25">
      <c r="A5231" t="str">
        <f>"20190312154707974"</f>
        <v>20190312154707974</v>
      </c>
      <c r="B5231" t="str">
        <f>"1552376827963056"</f>
        <v>1552376827963056</v>
      </c>
      <c r="C5231" t="s">
        <v>40</v>
      </c>
      <c r="D5231">
        <v>4.8557959999999998</v>
      </c>
      <c r="E5231">
        <v>0.41312349999999998</v>
      </c>
      <c r="F5231" t="s">
        <v>71</v>
      </c>
      <c r="G5231">
        <v>-295.5958</v>
      </c>
      <c r="H5231" s="1">
        <v>-8.76103E-6</v>
      </c>
      <c r="I5231">
        <v>-50.890349999999998</v>
      </c>
      <c r="J5231">
        <v>-300.65910000000002</v>
      </c>
      <c r="K5231">
        <v>1.111761</v>
      </c>
      <c r="L5231">
        <v>-34.385959999999997</v>
      </c>
      <c r="M5231">
        <v>7.1473670000000003E-2</v>
      </c>
      <c r="N5231">
        <v>0</v>
      </c>
      <c r="O5231">
        <v>-0.99733479999999997</v>
      </c>
      <c r="P5231">
        <v>7.8262120000000004E-2</v>
      </c>
      <c r="Q5231">
        <v>1.0838749999999999E-2</v>
      </c>
      <c r="R5231">
        <v>-0.99687400000000004</v>
      </c>
      <c r="S5231">
        <v>0.89086909999999897</v>
      </c>
      <c r="T5231">
        <v>-0.19453609999999999</v>
      </c>
      <c r="U5231">
        <v>-2.9470209999999999</v>
      </c>
      <c r="V5231">
        <v>-6.908806E-3</v>
      </c>
      <c r="W5231">
        <v>2.5470659999999999E-2</v>
      </c>
      <c r="X5231">
        <v>0.99965170000000003</v>
      </c>
      <c r="Y5231">
        <v>-0.21961700000000001</v>
      </c>
      <c r="Z5231">
        <v>6.3401979999999997E-2</v>
      </c>
      <c r="AA5231">
        <v>0.97352380000000005</v>
      </c>
      <c r="AB5231">
        <v>23</v>
      </c>
      <c r="AC5231">
        <v>5.0633000000000203</v>
      </c>
      <c r="AD5231">
        <v>-1.1117697610299999</v>
      </c>
      <c r="AE5231">
        <v>-16.504390000000001</v>
      </c>
      <c r="AF5231">
        <v>-3.8546054529434399</v>
      </c>
      <c r="AG5231">
        <v>-1.1117697610299999</v>
      </c>
      <c r="AH5231">
        <v>16.754615573030801</v>
      </c>
      <c r="AI5231">
        <v>93.699979064476906</v>
      </c>
      <c r="AJ5231">
        <v>102.956154843756</v>
      </c>
      <c r="AK5231">
        <v>17.2282082120994</v>
      </c>
      <c r="AL5231">
        <v>88.540480845386995</v>
      </c>
      <c r="AM5231">
        <v>90.395977041757405</v>
      </c>
      <c r="AN5231">
        <v>1.00000000371703</v>
      </c>
    </row>
    <row r="5232" spans="1:40" x14ac:dyDescent="0.25">
      <c r="A5232" t="str">
        <f>"20190312154708009"</f>
        <v>20190312154708009</v>
      </c>
      <c r="B5232" t="str">
        <f>"1552376828003072"</f>
        <v>1552376828003072</v>
      </c>
      <c r="C5232" t="s">
        <v>40</v>
      </c>
      <c r="D5232">
        <v>4.7604930000000003</v>
      </c>
      <c r="E5232">
        <v>0.4125607</v>
      </c>
      <c r="F5232" t="s">
        <v>71</v>
      </c>
      <c r="G5232">
        <v>-296.06400000000002</v>
      </c>
      <c r="H5232" s="1">
        <v>-5.8103559999999999E-6</v>
      </c>
      <c r="I5232">
        <v>-49.004240000000003</v>
      </c>
      <c r="J5232">
        <v>-300.62920000000003</v>
      </c>
      <c r="K5232">
        <v>1.1118760000000001</v>
      </c>
      <c r="L5232">
        <v>-34.730440000000002</v>
      </c>
      <c r="M5232">
        <v>7.5820390000000001E-2</v>
      </c>
      <c r="N5232">
        <v>0</v>
      </c>
      <c r="O5232">
        <v>-0.99701379999999995</v>
      </c>
      <c r="P5232">
        <v>8.5997539999999997E-2</v>
      </c>
      <c r="Q5232">
        <v>2.7320740000000001E-3</v>
      </c>
      <c r="R5232">
        <v>-0.99629210000000001</v>
      </c>
      <c r="S5232">
        <v>0.92395020000000005</v>
      </c>
      <c r="T5232">
        <v>-0.2235432</v>
      </c>
      <c r="U5232">
        <v>-2.9393009999999999</v>
      </c>
      <c r="V5232">
        <v>-1.0279659999999999E-2</v>
      </c>
      <c r="W5232">
        <v>1.7348200000000001E-2</v>
      </c>
      <c r="X5232">
        <v>0.99979669999999998</v>
      </c>
      <c r="Y5232">
        <v>-0.22587960000000001</v>
      </c>
      <c r="Z5232">
        <v>7.2783780000000006E-2</v>
      </c>
      <c r="AA5232">
        <v>0.97143239999999997</v>
      </c>
      <c r="AB5232">
        <v>23</v>
      </c>
      <c r="AC5232">
        <v>4.5651999999999999</v>
      </c>
      <c r="AD5232">
        <v>-1.111881810356</v>
      </c>
      <c r="AE5232">
        <v>-14.2738</v>
      </c>
      <c r="AF5232">
        <v>-3.45069948880283</v>
      </c>
      <c r="AG5232">
        <v>-1.111881810356</v>
      </c>
      <c r="AH5232">
        <v>14.4990618941415</v>
      </c>
      <c r="AI5232">
        <v>94.266519816304694</v>
      </c>
      <c r="AJ5232">
        <v>103.387044771898</v>
      </c>
      <c r="AK5232">
        <v>14.945447598930301</v>
      </c>
      <c r="AL5232">
        <v>89.005971529299899</v>
      </c>
      <c r="AM5232">
        <v>90.589080139544606</v>
      </c>
      <c r="AN5232">
        <v>1.0000000363919199</v>
      </c>
    </row>
    <row r="5233" spans="1:40" x14ac:dyDescent="0.25">
      <c r="A5233" t="str">
        <f>"20190312154708042"</f>
        <v>20190312154708042</v>
      </c>
      <c r="B5233" t="str">
        <f>"1552376828033329"</f>
        <v>1552376828033329</v>
      </c>
      <c r="C5233" t="s">
        <v>40</v>
      </c>
      <c r="D5233">
        <v>4.8193900000000003</v>
      </c>
      <c r="E5233">
        <v>0.41257319999999997</v>
      </c>
      <c r="F5233" t="s">
        <v>71</v>
      </c>
      <c r="G5233">
        <v>-296.4948</v>
      </c>
      <c r="H5233" s="1">
        <v>-5.0124919999999996E-6</v>
      </c>
      <c r="I5233">
        <v>-47.479869999999998</v>
      </c>
      <c r="J5233">
        <v>-300.59879999999998</v>
      </c>
      <c r="K5233">
        <v>1.1119509999999999</v>
      </c>
      <c r="L5233">
        <v>-35.059139999999999</v>
      </c>
      <c r="M5233">
        <v>8.0294820000000003E-2</v>
      </c>
      <c r="N5233">
        <v>0</v>
      </c>
      <c r="O5233">
        <v>-0.99666359999999998</v>
      </c>
      <c r="P5233">
        <v>9.7304199999999993E-2</v>
      </c>
      <c r="Q5233">
        <v>-1.4334799999999899E-2</v>
      </c>
      <c r="R5233">
        <v>-0.99515169999999997</v>
      </c>
      <c r="S5233">
        <v>0.95010380000000005</v>
      </c>
      <c r="T5233">
        <v>-0.25551449999999998</v>
      </c>
      <c r="U5233">
        <v>-2.9298709999999999</v>
      </c>
      <c r="V5233">
        <v>-1.7076919999999999E-2</v>
      </c>
      <c r="W5233">
        <v>2.4682680000000001E-4</v>
      </c>
      <c r="X5233">
        <v>0.99985409999999997</v>
      </c>
      <c r="Y5233">
        <v>-0.23001559999999999</v>
      </c>
      <c r="Z5233">
        <v>8.3182599999999995E-2</v>
      </c>
      <c r="AA5233">
        <v>0.96962539999999997</v>
      </c>
      <c r="AB5233">
        <v>23</v>
      </c>
      <c r="AC5233">
        <v>4.1039999999999797</v>
      </c>
      <c r="AD5233">
        <v>-1.1119560124919901</v>
      </c>
      <c r="AE5233">
        <v>-12.420730000000001</v>
      </c>
      <c r="AF5233">
        <v>-3.07112766161281</v>
      </c>
      <c r="AG5233">
        <v>-1.1119560124919901</v>
      </c>
      <c r="AH5233">
        <v>12.619000713342301</v>
      </c>
      <c r="AI5233">
        <v>94.893641822842298</v>
      </c>
      <c r="AJ5233">
        <v>103.678341566022</v>
      </c>
      <c r="AK5233">
        <v>13.034855207902201</v>
      </c>
      <c r="AL5233">
        <v>89.985857865262602</v>
      </c>
      <c r="AM5233">
        <v>90.978483081814502</v>
      </c>
      <c r="AN5233">
        <v>0.99999995170348099</v>
      </c>
    </row>
    <row r="5234" spans="1:40" x14ac:dyDescent="0.25">
      <c r="A5234" t="str">
        <f>"20190312154708076"</f>
        <v>20190312154708076</v>
      </c>
      <c r="B5234" t="str">
        <f>"1552376828073344"</f>
        <v>1552376828073344</v>
      </c>
      <c r="C5234" t="s">
        <v>40</v>
      </c>
      <c r="D5234">
        <v>4.8329209999999998</v>
      </c>
      <c r="E5234">
        <v>0.4128636</v>
      </c>
      <c r="F5234" t="s">
        <v>71</v>
      </c>
      <c r="G5234">
        <v>-297.17329999999998</v>
      </c>
      <c r="H5234" s="1">
        <v>-3.72583E-6</v>
      </c>
      <c r="I5234">
        <v>-45.259120000000003</v>
      </c>
      <c r="J5234">
        <v>-300.56599999999997</v>
      </c>
      <c r="K5234">
        <v>1.112026</v>
      </c>
      <c r="L5234">
        <v>-35.391689999999997</v>
      </c>
      <c r="M5234">
        <v>8.5179779999999997E-2</v>
      </c>
      <c r="N5234">
        <v>0</v>
      </c>
      <c r="O5234">
        <v>-0.99625770000000002</v>
      </c>
      <c r="P5234">
        <v>0.1100338</v>
      </c>
      <c r="Q5234">
        <v>-2.591657E-2</v>
      </c>
      <c r="R5234">
        <v>-0.99358990000000003</v>
      </c>
      <c r="S5234">
        <v>0.97872919999999997</v>
      </c>
      <c r="T5234">
        <v>-0.31770789999999999</v>
      </c>
      <c r="U5234">
        <v>-2.9143370000000002</v>
      </c>
      <c r="V5234">
        <v>-2.4933730000000001E-2</v>
      </c>
      <c r="W5234">
        <v>-1.138286E-2</v>
      </c>
      <c r="X5234">
        <v>0.99962430000000002</v>
      </c>
      <c r="Y5234">
        <v>-0.23473669999999999</v>
      </c>
      <c r="Z5234">
        <v>0.10346959999999999</v>
      </c>
      <c r="AA5234">
        <v>0.96653650000000002</v>
      </c>
      <c r="AB5234">
        <v>23</v>
      </c>
      <c r="AC5234">
        <v>3.3926999999999898</v>
      </c>
      <c r="AD5234">
        <v>-1.11202972582999</v>
      </c>
      <c r="AE5234">
        <v>-9.8674300000000006</v>
      </c>
      <c r="AF5234">
        <v>-2.5112484969217101</v>
      </c>
      <c r="AG5234">
        <v>-1.11202972582999</v>
      </c>
      <c r="AH5234">
        <v>10.006922883789899</v>
      </c>
      <c r="AI5234">
        <v>96.151815059189303</v>
      </c>
      <c r="AJ5234">
        <v>104.087521496731</v>
      </c>
      <c r="AK5234">
        <v>10.3769689566144</v>
      </c>
      <c r="AL5234">
        <v>90.652203921091399</v>
      </c>
      <c r="AM5234">
        <v>91.428838150299001</v>
      </c>
      <c r="AN5234">
        <v>1.00000000077199</v>
      </c>
    </row>
    <row r="5235" spans="1:40" x14ac:dyDescent="0.25">
      <c r="A5235" t="str">
        <f>"20190312154708110"</f>
        <v>20190312154708110</v>
      </c>
      <c r="B5235" t="str">
        <f>"1552376828103602"</f>
        <v>1552376828103602</v>
      </c>
      <c r="C5235" t="s">
        <v>40</v>
      </c>
      <c r="D5235">
        <v>4.8282379999999998</v>
      </c>
      <c r="E5235">
        <v>0.41329179999999999</v>
      </c>
      <c r="F5235" t="s">
        <v>71</v>
      </c>
      <c r="G5235">
        <v>-297.37119999999999</v>
      </c>
      <c r="H5235" s="1">
        <v>-3.2898689999999998E-6</v>
      </c>
      <c r="I5235">
        <v>-44.54224</v>
      </c>
      <c r="J5235">
        <v>-300.53050000000002</v>
      </c>
      <c r="K5235">
        <v>1.1121669999999999</v>
      </c>
      <c r="L5235">
        <v>-35.731110000000001</v>
      </c>
      <c r="M5235">
        <v>9.051824E-2</v>
      </c>
      <c r="N5235">
        <v>0</v>
      </c>
      <c r="O5235">
        <v>-0.99578679999999997</v>
      </c>
      <c r="P5235">
        <v>0.1233344</v>
      </c>
      <c r="Q5235">
        <v>-1.7344140000000001E-2</v>
      </c>
      <c r="R5235">
        <v>-0.99221380000000003</v>
      </c>
      <c r="S5235">
        <v>1.011841</v>
      </c>
      <c r="T5235">
        <v>-0.35219499999999998</v>
      </c>
      <c r="U5235">
        <v>-2.8981020000000002</v>
      </c>
      <c r="V5235">
        <v>-3.2989890000000001E-2</v>
      </c>
      <c r="W5235">
        <v>-2.859679E-3</v>
      </c>
      <c r="X5235">
        <v>0.9994516</v>
      </c>
      <c r="Y5235">
        <v>-0.24062529999999999</v>
      </c>
      <c r="Z5235">
        <v>0.1147859</v>
      </c>
      <c r="AA5235">
        <v>0.96380690000000002</v>
      </c>
      <c r="AB5235">
        <v>22</v>
      </c>
      <c r="AC5235">
        <v>3.15930000000002</v>
      </c>
      <c r="AD5235">
        <v>-1.11217028986899</v>
      </c>
      <c r="AE5235">
        <v>-8.8111299999999897</v>
      </c>
      <c r="AF5235">
        <v>-2.3159783836043202</v>
      </c>
      <c r="AG5235">
        <v>-1.11217028986899</v>
      </c>
      <c r="AH5235">
        <v>8.9348197658674096</v>
      </c>
      <c r="AI5235">
        <v>96.870665097124601</v>
      </c>
      <c r="AJ5235">
        <v>104.53171282622399</v>
      </c>
      <c r="AK5235">
        <v>9.2968641420386895</v>
      </c>
      <c r="AL5235">
        <v>90.163847759850995</v>
      </c>
      <c r="AM5235">
        <v>91.890532211638899</v>
      </c>
      <c r="AN5235">
        <v>1.0000000056743701</v>
      </c>
    </row>
    <row r="5236" spans="1:40" x14ac:dyDescent="0.25">
      <c r="A5236" t="str">
        <f>"20190312154708145"</f>
        <v>20190312154708145</v>
      </c>
      <c r="B5236" t="str">
        <f>"1552376828133097"</f>
        <v>1552376828133097</v>
      </c>
      <c r="C5236" t="s">
        <v>40</v>
      </c>
      <c r="D5236">
        <v>4.9957960000000003</v>
      </c>
      <c r="E5236">
        <v>0.41296260000000001</v>
      </c>
      <c r="F5236" t="s">
        <v>71</v>
      </c>
      <c r="G5236">
        <v>-296.85419999999999</v>
      </c>
      <c r="H5236" s="1">
        <v>-4.1004039999999998E-6</v>
      </c>
      <c r="I5236">
        <v>-45.846240000000002</v>
      </c>
      <c r="J5236">
        <v>-300.49239999999998</v>
      </c>
      <c r="K5236">
        <v>1.1123529999999999</v>
      </c>
      <c r="L5236">
        <v>-36.07358</v>
      </c>
      <c r="M5236">
        <v>9.6214339999999995E-2</v>
      </c>
      <c r="N5236">
        <v>0</v>
      </c>
      <c r="O5236">
        <v>-0.99525249999999998</v>
      </c>
      <c r="P5236">
        <v>0.1363655</v>
      </c>
      <c r="Q5236">
        <v>-5.4926469999999996E-4</v>
      </c>
      <c r="R5236">
        <v>-0.99065859999999994</v>
      </c>
      <c r="S5236">
        <v>1.0494380000000001</v>
      </c>
      <c r="T5236">
        <v>-0.31748860000000001</v>
      </c>
      <c r="U5236">
        <v>-2.887543</v>
      </c>
      <c r="V5236">
        <v>-4.0485970000000003E-2</v>
      </c>
      <c r="W5236">
        <v>1.388488E-2</v>
      </c>
      <c r="X5236">
        <v>0.99908359999999996</v>
      </c>
      <c r="Y5236">
        <v>-0.24771760000000001</v>
      </c>
      <c r="Z5236">
        <v>0.1035642</v>
      </c>
      <c r="AA5236">
        <v>0.9632811</v>
      </c>
      <c r="AB5236">
        <v>22</v>
      </c>
      <c r="AC5236">
        <v>3.6381999999999799</v>
      </c>
      <c r="AD5236">
        <v>-1.112357100404</v>
      </c>
      <c r="AE5236">
        <v>-9.7726600000000001</v>
      </c>
      <c r="AF5236">
        <v>-2.65078364322178</v>
      </c>
      <c r="AG5236">
        <v>-1.112357100404</v>
      </c>
      <c r="AH5236">
        <v>9.9640181817140991</v>
      </c>
      <c r="AI5236">
        <v>96.157533038240103</v>
      </c>
      <c r="AJ5236">
        <v>104.897655387749</v>
      </c>
      <c r="AK5236">
        <v>10.370421908848201</v>
      </c>
      <c r="AL5236">
        <v>89.204429390066295</v>
      </c>
      <c r="AM5236">
        <v>92.320533266792197</v>
      </c>
      <c r="AN5236">
        <v>0.99999997172420696</v>
      </c>
    </row>
    <row r="5237" spans="1:40" x14ac:dyDescent="0.25">
      <c r="A5237" t="str">
        <f>"20190312154708176"</f>
        <v>20190312154708176</v>
      </c>
      <c r="B5237" t="str">
        <f>"1552376828173114"</f>
        <v>1552376828173114</v>
      </c>
      <c r="C5237" t="s">
        <v>40</v>
      </c>
      <c r="D5237">
        <v>4.636444</v>
      </c>
      <c r="E5237">
        <v>0.3556204</v>
      </c>
      <c r="F5237" t="s">
        <v>71</v>
      </c>
      <c r="G5237">
        <v>-295.86950000000002</v>
      </c>
      <c r="H5237" s="1">
        <v>-5.5464720000000002E-6</v>
      </c>
      <c r="I5237">
        <v>-48.255740000000003</v>
      </c>
      <c r="J5237">
        <v>-300.45690000000002</v>
      </c>
      <c r="K5237">
        <v>1.112479</v>
      </c>
      <c r="L5237">
        <v>-36.373719999999999</v>
      </c>
      <c r="M5237">
        <v>0.1014418</v>
      </c>
      <c r="N5237">
        <v>0</v>
      </c>
      <c r="O5237">
        <v>-0.99473330000000004</v>
      </c>
      <c r="P5237">
        <v>0.145431</v>
      </c>
      <c r="Q5237">
        <v>7.8891039999999992E-3</v>
      </c>
      <c r="R5237">
        <v>-0.98933709999999997</v>
      </c>
      <c r="S5237">
        <v>1.0920719999999999</v>
      </c>
      <c r="T5237">
        <v>-0.2627739</v>
      </c>
      <c r="U5237">
        <v>-2.8778079999999999</v>
      </c>
      <c r="V5237">
        <v>-4.4439670000000001E-2</v>
      </c>
      <c r="W5237">
        <v>2.229155E-2</v>
      </c>
      <c r="X5237">
        <v>0.99876330000000002</v>
      </c>
      <c r="Y5237">
        <v>-0.25680239999999999</v>
      </c>
      <c r="Z5237">
        <v>8.5752739999999994E-2</v>
      </c>
      <c r="AA5237">
        <v>0.96265210000000001</v>
      </c>
      <c r="AB5237">
        <v>22</v>
      </c>
      <c r="AC5237">
        <v>4.5873999999999997</v>
      </c>
      <c r="AD5237">
        <v>-1.1124845464719999</v>
      </c>
      <c r="AE5237">
        <v>-11.882020000000001</v>
      </c>
      <c r="AF5237">
        <v>-3.3328413113213302</v>
      </c>
      <c r="AG5237">
        <v>-1.1124845464719999</v>
      </c>
      <c r="AH5237">
        <v>12.193096531805001</v>
      </c>
      <c r="AI5237">
        <v>95.029659723011505</v>
      </c>
      <c r="AJ5237">
        <v>105.28770372951401</v>
      </c>
      <c r="AK5237">
        <v>12.689249627401299</v>
      </c>
      <c r="AL5237">
        <v>88.722682418611598</v>
      </c>
      <c r="AM5237">
        <v>92.547677933162802</v>
      </c>
      <c r="AN5237">
        <v>0.999999963449</v>
      </c>
    </row>
    <row r="5238" spans="1:40" x14ac:dyDescent="0.25">
      <c r="A5238" t="str">
        <f>"20190312154708210"</f>
        <v>20190312154708210</v>
      </c>
      <c r="B5238" t="str">
        <f>"1552376828203369"</f>
        <v>1552376828203369</v>
      </c>
      <c r="C5238" t="s">
        <v>40</v>
      </c>
      <c r="D5238">
        <v>4.8807900000000002</v>
      </c>
      <c r="E5238">
        <v>0.3519216</v>
      </c>
      <c r="F5238" t="s">
        <v>71</v>
      </c>
      <c r="G5238">
        <v>-294.64400000000001</v>
      </c>
      <c r="H5238" s="1">
        <v>-5.0474530000000001E-6</v>
      </c>
      <c r="I5238">
        <v>-46.743099999999998</v>
      </c>
      <c r="J5238">
        <v>-300.41609999999997</v>
      </c>
      <c r="K5238">
        <v>1.1125590000000001</v>
      </c>
      <c r="L5238">
        <v>-36.702669999999998</v>
      </c>
      <c r="M5238">
        <v>0.1073649</v>
      </c>
      <c r="N5238">
        <v>0</v>
      </c>
      <c r="O5238">
        <v>-0.99411139999999998</v>
      </c>
      <c r="P5238">
        <v>0.15241740000000001</v>
      </c>
      <c r="Q5238">
        <v>1.2414140000000001E-2</v>
      </c>
      <c r="R5238">
        <v>-0.98823839999999996</v>
      </c>
      <c r="S5238">
        <v>1.5717159999999999</v>
      </c>
      <c r="T5238">
        <v>-0.30079729999999999</v>
      </c>
      <c r="U5238">
        <v>-2.8037109999999998</v>
      </c>
      <c r="V5238">
        <v>-4.5581869999999997E-2</v>
      </c>
      <c r="W5238">
        <v>2.68025E-2</v>
      </c>
      <c r="X5238">
        <v>0.99860099999999996</v>
      </c>
      <c r="Y5238">
        <v>-0.39030959999999998</v>
      </c>
      <c r="Z5238">
        <v>9.4678949999999998E-2</v>
      </c>
      <c r="AA5238">
        <v>0.91580249999999996</v>
      </c>
      <c r="AB5238">
        <v>22</v>
      </c>
      <c r="AC5238">
        <v>5.77209999999996</v>
      </c>
      <c r="AD5238">
        <v>-1.1125640474529901</v>
      </c>
      <c r="AE5238">
        <v>-10.040430000000001</v>
      </c>
      <c r="AF5238">
        <v>-4.6180049911489904</v>
      </c>
      <c r="AG5238">
        <v>-1.1125640474529901</v>
      </c>
      <c r="AH5238">
        <v>10.505220498032401</v>
      </c>
      <c r="AI5238">
        <v>95.537621101573805</v>
      </c>
      <c r="AJ5238">
        <v>113.729879570591</v>
      </c>
      <c r="AK5238">
        <v>11.5292422374691</v>
      </c>
      <c r="AL5238">
        <v>88.464145975136603</v>
      </c>
      <c r="AM5238">
        <v>92.613493496453799</v>
      </c>
      <c r="AN5238">
        <v>1.00000001903997</v>
      </c>
    </row>
    <row r="5239" spans="1:40" x14ac:dyDescent="0.25">
      <c r="A5239" t="str">
        <f>"20190312154708245"</f>
        <v>20190312154708245</v>
      </c>
      <c r="B5239" t="str">
        <f>"1552376828233626"</f>
        <v>1552376828233626</v>
      </c>
      <c r="C5239" t="s">
        <v>40</v>
      </c>
      <c r="D5239">
        <v>4.9288600000000002</v>
      </c>
      <c r="E5239">
        <v>0.35080050000000002</v>
      </c>
      <c r="F5239" t="s">
        <v>71</v>
      </c>
      <c r="G5239">
        <v>-294.03629999999998</v>
      </c>
      <c r="H5239" s="1">
        <v>-5.6259300000000002E-6</v>
      </c>
      <c r="I5239">
        <v>-47.68009</v>
      </c>
      <c r="J5239">
        <v>-300.37200000000001</v>
      </c>
      <c r="K5239">
        <v>1.1125890000000001</v>
      </c>
      <c r="L5239">
        <v>-37.040950000000002</v>
      </c>
      <c r="M5239">
        <v>0.113650399999999</v>
      </c>
      <c r="N5239">
        <v>0</v>
      </c>
      <c r="O5239">
        <v>-0.99341239999999997</v>
      </c>
      <c r="P5239">
        <v>0.1570674</v>
      </c>
      <c r="Q5239">
        <v>9.8418570000000007E-3</v>
      </c>
      <c r="R5239">
        <v>-0.98753869999999999</v>
      </c>
      <c r="S5239">
        <v>1.6210629999999999</v>
      </c>
      <c r="T5239">
        <v>-0.28269080000000002</v>
      </c>
      <c r="U5239">
        <v>-2.7892459999999999</v>
      </c>
      <c r="V5239">
        <v>-4.395048E-2</v>
      </c>
      <c r="W5239">
        <v>2.4237470000000001E-2</v>
      </c>
      <c r="X5239">
        <v>0.99873970000000001</v>
      </c>
      <c r="Y5239">
        <v>-0.39897549999999998</v>
      </c>
      <c r="Z5239">
        <v>8.8797970000000004E-2</v>
      </c>
      <c r="AA5239">
        <v>0.91265189999999996</v>
      </c>
      <c r="AB5239">
        <v>22</v>
      </c>
      <c r="AC5239">
        <v>6.3357000000000303</v>
      </c>
      <c r="AD5239">
        <v>-1.1125946259299999</v>
      </c>
      <c r="AE5239">
        <v>-10.6391399999999</v>
      </c>
      <c r="AF5239">
        <v>-5.0446422544383704</v>
      </c>
      <c r="AG5239">
        <v>-1.1125946259299999</v>
      </c>
      <c r="AH5239">
        <v>11.199906522362401</v>
      </c>
      <c r="AI5239">
        <v>95.175486850632595</v>
      </c>
      <c r="AJ5239">
        <v>114.24767047075299</v>
      </c>
      <c r="AK5239">
        <v>12.333863481754999</v>
      </c>
      <c r="AL5239">
        <v>88.611159321177695</v>
      </c>
      <c r="AM5239">
        <v>92.519729009717594</v>
      </c>
      <c r="AN5239">
        <v>1.00000004400015</v>
      </c>
    </row>
    <row r="5240" spans="1:40" x14ac:dyDescent="0.25">
      <c r="A5240" t="str">
        <f>"20190312154708277"</f>
        <v>20190312154708277</v>
      </c>
      <c r="B5240" t="str">
        <f>"1552376828273641"</f>
        <v>1552376828273641</v>
      </c>
      <c r="C5240" t="s">
        <v>40</v>
      </c>
      <c r="D5240">
        <v>4.9457190000000004</v>
      </c>
      <c r="E5240">
        <v>0.35098810000000003</v>
      </c>
      <c r="F5240" t="s">
        <v>41</v>
      </c>
      <c r="G5240">
        <v>-299.8141</v>
      </c>
      <c r="H5240">
        <v>1.00423</v>
      </c>
      <c r="I5240">
        <v>-37.986179999999997</v>
      </c>
      <c r="J5240">
        <v>-300.32870000000003</v>
      </c>
      <c r="K5240">
        <v>1.1125860000000001</v>
      </c>
      <c r="L5240">
        <v>-37.354889999999997</v>
      </c>
      <c r="M5240">
        <v>0.11963310000000001</v>
      </c>
      <c r="N5240">
        <v>0</v>
      </c>
      <c r="O5240">
        <v>-0.99270979999999998</v>
      </c>
      <c r="P5240">
        <v>0.15904389999999999</v>
      </c>
      <c r="Q5240">
        <v>1.0493760000000001E-3</v>
      </c>
      <c r="R5240">
        <v>-0.9872708</v>
      </c>
      <c r="S5240">
        <v>1.6409</v>
      </c>
      <c r="T5240">
        <v>-0.31869819999999999</v>
      </c>
      <c r="U5240">
        <v>-2.7800289999999999</v>
      </c>
      <c r="V5240">
        <v>-3.987429E-2</v>
      </c>
      <c r="W5240">
        <v>1.546876E-2</v>
      </c>
      <c r="X5240">
        <v>0.99908490000000005</v>
      </c>
      <c r="Y5240">
        <v>-0.39907520000000002</v>
      </c>
      <c r="Z5240">
        <v>9.9998569999999995E-2</v>
      </c>
      <c r="AA5240">
        <v>0.91144899999999995</v>
      </c>
      <c r="AB5240">
        <v>22</v>
      </c>
      <c r="AC5240">
        <v>0.51460000000002903</v>
      </c>
      <c r="AD5240">
        <v>-0.10835599999999999</v>
      </c>
      <c r="AE5240">
        <v>-0.63128999999999202</v>
      </c>
      <c r="AF5240">
        <v>-0.42780012809055201</v>
      </c>
      <c r="AG5240">
        <v>-0.10835599999999999</v>
      </c>
      <c r="AH5240">
        <v>0.67635366317606704</v>
      </c>
      <c r="AI5240">
        <v>97.710706367825594</v>
      </c>
      <c r="AJ5240">
        <v>122.31374250441201</v>
      </c>
      <c r="AK5240">
        <v>0.80759411217639299</v>
      </c>
      <c r="AL5240">
        <v>89.113669934436203</v>
      </c>
      <c r="AM5240">
        <v>92.285508113579397</v>
      </c>
      <c r="AN5240">
        <v>0.99999993947347399</v>
      </c>
    </row>
    <row r="5241" spans="1:40" x14ac:dyDescent="0.25">
      <c r="A5241" t="str">
        <f>"20190312154708312"</f>
        <v>20190312154708312</v>
      </c>
      <c r="B5241" t="str">
        <f>"1552376828302921"</f>
        <v>1552376828302921</v>
      </c>
      <c r="C5241" t="s">
        <v>40</v>
      </c>
      <c r="D5241">
        <v>4.8701840000000001</v>
      </c>
      <c r="E5241">
        <v>0.35117599999999999</v>
      </c>
      <c r="F5241" t="s">
        <v>71</v>
      </c>
      <c r="G5241">
        <v>-295.17739999999998</v>
      </c>
      <c r="H5241" s="1">
        <v>-4.5743499999999997E-6</v>
      </c>
      <c r="I5241">
        <v>-46.046729999999997</v>
      </c>
      <c r="J5241">
        <v>-300.2799</v>
      </c>
      <c r="K5241">
        <v>1.1126290000000001</v>
      </c>
      <c r="L5241">
        <v>-37.69238</v>
      </c>
      <c r="M5241">
        <v>0.12623180000000001</v>
      </c>
      <c r="N5241">
        <v>0</v>
      </c>
      <c r="O5241">
        <v>-0.99189229999999995</v>
      </c>
      <c r="P5241">
        <v>0.1606832</v>
      </c>
      <c r="Q5241">
        <v>-4.0042680000000001E-3</v>
      </c>
      <c r="R5241">
        <v>-0.98699800000000004</v>
      </c>
      <c r="S5241">
        <v>1.6441349999999999</v>
      </c>
      <c r="T5241">
        <v>-0.35510910000000001</v>
      </c>
      <c r="U5241">
        <v>-2.7742</v>
      </c>
      <c r="V5241">
        <v>-3.4859099999999997E-2</v>
      </c>
      <c r="W5241">
        <v>1.04438E-2</v>
      </c>
      <c r="X5241">
        <v>0.9993377</v>
      </c>
      <c r="Y5241">
        <v>-0.39398490000000003</v>
      </c>
      <c r="Z5241">
        <v>0.1114333</v>
      </c>
      <c r="AA5241">
        <v>0.91233679999999995</v>
      </c>
      <c r="AB5241">
        <v>22</v>
      </c>
      <c r="AC5241">
        <v>5.1025000000000196</v>
      </c>
      <c r="AD5241">
        <v>-1.11263357435</v>
      </c>
      <c r="AE5241">
        <v>-8.3543499999999895</v>
      </c>
      <c r="AF5241">
        <v>-3.9558744742008298</v>
      </c>
      <c r="AG5241">
        <v>-1.11263357435</v>
      </c>
      <c r="AH5241">
        <v>8.81776521081831</v>
      </c>
      <c r="AI5241">
        <v>96.567333765779196</v>
      </c>
      <c r="AJ5241">
        <v>114.162221340268</v>
      </c>
      <c r="AK5241">
        <v>9.7283030195159004</v>
      </c>
      <c r="AL5241">
        <v>89.4016034799198</v>
      </c>
      <c r="AM5241">
        <v>91.997792961577403</v>
      </c>
      <c r="AN5241">
        <v>1.00000003422626</v>
      </c>
    </row>
    <row r="5242" spans="1:40" x14ac:dyDescent="0.25">
      <c r="A5242" t="str">
        <f>"20190312154708345"</f>
        <v>20190312154708345</v>
      </c>
      <c r="B5242" t="str">
        <f>"1552376828333179"</f>
        <v>1552376828333179</v>
      </c>
      <c r="C5242" t="s">
        <v>40</v>
      </c>
      <c r="D5242">
        <v>4.9599070000000003</v>
      </c>
      <c r="E5242">
        <v>0.35117979999999999</v>
      </c>
      <c r="F5242" t="s">
        <v>71</v>
      </c>
      <c r="G5242">
        <v>-295.3954</v>
      </c>
      <c r="H5242" s="1">
        <v>-4.4502540000000004E-6</v>
      </c>
      <c r="I5242">
        <v>-45.898029999999999</v>
      </c>
      <c r="J5242">
        <v>-300.23239999999998</v>
      </c>
      <c r="K5242">
        <v>1.1127209999999901</v>
      </c>
      <c r="L5242">
        <v>-38.005580000000002</v>
      </c>
      <c r="M5242">
        <v>0.13258989999999901</v>
      </c>
      <c r="N5242">
        <v>0</v>
      </c>
      <c r="O5242">
        <v>-0.99106249999999996</v>
      </c>
      <c r="P5242">
        <v>0.16279859999999999</v>
      </c>
      <c r="Q5242">
        <v>-3.6297479999999999E-3</v>
      </c>
      <c r="R5242">
        <v>-0.98665290000000005</v>
      </c>
      <c r="S5242">
        <v>1.6486209999999999</v>
      </c>
      <c r="T5242">
        <v>-0.37553890000000001</v>
      </c>
      <c r="U5242">
        <v>-2.7695919999999998</v>
      </c>
      <c r="V5242">
        <v>-3.0597139999999998E-2</v>
      </c>
      <c r="W5242">
        <v>1.084194E-2</v>
      </c>
      <c r="X5242">
        <v>0.99947299999999994</v>
      </c>
      <c r="Y5242">
        <v>-0.38947340000000003</v>
      </c>
      <c r="Z5242">
        <v>0.11784</v>
      </c>
      <c r="AA5242">
        <v>0.91346819999999895</v>
      </c>
      <c r="AB5242">
        <v>22</v>
      </c>
      <c r="AC5242">
        <v>4.8369999999999802</v>
      </c>
      <c r="AD5242">
        <v>-1.1127254502539901</v>
      </c>
      <c r="AE5242">
        <v>-7.8924499999999904</v>
      </c>
      <c r="AF5242">
        <v>-3.6943310850158699</v>
      </c>
      <c r="AG5242">
        <v>-1.1127254502539901</v>
      </c>
      <c r="AH5242">
        <v>8.3435960689319799</v>
      </c>
      <c r="AI5242">
        <v>96.952546559922297</v>
      </c>
      <c r="AJ5242">
        <v>113.882538274759</v>
      </c>
      <c r="AK5242">
        <v>9.1924879904656205</v>
      </c>
      <c r="AL5242">
        <v>89.378790428792101</v>
      </c>
      <c r="AM5242">
        <v>91.753463721988595</v>
      </c>
      <c r="AN5242">
        <v>1.0000000051840701</v>
      </c>
    </row>
    <row r="5243" spans="1:40" x14ac:dyDescent="0.25">
      <c r="A5243" t="str">
        <f>"20190312154708377"</f>
        <v>20190312154708377</v>
      </c>
      <c r="B5243" t="str">
        <f>"1552376828373194"</f>
        <v>1552376828373194</v>
      </c>
      <c r="C5243" t="s">
        <v>40</v>
      </c>
      <c r="D5243">
        <v>4.8769049999999998</v>
      </c>
      <c r="E5243">
        <v>0.351825</v>
      </c>
      <c r="F5243" t="s">
        <v>71</v>
      </c>
      <c r="G5243">
        <v>-295.26139999999998</v>
      </c>
      <c r="H5243" s="1">
        <v>-4.6873949999999999E-6</v>
      </c>
      <c r="I5243">
        <v>-46.305109999999999</v>
      </c>
      <c r="J5243">
        <v>-300.18349999999998</v>
      </c>
      <c r="K5243">
        <v>1.1128439999999999</v>
      </c>
      <c r="L5243">
        <v>-38.311399999999999</v>
      </c>
      <c r="M5243">
        <v>0.1391059</v>
      </c>
      <c r="N5243">
        <v>0</v>
      </c>
      <c r="O5243">
        <v>-0.99016879999999996</v>
      </c>
      <c r="P5243">
        <v>0.1653588</v>
      </c>
      <c r="Q5243">
        <v>-5.3255669999999998E-3</v>
      </c>
      <c r="R5243">
        <v>-0.98621939999999997</v>
      </c>
      <c r="S5243">
        <v>1.6566160000000001</v>
      </c>
      <c r="T5243">
        <v>-0.37082310000000002</v>
      </c>
      <c r="U5243">
        <v>-2.7658689999999999</v>
      </c>
      <c r="V5243">
        <v>-2.6609279999999999E-2</v>
      </c>
      <c r="W5243">
        <v>9.1702290000000002E-3</v>
      </c>
      <c r="X5243">
        <v>0.99960389999999999</v>
      </c>
      <c r="Y5243">
        <v>-0.38599539999999999</v>
      </c>
      <c r="Z5243">
        <v>0.11636580000000001</v>
      </c>
      <c r="AA5243">
        <v>0.91513199999999995</v>
      </c>
      <c r="AB5243">
        <v>22</v>
      </c>
      <c r="AC5243">
        <v>4.9221000000000004</v>
      </c>
      <c r="AD5243">
        <v>-1.1128486873950001</v>
      </c>
      <c r="AE5243">
        <v>-7.9937100000000001</v>
      </c>
      <c r="AF5243">
        <v>-3.7100062983202799</v>
      </c>
      <c r="AG5243">
        <v>-1.1128486873950001</v>
      </c>
      <c r="AH5243">
        <v>8.4815509276100993</v>
      </c>
      <c r="AI5243">
        <v>96.854680527552503</v>
      </c>
      <c r="AJ5243">
        <v>113.625566022558</v>
      </c>
      <c r="AK5243">
        <v>9.3241238233014005</v>
      </c>
      <c r="AL5243">
        <v>89.474577244148506</v>
      </c>
      <c r="AM5243">
        <v>91.524843465383199</v>
      </c>
      <c r="AN5243">
        <v>1.0000000518886101</v>
      </c>
    </row>
    <row r="5244" spans="1:40" x14ac:dyDescent="0.25">
      <c r="A5244" t="str">
        <f>"20190312154708412"</f>
        <v>20190312154708412</v>
      </c>
      <c r="B5244" t="str">
        <f>"1552376828403449"</f>
        <v>1552376828403449</v>
      </c>
      <c r="C5244" t="s">
        <v>40</v>
      </c>
      <c r="D5244">
        <v>4.887937</v>
      </c>
      <c r="E5244">
        <v>0.35185899999999998</v>
      </c>
      <c r="F5244" t="s">
        <v>71</v>
      </c>
      <c r="G5244">
        <v>-295.10169999999999</v>
      </c>
      <c r="H5244" s="1">
        <v>-4.9564279999999996E-6</v>
      </c>
      <c r="I5244">
        <v>-46.763640000000002</v>
      </c>
      <c r="J5244">
        <v>-300.12900000000002</v>
      </c>
      <c r="K5244">
        <v>1.112995</v>
      </c>
      <c r="L5244">
        <v>-38.635159999999999</v>
      </c>
      <c r="M5244">
        <v>0.14639189999999999</v>
      </c>
      <c r="N5244">
        <v>0</v>
      </c>
      <c r="O5244">
        <v>-0.98911780000000005</v>
      </c>
      <c r="P5244">
        <v>0.1699456</v>
      </c>
      <c r="Q5244">
        <v>-5.9445030000000003E-3</v>
      </c>
      <c r="R5244">
        <v>-0.98543579999999997</v>
      </c>
      <c r="S5244">
        <v>1.660339</v>
      </c>
      <c r="T5244">
        <v>-0.3635969</v>
      </c>
      <c r="U5244">
        <v>-2.7615660000000002</v>
      </c>
      <c r="V5244">
        <v>-2.3900999999999999E-2</v>
      </c>
      <c r="W5244">
        <v>8.5699139999999997E-3</v>
      </c>
      <c r="X5244">
        <v>0.99967760000000006</v>
      </c>
      <c r="Y5244">
        <v>-0.38087090000000001</v>
      </c>
      <c r="Z5244">
        <v>0.1141882</v>
      </c>
      <c r="AA5244">
        <v>0.91755019999999998</v>
      </c>
      <c r="AB5244">
        <v>22</v>
      </c>
      <c r="AC5244">
        <v>5.0273000000000199</v>
      </c>
      <c r="AD5244">
        <v>-1.112999956428</v>
      </c>
      <c r="AE5244">
        <v>-8.1284799999999997</v>
      </c>
      <c r="AF5244">
        <v>-3.7324390243563599</v>
      </c>
      <c r="AG5244">
        <v>-1.112999956428</v>
      </c>
      <c r="AH5244">
        <v>8.6594916343213306</v>
      </c>
      <c r="AI5244">
        <v>96.731602393073501</v>
      </c>
      <c r="AJ5244">
        <v>113.31714775946401</v>
      </c>
      <c r="AK5244">
        <v>9.4950863786712407</v>
      </c>
      <c r="AL5244">
        <v>89.508974087716297</v>
      </c>
      <c r="AM5244">
        <v>91.369607143543504</v>
      </c>
      <c r="AN5244">
        <v>1.0000000025843601</v>
      </c>
    </row>
    <row r="5245" spans="1:40" x14ac:dyDescent="0.25">
      <c r="A5245" t="str">
        <f>"20190312154708444"</f>
        <v>20190312154708444</v>
      </c>
      <c r="B5245" t="str">
        <f>"1552376828432730"</f>
        <v>1552376828432730</v>
      </c>
      <c r="C5245" t="s">
        <v>40</v>
      </c>
      <c r="D5245">
        <v>4.8862949999999996</v>
      </c>
      <c r="E5245">
        <v>0.35192180000000001</v>
      </c>
      <c r="F5245" t="s">
        <v>71</v>
      </c>
      <c r="G5245">
        <v>-294.9597</v>
      </c>
      <c r="H5245" s="1">
        <v>-5.17783699999999E-6</v>
      </c>
      <c r="I5245">
        <v>-47.136339999999997</v>
      </c>
      <c r="J5245">
        <v>-300.07400000000001</v>
      </c>
      <c r="K5245">
        <v>1.1132120000000001</v>
      </c>
      <c r="L5245">
        <v>-38.945340000000002</v>
      </c>
      <c r="M5245">
        <v>0.1538581</v>
      </c>
      <c r="N5245">
        <v>0</v>
      </c>
      <c r="O5245">
        <v>-0.98798370000000002</v>
      </c>
      <c r="P5245">
        <v>0.1766712</v>
      </c>
      <c r="Q5245">
        <v>-2.247576E-4</v>
      </c>
      <c r="R5245">
        <v>-0.98427030000000004</v>
      </c>
      <c r="S5245">
        <v>1.6742859999999999</v>
      </c>
      <c r="T5245">
        <v>-0.36048599999999997</v>
      </c>
      <c r="U5245">
        <v>-2.7534179999999999</v>
      </c>
      <c r="V5245">
        <v>-2.3222099999999999E-2</v>
      </c>
      <c r="W5245">
        <v>1.4296349999999999E-2</v>
      </c>
      <c r="X5245">
        <v>0.99962810000000002</v>
      </c>
      <c r="Y5245">
        <v>-0.37854989999999999</v>
      </c>
      <c r="Z5245">
        <v>0.11323179999999999</v>
      </c>
      <c r="AA5245">
        <v>0.91862860000000002</v>
      </c>
      <c r="AB5245">
        <v>22</v>
      </c>
      <c r="AC5245">
        <v>5.1143000000000098</v>
      </c>
      <c r="AD5245">
        <v>-1.1132171778369999</v>
      </c>
      <c r="AE5245">
        <v>-8.1910000000000007</v>
      </c>
      <c r="AF5245">
        <v>-3.7432557656333398</v>
      </c>
      <c r="AG5245">
        <v>-1.1132171778369999</v>
      </c>
      <c r="AH5245">
        <v>8.7639388280764994</v>
      </c>
      <c r="AI5245">
        <v>96.662717127222805</v>
      </c>
      <c r="AJ5245">
        <v>113.128309366355</v>
      </c>
      <c r="AK5245">
        <v>9.5946776910037705</v>
      </c>
      <c r="AL5245">
        <v>89.180851573095694</v>
      </c>
      <c r="AM5245">
        <v>91.330783969936306</v>
      </c>
      <c r="AN5245">
        <v>0.99999999493067104</v>
      </c>
    </row>
    <row r="5246" spans="1:40" x14ac:dyDescent="0.25">
      <c r="A5246" t="str">
        <f>"20190312154708478"</f>
        <v>20190312154708478</v>
      </c>
      <c r="B5246" t="str">
        <f>"1552376828473722"</f>
        <v>1552376828473722</v>
      </c>
      <c r="C5246" t="s">
        <v>40</v>
      </c>
      <c r="D5246">
        <v>4.8926360000000004</v>
      </c>
      <c r="E5246">
        <v>0.35196850000000002</v>
      </c>
      <c r="F5246" t="s">
        <v>71</v>
      </c>
      <c r="G5246">
        <v>-294.55829999999997</v>
      </c>
      <c r="H5246" s="1">
        <v>-5.6198300000000004E-6</v>
      </c>
      <c r="I5246">
        <v>-47.879420000000003</v>
      </c>
      <c r="J5246">
        <v>-300.01459999999997</v>
      </c>
      <c r="K5246">
        <v>1.113453</v>
      </c>
      <c r="L5246">
        <v>-39.261780000000002</v>
      </c>
      <c r="M5246">
        <v>0.16205649999999999</v>
      </c>
      <c r="N5246">
        <v>0</v>
      </c>
      <c r="O5246">
        <v>-0.98667159999999998</v>
      </c>
      <c r="P5246">
        <v>0.18519189999999999</v>
      </c>
      <c r="Q5246">
        <v>5.11204E-3</v>
      </c>
      <c r="R5246">
        <v>-0.98268929999999999</v>
      </c>
      <c r="S5246">
        <v>1.69397</v>
      </c>
      <c r="T5246">
        <v>-0.34188780000000002</v>
      </c>
      <c r="U5246">
        <v>-2.743805</v>
      </c>
      <c r="V5246">
        <v>-2.3635130000000001E-2</v>
      </c>
      <c r="W5246">
        <v>1.9637580000000002E-2</v>
      </c>
      <c r="X5246">
        <v>0.99952779999999997</v>
      </c>
      <c r="Y5246">
        <v>-0.37742720000000002</v>
      </c>
      <c r="Z5246">
        <v>0.107408199999999</v>
      </c>
      <c r="AA5246">
        <v>0.91978919999999997</v>
      </c>
      <c r="AB5246">
        <v>22</v>
      </c>
      <c r="AC5246">
        <v>5.4562999999999899</v>
      </c>
      <c r="AD5246">
        <v>-1.1134586198300001</v>
      </c>
      <c r="AE5246">
        <v>-8.6176399999999997</v>
      </c>
      <c r="AF5246">
        <v>-3.9405048103668601</v>
      </c>
      <c r="AG5246">
        <v>-1.1134586198300001</v>
      </c>
      <c r="AH5246">
        <v>9.2774673542873405</v>
      </c>
      <c r="AI5246">
        <v>96.303689041716794</v>
      </c>
      <c r="AJ5246">
        <v>113.01283810068399</v>
      </c>
      <c r="AK5246">
        <v>10.1409451614958</v>
      </c>
      <c r="AL5246">
        <v>88.874777260714794</v>
      </c>
      <c r="AM5246">
        <v>91.354580516980704</v>
      </c>
      <c r="AN5246">
        <v>1.0000000384456</v>
      </c>
    </row>
    <row r="5247" spans="1:40" x14ac:dyDescent="0.25">
      <c r="A5247" t="str">
        <f>"20190312154708515"</f>
        <v>20190312154708515</v>
      </c>
      <c r="B5247" t="str">
        <f>"1552376828503002"</f>
        <v>1552376828503002</v>
      </c>
      <c r="C5247" t="s">
        <v>40</v>
      </c>
      <c r="D5247">
        <v>4.882504</v>
      </c>
      <c r="E5247">
        <v>0.35217579999999998</v>
      </c>
      <c r="F5247" t="s">
        <v>71</v>
      </c>
      <c r="G5247">
        <v>-294.02999999999997</v>
      </c>
      <c r="H5247" s="1">
        <v>-6.038844E-6</v>
      </c>
      <c r="I5247">
        <v>-48.76858</v>
      </c>
      <c r="J5247">
        <v>-299.94630000000001</v>
      </c>
      <c r="K5247">
        <v>1.1137060000000001</v>
      </c>
      <c r="L5247">
        <v>-39.604430000000001</v>
      </c>
      <c r="M5247">
        <v>0.1715786</v>
      </c>
      <c r="N5247">
        <v>0</v>
      </c>
      <c r="O5247">
        <v>-0.98506000000000005</v>
      </c>
      <c r="P5247">
        <v>0.19546820000000001</v>
      </c>
      <c r="Q5247">
        <v>8.8101769999999902E-3</v>
      </c>
      <c r="R5247">
        <v>-0.98067059999999995</v>
      </c>
      <c r="S5247">
        <v>1.7189029999999901</v>
      </c>
      <c r="T5247">
        <v>-0.31981330000000002</v>
      </c>
      <c r="U5247">
        <v>-2.730591</v>
      </c>
      <c r="V5247">
        <v>-2.4492030000000001E-2</v>
      </c>
      <c r="W5247">
        <v>2.333793E-2</v>
      </c>
      <c r="X5247">
        <v>0.99942759999999997</v>
      </c>
      <c r="Y5247">
        <v>-0.37690449999999998</v>
      </c>
      <c r="Z5247">
        <v>0.1005013</v>
      </c>
      <c r="AA5247">
        <v>0.92078360000000004</v>
      </c>
      <c r="AB5247">
        <v>22</v>
      </c>
      <c r="AC5247">
        <v>5.9163000000000299</v>
      </c>
      <c r="AD5247">
        <v>-1.1137120388439901</v>
      </c>
      <c r="AE5247">
        <v>-9.1641499999999994</v>
      </c>
      <c r="AF5247">
        <v>-4.2120924172564598</v>
      </c>
      <c r="AG5247">
        <v>-1.1137120388439901</v>
      </c>
      <c r="AH5247">
        <v>9.9398228089805407</v>
      </c>
      <c r="AI5247">
        <v>95.890077558668295</v>
      </c>
      <c r="AJ5247">
        <v>112.965254206124</v>
      </c>
      <c r="AK5247">
        <v>10.8527487076272</v>
      </c>
      <c r="AL5247">
        <v>88.6627137263892</v>
      </c>
      <c r="AM5247">
        <v>91.403812680480698</v>
      </c>
      <c r="AN5247">
        <v>1.00000002307598</v>
      </c>
    </row>
    <row r="5248" spans="1:40" x14ac:dyDescent="0.25">
      <c r="A5248" t="str">
        <f>"20190312154708547"</f>
        <v>20190312154708547</v>
      </c>
      <c r="B5248" t="str">
        <f>"1552376828543018"</f>
        <v>1552376828543018</v>
      </c>
      <c r="C5248" t="s">
        <v>40</v>
      </c>
      <c r="D5248">
        <v>4.9532660000000002</v>
      </c>
      <c r="E5248">
        <v>0.35262169999999998</v>
      </c>
      <c r="F5248" t="s">
        <v>71</v>
      </c>
      <c r="G5248">
        <v>-293.51690000000002</v>
      </c>
      <c r="H5248" s="1">
        <v>-6.4301179999999997E-6</v>
      </c>
      <c r="I5248">
        <v>-49.590670000000003</v>
      </c>
      <c r="J5248">
        <v>-299.88279999999997</v>
      </c>
      <c r="K5248">
        <v>1.1139490000000001</v>
      </c>
      <c r="L5248">
        <v>-39.905430000000003</v>
      </c>
      <c r="M5248">
        <v>0.18056920000000001</v>
      </c>
      <c r="N5248">
        <v>0</v>
      </c>
      <c r="O5248">
        <v>-0.98345150000000003</v>
      </c>
      <c r="P5248">
        <v>0.20566960000000001</v>
      </c>
      <c r="Q5248">
        <v>1.2271020000000001E-2</v>
      </c>
      <c r="R5248">
        <v>-0.978545</v>
      </c>
      <c r="S5248">
        <v>1.74710099999999</v>
      </c>
      <c r="T5248">
        <v>-0.30263600000000002</v>
      </c>
      <c r="U5248">
        <v>-2.7136230000000001</v>
      </c>
      <c r="V5248">
        <v>-2.582224E-2</v>
      </c>
      <c r="W5248">
        <v>2.6798679999999998E-2</v>
      </c>
      <c r="X5248">
        <v>0.99930730000000001</v>
      </c>
      <c r="Y5248">
        <v>-0.37812469999999998</v>
      </c>
      <c r="Z5248">
        <v>9.5152589999999995E-2</v>
      </c>
      <c r="AA5248">
        <v>0.92085159999999999</v>
      </c>
      <c r="AB5248">
        <v>21</v>
      </c>
      <c r="AC5248">
        <v>6.3658999999999502</v>
      </c>
      <c r="AD5248">
        <v>-1.1139554301179999</v>
      </c>
      <c r="AE5248">
        <v>-9.6852400000000092</v>
      </c>
      <c r="AF5248">
        <v>-4.4708884679303003</v>
      </c>
      <c r="AG5248">
        <v>-1.1139554301179999</v>
      </c>
      <c r="AH5248">
        <v>10.577896303267099</v>
      </c>
      <c r="AI5248">
        <v>95.540426087520004</v>
      </c>
      <c r="AJ5248">
        <v>112.911996125529</v>
      </c>
      <c r="AK5248">
        <v>11.5378347446839</v>
      </c>
      <c r="AL5248">
        <v>88.464364922951304</v>
      </c>
      <c r="AM5248">
        <v>91.480201542149203</v>
      </c>
      <c r="AN5248">
        <v>1.00000001858082</v>
      </c>
    </row>
    <row r="5249" spans="1:40" x14ac:dyDescent="0.25">
      <c r="A5249" t="str">
        <f>"20190312154708581"</f>
        <v>20190312154708581</v>
      </c>
      <c r="B5249" t="str">
        <f>"1552376828573274"</f>
        <v>1552376828573274</v>
      </c>
      <c r="C5249" t="s">
        <v>40</v>
      </c>
      <c r="D5249">
        <v>4.9600970000000002</v>
      </c>
      <c r="E5249">
        <v>0.35290319999999997</v>
      </c>
      <c r="F5249" t="s">
        <v>71</v>
      </c>
      <c r="G5249">
        <v>-293.02100000000002</v>
      </c>
      <c r="H5249" s="1">
        <v>-6.7907820000000002E-6</v>
      </c>
      <c r="I5249">
        <v>-50.338990000000003</v>
      </c>
      <c r="J5249">
        <v>-299.8152</v>
      </c>
      <c r="K5249">
        <v>1.1141479999999999</v>
      </c>
      <c r="L5249">
        <v>-40.208799999999997</v>
      </c>
      <c r="M5249">
        <v>0.1902066</v>
      </c>
      <c r="N5249">
        <v>0</v>
      </c>
      <c r="O5249">
        <v>-0.98163259999999997</v>
      </c>
      <c r="P5249">
        <v>0.2150039</v>
      </c>
      <c r="Q5249">
        <v>9.327119E-3</v>
      </c>
      <c r="R5249">
        <v>-0.97656880000000001</v>
      </c>
      <c r="S5249">
        <v>1.7734989999999999</v>
      </c>
      <c r="T5249">
        <v>-0.28790949999999998</v>
      </c>
      <c r="U5249">
        <v>-2.696625</v>
      </c>
      <c r="V5249">
        <v>-2.554203E-2</v>
      </c>
      <c r="W5249">
        <v>2.3876129999999999E-2</v>
      </c>
      <c r="X5249">
        <v>0.99938859999999996</v>
      </c>
      <c r="Y5249">
        <v>-0.37824609999999997</v>
      </c>
      <c r="Z5249">
        <v>9.0563050000000006E-2</v>
      </c>
      <c r="AA5249">
        <v>0.92126450000000004</v>
      </c>
      <c r="AB5249">
        <v>21</v>
      </c>
      <c r="AC5249">
        <v>6.79420000000004</v>
      </c>
      <c r="AD5249">
        <v>-1.114154790782</v>
      </c>
      <c r="AE5249">
        <v>-10.130190000000001</v>
      </c>
      <c r="AF5249">
        <v>-4.7038524140579296</v>
      </c>
      <c r="AG5249">
        <v>-1.114154790782</v>
      </c>
      <c r="AH5249">
        <v>11.1446723832112</v>
      </c>
      <c r="AI5249">
        <v>95.262328794183802</v>
      </c>
      <c r="AJ5249">
        <v>112.883238783274</v>
      </c>
      <c r="AK5249">
        <v>12.147892449316901</v>
      </c>
      <c r="AL5249">
        <v>88.631868537006</v>
      </c>
      <c r="AM5249">
        <v>91.464027111269502</v>
      </c>
      <c r="AN5249">
        <v>1.00000001934512</v>
      </c>
    </row>
    <row r="5250" spans="1:40" x14ac:dyDescent="0.25">
      <c r="A5250" t="str">
        <f>"20190312154708614"</f>
        <v>20190312154708614</v>
      </c>
      <c r="B5250" t="str">
        <f>"1552376828603531"</f>
        <v>1552376828603531</v>
      </c>
      <c r="C5250" t="s">
        <v>40</v>
      </c>
      <c r="D5250">
        <v>4.9243389999999998</v>
      </c>
      <c r="E5250">
        <v>0.38831710000000003</v>
      </c>
      <c r="F5250" t="s">
        <v>71</v>
      </c>
      <c r="G5250">
        <v>-292.99329999999998</v>
      </c>
      <c r="H5250" s="1">
        <v>-6.808135E-6</v>
      </c>
      <c r="I5250">
        <v>-50.373440000000002</v>
      </c>
      <c r="J5250">
        <v>-299.74310000000003</v>
      </c>
      <c r="K5250">
        <v>1.114314</v>
      </c>
      <c r="L5250">
        <v>-40.514009999999999</v>
      </c>
      <c r="M5250">
        <v>0.20046559999999999</v>
      </c>
      <c r="N5250">
        <v>0</v>
      </c>
      <c r="O5250">
        <v>-0.97958860000000003</v>
      </c>
      <c r="P5250">
        <v>0.222196</v>
      </c>
      <c r="Q5250">
        <v>1.8466839999999999E-3</v>
      </c>
      <c r="R5250">
        <v>-0.97500039999999999</v>
      </c>
      <c r="S5250">
        <v>1.7979430000000001</v>
      </c>
      <c r="T5250">
        <v>-0.29364279999999998</v>
      </c>
      <c r="U5250">
        <v>-2.6789550000000002</v>
      </c>
      <c r="V5250">
        <v>-2.2378619999999998E-2</v>
      </c>
      <c r="W5250">
        <v>1.6449020000000002E-2</v>
      </c>
      <c r="X5250">
        <v>0.99961420000000001</v>
      </c>
      <c r="Y5250">
        <v>-0.37707859999999999</v>
      </c>
      <c r="Z5250">
        <v>9.2372940000000001E-2</v>
      </c>
      <c r="AA5250">
        <v>0.92156329999999997</v>
      </c>
      <c r="AB5250">
        <v>21</v>
      </c>
      <c r="AC5250">
        <v>6.7498000000000502</v>
      </c>
      <c r="AD5250">
        <v>-1.114320808135</v>
      </c>
      <c r="AE5250">
        <v>-9.8594299999999997</v>
      </c>
      <c r="AF5250">
        <v>-4.5960859544732804</v>
      </c>
      <c r="AG5250">
        <v>-1.114320808135</v>
      </c>
      <c r="AH5250">
        <v>10.917543652687201</v>
      </c>
      <c r="AI5250">
        <v>95.374052477688593</v>
      </c>
      <c r="AJ5250">
        <v>112.83020142328</v>
      </c>
      <c r="AK5250">
        <v>11.8978349447569</v>
      </c>
      <c r="AL5250">
        <v>89.057498034563395</v>
      </c>
      <c r="AM5250">
        <v>91.282481114557001</v>
      </c>
      <c r="AN5250">
        <v>0.99999996086685095</v>
      </c>
    </row>
    <row r="5251" spans="1:40" x14ac:dyDescent="0.25">
      <c r="A5251" t="str">
        <f>"20190312154708645"</f>
        <v>20190312154708645</v>
      </c>
      <c r="B5251" t="str">
        <f>"1552376828643546"</f>
        <v>1552376828643546</v>
      </c>
      <c r="C5251" t="s">
        <v>40</v>
      </c>
      <c r="D5251">
        <v>5.0936110000000001</v>
      </c>
      <c r="E5251">
        <v>0.39019189999999998</v>
      </c>
      <c r="F5251" t="s">
        <v>71</v>
      </c>
      <c r="G5251">
        <v>-294.74059999999997</v>
      </c>
      <c r="H5251" s="1">
        <v>-6.1517830000000003E-6</v>
      </c>
      <c r="I5251">
        <v>-49.360239999999997</v>
      </c>
      <c r="J5251">
        <v>-299.67250000000001</v>
      </c>
      <c r="K5251">
        <v>1.114473</v>
      </c>
      <c r="L5251">
        <v>-40.798520000000003</v>
      </c>
      <c r="M5251">
        <v>0.2105127</v>
      </c>
      <c r="N5251">
        <v>0</v>
      </c>
      <c r="O5251">
        <v>-0.97747810000000002</v>
      </c>
      <c r="P5251">
        <v>0.2272969</v>
      </c>
      <c r="Q5251">
        <v>-1.1192579999999999E-3</v>
      </c>
      <c r="R5251">
        <v>-0.97382500000000005</v>
      </c>
      <c r="S5251">
        <v>1.541687</v>
      </c>
      <c r="T5251">
        <v>-0.34341070000000001</v>
      </c>
      <c r="U5251">
        <v>-2.7262270000000002</v>
      </c>
      <c r="V5251">
        <v>-1.7322290000000001E-2</v>
      </c>
      <c r="W5251">
        <v>1.355875E-2</v>
      </c>
      <c r="X5251">
        <v>0.99975800000000004</v>
      </c>
      <c r="Y5251">
        <v>-0.29491990000000001</v>
      </c>
      <c r="Z5251">
        <v>0.1100387</v>
      </c>
      <c r="AA5251">
        <v>0.94916469999999997</v>
      </c>
      <c r="AB5251">
        <v>21</v>
      </c>
      <c r="AC5251">
        <v>4.9319000000000397</v>
      </c>
      <c r="AD5251">
        <v>-1.1144791517829999</v>
      </c>
      <c r="AE5251">
        <v>-8.5617199999999993</v>
      </c>
      <c r="AF5251">
        <v>-2.9808824653620798</v>
      </c>
      <c r="AG5251">
        <v>-1.1144791517829999</v>
      </c>
      <c r="AH5251">
        <v>9.2899684786996506</v>
      </c>
      <c r="AI5251">
        <v>96.516620814323105</v>
      </c>
      <c r="AJ5251">
        <v>107.789934778028</v>
      </c>
      <c r="AK5251">
        <v>9.8199408545721507</v>
      </c>
      <c r="AL5251">
        <v>89.223117029091796</v>
      </c>
      <c r="AM5251">
        <v>90.992635026166298</v>
      </c>
      <c r="AN5251">
        <v>0.999999979998203</v>
      </c>
    </row>
    <row r="5252" spans="1:40" x14ac:dyDescent="0.25">
      <c r="A5252" t="str">
        <f>"20190312154708678"</f>
        <v>20190312154708678</v>
      </c>
      <c r="B5252" t="str">
        <f>"1552376828672826"</f>
        <v>1552376828672826</v>
      </c>
      <c r="C5252" t="s">
        <v>40</v>
      </c>
      <c r="D5252">
        <v>5.069286</v>
      </c>
      <c r="E5252">
        <v>0.39070139999999998</v>
      </c>
      <c r="F5252" t="s">
        <v>71</v>
      </c>
      <c r="G5252">
        <v>-294.82249999999999</v>
      </c>
      <c r="H5252" s="1">
        <v>-6.1376959999999996E-6</v>
      </c>
      <c r="I5252">
        <v>-49.356830000000002</v>
      </c>
      <c r="J5252">
        <v>-299.59410000000003</v>
      </c>
      <c r="K5252">
        <v>1.114609</v>
      </c>
      <c r="L5252">
        <v>-41.097079999999998</v>
      </c>
      <c r="M5252">
        <v>0.22155230000000001</v>
      </c>
      <c r="N5252">
        <v>0</v>
      </c>
      <c r="O5252">
        <v>-0.97503479999999998</v>
      </c>
      <c r="P5252">
        <v>0.23624809999999999</v>
      </c>
      <c r="Q5252">
        <v>-3.9992229999999997E-3</v>
      </c>
      <c r="R5252">
        <v>-0.97168460000000001</v>
      </c>
      <c r="S5252">
        <v>1.5416559999999999</v>
      </c>
      <c r="T5252">
        <v>-0.3542554</v>
      </c>
      <c r="U5252">
        <v>-2.7203979999999999</v>
      </c>
      <c r="V5252">
        <v>-1.519183E-2</v>
      </c>
      <c r="W5252">
        <v>1.072941E-2</v>
      </c>
      <c r="X5252">
        <v>0.99982700000000002</v>
      </c>
      <c r="Y5252">
        <v>-0.2847731</v>
      </c>
      <c r="Z5252">
        <v>0.1134336</v>
      </c>
      <c r="AA5252">
        <v>0.95185980000000003</v>
      </c>
      <c r="AB5252">
        <v>21</v>
      </c>
      <c r="AC5252">
        <v>4.7716000000000296</v>
      </c>
      <c r="AD5252">
        <v>-1.1146151376960001</v>
      </c>
      <c r="AE5252">
        <v>-8.2597500000000004</v>
      </c>
      <c r="AF5252">
        <v>-2.7847997444090602</v>
      </c>
      <c r="AG5252">
        <v>-1.1146151376960001</v>
      </c>
      <c r="AH5252">
        <v>8.9889805217326693</v>
      </c>
      <c r="AI5252">
        <v>96.754881679709499</v>
      </c>
      <c r="AJ5252">
        <v>107.21306009124</v>
      </c>
      <c r="AK5252">
        <v>9.4762464795788794</v>
      </c>
      <c r="AL5252">
        <v>89.385238276827593</v>
      </c>
      <c r="AM5252">
        <v>90.870511364149607</v>
      </c>
      <c r="AN5252">
        <v>0.99999997093334803</v>
      </c>
    </row>
    <row r="5253" spans="1:40" x14ac:dyDescent="0.25">
      <c r="A5253" t="str">
        <f>"20190312154708717"</f>
        <v>20190312154708717</v>
      </c>
      <c r="B5253" t="str">
        <f>"1552376828712842"</f>
        <v>1552376828712842</v>
      </c>
      <c r="C5253" t="s">
        <v>40</v>
      </c>
      <c r="D5253">
        <v>4.9973850000000004</v>
      </c>
      <c r="E5253">
        <v>0.3913644</v>
      </c>
      <c r="F5253" t="s">
        <v>71</v>
      </c>
      <c r="G5253">
        <v>-294.88850000000002</v>
      </c>
      <c r="H5253" s="1">
        <v>-6.0863109999999997E-6</v>
      </c>
      <c r="I5253">
        <v>-49.2483</v>
      </c>
      <c r="J5253">
        <v>-299.50009999999997</v>
      </c>
      <c r="K5253">
        <v>1.114738</v>
      </c>
      <c r="L5253">
        <v>-41.436399999999999</v>
      </c>
      <c r="M5253">
        <v>0.234595</v>
      </c>
      <c r="N5253">
        <v>0</v>
      </c>
      <c r="O5253">
        <v>-0.97197860000000003</v>
      </c>
      <c r="P5253">
        <v>0.24936410000000001</v>
      </c>
      <c r="Q5253">
        <v>-4.9385480000000001E-3</v>
      </c>
      <c r="R5253">
        <v>-0.96839730000000002</v>
      </c>
      <c r="S5253">
        <v>1.562195</v>
      </c>
      <c r="T5253">
        <v>-0.37003560000000002</v>
      </c>
      <c r="U5253">
        <v>-2.7060849999999999</v>
      </c>
      <c r="V5253">
        <v>-1.530925E-2</v>
      </c>
      <c r="W5253">
        <v>9.8158380000000003E-3</v>
      </c>
      <c r="X5253">
        <v>0.99983460000000002</v>
      </c>
      <c r="Y5253">
        <v>-0.27923389999999998</v>
      </c>
      <c r="Z5253">
        <v>0.11828959999999999</v>
      </c>
      <c r="AA5253">
        <v>0.95290920000000001</v>
      </c>
      <c r="AB5253">
        <v>21</v>
      </c>
      <c r="AC5253">
        <v>4.6115999999999504</v>
      </c>
      <c r="AD5253">
        <v>-1.1147440863110001</v>
      </c>
      <c r="AE5253">
        <v>-7.8118999999999996</v>
      </c>
      <c r="AF5253">
        <v>-2.6106175908951998</v>
      </c>
      <c r="AG5253">
        <v>-1.1147440863110001</v>
      </c>
      <c r="AH5253">
        <v>8.5467645726575707</v>
      </c>
      <c r="AI5253">
        <v>97.110315146940593</v>
      </c>
      <c r="AJ5253">
        <v>106.985342893366</v>
      </c>
      <c r="AK5253">
        <v>9.0058405073758294</v>
      </c>
      <c r="AL5253">
        <v>89.437584864724201</v>
      </c>
      <c r="AM5253">
        <v>90.877231966423295</v>
      </c>
      <c r="AN5253">
        <v>0.99999997558418197</v>
      </c>
    </row>
    <row r="5254" spans="1:40" x14ac:dyDescent="0.25">
      <c r="A5254" t="str">
        <f>"20190312154708747"</f>
        <v>20190312154708747</v>
      </c>
      <c r="B5254" t="str">
        <f>"1552376828743098"</f>
        <v>1552376828743098</v>
      </c>
      <c r="C5254" t="s">
        <v>40</v>
      </c>
      <c r="D5254">
        <v>5.0493379999999997</v>
      </c>
      <c r="E5254">
        <v>0.392262</v>
      </c>
      <c r="F5254" t="s">
        <v>71</v>
      </c>
      <c r="G5254">
        <v>-294.65429999999998</v>
      </c>
      <c r="H5254" s="1">
        <v>-6.2565890000000003E-6</v>
      </c>
      <c r="I5254">
        <v>-49.601559999999999</v>
      </c>
      <c r="J5254">
        <v>-299.41980000000001</v>
      </c>
      <c r="K5254">
        <v>1.1148450000000001</v>
      </c>
      <c r="L5254">
        <v>-41.711399999999998</v>
      </c>
      <c r="M5254">
        <v>0.24554799999999999</v>
      </c>
      <c r="N5254">
        <v>0</v>
      </c>
      <c r="O5254">
        <v>-0.96926920000000005</v>
      </c>
      <c r="P5254">
        <v>0.25980350000000002</v>
      </c>
      <c r="Q5254">
        <v>-1.197898E-3</v>
      </c>
      <c r="R5254">
        <v>-0.9656612</v>
      </c>
      <c r="S5254">
        <v>1.593842</v>
      </c>
      <c r="T5254">
        <v>-0.36665110000000001</v>
      </c>
      <c r="U5254">
        <v>-2.6856080000000002</v>
      </c>
      <c r="V5254">
        <v>-1.4863309999999999E-2</v>
      </c>
      <c r="W5254">
        <v>1.358259E-2</v>
      </c>
      <c r="X5254">
        <v>0.9997973</v>
      </c>
      <c r="Y5254">
        <v>-0.2799586</v>
      </c>
      <c r="Z5254">
        <v>0.11716409999999999</v>
      </c>
      <c r="AA5254">
        <v>0.9528356</v>
      </c>
      <c r="AB5254">
        <v>21</v>
      </c>
      <c r="AC5254">
        <v>4.7655000000000296</v>
      </c>
      <c r="AD5254">
        <v>-1.1148512565889901</v>
      </c>
      <c r="AE5254">
        <v>-7.8901599999999998</v>
      </c>
      <c r="AF5254">
        <v>-2.6432722028722599</v>
      </c>
      <c r="AG5254">
        <v>-1.1148512565889901</v>
      </c>
      <c r="AH5254">
        <v>8.6916879967008001</v>
      </c>
      <c r="AI5254">
        <v>96.9961888946236</v>
      </c>
      <c r="AJ5254">
        <v>106.915300245756</v>
      </c>
      <c r="AK5254">
        <v>9.1528805025952398</v>
      </c>
      <c r="AL5254">
        <v>89.221751005285597</v>
      </c>
      <c r="AM5254">
        <v>90.851714846465796</v>
      </c>
      <c r="AN5254">
        <v>1.00000002291127</v>
      </c>
    </row>
    <row r="5255" spans="1:40" x14ac:dyDescent="0.25">
      <c r="A5255" t="str">
        <f>"20190312154708779"</f>
        <v>20190312154708779</v>
      </c>
      <c r="B5255" t="str">
        <f>"1552376828773354"</f>
        <v>1552376828773354</v>
      </c>
      <c r="C5255" t="s">
        <v>40</v>
      </c>
      <c r="D5255">
        <v>5.0098339999999997</v>
      </c>
      <c r="E5255">
        <v>0.39306760000000002</v>
      </c>
      <c r="F5255" t="s">
        <v>71</v>
      </c>
      <c r="G5255">
        <v>-294.29570000000001</v>
      </c>
      <c r="H5255" s="1">
        <v>-6.5318340000000004E-6</v>
      </c>
      <c r="I5255">
        <v>-50.180869999999999</v>
      </c>
      <c r="J5255">
        <v>-299.33510000000001</v>
      </c>
      <c r="K5255">
        <v>1.1149500000000001</v>
      </c>
      <c r="L5255">
        <v>-41.988100000000003</v>
      </c>
      <c r="M5255">
        <v>0.25688440000000001</v>
      </c>
      <c r="N5255">
        <v>0</v>
      </c>
      <c r="O5255">
        <v>-0.96632609999999997</v>
      </c>
      <c r="P5255">
        <v>0.27024710000000002</v>
      </c>
      <c r="Q5255">
        <v>5.8043609999999996E-4</v>
      </c>
      <c r="R5255">
        <v>-0.96279110000000001</v>
      </c>
      <c r="S5255">
        <v>1.6162110000000001</v>
      </c>
      <c r="T5255">
        <v>-0.35164299999999998</v>
      </c>
      <c r="U5255">
        <v>-2.6714169999999999</v>
      </c>
      <c r="V5255">
        <v>-1.4004320000000001E-2</v>
      </c>
      <c r="W5255">
        <v>1.5391999999999999E-2</v>
      </c>
      <c r="X5255">
        <v>0.99978350000000005</v>
      </c>
      <c r="Y5255">
        <v>-0.277095599999999</v>
      </c>
      <c r="Z5255">
        <v>0.112261</v>
      </c>
      <c r="AA5255">
        <v>0.95426180000000005</v>
      </c>
      <c r="AB5255">
        <v>21</v>
      </c>
      <c r="AC5255">
        <v>5.0393999999999997</v>
      </c>
      <c r="AD5255">
        <v>-1.114956531834</v>
      </c>
      <c r="AE5255">
        <v>-8.1927699999999906</v>
      </c>
      <c r="AF5255">
        <v>-2.7287534915873999</v>
      </c>
      <c r="AG5255">
        <v>-1.114956531834</v>
      </c>
      <c r="AH5255">
        <v>9.0903195074155203</v>
      </c>
      <c r="AI5255">
        <v>96.700086706937697</v>
      </c>
      <c r="AJ5255">
        <v>106.70882908215199</v>
      </c>
      <c r="AK5255">
        <v>9.5563137470799298</v>
      </c>
      <c r="AL5255">
        <v>89.118068571742498</v>
      </c>
      <c r="AM5255">
        <v>90.802509702689704</v>
      </c>
      <c r="AN5255">
        <v>1.0000000407574501</v>
      </c>
    </row>
    <row r="5256" spans="1:40" x14ac:dyDescent="0.25">
      <c r="A5256" t="str">
        <f>"20190312154708813"</f>
        <v>20190312154708813</v>
      </c>
      <c r="B5256" t="str">
        <f>"1552376828803610"</f>
        <v>1552376828803610</v>
      </c>
      <c r="C5256" t="s">
        <v>40</v>
      </c>
      <c r="D5256">
        <v>5.0290850000000002</v>
      </c>
      <c r="E5256">
        <v>0.39381460000000001</v>
      </c>
      <c r="F5256" t="s">
        <v>71</v>
      </c>
      <c r="G5256">
        <v>-293.98140000000001</v>
      </c>
      <c r="H5256" s="1">
        <v>-9.3534109999999993E-6</v>
      </c>
      <c r="I5256">
        <v>-50.661549999999998</v>
      </c>
      <c r="J5256">
        <v>-299.2423</v>
      </c>
      <c r="K5256">
        <v>1.1150530000000001</v>
      </c>
      <c r="L5256">
        <v>-42.277369999999998</v>
      </c>
      <c r="M5256">
        <v>0.26903739999999998</v>
      </c>
      <c r="N5256">
        <v>0</v>
      </c>
      <c r="O5256">
        <v>-0.96301320000000001</v>
      </c>
      <c r="P5256">
        <v>0.28270329999999999</v>
      </c>
      <c r="Q5256">
        <v>7.3945490000000003E-3</v>
      </c>
      <c r="R5256">
        <v>-0.95917920000000001</v>
      </c>
      <c r="S5256">
        <v>1.6394040000000001</v>
      </c>
      <c r="T5256">
        <v>-0.34142169999999999</v>
      </c>
      <c r="U5256">
        <v>-2.6559750000000002</v>
      </c>
      <c r="V5256">
        <v>-1.446013E-2</v>
      </c>
      <c r="W5256">
        <v>2.2219570000000001E-2</v>
      </c>
      <c r="X5256">
        <v>0.99964850000000005</v>
      </c>
      <c r="Y5256">
        <v>-0.27370670000000002</v>
      </c>
      <c r="Z5256">
        <v>0.10884870000000001</v>
      </c>
      <c r="AA5256">
        <v>0.95563419999999999</v>
      </c>
      <c r="AB5256">
        <v>21</v>
      </c>
      <c r="AC5256">
        <v>5.2608999999999897</v>
      </c>
      <c r="AD5256">
        <v>-1.115062353411</v>
      </c>
      <c r="AE5256">
        <v>-8.3841800000000006</v>
      </c>
      <c r="AF5256">
        <v>-2.7757464384228099</v>
      </c>
      <c r="AG5256">
        <v>-1.115062353411</v>
      </c>
      <c r="AH5256">
        <v>9.3715845531595594</v>
      </c>
      <c r="AI5256">
        <v>96.508414237282693</v>
      </c>
      <c r="AJ5256">
        <v>106.498632071855</v>
      </c>
      <c r="AK5256">
        <v>9.8374147711393292</v>
      </c>
      <c r="AL5256">
        <v>88.726807591549402</v>
      </c>
      <c r="AM5256">
        <v>90.828737942757996</v>
      </c>
      <c r="AN5256">
        <v>0.999999964101425</v>
      </c>
    </row>
    <row r="5257" spans="1:40" x14ac:dyDescent="0.25">
      <c r="A5257" t="str">
        <f>"20190312154708846"</f>
        <v>20190312154708846</v>
      </c>
      <c r="B5257" t="str">
        <f>"1552376828843626"</f>
        <v>1552376828843626</v>
      </c>
      <c r="C5257" t="s">
        <v>40</v>
      </c>
      <c r="D5257">
        <v>5.2270339999999997</v>
      </c>
      <c r="E5257">
        <v>0.39476020000000001</v>
      </c>
      <c r="F5257" t="s">
        <v>71</v>
      </c>
      <c r="G5257">
        <v>-293.32780000000002</v>
      </c>
      <c r="H5257" s="1">
        <v>-9.4749960000000007E-6</v>
      </c>
      <c r="I5257">
        <v>-51.620519999999999</v>
      </c>
      <c r="J5257">
        <v>-299.14550000000003</v>
      </c>
      <c r="K5257">
        <v>1.115129</v>
      </c>
      <c r="L5257">
        <v>-42.565640000000002</v>
      </c>
      <c r="M5257">
        <v>0.2814354</v>
      </c>
      <c r="N5257">
        <v>0</v>
      </c>
      <c r="O5257">
        <v>-0.9594627</v>
      </c>
      <c r="P5257">
        <v>0.2968171</v>
      </c>
      <c r="Q5257">
        <v>8.5154830000000008E-3</v>
      </c>
      <c r="R5257">
        <v>-0.95489639999999998</v>
      </c>
      <c r="S5257">
        <v>1.669891</v>
      </c>
      <c r="T5257">
        <v>-0.31482270000000001</v>
      </c>
      <c r="U5257">
        <v>-2.6379090000000001</v>
      </c>
      <c r="V5257">
        <v>-1.632919E-2</v>
      </c>
      <c r="W5257">
        <v>2.33346E-2</v>
      </c>
      <c r="X5257">
        <v>0.99959430000000005</v>
      </c>
      <c r="Y5257">
        <v>-0.27264820000000001</v>
      </c>
      <c r="Z5257">
        <v>0.10022929999999999</v>
      </c>
      <c r="AA5257">
        <v>0.95687880000000003</v>
      </c>
      <c r="AB5257">
        <v>21</v>
      </c>
      <c r="AC5257">
        <v>5.8177000000000003</v>
      </c>
      <c r="AD5257">
        <v>-1.1151384749959901</v>
      </c>
      <c r="AE5257">
        <v>-9.05487999999999</v>
      </c>
      <c r="AF5257">
        <v>-3.0016212145937899</v>
      </c>
      <c r="AG5257">
        <v>-1.1151384749959901</v>
      </c>
      <c r="AH5257">
        <v>10.216612493597999</v>
      </c>
      <c r="AI5257">
        <v>95.978414489929094</v>
      </c>
      <c r="AJ5257">
        <v>106.37268723527001</v>
      </c>
      <c r="AK5257">
        <v>10.7066537526277</v>
      </c>
      <c r="AL5257">
        <v>88.662904482661204</v>
      </c>
      <c r="AM5257">
        <v>90.935890149981603</v>
      </c>
      <c r="AN5257">
        <v>0.99999995529785202</v>
      </c>
    </row>
    <row r="5258" spans="1:40" x14ac:dyDescent="0.25">
      <c r="A5258" t="str">
        <f>"20190312154708880"</f>
        <v>20190312154708880</v>
      </c>
      <c r="B5258" t="str">
        <f>"1552376828873882"</f>
        <v>1552376828873882</v>
      </c>
      <c r="C5258" t="s">
        <v>40</v>
      </c>
      <c r="D5258">
        <v>5.0589269999999997</v>
      </c>
      <c r="E5258">
        <v>0.3955997</v>
      </c>
      <c r="F5258" t="s">
        <v>71</v>
      </c>
      <c r="G5258">
        <v>-293.0247</v>
      </c>
      <c r="H5258" s="1">
        <v>-9.5420510000000006E-6</v>
      </c>
      <c r="I5258">
        <v>-51.970230000000001</v>
      </c>
      <c r="J5258">
        <v>-299.04340000000002</v>
      </c>
      <c r="K5258">
        <v>1.115167</v>
      </c>
      <c r="L5258">
        <v>-42.856140000000003</v>
      </c>
      <c r="M5258">
        <v>0.29419519999999999</v>
      </c>
      <c r="N5258">
        <v>0</v>
      </c>
      <c r="O5258">
        <v>-0.95562709999999995</v>
      </c>
      <c r="P5258">
        <v>0.31114899999999901</v>
      </c>
      <c r="Q5258">
        <v>6.3165729999999998E-3</v>
      </c>
      <c r="R5258">
        <v>-0.95034030000000003</v>
      </c>
      <c r="S5258">
        <v>1.7021790000000001</v>
      </c>
      <c r="T5258">
        <v>-0.31011319999999998</v>
      </c>
      <c r="U5258">
        <v>-2.6153559999999998</v>
      </c>
      <c r="V5258">
        <v>-1.8018800000000001E-2</v>
      </c>
      <c r="W5258">
        <v>2.1130719999999999E-2</v>
      </c>
      <c r="X5258">
        <v>0.99961440000000001</v>
      </c>
      <c r="Y5258">
        <v>-0.27198620000000001</v>
      </c>
      <c r="Z5258">
        <v>9.8580050000000002E-2</v>
      </c>
      <c r="AA5258">
        <v>0.95723849999999999</v>
      </c>
      <c r="AB5258">
        <v>21</v>
      </c>
      <c r="AC5258">
        <v>6.0187000000000204</v>
      </c>
      <c r="AD5258">
        <v>-1.115176542051</v>
      </c>
      <c r="AE5258">
        <v>-9.1140899999999903</v>
      </c>
      <c r="AF5258">
        <v>-3.0389768594469699</v>
      </c>
      <c r="AG5258">
        <v>-1.115176542051</v>
      </c>
      <c r="AH5258">
        <v>10.3733856148072</v>
      </c>
      <c r="AI5258">
        <v>95.890227502095797</v>
      </c>
      <c r="AJ5258">
        <v>106.328422009062</v>
      </c>
      <c r="AK5258">
        <v>10.866744139146901</v>
      </c>
      <c r="AL5258">
        <v>88.789208890634001</v>
      </c>
      <c r="AM5258">
        <v>91.032687599445396</v>
      </c>
      <c r="AN5258">
        <v>1.0000000665842499</v>
      </c>
    </row>
    <row r="5259" spans="1:40" x14ac:dyDescent="0.25">
      <c r="A5259" t="str">
        <f>"20190312154708914"</f>
        <v>20190312154708914</v>
      </c>
      <c r="B5259" t="str">
        <f>"1552376828903162"</f>
        <v>1552376828903162</v>
      </c>
      <c r="C5259" t="s">
        <v>40</v>
      </c>
      <c r="D5259">
        <v>4.9629580000000004</v>
      </c>
      <c r="E5259">
        <v>0.39591690000000002</v>
      </c>
      <c r="F5259" t="s">
        <v>71</v>
      </c>
      <c r="G5259">
        <v>-292.95069999999998</v>
      </c>
      <c r="H5259" s="1">
        <v>-9.5695599999999996E-6</v>
      </c>
      <c r="I5259">
        <v>-51.956319999999998</v>
      </c>
      <c r="J5259">
        <v>-298.93740000000003</v>
      </c>
      <c r="K5259">
        <v>1.1151869999999999</v>
      </c>
      <c r="L5259">
        <v>-43.143920000000001</v>
      </c>
      <c r="M5259">
        <v>0.30705830000000001</v>
      </c>
      <c r="N5259">
        <v>0</v>
      </c>
      <c r="O5259">
        <v>-0.95157159999999996</v>
      </c>
      <c r="P5259">
        <v>0.32287470000000001</v>
      </c>
      <c r="Q5259">
        <v>5.7791819999999999E-3</v>
      </c>
      <c r="R5259">
        <v>-0.94642420000000005</v>
      </c>
      <c r="S5259">
        <v>1.73465</v>
      </c>
      <c r="T5259">
        <v>-0.3175057</v>
      </c>
      <c r="U5259">
        <v>-2.5909420000000001</v>
      </c>
      <c r="V5259">
        <v>-1.6887860000000001E-2</v>
      </c>
      <c r="W5259">
        <v>2.0620139999999999E-2</v>
      </c>
      <c r="X5259">
        <v>0.9996448</v>
      </c>
      <c r="Y5259">
        <v>-0.27132390000000001</v>
      </c>
      <c r="Z5259">
        <v>0.1007488</v>
      </c>
      <c r="AA5259">
        <v>0.95720059999999996</v>
      </c>
      <c r="AB5259">
        <v>21</v>
      </c>
      <c r="AC5259">
        <v>5.9867000000000399</v>
      </c>
      <c r="AD5259">
        <v>-1.1151965695599999</v>
      </c>
      <c r="AE5259">
        <v>-8.8123999999999896</v>
      </c>
      <c r="AF5259">
        <v>-2.9587714940037899</v>
      </c>
      <c r="AG5259">
        <v>-1.1151965695599999</v>
      </c>
      <c r="AH5259">
        <v>10.1142280069721</v>
      </c>
      <c r="AI5259">
        <v>96.040843581255501</v>
      </c>
      <c r="AJ5259">
        <v>106.306075577248</v>
      </c>
      <c r="AK5259">
        <v>10.596961843826101</v>
      </c>
      <c r="AL5259">
        <v>88.818469334363002</v>
      </c>
      <c r="AM5259">
        <v>90.967854848685604</v>
      </c>
      <c r="AN5259">
        <v>1.00000005807801</v>
      </c>
    </row>
    <row r="5260" spans="1:40" x14ac:dyDescent="0.25">
      <c r="A5260" t="str">
        <f>"20190312154708948"</f>
        <v>20190312154708948</v>
      </c>
      <c r="B5260" t="str">
        <f>"1552376828943179"</f>
        <v>1552376828943179</v>
      </c>
      <c r="C5260" t="s">
        <v>40</v>
      </c>
      <c r="D5260">
        <v>5.2150220000000003</v>
      </c>
      <c r="E5260">
        <v>0.39129380000000002</v>
      </c>
      <c r="F5260" t="s">
        <v>71</v>
      </c>
      <c r="G5260">
        <v>-292.66390000000001</v>
      </c>
      <c r="H5260" s="1">
        <v>-9.6335020000000007E-6</v>
      </c>
      <c r="I5260">
        <v>-52.282969999999999</v>
      </c>
      <c r="J5260">
        <v>-298.8295</v>
      </c>
      <c r="K5260">
        <v>1.115186</v>
      </c>
      <c r="L5260">
        <v>-43.425170000000001</v>
      </c>
      <c r="M5260">
        <v>0.3198204</v>
      </c>
      <c r="N5260">
        <v>0</v>
      </c>
      <c r="O5260">
        <v>-0.9473587</v>
      </c>
      <c r="P5260">
        <v>0.33239039999999997</v>
      </c>
      <c r="Q5260">
        <v>2.0041429999999999E-3</v>
      </c>
      <c r="R5260">
        <v>-0.94313999999999998</v>
      </c>
      <c r="S5260">
        <v>1.7640990000000001</v>
      </c>
      <c r="T5260">
        <v>-0.31359160000000003</v>
      </c>
      <c r="U5260">
        <v>-2.5698850000000002</v>
      </c>
      <c r="V5260">
        <v>-1.3469099999999999E-2</v>
      </c>
      <c r="W5260">
        <v>1.6898610000000001E-2</v>
      </c>
      <c r="X5260">
        <v>0.9997665</v>
      </c>
      <c r="Y5260">
        <v>-0.26958569999999998</v>
      </c>
      <c r="Z5260">
        <v>9.9274719999999997E-2</v>
      </c>
      <c r="AA5260">
        <v>0.95784559999999996</v>
      </c>
      <c r="AB5260">
        <v>21</v>
      </c>
      <c r="AC5260">
        <v>6.16559999999998</v>
      </c>
      <c r="AD5260">
        <v>-1.1151956335019999</v>
      </c>
      <c r="AE5260">
        <v>-8.8577999999999903</v>
      </c>
      <c r="AF5260">
        <v>-2.9766867545381701</v>
      </c>
      <c r="AG5260">
        <v>-1.1151956335019999</v>
      </c>
      <c r="AH5260">
        <v>10.255073640227099</v>
      </c>
      <c r="AI5260">
        <v>95.962082331134397</v>
      </c>
      <c r="AJ5260">
        <v>106.186152226334</v>
      </c>
      <c r="AK5260">
        <v>10.736426812590199</v>
      </c>
      <c r="AL5260">
        <v>89.031734896738797</v>
      </c>
      <c r="AM5260">
        <v>90.771856127751306</v>
      </c>
      <c r="AN5260">
        <v>1.00000001709849</v>
      </c>
    </row>
    <row r="5261" spans="1:40" x14ac:dyDescent="0.25">
      <c r="A5261" t="str">
        <f>"20190312154708980"</f>
        <v>20190312154708980</v>
      </c>
      <c r="B5261" t="str">
        <f>"1552376828973438"</f>
        <v>1552376828973438</v>
      </c>
      <c r="C5261" t="s">
        <v>40</v>
      </c>
      <c r="D5261">
        <v>5.0241639999999999</v>
      </c>
      <c r="E5261">
        <v>0.37018580000000001</v>
      </c>
      <c r="F5261" t="s">
        <v>71</v>
      </c>
      <c r="G5261">
        <v>-293.53019999999998</v>
      </c>
      <c r="H5261" s="1">
        <v>-9.4970310000000005E-6</v>
      </c>
      <c r="I5261">
        <v>-50.792769999999997</v>
      </c>
      <c r="J5261">
        <v>-298.72019999999998</v>
      </c>
      <c r="K5261">
        <v>1.1152280000000001</v>
      </c>
      <c r="L5261">
        <v>-43.698300000000003</v>
      </c>
      <c r="M5261">
        <v>0.33236749999999998</v>
      </c>
      <c r="N5261">
        <v>0</v>
      </c>
      <c r="O5261">
        <v>-0.94302949999999996</v>
      </c>
      <c r="P5261">
        <v>0.33544859999999999</v>
      </c>
      <c r="Q5261">
        <v>1.031961E-2</v>
      </c>
      <c r="R5261">
        <v>-0.94200189999999995</v>
      </c>
      <c r="S5261">
        <v>1.8256840000000001</v>
      </c>
      <c r="T5261">
        <v>-0.38420500000000002</v>
      </c>
      <c r="U5261">
        <v>-2.5382690000000001</v>
      </c>
      <c r="V5261">
        <v>-3.5611240000000001E-3</v>
      </c>
      <c r="W5261">
        <v>2.534434E-2</v>
      </c>
      <c r="X5261">
        <v>0.99967240000000002</v>
      </c>
      <c r="Y5261">
        <v>-0.27637009999999901</v>
      </c>
      <c r="Z5261">
        <v>0.12081600000000001</v>
      </c>
      <c r="AA5261">
        <v>0.95342700000000002</v>
      </c>
      <c r="AB5261">
        <v>20</v>
      </c>
      <c r="AC5261">
        <v>5.1899999999999897</v>
      </c>
      <c r="AD5261">
        <v>-1.1152374970309999</v>
      </c>
      <c r="AE5261">
        <v>-7.0944700000000003</v>
      </c>
      <c r="AF5261">
        <v>-2.4964553032938301</v>
      </c>
      <c r="AG5261">
        <v>-1.1152374970309999</v>
      </c>
      <c r="AH5261">
        <v>8.2829103365441998</v>
      </c>
      <c r="AI5261">
        <v>97.345774799802598</v>
      </c>
      <c r="AJ5261">
        <v>106.772718790478</v>
      </c>
      <c r="AK5261">
        <v>8.7225367525369908</v>
      </c>
      <c r="AL5261">
        <v>88.547720725212002</v>
      </c>
      <c r="AM5261">
        <v>90.204103376722998</v>
      </c>
      <c r="AN5261">
        <v>0.99999996224796805</v>
      </c>
    </row>
    <row r="5262" spans="1:40" x14ac:dyDescent="0.25">
      <c r="A5262" t="str">
        <f>"20190312154709014"</f>
        <v>20190312154709014</v>
      </c>
      <c r="B5262" t="str">
        <f>"1552376829003691"</f>
        <v>1552376829003691</v>
      </c>
      <c r="C5262" t="s">
        <v>40</v>
      </c>
      <c r="D5262">
        <v>4.9780069999999998</v>
      </c>
      <c r="E5262">
        <v>0.36237059999999999</v>
      </c>
      <c r="F5262" t="s">
        <v>71</v>
      </c>
      <c r="G5262">
        <v>-291.54790000000003</v>
      </c>
      <c r="H5262" s="1">
        <v>-9.9986689999999999E-6</v>
      </c>
      <c r="I5262">
        <v>-52.587730000000001</v>
      </c>
      <c r="J5262">
        <v>-298.60520000000002</v>
      </c>
      <c r="K5262">
        <v>1.1154219999999999</v>
      </c>
      <c r="L5262">
        <v>-43.974240000000002</v>
      </c>
      <c r="M5262">
        <v>0.34516330000000001</v>
      </c>
      <c r="N5262">
        <v>0</v>
      </c>
      <c r="O5262">
        <v>-0.93842170000000003</v>
      </c>
      <c r="P5262">
        <v>0.32857500000000001</v>
      </c>
      <c r="Q5262">
        <v>6.2045709999999997E-2</v>
      </c>
      <c r="R5262">
        <v>-0.94243759999999999</v>
      </c>
      <c r="S5262">
        <v>1.9981690000000001</v>
      </c>
      <c r="T5262">
        <v>-0.31070130000000001</v>
      </c>
      <c r="U5262">
        <v>-2.4765630000000001</v>
      </c>
      <c r="V5262">
        <v>1.6001080000000001E-2</v>
      </c>
      <c r="W5262">
        <v>7.72838E-2</v>
      </c>
      <c r="X5262">
        <v>0.99688069999999895</v>
      </c>
      <c r="Y5262">
        <v>-0.3175789</v>
      </c>
      <c r="Z5262">
        <v>9.6714220000000004E-2</v>
      </c>
      <c r="AA5262">
        <v>0.94328679999999998</v>
      </c>
      <c r="AB5262">
        <v>20</v>
      </c>
      <c r="AC5262">
        <v>7.0572999999999899</v>
      </c>
      <c r="AD5262">
        <v>-1.115431998669</v>
      </c>
      <c r="AE5262">
        <v>-8.6134900000000005</v>
      </c>
      <c r="AF5262">
        <v>-3.6138162481379399</v>
      </c>
      <c r="AG5262">
        <v>-1.115431998669</v>
      </c>
      <c r="AH5262">
        <v>10.41569037026</v>
      </c>
      <c r="AI5262">
        <v>95.7772289330305</v>
      </c>
      <c r="AJ5262">
        <v>109.134671263122</v>
      </c>
      <c r="AK5262">
        <v>11.0810857910264</v>
      </c>
      <c r="AL5262">
        <v>85.567544483919505</v>
      </c>
      <c r="AM5262">
        <v>89.080415911637502</v>
      </c>
      <c r="AN5262">
        <v>0.99999997516804695</v>
      </c>
    </row>
    <row r="5263" spans="1:40" x14ac:dyDescent="0.25">
      <c r="A5263" t="str">
        <f>"20190312154709047"</f>
        <v>20190312154709047</v>
      </c>
      <c r="B5263" t="str">
        <f>"1552376829043706"</f>
        <v>1552376829043706</v>
      </c>
      <c r="C5263" t="s">
        <v>40</v>
      </c>
      <c r="D5263">
        <v>5.0805490000000004</v>
      </c>
      <c r="E5263">
        <v>0.35947669999999998</v>
      </c>
      <c r="F5263" t="s">
        <v>71</v>
      </c>
      <c r="G5263">
        <v>-280.68270000000001</v>
      </c>
      <c r="H5263" s="1">
        <v>-6.8981899999999996E-6</v>
      </c>
      <c r="I5263">
        <v>-65.566040000000001</v>
      </c>
      <c r="J5263">
        <v>-298.48739999999998</v>
      </c>
      <c r="K5263">
        <v>1.11551</v>
      </c>
      <c r="L5263">
        <v>-44.246949999999998</v>
      </c>
      <c r="M5263">
        <v>0.35789710000000002</v>
      </c>
      <c r="N5263">
        <v>0</v>
      </c>
      <c r="O5263">
        <v>-0.93363949999999996</v>
      </c>
      <c r="P5263">
        <v>0.3228647</v>
      </c>
      <c r="Q5263">
        <v>8.6266510000000005E-2</v>
      </c>
      <c r="R5263">
        <v>-0.9425055</v>
      </c>
      <c r="S5263">
        <v>2.0546570000000002</v>
      </c>
      <c r="T5263">
        <v>-0.1278743</v>
      </c>
      <c r="U5263">
        <v>-2.475311</v>
      </c>
      <c r="V5263">
        <v>3.4635480000000003E-2</v>
      </c>
      <c r="W5263">
        <v>0.1016985</v>
      </c>
      <c r="X5263">
        <v>0.99421219999999999</v>
      </c>
      <c r="Y5263">
        <v>-0.32043779999999999</v>
      </c>
      <c r="Z5263">
        <v>3.9429789999999999E-2</v>
      </c>
      <c r="AA5263">
        <v>0.94644859999999997</v>
      </c>
      <c r="AB5263">
        <v>20</v>
      </c>
      <c r="AC5263">
        <v>17.804699999999901</v>
      </c>
      <c r="AD5263">
        <v>-1.1155168981899899</v>
      </c>
      <c r="AE5263">
        <v>-21.319089999999999</v>
      </c>
      <c r="AF5263">
        <v>-8.9796679895050993</v>
      </c>
      <c r="AG5263">
        <v>-1.1155168981899899</v>
      </c>
      <c r="AH5263">
        <v>26.237258921299201</v>
      </c>
      <c r="AI5263">
        <v>92.303528409215403</v>
      </c>
      <c r="AJ5263">
        <v>108.89344476142099</v>
      </c>
      <c r="AK5263">
        <v>27.753784802350602</v>
      </c>
      <c r="AL5263">
        <v>84.163014230505894</v>
      </c>
      <c r="AM5263">
        <v>88.004787498623401</v>
      </c>
      <c r="AN5263">
        <v>1.00000005000295</v>
      </c>
    </row>
    <row r="5264" spans="1:40" x14ac:dyDescent="0.25">
      <c r="A5264" t="str">
        <f>"20190312154709080"</f>
        <v>20190312154709080</v>
      </c>
      <c r="B5264" t="str">
        <f>"1552376829072986"</f>
        <v>1552376829072986</v>
      </c>
      <c r="C5264" t="s">
        <v>40</v>
      </c>
      <c r="D5264">
        <v>5.0867459999999998</v>
      </c>
      <c r="E5264">
        <v>0.35678959999999998</v>
      </c>
      <c r="F5264" t="s">
        <v>42</v>
      </c>
      <c r="G5264">
        <v>-273.47789999999998</v>
      </c>
      <c r="H5264">
        <v>7.9987440000000007E-2</v>
      </c>
      <c r="I5264">
        <v>-74.403689999999997</v>
      </c>
      <c r="J5264">
        <v>-298.36509999999998</v>
      </c>
      <c r="K5264">
        <v>1.115461</v>
      </c>
      <c r="L5264">
        <v>-44.51932</v>
      </c>
      <c r="M5264">
        <v>0.37067309999999998</v>
      </c>
      <c r="N5264">
        <v>0</v>
      </c>
      <c r="O5264">
        <v>-0.9286413</v>
      </c>
      <c r="P5264">
        <v>0.32555669999999998</v>
      </c>
      <c r="Q5264">
        <v>8.3653829999999998E-2</v>
      </c>
      <c r="R5264">
        <v>-0.94181510000000002</v>
      </c>
      <c r="S5264">
        <v>2.0607600000000001</v>
      </c>
      <c r="T5264">
        <v>-8.5326310000000002E-2</v>
      </c>
      <c r="U5264">
        <v>-2.4848940000000002</v>
      </c>
      <c r="V5264">
        <v>4.5575480000000002E-2</v>
      </c>
      <c r="W5264">
        <v>9.9210660000000006E-2</v>
      </c>
      <c r="X5264">
        <v>0.99402219999999997</v>
      </c>
      <c r="Y5264">
        <v>-0.30728729999999999</v>
      </c>
      <c r="Z5264">
        <v>2.6082660000000001E-2</v>
      </c>
      <c r="AA5264">
        <v>0.95125930000000003</v>
      </c>
      <c r="AB5264">
        <v>20</v>
      </c>
      <c r="AC5264">
        <v>24.8872</v>
      </c>
      <c r="AD5264">
        <v>-1.03547356</v>
      </c>
      <c r="AE5264">
        <v>-29.884370000000001</v>
      </c>
      <c r="AF5264">
        <v>-12.0267884709495</v>
      </c>
      <c r="AG5264">
        <v>-1.03547356</v>
      </c>
      <c r="AH5264">
        <v>36.954871402788498</v>
      </c>
      <c r="AI5264">
        <v>91.526252571445099</v>
      </c>
      <c r="AJ5264">
        <v>108.027233917269</v>
      </c>
      <c r="AK5264">
        <v>38.876450028456297</v>
      </c>
      <c r="AL5264">
        <v>84.306281444323204</v>
      </c>
      <c r="AM5264">
        <v>87.374852231126496</v>
      </c>
      <c r="AN5264">
        <v>1.0000000067638499</v>
      </c>
    </row>
    <row r="5265" spans="1:40" x14ac:dyDescent="0.25">
      <c r="A5265" t="str">
        <f>"20190312154709382"</f>
        <v>20190312154709382</v>
      </c>
      <c r="B5265" t="str">
        <f>"1552376829373648"</f>
        <v>1552376829373648</v>
      </c>
      <c r="C5265" t="s">
        <v>40</v>
      </c>
      <c r="D5265">
        <v>5.1268200000000004</v>
      </c>
      <c r="E5265">
        <v>0.35577789999999998</v>
      </c>
      <c r="F5265" t="s">
        <v>71</v>
      </c>
      <c r="G5265">
        <v>-291.85230000000001</v>
      </c>
      <c r="H5265" s="1">
        <v>-9.9262569999999992E-6</v>
      </c>
      <c r="I5265">
        <v>-52.212980000000002</v>
      </c>
      <c r="J5265">
        <v>-297.12810000000002</v>
      </c>
      <c r="K5265">
        <v>1.114862</v>
      </c>
      <c r="L5265">
        <v>-46.83896</v>
      </c>
      <c r="M5265">
        <v>0.47962050000000001</v>
      </c>
      <c r="N5265">
        <v>0</v>
      </c>
      <c r="O5265">
        <v>-0.87734840000000003</v>
      </c>
      <c r="P5265">
        <v>0.4628429</v>
      </c>
      <c r="Q5265">
        <v>4.995351E-2</v>
      </c>
      <c r="R5265">
        <v>-0.88503180000000004</v>
      </c>
      <c r="S5265">
        <v>2.1070250000000001</v>
      </c>
      <c r="T5265">
        <v>-0.36088039999999999</v>
      </c>
      <c r="U5265">
        <v>-2.4890750000000001</v>
      </c>
      <c r="V5265">
        <v>1.7679480000000001E-2</v>
      </c>
      <c r="W5265">
        <v>6.5092120000000003E-2</v>
      </c>
      <c r="X5265">
        <v>0.99772260000000002</v>
      </c>
      <c r="Y5265">
        <v>-0.19700780000000001</v>
      </c>
      <c r="Z5265">
        <v>0.101845</v>
      </c>
      <c r="AA5265">
        <v>0.97509769999999896</v>
      </c>
      <c r="AB5265">
        <v>20</v>
      </c>
      <c r="AC5265">
        <v>5.2758000000000003</v>
      </c>
      <c r="AD5265">
        <v>-1.1148719262569999</v>
      </c>
      <c r="AE5265">
        <v>-5.3740199999999998</v>
      </c>
      <c r="AF5265">
        <v>-2.00745907665083</v>
      </c>
      <c r="AG5265">
        <v>-1.1148719262569999</v>
      </c>
      <c r="AH5265">
        <v>7.0906827502428698</v>
      </c>
      <c r="AI5265">
        <v>98.602727884438707</v>
      </c>
      <c r="AJ5265">
        <v>105.807466918795</v>
      </c>
      <c r="AK5265">
        <v>7.4532283757426701</v>
      </c>
      <c r="AL5265">
        <v>86.267857446862493</v>
      </c>
      <c r="AM5265">
        <v>88.984834474668006</v>
      </c>
      <c r="AN5265">
        <v>0.99999996732496099</v>
      </c>
    </row>
    <row r="5266" spans="1:40" x14ac:dyDescent="0.25">
      <c r="A5266" t="str">
        <f>"20190312154709409"</f>
        <v>20190312154709409</v>
      </c>
      <c r="B5266" t="str">
        <f>"1552376829403905"</f>
        <v>1552376829403905</v>
      </c>
      <c r="C5266" t="s">
        <v>40</v>
      </c>
      <c r="D5266">
        <v>5.0974050000000002</v>
      </c>
      <c r="E5266">
        <v>0.356166599999999</v>
      </c>
      <c r="F5266" t="s">
        <v>71</v>
      </c>
      <c r="G5266">
        <v>-292.22120000000001</v>
      </c>
      <c r="H5266" s="1">
        <v>-9.9230460000000005E-6</v>
      </c>
      <c r="I5266">
        <v>-51.090389999999999</v>
      </c>
      <c r="J5266">
        <v>-297.00810000000001</v>
      </c>
      <c r="K5266">
        <v>1.1147579999999999</v>
      </c>
      <c r="L5266">
        <v>-47.032440000000001</v>
      </c>
      <c r="M5266">
        <v>0.48856549999999999</v>
      </c>
      <c r="N5266">
        <v>0</v>
      </c>
      <c r="O5266">
        <v>-0.87239920000000004</v>
      </c>
      <c r="P5266">
        <v>0.47660550000000002</v>
      </c>
      <c r="Q5266">
        <v>4.4828710000000001E-2</v>
      </c>
      <c r="R5266">
        <v>-0.87797359999999902</v>
      </c>
      <c r="S5266">
        <v>2.4624630000000001</v>
      </c>
      <c r="T5266">
        <v>-0.55948189999999998</v>
      </c>
      <c r="U5266">
        <v>-2.1335139999999999</v>
      </c>
      <c r="V5266">
        <v>1.250065E-2</v>
      </c>
      <c r="W5266">
        <v>5.9894290000000003E-2</v>
      </c>
      <c r="X5266">
        <v>0.99812639999999997</v>
      </c>
      <c r="Y5266">
        <v>-0.32822620000000002</v>
      </c>
      <c r="Z5266">
        <v>0.1620182</v>
      </c>
      <c r="AA5266">
        <v>0.93060069999999995</v>
      </c>
      <c r="AB5266">
        <v>20</v>
      </c>
      <c r="AC5266">
        <v>4.7869000000000002</v>
      </c>
      <c r="AD5266">
        <v>-1.1147679230459999</v>
      </c>
      <c r="AE5266">
        <v>-4.0579499999999902</v>
      </c>
      <c r="AF5266">
        <v>-2.1266504157536299</v>
      </c>
      <c r="AG5266">
        <v>-1.1147679230459999</v>
      </c>
      <c r="AH5266">
        <v>5.69966619314435</v>
      </c>
      <c r="AI5266">
        <v>100.383952141356</v>
      </c>
      <c r="AJ5266">
        <v>110.46147117909899</v>
      </c>
      <c r="AK5266">
        <v>6.1847832804674701</v>
      </c>
      <c r="AL5266">
        <v>86.566254714266805</v>
      </c>
      <c r="AM5266">
        <v>89.282458572640294</v>
      </c>
      <c r="AN5266">
        <v>0.99999995130099195</v>
      </c>
    </row>
    <row r="5267" spans="1:40" x14ac:dyDescent="0.25">
      <c r="A5267" t="str">
        <f>"20190312154709566"</f>
        <v>20190312154709566</v>
      </c>
      <c r="B5267" t="str">
        <f>"1552376829563836"</f>
        <v>1552376829563836</v>
      </c>
      <c r="C5267" t="s">
        <v>40</v>
      </c>
      <c r="D5267">
        <v>5.1642260000000002</v>
      </c>
      <c r="E5267">
        <v>0.35740359999999999</v>
      </c>
      <c r="F5267" t="s">
        <v>71</v>
      </c>
      <c r="G5267">
        <v>-292.2808</v>
      </c>
      <c r="H5267" s="1">
        <v>-9.9114210000000005E-6</v>
      </c>
      <c r="I5267">
        <v>-51.007800000000003</v>
      </c>
      <c r="J5267">
        <v>-296.26990000000001</v>
      </c>
      <c r="K5267">
        <v>1.1143959999999999</v>
      </c>
      <c r="L5267">
        <v>-48.141970000000001</v>
      </c>
      <c r="M5267">
        <v>0.53809940000000001</v>
      </c>
      <c r="N5267">
        <v>0</v>
      </c>
      <c r="O5267">
        <v>-0.84275109999999998</v>
      </c>
      <c r="P5267">
        <v>0.53662940000000003</v>
      </c>
      <c r="Q5267">
        <v>4.3472730000000001E-2</v>
      </c>
      <c r="R5267">
        <v>-0.84269780000000005</v>
      </c>
      <c r="S5267">
        <v>2.4909970000000001</v>
      </c>
      <c r="T5267">
        <v>-0.58740969999999904</v>
      </c>
      <c r="U5267">
        <v>-2.094757</v>
      </c>
      <c r="V5267">
        <v>6.2141659999999995E-4</v>
      </c>
      <c r="W5267">
        <v>5.8294430000000001E-2</v>
      </c>
      <c r="X5267">
        <v>0.99829920000000005</v>
      </c>
      <c r="Y5267">
        <v>-0.28658159999999999</v>
      </c>
      <c r="Z5267">
        <v>0.16418769999999999</v>
      </c>
      <c r="AA5267">
        <v>0.943882</v>
      </c>
      <c r="AB5267">
        <v>19</v>
      </c>
      <c r="AC5267">
        <v>3.9891000000000001</v>
      </c>
      <c r="AD5267">
        <v>-1.1144059114210001</v>
      </c>
      <c r="AE5267">
        <v>-2.8658299999999999</v>
      </c>
      <c r="AF5267">
        <v>-1.7308214112859199</v>
      </c>
      <c r="AG5267">
        <v>-1.1144059114210001</v>
      </c>
      <c r="AH5267">
        <v>4.3388679148335996</v>
      </c>
      <c r="AI5267">
        <v>103.41779387494699</v>
      </c>
      <c r="AJ5267">
        <v>111.74759212545101</v>
      </c>
      <c r="AK5267">
        <v>4.8024387633314403</v>
      </c>
      <c r="AL5267">
        <v>86.658080457156501</v>
      </c>
      <c r="AM5267">
        <v>89.964334796721502</v>
      </c>
      <c r="AN5267">
        <v>0.99999995972412703</v>
      </c>
    </row>
    <row r="5268" spans="1:40" x14ac:dyDescent="0.25">
      <c r="A5268" t="str">
        <f>"20190312154709606"</f>
        <v>20190312154709606</v>
      </c>
      <c r="B5268" t="str">
        <f>"1552376829603852"</f>
        <v>1552376829603852</v>
      </c>
      <c r="C5268" t="s">
        <v>40</v>
      </c>
      <c r="D5268">
        <v>5.2026700000000003</v>
      </c>
      <c r="E5268">
        <v>0.36362939999999999</v>
      </c>
      <c r="F5268" t="s">
        <v>71</v>
      </c>
      <c r="G5268">
        <v>-285.85789999999997</v>
      </c>
      <c r="H5268" s="1">
        <v>-4.1920179999999999E-6</v>
      </c>
      <c r="I5268">
        <v>-55.820970000000003</v>
      </c>
      <c r="J5268">
        <v>-296.07319999999999</v>
      </c>
      <c r="K5268">
        <v>1.1143970000000001</v>
      </c>
      <c r="L5268">
        <v>-48.416110000000003</v>
      </c>
      <c r="M5268">
        <v>0.55018279999999997</v>
      </c>
      <c r="N5268">
        <v>0</v>
      </c>
      <c r="O5268">
        <v>-0.83491299999999902</v>
      </c>
      <c r="P5268">
        <v>0.54990349999999999</v>
      </c>
      <c r="Q5268">
        <v>4.3460600000000002E-2</v>
      </c>
      <c r="R5268">
        <v>-0.83409679999999997</v>
      </c>
      <c r="S5268">
        <v>2.6008300000000002</v>
      </c>
      <c r="T5268">
        <v>-0.27836820000000001</v>
      </c>
      <c r="U5268">
        <v>-1.9181520000000001</v>
      </c>
      <c r="V5268">
        <v>-8.0288399999999904E-4</v>
      </c>
      <c r="W5268">
        <v>5.824969E-2</v>
      </c>
      <c r="X5268">
        <v>0.99830169999999996</v>
      </c>
      <c r="Y5268">
        <v>-0.34238930000000001</v>
      </c>
      <c r="Z5268">
        <v>8.0058580000000004E-2</v>
      </c>
      <c r="AA5268">
        <v>0.93614109999999995</v>
      </c>
      <c r="AB5268">
        <v>19</v>
      </c>
      <c r="AC5268">
        <v>10.215299999999999</v>
      </c>
      <c r="AD5268">
        <v>-1.1144011920179999</v>
      </c>
      <c r="AE5268">
        <v>-7.4048599999999896</v>
      </c>
      <c r="AF5268">
        <v>-4.4208587158901302</v>
      </c>
      <c r="AG5268">
        <v>-1.1144011920179999</v>
      </c>
      <c r="AH5268">
        <v>11.712612885116499</v>
      </c>
      <c r="AI5268">
        <v>95.086815049853698</v>
      </c>
      <c r="AJ5268">
        <v>110.678727221234</v>
      </c>
      <c r="AK5268">
        <v>12.568658735093001</v>
      </c>
      <c r="AL5268">
        <v>86.660648293569295</v>
      </c>
      <c r="AM5268">
        <v>90.046080112575495</v>
      </c>
      <c r="AN5268">
        <v>0.99999997761535098</v>
      </c>
    </row>
    <row r="5269" spans="1:40" x14ac:dyDescent="0.25">
      <c r="A5269" t="str">
        <f>"20190312154709630"</f>
        <v>20190312154709630</v>
      </c>
      <c r="B5269" t="str">
        <f>"1552376829623880"</f>
        <v>1552376829623880</v>
      </c>
      <c r="C5269" t="s">
        <v>40</v>
      </c>
      <c r="D5269">
        <v>5.3042699999999998</v>
      </c>
      <c r="E5269">
        <v>0.36477789999999999</v>
      </c>
      <c r="F5269" t="s">
        <v>71</v>
      </c>
      <c r="G5269">
        <v>-286.27330000000001</v>
      </c>
      <c r="H5269" s="1">
        <v>-4.0192030000000003E-6</v>
      </c>
      <c r="I5269">
        <v>-55.617550000000001</v>
      </c>
      <c r="J5269">
        <v>-295.95030000000003</v>
      </c>
      <c r="K5269">
        <v>1.1144000000000001</v>
      </c>
      <c r="L5269">
        <v>-48.583069999999999</v>
      </c>
      <c r="M5269">
        <v>0.55757570000000001</v>
      </c>
      <c r="N5269">
        <v>0</v>
      </c>
      <c r="O5269">
        <v>-0.82999429999999996</v>
      </c>
      <c r="P5269">
        <v>0.55853560000000002</v>
      </c>
      <c r="Q5269">
        <v>4.4602070000000001E-2</v>
      </c>
      <c r="R5269">
        <v>-0.82828099999999905</v>
      </c>
      <c r="S5269">
        <v>2.5909119999999999</v>
      </c>
      <c r="T5269">
        <v>-0.29462729999999998</v>
      </c>
      <c r="U5269">
        <v>-1.903931</v>
      </c>
      <c r="V5269">
        <v>-2.3498170000000001E-3</v>
      </c>
      <c r="W5269">
        <v>5.9365460000000002E-2</v>
      </c>
      <c r="X5269">
        <v>0.99823360000000005</v>
      </c>
      <c r="Y5269">
        <v>-0.3352888</v>
      </c>
      <c r="Z5269">
        <v>8.4607710000000003E-2</v>
      </c>
      <c r="AA5269">
        <v>0.93830860000000005</v>
      </c>
      <c r="AB5269">
        <v>19</v>
      </c>
      <c r="AC5269">
        <v>9.6770000000000191</v>
      </c>
      <c r="AD5269">
        <v>-1.114404019203</v>
      </c>
      <c r="AE5269">
        <v>-7.0344800000000003</v>
      </c>
      <c r="AF5269">
        <v>-4.0746940562571501</v>
      </c>
      <c r="AG5269">
        <v>-1.114404019203</v>
      </c>
      <c r="AH5269">
        <v>11.138818190991</v>
      </c>
      <c r="AI5269">
        <v>95.367617363837994</v>
      </c>
      <c r="AJ5269">
        <v>110.09303849407</v>
      </c>
      <c r="AK5269">
        <v>11.912946682583</v>
      </c>
      <c r="AL5269">
        <v>86.596608791686094</v>
      </c>
      <c r="AM5269">
        <v>90.134872586987498</v>
      </c>
      <c r="AN5269">
        <v>1.0000000498249499</v>
      </c>
    </row>
    <row r="5270" spans="1:40" x14ac:dyDescent="0.25">
      <c r="A5270" t="str">
        <f>"20190312154709655"</f>
        <v>20190312154709655</v>
      </c>
      <c r="B5270" t="str">
        <f>"1552376829643399"</f>
        <v>1552376829643399</v>
      </c>
      <c r="C5270" t="s">
        <v>40</v>
      </c>
      <c r="D5270">
        <v>5.214817</v>
      </c>
      <c r="E5270">
        <v>0.3663477</v>
      </c>
      <c r="F5270" t="s">
        <v>71</v>
      </c>
      <c r="G5270">
        <v>-286.4753</v>
      </c>
      <c r="H5270" s="1">
        <v>-3.9501979999999901E-6</v>
      </c>
      <c r="I5270">
        <v>-55.434179999999998</v>
      </c>
      <c r="J5270">
        <v>-295.83080000000001</v>
      </c>
      <c r="K5270">
        <v>1.1144000000000001</v>
      </c>
      <c r="L5270">
        <v>-48.742489999999997</v>
      </c>
      <c r="M5270">
        <v>0.56465759999999998</v>
      </c>
      <c r="N5270">
        <v>0</v>
      </c>
      <c r="O5270">
        <v>-0.82519259999999905</v>
      </c>
      <c r="P5270">
        <v>0.56748520000000002</v>
      </c>
      <c r="Q5270">
        <v>4.4121800000000003E-2</v>
      </c>
      <c r="R5270">
        <v>-0.82220059999999995</v>
      </c>
      <c r="S5270">
        <v>2.603729</v>
      </c>
      <c r="T5270">
        <v>-0.30623899999999998</v>
      </c>
      <c r="U5270">
        <v>-1.88269</v>
      </c>
      <c r="V5270">
        <v>-4.6142559999999997E-3</v>
      </c>
      <c r="W5270">
        <v>5.8854709999999998E-2</v>
      </c>
      <c r="X5270">
        <v>0.99825589999999997</v>
      </c>
      <c r="Y5270">
        <v>-0.3341847</v>
      </c>
      <c r="Z5270">
        <v>8.760706E-2</v>
      </c>
      <c r="AA5270">
        <v>0.93842720000000002</v>
      </c>
      <c r="AB5270">
        <v>19</v>
      </c>
      <c r="AC5270">
        <v>9.3554999999999993</v>
      </c>
      <c r="AD5270">
        <v>-1.1144039501980001</v>
      </c>
      <c r="AE5270">
        <v>-6.6916900000000004</v>
      </c>
      <c r="AF5270">
        <v>-3.9053491025627101</v>
      </c>
      <c r="AG5270">
        <v>-1.1144039501980001</v>
      </c>
      <c r="AH5270">
        <v>10.705283302883201</v>
      </c>
      <c r="AI5270">
        <v>95.5854402968519</v>
      </c>
      <c r="AJ5270">
        <v>110.042261201419</v>
      </c>
      <c r="AK5270">
        <v>11.4497483977638</v>
      </c>
      <c r="AL5270">
        <v>86.625923717021095</v>
      </c>
      <c r="AM5270">
        <v>90.264837414471501</v>
      </c>
      <c r="AN5270">
        <v>1.0000000050662099</v>
      </c>
    </row>
    <row r="5271" spans="1:40" x14ac:dyDescent="0.25">
      <c r="A5271" t="str">
        <f>"20190312154709675"</f>
        <v>20190312154709675</v>
      </c>
      <c r="B5271" t="str">
        <f>"1552376829663895"</f>
        <v>1552376829663895</v>
      </c>
      <c r="C5271" t="s">
        <v>40</v>
      </c>
      <c r="D5271">
        <v>5.2102139999999997</v>
      </c>
      <c r="E5271">
        <v>0.36806739999999999</v>
      </c>
      <c r="F5271" t="s">
        <v>71</v>
      </c>
      <c r="G5271">
        <v>-286.90320000000003</v>
      </c>
      <c r="H5271" s="1">
        <v>-3.7943190000000001E-6</v>
      </c>
      <c r="I5271">
        <v>-55.100169999999999</v>
      </c>
      <c r="J5271">
        <v>-295.7244</v>
      </c>
      <c r="K5271">
        <v>1.114387</v>
      </c>
      <c r="L5271">
        <v>-48.882199999999997</v>
      </c>
      <c r="M5271">
        <v>0.57087809999999894</v>
      </c>
      <c r="N5271">
        <v>0</v>
      </c>
      <c r="O5271">
        <v>-0.82090169999999996</v>
      </c>
      <c r="P5271">
        <v>0.5750499</v>
      </c>
      <c r="Q5271">
        <v>4.2564850000000001E-2</v>
      </c>
      <c r="R5271">
        <v>-0.81701020000000002</v>
      </c>
      <c r="S5271">
        <v>2.6144099999999999</v>
      </c>
      <c r="T5271">
        <v>-0.32634829999999998</v>
      </c>
      <c r="U5271">
        <v>-1.8618159999999999</v>
      </c>
      <c r="V5271">
        <v>-6.220387E-3</v>
      </c>
      <c r="W5271">
        <v>5.727666E-2</v>
      </c>
      <c r="X5271">
        <v>0.99833890000000003</v>
      </c>
      <c r="Y5271">
        <v>-0.3333489</v>
      </c>
      <c r="Z5271">
        <v>9.3065270000000005E-2</v>
      </c>
      <c r="AA5271">
        <v>0.93819900000000001</v>
      </c>
      <c r="AB5271">
        <v>19</v>
      </c>
      <c r="AC5271">
        <v>8.8211999999999708</v>
      </c>
      <c r="AD5271">
        <v>-1.1143907943189999</v>
      </c>
      <c r="AE5271">
        <v>-6.2179700000000002</v>
      </c>
      <c r="AF5271">
        <v>-3.6530897337655301</v>
      </c>
      <c r="AG5271">
        <v>-1.1143907943189999</v>
      </c>
      <c r="AH5271">
        <v>10.034295536634501</v>
      </c>
      <c r="AI5271">
        <v>95.957682006539102</v>
      </c>
      <c r="AJ5271">
        <v>110.004562101562</v>
      </c>
      <c r="AK5271">
        <v>10.736573865155</v>
      </c>
      <c r="AL5271">
        <v>86.716491907976305</v>
      </c>
      <c r="AM5271">
        <v>90.356990306655604</v>
      </c>
      <c r="AN5271">
        <v>0.99999993412419497</v>
      </c>
    </row>
    <row r="5272" spans="1:40" x14ac:dyDescent="0.25">
      <c r="A5272" t="str">
        <f>"20190312154709698"</f>
        <v>20190312154709698</v>
      </c>
      <c r="B5272" t="str">
        <f>"1552376829693176"</f>
        <v>1552376829693176</v>
      </c>
      <c r="C5272" t="s">
        <v>40</v>
      </c>
      <c r="D5272">
        <v>5.3334679999999999</v>
      </c>
      <c r="E5272">
        <v>0.36968329999999999</v>
      </c>
      <c r="F5272" t="s">
        <v>71</v>
      </c>
      <c r="G5272">
        <v>-286.91030000000001</v>
      </c>
      <c r="H5272" s="1">
        <v>-3.7922120000000002E-6</v>
      </c>
      <c r="I5272">
        <v>-55.092039999999997</v>
      </c>
      <c r="J5272">
        <v>-295.6114</v>
      </c>
      <c r="K5272">
        <v>1.114366</v>
      </c>
      <c r="L5272">
        <v>-49.028170000000003</v>
      </c>
      <c r="M5272">
        <v>0.57739019999999996</v>
      </c>
      <c r="N5272">
        <v>0</v>
      </c>
      <c r="O5272">
        <v>-0.81633469999999997</v>
      </c>
      <c r="P5272">
        <v>0.58312769999999903</v>
      </c>
      <c r="Q5272">
        <v>4.1451750000000002E-2</v>
      </c>
      <c r="R5272">
        <v>-0.81132249999999995</v>
      </c>
      <c r="S5272">
        <v>2.6194459999999999</v>
      </c>
      <c r="T5272">
        <v>-0.33118379999999997</v>
      </c>
      <c r="U5272">
        <v>-1.8454900000000001</v>
      </c>
      <c r="V5272">
        <v>-8.1393639999999996E-3</v>
      </c>
      <c r="W5272">
        <v>5.6138859999999999E-2</v>
      </c>
      <c r="X5272">
        <v>0.99838979999999999</v>
      </c>
      <c r="Y5272">
        <v>-0.33048640000000001</v>
      </c>
      <c r="Z5272">
        <v>9.4142569999999995E-2</v>
      </c>
      <c r="AA5272">
        <v>0.93910380000000004</v>
      </c>
      <c r="AB5272">
        <v>19</v>
      </c>
      <c r="AC5272">
        <v>8.7010999999999896</v>
      </c>
      <c r="AD5272">
        <v>-1.1143697922119999</v>
      </c>
      <c r="AE5272">
        <v>-6.0638699999999996</v>
      </c>
      <c r="AF5272">
        <v>-3.5628485320265901</v>
      </c>
      <c r="AG5272">
        <v>-1.1143697922119999</v>
      </c>
      <c r="AH5272">
        <v>9.8662386042565196</v>
      </c>
      <c r="AI5272">
        <v>96.063978615675396</v>
      </c>
      <c r="AJ5272">
        <v>109.855420618685</v>
      </c>
      <c r="AK5272">
        <v>10.548856520594001</v>
      </c>
      <c r="AL5272">
        <v>86.781788361250605</v>
      </c>
      <c r="AM5272">
        <v>90.467092986942802</v>
      </c>
      <c r="AN5272">
        <v>1.00000000679623</v>
      </c>
    </row>
    <row r="5273" spans="1:40" x14ac:dyDescent="0.25">
      <c r="A5273" t="str">
        <f>"20190312154709948"</f>
        <v>20190312154709948</v>
      </c>
      <c r="B5273" t="str">
        <f>"1552376829943032"</f>
        <v>1552376829943032</v>
      </c>
      <c r="C5273" t="s">
        <v>40</v>
      </c>
      <c r="D5273">
        <v>5.0331869999999999</v>
      </c>
      <c r="E5273">
        <v>0.36922450000000001</v>
      </c>
      <c r="F5273" t="s">
        <v>71</v>
      </c>
      <c r="G5273">
        <v>-287.19630000000001</v>
      </c>
      <c r="H5273" s="1">
        <v>-3.6855309999999999E-6</v>
      </c>
      <c r="I5273">
        <v>-54.882899999999999</v>
      </c>
      <c r="J5273">
        <v>-294.2756</v>
      </c>
      <c r="K5273">
        <v>1.1141639999999999</v>
      </c>
      <c r="L5273">
        <v>-50.590150000000001</v>
      </c>
      <c r="M5273">
        <v>0.64743099999999998</v>
      </c>
      <c r="N5273">
        <v>0</v>
      </c>
      <c r="O5273">
        <v>-0.7619823</v>
      </c>
      <c r="P5273">
        <v>0.66546419999999995</v>
      </c>
      <c r="Q5273">
        <v>3.8525230000000001E-2</v>
      </c>
      <c r="R5273">
        <v>-0.74543499999999996</v>
      </c>
      <c r="S5273">
        <v>2.626709</v>
      </c>
      <c r="T5273">
        <v>-0.3478426</v>
      </c>
      <c r="U5273">
        <v>-1.827515</v>
      </c>
      <c r="V5273">
        <v>-2.496174E-2</v>
      </c>
      <c r="W5273">
        <v>5.2975950000000001E-2</v>
      </c>
      <c r="X5273">
        <v>0.9982837</v>
      </c>
      <c r="Y5273">
        <v>-0.2513225</v>
      </c>
      <c r="Z5273">
        <v>9.1426629999999995E-2</v>
      </c>
      <c r="AA5273">
        <v>0.96357570000000003</v>
      </c>
      <c r="AB5273">
        <v>19</v>
      </c>
      <c r="AC5273">
        <v>7.0792999999999804</v>
      </c>
      <c r="AD5273">
        <v>-1.1141676855310001</v>
      </c>
      <c r="AE5273">
        <v>-4.2927499999999901</v>
      </c>
      <c r="AF5273">
        <v>-2.5688021456738999</v>
      </c>
      <c r="AG5273">
        <v>-1.1141676855310001</v>
      </c>
      <c r="AH5273">
        <v>7.7154753748035603</v>
      </c>
      <c r="AI5273">
        <v>97.801660533539803</v>
      </c>
      <c r="AJ5273">
        <v>108.41474243655099</v>
      </c>
      <c r="AK5273">
        <v>8.2078422471621906</v>
      </c>
      <c r="AL5273">
        <v>86.963279943032902</v>
      </c>
      <c r="AM5273">
        <v>91.432362757466294</v>
      </c>
      <c r="AN5273">
        <v>0.99999994271395798</v>
      </c>
    </row>
    <row r="5274" spans="1:40" x14ac:dyDescent="0.25">
      <c r="A5274" t="str">
        <f>"20190312154709986"</f>
        <v>20190312154709986</v>
      </c>
      <c r="B5274" t="str">
        <f>"1552376829983048"</f>
        <v>1552376829983048</v>
      </c>
      <c r="C5274" t="s">
        <v>40</v>
      </c>
      <c r="D5274">
        <v>5.0721540000000003</v>
      </c>
      <c r="E5274">
        <v>0.37014960000000002</v>
      </c>
      <c r="F5274" t="s">
        <v>71</v>
      </c>
      <c r="G5274">
        <v>-285.62349999999998</v>
      </c>
      <c r="H5274" s="1">
        <v>-4.3944459999999998E-6</v>
      </c>
      <c r="I5274">
        <v>-55.346649999999997</v>
      </c>
      <c r="J5274">
        <v>-294.06360000000001</v>
      </c>
      <c r="K5274">
        <v>1.1141259999999999</v>
      </c>
      <c r="L5274">
        <v>-50.813870000000001</v>
      </c>
      <c r="M5274">
        <v>0.65751029999999999</v>
      </c>
      <c r="N5274">
        <v>0</v>
      </c>
      <c r="O5274">
        <v>-0.75330220000000003</v>
      </c>
      <c r="P5274">
        <v>0.67353839999999998</v>
      </c>
      <c r="Q5274">
        <v>3.5972610000000002E-2</v>
      </c>
      <c r="R5274">
        <v>-0.7382765</v>
      </c>
      <c r="S5274">
        <v>2.8029480000000002</v>
      </c>
      <c r="T5274">
        <v>-0.36094769999999998</v>
      </c>
      <c r="U5274">
        <v>-1.540924</v>
      </c>
      <c r="V5274">
        <v>-2.2433140000000001E-2</v>
      </c>
      <c r="W5274">
        <v>5.0439699999999997E-2</v>
      </c>
      <c r="X5274">
        <v>0.99847509999999995</v>
      </c>
      <c r="Y5274">
        <v>-0.33801730000000002</v>
      </c>
      <c r="Z5274">
        <v>9.7495449999999997E-2</v>
      </c>
      <c r="AA5274">
        <v>0.93607629999999997</v>
      </c>
      <c r="AB5274">
        <v>18</v>
      </c>
      <c r="AC5274">
        <v>8.4401000000000295</v>
      </c>
      <c r="AD5274">
        <v>-1.1141303944459999</v>
      </c>
      <c r="AE5274">
        <v>-4.53277999999999</v>
      </c>
      <c r="AF5274">
        <v>-3.33288597635728</v>
      </c>
      <c r="AG5274">
        <v>-1.1141303944459999</v>
      </c>
      <c r="AH5274">
        <v>8.8453462552766595</v>
      </c>
      <c r="AI5274">
        <v>96.722276827793294</v>
      </c>
      <c r="AJ5274">
        <v>110.64617943648901</v>
      </c>
      <c r="AK5274">
        <v>9.5178551072688808</v>
      </c>
      <c r="AL5274">
        <v>87.108791139116704</v>
      </c>
      <c r="AM5274">
        <v>91.287070692395005</v>
      </c>
      <c r="AN5274">
        <v>0.99999996721317896</v>
      </c>
    </row>
    <row r="5275" spans="1:40" x14ac:dyDescent="0.25">
      <c r="A5275" t="str">
        <f>"20190312154710008"</f>
        <v>20190312154710008</v>
      </c>
      <c r="B5275" t="str">
        <f>"1552376830003544"</f>
        <v>1552376830003544</v>
      </c>
      <c r="C5275" t="s">
        <v>40</v>
      </c>
      <c r="D5275">
        <v>5.0705119999999999</v>
      </c>
      <c r="E5275">
        <v>0.37081389999999997</v>
      </c>
      <c r="F5275" t="s">
        <v>71</v>
      </c>
      <c r="G5275">
        <v>-285.18990000000002</v>
      </c>
      <c r="H5275" s="1">
        <v>-4.5690550000000003E-6</v>
      </c>
      <c r="I5275">
        <v>-55.591479999999997</v>
      </c>
      <c r="J5275">
        <v>-293.9375</v>
      </c>
      <c r="K5275">
        <v>1.1141049999999999</v>
      </c>
      <c r="L5275">
        <v>-50.944029999999998</v>
      </c>
      <c r="M5275">
        <v>0.66338589999999997</v>
      </c>
      <c r="N5275">
        <v>0</v>
      </c>
      <c r="O5275">
        <v>-0.74813339999999995</v>
      </c>
      <c r="P5275">
        <v>0.67894480000000001</v>
      </c>
      <c r="Q5275">
        <v>3.6338009999999997E-2</v>
      </c>
      <c r="R5275">
        <v>-0.73328959999999999</v>
      </c>
      <c r="S5275">
        <v>2.812897</v>
      </c>
      <c r="T5275">
        <v>-0.35317080000000001</v>
      </c>
      <c r="U5275">
        <v>-1.514465</v>
      </c>
      <c r="V5275">
        <v>-2.1968049999999999E-2</v>
      </c>
      <c r="W5275">
        <v>5.0804019999999998E-2</v>
      </c>
      <c r="X5275">
        <v>0.99846699999999999</v>
      </c>
      <c r="Y5275">
        <v>-0.33909519999999999</v>
      </c>
      <c r="Z5275">
        <v>9.5118190000000005E-2</v>
      </c>
      <c r="AA5275">
        <v>0.93593110000000002</v>
      </c>
      <c r="AB5275">
        <v>18</v>
      </c>
      <c r="AC5275">
        <v>8.7475999999999701</v>
      </c>
      <c r="AD5275">
        <v>-1.11410956905499</v>
      </c>
      <c r="AE5275">
        <v>-4.6474500000000001</v>
      </c>
      <c r="AF5275">
        <v>-3.4184476131116401</v>
      </c>
      <c r="AG5275">
        <v>-1.11410956905499</v>
      </c>
      <c r="AH5275">
        <v>9.1650072005692191</v>
      </c>
      <c r="AI5275">
        <v>96.497785204269505</v>
      </c>
      <c r="AJ5275">
        <v>110.4549661838</v>
      </c>
      <c r="AK5275">
        <v>9.8450180904828297</v>
      </c>
      <c r="AL5275">
        <v>87.087890429302803</v>
      </c>
      <c r="AM5275">
        <v>91.260405710735199</v>
      </c>
      <c r="AN5275">
        <v>0.999999996878981</v>
      </c>
    </row>
    <row r="5276" spans="1:40" x14ac:dyDescent="0.25">
      <c r="A5276" t="str">
        <f>"20190312154710030"</f>
        <v>20190312154710030</v>
      </c>
      <c r="B5276" t="str">
        <f>"1552376830023064"</f>
        <v>1552376830023064</v>
      </c>
      <c r="C5276" t="s">
        <v>40</v>
      </c>
      <c r="D5276">
        <v>5.0168809999999997</v>
      </c>
      <c r="E5276">
        <v>0.37123830000000002</v>
      </c>
      <c r="F5276" t="s">
        <v>71</v>
      </c>
      <c r="G5276">
        <v>-284.9504</v>
      </c>
      <c r="H5276" s="1">
        <v>-4.666896E-6</v>
      </c>
      <c r="I5276">
        <v>-55.717289999999998</v>
      </c>
      <c r="J5276">
        <v>-293.81040000000002</v>
      </c>
      <c r="K5276">
        <v>1.1140840000000001</v>
      </c>
      <c r="L5276">
        <v>-51.073300000000003</v>
      </c>
      <c r="M5276">
        <v>0.66922440000000005</v>
      </c>
      <c r="N5276">
        <v>0</v>
      </c>
      <c r="O5276">
        <v>-0.74291569999999996</v>
      </c>
      <c r="P5276">
        <v>0.68441350000000001</v>
      </c>
      <c r="Q5276">
        <v>3.7900650000000001E-2</v>
      </c>
      <c r="R5276">
        <v>-0.72810889999999995</v>
      </c>
      <c r="S5276">
        <v>2.8198240000000001</v>
      </c>
      <c r="T5276">
        <v>-0.34956809999999899</v>
      </c>
      <c r="U5276">
        <v>-1.497681</v>
      </c>
      <c r="V5276">
        <v>-2.1685880000000001E-2</v>
      </c>
      <c r="W5276">
        <v>5.2362159999999998E-2</v>
      </c>
      <c r="X5276">
        <v>0.99839270000000002</v>
      </c>
      <c r="Y5276">
        <v>-0.33716000000000002</v>
      </c>
      <c r="Z5276">
        <v>9.3676019999999999E-2</v>
      </c>
      <c r="AA5276">
        <v>0.93677529999999998</v>
      </c>
      <c r="AB5276">
        <v>18</v>
      </c>
      <c r="AC5276">
        <v>8.8600000000000101</v>
      </c>
      <c r="AD5276">
        <v>-1.1140886668959999</v>
      </c>
      <c r="AE5276">
        <v>-4.6439899999999996</v>
      </c>
      <c r="AF5276">
        <v>-3.4321635816660598</v>
      </c>
      <c r="AG5276">
        <v>-1.1140886668959999</v>
      </c>
      <c r="AH5276">
        <v>9.2655028589531092</v>
      </c>
      <c r="AI5276">
        <v>96.433124268640697</v>
      </c>
      <c r="AJ5276">
        <v>110.32583317025799</v>
      </c>
      <c r="AK5276">
        <v>9.9433637989509993</v>
      </c>
      <c r="AL5276">
        <v>86.998496658914704</v>
      </c>
      <c r="AM5276">
        <v>91.244314037946793</v>
      </c>
      <c r="AN5276">
        <v>1.0000000283022601</v>
      </c>
    </row>
    <row r="5277" spans="1:40" x14ac:dyDescent="0.25">
      <c r="A5277" t="str">
        <f>"20190312154710097"</f>
        <v>20190312154710097</v>
      </c>
      <c r="B5277" t="str">
        <f>"1552376830093336"</f>
        <v>1552376830093336</v>
      </c>
      <c r="C5277" t="s">
        <v>40</v>
      </c>
      <c r="D5277">
        <v>3.8759679999999999</v>
      </c>
      <c r="E5277">
        <v>0.37075269999999999</v>
      </c>
      <c r="F5277" t="s">
        <v>71</v>
      </c>
      <c r="G5277">
        <v>-284.74090000000001</v>
      </c>
      <c r="H5277" s="1">
        <v>-4.7469820000000004E-6</v>
      </c>
      <c r="I5277">
        <v>-55.815719999999999</v>
      </c>
      <c r="J5277">
        <v>-293.43220000000002</v>
      </c>
      <c r="K5277">
        <v>1.1140429999999999</v>
      </c>
      <c r="L5277">
        <v>-51.44614</v>
      </c>
      <c r="M5277">
        <v>0.68609229999999999</v>
      </c>
      <c r="N5277">
        <v>0</v>
      </c>
      <c r="O5277">
        <v>-0.72736699999999999</v>
      </c>
      <c r="P5277">
        <v>0.70027669999999997</v>
      </c>
      <c r="Q5277">
        <v>3.5413409999999999E-2</v>
      </c>
      <c r="R5277">
        <v>-0.71299290000000004</v>
      </c>
      <c r="S5277">
        <v>2.8288880000000001</v>
      </c>
      <c r="T5277">
        <v>-0.34749780000000002</v>
      </c>
      <c r="U5277">
        <v>-1.4792179999999999</v>
      </c>
      <c r="V5277">
        <v>-2.06421E-2</v>
      </c>
      <c r="W5277">
        <v>4.9868700000000002E-2</v>
      </c>
      <c r="X5277">
        <v>0.99854240000000005</v>
      </c>
      <c r="Y5277">
        <v>-0.32175280000000001</v>
      </c>
      <c r="Z5277">
        <v>9.1154579999999999E-2</v>
      </c>
      <c r="AA5277">
        <v>0.94242559999999997</v>
      </c>
      <c r="AB5277">
        <v>18</v>
      </c>
      <c r="AC5277">
        <v>8.6913000000000107</v>
      </c>
      <c r="AD5277">
        <v>-1.114047746982</v>
      </c>
      <c r="AE5277">
        <v>-4.3695799999999902</v>
      </c>
      <c r="AF5277">
        <v>-3.2811538295746399</v>
      </c>
      <c r="AG5277">
        <v>-1.114047746982</v>
      </c>
      <c r="AH5277">
        <v>9.0239537391514499</v>
      </c>
      <c r="AI5277">
        <v>96.618032810555107</v>
      </c>
      <c r="AJ5277">
        <v>109.98151449354</v>
      </c>
      <c r="AK5277">
        <v>9.6663754283719694</v>
      </c>
      <c r="AL5277">
        <v>87.141548218412396</v>
      </c>
      <c r="AM5277">
        <v>91.184262962288997</v>
      </c>
      <c r="AN5277">
        <v>0.99999995406492803</v>
      </c>
    </row>
    <row r="5278" spans="1:40" x14ac:dyDescent="0.25">
      <c r="A5278" t="str">
        <f>"20190312154710120"</f>
        <v>20190312154710120</v>
      </c>
      <c r="B5278" t="str">
        <f>"1552376830113831"</f>
        <v>1552376830113831</v>
      </c>
      <c r="C5278" t="s">
        <v>40</v>
      </c>
      <c r="D5278">
        <v>5.0437149999999997</v>
      </c>
      <c r="E5278">
        <v>0.37247550000000001</v>
      </c>
      <c r="F5278" t="s">
        <v>71</v>
      </c>
      <c r="G5278">
        <v>-284.40269999999998</v>
      </c>
      <c r="H5278" s="1">
        <v>-4.889141E-6</v>
      </c>
      <c r="I5278">
        <v>-55.901969999999999</v>
      </c>
      <c r="J5278">
        <v>-293.29860000000002</v>
      </c>
      <c r="K5278">
        <v>1.1140300000000001</v>
      </c>
      <c r="L5278">
        <v>-51.573880000000003</v>
      </c>
      <c r="M5278">
        <v>0.69188109999999903</v>
      </c>
      <c r="N5278">
        <v>0</v>
      </c>
      <c r="O5278">
        <v>-0.72186280000000003</v>
      </c>
      <c r="P5278">
        <v>0.70541599999999904</v>
      </c>
      <c r="Q5278">
        <v>3.5213460000000002E-2</v>
      </c>
      <c r="R5278">
        <v>-0.7079183</v>
      </c>
      <c r="S5278">
        <v>2.8632810000000002</v>
      </c>
      <c r="T5278">
        <v>-0.353269</v>
      </c>
      <c r="U5278">
        <v>-1.4129640000000001</v>
      </c>
      <c r="V5278">
        <v>-1.987713E-2</v>
      </c>
      <c r="W5278">
        <v>4.9670100000000002E-2</v>
      </c>
      <c r="X5278">
        <v>0.99856789999999995</v>
      </c>
      <c r="Y5278">
        <v>-0.3360011</v>
      </c>
      <c r="Z5278">
        <v>9.2732560000000006E-2</v>
      </c>
      <c r="AA5278">
        <v>0.93728540000000005</v>
      </c>
      <c r="AB5278">
        <v>18</v>
      </c>
      <c r="AC5278">
        <v>8.8959000000000401</v>
      </c>
      <c r="AD5278">
        <v>-1.1140348891409999</v>
      </c>
      <c r="AE5278">
        <v>-4.3280900000000004</v>
      </c>
      <c r="AF5278">
        <v>-3.3845443441724301</v>
      </c>
      <c r="AG5278">
        <v>-1.1140348891409999</v>
      </c>
      <c r="AH5278">
        <v>9.1639805765975098</v>
      </c>
      <c r="AI5278">
        <v>96.505767063895206</v>
      </c>
      <c r="AJ5278">
        <v>110.270763404069</v>
      </c>
      <c r="AK5278">
        <v>9.8323320814621304</v>
      </c>
      <c r="AL5278">
        <v>87.152941510458604</v>
      </c>
      <c r="AM5278">
        <v>91.140358380257197</v>
      </c>
      <c r="AN5278">
        <v>1.0000000350207201</v>
      </c>
    </row>
    <row r="5279" spans="1:40" x14ac:dyDescent="0.25">
      <c r="A5279" t="str">
        <f>"20190312154710144"</f>
        <v>20190312154710144</v>
      </c>
      <c r="B5279" t="str">
        <f>"1552376830133352"</f>
        <v>1552376830133352</v>
      </c>
      <c r="C5279" t="s">
        <v>40</v>
      </c>
      <c r="D5279">
        <v>5.0813160000000002</v>
      </c>
      <c r="E5279">
        <v>0.37414920000000002</v>
      </c>
      <c r="F5279" t="s">
        <v>71</v>
      </c>
      <c r="G5279">
        <v>-283.63339999999999</v>
      </c>
      <c r="H5279" s="1">
        <v>-5.1758579999999898E-6</v>
      </c>
      <c r="I5279">
        <v>-56.304499999999997</v>
      </c>
      <c r="J5279">
        <v>-293.16399999999999</v>
      </c>
      <c r="K5279">
        <v>1.114009</v>
      </c>
      <c r="L5279">
        <v>-51.700620000000001</v>
      </c>
      <c r="M5279">
        <v>0.69762729999999995</v>
      </c>
      <c r="N5279">
        <v>0</v>
      </c>
      <c r="O5279">
        <v>-0.71631129999999998</v>
      </c>
      <c r="P5279">
        <v>0.71049629999999997</v>
      </c>
      <c r="Q5279">
        <v>3.5073020000000003E-2</v>
      </c>
      <c r="R5279">
        <v>-0.70282670000000003</v>
      </c>
      <c r="S5279">
        <v>2.8630369999999998</v>
      </c>
      <c r="T5279">
        <v>-0.32999990000000001</v>
      </c>
      <c r="U5279">
        <v>-1.4013059999999999</v>
      </c>
      <c r="V5279">
        <v>-1.9081130000000002E-2</v>
      </c>
      <c r="W5279">
        <v>4.9530570000000003E-2</v>
      </c>
      <c r="X5279">
        <v>0.99859039999999999</v>
      </c>
      <c r="Y5279">
        <v>-0.33220260000000001</v>
      </c>
      <c r="Z5279">
        <v>8.6197289999999996E-2</v>
      </c>
      <c r="AA5279">
        <v>0.93926109999999896</v>
      </c>
      <c r="AB5279">
        <v>18</v>
      </c>
      <c r="AC5279">
        <v>9.5305999999999909</v>
      </c>
      <c r="AD5279">
        <v>-1.114014175858</v>
      </c>
      <c r="AE5279">
        <v>-4.6038799999999904</v>
      </c>
      <c r="AF5279">
        <v>-3.5758587169720202</v>
      </c>
      <c r="AG5279">
        <v>-1.114014175858</v>
      </c>
      <c r="AH5279">
        <v>9.8386924687913702</v>
      </c>
      <c r="AI5279">
        <v>96.074396492344107</v>
      </c>
      <c r="AJ5279">
        <v>109.973602826796</v>
      </c>
      <c r="AK5279">
        <v>10.5274718068114</v>
      </c>
      <c r="AL5279">
        <v>87.160945961543305</v>
      </c>
      <c r="AM5279">
        <v>91.094678247587794</v>
      </c>
      <c r="AN5279">
        <v>1.00000007692937</v>
      </c>
    </row>
    <row r="5280" spans="1:40" x14ac:dyDescent="0.25">
      <c r="A5280" t="str">
        <f>"20190312154710168"</f>
        <v>20190312154710168</v>
      </c>
      <c r="B5280" t="str">
        <f>"1552376830163608"</f>
        <v>1552376830163608</v>
      </c>
      <c r="C5280" t="s">
        <v>40</v>
      </c>
      <c r="D5280">
        <v>5.1087189999999998</v>
      </c>
      <c r="E5280">
        <v>0.37623220000000002</v>
      </c>
      <c r="F5280" t="s">
        <v>71</v>
      </c>
      <c r="G5280">
        <v>-283.29849999999999</v>
      </c>
      <c r="H5280" s="1">
        <v>-5.2988519999999997E-6</v>
      </c>
      <c r="I5280">
        <v>-56.490029999999997</v>
      </c>
      <c r="J5280">
        <v>-293.02379999999999</v>
      </c>
      <c r="K5280">
        <v>1.113988</v>
      </c>
      <c r="L5280">
        <v>-51.830260000000003</v>
      </c>
      <c r="M5280">
        <v>0.70351799999999998</v>
      </c>
      <c r="N5280">
        <v>0</v>
      </c>
      <c r="O5280">
        <v>-0.71052660000000001</v>
      </c>
      <c r="P5280">
        <v>0.71624019999999899</v>
      </c>
      <c r="Q5280">
        <v>3.6352589999999997E-2</v>
      </c>
      <c r="R5280">
        <v>-0.69690640000000004</v>
      </c>
      <c r="S5280">
        <v>2.8633120000000001</v>
      </c>
      <c r="T5280">
        <v>-0.3233241</v>
      </c>
      <c r="U5280">
        <v>-1.390045</v>
      </c>
      <c r="V5280">
        <v>-1.9086100000000002E-2</v>
      </c>
      <c r="W5280">
        <v>5.0802600000000003E-2</v>
      </c>
      <c r="X5280">
        <v>0.99852629999999998</v>
      </c>
      <c r="Y5280">
        <v>-0.32764450000000001</v>
      </c>
      <c r="Z5280">
        <v>8.3930130000000006E-2</v>
      </c>
      <c r="AA5280">
        <v>0.94106579999999995</v>
      </c>
      <c r="AB5280">
        <v>18</v>
      </c>
      <c r="AC5280">
        <v>9.7253000000000007</v>
      </c>
      <c r="AD5280">
        <v>-1.113993298852</v>
      </c>
      <c r="AE5280">
        <v>-4.65977</v>
      </c>
      <c r="AF5280">
        <v>-3.59389127032295</v>
      </c>
      <c r="AG5280">
        <v>-1.113993298852</v>
      </c>
      <c r="AH5280">
        <v>10.0466944616863</v>
      </c>
      <c r="AI5280">
        <v>95.960245082589793</v>
      </c>
      <c r="AJ5280">
        <v>109.683083788747</v>
      </c>
      <c r="AK5280">
        <v>10.7281454659819</v>
      </c>
      <c r="AL5280">
        <v>87.087971838277099</v>
      </c>
      <c r="AM5280">
        <v>91.09503357909</v>
      </c>
      <c r="AN5280">
        <v>0.99999997758582904</v>
      </c>
    </row>
    <row r="5281" spans="1:40" x14ac:dyDescent="0.25">
      <c r="A5281" t="str">
        <f>"20190312154710187"</f>
        <v>20190312154710187</v>
      </c>
      <c r="B5281" t="str">
        <f>"1552376830183128"</f>
        <v>1552376830183128</v>
      </c>
      <c r="C5281" t="s">
        <v>40</v>
      </c>
      <c r="D5281">
        <v>5.4626979999999996</v>
      </c>
      <c r="E5281">
        <v>0.3775675</v>
      </c>
      <c r="F5281" t="s">
        <v>71</v>
      </c>
      <c r="G5281">
        <v>-283.33519999999999</v>
      </c>
      <c r="H5281" s="1">
        <v>-5.2812310000000002E-6</v>
      </c>
      <c r="I5281">
        <v>-56.492919999999998</v>
      </c>
      <c r="J5281">
        <v>-292.91149999999999</v>
      </c>
      <c r="K5281">
        <v>1.1139810000000001</v>
      </c>
      <c r="L5281">
        <v>-51.93262</v>
      </c>
      <c r="M5281">
        <v>0.70817039999999998</v>
      </c>
      <c r="N5281">
        <v>0</v>
      </c>
      <c r="O5281">
        <v>-0.70589019999999902</v>
      </c>
      <c r="P5281">
        <v>0.72094329999999995</v>
      </c>
      <c r="Q5281">
        <v>3.8818690000000003E-2</v>
      </c>
      <c r="R5281">
        <v>-0.69190620000000003</v>
      </c>
      <c r="S5281">
        <v>2.8641049999999999</v>
      </c>
      <c r="T5281">
        <v>-0.3293142</v>
      </c>
      <c r="U5281">
        <v>-1.3783570000000001</v>
      </c>
      <c r="V5281">
        <v>-1.9404520000000001E-2</v>
      </c>
      <c r="W5281">
        <v>5.325879E-2</v>
      </c>
      <c r="X5281">
        <v>0.99839219999999895</v>
      </c>
      <c r="Y5281">
        <v>-0.32451400000000002</v>
      </c>
      <c r="Z5281">
        <v>8.5069599999999995E-2</v>
      </c>
      <c r="AA5281">
        <v>0.94204770000000004</v>
      </c>
      <c r="AB5281">
        <v>18</v>
      </c>
      <c r="AC5281">
        <v>9.5762999999999998</v>
      </c>
      <c r="AD5281">
        <v>-1.113986281231</v>
      </c>
      <c r="AE5281">
        <v>-4.56029999999999</v>
      </c>
      <c r="AF5281">
        <v>-3.4922029730892401</v>
      </c>
      <c r="AG5281">
        <v>-1.113986281231</v>
      </c>
      <c r="AH5281">
        <v>9.8926697816610396</v>
      </c>
      <c r="AI5281">
        <v>96.061255471646106</v>
      </c>
      <c r="AJ5281">
        <v>109.44349806371</v>
      </c>
      <c r="AK5281">
        <v>10.549946087493201</v>
      </c>
      <c r="AL5281">
        <v>86.947051697964199</v>
      </c>
      <c r="AM5281">
        <v>91.113447338373703</v>
      </c>
      <c r="AN5281">
        <v>1.0000000095647601</v>
      </c>
    </row>
    <row r="5282" spans="1:40" x14ac:dyDescent="0.25">
      <c r="A5282" t="str">
        <f>"20190312154710209"</f>
        <v>20190312154710209</v>
      </c>
      <c r="B5282" t="str">
        <f>"1552376830203629"</f>
        <v>1552376830203629</v>
      </c>
      <c r="C5282" t="s">
        <v>40</v>
      </c>
      <c r="D5282">
        <v>5.1280849999999996</v>
      </c>
      <c r="E5282">
        <v>0.3793917</v>
      </c>
      <c r="F5282" t="s">
        <v>71</v>
      </c>
      <c r="G5282">
        <v>-283.39299999999997</v>
      </c>
      <c r="H5282" s="1">
        <v>-5.2582839999999997E-6</v>
      </c>
      <c r="I5282">
        <v>-56.470390000000002</v>
      </c>
      <c r="J5282">
        <v>-292.779</v>
      </c>
      <c r="K5282">
        <v>1.1139650000000001</v>
      </c>
      <c r="L5282">
        <v>-52.051670000000001</v>
      </c>
      <c r="M5282">
        <v>0.71358699999999997</v>
      </c>
      <c r="N5282">
        <v>0</v>
      </c>
      <c r="O5282">
        <v>-0.70041409999999904</v>
      </c>
      <c r="P5282">
        <v>0.72652240000000001</v>
      </c>
      <c r="Q5282">
        <v>4.0222559999999997E-2</v>
      </c>
      <c r="R5282">
        <v>-0.68596469999999998</v>
      </c>
      <c r="S5282">
        <v>2.8673709999999999</v>
      </c>
      <c r="T5282">
        <v>-0.33558110000000002</v>
      </c>
      <c r="U5282">
        <v>-1.3669739999999999</v>
      </c>
      <c r="V5282">
        <v>-1.9866709999999999E-2</v>
      </c>
      <c r="W5282">
        <v>5.4651030000000003E-2</v>
      </c>
      <c r="X5282">
        <v>0.99830790000000003</v>
      </c>
      <c r="Y5282">
        <v>-0.3205537</v>
      </c>
      <c r="Z5282">
        <v>8.6088449999999997E-2</v>
      </c>
      <c r="AA5282">
        <v>0.94331019999999999</v>
      </c>
      <c r="AB5282">
        <v>18</v>
      </c>
      <c r="AC5282">
        <v>9.3860000000000205</v>
      </c>
      <c r="AD5282">
        <v>-1.1139702582840001</v>
      </c>
      <c r="AE5282">
        <v>-4.4187199999999898</v>
      </c>
      <c r="AF5282">
        <v>-3.3823116157275801</v>
      </c>
      <c r="AG5282">
        <v>-1.1139702582840001</v>
      </c>
      <c r="AH5282">
        <v>9.6820693005127598</v>
      </c>
      <c r="AI5282">
        <v>96.199051440526006</v>
      </c>
      <c r="AJ5282">
        <v>109.256232373579</v>
      </c>
      <c r="AK5282">
        <v>10.316173105476601</v>
      </c>
      <c r="AL5282">
        <v>86.867165954678597</v>
      </c>
      <c r="AM5282">
        <v>91.140057500436697</v>
      </c>
      <c r="AN5282">
        <v>1.00000004222434</v>
      </c>
    </row>
    <row r="5283" spans="1:40" x14ac:dyDescent="0.25">
      <c r="A5283" t="str">
        <f>"20190312154710231"</f>
        <v>20190312154710231</v>
      </c>
      <c r="B5283" t="str">
        <f>"1552376830223144"</f>
        <v>1552376830223144</v>
      </c>
      <c r="C5283" t="s">
        <v>40</v>
      </c>
      <c r="D5283">
        <v>5.0408679999999997</v>
      </c>
      <c r="E5283">
        <v>0.3806177</v>
      </c>
      <c r="F5283" t="s">
        <v>71</v>
      </c>
      <c r="G5283">
        <v>-283.4203</v>
      </c>
      <c r="H5283" s="1">
        <v>-5.2464500000000004E-6</v>
      </c>
      <c r="I5283">
        <v>-56.465629999999997</v>
      </c>
      <c r="J5283">
        <v>-292.6472</v>
      </c>
      <c r="K5283">
        <v>1.113947</v>
      </c>
      <c r="L5283">
        <v>-52.168210000000002</v>
      </c>
      <c r="M5283">
        <v>0.71889369999999997</v>
      </c>
      <c r="N5283">
        <v>0</v>
      </c>
      <c r="O5283">
        <v>-0.69496639999999998</v>
      </c>
      <c r="P5283">
        <v>0.73183580000000004</v>
      </c>
      <c r="Q5283">
        <v>3.9231799999999997E-2</v>
      </c>
      <c r="R5283">
        <v>-0.68035069999999997</v>
      </c>
      <c r="S5283">
        <v>2.870117</v>
      </c>
      <c r="T5283">
        <v>-0.3416305</v>
      </c>
      <c r="U5283">
        <v>-1.3536680000000001</v>
      </c>
      <c r="V5283">
        <v>-1.9985849999999999E-2</v>
      </c>
      <c r="W5283">
        <v>5.3653989999999999E-2</v>
      </c>
      <c r="X5283">
        <v>0.99835960000000001</v>
      </c>
      <c r="Y5283">
        <v>-0.31713520000000001</v>
      </c>
      <c r="Z5283">
        <v>8.7084789999999995E-2</v>
      </c>
      <c r="AA5283">
        <v>0.94437360000000004</v>
      </c>
      <c r="AB5283">
        <v>18</v>
      </c>
      <c r="AC5283">
        <v>9.2269000000000005</v>
      </c>
      <c r="AD5283">
        <v>-1.11395224645</v>
      </c>
      <c r="AE5283">
        <v>-4.2974200000000096</v>
      </c>
      <c r="AF5283">
        <v>-3.2840185279445002</v>
      </c>
      <c r="AG5283">
        <v>-1.11395224645</v>
      </c>
      <c r="AH5283">
        <v>9.5068833651248994</v>
      </c>
      <c r="AI5283">
        <v>96.319845326926597</v>
      </c>
      <c r="AJ5283">
        <v>109.05674857037</v>
      </c>
      <c r="AK5283">
        <v>10.1196096079514</v>
      </c>
      <c r="AL5283">
        <v>86.924376071056201</v>
      </c>
      <c r="AM5283">
        <v>91.146833190797395</v>
      </c>
      <c r="AN5283">
        <v>1.0000000378776499</v>
      </c>
    </row>
    <row r="5284" spans="1:40" x14ac:dyDescent="0.25">
      <c r="A5284" t="str">
        <f>"20190312154710254"</f>
        <v>20190312154710254</v>
      </c>
      <c r="B5284" t="str">
        <f>"1552376830243640"</f>
        <v>1552376830243640</v>
      </c>
      <c r="C5284" t="s">
        <v>40</v>
      </c>
      <c r="D5284">
        <v>4.4275359999999999</v>
      </c>
      <c r="E5284">
        <v>0.3812007</v>
      </c>
      <c r="F5284" t="s">
        <v>71</v>
      </c>
      <c r="G5284">
        <v>-283.5215</v>
      </c>
      <c r="H5284" s="1">
        <v>-5.208347E-6</v>
      </c>
      <c r="I5284">
        <v>-56.4148</v>
      </c>
      <c r="J5284">
        <v>-292.51350000000002</v>
      </c>
      <c r="K5284">
        <v>1.113931</v>
      </c>
      <c r="L5284">
        <v>-52.284669999999998</v>
      </c>
      <c r="M5284">
        <v>0.72420200000000001</v>
      </c>
      <c r="N5284">
        <v>0</v>
      </c>
      <c r="O5284">
        <v>-0.68943299999999996</v>
      </c>
      <c r="P5284">
        <v>0.73643269999999905</v>
      </c>
      <c r="Q5284">
        <v>3.9550879999999997E-2</v>
      </c>
      <c r="R5284">
        <v>-0.67535369999999995</v>
      </c>
      <c r="S5284">
        <v>2.8745419999999999</v>
      </c>
      <c r="T5284">
        <v>-0.35088740000000002</v>
      </c>
      <c r="U5284">
        <v>-1.3376459999999999</v>
      </c>
      <c r="V5284">
        <v>-1.9113379999999999E-2</v>
      </c>
      <c r="W5284">
        <v>5.3974920000000003E-2</v>
      </c>
      <c r="X5284">
        <v>0.99835929999999995</v>
      </c>
      <c r="Y5284">
        <v>-0.31451210000000002</v>
      </c>
      <c r="Z5284">
        <v>8.8877339999999999E-2</v>
      </c>
      <c r="AA5284">
        <v>0.94508360000000002</v>
      </c>
      <c r="AB5284">
        <v>18</v>
      </c>
      <c r="AC5284">
        <v>8.9920000000000098</v>
      </c>
      <c r="AD5284">
        <v>-1.1139362083469999</v>
      </c>
      <c r="AE5284">
        <v>-4.1301300000000003</v>
      </c>
      <c r="AF5284">
        <v>-3.16852151131005</v>
      </c>
      <c r="AG5284">
        <v>-1.1139362083469999</v>
      </c>
      <c r="AH5284">
        <v>9.24333232203435</v>
      </c>
      <c r="AI5284">
        <v>96.503674332367794</v>
      </c>
      <c r="AJ5284">
        <v>108.921199912565</v>
      </c>
      <c r="AK5284">
        <v>9.8346110680324301</v>
      </c>
      <c r="AL5284">
        <v>86.905961189357996</v>
      </c>
      <c r="AM5284">
        <v>91.096781730356199</v>
      </c>
      <c r="AN5284">
        <v>0.99999995259025898</v>
      </c>
    </row>
    <row r="5285" spans="1:40" x14ac:dyDescent="0.25">
      <c r="A5285" t="str">
        <f>"20190312154710275"</f>
        <v>20190312154710275</v>
      </c>
      <c r="B5285" t="str">
        <f>"1552376830272920"</f>
        <v>1552376830272920</v>
      </c>
      <c r="C5285" t="s">
        <v>40</v>
      </c>
      <c r="D5285">
        <v>4.9394090000000004</v>
      </c>
      <c r="E5285">
        <v>0.37201269999999997</v>
      </c>
      <c r="F5285" t="s">
        <v>71</v>
      </c>
      <c r="G5285">
        <v>-283.35000000000002</v>
      </c>
      <c r="H5285" s="1">
        <v>-5.2751319999999997E-6</v>
      </c>
      <c r="I5285">
        <v>-56.488480000000003</v>
      </c>
      <c r="J5285">
        <v>-292.38510000000002</v>
      </c>
      <c r="K5285">
        <v>1.113912</v>
      </c>
      <c r="L5285">
        <v>-52.394869999999997</v>
      </c>
      <c r="M5285">
        <v>0.72922959999999903</v>
      </c>
      <c r="N5285">
        <v>0</v>
      </c>
      <c r="O5285">
        <v>-0.68411330000000004</v>
      </c>
      <c r="P5285">
        <v>0.74028190000000005</v>
      </c>
      <c r="Q5285">
        <v>3.9346890000000002E-2</v>
      </c>
      <c r="R5285">
        <v>-0.67114449999999903</v>
      </c>
      <c r="S5285">
        <v>2.880646</v>
      </c>
      <c r="T5285">
        <v>-0.3501745</v>
      </c>
      <c r="U5285">
        <v>-1.3215030000000001</v>
      </c>
      <c r="V5285">
        <v>-1.749877E-2</v>
      </c>
      <c r="W5285">
        <v>5.3780179999999997E-2</v>
      </c>
      <c r="X5285">
        <v>0.99839940000000005</v>
      </c>
      <c r="Y5285">
        <v>-0.31275190000000003</v>
      </c>
      <c r="Z5285">
        <v>8.8161710000000004E-2</v>
      </c>
      <c r="AA5285">
        <v>0.94573450000000003</v>
      </c>
      <c r="AB5285">
        <v>18</v>
      </c>
      <c r="AC5285">
        <v>9.0350999999999999</v>
      </c>
      <c r="AD5285">
        <v>-1.1139172751319999</v>
      </c>
      <c r="AE5285">
        <v>-4.0936099999999902</v>
      </c>
      <c r="AF5285">
        <v>-3.1563857968524398</v>
      </c>
      <c r="AG5285">
        <v>-1.1139172751319999</v>
      </c>
      <c r="AH5285">
        <v>9.2732112533353792</v>
      </c>
      <c r="AI5285">
        <v>96.487534850059404</v>
      </c>
      <c r="AJ5285">
        <v>108.797381991908</v>
      </c>
      <c r="AK5285">
        <v>9.8588046914113896</v>
      </c>
      <c r="AL5285">
        <v>86.917135155653099</v>
      </c>
      <c r="AM5285">
        <v>91.004110202053099</v>
      </c>
      <c r="AN5285">
        <v>0.99999993831635003</v>
      </c>
    </row>
    <row r="5286" spans="1:40" x14ac:dyDescent="0.25">
      <c r="A5286" t="str">
        <f>"20190312154710299"</f>
        <v>20190312154710299</v>
      </c>
      <c r="B5286" t="str">
        <f>"1552376830293416"</f>
        <v>1552376830293416</v>
      </c>
      <c r="C5286" t="s">
        <v>40</v>
      </c>
      <c r="D5286">
        <v>5.1437290000000004</v>
      </c>
      <c r="E5286">
        <v>0.3799129</v>
      </c>
      <c r="F5286" t="s">
        <v>42</v>
      </c>
      <c r="G5286">
        <v>-260.14580000000001</v>
      </c>
      <c r="H5286" s="1">
        <v>-6.2286139999999995E-7</v>
      </c>
      <c r="I5286">
        <v>-66.228129999999993</v>
      </c>
      <c r="J5286">
        <v>-292.24770000000001</v>
      </c>
      <c r="K5286">
        <v>1.113891</v>
      </c>
      <c r="L5286">
        <v>-52.511049999999997</v>
      </c>
      <c r="M5286">
        <v>0.73453299999999999</v>
      </c>
      <c r="N5286">
        <v>0</v>
      </c>
      <c r="O5286">
        <v>-0.67841600000000002</v>
      </c>
      <c r="P5286">
        <v>0.7446045</v>
      </c>
      <c r="Q5286">
        <v>3.8421190000000001E-2</v>
      </c>
      <c r="R5286">
        <v>-0.66639930000000003</v>
      </c>
      <c r="S5286">
        <v>2.9214479999999998</v>
      </c>
      <c r="T5286">
        <v>-0.1009399</v>
      </c>
      <c r="U5286">
        <v>-1.2535400000000001</v>
      </c>
      <c r="V5286">
        <v>-1.6129399999999999E-2</v>
      </c>
      <c r="W5286">
        <v>5.2861190000000002E-2</v>
      </c>
      <c r="X5286">
        <v>0.99847160000000001</v>
      </c>
      <c r="Y5286">
        <v>-0.33341859999999901</v>
      </c>
      <c r="Z5286">
        <v>2.5537810000000001E-2</v>
      </c>
      <c r="AA5286">
        <v>0.94243290000000002</v>
      </c>
      <c r="AB5286">
        <v>18</v>
      </c>
      <c r="AC5286">
        <v>32.101900000000001</v>
      </c>
      <c r="AD5286">
        <v>-1.1138916228614</v>
      </c>
      <c r="AE5286">
        <v>-13.717079999999999</v>
      </c>
      <c r="AF5286">
        <v>-11.692137407714901</v>
      </c>
      <c r="AG5286">
        <v>-1.1138916228614</v>
      </c>
      <c r="AH5286">
        <v>32.855843705460202</v>
      </c>
      <c r="AI5286">
        <v>91.829419105984996</v>
      </c>
      <c r="AJ5286">
        <v>109.588698047813</v>
      </c>
      <c r="AK5286">
        <v>34.8920234051566</v>
      </c>
      <c r="AL5286">
        <v>86.969864605223606</v>
      </c>
      <c r="AM5286">
        <v>90.925480676557797</v>
      </c>
      <c r="AN5286">
        <v>0.99999999947956797</v>
      </c>
    </row>
    <row r="5287" spans="1:40" x14ac:dyDescent="0.25">
      <c r="A5287" t="str">
        <f>"20190312154710321"</f>
        <v>20190312154710321</v>
      </c>
      <c r="B5287" t="str">
        <f>"1552376830312936"</f>
        <v>1552376830312936</v>
      </c>
      <c r="C5287" t="s">
        <v>40</v>
      </c>
      <c r="D5287">
        <v>5.0958870000000003</v>
      </c>
      <c r="E5287">
        <v>0.38298300000000002</v>
      </c>
      <c r="F5287" t="s">
        <v>42</v>
      </c>
      <c r="G5287">
        <v>-270.5804</v>
      </c>
      <c r="H5287" s="1">
        <v>2.1134680000000001E-7</v>
      </c>
      <c r="I5287">
        <v>-62.116709999999998</v>
      </c>
      <c r="J5287">
        <v>-292.11360000000002</v>
      </c>
      <c r="K5287">
        <v>1.1138709999999901</v>
      </c>
      <c r="L5287">
        <v>-52.62265</v>
      </c>
      <c r="M5287">
        <v>0.73964479999999999</v>
      </c>
      <c r="N5287">
        <v>0</v>
      </c>
      <c r="O5287">
        <v>-0.672840199999999</v>
      </c>
      <c r="P5287">
        <v>0.74865219999999999</v>
      </c>
      <c r="Q5287">
        <v>3.7256850000000001E-2</v>
      </c>
      <c r="R5287">
        <v>-0.66191560000000005</v>
      </c>
      <c r="S5287">
        <v>2.890015</v>
      </c>
      <c r="T5287">
        <v>-0.1485726</v>
      </c>
      <c r="U5287">
        <v>-1.2812190000000001</v>
      </c>
      <c r="V5287">
        <v>-1.459913E-2</v>
      </c>
      <c r="W5287">
        <v>5.1666440000000001E-2</v>
      </c>
      <c r="X5287">
        <v>0.99855769999999999</v>
      </c>
      <c r="Y5287">
        <v>-0.31445990000000001</v>
      </c>
      <c r="Z5287">
        <v>3.720644E-2</v>
      </c>
      <c r="AA5287">
        <v>0.94854130000000003</v>
      </c>
      <c r="AB5287">
        <v>18</v>
      </c>
      <c r="AC5287">
        <v>21.533200000000001</v>
      </c>
      <c r="AD5287">
        <v>-1.11387078865319</v>
      </c>
      <c r="AE5287">
        <v>-9.4940599999999904</v>
      </c>
      <c r="AF5287">
        <v>-7.4502698974019399</v>
      </c>
      <c r="AG5287">
        <v>-1.11387078865319</v>
      </c>
      <c r="AH5287">
        <v>22.267380930663201</v>
      </c>
      <c r="AI5287">
        <v>92.715946123086397</v>
      </c>
      <c r="AJ5287">
        <v>108.49932536964501</v>
      </c>
      <c r="AK5287">
        <v>23.507094316167802</v>
      </c>
      <c r="AL5287">
        <v>87.038412480043903</v>
      </c>
      <c r="AM5287">
        <v>90.837617037669901</v>
      </c>
      <c r="AN5287">
        <v>1.0000000179241599</v>
      </c>
    </row>
    <row r="5288" spans="1:40" x14ac:dyDescent="0.25">
      <c r="A5288" t="str">
        <f>"20190312154710345"</f>
        <v>20190312154710345</v>
      </c>
      <c r="B5288" t="str">
        <f>"1552376830333432"</f>
        <v>1552376830333432</v>
      </c>
      <c r="C5288" t="s">
        <v>40</v>
      </c>
      <c r="D5288">
        <v>4.9851289999999997</v>
      </c>
      <c r="E5288">
        <v>0.38770450000000001</v>
      </c>
      <c r="F5288" t="s">
        <v>42</v>
      </c>
      <c r="G5288">
        <v>-274.87970000000001</v>
      </c>
      <c r="H5288" s="1">
        <v>-1.270372E-6</v>
      </c>
      <c r="I5288">
        <v>-60.280869999999901</v>
      </c>
      <c r="J5288">
        <v>-291.97550000000001</v>
      </c>
      <c r="K5288">
        <v>1.113828</v>
      </c>
      <c r="L5288">
        <v>-52.735840000000003</v>
      </c>
      <c r="M5288">
        <v>0.74486229999999998</v>
      </c>
      <c r="N5288">
        <v>0</v>
      </c>
      <c r="O5288">
        <v>-0.66706350000000003</v>
      </c>
      <c r="P5288">
        <v>0.75324690000000005</v>
      </c>
      <c r="Q5288">
        <v>3.5620819999999997E-2</v>
      </c>
      <c r="R5288">
        <v>-0.65677339999999995</v>
      </c>
      <c r="S5288">
        <v>2.883575</v>
      </c>
      <c r="T5288">
        <v>-0.18637290000000001</v>
      </c>
      <c r="U5288">
        <v>-1.281372</v>
      </c>
      <c r="V5288">
        <v>-1.3701410000000001E-2</v>
      </c>
      <c r="W5288">
        <v>4.9866800000000003E-2</v>
      </c>
      <c r="X5288">
        <v>0.99866189999999999</v>
      </c>
      <c r="Y5288">
        <v>-0.3057243</v>
      </c>
      <c r="Z5288">
        <v>4.624085E-2</v>
      </c>
      <c r="AA5288">
        <v>0.95099650000000002</v>
      </c>
      <c r="AB5288">
        <v>18</v>
      </c>
      <c r="AC5288">
        <v>17.095799999999901</v>
      </c>
      <c r="AD5288">
        <v>-1.1138292703720001</v>
      </c>
      <c r="AE5288">
        <v>-7.5450299999999899</v>
      </c>
      <c r="AF5288">
        <v>-5.7640942320046404</v>
      </c>
      <c r="AG5288">
        <v>-1.1138292703720001</v>
      </c>
      <c r="AH5288">
        <v>17.705959515146901</v>
      </c>
      <c r="AI5288">
        <v>93.423190033872501</v>
      </c>
      <c r="AJ5288">
        <v>108.032422468044</v>
      </c>
      <c r="AK5288">
        <v>18.653857518245001</v>
      </c>
      <c r="AL5288">
        <v>87.141657371575704</v>
      </c>
      <c r="AM5288">
        <v>90.786035509935999</v>
      </c>
      <c r="AN5288">
        <v>1.0000000084449101</v>
      </c>
    </row>
    <row r="5289" spans="1:40" x14ac:dyDescent="0.25">
      <c r="A5289" t="str">
        <f>"20190312154710366"</f>
        <v>20190312154710366</v>
      </c>
      <c r="B5289" t="str">
        <f>"1552376830363687"</f>
        <v>1552376830363687</v>
      </c>
      <c r="C5289" t="s">
        <v>40</v>
      </c>
      <c r="D5289">
        <v>5.030748</v>
      </c>
      <c r="E5289">
        <v>0.38686700000000002</v>
      </c>
      <c r="F5289" t="s">
        <v>42</v>
      </c>
      <c r="G5289">
        <v>-278.39389999999997</v>
      </c>
      <c r="H5289" s="1">
        <v>-3.0972959999999999E-6</v>
      </c>
      <c r="I5289">
        <v>-58.836509999999997</v>
      </c>
      <c r="J5289">
        <v>-291.83920000000001</v>
      </c>
      <c r="K5289">
        <v>1.113764</v>
      </c>
      <c r="L5289">
        <v>-52.845610000000001</v>
      </c>
      <c r="M5289">
        <v>0.74995909999999999</v>
      </c>
      <c r="N5289">
        <v>0</v>
      </c>
      <c r="O5289">
        <v>-0.66133540000000002</v>
      </c>
      <c r="P5289">
        <v>0.75751359999999901</v>
      </c>
      <c r="Q5289">
        <v>3.5747149999999998E-2</v>
      </c>
      <c r="R5289">
        <v>-0.65183999999999997</v>
      </c>
      <c r="S5289">
        <v>2.869904</v>
      </c>
      <c r="T5289">
        <v>-0.23536209999999999</v>
      </c>
      <c r="U5289">
        <v>-1.2891239999999999</v>
      </c>
      <c r="V5289">
        <v>-1.2562469999999999E-2</v>
      </c>
      <c r="W5289">
        <v>4.9650100000000003E-2</v>
      </c>
      <c r="X5289">
        <v>0.99868769999999996</v>
      </c>
      <c r="Y5289">
        <v>-0.29376560000000002</v>
      </c>
      <c r="Z5289">
        <v>5.7800339999999999E-2</v>
      </c>
      <c r="AA5289">
        <v>0.95412839999999999</v>
      </c>
      <c r="AB5289">
        <v>18</v>
      </c>
      <c r="AC5289">
        <v>13.4453</v>
      </c>
      <c r="AD5289">
        <v>-1.1137670972960001</v>
      </c>
      <c r="AE5289">
        <v>-5.9908999999999901</v>
      </c>
      <c r="AF5289">
        <v>-4.3743117605733604</v>
      </c>
      <c r="AG5289">
        <v>-1.1137670972960001</v>
      </c>
      <c r="AH5289">
        <v>13.966837936403101</v>
      </c>
      <c r="AI5289">
        <v>94.351748418242593</v>
      </c>
      <c r="AJ5289">
        <v>107.390175544789</v>
      </c>
      <c r="AK5289">
        <v>14.678134842937601</v>
      </c>
      <c r="AL5289">
        <v>87.154088841858695</v>
      </c>
      <c r="AM5289">
        <v>90.720684305303607</v>
      </c>
      <c r="AN5289">
        <v>1.0000000351068901</v>
      </c>
    </row>
    <row r="5290" spans="1:40" x14ac:dyDescent="0.25">
      <c r="A5290" t="str">
        <f>"20190312154710388"</f>
        <v>20190312154710388</v>
      </c>
      <c r="B5290" t="str">
        <f>"1552376830383210"</f>
        <v>1552376830383210</v>
      </c>
      <c r="C5290" t="s">
        <v>40</v>
      </c>
      <c r="D5290">
        <v>5.0234839999999998</v>
      </c>
      <c r="E5290">
        <v>0.38837050000000001</v>
      </c>
      <c r="F5290" t="s">
        <v>42</v>
      </c>
      <c r="G5290">
        <v>-279.60419999999999</v>
      </c>
      <c r="H5290" s="1">
        <v>-3.7543260000000001E-6</v>
      </c>
      <c r="I5290">
        <v>-58.213239999999999</v>
      </c>
      <c r="J5290">
        <v>-291.70609999999999</v>
      </c>
      <c r="K5290">
        <v>1.1136969999999999</v>
      </c>
      <c r="L5290">
        <v>-52.95129</v>
      </c>
      <c r="M5290">
        <v>0.75488359999999999</v>
      </c>
      <c r="N5290">
        <v>0</v>
      </c>
      <c r="O5290">
        <v>-0.65571820000000003</v>
      </c>
      <c r="P5290">
        <v>0.76218739999999996</v>
      </c>
      <c r="Q5290">
        <v>3.6340829999999998E-2</v>
      </c>
      <c r="R5290">
        <v>-0.64633600000000002</v>
      </c>
      <c r="S5290">
        <v>2.883972</v>
      </c>
      <c r="T5290">
        <v>-0.26253130000000002</v>
      </c>
      <c r="U5290">
        <v>-1.265228</v>
      </c>
      <c r="V5290">
        <v>-1.232141E-2</v>
      </c>
      <c r="W5290">
        <v>4.9799639999999999E-2</v>
      </c>
      <c r="X5290">
        <v>0.99868319999999999</v>
      </c>
      <c r="Y5290">
        <v>-0.29444939999999997</v>
      </c>
      <c r="Z5290">
        <v>6.3997059999999995E-2</v>
      </c>
      <c r="AA5290">
        <v>0.95352179999999997</v>
      </c>
      <c r="AB5290">
        <v>18</v>
      </c>
      <c r="AC5290">
        <v>12.101900000000001</v>
      </c>
      <c r="AD5290">
        <v>-1.113700754326</v>
      </c>
      <c r="AE5290">
        <v>-5.2619499999999899</v>
      </c>
      <c r="AF5290">
        <v>-3.9356106596876699</v>
      </c>
      <c r="AG5290">
        <v>-1.113700754326</v>
      </c>
      <c r="AH5290">
        <v>12.4980264213197</v>
      </c>
      <c r="AI5290">
        <v>94.858212117904998</v>
      </c>
      <c r="AJ5290">
        <v>107.479140302126</v>
      </c>
      <c r="AK5290">
        <v>13.1502861209496</v>
      </c>
      <c r="AL5290">
        <v>87.145510054912293</v>
      </c>
      <c r="AM5290">
        <v>90.706859766735604</v>
      </c>
      <c r="AN5290">
        <v>0.99999997762537796</v>
      </c>
    </row>
    <row r="5291" spans="1:40" x14ac:dyDescent="0.25">
      <c r="A5291" t="str">
        <f>"20190312154710410"</f>
        <v>20190312154710410</v>
      </c>
      <c r="B5291" t="str">
        <f>"1552376830403703"</f>
        <v>1552376830403703</v>
      </c>
      <c r="C5291" t="s">
        <v>40</v>
      </c>
      <c r="D5291">
        <v>5.0905480000000001</v>
      </c>
      <c r="E5291">
        <v>0.38936850000000001</v>
      </c>
      <c r="F5291" t="s">
        <v>71</v>
      </c>
      <c r="G5291">
        <v>-280.57729999999998</v>
      </c>
      <c r="H5291" s="1">
        <v>-6.247196E-6</v>
      </c>
      <c r="I5291">
        <v>-57.781440000000003</v>
      </c>
      <c r="J5291">
        <v>-291.56810000000002</v>
      </c>
      <c r="K5291">
        <v>1.1136079999999999</v>
      </c>
      <c r="L5291">
        <v>-53.059109999999997</v>
      </c>
      <c r="M5291">
        <v>0.75992179999999998</v>
      </c>
      <c r="N5291">
        <v>0</v>
      </c>
      <c r="O5291">
        <v>-0.64988330000000005</v>
      </c>
      <c r="P5291">
        <v>0.76643739999999905</v>
      </c>
      <c r="Q5291">
        <v>3.5828260000000001E-2</v>
      </c>
      <c r="R5291">
        <v>-0.64131910000000003</v>
      </c>
      <c r="S5291">
        <v>2.8872070000000001</v>
      </c>
      <c r="T5291">
        <v>-0.28893410000000003</v>
      </c>
      <c r="U5291">
        <v>-1.2531129999999999</v>
      </c>
      <c r="V5291">
        <v>-1.118478E-2</v>
      </c>
      <c r="W5291">
        <v>4.8772360000000001E-2</v>
      </c>
      <c r="X5291">
        <v>0.9987473</v>
      </c>
      <c r="Y5291">
        <v>-0.29027989999999998</v>
      </c>
      <c r="Z5291">
        <v>6.9821980000000006E-2</v>
      </c>
      <c r="AA5291">
        <v>0.95439110000000005</v>
      </c>
      <c r="AB5291">
        <v>18</v>
      </c>
      <c r="AC5291">
        <v>10.9908</v>
      </c>
      <c r="AD5291">
        <v>-1.113614247196</v>
      </c>
      <c r="AE5291">
        <v>-4.7223300000000004</v>
      </c>
      <c r="AF5291">
        <v>-3.5238996716864999</v>
      </c>
      <c r="AG5291">
        <v>-1.113614247196</v>
      </c>
      <c r="AH5291">
        <v>11.3239488147654</v>
      </c>
      <c r="AI5291">
        <v>95.364341997336297</v>
      </c>
      <c r="AJ5291">
        <v>107.285619581166</v>
      </c>
      <c r="AK5291">
        <v>11.911751439108199</v>
      </c>
      <c r="AL5291">
        <v>87.204440563896398</v>
      </c>
      <c r="AM5291">
        <v>90.641617655249206</v>
      </c>
      <c r="AN5291">
        <v>1.0000000058304499</v>
      </c>
    </row>
    <row r="5292" spans="1:40" x14ac:dyDescent="0.25">
      <c r="A5292" t="str">
        <f>"20190312154710432"</f>
        <v>20190312154710432</v>
      </c>
      <c r="B5292" t="str">
        <f>"1552376830423224"</f>
        <v>1552376830423224</v>
      </c>
      <c r="C5292" t="s">
        <v>40</v>
      </c>
      <c r="D5292">
        <v>5.1188390000000004</v>
      </c>
      <c r="E5292">
        <v>0.3908394</v>
      </c>
      <c r="F5292" t="s">
        <v>71</v>
      </c>
      <c r="G5292">
        <v>-281.3134</v>
      </c>
      <c r="H5292" s="1">
        <v>-6.0373319999999998E-6</v>
      </c>
      <c r="I5292">
        <v>-57.456560000000003</v>
      </c>
      <c r="J5292">
        <v>-291.42540000000002</v>
      </c>
      <c r="K5292">
        <v>1.113513</v>
      </c>
      <c r="L5292">
        <v>-53.16901</v>
      </c>
      <c r="M5292">
        <v>0.76507219999999998</v>
      </c>
      <c r="N5292">
        <v>0</v>
      </c>
      <c r="O5292">
        <v>-0.64382399999999995</v>
      </c>
      <c r="P5292">
        <v>0.77082030000000001</v>
      </c>
      <c r="Q5292">
        <v>3.4512719999999997E-2</v>
      </c>
      <c r="R5292">
        <v>-0.6361173</v>
      </c>
      <c r="S5292">
        <v>2.8914179999999998</v>
      </c>
      <c r="T5292">
        <v>-0.31399290000000002</v>
      </c>
      <c r="U5292">
        <v>-1.2398990000000001</v>
      </c>
      <c r="V5292">
        <v>-1.002319E-2</v>
      </c>
      <c r="W5292">
        <v>4.687434E-2</v>
      </c>
      <c r="X5292">
        <v>0.99885049999999997</v>
      </c>
      <c r="Y5292">
        <v>-0.28628870000000001</v>
      </c>
      <c r="Z5292">
        <v>7.518445E-2</v>
      </c>
      <c r="AA5292">
        <v>0.95518899999999995</v>
      </c>
      <c r="AB5292">
        <v>18</v>
      </c>
      <c r="AC5292">
        <v>10.112</v>
      </c>
      <c r="AD5292">
        <v>-1.1135190373320001</v>
      </c>
      <c r="AE5292">
        <v>-4.2875499999999898</v>
      </c>
      <c r="AF5292">
        <v>-3.1974494120524102</v>
      </c>
      <c r="AG5292">
        <v>-1.1135190373320001</v>
      </c>
      <c r="AH5292">
        <v>10.390852345847099</v>
      </c>
      <c r="AI5292">
        <v>95.848058062548702</v>
      </c>
      <c r="AJ5292">
        <v>107.104059149026</v>
      </c>
      <c r="AK5292">
        <v>10.928559825628099</v>
      </c>
      <c r="AL5292">
        <v>87.313313656937694</v>
      </c>
      <c r="AM5292">
        <v>90.5749280892001</v>
      </c>
      <c r="AN5292">
        <v>0.99999999471922996</v>
      </c>
    </row>
    <row r="5293" spans="1:40" x14ac:dyDescent="0.25">
      <c r="A5293" t="str">
        <f>"20190312154710455"</f>
        <v>20190312154710455</v>
      </c>
      <c r="B5293" t="str">
        <f>"1552376830443721"</f>
        <v>1552376830443721</v>
      </c>
      <c r="C5293" t="s">
        <v>40</v>
      </c>
      <c r="D5293">
        <v>4.7765279999999999</v>
      </c>
      <c r="E5293">
        <v>0.39005060000000003</v>
      </c>
      <c r="F5293" t="s">
        <v>71</v>
      </c>
      <c r="G5293">
        <v>-281.06740000000002</v>
      </c>
      <c r="H5293" s="1">
        <v>-6.1068300000000001E-6</v>
      </c>
      <c r="I5293">
        <v>-57.570610000000002</v>
      </c>
      <c r="J5293">
        <v>-291.28359999999998</v>
      </c>
      <c r="K5293">
        <v>1.1134269999999999</v>
      </c>
      <c r="L5293">
        <v>-53.276490000000003</v>
      </c>
      <c r="M5293">
        <v>0.77011309999999999</v>
      </c>
      <c r="N5293">
        <v>0</v>
      </c>
      <c r="O5293">
        <v>-0.63779809999999904</v>
      </c>
      <c r="P5293">
        <v>0.77518030000000004</v>
      </c>
      <c r="Q5293">
        <v>3.382802E-2</v>
      </c>
      <c r="R5293">
        <v>-0.63083409999999995</v>
      </c>
      <c r="S5293">
        <v>2.8917540000000002</v>
      </c>
      <c r="T5293">
        <v>-0.31087480000000001</v>
      </c>
      <c r="U5293">
        <v>-1.2288509999999999</v>
      </c>
      <c r="V5293">
        <v>-9.0111359999999995E-3</v>
      </c>
      <c r="W5293">
        <v>4.5569199999999997E-2</v>
      </c>
      <c r="X5293">
        <v>0.99892060000000005</v>
      </c>
      <c r="Y5293">
        <v>-0.28199669999999999</v>
      </c>
      <c r="Z5293">
        <v>7.3842530000000003E-2</v>
      </c>
      <c r="AA5293">
        <v>0.95656940000000001</v>
      </c>
      <c r="AB5293">
        <v>18</v>
      </c>
      <c r="AC5293">
        <v>10.216199999999899</v>
      </c>
      <c r="AD5293">
        <v>-1.1134331068300001</v>
      </c>
      <c r="AE5293">
        <v>-4.2941199999999897</v>
      </c>
      <c r="AF5293">
        <v>-3.17706699812378</v>
      </c>
      <c r="AG5293">
        <v>-1.1134331068300001</v>
      </c>
      <c r="AH5293">
        <v>10.501144363607599</v>
      </c>
      <c r="AI5293">
        <v>95.7949170661648</v>
      </c>
      <c r="AJ5293">
        <v>106.832919497201</v>
      </c>
      <c r="AK5293">
        <v>11.027580012826</v>
      </c>
      <c r="AL5293">
        <v>87.388172853047195</v>
      </c>
      <c r="AM5293">
        <v>90.516843938611999</v>
      </c>
      <c r="AN5293">
        <v>1.0000000588325</v>
      </c>
    </row>
    <row r="5294" spans="1:40" x14ac:dyDescent="0.25">
      <c r="A5294" t="str">
        <f>"20190312154710477"</f>
        <v>20190312154710477</v>
      </c>
      <c r="B5294" t="str">
        <f>"1552376830473000"</f>
        <v>1552376830473000</v>
      </c>
      <c r="C5294" t="s">
        <v>40</v>
      </c>
      <c r="D5294">
        <v>4.826314</v>
      </c>
      <c r="E5294">
        <v>0.38652419999999998</v>
      </c>
      <c r="F5294" t="s">
        <v>71</v>
      </c>
      <c r="G5294">
        <v>-281.1429</v>
      </c>
      <c r="H5294" s="1">
        <v>-6.0916630000000001E-6</v>
      </c>
      <c r="I5294">
        <v>-57.480930000000001</v>
      </c>
      <c r="J5294">
        <v>-291.13810000000001</v>
      </c>
      <c r="K5294">
        <v>1.1133599999999999</v>
      </c>
      <c r="L5294">
        <v>-53.385159999999999</v>
      </c>
      <c r="M5294">
        <v>0.77520140000000004</v>
      </c>
      <c r="N5294">
        <v>0</v>
      </c>
      <c r="O5294">
        <v>-0.63161579999999995</v>
      </c>
      <c r="P5294">
        <v>0.77940739999999997</v>
      </c>
      <c r="Q5294">
        <v>3.576203E-2</v>
      </c>
      <c r="R5294">
        <v>-0.62549639999999995</v>
      </c>
      <c r="S5294">
        <v>2.9041139999999999</v>
      </c>
      <c r="T5294">
        <v>-0.31886589999999998</v>
      </c>
      <c r="U5294">
        <v>-1.2040709999999999</v>
      </c>
      <c r="V5294">
        <v>-7.8312959999999997E-3</v>
      </c>
      <c r="W5294">
        <v>4.6843849999999999E-2</v>
      </c>
      <c r="X5294">
        <v>0.99887150000000002</v>
      </c>
      <c r="Y5294">
        <v>-0.28255930000000001</v>
      </c>
      <c r="Z5294">
        <v>7.5158639999999999E-2</v>
      </c>
      <c r="AA5294">
        <v>0.95630090000000001</v>
      </c>
      <c r="AB5294">
        <v>18</v>
      </c>
      <c r="AC5294">
        <v>9.9952000000000094</v>
      </c>
      <c r="AD5294">
        <v>-1.1133660916629999</v>
      </c>
      <c r="AE5294">
        <v>-4.0957699999999999</v>
      </c>
      <c r="AF5294">
        <v>-3.1052845303883401</v>
      </c>
      <c r="AG5294">
        <v>-1.1133660916629999</v>
      </c>
      <c r="AH5294">
        <v>10.227235696300699</v>
      </c>
      <c r="AI5294">
        <v>95.946886942426005</v>
      </c>
      <c r="AJ5294">
        <v>106.889807151162</v>
      </c>
      <c r="AK5294">
        <v>10.7461028310928</v>
      </c>
      <c r="AL5294">
        <v>87.315062472043493</v>
      </c>
      <c r="AM5294">
        <v>90.449197935580997</v>
      </c>
      <c r="AN5294">
        <v>0.99999997449605504</v>
      </c>
    </row>
    <row r="5295" spans="1:40" x14ac:dyDescent="0.25">
      <c r="A5295" t="str">
        <f>"20190312154710499"</f>
        <v>20190312154710499</v>
      </c>
      <c r="B5295" t="str">
        <f>"1552376830493496"</f>
        <v>1552376830493496</v>
      </c>
      <c r="C5295" t="s">
        <v>40</v>
      </c>
      <c r="D5295">
        <v>4.7603369999999998</v>
      </c>
      <c r="E5295">
        <v>0.38461269999999997</v>
      </c>
      <c r="F5295" t="s">
        <v>42</v>
      </c>
      <c r="G5295">
        <v>-279.92630000000003</v>
      </c>
      <c r="H5295" s="1">
        <v>-3.9755759999999999E-6</v>
      </c>
      <c r="I5295">
        <v>-57.837409999999998</v>
      </c>
      <c r="J5295">
        <v>-290.99369999999999</v>
      </c>
      <c r="K5295">
        <v>1.1133120000000001</v>
      </c>
      <c r="L5295">
        <v>-53.491329999999998</v>
      </c>
      <c r="M5295">
        <v>0.78015979999999996</v>
      </c>
      <c r="N5295">
        <v>0</v>
      </c>
      <c r="O5295">
        <v>-0.62549239999999995</v>
      </c>
      <c r="P5295">
        <v>0.78399240000000003</v>
      </c>
      <c r="Q5295">
        <v>3.7828069999999998E-2</v>
      </c>
      <c r="R5295">
        <v>-0.61961719999999998</v>
      </c>
      <c r="S5295">
        <v>2.9290159999999998</v>
      </c>
      <c r="T5295">
        <v>-0.29085809999999901</v>
      </c>
      <c r="U5295">
        <v>-1.163116</v>
      </c>
      <c r="V5295">
        <v>-7.4297579999999998E-3</v>
      </c>
      <c r="W5295">
        <v>4.8240360000000003E-2</v>
      </c>
      <c r="X5295">
        <v>0.99880809999999998</v>
      </c>
      <c r="Y5295">
        <v>-0.29006569999999998</v>
      </c>
      <c r="Z5295">
        <v>6.8219440000000006E-2</v>
      </c>
      <c r="AA5295">
        <v>0.95457210000000003</v>
      </c>
      <c r="AB5295">
        <v>18</v>
      </c>
      <c r="AC5295">
        <v>11.0673999999999</v>
      </c>
      <c r="AD5295">
        <v>-1.113315975576</v>
      </c>
      <c r="AE5295">
        <v>-4.34607999999999</v>
      </c>
      <c r="AF5295">
        <v>-3.5014340125421999</v>
      </c>
      <c r="AG5295">
        <v>-1.113315975576</v>
      </c>
      <c r="AH5295">
        <v>11.254731995677</v>
      </c>
      <c r="AI5295">
        <v>95.395826747948703</v>
      </c>
      <c r="AJ5295">
        <v>107.281321231668</v>
      </c>
      <c r="AK5295">
        <v>11.839278056544501</v>
      </c>
      <c r="AL5295">
        <v>87.2349577620557</v>
      </c>
      <c r="AM5295">
        <v>90.4261939053238</v>
      </c>
      <c r="AN5295">
        <v>0.999999977131238</v>
      </c>
    </row>
    <row r="5296" spans="1:40" x14ac:dyDescent="0.25">
      <c r="A5296" t="str">
        <f>"20190312154710522"</f>
        <v>20190312154710522</v>
      </c>
      <c r="B5296" t="str">
        <f>"1552376830513016"</f>
        <v>1552376830513016</v>
      </c>
      <c r="C5296" t="s">
        <v>40</v>
      </c>
      <c r="D5296">
        <v>4.8023579999999999</v>
      </c>
      <c r="E5296">
        <v>0.38306220000000002</v>
      </c>
      <c r="F5296" t="s">
        <v>42</v>
      </c>
      <c r="G5296">
        <v>-278.92540000000002</v>
      </c>
      <c r="H5296" s="1">
        <v>-3.4844110000000001E-6</v>
      </c>
      <c r="I5296">
        <v>-58.116990000000001</v>
      </c>
      <c r="J5296">
        <v>-290.83969999999999</v>
      </c>
      <c r="K5296">
        <v>1.1132770000000001</v>
      </c>
      <c r="L5296">
        <v>-53.602690000000003</v>
      </c>
      <c r="M5296">
        <v>0.78534490000000001</v>
      </c>
      <c r="N5296">
        <v>0</v>
      </c>
      <c r="O5296">
        <v>-0.61898149999999996</v>
      </c>
      <c r="P5296">
        <v>0.78896889999999997</v>
      </c>
      <c r="Q5296">
        <v>4.0083189999999998E-2</v>
      </c>
      <c r="R5296">
        <v>-0.61312469999999997</v>
      </c>
      <c r="S5296">
        <v>2.9469599999999998</v>
      </c>
      <c r="T5296">
        <v>-0.27186250000000001</v>
      </c>
      <c r="U5296">
        <v>-1.1295470000000001</v>
      </c>
      <c r="V5296">
        <v>-7.3129930000000003E-3</v>
      </c>
      <c r="W5296">
        <v>4.9780600000000001E-2</v>
      </c>
      <c r="X5296">
        <v>0.99873339999999999</v>
      </c>
      <c r="Y5296">
        <v>-0.29398619999999998</v>
      </c>
      <c r="Z5296">
        <v>6.3343640000000007E-2</v>
      </c>
      <c r="AA5296">
        <v>0.95370840000000001</v>
      </c>
      <c r="AB5296">
        <v>18</v>
      </c>
      <c r="AC5296">
        <v>11.9142999999999</v>
      </c>
      <c r="AD5296">
        <v>-1.113280484411</v>
      </c>
      <c r="AE5296">
        <v>-4.5142999999999898</v>
      </c>
      <c r="AF5296">
        <v>-3.8006133990461901</v>
      </c>
      <c r="AG5296">
        <v>-1.113280484411</v>
      </c>
      <c r="AH5296">
        <v>12.0596062176782</v>
      </c>
      <c r="AI5296">
        <v>95.0316840148719</v>
      </c>
      <c r="AJ5296">
        <v>107.492368725991</v>
      </c>
      <c r="AK5296">
        <v>12.693232754954201</v>
      </c>
      <c r="AL5296">
        <v>87.146602374184894</v>
      </c>
      <c r="AM5296">
        <v>90.419527519929304</v>
      </c>
      <c r="AN5296">
        <v>0.99999999613926804</v>
      </c>
    </row>
    <row r="5297" spans="1:40" x14ac:dyDescent="0.25">
      <c r="A5297" t="str">
        <f>"20190312154710567"</f>
        <v>20190312154710567</v>
      </c>
      <c r="B5297" t="str">
        <f>"1552376830563769"</f>
        <v>1552376830563769</v>
      </c>
      <c r="C5297" t="s">
        <v>40</v>
      </c>
      <c r="D5297">
        <v>4.8602030000000003</v>
      </c>
      <c r="E5297">
        <v>0.38173220000000002</v>
      </c>
      <c r="F5297" t="s">
        <v>42</v>
      </c>
      <c r="G5297">
        <v>-278.17439999999999</v>
      </c>
      <c r="H5297" s="1">
        <v>-3.125047E-6</v>
      </c>
      <c r="I5297">
        <v>-58.285049999999998</v>
      </c>
      <c r="J5297">
        <v>-290.53730000000002</v>
      </c>
      <c r="K5297">
        <v>1.113248</v>
      </c>
      <c r="L5297">
        <v>-53.815800000000003</v>
      </c>
      <c r="M5297">
        <v>0.79525829999999997</v>
      </c>
      <c r="N5297">
        <v>0</v>
      </c>
      <c r="O5297">
        <v>-0.60621250000000004</v>
      </c>
      <c r="P5297">
        <v>0.79916790000000004</v>
      </c>
      <c r="Q5297">
        <v>4.1224700000000003E-2</v>
      </c>
      <c r="R5297">
        <v>-0.59969269999999997</v>
      </c>
      <c r="S5297">
        <v>2.9641109999999999</v>
      </c>
      <c r="T5297">
        <v>-0.2605442</v>
      </c>
      <c r="U5297">
        <v>-1.095825</v>
      </c>
      <c r="V5297">
        <v>-8.0388630000000003E-3</v>
      </c>
      <c r="W5297">
        <v>4.9551999999999999E-2</v>
      </c>
      <c r="X5297">
        <v>0.99873920000000005</v>
      </c>
      <c r="Y5297">
        <v>-0.29018949999999999</v>
      </c>
      <c r="Z5297">
        <v>5.9578140000000002E-2</v>
      </c>
      <c r="AA5297">
        <v>0.95511279999999998</v>
      </c>
      <c r="AB5297">
        <v>19</v>
      </c>
      <c r="AC5297">
        <v>12.3629</v>
      </c>
      <c r="AD5297">
        <v>-1.1132511250470001</v>
      </c>
      <c r="AE5297">
        <v>-4.46924999999999</v>
      </c>
      <c r="AF5297">
        <v>-3.91241804800207</v>
      </c>
      <c r="AG5297">
        <v>-1.1132511250470001</v>
      </c>
      <c r="AH5297">
        <v>12.4521576967035</v>
      </c>
      <c r="AI5297">
        <v>94.875038135572396</v>
      </c>
      <c r="AJ5297">
        <v>107.442509757249</v>
      </c>
      <c r="AK5297">
        <v>13.0997165753051</v>
      </c>
      <c r="AL5297">
        <v>87.159716404230394</v>
      </c>
      <c r="AM5297">
        <v>90.461164411713895</v>
      </c>
      <c r="AN5297">
        <v>1.0000000068194801</v>
      </c>
    </row>
    <row r="5298" spans="1:40" x14ac:dyDescent="0.25">
      <c r="A5298" t="str">
        <f>"20190312154710590"</f>
        <v>20190312154710590</v>
      </c>
      <c r="B5298" t="str">
        <f>"1552376830583288"</f>
        <v>1552376830583288</v>
      </c>
      <c r="C5298" t="s">
        <v>40</v>
      </c>
      <c r="D5298">
        <v>4.3298110000000003</v>
      </c>
      <c r="E5298">
        <v>0.38163059999999899</v>
      </c>
      <c r="F5298" t="s">
        <v>42</v>
      </c>
      <c r="G5298">
        <v>-277.20890000000003</v>
      </c>
      <c r="H5298" s="1">
        <v>-2.6756470000000001E-6</v>
      </c>
      <c r="I5298">
        <v>-58.444249999999997</v>
      </c>
      <c r="J5298">
        <v>-290.38330000000002</v>
      </c>
      <c r="K5298">
        <v>1.1132489999999999</v>
      </c>
      <c r="L5298">
        <v>-53.921689999999998</v>
      </c>
      <c r="M5298">
        <v>0.80017939999999999</v>
      </c>
      <c r="N5298">
        <v>0</v>
      </c>
      <c r="O5298">
        <v>-0.59971079999999999</v>
      </c>
      <c r="P5298">
        <v>0.80422979999999999</v>
      </c>
      <c r="Q5298">
        <v>4.261558E-2</v>
      </c>
      <c r="R5298">
        <v>-0.59278909999999996</v>
      </c>
      <c r="S5298">
        <v>2.9881289999999998</v>
      </c>
      <c r="T5298">
        <v>-0.2495812</v>
      </c>
      <c r="U5298">
        <v>-1.0376590000000001</v>
      </c>
      <c r="V5298">
        <v>-8.4671629999999998E-3</v>
      </c>
      <c r="W5298">
        <v>5.0287310000000002E-2</v>
      </c>
      <c r="X5298">
        <v>0.99869889999999995</v>
      </c>
      <c r="Y5298">
        <v>-0.30157460000000003</v>
      </c>
      <c r="Z5298">
        <v>5.6958189999999999E-2</v>
      </c>
      <c r="AA5298">
        <v>0.95173969999999997</v>
      </c>
      <c r="AB5298">
        <v>19</v>
      </c>
      <c r="AC5298">
        <v>13.174399999999901</v>
      </c>
      <c r="AD5298">
        <v>-1.1132516756469999</v>
      </c>
      <c r="AE5298">
        <v>-4.5225599999999897</v>
      </c>
      <c r="AF5298">
        <v>-4.25491972219932</v>
      </c>
      <c r="AG5298">
        <v>-1.1132516756469999</v>
      </c>
      <c r="AH5298">
        <v>13.170380122548</v>
      </c>
      <c r="AI5298">
        <v>94.598603205147796</v>
      </c>
      <c r="AJ5298">
        <v>107.90395052338999</v>
      </c>
      <c r="AK5298">
        <v>13.885337003764</v>
      </c>
      <c r="AL5298">
        <v>87.117533631278903</v>
      </c>
      <c r="AM5298">
        <v>90.4857530944589</v>
      </c>
      <c r="AN5298">
        <v>0.99999999962875696</v>
      </c>
    </row>
    <row r="5299" spans="1:40" x14ac:dyDescent="0.25">
      <c r="A5299" t="str">
        <f>"20190312154710612"</f>
        <v>20190312154710612</v>
      </c>
      <c r="B5299" t="str">
        <f>"1552376830603784"</f>
        <v>1552376830603784</v>
      </c>
      <c r="C5299" t="s">
        <v>40</v>
      </c>
      <c r="D5299">
        <v>4.8641310000000004</v>
      </c>
      <c r="E5299">
        <v>0.38030190000000003</v>
      </c>
      <c r="F5299" t="s">
        <v>42</v>
      </c>
      <c r="G5299">
        <v>-276.76850000000002</v>
      </c>
      <c r="H5299" s="1">
        <v>-2.470083E-6</v>
      </c>
      <c r="I5299">
        <v>-58.519530000000003</v>
      </c>
      <c r="J5299">
        <v>-290.22399999999999</v>
      </c>
      <c r="K5299">
        <v>1.113259</v>
      </c>
      <c r="L5299">
        <v>-54.029359999999997</v>
      </c>
      <c r="M5299">
        <v>0.80517479999999997</v>
      </c>
      <c r="N5299">
        <v>0</v>
      </c>
      <c r="O5299">
        <v>-0.59299480000000004</v>
      </c>
      <c r="P5299">
        <v>0.80848560000000003</v>
      </c>
      <c r="Q5299">
        <v>4.6751590000000003E-2</v>
      </c>
      <c r="R5299">
        <v>-0.58665610000000001</v>
      </c>
      <c r="S5299">
        <v>2.9971920000000001</v>
      </c>
      <c r="T5299">
        <v>-0.24507309999999999</v>
      </c>
      <c r="U5299">
        <v>-1.0121770000000001</v>
      </c>
      <c r="V5299">
        <v>-7.6109539999999996E-3</v>
      </c>
      <c r="W5299">
        <v>5.3803030000000002E-2</v>
      </c>
      <c r="X5299">
        <v>0.99852260000000004</v>
      </c>
      <c r="Y5299">
        <v>-0.30184030000000001</v>
      </c>
      <c r="Z5299">
        <v>5.5477190000000003E-2</v>
      </c>
      <c r="AA5299">
        <v>0.95174300000000001</v>
      </c>
      <c r="AB5299">
        <v>19</v>
      </c>
      <c r="AC5299">
        <v>13.455499999999899</v>
      </c>
      <c r="AD5299">
        <v>-1.1132614700829999</v>
      </c>
      <c r="AE5299">
        <v>-4.49017</v>
      </c>
      <c r="AF5299">
        <v>-4.3370666005498704</v>
      </c>
      <c r="AG5299">
        <v>-1.1132614700829999</v>
      </c>
      <c r="AH5299">
        <v>13.4143942246774</v>
      </c>
      <c r="AI5299">
        <v>94.515016067489299</v>
      </c>
      <c r="AJ5299">
        <v>107.916766235645</v>
      </c>
      <c r="AK5299">
        <v>14.141975470684301</v>
      </c>
      <c r="AL5299">
        <v>86.915824355532806</v>
      </c>
      <c r="AM5299">
        <v>90.436712296246498</v>
      </c>
      <c r="AN5299">
        <v>1.0000000376843601</v>
      </c>
    </row>
    <row r="5300" spans="1:40" x14ac:dyDescent="0.25">
      <c r="A5300" t="str">
        <f>"20190312154710634"</f>
        <v>20190312154710634</v>
      </c>
      <c r="B5300" t="str">
        <f>"1552376830623305"</f>
        <v>1552376830623305</v>
      </c>
      <c r="C5300" t="s">
        <v>40</v>
      </c>
      <c r="D5300">
        <v>4.9489879999999999</v>
      </c>
      <c r="E5300">
        <v>0.38239339999999999</v>
      </c>
      <c r="F5300" t="s">
        <v>72</v>
      </c>
      <c r="G5300">
        <v>-207.98990000000001</v>
      </c>
      <c r="H5300">
        <v>5.5252660000000002</v>
      </c>
      <c r="I5300">
        <v>-81.210119999999904</v>
      </c>
      <c r="J5300">
        <v>-290.0686</v>
      </c>
      <c r="K5300">
        <v>1.1132899999999999</v>
      </c>
      <c r="L5300">
        <v>-54.132599999999996</v>
      </c>
      <c r="M5300">
        <v>0.80995569999999995</v>
      </c>
      <c r="N5300">
        <v>0</v>
      </c>
      <c r="O5300">
        <v>-0.58645459999999905</v>
      </c>
      <c r="P5300">
        <v>0.8117299</v>
      </c>
      <c r="Q5300">
        <v>5.265181E-2</v>
      </c>
      <c r="R5300">
        <v>-0.58165519999999904</v>
      </c>
      <c r="S5300">
        <v>2.985382</v>
      </c>
      <c r="T5300">
        <v>0.16017129999999999</v>
      </c>
      <c r="U5300">
        <v>-0.98675539999999995</v>
      </c>
      <c r="V5300">
        <v>-5.5366529999999999E-3</v>
      </c>
      <c r="W5300">
        <v>5.9157439999999999E-2</v>
      </c>
      <c r="X5300">
        <v>0.99823329999999999</v>
      </c>
      <c r="Y5300">
        <v>-0.30162230000000001</v>
      </c>
      <c r="Z5300">
        <v>-3.6217829999999999E-2</v>
      </c>
      <c r="AA5300">
        <v>0.95273940000000001</v>
      </c>
      <c r="AB5300">
        <v>19</v>
      </c>
      <c r="AC5300">
        <v>82.078699999999998</v>
      </c>
      <c r="AD5300">
        <v>4.4119760000000001</v>
      </c>
      <c r="AE5300">
        <v>-27.07752</v>
      </c>
      <c r="AF5300">
        <v>-26.136294129417699</v>
      </c>
      <c r="AG5300">
        <v>4.4119760000000001</v>
      </c>
      <c r="AH5300">
        <v>82.147548899017195</v>
      </c>
      <c r="AI5300">
        <v>87.070160288340105</v>
      </c>
      <c r="AJ5300">
        <v>107.649134701965</v>
      </c>
      <c r="AK5300">
        <v>86.317965645399894</v>
      </c>
      <c r="AL5300">
        <v>86.608548237412407</v>
      </c>
      <c r="AM5300">
        <v>90.317785027432905</v>
      </c>
      <c r="AN5300">
        <v>0.99999998923134203</v>
      </c>
    </row>
    <row r="5301" spans="1:40" x14ac:dyDescent="0.25">
      <c r="A5301" t="str">
        <f>"20190312154710655"</f>
        <v>20190312154710655</v>
      </c>
      <c r="B5301" t="str">
        <f>"1552376830643799"</f>
        <v>1552376830643799</v>
      </c>
      <c r="C5301" t="s">
        <v>40</v>
      </c>
      <c r="D5301">
        <v>4.9127460000000003</v>
      </c>
      <c r="E5301">
        <v>0.38445829999999998</v>
      </c>
      <c r="F5301" t="s">
        <v>42</v>
      </c>
      <c r="G5301">
        <v>-267.81970000000001</v>
      </c>
      <c r="H5301" s="1">
        <v>-2.6336780000000001E-6</v>
      </c>
      <c r="I5301">
        <v>-61.412680000000002</v>
      </c>
      <c r="J5301">
        <v>-289.90890000000002</v>
      </c>
      <c r="K5301">
        <v>1.1133120000000001</v>
      </c>
      <c r="L5301">
        <v>-54.236939999999997</v>
      </c>
      <c r="M5301">
        <v>0.81477580000000005</v>
      </c>
      <c r="N5301">
        <v>0</v>
      </c>
      <c r="O5301">
        <v>-0.57974479999999995</v>
      </c>
      <c r="P5301">
        <v>0.81556039999999996</v>
      </c>
      <c r="Q5301">
        <v>5.634024E-2</v>
      </c>
      <c r="R5301">
        <v>-0.57592310000000002</v>
      </c>
      <c r="S5301">
        <v>3.0017399999999999</v>
      </c>
      <c r="T5301">
        <v>-0.150200799999999</v>
      </c>
      <c r="U5301">
        <v>-0.98220830000000003</v>
      </c>
      <c r="V5301">
        <v>-4.2220870000000002E-3</v>
      </c>
      <c r="W5301">
        <v>6.2328740000000001E-2</v>
      </c>
      <c r="X5301">
        <v>0.99804680000000001</v>
      </c>
      <c r="Y5301">
        <v>-0.296736</v>
      </c>
      <c r="Z5301">
        <v>3.3429920000000002E-2</v>
      </c>
      <c r="AA5301">
        <v>0.95437430000000001</v>
      </c>
      <c r="AB5301">
        <v>20</v>
      </c>
      <c r="AC5301">
        <v>22.089200000000002</v>
      </c>
      <c r="AD5301">
        <v>-1.113314633678</v>
      </c>
      <c r="AE5301">
        <v>-7.1757399999999896</v>
      </c>
      <c r="AF5301">
        <v>-6.9436511957398697</v>
      </c>
      <c r="AG5301">
        <v>-1.113314633678</v>
      </c>
      <c r="AH5301">
        <v>22.107448704883399</v>
      </c>
      <c r="AI5301">
        <v>92.750669086595593</v>
      </c>
      <c r="AJ5301">
        <v>107.436799797929</v>
      </c>
      <c r="AK5301">
        <v>23.1989881167415</v>
      </c>
      <c r="AL5301">
        <v>86.426510147149401</v>
      </c>
      <c r="AM5301">
        <v>90.242379738909506</v>
      </c>
      <c r="AN5301">
        <v>1.00000005641943</v>
      </c>
    </row>
    <row r="5302" spans="1:40" x14ac:dyDescent="0.25">
      <c r="A5302" t="str">
        <f>"20190312154710679"</f>
        <v>20190312154710679</v>
      </c>
      <c r="B5302" t="str">
        <f>"1552376830673080"</f>
        <v>1552376830673080</v>
      </c>
      <c r="C5302" t="s">
        <v>40</v>
      </c>
      <c r="D5302">
        <v>4.9530810000000001</v>
      </c>
      <c r="E5302">
        <v>0.38795249999999998</v>
      </c>
      <c r="F5302" t="s">
        <v>42</v>
      </c>
      <c r="G5302">
        <v>-264.798</v>
      </c>
      <c r="H5302" s="1">
        <v>-1.6044630000000001E-6</v>
      </c>
      <c r="I5302">
        <v>-62.41639</v>
      </c>
      <c r="J5302">
        <v>-289.73340000000002</v>
      </c>
      <c r="K5302">
        <v>1.1133280000000001</v>
      </c>
      <c r="L5302">
        <v>-54.349460000000001</v>
      </c>
      <c r="M5302">
        <v>0.81995869999999904</v>
      </c>
      <c r="N5302">
        <v>0</v>
      </c>
      <c r="O5302">
        <v>-0.57239589999999996</v>
      </c>
      <c r="P5302">
        <v>0.82203989999999905</v>
      </c>
      <c r="Q5302">
        <v>5.0967890000000002E-2</v>
      </c>
      <c r="R5302">
        <v>-0.56714449999999905</v>
      </c>
      <c r="S5302">
        <v>2.9980159999999998</v>
      </c>
      <c r="T5302">
        <v>-0.13291989999999901</v>
      </c>
      <c r="U5302">
        <v>-0.9765625</v>
      </c>
      <c r="V5302">
        <v>-6.1007209999999999E-3</v>
      </c>
      <c r="W5302">
        <v>5.6423559999999998E-2</v>
      </c>
      <c r="X5302">
        <v>0.99838830000000001</v>
      </c>
      <c r="Y5302">
        <v>-0.28961429999999999</v>
      </c>
      <c r="Z5302">
        <v>2.9229640000000001E-2</v>
      </c>
      <c r="AA5302">
        <v>0.95669700000000002</v>
      </c>
      <c r="AB5302">
        <v>20</v>
      </c>
      <c r="AC5302">
        <v>24.935400000000001</v>
      </c>
      <c r="AD5302">
        <v>-1.1133296044629899</v>
      </c>
      <c r="AE5302">
        <v>-8.0669299999999993</v>
      </c>
      <c r="AF5302">
        <v>-7.6446929394827503</v>
      </c>
      <c r="AG5302">
        <v>-1.1133296044629899</v>
      </c>
      <c r="AH5302">
        <v>25.0187108264244</v>
      </c>
      <c r="AI5302">
        <v>92.436893968194198</v>
      </c>
      <c r="AJ5302">
        <v>106.991005211971</v>
      </c>
      <c r="AK5302">
        <v>26.184283919240499</v>
      </c>
      <c r="AL5302">
        <v>86.765450390274495</v>
      </c>
      <c r="AM5302">
        <v>90.350105479818694</v>
      </c>
      <c r="AN5302">
        <v>1.0000000172483401</v>
      </c>
    </row>
    <row r="5303" spans="1:40" x14ac:dyDescent="0.25">
      <c r="A5303" t="str">
        <f>"20190312154710700"</f>
        <v>20190312154710700</v>
      </c>
      <c r="B5303" t="str">
        <f>"1552376830693576"</f>
        <v>1552376830693576</v>
      </c>
      <c r="C5303" t="s">
        <v>40</v>
      </c>
      <c r="D5303">
        <v>4.9872540000000001</v>
      </c>
      <c r="E5303">
        <v>0.38920440000000001</v>
      </c>
      <c r="F5303" t="s">
        <v>42</v>
      </c>
      <c r="G5303">
        <v>-269.8725</v>
      </c>
      <c r="H5303" s="1">
        <v>-3.3160839999999999E-6</v>
      </c>
      <c r="I5303">
        <v>-60.7669</v>
      </c>
      <c r="J5303">
        <v>-289.57569999999998</v>
      </c>
      <c r="K5303">
        <v>1.1133459999999999</v>
      </c>
      <c r="L5303">
        <v>-54.4486699999999</v>
      </c>
      <c r="M5303">
        <v>0.82451799999999997</v>
      </c>
      <c r="N5303">
        <v>0</v>
      </c>
      <c r="O5303">
        <v>-0.56581239999999999</v>
      </c>
      <c r="P5303">
        <v>0.82838149999999999</v>
      </c>
      <c r="Q5303">
        <v>4.4260550000000003E-2</v>
      </c>
      <c r="R5303">
        <v>-0.55841319999999905</v>
      </c>
      <c r="S5303">
        <v>2.9927060000000001</v>
      </c>
      <c r="T5303">
        <v>-0.167760299999999</v>
      </c>
      <c r="U5303">
        <v>-0.9670105</v>
      </c>
      <c r="V5303">
        <v>-8.8233310000000002E-3</v>
      </c>
      <c r="W5303">
        <v>4.9297199999999999E-2</v>
      </c>
      <c r="X5303">
        <v>0.9987452</v>
      </c>
      <c r="Y5303">
        <v>-0.28381200000000001</v>
      </c>
      <c r="Z5303">
        <v>3.6522270000000003E-2</v>
      </c>
      <c r="AA5303">
        <v>0.95818419999999904</v>
      </c>
      <c r="AB5303">
        <v>20</v>
      </c>
      <c r="AC5303">
        <v>19.703199999999899</v>
      </c>
      <c r="AD5303">
        <v>-1.113349316084</v>
      </c>
      <c r="AE5303">
        <v>-6.3182299999999998</v>
      </c>
      <c r="AF5303">
        <v>-5.9217541382536698</v>
      </c>
      <c r="AG5303">
        <v>-1.113349316084</v>
      </c>
      <c r="AH5303">
        <v>19.763617582729001</v>
      </c>
      <c r="AI5303">
        <v>93.088856120163101</v>
      </c>
      <c r="AJ5303">
        <v>106.679743752872</v>
      </c>
      <c r="AK5303">
        <v>20.661735133572499</v>
      </c>
      <c r="AL5303">
        <v>87.174333269373307</v>
      </c>
      <c r="AM5303">
        <v>90.506161607812402</v>
      </c>
      <c r="AN5303">
        <v>1.0000000198104</v>
      </c>
    </row>
    <row r="5304" spans="1:40" x14ac:dyDescent="0.25">
      <c r="A5304" t="str">
        <f>"20190312154710722"</f>
        <v>20190312154710722</v>
      </c>
      <c r="B5304" t="str">
        <f>"1552376830713101"</f>
        <v>1552376830713101</v>
      </c>
      <c r="C5304" t="s">
        <v>40</v>
      </c>
      <c r="D5304">
        <v>4.9668429999999999</v>
      </c>
      <c r="E5304">
        <v>0.3904667</v>
      </c>
      <c r="F5304" t="s">
        <v>42</v>
      </c>
      <c r="G5304">
        <v>-271.91730000000001</v>
      </c>
      <c r="H5304" s="1">
        <v>-6.177549E-8</v>
      </c>
      <c r="I5304">
        <v>-59.999360000000003</v>
      </c>
      <c r="J5304">
        <v>-289.40559999999999</v>
      </c>
      <c r="K5304">
        <v>1.1133999999999999</v>
      </c>
      <c r="L5304">
        <v>-54.553890000000003</v>
      </c>
      <c r="M5304">
        <v>0.82933570000000001</v>
      </c>
      <c r="N5304">
        <v>0</v>
      </c>
      <c r="O5304">
        <v>-0.55872959999999905</v>
      </c>
      <c r="P5304">
        <v>0.83470049999999996</v>
      </c>
      <c r="Q5304">
        <v>4.2873380000000003E-2</v>
      </c>
      <c r="R5304">
        <v>-0.54903259999999998</v>
      </c>
      <c r="S5304">
        <v>2.9966430000000002</v>
      </c>
      <c r="T5304">
        <v>-0.1889354</v>
      </c>
      <c r="U5304">
        <v>-0.9419556</v>
      </c>
      <c r="V5304">
        <v>-1.156742E-2</v>
      </c>
      <c r="W5304">
        <v>4.7535439999999998E-2</v>
      </c>
      <c r="X5304">
        <v>0.99880250000000004</v>
      </c>
      <c r="Y5304">
        <v>-0.28295989999999999</v>
      </c>
      <c r="Z5304">
        <v>4.0767190000000002E-2</v>
      </c>
      <c r="AA5304">
        <v>0.95826489999999998</v>
      </c>
      <c r="AB5304">
        <v>20</v>
      </c>
      <c r="AC5304">
        <v>17.488299999999899</v>
      </c>
      <c r="AD5304">
        <v>-1.11340006177549</v>
      </c>
      <c r="AE5304">
        <v>-5.4454699999999896</v>
      </c>
      <c r="AF5304">
        <v>-5.2358234922543403</v>
      </c>
      <c r="AG5304">
        <v>-1.11340006177549</v>
      </c>
      <c r="AH5304">
        <v>17.481827356546599</v>
      </c>
      <c r="AI5304">
        <v>93.4913662313852</v>
      </c>
      <c r="AJ5304">
        <v>106.673006871799</v>
      </c>
      <c r="AK5304">
        <v>18.282991961484498</v>
      </c>
      <c r="AL5304">
        <v>87.275392963279202</v>
      </c>
      <c r="AM5304">
        <v>90.663529293203695</v>
      </c>
      <c r="AN5304">
        <v>0.99999992863384701</v>
      </c>
    </row>
    <row r="5305" spans="1:40" x14ac:dyDescent="0.25">
      <c r="A5305" t="str">
        <f>"20190312154710746"</f>
        <v>20190312154710746</v>
      </c>
      <c r="B5305" t="str">
        <f>"1552376830743352"</f>
        <v>1552376830743352</v>
      </c>
      <c r="C5305" t="s">
        <v>40</v>
      </c>
      <c r="D5305">
        <v>5.0383079999999998</v>
      </c>
      <c r="E5305">
        <v>0.40277809999999997</v>
      </c>
      <c r="F5305" t="s">
        <v>42</v>
      </c>
      <c r="G5305">
        <v>-272.12479999999999</v>
      </c>
      <c r="H5305" s="1">
        <v>-1.9014510000000001E-7</v>
      </c>
      <c r="I5305">
        <v>-59.821350000000002</v>
      </c>
      <c r="J5305">
        <v>-289.23070000000001</v>
      </c>
      <c r="K5305">
        <v>1.1134770000000001</v>
      </c>
      <c r="L5305">
        <v>-54.659910000000004</v>
      </c>
      <c r="M5305">
        <v>0.83418210000000004</v>
      </c>
      <c r="N5305">
        <v>0</v>
      </c>
      <c r="O5305">
        <v>-0.55147069999999998</v>
      </c>
      <c r="P5305">
        <v>0.8400955</v>
      </c>
      <c r="Q5305">
        <v>4.6213339999999999E-2</v>
      </c>
      <c r="R5305">
        <v>-0.54046689999999997</v>
      </c>
      <c r="S5305">
        <v>3.0021360000000001</v>
      </c>
      <c r="T5305">
        <v>-0.19342770000000001</v>
      </c>
      <c r="U5305">
        <v>-0.91510009999999997</v>
      </c>
      <c r="V5305">
        <v>-1.301283E-2</v>
      </c>
      <c r="W5305">
        <v>5.0590200000000002E-2</v>
      </c>
      <c r="X5305">
        <v>0.99863469999999999</v>
      </c>
      <c r="Y5305">
        <v>-0.28285969999999999</v>
      </c>
      <c r="Z5305">
        <v>4.1363810000000001E-2</v>
      </c>
      <c r="AA5305">
        <v>0.95826889999999998</v>
      </c>
      <c r="AB5305">
        <v>20</v>
      </c>
      <c r="AC5305">
        <v>17.105899999999998</v>
      </c>
      <c r="AD5305">
        <v>-1.1134771901450999</v>
      </c>
      <c r="AE5305">
        <v>-5.1614399999999998</v>
      </c>
      <c r="AF5305">
        <v>-5.1080365107108596</v>
      </c>
      <c r="AG5305">
        <v>-1.1134771901450999</v>
      </c>
      <c r="AH5305">
        <v>17.049778537618899</v>
      </c>
      <c r="AI5305">
        <v>93.579766290989795</v>
      </c>
      <c r="AJ5305">
        <v>106.67797807097899</v>
      </c>
      <c r="AK5305">
        <v>17.8333063852326</v>
      </c>
      <c r="AL5305">
        <v>87.100157146973899</v>
      </c>
      <c r="AM5305">
        <v>90.746557318411803</v>
      </c>
      <c r="AN5305">
        <v>0.99999998306236904</v>
      </c>
    </row>
    <row r="5306" spans="1:40" x14ac:dyDescent="0.25">
      <c r="A5306" t="str">
        <f>"20190312154710767"</f>
        <v>20190312154710767</v>
      </c>
      <c r="B5306" t="str">
        <f>"1552376830763848"</f>
        <v>1552376830763848</v>
      </c>
      <c r="C5306" t="s">
        <v>40</v>
      </c>
      <c r="D5306">
        <v>5.075386</v>
      </c>
      <c r="E5306">
        <v>0.40524349999999998</v>
      </c>
      <c r="F5306" t="s">
        <v>42</v>
      </c>
      <c r="G5306">
        <v>-270.07549999999998</v>
      </c>
      <c r="H5306" s="1">
        <v>6.9395180000000001E-7</v>
      </c>
      <c r="I5306">
        <v>-60.920479999999998</v>
      </c>
      <c r="J5306">
        <v>-289.05759999999998</v>
      </c>
      <c r="K5306">
        <v>1.1135520000000001</v>
      </c>
      <c r="L5306">
        <v>-54.762700000000002</v>
      </c>
      <c r="M5306">
        <v>0.83888079999999998</v>
      </c>
      <c r="N5306">
        <v>0</v>
      </c>
      <c r="O5306">
        <v>-0.54429819999999995</v>
      </c>
      <c r="P5306">
        <v>0.84487710000000005</v>
      </c>
      <c r="Q5306">
        <v>4.6877469999999997E-2</v>
      </c>
      <c r="R5306">
        <v>-0.53290300000000002</v>
      </c>
      <c r="S5306">
        <v>2.9584350000000001</v>
      </c>
      <c r="T5306">
        <v>-0.17197190000000001</v>
      </c>
      <c r="U5306">
        <v>-0.96691890000000003</v>
      </c>
      <c r="V5306">
        <v>-1.3411080000000001E-2</v>
      </c>
      <c r="W5306">
        <v>5.1053080000000001E-2</v>
      </c>
      <c r="X5306">
        <v>0.99860590000000005</v>
      </c>
      <c r="Y5306">
        <v>-0.25566139999999998</v>
      </c>
      <c r="Z5306">
        <v>3.6066760000000003E-2</v>
      </c>
      <c r="AA5306">
        <v>0.96609339999999999</v>
      </c>
      <c r="AB5306">
        <v>20</v>
      </c>
      <c r="AC5306">
        <v>18.982099999999999</v>
      </c>
      <c r="AD5306">
        <v>-1.1135513060482001</v>
      </c>
      <c r="AE5306">
        <v>-6.1577799999999998</v>
      </c>
      <c r="AF5306">
        <v>-5.1502906863786899</v>
      </c>
      <c r="AG5306">
        <v>-1.1135513060482001</v>
      </c>
      <c r="AH5306">
        <v>19.215733730658499</v>
      </c>
      <c r="AI5306">
        <v>93.203749286766296</v>
      </c>
      <c r="AJ5306">
        <v>105.004034764794</v>
      </c>
      <c r="AK5306">
        <v>19.925107615091299</v>
      </c>
      <c r="AL5306">
        <v>87.073601834868398</v>
      </c>
      <c r="AM5306">
        <v>90.769424746749195</v>
      </c>
      <c r="AN5306">
        <v>1.00000000877953</v>
      </c>
    </row>
    <row r="5307" spans="1:40" x14ac:dyDescent="0.25">
      <c r="A5307" t="str">
        <f>"20190312154710790"</f>
        <v>20190312154710790</v>
      </c>
      <c r="B5307" t="str">
        <f>"1552376830783368"</f>
        <v>1552376830783368</v>
      </c>
      <c r="C5307" t="s">
        <v>40</v>
      </c>
      <c r="D5307">
        <v>5.156917</v>
      </c>
      <c r="E5307">
        <v>0.4043407</v>
      </c>
      <c r="F5307" t="s">
        <v>42</v>
      </c>
      <c r="G5307">
        <v>-271.96440000000001</v>
      </c>
      <c r="H5307" s="1">
        <v>-1.8299719999999999E-8</v>
      </c>
      <c r="I5307">
        <v>-60.287390000000002</v>
      </c>
      <c r="J5307">
        <v>-288.88130000000001</v>
      </c>
      <c r="K5307">
        <v>1.1136250000000001</v>
      </c>
      <c r="L5307">
        <v>-54.865360000000003</v>
      </c>
      <c r="M5307">
        <v>0.8435783</v>
      </c>
      <c r="N5307">
        <v>0</v>
      </c>
      <c r="O5307">
        <v>-0.53698990000000002</v>
      </c>
      <c r="P5307">
        <v>0.84858349999999905</v>
      </c>
      <c r="Q5307">
        <v>4.7595560000000002E-2</v>
      </c>
      <c r="R5307">
        <v>-0.52691650000000001</v>
      </c>
      <c r="S5307">
        <v>2.9583740000000001</v>
      </c>
      <c r="T5307">
        <v>-0.19272600000000001</v>
      </c>
      <c r="U5307">
        <v>-0.95617680000000005</v>
      </c>
      <c r="V5307">
        <v>-1.1789330000000001E-2</v>
      </c>
      <c r="W5307">
        <v>5.1642630000000002E-2</v>
      </c>
      <c r="X5307">
        <v>0.99859600000000004</v>
      </c>
      <c r="Y5307">
        <v>-0.25016369999999999</v>
      </c>
      <c r="Z5307">
        <v>3.9888390000000003E-2</v>
      </c>
      <c r="AA5307">
        <v>0.96738150000000001</v>
      </c>
      <c r="AB5307">
        <v>21</v>
      </c>
      <c r="AC5307">
        <v>16.916899999999998</v>
      </c>
      <c r="AD5307">
        <v>-1.11362501829972</v>
      </c>
      <c r="AE5307">
        <v>-5.4220300000000003</v>
      </c>
      <c r="AF5307">
        <v>-4.4926817869936002</v>
      </c>
      <c r="AG5307">
        <v>-1.11362501829972</v>
      </c>
      <c r="AH5307">
        <v>17.115196416738701</v>
      </c>
      <c r="AI5307">
        <v>93.601122373884706</v>
      </c>
      <c r="AJ5307">
        <v>104.708124530896</v>
      </c>
      <c r="AK5307">
        <v>17.7300394445165</v>
      </c>
      <c r="AL5307">
        <v>87.039778345661304</v>
      </c>
      <c r="AM5307">
        <v>90.676397133873706</v>
      </c>
      <c r="AN5307">
        <v>0.99999996037558203</v>
      </c>
    </row>
    <row r="5308" spans="1:40" x14ac:dyDescent="0.25">
      <c r="A5308" t="str">
        <f>"20190312154710835"</f>
        <v>20190312154710835</v>
      </c>
      <c r="B5308" t="str">
        <f>"1552376830823385"</f>
        <v>1552376830823385</v>
      </c>
      <c r="C5308" t="s">
        <v>40</v>
      </c>
      <c r="D5308">
        <v>5.1992320000000003</v>
      </c>
      <c r="E5308">
        <v>0.40619139999999998</v>
      </c>
      <c r="F5308" t="s">
        <v>42</v>
      </c>
      <c r="G5308">
        <v>-274.02080000000001</v>
      </c>
      <c r="H5308" s="1">
        <v>-1.072804E-6</v>
      </c>
      <c r="I5308">
        <v>-59.50806</v>
      </c>
      <c r="J5308">
        <v>-288.52</v>
      </c>
      <c r="K5308">
        <v>1.113769</v>
      </c>
      <c r="L5308">
        <v>-55.069699999999997</v>
      </c>
      <c r="M5308">
        <v>0.85294150000000002</v>
      </c>
      <c r="N5308">
        <v>0</v>
      </c>
      <c r="O5308">
        <v>-0.5219916</v>
      </c>
      <c r="P5308">
        <v>0.8551183</v>
      </c>
      <c r="Q5308">
        <v>4.7193230000000003E-2</v>
      </c>
      <c r="R5308">
        <v>-0.51628050000000003</v>
      </c>
      <c r="S5308">
        <v>2.9713750000000001</v>
      </c>
      <c r="T5308">
        <v>-0.2226709</v>
      </c>
      <c r="U5308">
        <v>-0.92831419999999998</v>
      </c>
      <c r="V5308">
        <v>-6.6205780000000002E-3</v>
      </c>
      <c r="W5308">
        <v>5.1111660000000003E-2</v>
      </c>
      <c r="X5308">
        <v>0.99867099999999998</v>
      </c>
      <c r="Y5308">
        <v>-0.24211920000000001</v>
      </c>
      <c r="Z5308">
        <v>4.4767809999999998E-2</v>
      </c>
      <c r="AA5308">
        <v>0.96921310000000005</v>
      </c>
      <c r="AB5308">
        <v>21</v>
      </c>
      <c r="AC5308">
        <v>14.499199999999901</v>
      </c>
      <c r="AD5308">
        <v>-1.1137700728039901</v>
      </c>
      <c r="AE5308">
        <v>-4.4383600000000003</v>
      </c>
      <c r="AF5308">
        <v>-3.7625292154143302</v>
      </c>
      <c r="AG5308">
        <v>-1.1137700728039901</v>
      </c>
      <c r="AH5308">
        <v>14.6050738032484</v>
      </c>
      <c r="AI5308">
        <v>94.223509271565902</v>
      </c>
      <c r="AJ5308">
        <v>104.44630289861399</v>
      </c>
      <c r="AK5308">
        <v>15.123005345177001</v>
      </c>
      <c r="AL5308">
        <v>87.070241034828598</v>
      </c>
      <c r="AM5308">
        <v>90.379830415056304</v>
      </c>
      <c r="AN5308">
        <v>1.0000000000410001</v>
      </c>
    </row>
    <row r="5309" spans="1:40" x14ac:dyDescent="0.25">
      <c r="A5309" t="str">
        <f>"20190312154710856"</f>
        <v>20190312154710856</v>
      </c>
      <c r="B5309" t="str">
        <f>"1552376830853641"</f>
        <v>1552376830853641</v>
      </c>
      <c r="C5309" t="s">
        <v>40</v>
      </c>
      <c r="D5309">
        <v>5.9276049999999998</v>
      </c>
      <c r="E5309">
        <v>0.42294500000000002</v>
      </c>
      <c r="F5309" t="s">
        <v>42</v>
      </c>
      <c r="G5309">
        <v>-274.90050000000002</v>
      </c>
      <c r="H5309" s="1">
        <v>-1.5186749999999999E-6</v>
      </c>
      <c r="I5309">
        <v>-59.198180000000001</v>
      </c>
      <c r="J5309">
        <v>-288.34039999999999</v>
      </c>
      <c r="K5309">
        <v>1.1138159999999999</v>
      </c>
      <c r="L5309">
        <v>-55.168329999999997</v>
      </c>
      <c r="M5309">
        <v>0.85745689999999997</v>
      </c>
      <c r="N5309">
        <v>0</v>
      </c>
      <c r="O5309">
        <v>-0.51454100000000003</v>
      </c>
      <c r="P5309">
        <v>0.85909590000000002</v>
      </c>
      <c r="Q5309">
        <v>4.604594E-2</v>
      </c>
      <c r="R5309">
        <v>-0.50973939999999995</v>
      </c>
      <c r="S5309">
        <v>2.9768680000000001</v>
      </c>
      <c r="T5309">
        <v>-0.2434404</v>
      </c>
      <c r="U5309">
        <v>-0.90237429999999996</v>
      </c>
      <c r="V5309">
        <v>-5.5651709999999998E-3</v>
      </c>
      <c r="W5309">
        <v>4.9912039999999998E-2</v>
      </c>
      <c r="X5309">
        <v>0.99873809999999996</v>
      </c>
      <c r="Y5309">
        <v>-0.24156549999999999</v>
      </c>
      <c r="Z5309">
        <v>4.8408880000000001E-2</v>
      </c>
      <c r="AA5309">
        <v>0.96917629999999999</v>
      </c>
      <c r="AB5309">
        <v>21</v>
      </c>
      <c r="AC5309">
        <v>13.4398999999999</v>
      </c>
      <c r="AD5309">
        <v>-1.1138175186749999</v>
      </c>
      <c r="AE5309">
        <v>-4.0298499999999997</v>
      </c>
      <c r="AF5309">
        <v>-3.4383165198417598</v>
      </c>
      <c r="AG5309">
        <v>-1.1138175186749999</v>
      </c>
      <c r="AH5309">
        <v>13.512611183642999</v>
      </c>
      <c r="AI5309">
        <v>94.567232814626706</v>
      </c>
      <c r="AJ5309">
        <v>104.2760891178</v>
      </c>
      <c r="AK5309">
        <v>13.9876113384609</v>
      </c>
      <c r="AL5309">
        <v>87.139062019133306</v>
      </c>
      <c r="AM5309">
        <v>90.319260385160007</v>
      </c>
      <c r="AN5309">
        <v>0.99999998762841502</v>
      </c>
    </row>
    <row r="5310" spans="1:40" x14ac:dyDescent="0.25">
      <c r="A5310" t="str">
        <f>"20190312154710968"</f>
        <v>20190312154710968</v>
      </c>
      <c r="B5310" t="str">
        <f>"1552376830962952"</f>
        <v>1552376830962952</v>
      </c>
      <c r="C5310" t="s">
        <v>40</v>
      </c>
      <c r="D5310">
        <v>3.1123310000000002</v>
      </c>
      <c r="E5310">
        <v>0.41330990000000001</v>
      </c>
      <c r="F5310" t="s">
        <v>71</v>
      </c>
      <c r="G5310">
        <v>-285.32459999999998</v>
      </c>
      <c r="H5310" s="1">
        <v>-4.398605E-6</v>
      </c>
      <c r="I5310">
        <v>-56.16818</v>
      </c>
      <c r="J5310">
        <v>-287.38549999999998</v>
      </c>
      <c r="K5310">
        <v>1.11382</v>
      </c>
      <c r="L5310">
        <v>-55.661380000000001</v>
      </c>
      <c r="M5310">
        <v>0.87961119999999904</v>
      </c>
      <c r="N5310">
        <v>0</v>
      </c>
      <c r="O5310">
        <v>-0.47568080000000001</v>
      </c>
      <c r="P5310">
        <v>0.8839127</v>
      </c>
      <c r="Q5310">
        <v>4.7211389999999999E-2</v>
      </c>
      <c r="R5310">
        <v>-0.46526309999999899</v>
      </c>
      <c r="S5310">
        <v>2.9671020000000001</v>
      </c>
      <c r="T5310">
        <v>-1.0958349999999999</v>
      </c>
      <c r="U5310">
        <v>-0.98370360000000001</v>
      </c>
      <c r="V5310">
        <v>-1.1836650000000001E-2</v>
      </c>
      <c r="W5310">
        <v>5.0571619999999998E-2</v>
      </c>
      <c r="X5310">
        <v>0.99865029999999999</v>
      </c>
      <c r="Y5310">
        <v>-0.14113220000000001</v>
      </c>
      <c r="Z5310">
        <v>0.18223690000000001</v>
      </c>
      <c r="AA5310">
        <v>0.97307319999999997</v>
      </c>
      <c r="AB5310">
        <v>22</v>
      </c>
      <c r="AC5310">
        <v>2.0609000000000002</v>
      </c>
      <c r="AD5310">
        <v>-1.1138243986049901</v>
      </c>
      <c r="AE5310">
        <v>-0.50680000000000502</v>
      </c>
      <c r="AF5310">
        <v>-0.41910918548511</v>
      </c>
      <c r="AG5310">
        <v>-1.1138243986049901</v>
      </c>
      <c r="AH5310">
        <v>1.6103344888465401</v>
      </c>
      <c r="AI5310">
        <v>123.797309100757</v>
      </c>
      <c r="AJ5310">
        <v>104.58828662817</v>
      </c>
      <c r="AK5310">
        <v>2.0023572274333201</v>
      </c>
      <c r="AL5310">
        <v>87.101223140387404</v>
      </c>
      <c r="AM5310">
        <v>90.679074880046997</v>
      </c>
      <c r="AN5310">
        <v>1.00000000836136</v>
      </c>
    </row>
    <row r="5311" spans="1:40" x14ac:dyDescent="0.25">
      <c r="A5311" t="str">
        <f>"20190312154710992"</f>
        <v>20190312154710992</v>
      </c>
      <c r="B5311" t="str">
        <f>"1552376830983448"</f>
        <v>1552376830983448</v>
      </c>
      <c r="C5311" t="s">
        <v>40</v>
      </c>
      <c r="D5311">
        <v>6.8653750000000002</v>
      </c>
      <c r="E5311">
        <v>0.40635290000000002</v>
      </c>
      <c r="F5311" t="s">
        <v>71</v>
      </c>
      <c r="G5311">
        <v>-284.3023</v>
      </c>
      <c r="H5311" s="1">
        <v>-4.8412630000000002E-6</v>
      </c>
      <c r="I5311">
        <v>-56.433720000000001</v>
      </c>
      <c r="J5311">
        <v>-287.18079999999998</v>
      </c>
      <c r="K5311">
        <v>1.113815</v>
      </c>
      <c r="L5311">
        <v>-55.760649999999998</v>
      </c>
      <c r="M5311">
        <v>0.88392610000000005</v>
      </c>
      <c r="N5311">
        <v>0</v>
      </c>
      <c r="O5311">
        <v>-0.46761419999999998</v>
      </c>
      <c r="P5311">
        <v>0.88927179999999995</v>
      </c>
      <c r="Q5311">
        <v>4.9580020000000002E-2</v>
      </c>
      <c r="R5311">
        <v>-0.45468409999999898</v>
      </c>
      <c r="S5311">
        <v>3.0506289999999998</v>
      </c>
      <c r="T5311">
        <v>-1.102068</v>
      </c>
      <c r="U5311">
        <v>-0.764190699999999</v>
      </c>
      <c r="V5311">
        <v>-1.458542E-2</v>
      </c>
      <c r="W5311">
        <v>5.2782139999999998E-2</v>
      </c>
      <c r="X5311">
        <v>0.99849949999999998</v>
      </c>
      <c r="Y5311">
        <v>-0.20178380000000001</v>
      </c>
      <c r="Z5311">
        <v>0.1890251</v>
      </c>
      <c r="AA5311">
        <v>0.96101650000000005</v>
      </c>
      <c r="AB5311">
        <v>22</v>
      </c>
      <c r="AC5311">
        <v>2.8784999999999701</v>
      </c>
      <c r="AD5311">
        <v>-1.113819841263</v>
      </c>
      <c r="AE5311">
        <v>-0.67306999999999495</v>
      </c>
      <c r="AF5311">
        <v>-0.65771562568122399</v>
      </c>
      <c r="AG5311">
        <v>-1.113819841263</v>
      </c>
      <c r="AH5311">
        <v>2.50369931009973</v>
      </c>
      <c r="AI5311">
        <v>113.280799190781</v>
      </c>
      <c r="AJ5311">
        <v>104.718891460907</v>
      </c>
      <c r="AK5311">
        <v>2.8181012612129899</v>
      </c>
      <c r="AL5311">
        <v>86.974400079566394</v>
      </c>
      <c r="AM5311">
        <v>90.836879315679099</v>
      </c>
      <c r="AN5311">
        <v>0.99999997013990205</v>
      </c>
    </row>
    <row r="5312" spans="1:40" x14ac:dyDescent="0.25">
      <c r="A5312" t="str">
        <f>"20190312154711081"</f>
        <v>20190312154711081</v>
      </c>
      <c r="B5312" t="str">
        <f>"1552376831073241"</f>
        <v>1552376831073241</v>
      </c>
      <c r="C5312" t="s">
        <v>40</v>
      </c>
      <c r="D5312">
        <v>5.0968689999999999</v>
      </c>
      <c r="E5312">
        <v>0.40635290000000002</v>
      </c>
      <c r="F5312" t="s">
        <v>71</v>
      </c>
      <c r="G5312">
        <v>-283.8965</v>
      </c>
      <c r="H5312" s="1">
        <v>-5.020629E-6</v>
      </c>
      <c r="I5312">
        <v>-56.487870000000001</v>
      </c>
      <c r="J5312">
        <v>-286.36700000000002</v>
      </c>
      <c r="K5312">
        <v>1.1136010000000001</v>
      </c>
      <c r="L5312">
        <v>-56.135680000000001</v>
      </c>
      <c r="M5312">
        <v>0.89960280000000004</v>
      </c>
      <c r="N5312">
        <v>0</v>
      </c>
      <c r="O5312">
        <v>-0.4367008</v>
      </c>
      <c r="P5312">
        <v>0.90973990000000005</v>
      </c>
      <c r="Q5312">
        <v>3.5130719999999997E-2</v>
      </c>
      <c r="R5312">
        <v>-0.41369030000000001</v>
      </c>
      <c r="S5312">
        <v>3.0828549999999999</v>
      </c>
      <c r="T5312">
        <v>-1.0455030000000001</v>
      </c>
      <c r="U5312">
        <v>-0.68261719999999904</v>
      </c>
      <c r="V5312">
        <v>-2.559372E-2</v>
      </c>
      <c r="W5312">
        <v>3.7533829999999997E-2</v>
      </c>
      <c r="X5312">
        <v>0.99896750000000001</v>
      </c>
      <c r="Y5312">
        <v>-0.1999571</v>
      </c>
      <c r="Z5312">
        <v>0.1696329</v>
      </c>
      <c r="AA5312">
        <v>0.96500870000000005</v>
      </c>
      <c r="AB5312">
        <v>23</v>
      </c>
      <c r="AC5312">
        <v>2.4705000000000101</v>
      </c>
      <c r="AD5312">
        <v>-1.1136060206289999</v>
      </c>
      <c r="AE5312">
        <v>-0.35218999999998601</v>
      </c>
      <c r="AF5312">
        <v>-0.635490224145288</v>
      </c>
      <c r="AG5312">
        <v>-1.1136060206289999</v>
      </c>
      <c r="AH5312">
        <v>1.9816546718932</v>
      </c>
      <c r="AI5312">
        <v>118.151916213392</v>
      </c>
      <c r="AJ5312">
        <v>107.78035291328599</v>
      </c>
      <c r="AK5312">
        <v>2.3602799479726002</v>
      </c>
      <c r="AL5312">
        <v>87.848964576181004</v>
      </c>
      <c r="AM5312">
        <v>91.467606720601495</v>
      </c>
      <c r="AN5312">
        <v>0.99999994647707702</v>
      </c>
    </row>
    <row r="5313" spans="1:40" x14ac:dyDescent="0.25">
      <c r="A5313" t="str">
        <f>"20190312154711102"</f>
        <v>20190312154711102</v>
      </c>
      <c r="B5313" t="str">
        <f>"1552376831093737"</f>
        <v>1552376831093737</v>
      </c>
      <c r="C5313" t="s">
        <v>40</v>
      </c>
      <c r="D5313">
        <v>5.1088909999999998</v>
      </c>
      <c r="E5313">
        <v>0.40521099999999999</v>
      </c>
      <c r="F5313" t="s">
        <v>71</v>
      </c>
      <c r="G5313">
        <v>-283.21780000000001</v>
      </c>
      <c r="H5313" s="1">
        <v>-5.301553E-6</v>
      </c>
      <c r="I5313">
        <v>-56.685789999999997</v>
      </c>
      <c r="J5313">
        <v>-286.15640000000002</v>
      </c>
      <c r="K5313">
        <v>1.113526</v>
      </c>
      <c r="L5313">
        <v>-56.2279699999999</v>
      </c>
      <c r="M5313">
        <v>0.90327599999999997</v>
      </c>
      <c r="N5313">
        <v>0</v>
      </c>
      <c r="O5313">
        <v>-0.42905320000000002</v>
      </c>
      <c r="P5313">
        <v>0.91421589999999997</v>
      </c>
      <c r="Q5313">
        <v>4.083121E-2</v>
      </c>
      <c r="R5313">
        <v>-0.40316580000000002</v>
      </c>
      <c r="S5313">
        <v>3.0941160000000001</v>
      </c>
      <c r="T5313">
        <v>-1.094152</v>
      </c>
      <c r="U5313">
        <v>-0.5404968</v>
      </c>
      <c r="V5313">
        <v>-2.8606889999999999E-2</v>
      </c>
      <c r="W5313">
        <v>4.2959650000000002E-2</v>
      </c>
      <c r="X5313">
        <v>0.99866719999999998</v>
      </c>
      <c r="Y5313">
        <v>-0.23038829999999999</v>
      </c>
      <c r="Z5313">
        <v>0.1804</v>
      </c>
      <c r="AA5313">
        <v>0.95623060000000004</v>
      </c>
      <c r="AB5313">
        <v>23</v>
      </c>
      <c r="AC5313">
        <v>2.9386000000000001</v>
      </c>
      <c r="AD5313">
        <v>-1.113531301553</v>
      </c>
      <c r="AE5313">
        <v>-0.457820000000012</v>
      </c>
      <c r="AF5313">
        <v>-0.74310634083262195</v>
      </c>
      <c r="AG5313">
        <v>-1.113531301553</v>
      </c>
      <c r="AH5313">
        <v>2.5002948127236002</v>
      </c>
      <c r="AI5313">
        <v>113.11784071015801</v>
      </c>
      <c r="AJ5313">
        <v>106.552343443707</v>
      </c>
      <c r="AK5313">
        <v>2.83612995891523</v>
      </c>
      <c r="AL5313">
        <v>87.5378357120168</v>
      </c>
      <c r="AM5313">
        <v>91.640792828156094</v>
      </c>
      <c r="AN5313">
        <v>1.0000000310197099</v>
      </c>
    </row>
    <row r="5314" spans="1:40" x14ac:dyDescent="0.25">
      <c r="A5314" t="str">
        <f>"20190312154711125"</f>
        <v>20190312154711125</v>
      </c>
      <c r="B5314" t="str">
        <f>"1552376831113260"</f>
        <v>1552376831113260</v>
      </c>
      <c r="C5314" t="s">
        <v>40</v>
      </c>
      <c r="D5314">
        <v>5.0842330000000002</v>
      </c>
      <c r="E5314">
        <v>0.408827</v>
      </c>
      <c r="F5314" t="s">
        <v>45</v>
      </c>
      <c r="G5314">
        <v>124.6875</v>
      </c>
      <c r="H5314">
        <v>-0.1</v>
      </c>
      <c r="I5314">
        <v>-125.59480000000001</v>
      </c>
      <c r="J5314">
        <v>-285.9436</v>
      </c>
      <c r="K5314">
        <v>1.1134360000000001</v>
      </c>
      <c r="L5314">
        <v>-56.3193699999999</v>
      </c>
      <c r="M5314">
        <v>0.90681579999999995</v>
      </c>
      <c r="N5314">
        <v>0</v>
      </c>
      <c r="O5314">
        <v>-0.42152119999999998</v>
      </c>
      <c r="P5314">
        <v>0.91825190000000001</v>
      </c>
      <c r="Q5314">
        <v>4.8192739999999998E-2</v>
      </c>
      <c r="R5314">
        <v>-0.39305309999999999</v>
      </c>
      <c r="S5314">
        <v>3.0544739999999999</v>
      </c>
      <c r="T5314">
        <v>-9.0221169999999996E-3</v>
      </c>
      <c r="U5314">
        <v>-0.51571659999999997</v>
      </c>
      <c r="V5314">
        <v>-3.1245129999999999E-2</v>
      </c>
      <c r="W5314">
        <v>5.0019670000000002E-2</v>
      </c>
      <c r="X5314">
        <v>0.99825940000000002</v>
      </c>
      <c r="Y5314">
        <v>-0.26466659999999997</v>
      </c>
      <c r="Z5314">
        <v>1.58354E-3</v>
      </c>
      <c r="AA5314">
        <v>0.96433869999999999</v>
      </c>
      <c r="AB5314">
        <v>23</v>
      </c>
      <c r="AC5314">
        <v>410.6311</v>
      </c>
      <c r="AD5314">
        <v>-1.213436</v>
      </c>
      <c r="AE5314">
        <v>-69.27543</v>
      </c>
      <c r="AF5314">
        <v>-110.268998023525</v>
      </c>
      <c r="AG5314">
        <v>-1.213436</v>
      </c>
      <c r="AH5314">
        <v>401.56542274881599</v>
      </c>
      <c r="AI5314">
        <v>90.166953739014502</v>
      </c>
      <c r="AJ5314">
        <v>105.354827059519</v>
      </c>
      <c r="AK5314">
        <v>416.43188290460398</v>
      </c>
      <c r="AL5314">
        <v>87.132887676687602</v>
      </c>
      <c r="AM5314">
        <v>91.792750280152305</v>
      </c>
      <c r="AN5314">
        <v>1.00000002761199</v>
      </c>
    </row>
    <row r="5315" spans="1:40" x14ac:dyDescent="0.25">
      <c r="A5315" t="str">
        <f>"20190312154711149"</f>
        <v>20190312154711149</v>
      </c>
      <c r="B5315" t="str">
        <f>"1552376831143340"</f>
        <v>1552376831143340</v>
      </c>
      <c r="C5315" t="s">
        <v>40</v>
      </c>
      <c r="D5315">
        <v>5.0678049999999999</v>
      </c>
      <c r="E5315">
        <v>0.41424090000000002</v>
      </c>
      <c r="F5315" t="s">
        <v>43</v>
      </c>
      <c r="G5315">
        <v>-139.38810000000001</v>
      </c>
      <c r="H5315">
        <v>-0.05</v>
      </c>
      <c r="I5315">
        <v>-80.787869999999998</v>
      </c>
      <c r="J5315">
        <v>-285.71550000000002</v>
      </c>
      <c r="K5315">
        <v>1.1133189999999999</v>
      </c>
      <c r="L5315">
        <v>-56.41534</v>
      </c>
      <c r="M5315">
        <v>0.91041380000000005</v>
      </c>
      <c r="N5315">
        <v>0</v>
      </c>
      <c r="O5315">
        <v>-0.41369450000000002</v>
      </c>
      <c r="P5315">
        <v>0.92316620000000005</v>
      </c>
      <c r="Q5315">
        <v>5.0362039999999997E-2</v>
      </c>
      <c r="R5315">
        <v>-0.38108769999999997</v>
      </c>
      <c r="S5315">
        <v>3.050354</v>
      </c>
      <c r="T5315">
        <v>-2.4215339999999998E-2</v>
      </c>
      <c r="U5315">
        <v>-0.50927730000000004</v>
      </c>
      <c r="V5315">
        <v>-3.5583669999999998E-2</v>
      </c>
      <c r="W5315">
        <v>5.1834060000000001E-2</v>
      </c>
      <c r="X5315">
        <v>0.99802150000000001</v>
      </c>
      <c r="Y5315">
        <v>-0.25810270000000002</v>
      </c>
      <c r="Z5315">
        <v>4.1750499999999996E-3</v>
      </c>
      <c r="AA5315">
        <v>0.96610839999999998</v>
      </c>
      <c r="AB5315">
        <v>24</v>
      </c>
      <c r="AC5315">
        <v>146.32740000000001</v>
      </c>
      <c r="AD5315">
        <v>-1.163319</v>
      </c>
      <c r="AE5315">
        <v>-24.372530000000001</v>
      </c>
      <c r="AF5315">
        <v>-38.3434633884508</v>
      </c>
      <c r="AG5315">
        <v>-1.163319</v>
      </c>
      <c r="AH5315">
        <v>143.29270969664</v>
      </c>
      <c r="AI5315">
        <v>90.449336176210295</v>
      </c>
      <c r="AJ5315">
        <v>104.980709813442</v>
      </c>
      <c r="AK5315">
        <v>148.338717629359</v>
      </c>
      <c r="AL5315">
        <v>87.028795446637503</v>
      </c>
      <c r="AM5315">
        <v>92.041970887796197</v>
      </c>
      <c r="AN5315">
        <v>0.99999994090449895</v>
      </c>
    </row>
    <row r="5316" spans="1:40" x14ac:dyDescent="0.25">
      <c r="A5316" t="str">
        <f>"20190312154711162"</f>
        <v>20190312154711162</v>
      </c>
      <c r="B5316" t="str">
        <f>"1552376831154076"</f>
        <v>1552376831154076</v>
      </c>
      <c r="C5316" t="s">
        <v>40</v>
      </c>
      <c r="D5316">
        <v>5.3102019999999897</v>
      </c>
      <c r="E5316">
        <v>0.41620489999999999</v>
      </c>
      <c r="F5316" t="s">
        <v>86</v>
      </c>
      <c r="G5316">
        <v>-231.76830000000001</v>
      </c>
      <c r="H5316" s="1">
        <v>-1.0954590000000001E-6</v>
      </c>
      <c r="I5316">
        <v>-65.456360000000004</v>
      </c>
      <c r="J5316">
        <v>-285.57569999999998</v>
      </c>
      <c r="K5316">
        <v>1.113245</v>
      </c>
      <c r="L5316">
        <v>-56.47336</v>
      </c>
      <c r="M5316">
        <v>0.91253499999999999</v>
      </c>
      <c r="N5316">
        <v>0</v>
      </c>
      <c r="O5316">
        <v>-0.40899530000000001</v>
      </c>
      <c r="P5316">
        <v>0.92571840000000005</v>
      </c>
      <c r="Q5316">
        <v>5.0082179999999997E-2</v>
      </c>
      <c r="R5316">
        <v>-0.37488349999999998</v>
      </c>
      <c r="S5316">
        <v>3.0426329999999999</v>
      </c>
      <c r="T5316">
        <v>-6.2791470000000002E-2</v>
      </c>
      <c r="U5316">
        <v>-0.50991819999999999</v>
      </c>
      <c r="V5316">
        <v>-3.7132640000000001E-2</v>
      </c>
      <c r="W5316">
        <v>5.1349760000000001E-2</v>
      </c>
      <c r="X5316">
        <v>0.99799020000000005</v>
      </c>
      <c r="Y5316">
        <v>-0.25241010000000003</v>
      </c>
      <c r="Z5316">
        <v>1.0705849999999999E-2</v>
      </c>
      <c r="AA5316">
        <v>0.96756109999999995</v>
      </c>
      <c r="AB5316">
        <v>24</v>
      </c>
      <c r="AC5316">
        <v>53.807399999999902</v>
      </c>
      <c r="AD5316">
        <v>-1.113246095459</v>
      </c>
      <c r="AE5316">
        <v>-8.9830000000000005</v>
      </c>
      <c r="AF5316">
        <v>-13.8039419621156</v>
      </c>
      <c r="AG5316">
        <v>-1.113246095459</v>
      </c>
      <c r="AH5316">
        <v>52.753243348612202</v>
      </c>
      <c r="AI5316">
        <v>91.169561090062103</v>
      </c>
      <c r="AJ5316">
        <v>104.663805759205</v>
      </c>
      <c r="AK5316">
        <v>54.540744534342501</v>
      </c>
      <c r="AL5316">
        <v>87.056581075053501</v>
      </c>
      <c r="AM5316">
        <v>92.130845156670105</v>
      </c>
      <c r="AN5316">
        <v>1.0000000350507301</v>
      </c>
    </row>
    <row r="5317" spans="1:40" x14ac:dyDescent="0.25">
      <c r="A5317" t="str">
        <f>"20190312154711177"</f>
        <v>20190312154711177</v>
      </c>
      <c r="B5317" t="str">
        <f>"1552376831173596"</f>
        <v>1552376831173596</v>
      </c>
      <c r="C5317" t="s">
        <v>40</v>
      </c>
      <c r="D5317">
        <v>5.0645540000000002</v>
      </c>
      <c r="E5317">
        <v>0.4196086</v>
      </c>
      <c r="F5317" t="s">
        <v>86</v>
      </c>
      <c r="G5317">
        <v>-230.41679999999999</v>
      </c>
      <c r="H5317" s="1">
        <v>-5.5904299999999999E-7</v>
      </c>
      <c r="I5317">
        <v>-65.619380000000007</v>
      </c>
      <c r="J5317">
        <v>-285.43790000000001</v>
      </c>
      <c r="K5317">
        <v>1.1131789999999999</v>
      </c>
      <c r="L5317">
        <v>-56.52966</v>
      </c>
      <c r="M5317">
        <v>0.9145394</v>
      </c>
      <c r="N5317">
        <v>0</v>
      </c>
      <c r="O5317">
        <v>-0.40449420000000003</v>
      </c>
      <c r="P5317">
        <v>0.92798860000000005</v>
      </c>
      <c r="Q5317">
        <v>4.906729E-2</v>
      </c>
      <c r="R5317">
        <v>-0.36936370000000002</v>
      </c>
      <c r="S5317">
        <v>3.039917</v>
      </c>
      <c r="T5317">
        <v>-6.1353089999999999E-2</v>
      </c>
      <c r="U5317">
        <v>-0.50405880000000003</v>
      </c>
      <c r="V5317">
        <v>-3.8162380000000003E-2</v>
      </c>
      <c r="W5317">
        <v>5.0143970000000003E-2</v>
      </c>
      <c r="X5317">
        <v>0.99801269999999997</v>
      </c>
      <c r="Y5317">
        <v>-0.24932190000000001</v>
      </c>
      <c r="Z5317">
        <v>1.035902E-2</v>
      </c>
      <c r="AA5317">
        <v>0.96836529999999998</v>
      </c>
      <c r="AB5317">
        <v>24</v>
      </c>
      <c r="AC5317">
        <v>55.021099999999997</v>
      </c>
      <c r="AD5317">
        <v>-1.113179559043</v>
      </c>
      <c r="AE5317">
        <v>-9.0897199999999998</v>
      </c>
      <c r="AF5317">
        <v>-13.9372702316761</v>
      </c>
      <c r="AG5317">
        <v>-1.113179559043</v>
      </c>
      <c r="AH5317">
        <v>53.974254014146901</v>
      </c>
      <c r="AI5317">
        <v>91.144002129358995</v>
      </c>
      <c r="AJ5317">
        <v>104.478684288347</v>
      </c>
      <c r="AK5317">
        <v>55.755777876602998</v>
      </c>
      <c r="AL5317">
        <v>87.125756976948097</v>
      </c>
      <c r="AM5317">
        <v>92.189830392533096</v>
      </c>
      <c r="AN5317">
        <v>1.0000000671679501</v>
      </c>
    </row>
    <row r="5318" spans="1:40" x14ac:dyDescent="0.25">
      <c r="A5318" t="str">
        <f>"20190312154711192"</f>
        <v>20190312154711192</v>
      </c>
      <c r="B5318" t="str">
        <f>"1552376831183357"</f>
        <v>1552376831183357</v>
      </c>
      <c r="C5318" t="s">
        <v>40</v>
      </c>
      <c r="D5318">
        <v>5.108492</v>
      </c>
      <c r="E5318">
        <v>0.4210218</v>
      </c>
      <c r="F5318" t="s">
        <v>86</v>
      </c>
      <c r="G5318">
        <v>-234.7689</v>
      </c>
      <c r="H5318" s="1">
        <v>-2.2784819999999998E-6</v>
      </c>
      <c r="I5318">
        <v>-65.064669999999893</v>
      </c>
      <c r="J5318">
        <v>-285.27980000000002</v>
      </c>
      <c r="K5318">
        <v>1.1130990000000001</v>
      </c>
      <c r="L5318">
        <v>-56.5935699999999</v>
      </c>
      <c r="M5318">
        <v>0.9167535</v>
      </c>
      <c r="N5318">
        <v>0</v>
      </c>
      <c r="O5318">
        <v>-0.39945130000000001</v>
      </c>
      <c r="P5318">
        <v>0.92979080000000003</v>
      </c>
      <c r="Q5318">
        <v>4.7753860000000002E-2</v>
      </c>
      <c r="R5318">
        <v>-0.36497770000000002</v>
      </c>
      <c r="S5318">
        <v>3.032959</v>
      </c>
      <c r="T5318">
        <v>-6.6633109999999995E-2</v>
      </c>
      <c r="U5318">
        <v>-0.51089479999999998</v>
      </c>
      <c r="V5318">
        <v>-3.7383270000000003E-2</v>
      </c>
      <c r="W5318">
        <v>4.8640900000000001E-2</v>
      </c>
      <c r="X5318">
        <v>0.99811649999999996</v>
      </c>
      <c r="Y5318">
        <v>-0.24147859999999999</v>
      </c>
      <c r="Z5318">
        <v>1.1086520000000001E-2</v>
      </c>
      <c r="AA5318">
        <v>0.97034279999999995</v>
      </c>
      <c r="AB5318">
        <v>24</v>
      </c>
      <c r="AC5318">
        <v>50.510899999999999</v>
      </c>
      <c r="AD5318">
        <v>-1.113101278482</v>
      </c>
      <c r="AE5318">
        <v>-8.4710999999999999</v>
      </c>
      <c r="AF5318">
        <v>-12.404885218093</v>
      </c>
      <c r="AG5318">
        <v>-1.113101278482</v>
      </c>
      <c r="AH5318">
        <v>49.6664186588946</v>
      </c>
      <c r="AI5318">
        <v>91.245620288558001</v>
      </c>
      <c r="AJ5318">
        <v>104.023518342838</v>
      </c>
      <c r="AK5318">
        <v>51.204231408456998</v>
      </c>
      <c r="AL5318">
        <v>87.211981592103896</v>
      </c>
      <c r="AM5318">
        <v>92.144942891766604</v>
      </c>
      <c r="AN5318">
        <v>0.99999999680047602</v>
      </c>
    </row>
    <row r="5319" spans="1:40" x14ac:dyDescent="0.25">
      <c r="A5319" t="str">
        <f>"20190312154711203"</f>
        <v>20190312154711203</v>
      </c>
      <c r="B5319" t="str">
        <f>"1552376831193116"</f>
        <v>1552376831193116</v>
      </c>
      <c r="C5319" t="s">
        <v>40</v>
      </c>
      <c r="D5319">
        <v>5.1988979999999998</v>
      </c>
      <c r="E5319">
        <v>0.42240090000000002</v>
      </c>
      <c r="F5319" t="s">
        <v>87</v>
      </c>
      <c r="G5319">
        <v>-241.3689</v>
      </c>
      <c r="H5319" s="1">
        <v>-5.1805440000000004E-7</v>
      </c>
      <c r="I5319">
        <v>-63.93018</v>
      </c>
      <c r="J5319">
        <v>-285.16199999999998</v>
      </c>
      <c r="K5319">
        <v>1.113043</v>
      </c>
      <c r="L5319">
        <v>-56.640810000000002</v>
      </c>
      <c r="M5319">
        <v>0.91835339999999999</v>
      </c>
      <c r="N5319">
        <v>0</v>
      </c>
      <c r="O5319">
        <v>-0.39575969999999999</v>
      </c>
      <c r="P5319">
        <v>0.93090419999999996</v>
      </c>
      <c r="Q5319">
        <v>4.7450630000000001E-2</v>
      </c>
      <c r="R5319">
        <v>-0.36216870000000001</v>
      </c>
      <c r="S5319">
        <v>3.031647</v>
      </c>
      <c r="T5319">
        <v>-7.6849340000000002E-2</v>
      </c>
      <c r="U5319">
        <v>-0.50653079999999995</v>
      </c>
      <c r="V5319">
        <v>-3.6377880000000001E-2</v>
      </c>
      <c r="W5319">
        <v>4.820464E-2</v>
      </c>
      <c r="X5319">
        <v>0.99817480000000003</v>
      </c>
      <c r="Y5319">
        <v>-0.23881740000000001</v>
      </c>
      <c r="Z5319">
        <v>1.267485E-2</v>
      </c>
      <c r="AA5319">
        <v>0.97098180000000001</v>
      </c>
      <c r="AB5319">
        <v>24</v>
      </c>
      <c r="AC5319">
        <v>43.793100000000003</v>
      </c>
      <c r="AD5319">
        <v>-1.1130435180543901</v>
      </c>
      <c r="AE5319">
        <v>-7.2893700000000097</v>
      </c>
      <c r="AF5319">
        <v>-10.630651306937001</v>
      </c>
      <c r="AG5319">
        <v>-1.1130435180543901</v>
      </c>
      <c r="AH5319">
        <v>43.075333751295403</v>
      </c>
      <c r="AI5319">
        <v>91.4370653667048</v>
      </c>
      <c r="AJ5319">
        <v>103.863124945129</v>
      </c>
      <c r="AK5319">
        <v>44.381685309013001</v>
      </c>
      <c r="AL5319">
        <v>87.237006771237702</v>
      </c>
      <c r="AM5319">
        <v>92.087186474483104</v>
      </c>
      <c r="AN5319">
        <v>0.99999998441293103</v>
      </c>
    </row>
    <row r="5320" spans="1:40" x14ac:dyDescent="0.25">
      <c r="A5320" t="str">
        <f>"20190312154711215"</f>
        <v>20190312154711215</v>
      </c>
      <c r="B5320" t="str">
        <f>"1552376831213613"</f>
        <v>1552376831213613</v>
      </c>
      <c r="C5320" t="s">
        <v>40</v>
      </c>
      <c r="D5320">
        <v>5.1827199999999998</v>
      </c>
      <c r="E5320">
        <v>0.42553180000000002</v>
      </c>
      <c r="F5320" t="s">
        <v>87</v>
      </c>
      <c r="G5320">
        <v>-242.6129</v>
      </c>
      <c r="H5320" s="1">
        <v>-1.0083960000000001E-6</v>
      </c>
      <c r="I5320">
        <v>-63.767330000000001</v>
      </c>
      <c r="J5320">
        <v>-285.03730000000002</v>
      </c>
      <c r="K5320">
        <v>1.112978</v>
      </c>
      <c r="L5320">
        <v>-56.69</v>
      </c>
      <c r="M5320">
        <v>0.9199581</v>
      </c>
      <c r="N5320">
        <v>0</v>
      </c>
      <c r="O5320">
        <v>-0.39201570000000002</v>
      </c>
      <c r="P5320">
        <v>0.93166640000000001</v>
      </c>
      <c r="Q5320">
        <v>4.7044160000000002E-2</v>
      </c>
      <c r="R5320">
        <v>-0.36025649999999998</v>
      </c>
      <c r="S5320">
        <v>3.0293269999999999</v>
      </c>
      <c r="T5320">
        <v>-7.9244490000000001E-2</v>
      </c>
      <c r="U5320">
        <v>-0.50738530000000004</v>
      </c>
      <c r="V5320">
        <v>-3.4357730000000003E-2</v>
      </c>
      <c r="W5320">
        <v>4.767834E-2</v>
      </c>
      <c r="X5320">
        <v>0.99827160000000004</v>
      </c>
      <c r="Y5320">
        <v>-0.23446259999999999</v>
      </c>
      <c r="Z5320">
        <v>1.293337E-2</v>
      </c>
      <c r="AA5320">
        <v>0.97203910000000004</v>
      </c>
      <c r="AB5320">
        <v>25</v>
      </c>
      <c r="AC5320">
        <v>42.424399999999999</v>
      </c>
      <c r="AD5320">
        <v>-1.1129790083960001</v>
      </c>
      <c r="AE5320">
        <v>-7.0773299999999999</v>
      </c>
      <c r="AF5320">
        <v>-10.113415740433201</v>
      </c>
      <c r="AG5320">
        <v>-1.1129790083960001</v>
      </c>
      <c r="AH5320">
        <v>41.775138287783001</v>
      </c>
      <c r="AI5320">
        <v>91.483293188331203</v>
      </c>
      <c r="AJ5320">
        <v>103.608999746509</v>
      </c>
      <c r="AK5320">
        <v>42.996303087304597</v>
      </c>
      <c r="AL5320">
        <v>87.2671961124624</v>
      </c>
      <c r="AM5320">
        <v>91.971183187924893</v>
      </c>
      <c r="AN5320">
        <v>0.99999993254123198</v>
      </c>
    </row>
    <row r="5321" spans="1:40" x14ac:dyDescent="0.25">
      <c r="A5321" t="str">
        <f>"20190312154711228"</f>
        <v>20190312154711228</v>
      </c>
      <c r="B5321" t="str">
        <f>"1552376831223373"</f>
        <v>1552376831223373</v>
      </c>
      <c r="C5321" t="s">
        <v>40</v>
      </c>
      <c r="D5321">
        <v>5.1159629999999998</v>
      </c>
      <c r="E5321">
        <v>0.42712040000000001</v>
      </c>
      <c r="F5321" t="s">
        <v>87</v>
      </c>
      <c r="G5321">
        <v>-243.9084</v>
      </c>
      <c r="H5321" s="1">
        <v>-1.5792689999999901E-6</v>
      </c>
      <c r="I5321">
        <v>-63.824109999999997</v>
      </c>
      <c r="J5321">
        <v>-284.9153</v>
      </c>
      <c r="K5321">
        <v>1.1129100000000001</v>
      </c>
      <c r="L5321">
        <v>-56.7378199999999</v>
      </c>
      <c r="M5321">
        <v>0.9214869</v>
      </c>
      <c r="N5321">
        <v>0</v>
      </c>
      <c r="O5321">
        <v>-0.38840839999999999</v>
      </c>
      <c r="P5321">
        <v>0.93228949999999999</v>
      </c>
      <c r="Q5321">
        <v>4.6255030000000003E-2</v>
      </c>
      <c r="R5321">
        <v>-0.35874420000000001</v>
      </c>
      <c r="S5321">
        <v>3.021515</v>
      </c>
      <c r="T5321">
        <v>-8.1764580000000003E-2</v>
      </c>
      <c r="U5321">
        <v>-0.52410889999999999</v>
      </c>
      <c r="V5321">
        <v>-3.2066520000000001E-2</v>
      </c>
      <c r="W5321">
        <v>4.6779550000000003E-2</v>
      </c>
      <c r="X5321">
        <v>0.99839040000000001</v>
      </c>
      <c r="Y5321">
        <v>-0.22499669999999999</v>
      </c>
      <c r="Z5321">
        <v>1.3153389999999999E-2</v>
      </c>
      <c r="AA5321">
        <v>0.97427079999999999</v>
      </c>
      <c r="AB5321">
        <v>25</v>
      </c>
      <c r="AC5321">
        <v>41.006900000000002</v>
      </c>
      <c r="AD5321">
        <v>-1.1129115792690001</v>
      </c>
      <c r="AE5321">
        <v>-7.08629</v>
      </c>
      <c r="AF5321">
        <v>-9.3907885060115905</v>
      </c>
      <c r="AG5321">
        <v>-1.1129115792690001</v>
      </c>
      <c r="AH5321">
        <v>40.510738766358102</v>
      </c>
      <c r="AI5321">
        <v>91.533005132303401</v>
      </c>
      <c r="AJ5321">
        <v>103.05121261668999</v>
      </c>
      <c r="AK5321">
        <v>41.599824955689598</v>
      </c>
      <c r="AL5321">
        <v>87.318750673987694</v>
      </c>
      <c r="AM5321">
        <v>91.839605914343807</v>
      </c>
      <c r="AN5321">
        <v>0.99999998940763601</v>
      </c>
    </row>
    <row r="5322" spans="1:40" x14ac:dyDescent="0.25">
      <c r="A5322" t="str">
        <f>"20190312154711241"</f>
        <v>20190312154711241</v>
      </c>
      <c r="B5322" t="str">
        <f>"1552376831233774"</f>
        <v>1552376831233774</v>
      </c>
      <c r="C5322" t="s">
        <v>40</v>
      </c>
      <c r="D5322">
        <v>5.1377480000000002</v>
      </c>
      <c r="E5322">
        <v>0.42864859999999999</v>
      </c>
      <c r="F5322" t="s">
        <v>87</v>
      </c>
      <c r="G5322">
        <v>-246.7688</v>
      </c>
      <c r="H5322" s="1">
        <v>-2.7057460000000002E-6</v>
      </c>
      <c r="I5322">
        <v>-63.446010000000001</v>
      </c>
      <c r="J5322">
        <v>-284.77480000000003</v>
      </c>
      <c r="K5322">
        <v>1.112832</v>
      </c>
      <c r="L5322">
        <v>-56.792389999999997</v>
      </c>
      <c r="M5322">
        <v>0.92318239999999996</v>
      </c>
      <c r="N5322">
        <v>0</v>
      </c>
      <c r="O5322">
        <v>-0.38436140000000002</v>
      </c>
      <c r="P5322">
        <v>0.93307079999999998</v>
      </c>
      <c r="Q5322">
        <v>4.5191299999999997E-2</v>
      </c>
      <c r="R5322">
        <v>-0.35684250000000001</v>
      </c>
      <c r="S5322">
        <v>3.018005</v>
      </c>
      <c r="T5322">
        <v>-8.8049409999999995E-2</v>
      </c>
      <c r="U5322">
        <v>-0.53073119999999996</v>
      </c>
      <c r="V5322">
        <v>-2.9720570000000002E-2</v>
      </c>
      <c r="W5322">
        <v>4.5593969999999998E-2</v>
      </c>
      <c r="X5322">
        <v>0.99851780000000001</v>
      </c>
      <c r="Y5322">
        <v>-0.21842159999999999</v>
      </c>
      <c r="Z5322">
        <v>1.397345E-2</v>
      </c>
      <c r="AA5322">
        <v>0.97575440000000002</v>
      </c>
      <c r="AB5322">
        <v>25</v>
      </c>
      <c r="AC5322">
        <v>38.006</v>
      </c>
      <c r="AD5322">
        <v>-1.112834705746</v>
      </c>
      <c r="AE5322">
        <v>-6.6536199999999903</v>
      </c>
      <c r="AF5322">
        <v>-8.4585006777213803</v>
      </c>
      <c r="AG5322">
        <v>-1.112834705746</v>
      </c>
      <c r="AH5322">
        <v>37.612587604441501</v>
      </c>
      <c r="AI5322">
        <v>91.653432023566694</v>
      </c>
      <c r="AJ5322">
        <v>102.674102994219</v>
      </c>
      <c r="AK5322">
        <v>38.568009815118998</v>
      </c>
      <c r="AL5322">
        <v>87.386751900660897</v>
      </c>
      <c r="AM5322">
        <v>91.704887600977699</v>
      </c>
      <c r="AN5322">
        <v>0.999999959649162</v>
      </c>
    </row>
    <row r="5323" spans="1:40" x14ac:dyDescent="0.25">
      <c r="A5323" t="str">
        <f>"20190312154711254"</f>
        <v>20190312154711254</v>
      </c>
      <c r="B5323" t="str">
        <f>"1552376831243534"</f>
        <v>1552376831243534</v>
      </c>
      <c r="C5323" t="s">
        <v>40</v>
      </c>
      <c r="D5323">
        <v>5.1677790000000003</v>
      </c>
      <c r="E5323">
        <v>0.42990339999999999</v>
      </c>
      <c r="F5323" t="s">
        <v>87</v>
      </c>
      <c r="G5323">
        <v>-248.6474</v>
      </c>
      <c r="H5323" s="1">
        <v>-3.3186279999999998E-6</v>
      </c>
      <c r="I5323">
        <v>-63.212600000000002</v>
      </c>
      <c r="J5323">
        <v>-284.65309999999999</v>
      </c>
      <c r="K5323">
        <v>1.112751</v>
      </c>
      <c r="L5323">
        <v>-56.838990000000003</v>
      </c>
      <c r="M5323">
        <v>0.92458090000000004</v>
      </c>
      <c r="N5323">
        <v>0</v>
      </c>
      <c r="O5323">
        <v>-0.38098549999999998</v>
      </c>
      <c r="P5323">
        <v>0.93363200000000002</v>
      </c>
      <c r="Q5323">
        <v>4.5008810000000003E-2</v>
      </c>
      <c r="R5323">
        <v>-0.35539530000000003</v>
      </c>
      <c r="S5323">
        <v>3.0148009999999998</v>
      </c>
      <c r="T5323">
        <v>-9.2865229999999993E-2</v>
      </c>
      <c r="U5323">
        <v>-0.53576659999999998</v>
      </c>
      <c r="V5323">
        <v>-2.7614449999999999E-2</v>
      </c>
      <c r="W5323">
        <v>4.5317209999999997E-2</v>
      </c>
      <c r="X5323">
        <v>0.99859089999999995</v>
      </c>
      <c r="Y5323">
        <v>-0.21307200000000001</v>
      </c>
      <c r="Z5323">
        <v>1.457294E-2</v>
      </c>
      <c r="AA5323">
        <v>0.97692780000000001</v>
      </c>
      <c r="AB5323">
        <v>25</v>
      </c>
      <c r="AC5323">
        <v>36.005699999999898</v>
      </c>
      <c r="AD5323">
        <v>-1.112754318628</v>
      </c>
      <c r="AE5323">
        <v>-6.3736099999999896</v>
      </c>
      <c r="AF5323">
        <v>-7.8174926074610598</v>
      </c>
      <c r="AG5323">
        <v>-1.112754318628</v>
      </c>
      <c r="AH5323">
        <v>35.685391097823498</v>
      </c>
      <c r="AI5323">
        <v>91.744691136785903</v>
      </c>
      <c r="AJ5323">
        <v>102.356421052706</v>
      </c>
      <c r="AK5323">
        <v>36.548577956549202</v>
      </c>
      <c r="AL5323">
        <v>87.402625584554599</v>
      </c>
      <c r="AM5323">
        <v>91.584020359979903</v>
      </c>
      <c r="AN5323">
        <v>0.99999999646689797</v>
      </c>
    </row>
    <row r="5324" spans="1:40" x14ac:dyDescent="0.25">
      <c r="A5324" t="str">
        <f>"20190312154711270"</f>
        <v>20190312154711270</v>
      </c>
      <c r="B5324" t="str">
        <f>"1552376831264028"</f>
        <v>1552376831264028</v>
      </c>
      <c r="C5324" t="s">
        <v>40</v>
      </c>
      <c r="D5324">
        <v>5.2246750000000004</v>
      </c>
      <c r="E5324">
        <v>0.43196269999999998</v>
      </c>
      <c r="F5324" t="s">
        <v>87</v>
      </c>
      <c r="G5324">
        <v>-248.9898</v>
      </c>
      <c r="H5324" s="1">
        <v>-3.4394850000000001E-6</v>
      </c>
      <c r="I5324">
        <v>-63.236989999999999</v>
      </c>
      <c r="J5324">
        <v>-284.47989999999999</v>
      </c>
      <c r="K5324">
        <v>1.1126499999999999</v>
      </c>
      <c r="L5324">
        <v>-56.904820000000001</v>
      </c>
      <c r="M5324">
        <v>0.92649999999999999</v>
      </c>
      <c r="N5324">
        <v>0</v>
      </c>
      <c r="O5324">
        <v>-0.37629459999999998</v>
      </c>
      <c r="P5324">
        <v>0.93398510000000001</v>
      </c>
      <c r="Q5324">
        <v>4.6062440000000003E-2</v>
      </c>
      <c r="R5324">
        <v>-0.35433019999999998</v>
      </c>
      <c r="S5324">
        <v>3.0120849999999999</v>
      </c>
      <c r="T5324">
        <v>-9.3982220000000005E-2</v>
      </c>
      <c r="U5324">
        <v>-0.54037480000000004</v>
      </c>
      <c r="V5324">
        <v>-2.3672950000000002E-2</v>
      </c>
      <c r="W5324">
        <v>4.62575E-2</v>
      </c>
      <c r="X5324">
        <v>0.99864900000000001</v>
      </c>
      <c r="Y5324">
        <v>-0.20651369999999999</v>
      </c>
      <c r="Z5324">
        <v>1.452295E-2</v>
      </c>
      <c r="AA5324">
        <v>0.97833590000000004</v>
      </c>
      <c r="AB5324">
        <v>25</v>
      </c>
      <c r="AC5324">
        <v>35.490099999999899</v>
      </c>
      <c r="AD5324">
        <v>-1.1126534394849901</v>
      </c>
      <c r="AE5324">
        <v>-6.3321700000000103</v>
      </c>
      <c r="AF5324">
        <v>-7.4808519295274598</v>
      </c>
      <c r="AG5324">
        <v>-1.1126534394849901</v>
      </c>
      <c r="AH5324">
        <v>35.230781531411402</v>
      </c>
      <c r="AI5324">
        <v>91.769480613728007</v>
      </c>
      <c r="AJ5324">
        <v>101.988046511851</v>
      </c>
      <c r="AK5324">
        <v>36.0334443341454</v>
      </c>
      <c r="AL5324">
        <v>87.348694367476696</v>
      </c>
      <c r="AM5324">
        <v>91.357940729229199</v>
      </c>
      <c r="AN5324">
        <v>0.99999999503447601</v>
      </c>
    </row>
    <row r="5325" spans="1:40" x14ac:dyDescent="0.25">
      <c r="A5325" t="str">
        <f>"20190312154711281"</f>
        <v>20190312154711281</v>
      </c>
      <c r="B5325" t="str">
        <f>"1552376831273789"</f>
        <v>1552376831273789</v>
      </c>
      <c r="C5325" t="s">
        <v>40</v>
      </c>
      <c r="D5325">
        <v>5.2226869999999996</v>
      </c>
      <c r="E5325">
        <v>0.432784</v>
      </c>
      <c r="F5325" t="s">
        <v>87</v>
      </c>
      <c r="G5325">
        <v>-249.63489999999999</v>
      </c>
      <c r="H5325" s="1">
        <v>-3.6712640000000002E-6</v>
      </c>
      <c r="I5325">
        <v>-63.30621</v>
      </c>
      <c r="J5325">
        <v>-284.35329999999999</v>
      </c>
      <c r="K5325">
        <v>1.112576</v>
      </c>
      <c r="L5325">
        <v>-56.952449999999999</v>
      </c>
      <c r="M5325">
        <v>0.92784770000000005</v>
      </c>
      <c r="N5325">
        <v>0</v>
      </c>
      <c r="O5325">
        <v>-0.37295929999999999</v>
      </c>
      <c r="P5325">
        <v>0.93459709999999996</v>
      </c>
      <c r="Q5325">
        <v>4.7200249999999999E-2</v>
      </c>
      <c r="R5325">
        <v>-0.35256290000000001</v>
      </c>
      <c r="S5325">
        <v>3.0072019999999999</v>
      </c>
      <c r="T5325">
        <v>-9.6024390000000001E-2</v>
      </c>
      <c r="U5325">
        <v>-0.5524597</v>
      </c>
      <c r="V5325">
        <v>-2.1952309999999999E-2</v>
      </c>
      <c r="W5325">
        <v>4.7306819999999999E-2</v>
      </c>
      <c r="X5325">
        <v>0.99863919999999995</v>
      </c>
      <c r="Y5325">
        <v>-0.19889879999999999</v>
      </c>
      <c r="Z5325">
        <v>1.4636420000000001E-2</v>
      </c>
      <c r="AA5325">
        <v>0.97991070000000002</v>
      </c>
      <c r="AB5325">
        <v>25</v>
      </c>
      <c r="AC5325">
        <v>34.718400000000003</v>
      </c>
      <c r="AD5325">
        <v>-1.1125796712639999</v>
      </c>
      <c r="AE5325">
        <v>-6.3537600000000003</v>
      </c>
      <c r="AF5325">
        <v>-7.0462270607667001</v>
      </c>
      <c r="AG5325">
        <v>-1.1125796712639999</v>
      </c>
      <c r="AH5325">
        <v>34.5487520311829</v>
      </c>
      <c r="AI5325">
        <v>91.807289506436405</v>
      </c>
      <c r="AJ5325">
        <v>101.527394494017</v>
      </c>
      <c r="AK5325">
        <v>35.277519984105403</v>
      </c>
      <c r="AL5325">
        <v>87.288506995474194</v>
      </c>
      <c r="AM5325">
        <v>91.259285815229504</v>
      </c>
      <c r="AN5325">
        <v>1.00000004545474</v>
      </c>
    </row>
    <row r="5326" spans="1:40" x14ac:dyDescent="0.25">
      <c r="A5326" t="str">
        <f>"20190312154711295"</f>
        <v>20190312154711295</v>
      </c>
      <c r="B5326" t="str">
        <f>"1552376831283550"</f>
        <v>1552376831283550</v>
      </c>
      <c r="C5326" t="s">
        <v>40</v>
      </c>
      <c r="D5326">
        <v>5.2099419999999999</v>
      </c>
      <c r="E5326">
        <v>0.4337491</v>
      </c>
      <c r="F5326" t="s">
        <v>88</v>
      </c>
      <c r="G5326">
        <v>-250.22210000000001</v>
      </c>
      <c r="H5326" s="1">
        <v>1.3550999999999899E-7</v>
      </c>
      <c r="I5326">
        <v>-63.230580000000003</v>
      </c>
      <c r="J5326">
        <v>-284.21440000000001</v>
      </c>
      <c r="K5326">
        <v>1.1124959999999999</v>
      </c>
      <c r="L5326">
        <v>-57.004060000000003</v>
      </c>
      <c r="M5326">
        <v>0.92925449999999998</v>
      </c>
      <c r="N5326">
        <v>0</v>
      </c>
      <c r="O5326">
        <v>-0.36943989999999999</v>
      </c>
      <c r="P5326">
        <v>0.93543399999999999</v>
      </c>
      <c r="Q5326">
        <v>4.796918E-2</v>
      </c>
      <c r="R5326">
        <v>-0.35023169999999998</v>
      </c>
      <c r="S5326">
        <v>3.0062869999999999</v>
      </c>
      <c r="T5326">
        <v>-9.7995879999999994E-2</v>
      </c>
      <c r="U5326">
        <v>-0.55297850000000004</v>
      </c>
      <c r="V5326">
        <v>-2.064067E-2</v>
      </c>
      <c r="W5326">
        <v>4.798554E-2</v>
      </c>
      <c r="X5326">
        <v>0.99863480000000004</v>
      </c>
      <c r="Y5326">
        <v>-0.19495850000000001</v>
      </c>
      <c r="Z5326">
        <v>1.477199E-2</v>
      </c>
      <c r="AA5326">
        <v>0.98070029999999997</v>
      </c>
      <c r="AB5326">
        <v>25</v>
      </c>
      <c r="AC5326">
        <v>33.9923</v>
      </c>
      <c r="AD5326">
        <v>-1.11249586448999</v>
      </c>
      <c r="AE5326">
        <v>-6.2265199999999998</v>
      </c>
      <c r="AF5326">
        <v>-6.7650800423561597</v>
      </c>
      <c r="AG5326">
        <v>-1.11249586448999</v>
      </c>
      <c r="AH5326">
        <v>33.852743627214302</v>
      </c>
      <c r="AI5326">
        <v>91.845753553337801</v>
      </c>
      <c r="AJ5326">
        <v>101.301032440017</v>
      </c>
      <c r="AK5326">
        <v>34.540008774143203</v>
      </c>
      <c r="AL5326">
        <v>87.2495750195109</v>
      </c>
      <c r="AM5326">
        <v>91.184071408065094</v>
      </c>
      <c r="AN5326">
        <v>1.0000000565390801</v>
      </c>
    </row>
    <row r="5327" spans="1:40" x14ac:dyDescent="0.25">
      <c r="A5327" t="str">
        <f>"20190312154711307"</f>
        <v>20190312154711307</v>
      </c>
      <c r="B5327" t="str">
        <f>"1552376831304046"</f>
        <v>1552376831304046</v>
      </c>
      <c r="C5327" t="s">
        <v>40</v>
      </c>
      <c r="D5327">
        <v>5.2586009999999996</v>
      </c>
      <c r="E5327">
        <v>0.4354015</v>
      </c>
      <c r="F5327" t="s">
        <v>87</v>
      </c>
      <c r="G5327">
        <v>-249.49279999999999</v>
      </c>
      <c r="H5327" s="1">
        <v>-3.6378760000000001E-6</v>
      </c>
      <c r="I5327">
        <v>-63.390479999999997</v>
      </c>
      <c r="J5327">
        <v>-284.07690000000002</v>
      </c>
      <c r="K5327">
        <v>1.112414</v>
      </c>
      <c r="L5327">
        <v>-57.054810000000003</v>
      </c>
      <c r="M5327">
        <v>0.93060509999999996</v>
      </c>
      <c r="N5327">
        <v>0</v>
      </c>
      <c r="O5327">
        <v>-0.36602499999999999</v>
      </c>
      <c r="P5327">
        <v>0.93613829999999998</v>
      </c>
      <c r="Q5327">
        <v>4.8298939999999999E-2</v>
      </c>
      <c r="R5327">
        <v>-0.34829929999999998</v>
      </c>
      <c r="S5327">
        <v>3.0050659999999998</v>
      </c>
      <c r="T5327">
        <v>-9.6284030000000007E-2</v>
      </c>
      <c r="U5327">
        <v>-0.55273439999999996</v>
      </c>
      <c r="V5327">
        <v>-1.9023290000000002E-2</v>
      </c>
      <c r="W5327">
        <v>4.8236069999999999E-2</v>
      </c>
      <c r="X5327">
        <v>0.99865479999999995</v>
      </c>
      <c r="Y5327">
        <v>-0.1913744</v>
      </c>
      <c r="Z5327">
        <v>1.436255E-2</v>
      </c>
      <c r="AA5327">
        <v>0.98141199999999995</v>
      </c>
      <c r="AB5327">
        <v>25</v>
      </c>
      <c r="AC5327">
        <v>34.584099999999999</v>
      </c>
      <c r="AD5327">
        <v>-1.112417637876</v>
      </c>
      <c r="AE5327">
        <v>-6.3356700000000004</v>
      </c>
      <c r="AF5327">
        <v>-6.7558750437369097</v>
      </c>
      <c r="AG5327">
        <v>-1.112417637876</v>
      </c>
      <c r="AH5327">
        <v>34.468646692845098</v>
      </c>
      <c r="AI5327">
        <v>91.813992099545302</v>
      </c>
      <c r="AJ5327">
        <v>101.089428018353</v>
      </c>
      <c r="AK5327">
        <v>35.142096201618799</v>
      </c>
      <c r="AL5327">
        <v>87.235203929489899</v>
      </c>
      <c r="AM5327">
        <v>91.091290428018098</v>
      </c>
      <c r="AN5327">
        <v>1.0000000067872501</v>
      </c>
    </row>
    <row r="5328" spans="1:40" x14ac:dyDescent="0.25">
      <c r="A5328" t="str">
        <f>"20190312154711320"</f>
        <v>20190312154711320</v>
      </c>
      <c r="B5328" t="str">
        <f>"1552376831313806"</f>
        <v>1552376831313806</v>
      </c>
      <c r="C5328" t="s">
        <v>40</v>
      </c>
      <c r="D5328">
        <v>5.3138779999999999</v>
      </c>
      <c r="E5328">
        <v>0.4362047</v>
      </c>
      <c r="F5328" t="s">
        <v>88</v>
      </c>
      <c r="G5328">
        <v>-250.95670000000001</v>
      </c>
      <c r="H5328" s="1">
        <v>-1.7714489999999899E-7</v>
      </c>
      <c r="I5328">
        <v>-63.219329999999999</v>
      </c>
      <c r="J5328">
        <v>-283.93619999999999</v>
      </c>
      <c r="K5328">
        <v>1.112325</v>
      </c>
      <c r="L5328">
        <v>-57.106290000000001</v>
      </c>
      <c r="M5328">
        <v>0.93193239999999999</v>
      </c>
      <c r="N5328">
        <v>0</v>
      </c>
      <c r="O5328">
        <v>-0.36263240000000002</v>
      </c>
      <c r="P5328">
        <v>0.93697240000000004</v>
      </c>
      <c r="Q5328">
        <v>4.8790109999999998E-2</v>
      </c>
      <c r="R5328">
        <v>-0.34598069999999997</v>
      </c>
      <c r="S5328">
        <v>3.0019840000000002</v>
      </c>
      <c r="T5328">
        <v>-0.1008281</v>
      </c>
      <c r="U5328">
        <v>-0.55874630000000003</v>
      </c>
      <c r="V5328">
        <v>-1.7842899999999998E-2</v>
      </c>
      <c r="W5328">
        <v>4.8649949999999997E-2</v>
      </c>
      <c r="X5328">
        <v>0.99865649999999995</v>
      </c>
      <c r="Y5328">
        <v>-0.18569469999999999</v>
      </c>
      <c r="Z5328">
        <v>1.4851990000000001E-2</v>
      </c>
      <c r="AA5328">
        <v>0.98249520000000001</v>
      </c>
      <c r="AB5328">
        <v>26</v>
      </c>
      <c r="AC5328">
        <v>32.979499999999902</v>
      </c>
      <c r="AD5328">
        <v>-1.1123251771448901</v>
      </c>
      <c r="AE5328">
        <v>-6.1130399999999998</v>
      </c>
      <c r="AF5328">
        <v>-6.2556146165019699</v>
      </c>
      <c r="AG5328">
        <v>-1.1123251771448901</v>
      </c>
      <c r="AH5328">
        <v>32.915247312424299</v>
      </c>
      <c r="AI5328">
        <v>91.901484548888007</v>
      </c>
      <c r="AJ5328">
        <v>100.760852771077</v>
      </c>
      <c r="AK5328">
        <v>33.522880054791898</v>
      </c>
      <c r="AL5328">
        <v>87.211462448049801</v>
      </c>
      <c r="AM5328">
        <v>91.023589293217398</v>
      </c>
      <c r="AN5328">
        <v>0.99999999585383104</v>
      </c>
    </row>
    <row r="5329" spans="1:40" x14ac:dyDescent="0.25">
      <c r="A5329" t="str">
        <f>"20190312154711333"</f>
        <v>20190312154711333</v>
      </c>
      <c r="B5329" t="str">
        <f>"1552376831323566"</f>
        <v>1552376831323566</v>
      </c>
      <c r="C5329" t="s">
        <v>40</v>
      </c>
      <c r="D5329">
        <v>5.3583959999999999</v>
      </c>
      <c r="E5329">
        <v>0.43689470000000002</v>
      </c>
      <c r="F5329" t="s">
        <v>88</v>
      </c>
      <c r="G5329">
        <v>-250.53469999999999</v>
      </c>
      <c r="H5329" s="1">
        <v>-1.5575269999999999E-8</v>
      </c>
      <c r="I5329">
        <v>-63.306959999999997</v>
      </c>
      <c r="J5329">
        <v>-283.79910000000001</v>
      </c>
      <c r="K5329">
        <v>1.112244</v>
      </c>
      <c r="L5329">
        <v>-57.155850000000001</v>
      </c>
      <c r="M5329">
        <v>0.93316719999999997</v>
      </c>
      <c r="N5329">
        <v>0</v>
      </c>
      <c r="O5329">
        <v>-0.35944280000000001</v>
      </c>
      <c r="P5329">
        <v>0.93767639999999997</v>
      </c>
      <c r="Q5329">
        <v>4.8992319999999999E-2</v>
      </c>
      <c r="R5329">
        <v>-0.34403929999999999</v>
      </c>
      <c r="S5329">
        <v>3.0012819999999998</v>
      </c>
      <c r="T5329">
        <v>-9.9947690000000006E-2</v>
      </c>
      <c r="U5329">
        <v>-0.55715939999999997</v>
      </c>
      <c r="V5329">
        <v>-1.6484660000000002E-2</v>
      </c>
      <c r="W5329">
        <v>4.8789510000000001E-2</v>
      </c>
      <c r="X5329">
        <v>0.99867300000000003</v>
      </c>
      <c r="Y5329">
        <v>-0.18280189999999999</v>
      </c>
      <c r="Z5329">
        <v>1.4581159999999999E-2</v>
      </c>
      <c r="AA5329">
        <v>0.98304159999999996</v>
      </c>
      <c r="AB5329">
        <v>26</v>
      </c>
      <c r="AC5329">
        <v>33.264400000000002</v>
      </c>
      <c r="AD5329">
        <v>-1.11224401557527</v>
      </c>
      <c r="AE5329">
        <v>-6.1511099999999903</v>
      </c>
      <c r="AF5329">
        <v>-6.2099213875818302</v>
      </c>
      <c r="AG5329">
        <v>-1.11224401557527</v>
      </c>
      <c r="AH5329">
        <v>33.216308805622397</v>
      </c>
      <c r="AI5329">
        <v>91.885187361328505</v>
      </c>
      <c r="AJ5329">
        <v>100.589430571142</v>
      </c>
      <c r="AK5329">
        <v>33.810107675968702</v>
      </c>
      <c r="AL5329">
        <v>87.203456643531496</v>
      </c>
      <c r="AM5329">
        <v>90.945670581872506</v>
      </c>
      <c r="AN5329">
        <v>0.99999996061517704</v>
      </c>
    </row>
    <row r="5330" spans="1:40" x14ac:dyDescent="0.25">
      <c r="A5330" t="str">
        <f>"20190312154711346"</f>
        <v>20190312154711346</v>
      </c>
      <c r="B5330" t="str">
        <f>"1552376831333326"</f>
        <v>1552376831333326</v>
      </c>
      <c r="C5330" t="s">
        <v>40</v>
      </c>
      <c r="D5330">
        <v>5.2390540000000003</v>
      </c>
      <c r="E5330">
        <v>0.4375561</v>
      </c>
      <c r="F5330" t="s">
        <v>88</v>
      </c>
      <c r="G5330">
        <v>-250.20160000000001</v>
      </c>
      <c r="H5330" s="1">
        <v>1.1093620000000001E-7</v>
      </c>
      <c r="I5330">
        <v>-63.380650000000003</v>
      </c>
      <c r="J5330">
        <v>-283.67079999999999</v>
      </c>
      <c r="K5330">
        <v>1.1121719999999999</v>
      </c>
      <c r="L5330">
        <v>-57.202030000000001</v>
      </c>
      <c r="M5330">
        <v>0.9342954</v>
      </c>
      <c r="N5330">
        <v>0</v>
      </c>
      <c r="O5330">
        <v>-0.35650019999999999</v>
      </c>
      <c r="P5330">
        <v>0.93840239999999997</v>
      </c>
      <c r="Q5330">
        <v>4.8600230000000001E-2</v>
      </c>
      <c r="R5330">
        <v>-0.34210950000000001</v>
      </c>
      <c r="S5330">
        <v>3.00061</v>
      </c>
      <c r="T5330">
        <v>-9.933496E-2</v>
      </c>
      <c r="U5330">
        <v>-0.55593870000000001</v>
      </c>
      <c r="V5330">
        <v>-1.538638E-2</v>
      </c>
      <c r="W5330">
        <v>4.8341330000000002E-2</v>
      </c>
      <c r="X5330">
        <v>0.99871239999999994</v>
      </c>
      <c r="Y5330">
        <v>-0.1800562</v>
      </c>
      <c r="Z5330">
        <v>1.436084E-2</v>
      </c>
      <c r="AA5330">
        <v>0.98355150000000002</v>
      </c>
      <c r="AB5330">
        <v>26</v>
      </c>
      <c r="AC5330">
        <v>33.469199999999901</v>
      </c>
      <c r="AD5330">
        <v>-1.1121718890637999</v>
      </c>
      <c r="AE5330">
        <v>-6.1786199999999898</v>
      </c>
      <c r="AF5330">
        <v>-6.1525495316558496</v>
      </c>
      <c r="AG5330">
        <v>-1.1121718890637999</v>
      </c>
      <c r="AH5330">
        <v>33.437089170623501</v>
      </c>
      <c r="AI5330">
        <v>91.873617462964305</v>
      </c>
      <c r="AJ5330">
        <v>100.426015909935</v>
      </c>
      <c r="AK5330">
        <v>34.016609534968801</v>
      </c>
      <c r="AL5330">
        <v>87.229166027937396</v>
      </c>
      <c r="AM5330">
        <v>90.882641387271505</v>
      </c>
      <c r="AN5330">
        <v>1.0000000413947101</v>
      </c>
    </row>
    <row r="5331" spans="1:40" x14ac:dyDescent="0.25">
      <c r="A5331" t="str">
        <f>"20190312154711360"</f>
        <v>20190312154711360</v>
      </c>
      <c r="B5331" t="str">
        <f>"1552376831353821"</f>
        <v>1552376831353821</v>
      </c>
      <c r="C5331" t="s">
        <v>40</v>
      </c>
      <c r="D5331">
        <v>5.2659089999999997</v>
      </c>
      <c r="E5331">
        <v>0.438946</v>
      </c>
      <c r="F5331" t="s">
        <v>88</v>
      </c>
      <c r="G5331">
        <v>-251.32210000000001</v>
      </c>
      <c r="H5331" s="1">
        <v>-3.256771E-7</v>
      </c>
      <c r="I5331">
        <v>-63.182389999999998</v>
      </c>
      <c r="J5331">
        <v>-283.50049999999999</v>
      </c>
      <c r="K5331">
        <v>1.1120730000000001</v>
      </c>
      <c r="L5331">
        <v>-57.262659999999997</v>
      </c>
      <c r="M5331">
        <v>0.9357219</v>
      </c>
      <c r="N5331">
        <v>0</v>
      </c>
      <c r="O5331">
        <v>-0.35273860000000001</v>
      </c>
      <c r="P5331">
        <v>0.93937990000000005</v>
      </c>
      <c r="Q5331">
        <v>4.8541859999999999E-2</v>
      </c>
      <c r="R5331">
        <v>-0.33942489999999997</v>
      </c>
      <c r="S5331">
        <v>3.0000610000000001</v>
      </c>
      <c r="T5331">
        <v>-0.10314429999999999</v>
      </c>
      <c r="U5331">
        <v>-0.55462650000000002</v>
      </c>
      <c r="V5331">
        <v>-1.421352E-2</v>
      </c>
      <c r="W5331">
        <v>4.8217969999999999E-2</v>
      </c>
      <c r="X5331">
        <v>0.9987357</v>
      </c>
      <c r="Y5331">
        <v>-0.17646410000000001</v>
      </c>
      <c r="Z5331">
        <v>1.473409E-2</v>
      </c>
      <c r="AA5331">
        <v>0.98419679999999998</v>
      </c>
      <c r="AB5331">
        <v>26</v>
      </c>
      <c r="AC5331">
        <v>32.178399999999897</v>
      </c>
      <c r="AD5331">
        <v>-1.1120733256770901</v>
      </c>
      <c r="AE5331">
        <v>-5.9197300000000004</v>
      </c>
      <c r="AF5331">
        <v>-5.8046368626470102</v>
      </c>
      <c r="AG5331">
        <v>-1.1120733256770901</v>
      </c>
      <c r="AH5331">
        <v>32.160996348964403</v>
      </c>
      <c r="AI5331">
        <v>91.948938379018202</v>
      </c>
      <c r="AJ5331">
        <v>100.230990354383</v>
      </c>
      <c r="AK5331">
        <v>32.69954437522</v>
      </c>
      <c r="AL5331">
        <v>87.236242165852104</v>
      </c>
      <c r="AM5331">
        <v>90.815350582392099</v>
      </c>
      <c r="AN5331">
        <v>0.99999999761809999</v>
      </c>
    </row>
    <row r="5332" spans="1:40" x14ac:dyDescent="0.25">
      <c r="A5332" t="str">
        <f>"20190312154711374"</f>
        <v>20190312154711374</v>
      </c>
      <c r="B5332" t="str">
        <f>"1552376831363583"</f>
        <v>1552376831363583</v>
      </c>
      <c r="C5332" t="s">
        <v>40</v>
      </c>
      <c r="D5332">
        <v>5.3048699999999904</v>
      </c>
      <c r="E5332">
        <v>0.43957170000000001</v>
      </c>
      <c r="F5332" t="s">
        <v>88</v>
      </c>
      <c r="G5332">
        <v>-251.18090000000001</v>
      </c>
      <c r="H5332" s="1">
        <v>-2.83207299999999E-7</v>
      </c>
      <c r="I5332">
        <v>-63.263869999999997</v>
      </c>
      <c r="J5332">
        <v>-283.35329999999999</v>
      </c>
      <c r="K5332">
        <v>1.111996</v>
      </c>
      <c r="L5332">
        <v>-57.314480000000003</v>
      </c>
      <c r="M5332">
        <v>0.93690099999999998</v>
      </c>
      <c r="N5332">
        <v>0</v>
      </c>
      <c r="O5332">
        <v>-0.34959499999999999</v>
      </c>
      <c r="P5332">
        <v>0.94028780000000001</v>
      </c>
      <c r="Q5332">
        <v>4.8544049999999998E-2</v>
      </c>
      <c r="R5332">
        <v>-0.33690120000000001</v>
      </c>
      <c r="S5332">
        <v>2.9978030000000002</v>
      </c>
      <c r="T5332">
        <v>-0.1031502</v>
      </c>
      <c r="U5332">
        <v>-0.55664060000000004</v>
      </c>
      <c r="V5332">
        <v>-1.353301E-2</v>
      </c>
      <c r="W5332">
        <v>4.8171289999999999E-2</v>
      </c>
      <c r="X5332">
        <v>0.99874739999999995</v>
      </c>
      <c r="Y5332">
        <v>-0.1723895</v>
      </c>
      <c r="Z5332">
        <v>1.4575060000000001E-2</v>
      </c>
      <c r="AA5332">
        <v>0.98492100000000005</v>
      </c>
      <c r="AB5332">
        <v>26</v>
      </c>
      <c r="AC5332">
        <v>32.172399999999897</v>
      </c>
      <c r="AD5332">
        <v>-1.1119962832073</v>
      </c>
      <c r="AE5332">
        <v>-5.9493899999999904</v>
      </c>
      <c r="AF5332">
        <v>-5.6667743675586504</v>
      </c>
      <c r="AG5332">
        <v>-1.1119962832073</v>
      </c>
      <c r="AH5332">
        <v>32.185049921949201</v>
      </c>
      <c r="AI5332">
        <v>91.948834209889597</v>
      </c>
      <c r="AJ5332">
        <v>99.985637646712703</v>
      </c>
      <c r="AK5332">
        <v>32.699026070282997</v>
      </c>
      <c r="AL5332">
        <v>87.238919829637496</v>
      </c>
      <c r="AM5332">
        <v>90.7763093133334</v>
      </c>
      <c r="AN5332">
        <v>0.99999999227334202</v>
      </c>
    </row>
    <row r="5333" spans="1:40" x14ac:dyDescent="0.25">
      <c r="A5333" t="str">
        <f>"20190312154711393"</f>
        <v>20190312154711393</v>
      </c>
      <c r="B5333" t="str">
        <f>"1552376831383109"</f>
        <v>1552376831383109</v>
      </c>
      <c r="C5333" t="s">
        <v>40</v>
      </c>
      <c r="D5333">
        <v>5.3586519999999904</v>
      </c>
      <c r="E5333">
        <v>0.44077329999999998</v>
      </c>
      <c r="F5333" t="s">
        <v>88</v>
      </c>
      <c r="G5333">
        <v>-251.15299999999999</v>
      </c>
      <c r="H5333" s="1">
        <v>-2.7030049999999999E-7</v>
      </c>
      <c r="I5333">
        <v>-63.259520000000002</v>
      </c>
      <c r="J5333">
        <v>-283.1354</v>
      </c>
      <c r="K5333">
        <v>1.111888</v>
      </c>
      <c r="L5333">
        <v>-57.390469999999901</v>
      </c>
      <c r="M5333">
        <v>0.93857270000000004</v>
      </c>
      <c r="N5333">
        <v>0</v>
      </c>
      <c r="O5333">
        <v>-0.34508119999999998</v>
      </c>
      <c r="P5333">
        <v>0.94183399999999995</v>
      </c>
      <c r="Q5333">
        <v>4.8803970000000002E-2</v>
      </c>
      <c r="R5333">
        <v>-0.33251599999999998</v>
      </c>
      <c r="S5333">
        <v>2.9975890000000001</v>
      </c>
      <c r="T5333">
        <v>-0.1035181</v>
      </c>
      <c r="U5333">
        <v>-0.55343629999999999</v>
      </c>
      <c r="V5333">
        <v>-1.3364300000000001E-2</v>
      </c>
      <c r="W5333">
        <v>4.8362769999999999E-2</v>
      </c>
      <c r="X5333">
        <v>0.99874039999999997</v>
      </c>
      <c r="Y5333">
        <v>-0.16865479999999899</v>
      </c>
      <c r="Z5333">
        <v>1.4421679999999999E-2</v>
      </c>
      <c r="AA5333">
        <v>0.98556969999999999</v>
      </c>
      <c r="AB5333">
        <v>26</v>
      </c>
      <c r="AC5333">
        <v>31.982399999999998</v>
      </c>
      <c r="AD5333">
        <v>-1.1118882703005</v>
      </c>
      <c r="AE5333">
        <v>-5.8690499999999997</v>
      </c>
      <c r="AF5333">
        <v>-5.5215393751425896</v>
      </c>
      <c r="AG5333">
        <v>-1.1118882703005</v>
      </c>
      <c r="AH5333">
        <v>32.005686986697</v>
      </c>
      <c r="AI5333">
        <v>91.960733461293003</v>
      </c>
      <c r="AJ5333">
        <v>99.788174357439502</v>
      </c>
      <c r="AK5333">
        <v>32.497502859255299</v>
      </c>
      <c r="AL5333">
        <v>87.227935981880506</v>
      </c>
      <c r="AM5333">
        <v>90.766637946256793</v>
      </c>
      <c r="AN5333">
        <v>0.99999997431436105</v>
      </c>
    </row>
    <row r="5334" spans="1:40" x14ac:dyDescent="0.25">
      <c r="A5334" t="str">
        <f>"20190312154711406"</f>
        <v>20190312154711406</v>
      </c>
      <c r="B5334" t="str">
        <f>"1552376831393846"</f>
        <v>1552376831393846</v>
      </c>
      <c r="C5334" t="s">
        <v>40</v>
      </c>
      <c r="D5334">
        <v>5.3146300000000002</v>
      </c>
      <c r="E5334">
        <v>0.44125959999999997</v>
      </c>
      <c r="F5334" t="s">
        <v>88</v>
      </c>
      <c r="G5334">
        <v>-251.45570000000001</v>
      </c>
      <c r="H5334" s="1">
        <v>-3.8547340000000002E-7</v>
      </c>
      <c r="I5334">
        <v>-63.193629999999999</v>
      </c>
      <c r="J5334">
        <v>-282.99930000000001</v>
      </c>
      <c r="K5334">
        <v>1.111823</v>
      </c>
      <c r="L5334">
        <v>-57.43759</v>
      </c>
      <c r="M5334">
        <v>0.93957630000000003</v>
      </c>
      <c r="N5334">
        <v>0</v>
      </c>
      <c r="O5334">
        <v>-0.34233940000000002</v>
      </c>
      <c r="P5334">
        <v>0.94287670000000001</v>
      </c>
      <c r="Q5334">
        <v>4.9263210000000002E-2</v>
      </c>
      <c r="R5334">
        <v>-0.32947920000000003</v>
      </c>
      <c r="S5334">
        <v>2.996918</v>
      </c>
      <c r="T5334">
        <v>-0.10518520000000001</v>
      </c>
      <c r="U5334">
        <v>-0.54898069999999999</v>
      </c>
      <c r="V5334">
        <v>-1.365452E-2</v>
      </c>
      <c r="W5334">
        <v>4.8783310000000003E-2</v>
      </c>
      <c r="X5334">
        <v>0.9987161</v>
      </c>
      <c r="Y5334">
        <v>-0.1671475</v>
      </c>
      <c r="Z5334">
        <v>1.454417E-2</v>
      </c>
      <c r="AA5334">
        <v>0.98582460000000005</v>
      </c>
      <c r="AB5334">
        <v>27</v>
      </c>
      <c r="AC5334">
        <v>31.543600000000001</v>
      </c>
      <c r="AD5334">
        <v>-1.1118233854733901</v>
      </c>
      <c r="AE5334">
        <v>-5.7560399999999996</v>
      </c>
      <c r="AF5334">
        <v>-5.3839054079883901</v>
      </c>
      <c r="AG5334">
        <v>-1.1118233854733901</v>
      </c>
      <c r="AH5334">
        <v>31.5701822795235</v>
      </c>
      <c r="AI5334">
        <v>91.988299220434598</v>
      </c>
      <c r="AJ5334">
        <v>99.677983724766094</v>
      </c>
      <c r="AK5334">
        <v>32.045264827193897</v>
      </c>
      <c r="AL5334">
        <v>87.203812558924298</v>
      </c>
      <c r="AM5334">
        <v>90.783303309008204</v>
      </c>
      <c r="AN5334">
        <v>1.0000000528250901</v>
      </c>
    </row>
    <row r="5335" spans="1:40" x14ac:dyDescent="0.25">
      <c r="A5335" t="str">
        <f>"20190312154711418"</f>
        <v>20190312154711418</v>
      </c>
      <c r="B5335" t="str">
        <f>"1552376831413364"</f>
        <v>1552376831413364</v>
      </c>
      <c r="C5335" t="s">
        <v>40</v>
      </c>
      <c r="D5335">
        <v>5.3368200000000003</v>
      </c>
      <c r="E5335">
        <v>0.44217519999999999</v>
      </c>
      <c r="F5335" t="s">
        <v>88</v>
      </c>
      <c r="G5335">
        <v>-251.69829999999999</v>
      </c>
      <c r="H5335" s="1">
        <v>-4.7099089999999999E-7</v>
      </c>
      <c r="I5335">
        <v>-63.110010000000003</v>
      </c>
      <c r="J5335">
        <v>-282.8503</v>
      </c>
      <c r="K5335">
        <v>1.1117539999999999</v>
      </c>
      <c r="L5335">
        <v>-57.488619999999997</v>
      </c>
      <c r="M5335">
        <v>0.94062749999999995</v>
      </c>
      <c r="N5335">
        <v>0</v>
      </c>
      <c r="O5335">
        <v>-0.33944010000000002</v>
      </c>
      <c r="P5335">
        <v>0.94404999999999994</v>
      </c>
      <c r="Q5335">
        <v>4.9308780000000003E-2</v>
      </c>
      <c r="R5335">
        <v>-0.32609559999999999</v>
      </c>
      <c r="S5335">
        <v>2.9974980000000002</v>
      </c>
      <c r="T5335">
        <v>-0.1064725</v>
      </c>
      <c r="U5335">
        <v>-0.5432129</v>
      </c>
      <c r="V5335">
        <v>-1.4147409999999999E-2</v>
      </c>
      <c r="W5335">
        <v>4.8793320000000001E-2</v>
      </c>
      <c r="X5335">
        <v>0.9987087</v>
      </c>
      <c r="Y5335">
        <v>-0.165971799999999</v>
      </c>
      <c r="Z5335">
        <v>1.4606360000000001E-2</v>
      </c>
      <c r="AA5335">
        <v>0.98602239999999997</v>
      </c>
      <c r="AB5335">
        <v>27</v>
      </c>
      <c r="AC5335">
        <v>31.152000000000001</v>
      </c>
      <c r="AD5335">
        <v>-1.1117544709909</v>
      </c>
      <c r="AE5335">
        <v>-5.6213899999999901</v>
      </c>
      <c r="AF5335">
        <v>-5.2800919809031903</v>
      </c>
      <c r="AG5335">
        <v>-1.1117544709909</v>
      </c>
      <c r="AH5335">
        <v>31.172108180190499</v>
      </c>
      <c r="AI5335">
        <v>92.013927790655103</v>
      </c>
      <c r="AJ5335">
        <v>99.613802606013607</v>
      </c>
      <c r="AK5335">
        <v>31.635671286193102</v>
      </c>
      <c r="AL5335">
        <v>87.203238203173001</v>
      </c>
      <c r="AM5335">
        <v>90.811580665303396</v>
      </c>
      <c r="AN5335">
        <v>1.0000000023710101</v>
      </c>
    </row>
    <row r="5336" spans="1:40" x14ac:dyDescent="0.25">
      <c r="A5336" t="str">
        <f>"20190312154711429"</f>
        <v>20190312154711429</v>
      </c>
      <c r="B5336" t="str">
        <f>"1552376831423125"</f>
        <v>1552376831423125</v>
      </c>
      <c r="C5336" t="s">
        <v>40</v>
      </c>
      <c r="D5336">
        <v>5.3318000000000003</v>
      </c>
      <c r="E5336">
        <v>0.44273469999999998</v>
      </c>
      <c r="F5336" t="s">
        <v>88</v>
      </c>
      <c r="G5336">
        <v>-252.30269999999999</v>
      </c>
      <c r="H5336" s="1">
        <v>-7.0294019999999905E-7</v>
      </c>
      <c r="I5336">
        <v>-62.987250000000003</v>
      </c>
      <c r="J5336">
        <v>-282.72000000000003</v>
      </c>
      <c r="K5336">
        <v>1.111693</v>
      </c>
      <c r="L5336">
        <v>-57.532899999999998</v>
      </c>
      <c r="M5336">
        <v>0.94151649999999998</v>
      </c>
      <c r="N5336">
        <v>0</v>
      </c>
      <c r="O5336">
        <v>-0.33696680000000001</v>
      </c>
      <c r="P5336">
        <v>0.9450056</v>
      </c>
      <c r="Q5336">
        <v>4.9145979999999999E-2</v>
      </c>
      <c r="R5336">
        <v>-0.32334030000000002</v>
      </c>
      <c r="S5336">
        <v>2.997131</v>
      </c>
      <c r="T5336">
        <v>-0.1090782</v>
      </c>
      <c r="U5336">
        <v>-0.53948969999999996</v>
      </c>
      <c r="V5336">
        <v>-1.443089E-2</v>
      </c>
      <c r="W5336">
        <v>4.8606129999999997E-2</v>
      </c>
      <c r="X5336">
        <v>0.99871379999999998</v>
      </c>
      <c r="Y5336">
        <v>-0.16453229999999999</v>
      </c>
      <c r="Z5336">
        <v>1.485793E-2</v>
      </c>
      <c r="AA5336">
        <v>0.98625980000000002</v>
      </c>
      <c r="AB5336">
        <v>27</v>
      </c>
      <c r="AC5336">
        <v>30.417300000000001</v>
      </c>
      <c r="AD5336">
        <v>-1.1116937029401901</v>
      </c>
      <c r="AE5336">
        <v>-5.4543499999999998</v>
      </c>
      <c r="AF5336">
        <v>-5.1076498087087101</v>
      </c>
      <c r="AG5336">
        <v>-1.1116937029401901</v>
      </c>
      <c r="AH5336">
        <v>30.436935633711101</v>
      </c>
      <c r="AI5336">
        <v>92.062949836182995</v>
      </c>
      <c r="AJ5336">
        <v>99.526098655665194</v>
      </c>
      <c r="AK5336">
        <v>30.882535521362801</v>
      </c>
      <c r="AL5336">
        <v>87.213976219184801</v>
      </c>
      <c r="AM5336">
        <v>90.8278363180859</v>
      </c>
      <c r="AN5336">
        <v>1.0000000303851</v>
      </c>
    </row>
    <row r="5337" spans="1:40" x14ac:dyDescent="0.25">
      <c r="A5337" t="str">
        <f>"20190312154711442"</f>
        <v>20190312154711442</v>
      </c>
      <c r="B5337" t="str">
        <f>"1552376831433861"</f>
        <v>1552376831433861</v>
      </c>
      <c r="C5337" t="s">
        <v>40</v>
      </c>
      <c r="D5337">
        <v>5.2474160000000003</v>
      </c>
      <c r="E5337">
        <v>0.44321169999999999</v>
      </c>
      <c r="F5337" t="s">
        <v>88</v>
      </c>
      <c r="G5337">
        <v>-252.44669999999999</v>
      </c>
      <c r="H5337" s="1">
        <v>-7.5359499999999899E-7</v>
      </c>
      <c r="I5337">
        <v>-62.937240000000003</v>
      </c>
      <c r="J5337">
        <v>-282.57530000000003</v>
      </c>
      <c r="K5337">
        <v>1.1116269999999999</v>
      </c>
      <c r="L5337">
        <v>-57.581850000000003</v>
      </c>
      <c r="M5337">
        <v>0.94247879999999995</v>
      </c>
      <c r="N5337">
        <v>0</v>
      </c>
      <c r="O5337">
        <v>-0.3342658</v>
      </c>
      <c r="P5337">
        <v>0.94629070000000004</v>
      </c>
      <c r="Q5337">
        <v>4.7957960000000001E-2</v>
      </c>
      <c r="R5337">
        <v>-0.319741</v>
      </c>
      <c r="S5337">
        <v>2.9972530000000002</v>
      </c>
      <c r="T5337">
        <v>-0.11006489999999999</v>
      </c>
      <c r="U5337">
        <v>-0.53506469999999995</v>
      </c>
      <c r="V5337">
        <v>-1.5371370000000001E-2</v>
      </c>
      <c r="W5337">
        <v>4.7388739999999999E-2</v>
      </c>
      <c r="X5337">
        <v>0.99875829999999999</v>
      </c>
      <c r="Y5337">
        <v>-0.1631186</v>
      </c>
      <c r="Z5337">
        <v>1.4876199999999999E-2</v>
      </c>
      <c r="AA5337">
        <v>0.98649430000000005</v>
      </c>
      <c r="AB5337">
        <v>27</v>
      </c>
      <c r="AC5337">
        <v>30.128599999999999</v>
      </c>
      <c r="AD5337">
        <v>-1.1116277535950001</v>
      </c>
      <c r="AE5337">
        <v>-5.3553899999999999</v>
      </c>
      <c r="AF5337">
        <v>-5.0169986875959598</v>
      </c>
      <c r="AG5337">
        <v>-1.1116277535950001</v>
      </c>
      <c r="AH5337">
        <v>30.145910421128999</v>
      </c>
      <c r="AI5337">
        <v>92.083193709321804</v>
      </c>
      <c r="AJ5337">
        <v>99.448785710012999</v>
      </c>
      <c r="AK5337">
        <v>30.580744059172801</v>
      </c>
      <c r="AL5337">
        <v>87.283808086124196</v>
      </c>
      <c r="AM5337">
        <v>90.881739955340606</v>
      </c>
      <c r="AN5337">
        <v>1.00000005675667</v>
      </c>
    </row>
    <row r="5338" spans="1:40" x14ac:dyDescent="0.25">
      <c r="A5338" t="str">
        <f>"20190312154711454"</f>
        <v>20190312154711454</v>
      </c>
      <c r="B5338" t="str">
        <f>"1552376831443621"</f>
        <v>1552376831443621</v>
      </c>
      <c r="C5338" t="s">
        <v>40</v>
      </c>
      <c r="D5338">
        <v>5.2791680000000003</v>
      </c>
      <c r="E5338">
        <v>0.44388670000000002</v>
      </c>
      <c r="F5338" t="s">
        <v>88</v>
      </c>
      <c r="G5338">
        <v>-253.50409999999999</v>
      </c>
      <c r="H5338" s="1">
        <v>-1.1530729999999999E-6</v>
      </c>
      <c r="I5338">
        <v>-62.693739999999998</v>
      </c>
      <c r="J5338">
        <v>-282.4479</v>
      </c>
      <c r="K5338">
        <v>1.1115660000000001</v>
      </c>
      <c r="L5338">
        <v>-57.624419999999901</v>
      </c>
      <c r="M5338">
        <v>0.94328500000000004</v>
      </c>
      <c r="N5338">
        <v>0</v>
      </c>
      <c r="O5338">
        <v>-0.3319838</v>
      </c>
      <c r="P5338">
        <v>0.94725429999999999</v>
      </c>
      <c r="Q5338">
        <v>4.7686260000000001E-2</v>
      </c>
      <c r="R5338">
        <v>-0.31691609999999998</v>
      </c>
      <c r="S5338">
        <v>2.9979550000000001</v>
      </c>
      <c r="T5338">
        <v>-0.1146358</v>
      </c>
      <c r="U5338">
        <v>-0.52716059999999998</v>
      </c>
      <c r="V5338">
        <v>-1.5930219999999998E-2</v>
      </c>
      <c r="W5338">
        <v>4.7101530000000003E-2</v>
      </c>
      <c r="X5338">
        <v>0.99876310000000001</v>
      </c>
      <c r="Y5338">
        <v>-0.1632672</v>
      </c>
      <c r="Z5338">
        <v>1.5416320000000001E-2</v>
      </c>
      <c r="AA5338">
        <v>0.98646149999999999</v>
      </c>
      <c r="AB5338">
        <v>27</v>
      </c>
      <c r="AC5338">
        <v>28.9438</v>
      </c>
      <c r="AD5338">
        <v>-1.111567153073</v>
      </c>
      <c r="AE5338">
        <v>-5.06932000000001</v>
      </c>
      <c r="AF5338">
        <v>-4.82016196011784</v>
      </c>
      <c r="AG5338">
        <v>-1.111567153073</v>
      </c>
      <c r="AH5338">
        <v>28.943768475159899</v>
      </c>
      <c r="AI5338">
        <v>92.169478094311202</v>
      </c>
      <c r="AJ5338">
        <v>99.455004103890204</v>
      </c>
      <c r="AK5338">
        <v>29.363434342753902</v>
      </c>
      <c r="AL5338">
        <v>87.300282324786806</v>
      </c>
      <c r="AM5338">
        <v>90.9137872478384</v>
      </c>
      <c r="AN5338">
        <v>1.00000002797959</v>
      </c>
    </row>
    <row r="5339" spans="1:40" x14ac:dyDescent="0.25">
      <c r="A5339" t="str">
        <f>"20190312154711466"</f>
        <v>20190312154711466</v>
      </c>
      <c r="B5339" t="str">
        <f>"1552376831463140"</f>
        <v>1552376831463140</v>
      </c>
      <c r="C5339" t="s">
        <v>40</v>
      </c>
      <c r="D5339">
        <v>5.2902069999999997</v>
      </c>
      <c r="E5339">
        <v>0.44483689999999998</v>
      </c>
      <c r="F5339" t="s">
        <v>88</v>
      </c>
      <c r="G5339">
        <v>-253.6121</v>
      </c>
      <c r="H5339" s="1">
        <v>-1.1916440000000001E-6</v>
      </c>
      <c r="I5339">
        <v>-62.658810000000003</v>
      </c>
      <c r="J5339">
        <v>-282.30849999999998</v>
      </c>
      <c r="K5339">
        <v>1.1115079999999999</v>
      </c>
      <c r="L5339">
        <v>-57.670900000000003</v>
      </c>
      <c r="M5339">
        <v>0.9441503</v>
      </c>
      <c r="N5339">
        <v>0</v>
      </c>
      <c r="O5339">
        <v>-0.32951510000000001</v>
      </c>
      <c r="P5339">
        <v>0.94831030000000005</v>
      </c>
      <c r="Q5339">
        <v>4.7909569999999999E-2</v>
      </c>
      <c r="R5339">
        <v>-0.31370779999999998</v>
      </c>
      <c r="S5339">
        <v>2.9977719999999999</v>
      </c>
      <c r="T5339">
        <v>-0.1155586</v>
      </c>
      <c r="U5339">
        <v>-0.52337650000000002</v>
      </c>
      <c r="V5339">
        <v>-1.668967E-2</v>
      </c>
      <c r="W5339">
        <v>4.7308250000000003E-2</v>
      </c>
      <c r="X5339">
        <v>0.99874090000000004</v>
      </c>
      <c r="Y5339">
        <v>-0.1618811</v>
      </c>
      <c r="Z5339">
        <v>1.5428239999999999E-2</v>
      </c>
      <c r="AA5339">
        <v>0.98668960000000006</v>
      </c>
      <c r="AB5339">
        <v>27</v>
      </c>
      <c r="AC5339">
        <v>28.696399999999901</v>
      </c>
      <c r="AD5339">
        <v>-1.1115091916440001</v>
      </c>
      <c r="AE5339">
        <v>-4.9879099999999896</v>
      </c>
      <c r="AF5339">
        <v>-4.7396581514941998</v>
      </c>
      <c r="AG5339">
        <v>-1.1115091916440001</v>
      </c>
      <c r="AH5339">
        <v>28.695517792836998</v>
      </c>
      <c r="AI5339">
        <v>92.188596114545902</v>
      </c>
      <c r="AJ5339">
        <v>99.378904826807798</v>
      </c>
      <c r="AK5339">
        <v>29.1055416282735</v>
      </c>
      <c r="AL5339">
        <v>87.288424848599306</v>
      </c>
      <c r="AM5339">
        <v>90.957364074450993</v>
      </c>
      <c r="AN5339">
        <v>1.00000000046779</v>
      </c>
    </row>
    <row r="5340" spans="1:40" x14ac:dyDescent="0.25">
      <c r="A5340" t="str">
        <f>"20190312154711476"</f>
        <v>20190312154711476</v>
      </c>
      <c r="B5340" t="str">
        <f>"1552376831473877"</f>
        <v>1552376831473877</v>
      </c>
      <c r="C5340" t="s">
        <v>40</v>
      </c>
      <c r="D5340">
        <v>5.4630749999999999</v>
      </c>
      <c r="E5340">
        <v>0.44500050000000002</v>
      </c>
      <c r="F5340" t="s">
        <v>88</v>
      </c>
      <c r="G5340">
        <v>-253.53479999999999</v>
      </c>
      <c r="H5340" s="1">
        <v>-1.159612E-6</v>
      </c>
      <c r="I5340">
        <v>-62.663879999999999</v>
      </c>
      <c r="J5340">
        <v>-282.17779999999999</v>
      </c>
      <c r="K5340">
        <v>1.1114550000000001</v>
      </c>
      <c r="L5340">
        <v>-57.714109999999998</v>
      </c>
      <c r="M5340">
        <v>0.94492719999999997</v>
      </c>
      <c r="N5340">
        <v>0</v>
      </c>
      <c r="O5340">
        <v>-0.32728030000000002</v>
      </c>
      <c r="P5340">
        <v>0.94925369999999998</v>
      </c>
      <c r="Q5340">
        <v>4.843683E-2</v>
      </c>
      <c r="R5340">
        <v>-0.31075930000000002</v>
      </c>
      <c r="S5340">
        <v>2.9973139999999998</v>
      </c>
      <c r="T5340">
        <v>-0.1157842</v>
      </c>
      <c r="U5340">
        <v>-0.52011109999999905</v>
      </c>
      <c r="V5340">
        <v>-1.7419779999999999E-2</v>
      </c>
      <c r="W5340">
        <v>4.7825989999999999E-2</v>
      </c>
      <c r="X5340">
        <v>0.99870380000000003</v>
      </c>
      <c r="Y5340">
        <v>-0.16056489999999901</v>
      </c>
      <c r="Z5340">
        <v>1.5356710000000001E-2</v>
      </c>
      <c r="AA5340">
        <v>0.98690580000000006</v>
      </c>
      <c r="AB5340">
        <v>27</v>
      </c>
      <c r="AC5340">
        <v>28.643000000000001</v>
      </c>
      <c r="AD5340">
        <v>-1.1114561596119901</v>
      </c>
      <c r="AE5340">
        <v>-4.94977</v>
      </c>
      <c r="AF5340">
        <v>-4.6902602871420402</v>
      </c>
      <c r="AG5340">
        <v>-1.1114561596119901</v>
      </c>
      <c r="AH5340">
        <v>28.643635746833102</v>
      </c>
      <c r="AI5340">
        <v>92.192951914426601</v>
      </c>
      <c r="AJ5340">
        <v>99.299386456239702</v>
      </c>
      <c r="AK5340">
        <v>29.046372323461199</v>
      </c>
      <c r="AL5340">
        <v>87.258726987682905</v>
      </c>
      <c r="AM5340">
        <v>90.999273933806904</v>
      </c>
      <c r="AN5340">
        <v>1.0000000270945799</v>
      </c>
    </row>
    <row r="5341" spans="1:40" x14ac:dyDescent="0.25">
      <c r="A5341" t="str">
        <f>"20190312154711493"</f>
        <v>20190312154711493</v>
      </c>
      <c r="B5341" t="str">
        <f>"1552376831483637"</f>
        <v>1552376831483637</v>
      </c>
      <c r="C5341" t="s">
        <v>40</v>
      </c>
      <c r="D5341">
        <v>5.4508099999999997</v>
      </c>
      <c r="E5341">
        <v>0.44454880000000002</v>
      </c>
      <c r="F5341" t="s">
        <v>88</v>
      </c>
      <c r="G5341">
        <v>-252.8356</v>
      </c>
      <c r="H5341" s="1">
        <v>-8.7285599999999999E-7</v>
      </c>
      <c r="I5341">
        <v>-62.723230000000001</v>
      </c>
      <c r="J5341">
        <v>-281.98430000000002</v>
      </c>
      <c r="K5341">
        <v>1.1113900000000001</v>
      </c>
      <c r="L5341">
        <v>-57.777589999999996</v>
      </c>
      <c r="M5341">
        <v>0.94603630000000005</v>
      </c>
      <c r="N5341">
        <v>0</v>
      </c>
      <c r="O5341">
        <v>-0.32406059999999998</v>
      </c>
      <c r="P5341">
        <v>0.95070699999999997</v>
      </c>
      <c r="Q5341">
        <v>5.0670569999999998E-2</v>
      </c>
      <c r="R5341">
        <v>-0.3059229</v>
      </c>
      <c r="S5341">
        <v>2.998596</v>
      </c>
      <c r="T5341">
        <v>-0.113584199999999</v>
      </c>
      <c r="U5341">
        <v>-0.51190190000000002</v>
      </c>
      <c r="V5341">
        <v>-1.9073969999999999E-2</v>
      </c>
      <c r="W5341">
        <v>5.0045859999999998E-2</v>
      </c>
      <c r="X5341">
        <v>0.99856480000000003</v>
      </c>
      <c r="Y5341">
        <v>-0.15991449999999999</v>
      </c>
      <c r="Z5341">
        <v>1.4937249999999999E-2</v>
      </c>
      <c r="AA5341">
        <v>0.9870179</v>
      </c>
      <c r="AB5341">
        <v>27</v>
      </c>
      <c r="AC5341">
        <v>29.148700000000002</v>
      </c>
      <c r="AD5341">
        <v>-1.11139087285599</v>
      </c>
      <c r="AE5341">
        <v>-4.94564</v>
      </c>
      <c r="AF5341">
        <v>-4.76046339710095</v>
      </c>
      <c r="AG5341">
        <v>-1.11139087285599</v>
      </c>
      <c r="AH5341">
        <v>29.137242526539001</v>
      </c>
      <c r="AI5341">
        <v>92.155835585434204</v>
      </c>
      <c r="AJ5341">
        <v>99.279042188656007</v>
      </c>
      <c r="AK5341">
        <v>29.544476700015402</v>
      </c>
      <c r="AL5341">
        <v>87.131385231484003</v>
      </c>
      <c r="AM5341">
        <v>91.094295627295693</v>
      </c>
      <c r="AN5341">
        <v>1.0000000321168601</v>
      </c>
    </row>
    <row r="5342" spans="1:40" x14ac:dyDescent="0.25">
      <c r="A5342" t="str">
        <f>"20190312154711505"</f>
        <v>20190312154711505</v>
      </c>
      <c r="B5342" t="str">
        <f>"1552376831493397"</f>
        <v>1552376831493397</v>
      </c>
      <c r="C5342" t="s">
        <v>40</v>
      </c>
      <c r="D5342">
        <v>5.3574519999999897</v>
      </c>
      <c r="E5342">
        <v>0.44454880000000002</v>
      </c>
      <c r="F5342" t="s">
        <v>88</v>
      </c>
      <c r="G5342">
        <v>-251.5001</v>
      </c>
      <c r="H5342" s="1">
        <v>-3.141053E-7</v>
      </c>
      <c r="I5342">
        <v>-62.78698</v>
      </c>
      <c r="J5342">
        <v>-281.84800000000001</v>
      </c>
      <c r="K5342">
        <v>1.1113390000000001</v>
      </c>
      <c r="L5342">
        <v>-57.822020000000002</v>
      </c>
      <c r="M5342">
        <v>0.94679250000000004</v>
      </c>
      <c r="N5342">
        <v>0</v>
      </c>
      <c r="O5342">
        <v>-0.32184479999999999</v>
      </c>
      <c r="P5342">
        <v>0.95158980000000004</v>
      </c>
      <c r="Q5342">
        <v>5.195019E-2</v>
      </c>
      <c r="R5342">
        <v>-0.30294890000000002</v>
      </c>
      <c r="S5342">
        <v>3.0025940000000002</v>
      </c>
      <c r="T5342">
        <v>-0.1094683</v>
      </c>
      <c r="U5342">
        <v>-0.49340820000000002</v>
      </c>
      <c r="V5342">
        <v>-1.9839760000000001E-2</v>
      </c>
      <c r="W5342">
        <v>5.1323100000000003E-2</v>
      </c>
      <c r="X5342">
        <v>0.99848499999999996</v>
      </c>
      <c r="Y5342">
        <v>-0.16375609999999999</v>
      </c>
      <c r="Z5342">
        <v>1.4381400000000001E-2</v>
      </c>
      <c r="AA5342">
        <v>0.98639600000000005</v>
      </c>
      <c r="AB5342">
        <v>28</v>
      </c>
      <c r="AC5342">
        <v>30.347899999999999</v>
      </c>
      <c r="AD5342">
        <v>-1.1113393141052901</v>
      </c>
      <c r="AE5342">
        <v>-4.9649600000000103</v>
      </c>
      <c r="AF5342">
        <v>-5.0599180455513002</v>
      </c>
      <c r="AG5342">
        <v>-1.1113393141052901</v>
      </c>
      <c r="AH5342">
        <v>30.291546218271598</v>
      </c>
      <c r="AI5342">
        <v>92.072442237474306</v>
      </c>
      <c r="AJ5342">
        <v>99.483166678456598</v>
      </c>
      <c r="AK5342">
        <v>30.731345853907101</v>
      </c>
      <c r="AL5342">
        <v>87.058110452702294</v>
      </c>
      <c r="AM5342">
        <v>91.138309490257697</v>
      </c>
      <c r="AN5342">
        <v>0.99999998594773298</v>
      </c>
    </row>
    <row r="5343" spans="1:40" x14ac:dyDescent="0.25">
      <c r="A5343" t="str">
        <f>"20190312154711527"</f>
        <v>20190312154711527</v>
      </c>
      <c r="B5343" t="str">
        <f>"1552376831523653"</f>
        <v>1552376831523653</v>
      </c>
      <c r="C5343" t="s">
        <v>40</v>
      </c>
      <c r="D5343">
        <v>5.2533339999999997</v>
      </c>
      <c r="E5343">
        <v>0.39855439999999998</v>
      </c>
      <c r="F5343" t="s">
        <v>88</v>
      </c>
      <c r="G5343">
        <v>-250.25460000000001</v>
      </c>
      <c r="H5343" s="1">
        <v>1.9198219999999999E-7</v>
      </c>
      <c r="I5343">
        <v>-62.913960000000003</v>
      </c>
      <c r="J5343">
        <v>-281.58960000000002</v>
      </c>
      <c r="K5343">
        <v>1.111256</v>
      </c>
      <c r="L5343">
        <v>-57.905299999999997</v>
      </c>
      <c r="M5343">
        <v>0.94814929999999997</v>
      </c>
      <c r="N5343">
        <v>0</v>
      </c>
      <c r="O5343">
        <v>-0.31782510000000003</v>
      </c>
      <c r="P5343">
        <v>0.95296230000000004</v>
      </c>
      <c r="Q5343">
        <v>5.2878649999999999E-2</v>
      </c>
      <c r="R5343">
        <v>-0.29844090000000001</v>
      </c>
      <c r="S5343">
        <v>3.0042110000000002</v>
      </c>
      <c r="T5343">
        <v>-0.10567699999999999</v>
      </c>
      <c r="U5343">
        <v>-0.48419190000000001</v>
      </c>
      <c r="V5343">
        <v>-2.030964E-2</v>
      </c>
      <c r="W5343">
        <v>5.2265489999999998E-2</v>
      </c>
      <c r="X5343">
        <v>0.9984267</v>
      </c>
      <c r="Y5343">
        <v>-0.16262769999999999</v>
      </c>
      <c r="Z5343">
        <v>1.3728499999999999E-2</v>
      </c>
      <c r="AA5343">
        <v>0.98659200000000002</v>
      </c>
      <c r="AB5343">
        <v>28</v>
      </c>
      <c r="AC5343">
        <v>31.335000000000001</v>
      </c>
      <c r="AD5343">
        <v>-1.1112558080178001</v>
      </c>
      <c r="AE5343">
        <v>-5.0086599999999901</v>
      </c>
      <c r="AF5343">
        <v>-5.2037107886110796</v>
      </c>
      <c r="AG5343">
        <v>-1.1112558080178001</v>
      </c>
      <c r="AH5343">
        <v>31.263797767705899</v>
      </c>
      <c r="AI5343">
        <v>92.008089396337496</v>
      </c>
      <c r="AJ5343">
        <v>99.449978669080906</v>
      </c>
      <c r="AK5343">
        <v>31.7133811868487</v>
      </c>
      <c r="AL5343">
        <v>87.004043008848697</v>
      </c>
      <c r="AM5343">
        <v>91.165329608099995</v>
      </c>
      <c r="AN5343">
        <v>1.0000000190973699</v>
      </c>
    </row>
    <row r="5344" spans="1:40" x14ac:dyDescent="0.25">
      <c r="A5344" t="str">
        <f>"20190312154711540"</f>
        <v>20190312154711540</v>
      </c>
      <c r="B5344" t="str">
        <f>"1552376831533414"</f>
        <v>1552376831533414</v>
      </c>
      <c r="C5344" t="s">
        <v>40</v>
      </c>
      <c r="D5344">
        <v>5.1635429999999998</v>
      </c>
      <c r="E5344">
        <v>0.39921400000000001</v>
      </c>
      <c r="F5344" t="s">
        <v>87</v>
      </c>
      <c r="G5344">
        <v>-248.1687</v>
      </c>
      <c r="H5344" s="1">
        <v>-2.7040100000000001E-6</v>
      </c>
      <c r="I5344">
        <v>-59.185540000000003</v>
      </c>
      <c r="J5344">
        <v>-281.43619999999999</v>
      </c>
      <c r="K5344">
        <v>1.1112070000000001</v>
      </c>
      <c r="L5344">
        <v>-57.954320000000003</v>
      </c>
      <c r="M5344">
        <v>0.94891879999999995</v>
      </c>
      <c r="N5344">
        <v>0</v>
      </c>
      <c r="O5344">
        <v>-0.31552029999999998</v>
      </c>
      <c r="P5344">
        <v>0.95347510000000002</v>
      </c>
      <c r="Q5344">
        <v>5.2854159999999997E-2</v>
      </c>
      <c r="R5344">
        <v>-0.29680260000000003</v>
      </c>
      <c r="S5344">
        <v>3.116425</v>
      </c>
      <c r="T5344">
        <v>-0.1036222</v>
      </c>
      <c r="U5344">
        <v>-0.1193848</v>
      </c>
      <c r="V5344">
        <v>-1.959313E-2</v>
      </c>
      <c r="W5344">
        <v>5.2261210000000002E-2</v>
      </c>
      <c r="X5344">
        <v>0.99844120000000003</v>
      </c>
      <c r="Y5344">
        <v>-0.2786419</v>
      </c>
      <c r="Z5344">
        <v>1.496071E-2</v>
      </c>
      <c r="AA5344">
        <v>0.96027850000000003</v>
      </c>
      <c r="AB5344">
        <v>28</v>
      </c>
      <c r="AC5344">
        <v>33.267499999999899</v>
      </c>
      <c r="AD5344">
        <v>-1.11120970401</v>
      </c>
      <c r="AE5344">
        <v>-1.23122</v>
      </c>
      <c r="AF5344">
        <v>-9.3178621932605097</v>
      </c>
      <c r="AG5344">
        <v>-1.11120970401</v>
      </c>
      <c r="AH5344">
        <v>31.921065932912501</v>
      </c>
      <c r="AI5344">
        <v>91.913917899561397</v>
      </c>
      <c r="AJ5344">
        <v>106.272695259256</v>
      </c>
      <c r="AK5344">
        <v>33.271786744210601</v>
      </c>
      <c r="AL5344">
        <v>87.004288445159901</v>
      </c>
      <c r="AM5344">
        <v>91.124212010134599</v>
      </c>
      <c r="AN5344">
        <v>0.99999997733565005</v>
      </c>
    </row>
    <row r="5345" spans="1:40" x14ac:dyDescent="0.25">
      <c r="A5345" t="str">
        <f>"20190312154711553"</f>
        <v>20190312154711553</v>
      </c>
      <c r="B5345" t="str">
        <f>"1552376831543173"</f>
        <v>1552376831543173</v>
      </c>
      <c r="C5345" t="s">
        <v>40</v>
      </c>
      <c r="D5345">
        <v>4.4341499999999998</v>
      </c>
      <c r="E5345">
        <v>0.39944350000000001</v>
      </c>
      <c r="F5345" t="s">
        <v>87</v>
      </c>
      <c r="G5345">
        <v>-248.86349999999999</v>
      </c>
      <c r="H5345" s="1">
        <v>-3.00061E-6</v>
      </c>
      <c r="I5345">
        <v>-59.19388</v>
      </c>
      <c r="J5345">
        <v>-281.27940000000001</v>
      </c>
      <c r="K5345">
        <v>1.111159</v>
      </c>
      <c r="L5345">
        <v>-58.00403</v>
      </c>
      <c r="M5345">
        <v>0.94967659999999998</v>
      </c>
      <c r="N5345">
        <v>0</v>
      </c>
      <c r="O5345">
        <v>-0.31323200000000001</v>
      </c>
      <c r="P5345">
        <v>0.95383340000000005</v>
      </c>
      <c r="Q5345">
        <v>5.3698099999999999E-2</v>
      </c>
      <c r="R5345">
        <v>-0.2954967</v>
      </c>
      <c r="S5345">
        <v>3.115326</v>
      </c>
      <c r="T5345">
        <v>-0.1062787</v>
      </c>
      <c r="U5345">
        <v>-0.11856079999999999</v>
      </c>
      <c r="V5345">
        <v>-1.853867E-2</v>
      </c>
      <c r="W5345">
        <v>5.3131640000000001E-2</v>
      </c>
      <c r="X5345">
        <v>0.99841539999999995</v>
      </c>
      <c r="Y5345">
        <v>-0.27655259999999998</v>
      </c>
      <c r="Z5345">
        <v>1.523936E-2</v>
      </c>
      <c r="AA5345">
        <v>0.96087800000000001</v>
      </c>
      <c r="AB5345">
        <v>28</v>
      </c>
      <c r="AC5345">
        <v>32.415900000000001</v>
      </c>
      <c r="AD5345">
        <v>-1.11116200061</v>
      </c>
      <c r="AE5345">
        <v>-1.1898500000000001</v>
      </c>
      <c r="AF5345">
        <v>-9.0131485824041899</v>
      </c>
      <c r="AG5345">
        <v>-1.11116200061</v>
      </c>
      <c r="AH5345">
        <v>31.120804072073401</v>
      </c>
      <c r="AI5345">
        <v>91.964213495106193</v>
      </c>
      <c r="AJ5345">
        <v>106.151973895445</v>
      </c>
      <c r="AK5345">
        <v>32.4187596069386</v>
      </c>
      <c r="AL5345">
        <v>86.954347102306002</v>
      </c>
      <c r="AM5345">
        <v>91.063751122482998</v>
      </c>
      <c r="AN5345">
        <v>0.99999998220580899</v>
      </c>
    </row>
    <row r="5346" spans="1:40" x14ac:dyDescent="0.25">
      <c r="A5346" t="str">
        <f>"20190312154711573"</f>
        <v>20190312154711573</v>
      </c>
      <c r="B5346" t="str">
        <f>"1552376831563669"</f>
        <v>1552376831563669</v>
      </c>
      <c r="C5346" t="s">
        <v>40</v>
      </c>
      <c r="D5346">
        <v>5.149915</v>
      </c>
      <c r="E5346">
        <v>0.40139570000000002</v>
      </c>
      <c r="F5346" t="s">
        <v>87</v>
      </c>
      <c r="G5346">
        <v>-242.17609999999999</v>
      </c>
      <c r="H5346" s="1">
        <v>-8.4928390000000003E-8</v>
      </c>
      <c r="I5346">
        <v>-59.457740000000001</v>
      </c>
      <c r="J5346">
        <v>-281.04059999999998</v>
      </c>
      <c r="K5346">
        <v>1.1110770000000001</v>
      </c>
      <c r="L5346">
        <v>-58.079099999999997</v>
      </c>
      <c r="M5346">
        <v>0.95078379999999996</v>
      </c>
      <c r="N5346">
        <v>0</v>
      </c>
      <c r="O5346">
        <v>-0.30985489999999999</v>
      </c>
      <c r="P5346">
        <v>0.95445500000000005</v>
      </c>
      <c r="Q5346">
        <v>5.3774780000000001E-2</v>
      </c>
      <c r="R5346">
        <v>-0.2934696</v>
      </c>
      <c r="S5346">
        <v>3.1143190000000001</v>
      </c>
      <c r="T5346">
        <v>-8.8496450000000004E-2</v>
      </c>
      <c r="U5346">
        <v>-0.1157837</v>
      </c>
      <c r="V5346">
        <v>-1.7102200000000001E-2</v>
      </c>
      <c r="W5346">
        <v>5.325307E-2</v>
      </c>
      <c r="X5346">
        <v>0.99843459999999995</v>
      </c>
      <c r="Y5346">
        <v>-0.27408579999999999</v>
      </c>
      <c r="Z5346">
        <v>1.256845E-2</v>
      </c>
      <c r="AA5346">
        <v>0.96162309999999995</v>
      </c>
      <c r="AB5346">
        <v>28</v>
      </c>
      <c r="AC5346">
        <v>38.8644999999999</v>
      </c>
      <c r="AD5346">
        <v>-1.11107708492839</v>
      </c>
      <c r="AE5346">
        <v>-1.3786400000000001</v>
      </c>
      <c r="AF5346">
        <v>-10.7228149978285</v>
      </c>
      <c r="AG5346">
        <v>-1.11107708492839</v>
      </c>
      <c r="AH5346">
        <v>37.348430786452099</v>
      </c>
      <c r="AI5346">
        <v>91.637859735321399</v>
      </c>
      <c r="AJ5346">
        <v>106.018886580093</v>
      </c>
      <c r="AK5346">
        <v>38.873108133730597</v>
      </c>
      <c r="AL5346">
        <v>86.947379904819798</v>
      </c>
      <c r="AM5346">
        <v>90.981324228543102</v>
      </c>
      <c r="AN5346">
        <v>1.00000001259321</v>
      </c>
    </row>
    <row r="5347" spans="1:40" x14ac:dyDescent="0.25">
      <c r="A5347" t="str">
        <f>"20190312154711595"</f>
        <v>20190312154711595</v>
      </c>
      <c r="B5347" t="str">
        <f>"1552376831583189"</f>
        <v>1552376831583189</v>
      </c>
      <c r="C5347" t="s">
        <v>40</v>
      </c>
      <c r="D5347">
        <v>5.1110829999999998</v>
      </c>
      <c r="E5347">
        <v>0.40291539999999998</v>
      </c>
      <c r="F5347" t="s">
        <v>86</v>
      </c>
      <c r="G5347">
        <v>-238.21850000000001</v>
      </c>
      <c r="H5347" s="1">
        <v>-2.6180979999999999E-6</v>
      </c>
      <c r="I5347">
        <v>-59.790390000000002</v>
      </c>
      <c r="J5347">
        <v>-280.76859999999999</v>
      </c>
      <c r="K5347">
        <v>1.1109739999999999</v>
      </c>
      <c r="L5347">
        <v>-58.163730000000001</v>
      </c>
      <c r="M5347">
        <v>0.95197339999999997</v>
      </c>
      <c r="N5347">
        <v>0</v>
      </c>
      <c r="O5347">
        <v>-0.30618040000000002</v>
      </c>
      <c r="P5347">
        <v>0.9555787</v>
      </c>
      <c r="Q5347">
        <v>5.033617E-2</v>
      </c>
      <c r="R5347">
        <v>-0.29040589999999999</v>
      </c>
      <c r="S5347">
        <v>3.1094970000000002</v>
      </c>
      <c r="T5347">
        <v>-8.0680249999999995E-2</v>
      </c>
      <c r="U5347">
        <v>-0.12426760000000001</v>
      </c>
      <c r="V5347">
        <v>-1.6471409999999999E-2</v>
      </c>
      <c r="W5347">
        <v>4.9865369999999999E-2</v>
      </c>
      <c r="X5347">
        <v>0.99862010000000001</v>
      </c>
      <c r="Y5347">
        <v>-0.26773229999999998</v>
      </c>
      <c r="Z5347">
        <v>1.130137E-2</v>
      </c>
      <c r="AA5347">
        <v>0.96342709999999998</v>
      </c>
      <c r="AB5347">
        <v>28</v>
      </c>
      <c r="AC5347">
        <v>42.550099999999901</v>
      </c>
      <c r="AD5347">
        <v>-1.1109766180980001</v>
      </c>
      <c r="AE5347">
        <v>-1.62665999999999</v>
      </c>
      <c r="AF5347">
        <v>-11.471661687283699</v>
      </c>
      <c r="AG5347">
        <v>-1.1109766180980001</v>
      </c>
      <c r="AH5347">
        <v>40.976724992725899</v>
      </c>
      <c r="AI5347">
        <v>91.495569939597999</v>
      </c>
      <c r="AJ5347">
        <v>105.63988492129801</v>
      </c>
      <c r="AK5347">
        <v>42.566715659572999</v>
      </c>
      <c r="AL5347">
        <v>87.141739334663299</v>
      </c>
      <c r="AM5347">
        <v>90.944960656704097</v>
      </c>
      <c r="AN5347">
        <v>0.99999998329831696</v>
      </c>
    </row>
    <row r="5348" spans="1:40" x14ac:dyDescent="0.25">
      <c r="A5348" t="str">
        <f>"20190312154711617"</f>
        <v>20190312154711617</v>
      </c>
      <c r="B5348" t="str">
        <f>"1552376831613445"</f>
        <v>1552376831613445</v>
      </c>
      <c r="C5348" t="s">
        <v>40</v>
      </c>
      <c r="D5348">
        <v>5.140676</v>
      </c>
      <c r="E5348">
        <v>0.40430300000000002</v>
      </c>
      <c r="F5348" t="s">
        <v>87</v>
      </c>
      <c r="G5348">
        <v>-244.70769999999999</v>
      </c>
      <c r="H5348" s="1">
        <v>-1.1365930000000001E-6</v>
      </c>
      <c r="I5348">
        <v>-59.651629999999997</v>
      </c>
      <c r="J5348">
        <v>-280.50110000000001</v>
      </c>
      <c r="K5348">
        <v>1.1108709999999999</v>
      </c>
      <c r="L5348">
        <v>-58.24606</v>
      </c>
      <c r="M5348">
        <v>0.95307640000000005</v>
      </c>
      <c r="N5348">
        <v>0</v>
      </c>
      <c r="O5348">
        <v>-0.3027302</v>
      </c>
      <c r="P5348">
        <v>0.95635360000000003</v>
      </c>
      <c r="Q5348">
        <v>4.5734850000000001E-2</v>
      </c>
      <c r="R5348">
        <v>-0.28861140000000002</v>
      </c>
      <c r="S5348">
        <v>3.1055600000000001</v>
      </c>
      <c r="T5348">
        <v>-9.5677020000000002E-2</v>
      </c>
      <c r="U5348">
        <v>-0.12814329999999999</v>
      </c>
      <c r="V5348">
        <v>-1.4758429999999999E-2</v>
      </c>
      <c r="W5348">
        <v>4.5326739999999997E-2</v>
      </c>
      <c r="X5348">
        <v>0.99886319999999995</v>
      </c>
      <c r="Y5348">
        <v>-0.26291629999999999</v>
      </c>
      <c r="Z5348">
        <v>1.3241269999999999E-2</v>
      </c>
      <c r="AA5348">
        <v>0.96472780000000002</v>
      </c>
      <c r="AB5348">
        <v>29</v>
      </c>
      <c r="AC5348">
        <v>35.793399999999998</v>
      </c>
      <c r="AD5348">
        <v>-1.1108721365930001</v>
      </c>
      <c r="AE5348">
        <v>-1.40557</v>
      </c>
      <c r="AF5348">
        <v>-9.4870026712143005</v>
      </c>
      <c r="AG5348">
        <v>-1.1108721365930001</v>
      </c>
      <c r="AH5348">
        <v>34.506164274858001</v>
      </c>
      <c r="AI5348">
        <v>91.777981331948197</v>
      </c>
      <c r="AJ5348">
        <v>105.372866608053</v>
      </c>
      <c r="AK5348">
        <v>35.803807472822903</v>
      </c>
      <c r="AL5348">
        <v>87.402079025305298</v>
      </c>
      <c r="AM5348">
        <v>90.846496523298796</v>
      </c>
      <c r="AN5348">
        <v>1.0000000084646601</v>
      </c>
    </row>
    <row r="5349" spans="1:40" x14ac:dyDescent="0.25">
      <c r="A5349" t="str">
        <f>"20190312154711629"</f>
        <v>20190312154711629</v>
      </c>
      <c r="B5349" t="str">
        <f>"1552376831623205"</f>
        <v>1552376831623205</v>
      </c>
      <c r="C5349" t="s">
        <v>40</v>
      </c>
      <c r="D5349">
        <v>5.1256719999999998</v>
      </c>
      <c r="E5349">
        <v>0.40479779999999999</v>
      </c>
      <c r="F5349" t="s">
        <v>88</v>
      </c>
      <c r="G5349">
        <v>-252.61590000000001</v>
      </c>
      <c r="H5349" s="1">
        <v>-4.608791E-7</v>
      </c>
      <c r="I5349">
        <v>-59.467750000000002</v>
      </c>
      <c r="J5349">
        <v>-280.34449999999998</v>
      </c>
      <c r="K5349">
        <v>1.1108129999999901</v>
      </c>
      <c r="L5349">
        <v>-58.293819999999997</v>
      </c>
      <c r="M5349">
        <v>0.95369300000000001</v>
      </c>
      <c r="N5349">
        <v>0</v>
      </c>
      <c r="O5349">
        <v>-0.30078129999999997</v>
      </c>
      <c r="P5349">
        <v>0.95671410000000001</v>
      </c>
      <c r="Q5349">
        <v>4.3884090000000001E-2</v>
      </c>
      <c r="R5349">
        <v>-0.2877014</v>
      </c>
      <c r="S5349">
        <v>3.101807</v>
      </c>
      <c r="T5349">
        <v>-0.12356780000000001</v>
      </c>
      <c r="U5349">
        <v>-0.13589479999999901</v>
      </c>
      <c r="V5349">
        <v>-1.367547E-2</v>
      </c>
      <c r="W5349">
        <v>4.3516550000000001E-2</v>
      </c>
      <c r="X5349">
        <v>0.99895909999999999</v>
      </c>
      <c r="Y5349">
        <v>-0.25831490000000001</v>
      </c>
      <c r="Z5349">
        <v>1.695108E-2</v>
      </c>
      <c r="AA5349">
        <v>0.96591199999999999</v>
      </c>
      <c r="AB5349">
        <v>29</v>
      </c>
      <c r="AC5349">
        <v>27.728599999999901</v>
      </c>
      <c r="AD5349">
        <v>-1.1108134608790901</v>
      </c>
      <c r="AE5349">
        <v>-1.1739299999999999</v>
      </c>
      <c r="AF5349">
        <v>-7.2091278567488697</v>
      </c>
      <c r="AG5349">
        <v>-1.1108134608790901</v>
      </c>
      <c r="AH5349">
        <v>26.754811705284801</v>
      </c>
      <c r="AI5349">
        <v>92.295670937328396</v>
      </c>
      <c r="AJ5349">
        <v>105.080287096928</v>
      </c>
      <c r="AK5349">
        <v>27.731306863995201</v>
      </c>
      <c r="AL5349">
        <v>87.505897737241099</v>
      </c>
      <c r="AM5349">
        <v>90.784314164223005</v>
      </c>
      <c r="AN5349">
        <v>0.99999999603821599</v>
      </c>
    </row>
    <row r="5350" spans="1:40" x14ac:dyDescent="0.25">
      <c r="A5350" t="str">
        <f>"20190312154711640"</f>
        <v>20190312154711640</v>
      </c>
      <c r="B5350" t="str">
        <f>"1552376831633942"</f>
        <v>1552376831633942</v>
      </c>
      <c r="C5350" t="s">
        <v>40</v>
      </c>
      <c r="D5350">
        <v>5.1697439999999997</v>
      </c>
      <c r="E5350">
        <v>0.40515489999999998</v>
      </c>
      <c r="F5350" t="s">
        <v>88</v>
      </c>
      <c r="G5350">
        <v>-254.1936</v>
      </c>
      <c r="H5350" s="1">
        <v>-1.1406389999999999E-6</v>
      </c>
      <c r="I5350">
        <v>-59.454459999999997</v>
      </c>
      <c r="J5350">
        <v>-280.2013</v>
      </c>
      <c r="K5350">
        <v>1.1107560000000001</v>
      </c>
      <c r="L5350">
        <v>-58.337310000000002</v>
      </c>
      <c r="M5350">
        <v>0.95424109999999995</v>
      </c>
      <c r="N5350">
        <v>0</v>
      </c>
      <c r="O5350">
        <v>-0.29903879999999999</v>
      </c>
      <c r="P5350">
        <v>0.9570128</v>
      </c>
      <c r="Q5350">
        <v>4.1393560000000003E-2</v>
      </c>
      <c r="R5350">
        <v>-0.28707739999999998</v>
      </c>
      <c r="S5350">
        <v>3.100403</v>
      </c>
      <c r="T5350">
        <v>-0.13169620000000001</v>
      </c>
      <c r="U5350">
        <v>-0.137603799999999</v>
      </c>
      <c r="V5350">
        <v>-1.251497E-2</v>
      </c>
      <c r="W5350">
        <v>4.1064940000000001E-2</v>
      </c>
      <c r="X5350">
        <v>0.99907809999999997</v>
      </c>
      <c r="Y5350">
        <v>-0.25594309999999998</v>
      </c>
      <c r="Z5350">
        <v>1.795151E-2</v>
      </c>
      <c r="AA5350">
        <v>0.96652510000000003</v>
      </c>
      <c r="AB5350">
        <v>29</v>
      </c>
      <c r="AC5350">
        <v>26.0077</v>
      </c>
      <c r="AD5350">
        <v>-1.11075714063899</v>
      </c>
      <c r="AE5350">
        <v>-1.1171500000000001</v>
      </c>
      <c r="AF5350">
        <v>-6.6990831210551596</v>
      </c>
      <c r="AG5350">
        <v>-1.11075714063899</v>
      </c>
      <c r="AH5350">
        <v>25.105973961233602</v>
      </c>
      <c r="AI5350">
        <v>92.447739417174404</v>
      </c>
      <c r="AJ5350">
        <v>104.94027333072199</v>
      </c>
      <c r="AK5350">
        <v>26.008103057132601</v>
      </c>
      <c r="AL5350">
        <v>87.646490474701096</v>
      </c>
      <c r="AM5350">
        <v>90.717679088376002</v>
      </c>
      <c r="AN5350">
        <v>1.00000000183545</v>
      </c>
    </row>
    <row r="5351" spans="1:40" x14ac:dyDescent="0.25">
      <c r="A5351" t="str">
        <f>"20190312154711652"</f>
        <v>20190312154711652</v>
      </c>
      <c r="B5351" t="str">
        <f>"1552376831643700"</f>
        <v>1552376831643700</v>
      </c>
      <c r="C5351" t="s">
        <v>40</v>
      </c>
      <c r="D5351">
        <v>5.1034940000000004</v>
      </c>
      <c r="E5351">
        <v>0.40532889999999999</v>
      </c>
      <c r="F5351" t="s">
        <v>88</v>
      </c>
      <c r="G5351">
        <v>-255.84299999999999</v>
      </c>
      <c r="H5351" s="1">
        <v>-1.8538149999999999E-6</v>
      </c>
      <c r="I5351">
        <v>-59.429139999999997</v>
      </c>
      <c r="J5351">
        <v>-280.06349999999998</v>
      </c>
      <c r="K5351">
        <v>1.110706</v>
      </c>
      <c r="L5351">
        <v>-58.37885</v>
      </c>
      <c r="M5351">
        <v>0.95474959999999998</v>
      </c>
      <c r="N5351">
        <v>0</v>
      </c>
      <c r="O5351">
        <v>-0.29741129999999999</v>
      </c>
      <c r="P5351">
        <v>0.95745990000000003</v>
      </c>
      <c r="Q5351">
        <v>3.8267240000000001E-2</v>
      </c>
      <c r="R5351">
        <v>-0.28601779999999999</v>
      </c>
      <c r="S5351">
        <v>3.0991819999999999</v>
      </c>
      <c r="T5351">
        <v>-0.14132500000000001</v>
      </c>
      <c r="U5351">
        <v>-0.13891600000000001</v>
      </c>
      <c r="V5351">
        <v>-1.1932359999999999E-2</v>
      </c>
      <c r="W5351">
        <v>3.7974590000000003E-2</v>
      </c>
      <c r="X5351">
        <v>0.99920739999999997</v>
      </c>
      <c r="Y5351">
        <v>-0.25379810000000003</v>
      </c>
      <c r="Z5351">
        <v>1.914977E-2</v>
      </c>
      <c r="AA5351">
        <v>0.96706769999999997</v>
      </c>
      <c r="AB5351">
        <v>29</v>
      </c>
      <c r="AC5351">
        <v>24.220499999999902</v>
      </c>
      <c r="AD5351">
        <v>-1.1107078538149999</v>
      </c>
      <c r="AE5351">
        <v>-1.0502899999999999</v>
      </c>
      <c r="AF5351">
        <v>-6.1876974349066503</v>
      </c>
      <c r="AG5351">
        <v>-1.1107078538149999</v>
      </c>
      <c r="AH5351">
        <v>23.387785973764299</v>
      </c>
      <c r="AI5351">
        <v>92.628676875484402</v>
      </c>
      <c r="AJ5351">
        <v>104.81918320653899</v>
      </c>
      <c r="AK5351">
        <v>24.2179644940916</v>
      </c>
      <c r="AL5351">
        <v>87.823692854240207</v>
      </c>
      <c r="AM5351">
        <v>90.684183655440904</v>
      </c>
      <c r="AN5351">
        <v>0.99999993945779597</v>
      </c>
    </row>
    <row r="5352" spans="1:40" x14ac:dyDescent="0.25">
      <c r="A5352" t="str">
        <f>"20190312154711663"</f>
        <v>20190312154711663</v>
      </c>
      <c r="B5352" t="str">
        <f>"1552376831653461"</f>
        <v>1552376831653461</v>
      </c>
      <c r="C5352" t="s">
        <v>40</v>
      </c>
      <c r="D5352">
        <v>5.2073960000000001</v>
      </c>
      <c r="E5352">
        <v>0.40543479999999998</v>
      </c>
      <c r="F5352" t="s">
        <v>88</v>
      </c>
      <c r="G5352">
        <v>-257.14920000000001</v>
      </c>
      <c r="H5352" s="1">
        <v>-2.422365E-6</v>
      </c>
      <c r="I5352">
        <v>-59.392220000000002</v>
      </c>
      <c r="J5352">
        <v>-279.91640000000001</v>
      </c>
      <c r="K5352">
        <v>1.110662</v>
      </c>
      <c r="L5352">
        <v>-58.423029999999997</v>
      </c>
      <c r="M5352">
        <v>0.95528369999999996</v>
      </c>
      <c r="N5352">
        <v>0</v>
      </c>
      <c r="O5352">
        <v>-0.29569129999999999</v>
      </c>
      <c r="P5352">
        <v>0.95804239999999996</v>
      </c>
      <c r="Q5352">
        <v>3.6420050000000002E-2</v>
      </c>
      <c r="R5352">
        <v>-0.28430349999999999</v>
      </c>
      <c r="S5352">
        <v>3.0983580000000002</v>
      </c>
      <c r="T5352">
        <v>-0.15018489999999901</v>
      </c>
      <c r="U5352">
        <v>-0.1370239</v>
      </c>
      <c r="V5352">
        <v>-1.192697E-2</v>
      </c>
      <c r="W5352">
        <v>3.6161949999999998E-2</v>
      </c>
      <c r="X5352">
        <v>0.99927480000000002</v>
      </c>
      <c r="Y5352">
        <v>-0.25256430000000002</v>
      </c>
      <c r="Z5352">
        <v>2.0244999999999999E-2</v>
      </c>
      <c r="AA5352">
        <v>0.96736829999999996</v>
      </c>
      <c r="AB5352">
        <v>29</v>
      </c>
      <c r="AC5352">
        <v>22.767199999999999</v>
      </c>
      <c r="AD5352">
        <v>-1.110664422365</v>
      </c>
      <c r="AE5352">
        <v>-0.96918999999999</v>
      </c>
      <c r="AF5352">
        <v>-5.7924505781961804</v>
      </c>
      <c r="AG5352">
        <v>-1.110664422365</v>
      </c>
      <c r="AH5352">
        <v>21.9834904847724</v>
      </c>
      <c r="AI5352">
        <v>92.796971250351206</v>
      </c>
      <c r="AJ5352">
        <v>104.761407588987</v>
      </c>
      <c r="AK5352">
        <v>22.760929529657499</v>
      </c>
      <c r="AL5352">
        <v>87.927621115745197</v>
      </c>
      <c r="AM5352">
        <v>90.683828508049601</v>
      </c>
      <c r="AN5352">
        <v>1.00000003257811</v>
      </c>
    </row>
    <row r="5353" spans="1:40" x14ac:dyDescent="0.25">
      <c r="A5353" t="str">
        <f>"20190312154711674"</f>
        <v>20190312154711674</v>
      </c>
      <c r="B5353" t="str">
        <f>"1552376831663221"</f>
        <v>1552376831663221</v>
      </c>
      <c r="C5353" t="s">
        <v>40</v>
      </c>
      <c r="D5353">
        <v>5.1103069999999997</v>
      </c>
      <c r="E5353">
        <v>0.40577099999999999</v>
      </c>
      <c r="F5353" t="s">
        <v>88</v>
      </c>
      <c r="G5353">
        <v>-258.33390000000003</v>
      </c>
      <c r="H5353" s="1">
        <v>-2.9412400000000002E-6</v>
      </c>
      <c r="I5353">
        <v>-59.343960000000003</v>
      </c>
      <c r="J5353">
        <v>-279.7749</v>
      </c>
      <c r="K5353">
        <v>1.1106290000000001</v>
      </c>
      <c r="L5353">
        <v>-58.465150000000001</v>
      </c>
      <c r="M5353">
        <v>0.95577520000000005</v>
      </c>
      <c r="N5353">
        <v>0</v>
      </c>
      <c r="O5353">
        <v>-0.29409879999999999</v>
      </c>
      <c r="P5353">
        <v>0.95859220000000001</v>
      </c>
      <c r="Q5353">
        <v>3.5511019999999997E-2</v>
      </c>
      <c r="R5353">
        <v>-0.28256039999999999</v>
      </c>
      <c r="S5353">
        <v>3.098236</v>
      </c>
      <c r="T5353">
        <v>-0.15943969999999999</v>
      </c>
      <c r="U5353">
        <v>-0.13220209999999999</v>
      </c>
      <c r="V5353">
        <v>-1.208125E-2</v>
      </c>
      <c r="W5353">
        <v>3.5287510000000001E-2</v>
      </c>
      <c r="X5353">
        <v>0.99930419999999998</v>
      </c>
      <c r="Y5353">
        <v>-0.25237470000000001</v>
      </c>
      <c r="Z5353">
        <v>2.140978E-2</v>
      </c>
      <c r="AA5353">
        <v>0.96739269999999999</v>
      </c>
      <c r="AB5353">
        <v>29</v>
      </c>
      <c r="AC5353">
        <v>21.440999999999899</v>
      </c>
      <c r="AD5353">
        <v>-1.1106319412400001</v>
      </c>
      <c r="AE5353">
        <v>-0.87880999999999398</v>
      </c>
      <c r="AF5353">
        <v>-5.4512245456349397</v>
      </c>
      <c r="AG5353">
        <v>-1.1106319412400001</v>
      </c>
      <c r="AH5353">
        <v>20.6957920737016</v>
      </c>
      <c r="AI5353">
        <v>92.970678398786703</v>
      </c>
      <c r="AJ5353">
        <v>104.75641335207</v>
      </c>
      <c r="AK5353">
        <v>21.430472741256199</v>
      </c>
      <c r="AL5353">
        <v>87.977754822867297</v>
      </c>
      <c r="AM5353">
        <v>90.692652862868499</v>
      </c>
      <c r="AN5353">
        <v>1.0000000245506</v>
      </c>
    </row>
    <row r="5354" spans="1:40" x14ac:dyDescent="0.25">
      <c r="A5354" t="str">
        <f>"20190312154711686"</f>
        <v>20190312154711686</v>
      </c>
      <c r="B5354" t="str">
        <f>"1552376831683716"</f>
        <v>1552376831683716</v>
      </c>
      <c r="C5354" t="s">
        <v>40</v>
      </c>
      <c r="D5354">
        <v>5.1493699999999896</v>
      </c>
      <c r="E5354">
        <v>0.40608030000000001</v>
      </c>
      <c r="F5354" t="s">
        <v>88</v>
      </c>
      <c r="G5354">
        <v>-258.1105</v>
      </c>
      <c r="H5354" s="1">
        <v>-2.8403819999999999E-6</v>
      </c>
      <c r="I5354">
        <v>-59.366729999999997</v>
      </c>
      <c r="J5354">
        <v>-279.63189999999997</v>
      </c>
      <c r="K5354">
        <v>1.110603</v>
      </c>
      <c r="L5354">
        <v>-58.507660000000001</v>
      </c>
      <c r="M5354">
        <v>0.95626540000000004</v>
      </c>
      <c r="N5354">
        <v>0</v>
      </c>
      <c r="O5354">
        <v>-0.29249999999999998</v>
      </c>
      <c r="P5354">
        <v>0.95939649999999999</v>
      </c>
      <c r="Q5354">
        <v>3.5951289999999997E-2</v>
      </c>
      <c r="R5354">
        <v>-0.2797597</v>
      </c>
      <c r="S5354">
        <v>3.097534</v>
      </c>
      <c r="T5354">
        <v>-0.1587961</v>
      </c>
      <c r="U5354">
        <v>-0.1289063</v>
      </c>
      <c r="V5354">
        <v>-1.3323750000000001E-2</v>
      </c>
      <c r="W5354">
        <v>3.575594E-2</v>
      </c>
      <c r="X5354">
        <v>0.99927180000000004</v>
      </c>
      <c r="Y5354">
        <v>-0.25178299999999998</v>
      </c>
      <c r="Z5354">
        <v>2.1235420000000001E-2</v>
      </c>
      <c r="AA5354">
        <v>0.96755069999999999</v>
      </c>
      <c r="AB5354">
        <v>29</v>
      </c>
      <c r="AC5354">
        <v>21.5213999999999</v>
      </c>
      <c r="AD5354">
        <v>-1.1106058403820001</v>
      </c>
      <c r="AE5354">
        <v>-0.85907000000000899</v>
      </c>
      <c r="AF5354">
        <v>-5.4589967859421398</v>
      </c>
      <c r="AG5354">
        <v>-1.1106058403820001</v>
      </c>
      <c r="AH5354">
        <v>20.776210587617602</v>
      </c>
      <c r="AI5354">
        <v>92.959599982297206</v>
      </c>
      <c r="AJ5354">
        <v>104.721826054621</v>
      </c>
      <c r="AK5354">
        <v>21.510114309846202</v>
      </c>
      <c r="AL5354">
        <v>87.950898905573297</v>
      </c>
      <c r="AM5354">
        <v>90.763905684174901</v>
      </c>
      <c r="AN5354">
        <v>1.00000006991729</v>
      </c>
    </row>
    <row r="5355" spans="1:40" x14ac:dyDescent="0.25">
      <c r="A5355" t="str">
        <f>"20190312154711697"</f>
        <v>20190312154711697</v>
      </c>
      <c r="B5355" t="str">
        <f>"1552376831693477"</f>
        <v>1552376831693477</v>
      </c>
      <c r="C5355" t="s">
        <v>40</v>
      </c>
      <c r="D5355">
        <v>5.1366969999999998</v>
      </c>
      <c r="E5355">
        <v>0.4063293</v>
      </c>
      <c r="F5355" t="s">
        <v>88</v>
      </c>
      <c r="G5355">
        <v>-257.10329999999999</v>
      </c>
      <c r="H5355" s="1">
        <v>-2.4027069999999999E-6</v>
      </c>
      <c r="I5355">
        <v>-59.392020000000002</v>
      </c>
      <c r="J5355">
        <v>-279.48079999999999</v>
      </c>
      <c r="K5355">
        <v>1.110582</v>
      </c>
      <c r="L5355">
        <v>-58.552250000000001</v>
      </c>
      <c r="M5355">
        <v>0.95676850000000002</v>
      </c>
      <c r="N5355">
        <v>0</v>
      </c>
      <c r="O5355">
        <v>-0.29085119999999998</v>
      </c>
      <c r="P5355">
        <v>0.96028829999999998</v>
      </c>
      <c r="Q5355">
        <v>3.690003E-2</v>
      </c>
      <c r="R5355">
        <v>-0.27655920000000001</v>
      </c>
      <c r="S5355">
        <v>3.097229</v>
      </c>
      <c r="T5355">
        <v>-0.15268579999999901</v>
      </c>
      <c r="U5355">
        <v>-0.121582</v>
      </c>
      <c r="V5355">
        <v>-1.492659E-2</v>
      </c>
      <c r="W5355">
        <v>3.6734719999999998E-2</v>
      </c>
      <c r="X5355">
        <v>0.99921360000000004</v>
      </c>
      <c r="Y5355">
        <v>-0.25244909999999998</v>
      </c>
      <c r="Z5355">
        <v>2.036176E-2</v>
      </c>
      <c r="AA5355">
        <v>0.96739589999999998</v>
      </c>
      <c r="AB5355">
        <v>30</v>
      </c>
      <c r="AC5355">
        <v>22.377500000000001</v>
      </c>
      <c r="AD5355">
        <v>-1.110584402707</v>
      </c>
      <c r="AE5355">
        <v>-0.83976999999999402</v>
      </c>
      <c r="AF5355">
        <v>-5.6910582852171503</v>
      </c>
      <c r="AG5355">
        <v>-1.110584402707</v>
      </c>
      <c r="AH5355">
        <v>21.601200230460702</v>
      </c>
      <c r="AI5355">
        <v>92.846207069906299</v>
      </c>
      <c r="AJ5355">
        <v>104.7597649782</v>
      </c>
      <c r="AK5355">
        <v>22.3658980038301</v>
      </c>
      <c r="AL5355">
        <v>87.894781988205395</v>
      </c>
      <c r="AM5355">
        <v>90.855840034618595</v>
      </c>
      <c r="AN5355">
        <v>1.00000003058373</v>
      </c>
    </row>
    <row r="5356" spans="1:40" x14ac:dyDescent="0.25">
      <c r="A5356" t="str">
        <f>"20190312154711709"</f>
        <v>20190312154711709</v>
      </c>
      <c r="B5356" t="str">
        <f>"1552376831703237"</f>
        <v>1552376831703237</v>
      </c>
      <c r="C5356" t="s">
        <v>40</v>
      </c>
      <c r="D5356">
        <v>5.1360809999999999</v>
      </c>
      <c r="E5356">
        <v>0.40658440000000001</v>
      </c>
      <c r="F5356" t="s">
        <v>88</v>
      </c>
      <c r="G5356">
        <v>-256.13510000000002</v>
      </c>
      <c r="H5356" s="1">
        <v>-1.9851069999999998E-6</v>
      </c>
      <c r="I5356">
        <v>-59.402209999999997</v>
      </c>
      <c r="J5356">
        <v>-279.34390000000002</v>
      </c>
      <c r="K5356">
        <v>1.110568</v>
      </c>
      <c r="L5356">
        <v>-58.592440000000003</v>
      </c>
      <c r="M5356">
        <v>0.9572157</v>
      </c>
      <c r="N5356">
        <v>0</v>
      </c>
      <c r="O5356">
        <v>-0.2893752</v>
      </c>
      <c r="P5356">
        <v>0.96105660000000004</v>
      </c>
      <c r="Q5356">
        <v>3.7732590000000003E-2</v>
      </c>
      <c r="R5356">
        <v>-0.2737636</v>
      </c>
      <c r="S5356">
        <v>3.097229</v>
      </c>
      <c r="T5356">
        <v>-0.1473392</v>
      </c>
      <c r="U5356">
        <v>-0.1127625</v>
      </c>
      <c r="V5356">
        <v>-1.62872999999999E-2</v>
      </c>
      <c r="W5356">
        <v>3.7596730000000002E-2</v>
      </c>
      <c r="X5356">
        <v>0.99916020000000005</v>
      </c>
      <c r="Y5356">
        <v>-0.25375229999999999</v>
      </c>
      <c r="Z5356">
        <v>1.9615440000000001E-2</v>
      </c>
      <c r="AA5356">
        <v>0.96707030000000005</v>
      </c>
      <c r="AB5356">
        <v>30</v>
      </c>
      <c r="AC5356">
        <v>23.2088</v>
      </c>
      <c r="AD5356">
        <v>-1.1105699851069999</v>
      </c>
      <c r="AE5356">
        <v>-0.809769999999993</v>
      </c>
      <c r="AF5356">
        <v>-5.9273712264469003</v>
      </c>
      <c r="AG5356">
        <v>-1.1105699851069999</v>
      </c>
      <c r="AH5356">
        <v>22.398930780042299</v>
      </c>
      <c r="AI5356">
        <v>92.7441731826721</v>
      </c>
      <c r="AJ5356">
        <v>104.822278613452</v>
      </c>
      <c r="AK5356">
        <v>23.196534125533901</v>
      </c>
      <c r="AL5356">
        <v>87.845358128692894</v>
      </c>
      <c r="AM5356">
        <v>90.933895191254095</v>
      </c>
      <c r="AN5356">
        <v>0.99999994775600998</v>
      </c>
    </row>
    <row r="5357" spans="1:40" x14ac:dyDescent="0.25">
      <c r="A5357" t="str">
        <f>"20190312154711720"</f>
        <v>20190312154711720</v>
      </c>
      <c r="B5357" t="str">
        <f>"1552376831713972"</f>
        <v>1552376831713972</v>
      </c>
      <c r="C5357" t="s">
        <v>40</v>
      </c>
      <c r="D5357">
        <v>5.1163160000000003</v>
      </c>
      <c r="E5357">
        <v>0.40702149999999998</v>
      </c>
      <c r="F5357" t="s">
        <v>88</v>
      </c>
      <c r="G5357">
        <v>-255.30520000000001</v>
      </c>
      <c r="H5357" s="1">
        <v>-1.6271630000000001E-6</v>
      </c>
      <c r="I5357">
        <v>-59.410800000000002</v>
      </c>
      <c r="J5357">
        <v>-279.19170000000003</v>
      </c>
      <c r="K5357">
        <v>1.1105579999999999</v>
      </c>
      <c r="L5357">
        <v>-58.63693</v>
      </c>
      <c r="M5357">
        <v>0.957704</v>
      </c>
      <c r="N5357">
        <v>0</v>
      </c>
      <c r="O5357">
        <v>-0.287755599999999</v>
      </c>
      <c r="P5357">
        <v>0.96186749999999999</v>
      </c>
      <c r="Q5357">
        <v>3.8634880000000003E-2</v>
      </c>
      <c r="R5357">
        <v>-0.27077430000000002</v>
      </c>
      <c r="S5357">
        <v>3.097137</v>
      </c>
      <c r="T5357">
        <v>-0.1430855</v>
      </c>
      <c r="U5357">
        <v>-0.1054382</v>
      </c>
      <c r="V5357">
        <v>-1.769691E-2</v>
      </c>
      <c r="W5357">
        <v>3.8532080000000003E-2</v>
      </c>
      <c r="X5357">
        <v>0.99910060000000001</v>
      </c>
      <c r="Y5357">
        <v>-0.25443440000000001</v>
      </c>
      <c r="Z5357">
        <v>1.8995910000000001E-2</v>
      </c>
      <c r="AA5357">
        <v>0.96690339999999997</v>
      </c>
      <c r="AB5357">
        <v>30</v>
      </c>
      <c r="AC5357">
        <v>23.886500000000002</v>
      </c>
      <c r="AD5357">
        <v>-1.1105596271629901</v>
      </c>
      <c r="AE5357">
        <v>-0.77386999999999495</v>
      </c>
      <c r="AF5357">
        <v>-6.1191216905480097</v>
      </c>
      <c r="AG5357">
        <v>-1.1105596271629901</v>
      </c>
      <c r="AH5357">
        <v>23.049108184653999</v>
      </c>
      <c r="AI5357">
        <v>92.666289613732502</v>
      </c>
      <c r="AJ5357">
        <v>104.868024597017</v>
      </c>
      <c r="AK5357">
        <v>23.873382270995901</v>
      </c>
      <c r="AL5357">
        <v>87.791727666715701</v>
      </c>
      <c r="AM5357">
        <v>91.014764911587704</v>
      </c>
      <c r="AN5357">
        <v>0.99999995536651598</v>
      </c>
    </row>
    <row r="5358" spans="1:40" x14ac:dyDescent="0.25">
      <c r="A5358" t="str">
        <f>"20190312154711732"</f>
        <v>20190312154711732</v>
      </c>
      <c r="B5358" t="str">
        <f>"1552376831723733"</f>
        <v>1552376831723733</v>
      </c>
      <c r="C5358" t="s">
        <v>40</v>
      </c>
      <c r="D5358">
        <v>5.303509</v>
      </c>
      <c r="E5358">
        <v>0.40712989999999999</v>
      </c>
      <c r="F5358" t="s">
        <v>88</v>
      </c>
      <c r="G5358">
        <v>-254.8888</v>
      </c>
      <c r="H5358" s="1">
        <v>-1.4479599999999999E-6</v>
      </c>
      <c r="I5358">
        <v>-59.413369999999901</v>
      </c>
      <c r="J5358">
        <v>-279.04629999999997</v>
      </c>
      <c r="K5358">
        <v>1.110555</v>
      </c>
      <c r="L5358">
        <v>-58.679139999999997</v>
      </c>
      <c r="M5358">
        <v>0.95816089999999998</v>
      </c>
      <c r="N5358">
        <v>0</v>
      </c>
      <c r="O5358">
        <v>-0.2862304</v>
      </c>
      <c r="P5358">
        <v>0.96262559999999997</v>
      </c>
      <c r="Q5358">
        <v>3.983362E-2</v>
      </c>
      <c r="R5358">
        <v>-0.26789020000000002</v>
      </c>
      <c r="S5358">
        <v>3.0967709999999999</v>
      </c>
      <c r="T5358">
        <v>-0.141512</v>
      </c>
      <c r="U5358">
        <v>-9.8937990000000003E-2</v>
      </c>
      <c r="V5358">
        <v>-1.90928E-2</v>
      </c>
      <c r="W5358">
        <v>3.9764229999999998E-2</v>
      </c>
      <c r="X5358">
        <v>0.99902670000000005</v>
      </c>
      <c r="Y5358">
        <v>-0.25493149999999998</v>
      </c>
      <c r="Z5358">
        <v>1.8735269999999998E-2</v>
      </c>
      <c r="AA5358">
        <v>0.96677760000000001</v>
      </c>
      <c r="AB5358">
        <v>30</v>
      </c>
      <c r="AC5358">
        <v>24.157499999999899</v>
      </c>
      <c r="AD5358">
        <v>-1.1105564479600001</v>
      </c>
      <c r="AE5358">
        <v>-0.73422999999998895</v>
      </c>
      <c r="AF5358">
        <v>-6.19801327832855</v>
      </c>
      <c r="AG5358">
        <v>-1.1105564479600001</v>
      </c>
      <c r="AH5358">
        <v>23.307716543224501</v>
      </c>
      <c r="AI5358">
        <v>92.636453562429594</v>
      </c>
      <c r="AJ5358">
        <v>104.891527206885</v>
      </c>
      <c r="AK5358">
        <v>24.143287984070099</v>
      </c>
      <c r="AL5358">
        <v>87.7210766931412</v>
      </c>
      <c r="AM5358">
        <v>91.094869339367406</v>
      </c>
      <c r="AN5358">
        <v>1.00000003815611</v>
      </c>
    </row>
    <row r="5359" spans="1:40" x14ac:dyDescent="0.25">
      <c r="A5359" t="str">
        <f>"20190312154711742"</f>
        <v>20190312154711742</v>
      </c>
      <c r="B5359" t="str">
        <f>"1552376831733493"</f>
        <v>1552376831733493</v>
      </c>
      <c r="C5359" t="s">
        <v>40</v>
      </c>
      <c r="D5359">
        <v>5.1488430000000003</v>
      </c>
      <c r="E5359">
        <v>0.40748190000000001</v>
      </c>
      <c r="F5359" t="s">
        <v>88</v>
      </c>
      <c r="G5359">
        <v>-254.05500000000001</v>
      </c>
      <c r="H5359" s="1">
        <v>-1.091489E-6</v>
      </c>
      <c r="I5359">
        <v>-59.407829999999997</v>
      </c>
      <c r="J5359">
        <v>-278.90179999999998</v>
      </c>
      <c r="K5359">
        <v>1.110552</v>
      </c>
      <c r="L5359">
        <v>-58.7209199999999</v>
      </c>
      <c r="M5359">
        <v>0.95861039999999997</v>
      </c>
      <c r="N5359">
        <v>0</v>
      </c>
      <c r="O5359">
        <v>-0.28472129999999901</v>
      </c>
      <c r="P5359">
        <v>0.96322039999999998</v>
      </c>
      <c r="Q5359">
        <v>4.1131109999999999E-2</v>
      </c>
      <c r="R5359">
        <v>-0.26554680000000003</v>
      </c>
      <c r="S5359">
        <v>3.0970149999999999</v>
      </c>
      <c r="T5359">
        <v>-0.137624</v>
      </c>
      <c r="U5359">
        <v>-9.0301510000000001E-2</v>
      </c>
      <c r="V5359">
        <v>-1.9943470000000001E-2</v>
      </c>
      <c r="W5359">
        <v>4.109877E-2</v>
      </c>
      <c r="X5359">
        <v>0.99895599999999996</v>
      </c>
      <c r="Y5359">
        <v>-0.25613530000000001</v>
      </c>
      <c r="Z5359">
        <v>1.8183689999999999E-2</v>
      </c>
      <c r="AA5359">
        <v>0.96646989999999999</v>
      </c>
      <c r="AB5359">
        <v>30</v>
      </c>
      <c r="AC5359">
        <v>24.846799999999899</v>
      </c>
      <c r="AD5359">
        <v>-1.1105530914890001</v>
      </c>
      <c r="AE5359">
        <v>-0.68691000000001101</v>
      </c>
      <c r="AF5359">
        <v>-6.4031517229980501</v>
      </c>
      <c r="AG5359">
        <v>-1.1105530914890001</v>
      </c>
      <c r="AH5359">
        <v>23.966135975447699</v>
      </c>
      <c r="AI5359">
        <v>92.563313870282201</v>
      </c>
      <c r="AJ5359">
        <v>104.958603991994</v>
      </c>
      <c r="AK5359">
        <v>24.8316200387811</v>
      </c>
      <c r="AL5359">
        <v>87.644550446689607</v>
      </c>
      <c r="AM5359">
        <v>91.143718925045405</v>
      </c>
      <c r="AN5359">
        <v>0.99999997041357602</v>
      </c>
    </row>
    <row r="5360" spans="1:40" x14ac:dyDescent="0.25">
      <c r="A5360" t="str">
        <f>"20190312154711753"</f>
        <v>20190312154711753</v>
      </c>
      <c r="B5360" t="str">
        <f>"1552376831743253"</f>
        <v>1552376831743253</v>
      </c>
      <c r="C5360" t="s">
        <v>40</v>
      </c>
      <c r="D5360">
        <v>5.156523</v>
      </c>
      <c r="E5360">
        <v>0.40780260000000002</v>
      </c>
      <c r="F5360" t="s">
        <v>88</v>
      </c>
      <c r="G5360">
        <v>-252.69759999999999</v>
      </c>
      <c r="H5360" s="1">
        <v>-5.0163480000000002E-7</v>
      </c>
      <c r="I5360">
        <v>-59.441920000000003</v>
      </c>
      <c r="J5360">
        <v>-278.76400000000001</v>
      </c>
      <c r="K5360">
        <v>1.1105640000000001</v>
      </c>
      <c r="L5360">
        <v>-58.76041</v>
      </c>
      <c r="M5360">
        <v>0.95903130000000003</v>
      </c>
      <c r="N5360">
        <v>0</v>
      </c>
      <c r="O5360">
        <v>-0.28330070000000002</v>
      </c>
      <c r="P5360">
        <v>0.96376410000000001</v>
      </c>
      <c r="Q5360">
        <v>4.1706340000000001E-2</v>
      </c>
      <c r="R5360">
        <v>-0.26347609999999999</v>
      </c>
      <c r="S5360">
        <v>3.0967099999999999</v>
      </c>
      <c r="T5360">
        <v>-0.13124079999999999</v>
      </c>
      <c r="U5360">
        <v>-8.5205080000000002E-2</v>
      </c>
      <c r="V5360">
        <v>-2.060648E-2</v>
      </c>
      <c r="W5360">
        <v>4.1710980000000002E-2</v>
      </c>
      <c r="X5360">
        <v>0.99891719999999895</v>
      </c>
      <c r="Y5360">
        <v>-0.25633830000000002</v>
      </c>
      <c r="Z5360">
        <v>1.7290099999999999E-2</v>
      </c>
      <c r="AA5360">
        <v>0.96643250000000003</v>
      </c>
      <c r="AB5360">
        <v>30</v>
      </c>
      <c r="AC5360">
        <v>26.066400000000002</v>
      </c>
      <c r="AD5360">
        <v>-1.11056450163479</v>
      </c>
      <c r="AE5360">
        <v>-0.68150999999999495</v>
      </c>
      <c r="AF5360">
        <v>-6.7188511099659696</v>
      </c>
      <c r="AG5360">
        <v>-1.11056450163479</v>
      </c>
      <c r="AH5360">
        <v>25.145947847679601</v>
      </c>
      <c r="AI5360">
        <v>92.443209548073497</v>
      </c>
      <c r="AJ5360">
        <v>104.959631580014</v>
      </c>
      <c r="AK5360">
        <v>26.051775503953699</v>
      </c>
      <c r="AL5360">
        <v>87.609443366936006</v>
      </c>
      <c r="AM5360">
        <v>91.181776528511804</v>
      </c>
      <c r="AN5360">
        <v>1.0000000026631899</v>
      </c>
    </row>
    <row r="5361" spans="1:40" x14ac:dyDescent="0.25">
      <c r="A5361" t="str">
        <f>"20190312154711768"</f>
        <v>20190312154711768</v>
      </c>
      <c r="B5361" t="str">
        <f>"1552376831763749"</f>
        <v>1552376831763749</v>
      </c>
      <c r="C5361" t="s">
        <v>40</v>
      </c>
      <c r="D5361">
        <v>5.3195220000000001</v>
      </c>
      <c r="E5361">
        <v>0.40831600000000001</v>
      </c>
      <c r="F5361" t="s">
        <v>88</v>
      </c>
      <c r="G5361">
        <v>-251.81979999999999</v>
      </c>
      <c r="H5361" s="1">
        <v>-1.2025929999999999E-7</v>
      </c>
      <c r="I5361">
        <v>-59.463639999999998</v>
      </c>
      <c r="J5361">
        <v>-278.58390000000003</v>
      </c>
      <c r="K5361">
        <v>1.1105689999999999</v>
      </c>
      <c r="L5361">
        <v>-58.811860000000003</v>
      </c>
      <c r="M5361">
        <v>0.95957650000000005</v>
      </c>
      <c r="N5361">
        <v>0</v>
      </c>
      <c r="O5361">
        <v>-0.28144789999999997</v>
      </c>
      <c r="P5361">
        <v>0.96431699999999998</v>
      </c>
      <c r="Q5361">
        <v>4.2509669999999999E-2</v>
      </c>
      <c r="R5361">
        <v>-0.26131500000000002</v>
      </c>
      <c r="S5361">
        <v>3.096222</v>
      </c>
      <c r="T5361">
        <v>-0.12761739999999999</v>
      </c>
      <c r="U5361">
        <v>-8.0810549999999995E-2</v>
      </c>
      <c r="V5361">
        <v>-2.0911519999999999E-2</v>
      </c>
      <c r="W5361">
        <v>4.2567090000000002E-2</v>
      </c>
      <c r="X5361">
        <v>0.9988747</v>
      </c>
      <c r="Y5361">
        <v>-0.25586579999999998</v>
      </c>
      <c r="Z5361">
        <v>1.6733230000000002E-2</v>
      </c>
      <c r="AA5361">
        <v>0.96656750000000002</v>
      </c>
      <c r="AB5361">
        <v>30</v>
      </c>
      <c r="AC5361">
        <v>26.764099999999999</v>
      </c>
      <c r="AD5361">
        <v>-1.1105691202593</v>
      </c>
      <c r="AE5361">
        <v>-0.65178000000000902</v>
      </c>
      <c r="AF5361">
        <v>-6.8954014864042703</v>
      </c>
      <c r="AG5361">
        <v>-1.1105691202593</v>
      </c>
      <c r="AH5361">
        <v>25.8212108408723</v>
      </c>
      <c r="AI5361">
        <v>92.379489246018096</v>
      </c>
      <c r="AJ5361">
        <v>104.951603826042</v>
      </c>
      <c r="AK5361">
        <v>26.749109419163101</v>
      </c>
      <c r="AL5361">
        <v>87.560348157247404</v>
      </c>
      <c r="AM5361">
        <v>91.199316436467399</v>
      </c>
      <c r="AN5361">
        <v>0.99999995755993298</v>
      </c>
    </row>
    <row r="5362" spans="1:40" x14ac:dyDescent="0.25">
      <c r="A5362" t="str">
        <f>"20190312154711781"</f>
        <v>20190312154711781</v>
      </c>
      <c r="B5362" t="str">
        <f>"1552376831773509"</f>
        <v>1552376831773509</v>
      </c>
      <c r="C5362" t="s">
        <v>40</v>
      </c>
      <c r="D5362">
        <v>5.1484110000000003</v>
      </c>
      <c r="E5362">
        <v>0.46188960000000001</v>
      </c>
      <c r="F5362" t="s">
        <v>88</v>
      </c>
      <c r="G5362">
        <v>-251.2912</v>
      </c>
      <c r="H5362" s="1">
        <v>1.1374160000000001E-7</v>
      </c>
      <c r="I5362">
        <v>-59.496380000000002</v>
      </c>
      <c r="J5362">
        <v>-278.39580000000001</v>
      </c>
      <c r="K5362">
        <v>1.110581</v>
      </c>
      <c r="L5362">
        <v>-58.865229999999997</v>
      </c>
      <c r="M5362">
        <v>0.9601383</v>
      </c>
      <c r="N5362">
        <v>0</v>
      </c>
      <c r="O5362">
        <v>-0.27952500000000002</v>
      </c>
      <c r="P5362">
        <v>0.96484329999999996</v>
      </c>
      <c r="Q5362">
        <v>4.3599859999999997E-2</v>
      </c>
      <c r="R5362">
        <v>-0.25918380000000002</v>
      </c>
      <c r="S5362">
        <v>3.09552</v>
      </c>
      <c r="T5362">
        <v>-0.12595999999999999</v>
      </c>
      <c r="U5362">
        <v>-7.7636720000000006E-2</v>
      </c>
      <c r="V5362">
        <v>-2.1111000000000001E-2</v>
      </c>
      <c r="W5362">
        <v>4.3713290000000002E-2</v>
      </c>
      <c r="X5362">
        <v>0.99882099999999996</v>
      </c>
      <c r="Y5362">
        <v>-0.25492759999999998</v>
      </c>
      <c r="Z5362">
        <v>1.6425789999999999E-2</v>
      </c>
      <c r="AA5362">
        <v>0.96682060000000003</v>
      </c>
      <c r="AB5362">
        <v>30</v>
      </c>
      <c r="AC5362">
        <v>27.104600000000001</v>
      </c>
      <c r="AD5362">
        <v>-1.1105808862583999</v>
      </c>
      <c r="AE5362">
        <v>-0.63114999999999799</v>
      </c>
      <c r="AF5362">
        <v>-6.9587463640253802</v>
      </c>
      <c r="AG5362">
        <v>-1.1105808862583999</v>
      </c>
      <c r="AH5362">
        <v>26.1567000126431</v>
      </c>
      <c r="AI5362">
        <v>92.3496148659369</v>
      </c>
      <c r="AJ5362">
        <v>104.897926956972</v>
      </c>
      <c r="AK5362">
        <v>27.089305941924099</v>
      </c>
      <c r="AL5362">
        <v>87.494614533442999</v>
      </c>
      <c r="AM5362">
        <v>91.210818688725595</v>
      </c>
      <c r="AN5362">
        <v>0.99999995804231101</v>
      </c>
    </row>
    <row r="5363" spans="1:40" x14ac:dyDescent="0.25">
      <c r="A5363" t="str">
        <f>"20190312154711796"</f>
        <v>20190312154711796</v>
      </c>
      <c r="B5363" t="str">
        <f>"1552376831783269"</f>
        <v>1552376831783269</v>
      </c>
      <c r="C5363" t="s">
        <v>40</v>
      </c>
      <c r="D5363">
        <v>5.1980329999999997</v>
      </c>
      <c r="E5363">
        <v>0.4631921</v>
      </c>
      <c r="F5363" t="s">
        <v>88</v>
      </c>
      <c r="G5363">
        <v>-255.08179999999999</v>
      </c>
      <c r="H5363" s="1">
        <v>-1.8178720000000001E-6</v>
      </c>
      <c r="I5363">
        <v>-62.639670000000002</v>
      </c>
      <c r="J5363">
        <v>-278.20690000000002</v>
      </c>
      <c r="K5363">
        <v>1.1106</v>
      </c>
      <c r="L5363">
        <v>-58.918300000000002</v>
      </c>
      <c r="M5363">
        <v>0.96069649999999995</v>
      </c>
      <c r="N5363">
        <v>0</v>
      </c>
      <c r="O5363">
        <v>-0.27760089999999998</v>
      </c>
      <c r="P5363">
        <v>0.96540340000000002</v>
      </c>
      <c r="Q5363">
        <v>4.6301410000000001E-2</v>
      </c>
      <c r="R5363">
        <v>-0.25661659999999997</v>
      </c>
      <c r="S5363">
        <v>2.9858699999999998</v>
      </c>
      <c r="T5363">
        <v>-0.14223420000000001</v>
      </c>
      <c r="U5363">
        <v>-0.48339840000000001</v>
      </c>
      <c r="V5363">
        <v>-2.1749350000000001E-2</v>
      </c>
      <c r="W5363">
        <v>4.6469940000000001E-2</v>
      </c>
      <c r="X5363">
        <v>0.99868290000000004</v>
      </c>
      <c r="Y5363">
        <v>-0.1200712</v>
      </c>
      <c r="Z5363">
        <v>1.576659E-2</v>
      </c>
      <c r="AA5363">
        <v>0.99264010000000003</v>
      </c>
      <c r="AB5363">
        <v>30</v>
      </c>
      <c r="AC5363">
        <v>23.1251</v>
      </c>
      <c r="AD5363">
        <v>-1.1106018178720001</v>
      </c>
      <c r="AE5363">
        <v>-3.7213699999999901</v>
      </c>
      <c r="AF5363">
        <v>-2.8380607120202401</v>
      </c>
      <c r="AG5363">
        <v>-1.1106018178720001</v>
      </c>
      <c r="AH5363">
        <v>23.1971049414623</v>
      </c>
      <c r="AI5363">
        <v>92.720785769302196</v>
      </c>
      <c r="AJ5363">
        <v>96.975214293371806</v>
      </c>
      <c r="AK5363">
        <v>23.396446368373699</v>
      </c>
      <c r="AL5363">
        <v>87.3365093941445</v>
      </c>
      <c r="AM5363">
        <v>91.247592213386</v>
      </c>
      <c r="AN5363">
        <v>1.00000001215071</v>
      </c>
    </row>
    <row r="5364" spans="1:40" x14ac:dyDescent="0.25">
      <c r="A5364" t="str">
        <f>"20190312154711810"</f>
        <v>20190312154711810</v>
      </c>
      <c r="B5364" t="str">
        <f>"1552376831803766"</f>
        <v>1552376831803766</v>
      </c>
      <c r="C5364" t="s">
        <v>40</v>
      </c>
      <c r="D5364">
        <v>5.2295309999999997</v>
      </c>
      <c r="E5364">
        <v>0.46677299999999999</v>
      </c>
      <c r="F5364" t="s">
        <v>88</v>
      </c>
      <c r="G5364">
        <v>-254.39830000000001</v>
      </c>
      <c r="H5364" s="1">
        <v>-1.5577839999999999E-6</v>
      </c>
      <c r="I5364">
        <v>-62.788510000000002</v>
      </c>
      <c r="J5364">
        <v>-278.01150000000001</v>
      </c>
      <c r="K5364">
        <v>1.110617</v>
      </c>
      <c r="L5364">
        <v>-58.972869999999901</v>
      </c>
      <c r="M5364">
        <v>0.9612695</v>
      </c>
      <c r="N5364">
        <v>0</v>
      </c>
      <c r="O5364">
        <v>-0.27561010000000002</v>
      </c>
      <c r="P5364">
        <v>0.96599409999999997</v>
      </c>
      <c r="Q5364">
        <v>4.6471680000000001E-2</v>
      </c>
      <c r="R5364">
        <v>-0.25435439999999998</v>
      </c>
      <c r="S5364">
        <v>2.9851990000000002</v>
      </c>
      <c r="T5364">
        <v>-0.13925090000000001</v>
      </c>
      <c r="U5364">
        <v>-0.48526000000000002</v>
      </c>
      <c r="V5364">
        <v>-2.202103E-2</v>
      </c>
      <c r="W5364">
        <v>4.6699999999999998E-2</v>
      </c>
      <c r="X5364">
        <v>0.99866619999999995</v>
      </c>
      <c r="Y5364">
        <v>-0.1173983</v>
      </c>
      <c r="Z5364">
        <v>1.5288349999999999E-2</v>
      </c>
      <c r="AA5364">
        <v>0.99296719999999905</v>
      </c>
      <c r="AB5364">
        <v>31</v>
      </c>
      <c r="AC5364">
        <v>23.613199999999999</v>
      </c>
      <c r="AD5364">
        <v>-1.110618557784</v>
      </c>
      <c r="AE5364">
        <v>-3.8156400000000001</v>
      </c>
      <c r="AF5364">
        <v>-2.8340681607136702</v>
      </c>
      <c r="AG5364">
        <v>-1.110618557784</v>
      </c>
      <c r="AH5364">
        <v>23.699185390280899</v>
      </c>
      <c r="AI5364">
        <v>92.664143738663796</v>
      </c>
      <c r="AJ5364">
        <v>96.819334617902598</v>
      </c>
      <c r="AK5364">
        <v>23.893865406906599</v>
      </c>
      <c r="AL5364">
        <v>87.323313561444394</v>
      </c>
      <c r="AM5364">
        <v>91.263192494616703</v>
      </c>
      <c r="AN5364">
        <v>0.99999999739235002</v>
      </c>
    </row>
    <row r="5365" spans="1:40" x14ac:dyDescent="0.25">
      <c r="A5365" t="str">
        <f>"20190312154711822"</f>
        <v>20190312154711822</v>
      </c>
      <c r="B5365" t="str">
        <f>"1552376831813525"</f>
        <v>1552376831813525</v>
      </c>
      <c r="C5365" t="s">
        <v>40</v>
      </c>
      <c r="D5365">
        <v>5.09964</v>
      </c>
      <c r="E5365">
        <v>0.4690995</v>
      </c>
      <c r="F5365" t="s">
        <v>88</v>
      </c>
      <c r="G5365">
        <v>-254.58920000000001</v>
      </c>
      <c r="H5365" s="1">
        <v>-1.6758520000000001E-6</v>
      </c>
      <c r="I5365">
        <v>-62.951169999999998</v>
      </c>
      <c r="J5365">
        <v>-277.86360000000002</v>
      </c>
      <c r="K5365">
        <v>1.1106279999999999</v>
      </c>
      <c r="L5365">
        <v>-59.013979999999997</v>
      </c>
      <c r="M5365">
        <v>0.96170060000000002</v>
      </c>
      <c r="N5365">
        <v>0</v>
      </c>
      <c r="O5365">
        <v>-0.27410190000000001</v>
      </c>
      <c r="P5365">
        <v>0.96649779999999996</v>
      </c>
      <c r="Q5365">
        <v>4.5464610000000003E-2</v>
      </c>
      <c r="R5365">
        <v>-0.25261689999999998</v>
      </c>
      <c r="S5365">
        <v>2.9791560000000001</v>
      </c>
      <c r="T5365">
        <v>-0.1412631</v>
      </c>
      <c r="U5365">
        <v>-0.50601200000000002</v>
      </c>
      <c r="V5365">
        <v>-2.2259170000000002E-2</v>
      </c>
      <c r="W5365">
        <v>4.573878E-2</v>
      </c>
      <c r="X5365">
        <v>0.99870539999999997</v>
      </c>
      <c r="Y5365">
        <v>-0.1087849</v>
      </c>
      <c r="Z5365">
        <v>1.525746E-2</v>
      </c>
      <c r="AA5365">
        <v>0.99394819999999995</v>
      </c>
      <c r="AB5365">
        <v>31</v>
      </c>
      <c r="AC5365">
        <v>23.2744</v>
      </c>
      <c r="AD5365">
        <v>-1.110629675852</v>
      </c>
      <c r="AE5365">
        <v>-3.93718999999999</v>
      </c>
      <c r="AF5365">
        <v>-2.5874314912506899</v>
      </c>
      <c r="AG5365">
        <v>-1.110629675852</v>
      </c>
      <c r="AH5365">
        <v>23.4103722744557</v>
      </c>
      <c r="AI5365">
        <v>92.699761821620399</v>
      </c>
      <c r="AJ5365">
        <v>96.307017686580494</v>
      </c>
      <c r="AK5365">
        <v>23.579097311546999</v>
      </c>
      <c r="AL5365">
        <v>87.378446316651093</v>
      </c>
      <c r="AM5365">
        <v>91.276798322154903</v>
      </c>
      <c r="AN5365">
        <v>0.99999999131706796</v>
      </c>
    </row>
    <row r="5366" spans="1:40" x14ac:dyDescent="0.25">
      <c r="A5366" t="str">
        <f>"20190312154711833"</f>
        <v>20190312154711833</v>
      </c>
      <c r="B5366" t="str">
        <f>"1552376831823285"</f>
        <v>1552376831823285</v>
      </c>
      <c r="C5366" t="s">
        <v>40</v>
      </c>
      <c r="D5366">
        <v>5.1092750000000002</v>
      </c>
      <c r="E5366">
        <v>0.47012480000000001</v>
      </c>
      <c r="F5366" t="s">
        <v>88</v>
      </c>
      <c r="G5366">
        <v>-253.84350000000001</v>
      </c>
      <c r="H5366" s="1">
        <v>-1.411986E-6</v>
      </c>
      <c r="I5366">
        <v>-63.203249999999997</v>
      </c>
      <c r="J5366">
        <v>-277.71379999999999</v>
      </c>
      <c r="K5366">
        <v>1.110646</v>
      </c>
      <c r="L5366">
        <v>-59.055210000000002</v>
      </c>
      <c r="M5366">
        <v>0.96213610000000005</v>
      </c>
      <c r="N5366">
        <v>0</v>
      </c>
      <c r="O5366">
        <v>-0.27256900000000001</v>
      </c>
      <c r="P5366">
        <v>0.96708459999999996</v>
      </c>
      <c r="Q5366">
        <v>4.4419199999999902E-2</v>
      </c>
      <c r="R5366">
        <v>-0.25054739999999998</v>
      </c>
      <c r="S5366">
        <v>2.9748230000000002</v>
      </c>
      <c r="T5366">
        <v>-0.13754829999999901</v>
      </c>
      <c r="U5366">
        <v>-0.51882929999999905</v>
      </c>
      <c r="V5366">
        <v>-2.2814049999999999E-2</v>
      </c>
      <c r="W5366">
        <v>4.4737970000000002E-2</v>
      </c>
      <c r="X5366">
        <v>0.99873820000000002</v>
      </c>
      <c r="Y5366">
        <v>-0.1028287</v>
      </c>
      <c r="Z5366">
        <v>1.4666719999999999E-2</v>
      </c>
      <c r="AA5366">
        <v>0.99459089999999994</v>
      </c>
      <c r="AB5366">
        <v>31</v>
      </c>
      <c r="AC5366">
        <v>23.870299999999901</v>
      </c>
      <c r="AD5366">
        <v>-1.1106474119859999</v>
      </c>
      <c r="AE5366">
        <v>-4.1480399999999999</v>
      </c>
      <c r="AF5366">
        <v>-2.5100503955127</v>
      </c>
      <c r="AG5366">
        <v>-1.1106474119859999</v>
      </c>
      <c r="AH5366">
        <v>24.046575316783699</v>
      </c>
      <c r="AI5366">
        <v>92.630190475152204</v>
      </c>
      <c r="AJ5366">
        <v>95.959116995809197</v>
      </c>
      <c r="AK5366">
        <v>24.2027204075805</v>
      </c>
      <c r="AL5366">
        <v>87.435847244221193</v>
      </c>
      <c r="AM5366">
        <v>91.308572651352193</v>
      </c>
      <c r="AN5366">
        <v>0.99999997948818098</v>
      </c>
    </row>
    <row r="5367" spans="1:40" x14ac:dyDescent="0.25">
      <c r="A5367" t="str">
        <f>"20190312154711845"</f>
        <v>20190312154711845</v>
      </c>
      <c r="B5367" t="str">
        <f>"1552376831834021"</f>
        <v>1552376831834021</v>
      </c>
      <c r="C5367" t="s">
        <v>40</v>
      </c>
      <c r="D5367">
        <v>5.1037269999999904</v>
      </c>
      <c r="E5367">
        <v>0.47150239999999999</v>
      </c>
      <c r="F5367" t="s">
        <v>88</v>
      </c>
      <c r="G5367">
        <v>-254.40010000000001</v>
      </c>
      <c r="H5367" s="1">
        <v>-1.635528E-6</v>
      </c>
      <c r="I5367">
        <v>-63.134689999999999</v>
      </c>
      <c r="J5367">
        <v>-277.55220000000003</v>
      </c>
      <c r="K5367">
        <v>1.110668</v>
      </c>
      <c r="L5367">
        <v>-59.099519999999998</v>
      </c>
      <c r="M5367">
        <v>0.96260389999999996</v>
      </c>
      <c r="N5367">
        <v>0</v>
      </c>
      <c r="O5367">
        <v>-0.27091290000000001</v>
      </c>
      <c r="P5367">
        <v>0.96759300000000004</v>
      </c>
      <c r="Q5367">
        <v>4.4881509999999999E-2</v>
      </c>
      <c r="R5367">
        <v>-0.24849560000000001</v>
      </c>
      <c r="S5367">
        <v>2.9737550000000001</v>
      </c>
      <c r="T5367">
        <v>-0.1416676</v>
      </c>
      <c r="U5367">
        <v>-0.52035520000000002</v>
      </c>
      <c r="V5367">
        <v>-2.3214019999999998E-2</v>
      </c>
      <c r="W5367">
        <v>4.5250039999999998E-2</v>
      </c>
      <c r="X5367">
        <v>0.99870590000000004</v>
      </c>
      <c r="Y5367">
        <v>-0.10054200000000001</v>
      </c>
      <c r="Z5367">
        <v>1.498085E-2</v>
      </c>
      <c r="AA5367">
        <v>0.99482000000000004</v>
      </c>
      <c r="AB5367">
        <v>31</v>
      </c>
      <c r="AC5367">
        <v>23.152100000000001</v>
      </c>
      <c r="AD5367">
        <v>-1.1106696355279999</v>
      </c>
      <c r="AE5367">
        <v>-4.0351699999999999</v>
      </c>
      <c r="AF5367">
        <v>-2.38261044634574</v>
      </c>
      <c r="AG5367">
        <v>-1.1106696355279999</v>
      </c>
      <c r="AH5367">
        <v>23.327378034328099</v>
      </c>
      <c r="AI5367">
        <v>92.711836835827199</v>
      </c>
      <c r="AJ5367">
        <v>95.831849670217395</v>
      </c>
      <c r="AK5367">
        <v>23.475028978358502</v>
      </c>
      <c r="AL5367">
        <v>87.406478014428501</v>
      </c>
      <c r="AM5367">
        <v>91.331549067263495</v>
      </c>
      <c r="AN5367">
        <v>0.99999996576968497</v>
      </c>
    </row>
    <row r="5368" spans="1:40" x14ac:dyDescent="0.25">
      <c r="A5368" t="str">
        <f>"20190312154711856"</f>
        <v>20190312154711856</v>
      </c>
      <c r="B5368" t="str">
        <f>"1552376831853541"</f>
        <v>1552376831853541</v>
      </c>
      <c r="C5368" t="s">
        <v>40</v>
      </c>
      <c r="D5368">
        <v>5.0772649999999997</v>
      </c>
      <c r="E5368">
        <v>0.47365750000000001</v>
      </c>
      <c r="F5368" t="s">
        <v>88</v>
      </c>
      <c r="G5368">
        <v>-253.72640000000001</v>
      </c>
      <c r="H5368" s="1">
        <v>-1.384684E-6</v>
      </c>
      <c r="I5368">
        <v>-63.306310000000003</v>
      </c>
      <c r="J5368">
        <v>-277.39249999999998</v>
      </c>
      <c r="K5368">
        <v>1.1107</v>
      </c>
      <c r="L5368">
        <v>-59.142910000000001</v>
      </c>
      <c r="M5368">
        <v>0.96306570000000002</v>
      </c>
      <c r="N5368">
        <v>0</v>
      </c>
      <c r="O5368">
        <v>-0.2692659</v>
      </c>
      <c r="P5368">
        <v>0.96809889999999998</v>
      </c>
      <c r="Q5368">
        <v>4.5494439999999997E-2</v>
      </c>
      <c r="R5368">
        <v>-0.24640390000000001</v>
      </c>
      <c r="S5368">
        <v>2.9721679999999999</v>
      </c>
      <c r="T5368">
        <v>-0.13855149999999999</v>
      </c>
      <c r="U5368">
        <v>-0.52478029999999998</v>
      </c>
      <c r="V5368">
        <v>-2.3662849999999999E-2</v>
      </c>
      <c r="W5368">
        <v>4.5911680000000003E-2</v>
      </c>
      <c r="X5368">
        <v>0.99866520000000003</v>
      </c>
      <c r="Y5368">
        <v>-9.7334729999999994E-2</v>
      </c>
      <c r="Z5368">
        <v>1.450968E-2</v>
      </c>
      <c r="AA5368">
        <v>0.99514590000000003</v>
      </c>
      <c r="AB5368">
        <v>31</v>
      </c>
      <c r="AC5368">
        <v>23.666099999999901</v>
      </c>
      <c r="AD5368">
        <v>-1.1107013846839999</v>
      </c>
      <c r="AE5368">
        <v>-4.1633999999999904</v>
      </c>
      <c r="AF5368">
        <v>-2.3578089000904199</v>
      </c>
      <c r="AG5368">
        <v>-1.1107013846839999</v>
      </c>
      <c r="AH5368">
        <v>23.862093276054999</v>
      </c>
      <c r="AI5368">
        <v>92.652108412826706</v>
      </c>
      <c r="AJ5368">
        <v>95.643067518086895</v>
      </c>
      <c r="AK5368">
        <v>24.004008329661001</v>
      </c>
      <c r="AL5368">
        <v>87.368529473992496</v>
      </c>
      <c r="AM5368">
        <v>91.357339573878704</v>
      </c>
      <c r="AN5368">
        <v>0.99999999726079203</v>
      </c>
    </row>
    <row r="5369" spans="1:40" x14ac:dyDescent="0.25">
      <c r="A5369" t="str">
        <f>"20190312154711869"</f>
        <v>20190312154711869</v>
      </c>
      <c r="B5369" t="str">
        <f>"1552376831863302"</f>
        <v>1552376831863302</v>
      </c>
      <c r="C5369" t="s">
        <v>40</v>
      </c>
      <c r="D5369">
        <v>5.1159420000000004</v>
      </c>
      <c r="E5369">
        <v>0.47430640000000002</v>
      </c>
      <c r="F5369" t="s">
        <v>88</v>
      </c>
      <c r="G5369">
        <v>-253.39490000000001</v>
      </c>
      <c r="H5369" s="1">
        <v>-1.278282E-6</v>
      </c>
      <c r="I5369">
        <v>-63.467529999999996</v>
      </c>
      <c r="J5369">
        <v>-277.24279999999999</v>
      </c>
      <c r="K5369">
        <v>1.1107309999999999</v>
      </c>
      <c r="L5369">
        <v>-59.183410000000002</v>
      </c>
      <c r="M5369">
        <v>0.96349739999999995</v>
      </c>
      <c r="N5369">
        <v>0</v>
      </c>
      <c r="O5369">
        <v>-0.26771729999999999</v>
      </c>
      <c r="P5369">
        <v>0.9685127</v>
      </c>
      <c r="Q5369">
        <v>4.6288700000000002E-2</v>
      </c>
      <c r="R5369">
        <v>-0.24462400000000001</v>
      </c>
      <c r="S5369">
        <v>2.9691160000000001</v>
      </c>
      <c r="T5369">
        <v>-0.13742209999999999</v>
      </c>
      <c r="U5369">
        <v>-0.53506469999999995</v>
      </c>
      <c r="V5369">
        <v>-2.3890970000000001E-2</v>
      </c>
      <c r="W5369">
        <v>4.6753349999999999E-2</v>
      </c>
      <c r="X5369">
        <v>0.99862070000000003</v>
      </c>
      <c r="Y5369">
        <v>-9.2230179999999995E-2</v>
      </c>
      <c r="Z5369">
        <v>1.421498E-2</v>
      </c>
      <c r="AA5369">
        <v>0.99563619999999997</v>
      </c>
      <c r="AB5369">
        <v>31</v>
      </c>
      <c r="AC5369">
        <v>23.8478999999999</v>
      </c>
      <c r="AD5369">
        <v>-1.1107322782819999</v>
      </c>
      <c r="AE5369">
        <v>-4.2841199999999997</v>
      </c>
      <c r="AF5369">
        <v>-2.2520245757756499</v>
      </c>
      <c r="AG5369">
        <v>-1.1107322782819999</v>
      </c>
      <c r="AH5369">
        <v>24.0737348101243</v>
      </c>
      <c r="AI5369">
        <v>92.630215520413998</v>
      </c>
      <c r="AJ5369">
        <v>95.344292535234203</v>
      </c>
      <c r="AK5369">
        <v>24.204339457876301</v>
      </c>
      <c r="AL5369">
        <v>87.320253437989905</v>
      </c>
      <c r="AM5369">
        <v>91.370480986590493</v>
      </c>
      <c r="AN5369">
        <v>0.99999997832612597</v>
      </c>
    </row>
    <row r="5370" spans="1:40" x14ac:dyDescent="0.25">
      <c r="A5370" t="str">
        <f>"20190312154711879"</f>
        <v>20190312154711879</v>
      </c>
      <c r="B5370" t="str">
        <f>"1552376831873061"</f>
        <v>1552376831873061</v>
      </c>
      <c r="C5370" t="s">
        <v>40</v>
      </c>
      <c r="D5370">
        <v>5.0788690000000001</v>
      </c>
      <c r="E5370">
        <v>0.474937</v>
      </c>
      <c r="F5370" t="s">
        <v>88</v>
      </c>
      <c r="G5370">
        <v>-253.08690000000001</v>
      </c>
      <c r="H5370" s="1">
        <v>-1.1606510000000001E-6</v>
      </c>
      <c r="I5370">
        <v>-63.532719999999998</v>
      </c>
      <c r="J5370">
        <v>-277.08359999999999</v>
      </c>
      <c r="K5370">
        <v>1.11076</v>
      </c>
      <c r="L5370">
        <v>-59.226140000000001</v>
      </c>
      <c r="M5370">
        <v>0.96395500000000001</v>
      </c>
      <c r="N5370">
        <v>0</v>
      </c>
      <c r="O5370">
        <v>-0.26606439999999998</v>
      </c>
      <c r="P5370">
        <v>0.96900660000000005</v>
      </c>
      <c r="Q5370">
        <v>4.6919500000000003E-2</v>
      </c>
      <c r="R5370">
        <v>-0.24253859999999999</v>
      </c>
      <c r="S5370">
        <v>2.9690249999999998</v>
      </c>
      <c r="T5370">
        <v>-0.136520899999999</v>
      </c>
      <c r="U5370">
        <v>-0.53457639999999995</v>
      </c>
      <c r="V5370">
        <v>-2.4326850000000001E-2</v>
      </c>
      <c r="W5370">
        <v>4.7433530000000002E-2</v>
      </c>
      <c r="X5370">
        <v>0.99857810000000002</v>
      </c>
      <c r="Y5370">
        <v>-9.0683410000000006E-2</v>
      </c>
      <c r="Z5370">
        <v>1.401495E-2</v>
      </c>
      <c r="AA5370">
        <v>0.99578109999999997</v>
      </c>
      <c r="AB5370">
        <v>31</v>
      </c>
      <c r="AC5370">
        <v>23.996699999999901</v>
      </c>
      <c r="AD5370">
        <v>-1.1107611606509999</v>
      </c>
      <c r="AE5370">
        <v>-4.3065799999999896</v>
      </c>
      <c r="AF5370">
        <v>-2.2286926467490402</v>
      </c>
      <c r="AG5370">
        <v>-1.1107611606509999</v>
      </c>
      <c r="AH5370">
        <v>24.2272832237554</v>
      </c>
      <c r="AI5370">
        <v>92.614010260706394</v>
      </c>
      <c r="AJ5370">
        <v>95.255905097740197</v>
      </c>
      <c r="AK5370">
        <v>24.354919701648502</v>
      </c>
      <c r="AL5370">
        <v>87.281238706523595</v>
      </c>
      <c r="AM5370">
        <v>91.395534505577203</v>
      </c>
      <c r="AN5370">
        <v>0.99999997859939604</v>
      </c>
    </row>
    <row r="5371" spans="1:40" x14ac:dyDescent="0.25">
      <c r="A5371" t="str">
        <f>"20190312154711896"</f>
        <v>20190312154711896</v>
      </c>
      <c r="B5371" t="str">
        <f>"1552376831883797"</f>
        <v>1552376831883797</v>
      </c>
      <c r="C5371" t="s">
        <v>40</v>
      </c>
      <c r="D5371">
        <v>5.0865390000000001</v>
      </c>
      <c r="E5371">
        <v>0.47556359999999998</v>
      </c>
      <c r="F5371" t="s">
        <v>88</v>
      </c>
      <c r="G5371">
        <v>-252.62280000000001</v>
      </c>
      <c r="H5371" s="1">
        <v>-9.8055180000000005E-7</v>
      </c>
      <c r="I5371">
        <v>-63.6179699999999</v>
      </c>
      <c r="J5371">
        <v>-276.87119999999999</v>
      </c>
      <c r="K5371">
        <v>1.1108020000000001</v>
      </c>
      <c r="L5371">
        <v>-59.282649999999997</v>
      </c>
      <c r="M5371">
        <v>0.96456549999999996</v>
      </c>
      <c r="N5371">
        <v>0</v>
      </c>
      <c r="O5371">
        <v>-0.26384269999999999</v>
      </c>
      <c r="P5371">
        <v>0.96962539999999997</v>
      </c>
      <c r="Q5371">
        <v>4.5245189999999998E-2</v>
      </c>
      <c r="R5371">
        <v>-0.24037430000000001</v>
      </c>
      <c r="S5371">
        <v>2.969055</v>
      </c>
      <c r="T5371">
        <v>-0.13482439999999901</v>
      </c>
      <c r="U5371">
        <v>-0.53308109999999997</v>
      </c>
      <c r="V5371">
        <v>-2.427058E-2</v>
      </c>
      <c r="W5371">
        <v>4.582928E-2</v>
      </c>
      <c r="X5371">
        <v>0.99865440000000005</v>
      </c>
      <c r="Y5371">
        <v>-8.8888960000000003E-2</v>
      </c>
      <c r="Z5371">
        <v>1.3705159999999999E-2</v>
      </c>
      <c r="AA5371">
        <v>0.99594720000000003</v>
      </c>
      <c r="AB5371">
        <v>31</v>
      </c>
      <c r="AC5371">
        <v>24.248399999999901</v>
      </c>
      <c r="AD5371">
        <v>-1.1108029805518</v>
      </c>
      <c r="AE5371">
        <v>-4.3353199999999896</v>
      </c>
      <c r="AF5371">
        <v>-2.2115664880137702</v>
      </c>
      <c r="AG5371">
        <v>-1.1108029805518</v>
      </c>
      <c r="AH5371">
        <v>24.483231325410799</v>
      </c>
      <c r="AI5371">
        <v>92.587205929324796</v>
      </c>
      <c r="AJ5371">
        <v>95.161510875584696</v>
      </c>
      <c r="AK5371">
        <v>24.607997190468101</v>
      </c>
      <c r="AL5371">
        <v>87.3732556211028</v>
      </c>
      <c r="AM5371">
        <v>91.392201457497194</v>
      </c>
      <c r="AN5371">
        <v>0.99999999729910705</v>
      </c>
    </row>
    <row r="5372" spans="1:40" x14ac:dyDescent="0.25">
      <c r="A5372" t="str">
        <f>"20190312154711909"</f>
        <v>20190312154711909</v>
      </c>
      <c r="B5372" t="str">
        <f>"1552376831903317"</f>
        <v>1552376831903317</v>
      </c>
      <c r="C5372" t="s">
        <v>40</v>
      </c>
      <c r="D5372">
        <v>5.1019459999999999</v>
      </c>
      <c r="E5372">
        <v>0.47673090000000001</v>
      </c>
      <c r="F5372" t="s">
        <v>88</v>
      </c>
      <c r="G5372">
        <v>-253.3545</v>
      </c>
      <c r="H5372" s="1">
        <v>-1.2651819999999999E-6</v>
      </c>
      <c r="I5372">
        <v>-63.486490000000003</v>
      </c>
      <c r="J5372">
        <v>-276.69110000000001</v>
      </c>
      <c r="K5372">
        <v>1.1108389999999999</v>
      </c>
      <c r="L5372">
        <v>-59.330199999999998</v>
      </c>
      <c r="M5372">
        <v>0.96508110000000003</v>
      </c>
      <c r="N5372">
        <v>0</v>
      </c>
      <c r="O5372">
        <v>-0.26195010000000002</v>
      </c>
      <c r="P5372">
        <v>0.97010980000000002</v>
      </c>
      <c r="Q5372">
        <v>4.4324370000000002E-2</v>
      </c>
      <c r="R5372">
        <v>-0.23858470000000001</v>
      </c>
      <c r="S5372">
        <v>2.9689640000000002</v>
      </c>
      <c r="T5372">
        <v>-0.14023820000000001</v>
      </c>
      <c r="U5372">
        <v>-0.53073119999999996</v>
      </c>
      <c r="V5372">
        <v>-2.4163899999999999E-2</v>
      </c>
      <c r="W5372">
        <v>4.4967569999999998E-2</v>
      </c>
      <c r="X5372">
        <v>0.99869609999999998</v>
      </c>
      <c r="Y5372">
        <v>-8.7668490000000002E-2</v>
      </c>
      <c r="Z5372">
        <v>1.414284E-2</v>
      </c>
      <c r="AA5372">
        <v>0.99604930000000003</v>
      </c>
      <c r="AB5372">
        <v>31</v>
      </c>
      <c r="AC5372">
        <v>23.336600000000001</v>
      </c>
      <c r="AD5372">
        <v>-1.110840265182</v>
      </c>
      <c r="AE5372">
        <v>-4.1562900000000003</v>
      </c>
      <c r="AF5372">
        <v>-2.0972624788387599</v>
      </c>
      <c r="AG5372">
        <v>-1.110840265182</v>
      </c>
      <c r="AH5372">
        <v>23.558720472237201</v>
      </c>
      <c r="AI5372">
        <v>92.688991349478698</v>
      </c>
      <c r="AJ5372">
        <v>95.087218277310001</v>
      </c>
      <c r="AK5372">
        <v>23.677959926668098</v>
      </c>
      <c r="AL5372">
        <v>87.422678774145496</v>
      </c>
      <c r="AM5372">
        <v>91.386026652434296</v>
      </c>
      <c r="AN5372">
        <v>0.99999993828505995</v>
      </c>
    </row>
    <row r="5373" spans="1:40" x14ac:dyDescent="0.25">
      <c r="A5373" t="str">
        <f>"20190312154711921"</f>
        <v>20190312154711921</v>
      </c>
      <c r="B5373" t="str">
        <f>"1552376831913077"</f>
        <v>1552376831913077</v>
      </c>
      <c r="C5373" t="s">
        <v>40</v>
      </c>
      <c r="D5373">
        <v>5.1276219999999997</v>
      </c>
      <c r="E5373">
        <v>0.47723009999999899</v>
      </c>
      <c r="F5373" t="s">
        <v>88</v>
      </c>
      <c r="G5373">
        <v>-254.17429999999999</v>
      </c>
      <c r="H5373" s="1">
        <v>-1.593734E-6</v>
      </c>
      <c r="I5373">
        <v>-63.382289999999998</v>
      </c>
      <c r="J5373">
        <v>-276.52210000000002</v>
      </c>
      <c r="K5373">
        <v>1.1108819999999999</v>
      </c>
      <c r="L5373">
        <v>-59.374540000000003</v>
      </c>
      <c r="M5373">
        <v>0.96556399999999998</v>
      </c>
      <c r="N5373">
        <v>0</v>
      </c>
      <c r="O5373">
        <v>-0.26016499999999998</v>
      </c>
      <c r="P5373">
        <v>0.9704663</v>
      </c>
      <c r="Q5373">
        <v>4.421141E-2</v>
      </c>
      <c r="R5373">
        <v>-0.2371511</v>
      </c>
      <c r="S5373">
        <v>2.9678339999999999</v>
      </c>
      <c r="T5373">
        <v>-0.14641489999999999</v>
      </c>
      <c r="U5373">
        <v>-0.53408809999999995</v>
      </c>
      <c r="V5373">
        <v>-2.37968E-2</v>
      </c>
      <c r="W5373">
        <v>4.4912790000000001E-2</v>
      </c>
      <c r="X5373">
        <v>0.99870740000000002</v>
      </c>
      <c r="Y5373">
        <v>-8.4641049999999995E-2</v>
      </c>
      <c r="Z5373">
        <v>1.4610629999999999E-2</v>
      </c>
      <c r="AA5373">
        <v>0.99630439999999998</v>
      </c>
      <c r="AB5373">
        <v>32</v>
      </c>
      <c r="AC5373">
        <v>22.347799999999999</v>
      </c>
      <c r="AD5373">
        <v>-1.110883593734</v>
      </c>
      <c r="AE5373">
        <v>-4.0077499999999997</v>
      </c>
      <c r="AF5373">
        <v>-1.93973291466248</v>
      </c>
      <c r="AG5373">
        <v>-1.110883593734</v>
      </c>
      <c r="AH5373">
        <v>22.566886607391201</v>
      </c>
      <c r="AI5373">
        <v>92.807845705859705</v>
      </c>
      <c r="AJ5373">
        <v>94.912773859578905</v>
      </c>
      <c r="AK5373">
        <v>22.6773234154718</v>
      </c>
      <c r="AL5373">
        <v>87.425820663746705</v>
      </c>
      <c r="AM5373">
        <v>91.364962608317001</v>
      </c>
      <c r="AN5373">
        <v>0.99999995860529101</v>
      </c>
    </row>
    <row r="5374" spans="1:40" x14ac:dyDescent="0.25">
      <c r="A5374" t="str">
        <f>"20190312154711933"</f>
        <v>20190312154711933</v>
      </c>
      <c r="B5374" t="str">
        <f>"1552376831923814"</f>
        <v>1552376831923814</v>
      </c>
      <c r="C5374" t="s">
        <v>40</v>
      </c>
      <c r="D5374">
        <v>5.0919679999999996</v>
      </c>
      <c r="E5374">
        <v>0.47774420000000001</v>
      </c>
      <c r="F5374" t="s">
        <v>88</v>
      </c>
      <c r="G5374">
        <v>-254.11369999999999</v>
      </c>
      <c r="H5374" s="1">
        <v>-1.5721789999999901E-6</v>
      </c>
      <c r="I5374">
        <v>-63.402299999999997</v>
      </c>
      <c r="J5374">
        <v>-276.34750000000003</v>
      </c>
      <c r="K5374">
        <v>1.110927</v>
      </c>
      <c r="L5374">
        <v>-59.419829999999997</v>
      </c>
      <c r="M5374">
        <v>0.96606110000000001</v>
      </c>
      <c r="N5374">
        <v>0</v>
      </c>
      <c r="O5374">
        <v>-0.25831219999999999</v>
      </c>
      <c r="P5374">
        <v>0.9707884</v>
      </c>
      <c r="Q5374">
        <v>4.6056800000000002E-2</v>
      </c>
      <c r="R5374">
        <v>-0.2354764</v>
      </c>
      <c r="S5374">
        <v>2.967651</v>
      </c>
      <c r="T5374">
        <v>-0.1471201</v>
      </c>
      <c r="U5374">
        <v>-0.53341669999999997</v>
      </c>
      <c r="V5374">
        <v>-2.3598049999999999E-2</v>
      </c>
      <c r="W5374">
        <v>4.6816709999999997E-2</v>
      </c>
      <c r="X5374">
        <v>0.99862470000000003</v>
      </c>
      <c r="Y5374">
        <v>-8.2937330000000004E-2</v>
      </c>
      <c r="Z5374">
        <v>1.455272E-2</v>
      </c>
      <c r="AA5374">
        <v>0.99644849999999996</v>
      </c>
      <c r="AB5374">
        <v>32</v>
      </c>
      <c r="AC5374">
        <v>22.233799999999999</v>
      </c>
      <c r="AD5374">
        <v>-1.1109285721789901</v>
      </c>
      <c r="AE5374">
        <v>-3.98246999999999</v>
      </c>
      <c r="AF5374">
        <v>-1.89137797902008</v>
      </c>
      <c r="AG5374">
        <v>-1.1109285721789901</v>
      </c>
      <c r="AH5374">
        <v>22.453623803197701</v>
      </c>
      <c r="AI5374">
        <v>92.822509997684904</v>
      </c>
      <c r="AJ5374">
        <v>94.814935598705802</v>
      </c>
      <c r="AK5374">
        <v>22.560511848083902</v>
      </c>
      <c r="AL5374">
        <v>87.316619207287005</v>
      </c>
      <c r="AM5374">
        <v>91.3536788021473</v>
      </c>
      <c r="AN5374">
        <v>0.99999998187455796</v>
      </c>
    </row>
    <row r="5375" spans="1:40" x14ac:dyDescent="0.25">
      <c r="A5375" t="str">
        <f>"20190312154711946"</f>
        <v>20190312154711946</v>
      </c>
      <c r="B5375" t="str">
        <f>"1552376831943333"</f>
        <v>1552376831943333</v>
      </c>
      <c r="C5375" t="s">
        <v>40</v>
      </c>
      <c r="D5375">
        <v>5.1686209999999999</v>
      </c>
      <c r="E5375">
        <v>0.47866619999999999</v>
      </c>
      <c r="F5375" t="s">
        <v>88</v>
      </c>
      <c r="G5375">
        <v>-253.17619999999999</v>
      </c>
      <c r="H5375" s="1">
        <v>-1.208218E-6</v>
      </c>
      <c r="I5375">
        <v>-63.574300000000001</v>
      </c>
      <c r="J5375">
        <v>-276.18400000000003</v>
      </c>
      <c r="K5375">
        <v>1.1109690000000001</v>
      </c>
      <c r="L5375">
        <v>-59.4621</v>
      </c>
      <c r="M5375">
        <v>0.96652470000000001</v>
      </c>
      <c r="N5375">
        <v>0</v>
      </c>
      <c r="O5375">
        <v>-0.25657210000000003</v>
      </c>
      <c r="P5375">
        <v>0.97112180000000003</v>
      </c>
      <c r="Q5375">
        <v>4.8722250000000002E-2</v>
      </c>
      <c r="R5375">
        <v>-0.2335566</v>
      </c>
      <c r="S5375">
        <v>2.9679570000000002</v>
      </c>
      <c r="T5375">
        <v>-0.142295799999999</v>
      </c>
      <c r="U5375">
        <v>-0.53213500000000002</v>
      </c>
      <c r="V5375">
        <v>-2.376255E-2</v>
      </c>
      <c r="W5375">
        <v>4.9534849999999998E-2</v>
      </c>
      <c r="X5375">
        <v>0.99848970000000004</v>
      </c>
      <c r="Y5375">
        <v>-8.1606230000000002E-2</v>
      </c>
      <c r="Z5375">
        <v>1.396408E-2</v>
      </c>
      <c r="AA5375">
        <v>0.99656679999999997</v>
      </c>
      <c r="AB5375">
        <v>32</v>
      </c>
      <c r="AC5375">
        <v>23.0078</v>
      </c>
      <c r="AD5375">
        <v>-1.110970208218</v>
      </c>
      <c r="AE5375">
        <v>-4.1121999999999996</v>
      </c>
      <c r="AF5375">
        <v>-1.9242696796062499</v>
      </c>
      <c r="AG5375">
        <v>-1.110970208218</v>
      </c>
      <c r="AH5375">
        <v>23.240182169354799</v>
      </c>
      <c r="AI5375">
        <v>92.727555868558298</v>
      </c>
      <c r="AJ5375">
        <v>94.733250732797202</v>
      </c>
      <c r="AK5375">
        <v>23.346158910368899</v>
      </c>
      <c r="AL5375">
        <v>87.160700274107995</v>
      </c>
      <c r="AM5375">
        <v>91.363295862890197</v>
      </c>
      <c r="AN5375">
        <v>1.00000002057655</v>
      </c>
    </row>
    <row r="5376" spans="1:40" x14ac:dyDescent="0.25">
      <c r="A5376" t="str">
        <f>"20190312154711957"</f>
        <v>20190312154711957</v>
      </c>
      <c r="B5376" t="str">
        <f>"1552376831953093"</f>
        <v>1552376831953093</v>
      </c>
      <c r="C5376" t="s">
        <v>40</v>
      </c>
      <c r="D5376">
        <v>5.2461190000000002</v>
      </c>
      <c r="E5376">
        <v>0.47890329999999898</v>
      </c>
      <c r="F5376" t="s">
        <v>88</v>
      </c>
      <c r="G5376">
        <v>-251.84899999999999</v>
      </c>
      <c r="H5376" s="1">
        <v>-6.9732069999999905E-7</v>
      </c>
      <c r="I5376">
        <v>-63.8371</v>
      </c>
      <c r="J5376">
        <v>-276.01769999999999</v>
      </c>
      <c r="K5376">
        <v>1.111008</v>
      </c>
      <c r="L5376">
        <v>-59.50461</v>
      </c>
      <c r="M5376">
        <v>0.96699400000000002</v>
      </c>
      <c r="N5376">
        <v>0</v>
      </c>
      <c r="O5376">
        <v>-0.25479770000000002</v>
      </c>
      <c r="P5376">
        <v>0.97142830000000002</v>
      </c>
      <c r="Q5376">
        <v>5.1202820000000003E-2</v>
      </c>
      <c r="R5376">
        <v>-0.23174529999999999</v>
      </c>
      <c r="S5376">
        <v>2.9676819999999999</v>
      </c>
      <c r="T5376">
        <v>-0.13548460000000001</v>
      </c>
      <c r="U5376">
        <v>-0.53353879999999998</v>
      </c>
      <c r="V5376">
        <v>-2.377947E-2</v>
      </c>
      <c r="W5376">
        <v>5.2070249999999998E-2</v>
      </c>
      <c r="X5376">
        <v>0.99836029999999998</v>
      </c>
      <c r="Y5376">
        <v>-7.9342250000000003E-2</v>
      </c>
      <c r="Z5376">
        <v>1.3168269999999999E-2</v>
      </c>
      <c r="AA5376">
        <v>0.99676039999999999</v>
      </c>
      <c r="AB5376">
        <v>32</v>
      </c>
      <c r="AC5376">
        <v>24.168699999999902</v>
      </c>
      <c r="AD5376">
        <v>-1.1110086973207001</v>
      </c>
      <c r="AE5376">
        <v>-4.33249</v>
      </c>
      <c r="AF5376">
        <v>-1.96461580487999</v>
      </c>
      <c r="AG5376">
        <v>-1.1110086973207001</v>
      </c>
      <c r="AH5376">
        <v>24.424899060511098</v>
      </c>
      <c r="AI5376">
        <v>92.596029413738194</v>
      </c>
      <c r="AJ5376">
        <v>94.598683352429006</v>
      </c>
      <c r="AK5376">
        <v>24.528957370880299</v>
      </c>
      <c r="AL5376">
        <v>87.015244726312602</v>
      </c>
      <c r="AM5376">
        <v>91.364442983023295</v>
      </c>
      <c r="AN5376">
        <v>1.0000000313723101</v>
      </c>
    </row>
    <row r="5377" spans="1:40" x14ac:dyDescent="0.25">
      <c r="A5377" t="str">
        <f>"20190312154711971"</f>
        <v>20190312154711971</v>
      </c>
      <c r="B5377" t="str">
        <f>"1552376831963829"</f>
        <v>1552376831963829</v>
      </c>
      <c r="C5377" t="s">
        <v>40</v>
      </c>
      <c r="D5377">
        <v>5.1483379999999999</v>
      </c>
      <c r="E5377">
        <v>0.4792187</v>
      </c>
      <c r="F5377" t="s">
        <v>88</v>
      </c>
      <c r="G5377">
        <v>-250.7679</v>
      </c>
      <c r="H5377" s="1">
        <v>-2.7263269999999997E-7</v>
      </c>
      <c r="I5377">
        <v>-64.013000000000005</v>
      </c>
      <c r="J5377">
        <v>-275.82229999999998</v>
      </c>
      <c r="K5377">
        <v>1.1110500000000001</v>
      </c>
      <c r="L5377">
        <v>-59.554139999999997</v>
      </c>
      <c r="M5377">
        <v>0.96754050000000003</v>
      </c>
      <c r="N5377">
        <v>0</v>
      </c>
      <c r="O5377">
        <v>-0.25271339999999998</v>
      </c>
      <c r="P5377">
        <v>0.9719468</v>
      </c>
      <c r="Q5377">
        <v>5.2394549999999998E-2</v>
      </c>
      <c r="R5377">
        <v>-0.22929069999999999</v>
      </c>
      <c r="S5377">
        <v>2.968658</v>
      </c>
      <c r="T5377">
        <v>-0.13062319999999999</v>
      </c>
      <c r="U5377">
        <v>-0.53005979999999997</v>
      </c>
      <c r="V5377">
        <v>-2.4146790000000001E-2</v>
      </c>
      <c r="W5377">
        <v>5.3341159999999999E-2</v>
      </c>
      <c r="X5377">
        <v>0.99828430000000001</v>
      </c>
      <c r="Y5377">
        <v>-7.8409140000000002E-2</v>
      </c>
      <c r="Z5377">
        <v>1.2585860000000001E-2</v>
      </c>
      <c r="AA5377">
        <v>0.9968418</v>
      </c>
      <c r="AB5377">
        <v>32</v>
      </c>
      <c r="AC5377">
        <v>25.054399999999902</v>
      </c>
      <c r="AD5377">
        <v>-1.1110502726326901</v>
      </c>
      <c r="AE5377">
        <v>-4.4588599999999996</v>
      </c>
      <c r="AF5377">
        <v>-2.0136180419615299</v>
      </c>
      <c r="AG5377">
        <v>-1.1110502726326901</v>
      </c>
      <c r="AH5377">
        <v>25.319713860482601</v>
      </c>
      <c r="AI5377">
        <v>92.504676990579199</v>
      </c>
      <c r="AJ5377">
        <v>94.547030270614101</v>
      </c>
      <c r="AK5377">
        <v>25.423945411834602</v>
      </c>
      <c r="AL5377">
        <v>86.942325329688401</v>
      </c>
      <c r="AM5377">
        <v>91.385616734979905</v>
      </c>
      <c r="AN5377">
        <v>0.999999945221968</v>
      </c>
    </row>
    <row r="5378" spans="1:40" x14ac:dyDescent="0.25">
      <c r="A5378" t="str">
        <f>"20190312154711988"</f>
        <v>20190312154711988</v>
      </c>
      <c r="B5378" t="str">
        <f>"1552376831983349"</f>
        <v>1552376831983349</v>
      </c>
      <c r="C5378" t="s">
        <v>40</v>
      </c>
      <c r="D5378">
        <v>5.1240500000000004</v>
      </c>
      <c r="E5378">
        <v>0.47991420000000001</v>
      </c>
      <c r="F5378" t="s">
        <v>88</v>
      </c>
      <c r="G5378">
        <v>-250.0899</v>
      </c>
      <c r="H5378" s="1">
        <v>-1.89317E-9</v>
      </c>
      <c r="I5378">
        <v>-64.103579999999994</v>
      </c>
      <c r="J5378">
        <v>-275.61930000000001</v>
      </c>
      <c r="K5378">
        <v>1.1110899999999999</v>
      </c>
      <c r="L5378">
        <v>-59.605289999999997</v>
      </c>
      <c r="M5378">
        <v>0.96810339999999995</v>
      </c>
      <c r="N5378">
        <v>0</v>
      </c>
      <c r="O5378">
        <v>-0.25054850000000001</v>
      </c>
      <c r="P5378">
        <v>0.9727365</v>
      </c>
      <c r="Q5378">
        <v>5.1462140000000003E-2</v>
      </c>
      <c r="R5378">
        <v>-0.22613240000000001</v>
      </c>
      <c r="S5378">
        <v>2.9696349999999998</v>
      </c>
      <c r="T5378">
        <v>-0.12821979999999999</v>
      </c>
      <c r="U5378">
        <v>-0.52502439999999995</v>
      </c>
      <c r="V5378">
        <v>-2.5167999999999999E-2</v>
      </c>
      <c r="W5378">
        <v>5.2514529999999997E-2</v>
      </c>
      <c r="X5378">
        <v>0.99830289999999999</v>
      </c>
      <c r="Y5378">
        <v>-7.7887940000000003E-2</v>
      </c>
      <c r="Z5378">
        <v>1.225235E-2</v>
      </c>
      <c r="AA5378">
        <v>0.99688679999999996</v>
      </c>
      <c r="AB5378">
        <v>32</v>
      </c>
      <c r="AC5378">
        <v>25.529399999999999</v>
      </c>
      <c r="AD5378">
        <v>-1.11109000189317</v>
      </c>
      <c r="AE5378">
        <v>-4.4982899999999999</v>
      </c>
      <c r="AF5378">
        <v>-2.03780061805208</v>
      </c>
      <c r="AG5378">
        <v>-1.11109000189317</v>
      </c>
      <c r="AH5378">
        <v>25.7947667410455</v>
      </c>
      <c r="AI5378">
        <v>92.458796168768501</v>
      </c>
      <c r="AJ5378">
        <v>94.517016338923</v>
      </c>
      <c r="AK5378">
        <v>25.898979585616701</v>
      </c>
      <c r="AL5378">
        <v>86.989754213733306</v>
      </c>
      <c r="AM5378">
        <v>91.444165680645099</v>
      </c>
      <c r="AN5378">
        <v>0.99999994211676302</v>
      </c>
    </row>
    <row r="5379" spans="1:40" x14ac:dyDescent="0.25">
      <c r="A5379" t="str">
        <f>"20190312154712008"</f>
        <v>20190312154712008</v>
      </c>
      <c r="B5379" t="str">
        <f>"1552376832003846"</f>
        <v>1552376832003846</v>
      </c>
      <c r="C5379" t="s">
        <v>40</v>
      </c>
      <c r="D5379">
        <v>5.1473440000000004</v>
      </c>
      <c r="E5379">
        <v>0.4804351</v>
      </c>
      <c r="F5379" t="s">
        <v>88</v>
      </c>
      <c r="G5379">
        <v>-250.6276</v>
      </c>
      <c r="H5379" s="1">
        <v>-2.0759209999999999E-7</v>
      </c>
      <c r="I5379">
        <v>-63.991250000000001</v>
      </c>
      <c r="J5379">
        <v>-275.31909999999999</v>
      </c>
      <c r="K5379">
        <v>1.1112029999999999</v>
      </c>
      <c r="L5379">
        <v>-59.679810000000003</v>
      </c>
      <c r="M5379">
        <v>0.96892120000000004</v>
      </c>
      <c r="N5379">
        <v>0</v>
      </c>
      <c r="O5379">
        <v>-0.247365</v>
      </c>
      <c r="P5379">
        <v>0.97372669999999995</v>
      </c>
      <c r="Q5379">
        <v>5.1963139999999998E-2</v>
      </c>
      <c r="R5379">
        <v>-0.22171270000000001</v>
      </c>
      <c r="S5379">
        <v>2.96991</v>
      </c>
      <c r="T5379">
        <v>-0.1320374</v>
      </c>
      <c r="U5379">
        <v>-0.5212097</v>
      </c>
      <c r="V5379">
        <v>-2.642597E-2</v>
      </c>
      <c r="W5379">
        <v>5.3295450000000001E-2</v>
      </c>
      <c r="X5379">
        <v>0.99822909999999998</v>
      </c>
      <c r="Y5379">
        <v>-7.5855899999999907E-2</v>
      </c>
      <c r="Z5379">
        <v>1.2437220000000001E-2</v>
      </c>
      <c r="AA5379">
        <v>0.99704119999999996</v>
      </c>
      <c r="AB5379">
        <v>32</v>
      </c>
      <c r="AC5379">
        <v>24.691499999999898</v>
      </c>
      <c r="AD5379">
        <v>-1.1112032075920999</v>
      </c>
      <c r="AE5379">
        <v>-4.3114400000000002</v>
      </c>
      <c r="AF5379">
        <v>-1.9265829805282799</v>
      </c>
      <c r="AG5379">
        <v>-1.1112032075920999</v>
      </c>
      <c r="AH5379">
        <v>24.941625476265699</v>
      </c>
      <c r="AI5379">
        <v>92.543397222317097</v>
      </c>
      <c r="AJ5379">
        <v>94.416966155226802</v>
      </c>
      <c r="AK5379">
        <v>25.040590567071899</v>
      </c>
      <c r="AL5379">
        <v>86.944948329632098</v>
      </c>
      <c r="AM5379">
        <v>91.516428443397402</v>
      </c>
      <c r="AN5379">
        <v>1.0000000364839701</v>
      </c>
    </row>
    <row r="5380" spans="1:40" x14ac:dyDescent="0.25">
      <c r="A5380" t="str">
        <f>"20190312154712031"</f>
        <v>20190312154712031</v>
      </c>
      <c r="B5380" t="str">
        <f>"1552376832023365"</f>
        <v>1552376832023365</v>
      </c>
      <c r="C5380" t="s">
        <v>40</v>
      </c>
      <c r="D5380">
        <v>5.2053370000000001</v>
      </c>
      <c r="E5380">
        <v>0.48098970000000002</v>
      </c>
      <c r="F5380" t="s">
        <v>88</v>
      </c>
      <c r="G5380">
        <v>-250.50030000000001</v>
      </c>
      <c r="H5380" s="1">
        <v>-1.449823E-7</v>
      </c>
      <c r="I5380">
        <v>-63.955319999999901</v>
      </c>
      <c r="J5380">
        <v>-275.00209999999998</v>
      </c>
      <c r="K5380">
        <v>1.11138</v>
      </c>
      <c r="L5380">
        <v>-59.757289999999998</v>
      </c>
      <c r="M5380">
        <v>0.96976680000000004</v>
      </c>
      <c r="N5380">
        <v>0</v>
      </c>
      <c r="O5380">
        <v>-0.2440254</v>
      </c>
      <c r="P5380">
        <v>0.97467610000000005</v>
      </c>
      <c r="Q5380">
        <v>5.3536979999999998E-2</v>
      </c>
      <c r="R5380">
        <v>-0.21711800000000001</v>
      </c>
      <c r="S5380">
        <v>2.971527</v>
      </c>
      <c r="T5380">
        <v>-0.1330431</v>
      </c>
      <c r="U5380">
        <v>-0.51190190000000002</v>
      </c>
      <c r="V5380">
        <v>-2.7697039999999999E-2</v>
      </c>
      <c r="W5380">
        <v>5.5376620000000001E-2</v>
      </c>
      <c r="X5380">
        <v>0.99808129999999995</v>
      </c>
      <c r="Y5380">
        <v>-7.5543520000000003E-2</v>
      </c>
      <c r="Z5380">
        <v>1.2379299999999999E-2</v>
      </c>
      <c r="AA5380">
        <v>0.99706570000000005</v>
      </c>
      <c r="AB5380">
        <v>32</v>
      </c>
      <c r="AC5380">
        <v>24.5017999999999</v>
      </c>
      <c r="AD5380">
        <v>-1.1113801449823</v>
      </c>
      <c r="AE5380">
        <v>-4.1980299999999797</v>
      </c>
      <c r="AF5380">
        <v>-1.9041492375592299</v>
      </c>
      <c r="AG5380">
        <v>-1.1113801449823</v>
      </c>
      <c r="AH5380">
        <v>24.736065368450099</v>
      </c>
      <c r="AI5380">
        <v>92.564964941264705</v>
      </c>
      <c r="AJ5380">
        <v>94.401871449252795</v>
      </c>
      <c r="AK5380">
        <v>24.8341273262781</v>
      </c>
      <c r="AL5380">
        <v>86.8255294865872</v>
      </c>
      <c r="AM5380">
        <v>91.5895662340738</v>
      </c>
      <c r="AN5380">
        <v>0.99999998873853702</v>
      </c>
    </row>
    <row r="5381" spans="1:40" x14ac:dyDescent="0.25">
      <c r="A5381" t="str">
        <f>"20190312154712041"</f>
        <v>20190312154712041</v>
      </c>
      <c r="B5381" t="str">
        <f>"1552376832033125"</f>
        <v>1552376832033125</v>
      </c>
      <c r="C5381" t="s">
        <v>40</v>
      </c>
      <c r="D5381">
        <v>5.2953010000000003</v>
      </c>
      <c r="E5381">
        <v>0.48106359999999898</v>
      </c>
      <c r="F5381" t="s">
        <v>87</v>
      </c>
      <c r="G5381">
        <v>-249.62860000000001</v>
      </c>
      <c r="H5381" s="1">
        <v>-3.7993510000000001E-6</v>
      </c>
      <c r="I5381">
        <v>-64.040269999999893</v>
      </c>
      <c r="J5381">
        <v>-274.84230000000002</v>
      </c>
      <c r="K5381">
        <v>1.111486</v>
      </c>
      <c r="L5381">
        <v>-59.795960000000001</v>
      </c>
      <c r="M5381">
        <v>0.97018669999999996</v>
      </c>
      <c r="N5381">
        <v>0</v>
      </c>
      <c r="O5381">
        <v>-0.24234700000000001</v>
      </c>
      <c r="P5381">
        <v>0.97525839999999997</v>
      </c>
      <c r="Q5381">
        <v>5.3336120000000001E-2</v>
      </c>
      <c r="R5381">
        <v>-0.21453839999999999</v>
      </c>
      <c r="S5381">
        <v>2.9732970000000001</v>
      </c>
      <c r="T5381">
        <v>-0.1302335</v>
      </c>
      <c r="U5381">
        <v>-0.50189209999999995</v>
      </c>
      <c r="V5381">
        <v>-2.8619160000000001E-2</v>
      </c>
      <c r="W5381">
        <v>5.550708E-2</v>
      </c>
      <c r="X5381">
        <v>0.99804809999999999</v>
      </c>
      <c r="Y5381">
        <v>-7.7192300000000005E-2</v>
      </c>
      <c r="Z5381">
        <v>1.2080820000000001E-2</v>
      </c>
      <c r="AA5381">
        <v>0.99694309999999997</v>
      </c>
      <c r="AB5381">
        <v>32</v>
      </c>
      <c r="AC5381">
        <v>25.213699999999999</v>
      </c>
      <c r="AD5381">
        <v>-1.111489799351</v>
      </c>
      <c r="AE5381">
        <v>-4.2443099999999898</v>
      </c>
      <c r="AF5381">
        <v>-1.9889385369408099</v>
      </c>
      <c r="AG5381">
        <v>-1.111489799351</v>
      </c>
      <c r="AH5381">
        <v>25.442584884943201</v>
      </c>
      <c r="AI5381">
        <v>92.493845423384698</v>
      </c>
      <c r="AJ5381">
        <v>94.469926919413396</v>
      </c>
      <c r="AK5381">
        <v>25.544400789709901</v>
      </c>
      <c r="AL5381">
        <v>86.818043363099804</v>
      </c>
      <c r="AM5381">
        <v>91.642513888404395</v>
      </c>
      <c r="AN5381">
        <v>1.00000005108141</v>
      </c>
    </row>
    <row r="5382" spans="1:40" x14ac:dyDescent="0.25">
      <c r="A5382" t="str">
        <f>"20190312154712053"</f>
        <v>20190312154712053</v>
      </c>
      <c r="B5382" t="str">
        <f>"1552376832043861"</f>
        <v>1552376832043861</v>
      </c>
      <c r="C5382" t="s">
        <v>40</v>
      </c>
      <c r="D5382">
        <v>5.2341870000000004</v>
      </c>
      <c r="E5382">
        <v>0.48128409999999999</v>
      </c>
      <c r="F5382" t="s">
        <v>87</v>
      </c>
      <c r="G5382">
        <v>-249.68180000000001</v>
      </c>
      <c r="H5382" s="1">
        <v>-3.806541E-6</v>
      </c>
      <c r="I5382">
        <v>-63.97878</v>
      </c>
      <c r="J5382">
        <v>-274.67750000000001</v>
      </c>
      <c r="K5382">
        <v>1.1116090000000001</v>
      </c>
      <c r="L5382">
        <v>-59.835389999999997</v>
      </c>
      <c r="M5382">
        <v>0.97061549999999996</v>
      </c>
      <c r="N5382">
        <v>0</v>
      </c>
      <c r="O5382">
        <v>-0.24061869999999999</v>
      </c>
      <c r="P5382">
        <v>0.97585239999999995</v>
      </c>
      <c r="Q5382">
        <v>5.2900139999999998E-2</v>
      </c>
      <c r="R5382">
        <v>-0.2119287</v>
      </c>
      <c r="S5382">
        <v>2.9745180000000002</v>
      </c>
      <c r="T5382">
        <v>-0.13140209999999999</v>
      </c>
      <c r="U5382">
        <v>-0.49450680000000002</v>
      </c>
      <c r="V5382">
        <v>-2.9521929999999998E-2</v>
      </c>
      <c r="W5382">
        <v>5.5516599999999902E-2</v>
      </c>
      <c r="X5382">
        <v>0.99802120000000005</v>
      </c>
      <c r="Y5382">
        <v>-7.7887449999999997E-2</v>
      </c>
      <c r="Z5382">
        <v>1.21294E-2</v>
      </c>
      <c r="AA5382">
        <v>0.99688840000000001</v>
      </c>
      <c r="AB5382">
        <v>32</v>
      </c>
      <c r="AC5382">
        <v>24.995699999999999</v>
      </c>
      <c r="AD5382">
        <v>-1.111612806541</v>
      </c>
      <c r="AE5382">
        <v>-4.1433900000000001</v>
      </c>
      <c r="AF5382">
        <v>-1.9889739063860199</v>
      </c>
      <c r="AG5382">
        <v>-1.111612806541</v>
      </c>
      <c r="AH5382">
        <v>25.2097686082184</v>
      </c>
      <c r="AI5382">
        <v>92.516983254861401</v>
      </c>
      <c r="AJ5382">
        <v>94.511117696834802</v>
      </c>
      <c r="AK5382">
        <v>25.312529180464399</v>
      </c>
      <c r="AL5382">
        <v>86.817496827133297</v>
      </c>
      <c r="AM5382">
        <v>91.694341663132903</v>
      </c>
      <c r="AN5382">
        <v>0.99999997643796201</v>
      </c>
    </row>
    <row r="5383" spans="1:40" x14ac:dyDescent="0.25">
      <c r="A5383" t="str">
        <f>"20190312154712065"</f>
        <v>20190312154712065</v>
      </c>
      <c r="B5383" t="str">
        <f>"1552376832053624"</f>
        <v>1552376832053624</v>
      </c>
      <c r="C5383" t="s">
        <v>40</v>
      </c>
      <c r="D5383">
        <v>5.2064389999999996</v>
      </c>
      <c r="E5383">
        <v>0.48148039999999998</v>
      </c>
      <c r="F5383" t="s">
        <v>88</v>
      </c>
      <c r="G5383">
        <v>-250.07749999999999</v>
      </c>
      <c r="H5383" s="1">
        <v>5.5000899999999999E-8</v>
      </c>
      <c r="I5383">
        <v>-63.871499999999997</v>
      </c>
      <c r="J5383">
        <v>-274.51159999999999</v>
      </c>
      <c r="K5383">
        <v>1.1117269999999999</v>
      </c>
      <c r="L5383">
        <v>-59.874850000000002</v>
      </c>
      <c r="M5383">
        <v>0.97104599999999996</v>
      </c>
      <c r="N5383">
        <v>0</v>
      </c>
      <c r="O5383">
        <v>-0.23887050000000001</v>
      </c>
      <c r="P5383">
        <v>0.97649019999999997</v>
      </c>
      <c r="Q5383">
        <v>5.2012040000000002E-2</v>
      </c>
      <c r="R5383">
        <v>-0.2091934</v>
      </c>
      <c r="S5383">
        <v>2.9754939999999999</v>
      </c>
      <c r="T5383">
        <v>-0.1344552</v>
      </c>
      <c r="U5383">
        <v>-0.4881897</v>
      </c>
      <c r="V5383">
        <v>-3.0533459999999998E-2</v>
      </c>
      <c r="W5383">
        <v>5.5075720000000002E-2</v>
      </c>
      <c r="X5383">
        <v>0.99801519999999999</v>
      </c>
      <c r="Y5383">
        <v>-7.8193219999999994E-2</v>
      </c>
      <c r="Z5383">
        <v>1.234071E-2</v>
      </c>
      <c r="AA5383">
        <v>0.99686180000000002</v>
      </c>
      <c r="AB5383">
        <v>32</v>
      </c>
      <c r="AC5383">
        <v>24.434100000000001</v>
      </c>
      <c r="AD5383">
        <v>-1.1117269449991001</v>
      </c>
      <c r="AE5383">
        <v>-3.99664999999999</v>
      </c>
      <c r="AF5383">
        <v>-1.9517298969379799</v>
      </c>
      <c r="AG5383">
        <v>-1.1117269449991001</v>
      </c>
      <c r="AH5383">
        <v>24.6317840713719</v>
      </c>
      <c r="AI5383">
        <v>92.576161145310607</v>
      </c>
      <c r="AJ5383">
        <v>94.530436555445704</v>
      </c>
      <c r="AK5383">
        <v>24.733984170156099</v>
      </c>
      <c r="AL5383">
        <v>86.842796120772505</v>
      </c>
      <c r="AM5383">
        <v>91.752370977037401</v>
      </c>
      <c r="AN5383">
        <v>0.99999998327206396</v>
      </c>
    </row>
    <row r="5384" spans="1:40" x14ac:dyDescent="0.25">
      <c r="A5384" t="str">
        <f>"20190312154712078"</f>
        <v>20190312154712078</v>
      </c>
      <c r="B5384" t="str">
        <f>"1552376832073141"</f>
        <v>1552376832073141</v>
      </c>
      <c r="C5384" t="s">
        <v>40</v>
      </c>
      <c r="D5384">
        <v>5.290794</v>
      </c>
      <c r="E5384">
        <v>0.48206130000000003</v>
      </c>
      <c r="F5384" t="s">
        <v>88</v>
      </c>
      <c r="G5384">
        <v>-250.92269999999999</v>
      </c>
      <c r="H5384" s="1">
        <v>-2.6721249999999998E-7</v>
      </c>
      <c r="I5384">
        <v>-63.69003</v>
      </c>
      <c r="J5384">
        <v>-274.33890000000002</v>
      </c>
      <c r="K5384">
        <v>1.1118140000000001</v>
      </c>
      <c r="L5384">
        <v>-59.9154699999999</v>
      </c>
      <c r="M5384">
        <v>0.97150270000000005</v>
      </c>
      <c r="N5384">
        <v>0</v>
      </c>
      <c r="O5384">
        <v>-0.23700019999999999</v>
      </c>
      <c r="P5384">
        <v>0.977136</v>
      </c>
      <c r="Q5384">
        <v>5.0961680000000002E-2</v>
      </c>
      <c r="R5384">
        <v>-0.20641760000000001</v>
      </c>
      <c r="S5384">
        <v>2.9765320000000002</v>
      </c>
      <c r="T5384">
        <v>-0.14028189999999999</v>
      </c>
      <c r="U5384">
        <v>-0.48141479999999998</v>
      </c>
      <c r="V5384">
        <v>-3.1460200000000001E-2</v>
      </c>
      <c r="W5384">
        <v>5.4409150000000003E-2</v>
      </c>
      <c r="X5384">
        <v>0.99802299999999999</v>
      </c>
      <c r="Y5384">
        <v>-7.8514009999999995E-2</v>
      </c>
      <c r="Z5384">
        <v>1.279636E-2</v>
      </c>
      <c r="AA5384">
        <v>0.99683089999999996</v>
      </c>
      <c r="AB5384">
        <v>32</v>
      </c>
      <c r="AC5384">
        <v>23.4162</v>
      </c>
      <c r="AD5384">
        <v>-1.11181426721249</v>
      </c>
      <c r="AE5384">
        <v>-3.7745600000000099</v>
      </c>
      <c r="AF5384">
        <v>-1.8785337544587</v>
      </c>
      <c r="AG5384">
        <v>-1.11181426721249</v>
      </c>
      <c r="AH5384">
        <v>23.5917930500508</v>
      </c>
      <c r="AI5384">
        <v>92.689690354922803</v>
      </c>
      <c r="AJ5384">
        <v>94.552661197726394</v>
      </c>
      <c r="AK5384">
        <v>23.692566753052301</v>
      </c>
      <c r="AL5384">
        <v>86.881045189135506</v>
      </c>
      <c r="AM5384">
        <v>91.805509488832698</v>
      </c>
      <c r="AN5384">
        <v>1.0000000041583801</v>
      </c>
    </row>
    <row r="5385" spans="1:40" x14ac:dyDescent="0.25">
      <c r="A5385" t="str">
        <f>"20190312154712089"</f>
        <v>20190312154712089</v>
      </c>
      <c r="B5385" t="str">
        <f>"1552376832083878"</f>
        <v>1552376832083878</v>
      </c>
      <c r="C5385" t="s">
        <v>40</v>
      </c>
      <c r="D5385">
        <v>5.1762899999999998</v>
      </c>
      <c r="E5385">
        <v>0.4823366</v>
      </c>
      <c r="F5385" t="s">
        <v>88</v>
      </c>
      <c r="G5385">
        <v>-251.82839999999999</v>
      </c>
      <c r="H5385" s="1">
        <v>-6.1932959999999995E-7</v>
      </c>
      <c r="I5385">
        <v>-63.526150000000001</v>
      </c>
      <c r="J5385">
        <v>-274.17290000000003</v>
      </c>
      <c r="K5385">
        <v>1.111893</v>
      </c>
      <c r="L5385">
        <v>-59.954189999999997</v>
      </c>
      <c r="M5385">
        <v>0.9719409</v>
      </c>
      <c r="N5385">
        <v>0</v>
      </c>
      <c r="O5385">
        <v>-0.23519019999999999</v>
      </c>
      <c r="P5385">
        <v>0.97786580000000001</v>
      </c>
      <c r="Q5385">
        <v>4.8972090000000003E-2</v>
      </c>
      <c r="R5385">
        <v>-0.20342180000000001</v>
      </c>
      <c r="S5385">
        <v>2.9769899999999998</v>
      </c>
      <c r="T5385">
        <v>-0.14703659999999999</v>
      </c>
      <c r="U5385">
        <v>-0.4775085</v>
      </c>
      <c r="V5385">
        <v>-3.267656E-2</v>
      </c>
      <c r="W5385">
        <v>5.2785949999999998E-2</v>
      </c>
      <c r="X5385">
        <v>0.99807109999999999</v>
      </c>
      <c r="Y5385">
        <v>-7.7926339999999997E-2</v>
      </c>
      <c r="Z5385">
        <v>1.3311180000000001E-2</v>
      </c>
      <c r="AA5385">
        <v>0.99687029999999999</v>
      </c>
      <c r="AB5385">
        <v>32</v>
      </c>
      <c r="AC5385">
        <v>22.3445</v>
      </c>
      <c r="AD5385">
        <v>-1.1118936193296001</v>
      </c>
      <c r="AE5385">
        <v>-3.57195999999999</v>
      </c>
      <c r="AF5385">
        <v>-1.7791922309763699</v>
      </c>
      <c r="AG5385">
        <v>-1.1118936193296001</v>
      </c>
      <c r="AH5385">
        <v>22.503474511447301</v>
      </c>
      <c r="AI5385">
        <v>92.819890756235594</v>
      </c>
      <c r="AJ5385">
        <v>94.520572627627601</v>
      </c>
      <c r="AK5385">
        <v>22.601066291279899</v>
      </c>
      <c r="AL5385">
        <v>86.974181620950205</v>
      </c>
      <c r="AM5385">
        <v>91.875177496394997</v>
      </c>
      <c r="AN5385">
        <v>1.0000000173730199</v>
      </c>
    </row>
    <row r="5386" spans="1:40" x14ac:dyDescent="0.25">
      <c r="A5386" t="str">
        <f>"20190312154712101"</f>
        <v>20190312154712101</v>
      </c>
      <c r="B5386" t="str">
        <f>"1552376832093637"</f>
        <v>1552376832093637</v>
      </c>
      <c r="C5386" t="s">
        <v>40</v>
      </c>
      <c r="D5386">
        <v>5.191357</v>
      </c>
      <c r="E5386">
        <v>0.48253249999999998</v>
      </c>
      <c r="F5386" t="s">
        <v>88</v>
      </c>
      <c r="G5386">
        <v>-252.79509999999999</v>
      </c>
      <c r="H5386" s="1">
        <v>-9.9042209999999999E-7</v>
      </c>
      <c r="I5386">
        <v>-63.330060000000003</v>
      </c>
      <c r="J5386">
        <v>-274.00630000000001</v>
      </c>
      <c r="K5386">
        <v>1.1119709999999901</v>
      </c>
      <c r="L5386">
        <v>-59.992769999999901</v>
      </c>
      <c r="M5386">
        <v>0.97237960000000001</v>
      </c>
      <c r="N5386">
        <v>0</v>
      </c>
      <c r="O5386">
        <v>-0.23336309999999999</v>
      </c>
      <c r="P5386">
        <v>0.97854920000000001</v>
      </c>
      <c r="Q5386">
        <v>4.7073730000000001E-2</v>
      </c>
      <c r="R5386">
        <v>-0.20056399999999999</v>
      </c>
      <c r="S5386">
        <v>2.9778440000000002</v>
      </c>
      <c r="T5386">
        <v>-0.15488279999999999</v>
      </c>
      <c r="U5386">
        <v>-0.47024539999999998</v>
      </c>
      <c r="V5386">
        <v>-3.3731490000000003E-2</v>
      </c>
      <c r="W5386">
        <v>5.1255469999999997E-2</v>
      </c>
      <c r="X5386">
        <v>0.9981158</v>
      </c>
      <c r="Y5386">
        <v>-7.8430760000000002E-2</v>
      </c>
      <c r="Z5386">
        <v>1.394168E-2</v>
      </c>
      <c r="AA5386">
        <v>0.99682210000000004</v>
      </c>
      <c r="AB5386">
        <v>33</v>
      </c>
      <c r="AC5386">
        <v>21.211200000000002</v>
      </c>
      <c r="AD5386">
        <v>-1.1119719904220899</v>
      </c>
      <c r="AE5386">
        <v>-3.3372899999999999</v>
      </c>
      <c r="AF5386">
        <v>-1.70025549931901</v>
      </c>
      <c r="AG5386">
        <v>-1.1119719904220899</v>
      </c>
      <c r="AH5386">
        <v>21.3470979430912</v>
      </c>
      <c r="AI5386">
        <v>92.972450124249605</v>
      </c>
      <c r="AJ5386">
        <v>94.5538857543836</v>
      </c>
      <c r="AK5386">
        <v>21.4435524356944</v>
      </c>
      <c r="AL5386">
        <v>87.061990642050304</v>
      </c>
      <c r="AM5386">
        <v>91.935583767610495</v>
      </c>
      <c r="AN5386">
        <v>1.0000000434160801</v>
      </c>
    </row>
    <row r="5387" spans="1:40" x14ac:dyDescent="0.25">
      <c r="A5387" t="str">
        <f>"20190312154712112"</f>
        <v>20190312154712112</v>
      </c>
      <c r="B5387" t="str">
        <f>"1552376832103399"</f>
        <v>1552376832103399</v>
      </c>
      <c r="C5387" t="s">
        <v>40</v>
      </c>
      <c r="D5387">
        <v>5.224297</v>
      </c>
      <c r="E5387">
        <v>0.48244140000000002</v>
      </c>
      <c r="F5387" t="s">
        <v>88</v>
      </c>
      <c r="G5387">
        <v>-253.45359999999999</v>
      </c>
      <c r="H5387" s="1">
        <v>-1.2409080000000001E-6</v>
      </c>
      <c r="I5387">
        <v>-63.1860199999999</v>
      </c>
      <c r="J5387">
        <v>-273.85180000000003</v>
      </c>
      <c r="K5387">
        <v>1.1120479999999999</v>
      </c>
      <c r="L5387">
        <v>-60.028080000000003</v>
      </c>
      <c r="M5387">
        <v>0.97278980000000004</v>
      </c>
      <c r="N5387">
        <v>0</v>
      </c>
      <c r="O5387">
        <v>-0.2316395</v>
      </c>
      <c r="P5387">
        <v>0.97916069999999999</v>
      </c>
      <c r="Q5387">
        <v>4.574814E-2</v>
      </c>
      <c r="R5387">
        <v>-0.1978685</v>
      </c>
      <c r="S5387">
        <v>2.9786990000000002</v>
      </c>
      <c r="T5387">
        <v>-0.1611581</v>
      </c>
      <c r="U5387">
        <v>-0.46279910000000002</v>
      </c>
      <c r="V5387">
        <v>-3.4722639999999999E-2</v>
      </c>
      <c r="W5387">
        <v>5.0297790000000002E-2</v>
      </c>
      <c r="X5387">
        <v>0.99813050000000003</v>
      </c>
      <c r="Y5387">
        <v>-7.9108940000000003E-2</v>
      </c>
      <c r="Z5387">
        <v>1.443374E-2</v>
      </c>
      <c r="AA5387">
        <v>0.99676149999999997</v>
      </c>
      <c r="AB5387">
        <v>33</v>
      </c>
      <c r="AC5387">
        <v>20.398199999999999</v>
      </c>
      <c r="AD5387">
        <v>-1.1120492409079901</v>
      </c>
      <c r="AE5387">
        <v>-3.15793999999998</v>
      </c>
      <c r="AF5387">
        <v>-1.64825204277168</v>
      </c>
      <c r="AG5387">
        <v>-1.1120492409079901</v>
      </c>
      <c r="AH5387">
        <v>20.515356034993101</v>
      </c>
      <c r="AI5387">
        <v>93.092775093755606</v>
      </c>
      <c r="AJ5387">
        <v>94.593411554581493</v>
      </c>
      <c r="AK5387">
        <v>20.611482759695701</v>
      </c>
      <c r="AL5387">
        <v>87.116932447010896</v>
      </c>
      <c r="AM5387">
        <v>91.992383532025599</v>
      </c>
      <c r="AN5387">
        <v>1.0000000122188499</v>
      </c>
    </row>
    <row r="5388" spans="1:40" x14ac:dyDescent="0.25">
      <c r="A5388" t="str">
        <f>"20190312154712123"</f>
        <v>20190312154712123</v>
      </c>
      <c r="B5388" t="str">
        <f>"1552376832113158"</f>
        <v>1552376832113158</v>
      </c>
      <c r="C5388" t="s">
        <v>40</v>
      </c>
      <c r="D5388">
        <v>5.3983410000000003</v>
      </c>
      <c r="E5388">
        <v>0.48244140000000002</v>
      </c>
      <c r="F5388" t="s">
        <v>88</v>
      </c>
      <c r="G5388">
        <v>-253.81970000000001</v>
      </c>
      <c r="H5388" s="1">
        <v>-1.374041E-6</v>
      </c>
      <c r="I5388">
        <v>-63.078519999999997</v>
      </c>
      <c r="J5388">
        <v>-273.68380000000002</v>
      </c>
      <c r="K5388">
        <v>1.112131</v>
      </c>
      <c r="L5388">
        <v>-60.06635</v>
      </c>
      <c r="M5388">
        <v>0.97323470000000001</v>
      </c>
      <c r="N5388">
        <v>0</v>
      </c>
      <c r="O5388">
        <v>-0.2297536</v>
      </c>
      <c r="P5388">
        <v>0.97977150000000002</v>
      </c>
      <c r="Q5388">
        <v>4.4174659999999998E-2</v>
      </c>
      <c r="R5388">
        <v>-0.19518379999999999</v>
      </c>
      <c r="S5388">
        <v>2.9798580000000001</v>
      </c>
      <c r="T5388">
        <v>-0.16542200000000001</v>
      </c>
      <c r="U5388">
        <v>-0.4537659</v>
      </c>
      <c r="V5388">
        <v>-3.5535700000000003E-2</v>
      </c>
      <c r="W5388">
        <v>4.9133370000000003E-2</v>
      </c>
      <c r="X5388">
        <v>0.99815989999999999</v>
      </c>
      <c r="Y5388">
        <v>-8.0165730000000004E-2</v>
      </c>
      <c r="Z5388">
        <v>1.4742069999999999E-2</v>
      </c>
      <c r="AA5388">
        <v>0.99667249999999996</v>
      </c>
      <c r="AB5388">
        <v>33</v>
      </c>
      <c r="AC5388">
        <v>19.864100000000001</v>
      </c>
      <c r="AD5388">
        <v>-1.1121323740410001</v>
      </c>
      <c r="AE5388">
        <v>-3.01216999999999</v>
      </c>
      <c r="AF5388">
        <v>-1.62733625603082</v>
      </c>
      <c r="AG5388">
        <v>-1.1121323740410001</v>
      </c>
      <c r="AH5388">
        <v>19.9635933610659</v>
      </c>
      <c r="AI5388">
        <v>93.178019726634005</v>
      </c>
      <c r="AJ5388">
        <v>94.660173150141702</v>
      </c>
      <c r="AK5388">
        <v>20.060661045777501</v>
      </c>
      <c r="AL5388">
        <v>87.183731454206395</v>
      </c>
      <c r="AM5388">
        <v>92.038937942583701</v>
      </c>
      <c r="AN5388">
        <v>1.00000002999502</v>
      </c>
    </row>
    <row r="5389" spans="1:40" x14ac:dyDescent="0.25">
      <c r="A5389" t="str">
        <f>"20190312154712134"</f>
        <v>20190312154712134</v>
      </c>
      <c r="B5389" t="str">
        <f>"1552376832123893"</f>
        <v>1552376832123893</v>
      </c>
      <c r="C5389" t="s">
        <v>40</v>
      </c>
      <c r="D5389">
        <v>5.2260749999999998</v>
      </c>
      <c r="E5389">
        <v>0.44412800000000002</v>
      </c>
      <c r="F5389" t="s">
        <v>88</v>
      </c>
      <c r="G5389">
        <v>-254.19220000000001</v>
      </c>
      <c r="H5389" s="1">
        <v>-1.5115369999999901E-6</v>
      </c>
      <c r="I5389">
        <v>-62.97813</v>
      </c>
      <c r="J5389">
        <v>-273.53059999999999</v>
      </c>
      <c r="K5389">
        <v>1.1122099999999999</v>
      </c>
      <c r="L5389">
        <v>-60.100679999999997</v>
      </c>
      <c r="M5389">
        <v>0.97364989999999996</v>
      </c>
      <c r="N5389">
        <v>0</v>
      </c>
      <c r="O5389">
        <v>-0.2279794</v>
      </c>
      <c r="P5389">
        <v>0.98022600000000004</v>
      </c>
      <c r="Q5389">
        <v>4.3908040000000002E-2</v>
      </c>
      <c r="R5389">
        <v>-0.19294939999999999</v>
      </c>
      <c r="S5389">
        <v>2.9809269999999999</v>
      </c>
      <c r="T5389">
        <v>-0.1700834</v>
      </c>
      <c r="U5389">
        <v>-0.4453125</v>
      </c>
      <c r="V5389">
        <v>-3.6000039999999997E-2</v>
      </c>
      <c r="W5389">
        <v>4.924386E-2</v>
      </c>
      <c r="X5389">
        <v>0.99813779999999996</v>
      </c>
      <c r="Y5389">
        <v>-8.1141160000000004E-2</v>
      </c>
      <c r="Z5389">
        <v>1.5085680000000001E-2</v>
      </c>
      <c r="AA5389">
        <v>0.99658849999999999</v>
      </c>
      <c r="AB5389">
        <v>33</v>
      </c>
      <c r="AC5389">
        <v>19.338399999999901</v>
      </c>
      <c r="AD5389">
        <v>-1.1122115115369999</v>
      </c>
      <c r="AE5389">
        <v>-2.8774500000000001</v>
      </c>
      <c r="AF5389">
        <v>-1.6019688997594601</v>
      </c>
      <c r="AG5389">
        <v>-1.1122115115369999</v>
      </c>
      <c r="AH5389">
        <v>19.422282501083</v>
      </c>
      <c r="AI5389">
        <v>93.266379407460605</v>
      </c>
      <c r="AJ5389">
        <v>94.715138849334807</v>
      </c>
      <c r="AK5389">
        <v>19.519948164738199</v>
      </c>
      <c r="AL5389">
        <v>87.177393126674801</v>
      </c>
      <c r="AM5389">
        <v>92.065603223140798</v>
      </c>
      <c r="AN5389">
        <v>1.0000000142082699</v>
      </c>
    </row>
    <row r="5390" spans="1:40" x14ac:dyDescent="0.25">
      <c r="A5390" t="str">
        <f>"20190312154712146"</f>
        <v>20190312154712146</v>
      </c>
      <c r="B5390" t="str">
        <f>"1552376832143415"</f>
        <v>1552376832143415</v>
      </c>
      <c r="C5390" t="s">
        <v>40</v>
      </c>
      <c r="D5390">
        <v>5.2989439999999997</v>
      </c>
      <c r="E5390">
        <v>0.43916359999999899</v>
      </c>
      <c r="F5390" t="s">
        <v>88</v>
      </c>
      <c r="G5390">
        <v>-256.08440000000002</v>
      </c>
      <c r="H5390" s="1">
        <v>-1.8595909999999999E-6</v>
      </c>
      <c r="I5390">
        <v>-60.892819999999901</v>
      </c>
      <c r="J5390">
        <v>-273.36610000000002</v>
      </c>
      <c r="K5390">
        <v>1.1122970000000001</v>
      </c>
      <c r="L5390">
        <v>-60.137390000000003</v>
      </c>
      <c r="M5390">
        <v>0.9740955</v>
      </c>
      <c r="N5390">
        <v>0</v>
      </c>
      <c r="O5390">
        <v>-0.2260568</v>
      </c>
      <c r="P5390">
        <v>0.98068549999999999</v>
      </c>
      <c r="Q5390">
        <v>4.3612699999999997E-2</v>
      </c>
      <c r="R5390">
        <v>-0.1906678</v>
      </c>
      <c r="S5390">
        <v>3.0420229999999999</v>
      </c>
      <c r="T5390">
        <v>-0.19393279999999999</v>
      </c>
      <c r="U5390">
        <v>-0.13812260000000001</v>
      </c>
      <c r="V5390">
        <v>-3.63611E-2</v>
      </c>
      <c r="W5390">
        <v>4.9347679999999998E-2</v>
      </c>
      <c r="X5390">
        <v>0.9981196</v>
      </c>
      <c r="Y5390">
        <v>-0.18082819999999999</v>
      </c>
      <c r="Z5390">
        <v>2.0032049999999999E-2</v>
      </c>
      <c r="AA5390">
        <v>0.98331069999999998</v>
      </c>
      <c r="AB5390">
        <v>33</v>
      </c>
      <c r="AC5390">
        <v>17.281700000000001</v>
      </c>
      <c r="AD5390">
        <v>-1.1122988595909999</v>
      </c>
      <c r="AE5390">
        <v>-0.75542999999998905</v>
      </c>
      <c r="AF5390">
        <v>-3.1577859493785301</v>
      </c>
      <c r="AG5390">
        <v>-1.1122988595909999</v>
      </c>
      <c r="AH5390">
        <v>16.935083759874399</v>
      </c>
      <c r="AI5390">
        <v>93.694304328835898</v>
      </c>
      <c r="AJ5390">
        <v>100.56231019693701</v>
      </c>
      <c r="AK5390">
        <v>17.262846891781798</v>
      </c>
      <c r="AL5390">
        <v>87.171437481462803</v>
      </c>
      <c r="AM5390">
        <v>92.086339844902596</v>
      </c>
      <c r="AN5390">
        <v>1.0000000295093701</v>
      </c>
    </row>
    <row r="5391" spans="1:40" x14ac:dyDescent="0.25">
      <c r="A5391" t="str">
        <f>"20190312154712159"</f>
        <v>20190312154712159</v>
      </c>
      <c r="B5391" t="str">
        <f>"1552376832153173"</f>
        <v>1552376832153173</v>
      </c>
      <c r="C5391" t="s">
        <v>40</v>
      </c>
      <c r="D5391">
        <v>5.2838529999999997</v>
      </c>
      <c r="E5391">
        <v>0.43803160000000002</v>
      </c>
      <c r="F5391" t="s">
        <v>88</v>
      </c>
      <c r="G5391">
        <v>-253.1755</v>
      </c>
      <c r="H5391" s="1">
        <v>-5.7940380000000003E-7</v>
      </c>
      <c r="I5391">
        <v>-60.747770000000003</v>
      </c>
      <c r="J5391">
        <v>-273.18540000000002</v>
      </c>
      <c r="K5391">
        <v>1.112393</v>
      </c>
      <c r="L5391">
        <v>-60.177250000000001</v>
      </c>
      <c r="M5391">
        <v>0.97459150000000005</v>
      </c>
      <c r="N5391">
        <v>0</v>
      </c>
      <c r="O5391">
        <v>-0.2238967</v>
      </c>
      <c r="P5391">
        <v>0.98103419999999997</v>
      </c>
      <c r="Q5391">
        <v>4.405924E-2</v>
      </c>
      <c r="R5391">
        <v>-0.18876129999999999</v>
      </c>
      <c r="S5391">
        <v>3.048645</v>
      </c>
      <c r="T5391">
        <v>-0.16794979999999901</v>
      </c>
      <c r="U5391">
        <v>-9.2163090000000003E-2</v>
      </c>
      <c r="V5391">
        <v>-3.6096820000000002E-2</v>
      </c>
      <c r="W5391">
        <v>5.0216829999999997E-2</v>
      </c>
      <c r="X5391">
        <v>0.99808580000000002</v>
      </c>
      <c r="Y5391">
        <v>-0.19372200000000001</v>
      </c>
      <c r="Z5391">
        <v>1.756371E-2</v>
      </c>
      <c r="AA5391">
        <v>0.98089919999999997</v>
      </c>
      <c r="AB5391">
        <v>32</v>
      </c>
      <c r="AC5391">
        <v>20.009899999999998</v>
      </c>
      <c r="AD5391">
        <v>-1.1123935794038</v>
      </c>
      <c r="AE5391">
        <v>-0.57051999999999403</v>
      </c>
      <c r="AF5391">
        <v>-3.9121278430864401</v>
      </c>
      <c r="AG5391">
        <v>-1.1123935794038</v>
      </c>
      <c r="AH5391">
        <v>19.569195799127499</v>
      </c>
      <c r="AI5391">
        <v>93.190432557931103</v>
      </c>
      <c r="AJ5391">
        <v>101.305114615798</v>
      </c>
      <c r="AK5391">
        <v>19.987385721017599</v>
      </c>
      <c r="AL5391">
        <v>87.121576910750306</v>
      </c>
      <c r="AM5391">
        <v>92.071259229698697</v>
      </c>
      <c r="AN5391">
        <v>0.99999998729549999</v>
      </c>
    </row>
    <row r="5392" spans="1:40" x14ac:dyDescent="0.25">
      <c r="A5392" t="str">
        <f>"20190312154712171"</f>
        <v>20190312154712171</v>
      </c>
      <c r="B5392" t="str">
        <f>"1552376832163909"</f>
        <v>1552376832163909</v>
      </c>
      <c r="C5392" t="s">
        <v>40</v>
      </c>
      <c r="D5392">
        <v>5.2599330000000002</v>
      </c>
      <c r="E5392">
        <v>0.43838250000000001</v>
      </c>
      <c r="F5392" t="s">
        <v>88</v>
      </c>
      <c r="G5392">
        <v>-252.33109999999999</v>
      </c>
      <c r="H5392" s="1">
        <v>-2.075947E-7</v>
      </c>
      <c r="I5392">
        <v>-60.704669999999901</v>
      </c>
      <c r="J5392">
        <v>-273.01459999999997</v>
      </c>
      <c r="K5392">
        <v>1.112479</v>
      </c>
      <c r="L5392">
        <v>-60.214390000000002</v>
      </c>
      <c r="M5392">
        <v>0.97506479999999995</v>
      </c>
      <c r="N5392">
        <v>0</v>
      </c>
      <c r="O5392">
        <v>-0.22181500000000001</v>
      </c>
      <c r="P5392">
        <v>0.98136599999999996</v>
      </c>
      <c r="Q5392">
        <v>4.4206809999999999E-2</v>
      </c>
      <c r="R5392">
        <v>-0.18699460000000001</v>
      </c>
      <c r="S5392">
        <v>3.050446</v>
      </c>
      <c r="T5392">
        <v>-0.16271479999999999</v>
      </c>
      <c r="U5392">
        <v>-7.7148439999999999E-2</v>
      </c>
      <c r="V5392">
        <v>-3.5772699999999998E-2</v>
      </c>
      <c r="W5392">
        <v>5.0741149999999999E-2</v>
      </c>
      <c r="X5392">
        <v>0.99807100000000004</v>
      </c>
      <c r="Y5392">
        <v>-0.19650690000000001</v>
      </c>
      <c r="Z5392">
        <v>1.697543E-2</v>
      </c>
      <c r="AA5392">
        <v>0.98035550000000005</v>
      </c>
      <c r="AB5392">
        <v>32</v>
      </c>
      <c r="AC5392">
        <v>20.683499999999899</v>
      </c>
      <c r="AD5392">
        <v>-1.1124792075947001</v>
      </c>
      <c r="AE5392">
        <v>-0.490279999999991</v>
      </c>
      <c r="AF5392">
        <v>-4.0981030281962196</v>
      </c>
      <c r="AG5392">
        <v>-1.1124792075947001</v>
      </c>
      <c r="AH5392">
        <v>20.218520518602102</v>
      </c>
      <c r="AI5392">
        <v>93.086753415472799</v>
      </c>
      <c r="AJ5392">
        <v>101.45808348307401</v>
      </c>
      <c r="AK5392">
        <v>20.659637711687299</v>
      </c>
      <c r="AL5392">
        <v>87.091497379947597</v>
      </c>
      <c r="AM5392">
        <v>92.0527074053756</v>
      </c>
      <c r="AN5392">
        <v>1.0000000357048</v>
      </c>
    </row>
    <row r="5393" spans="1:40" x14ac:dyDescent="0.25">
      <c r="A5393" t="str">
        <f>"20190312154712187"</f>
        <v>20190312154712187</v>
      </c>
      <c r="B5393" t="str">
        <f>"1552376832183429"</f>
        <v>1552376832183429</v>
      </c>
      <c r="C5393" t="s">
        <v>40</v>
      </c>
      <c r="D5393">
        <v>5.2084460000000004</v>
      </c>
      <c r="E5393">
        <v>0.43859169999999997</v>
      </c>
      <c r="F5393" t="s">
        <v>88</v>
      </c>
      <c r="G5393">
        <v>-251.6618</v>
      </c>
      <c r="H5393" s="1">
        <v>7.3222959999999994E-8</v>
      </c>
      <c r="I5393">
        <v>-60.733130000000003</v>
      </c>
      <c r="J5393">
        <v>-272.79989999999998</v>
      </c>
      <c r="K5393">
        <v>1.1125879999999999</v>
      </c>
      <c r="L5393">
        <v>-60.260710000000003</v>
      </c>
      <c r="M5393">
        <v>0.97566390000000003</v>
      </c>
      <c r="N5393">
        <v>0</v>
      </c>
      <c r="O5393">
        <v>-0.21915029999999999</v>
      </c>
      <c r="P5393">
        <v>0.98175489999999999</v>
      </c>
      <c r="Q5393">
        <v>4.2408380000000002E-2</v>
      </c>
      <c r="R5393">
        <v>-0.1853621</v>
      </c>
      <c r="S5393">
        <v>3.0500180000000001</v>
      </c>
      <c r="T5393">
        <v>-0.15890509999999999</v>
      </c>
      <c r="U5393">
        <v>-7.4096679999999998E-2</v>
      </c>
      <c r="V5393">
        <v>-3.4721340000000003E-2</v>
      </c>
      <c r="W5393">
        <v>4.9401500000000001E-2</v>
      </c>
      <c r="X5393">
        <v>0.99817529999999999</v>
      </c>
      <c r="Y5393">
        <v>-0.19483839999999999</v>
      </c>
      <c r="Z5393">
        <v>1.6402079999999999E-2</v>
      </c>
      <c r="AA5393">
        <v>0.98069819999999996</v>
      </c>
      <c r="AB5393">
        <v>32</v>
      </c>
      <c r="AC5393">
        <v>21.138099999999898</v>
      </c>
      <c r="AD5393">
        <v>-1.11258792677704</v>
      </c>
      <c r="AE5393">
        <v>-0.472420000000006</v>
      </c>
      <c r="AF5393">
        <v>-4.1600893680709001</v>
      </c>
      <c r="AG5393">
        <v>-1.11258792677704</v>
      </c>
      <c r="AH5393">
        <v>20.670526114675901</v>
      </c>
      <c r="AI5393">
        <v>93.020514289192704</v>
      </c>
      <c r="AJ5393">
        <v>101.37916991525699</v>
      </c>
      <c r="AK5393">
        <v>21.114327962372901</v>
      </c>
      <c r="AL5393">
        <v>87.168349986449599</v>
      </c>
      <c r="AM5393">
        <v>91.992219651649606</v>
      </c>
      <c r="AN5393">
        <v>1.00000000459186</v>
      </c>
    </row>
    <row r="5394" spans="1:40" x14ac:dyDescent="0.25">
      <c r="A5394" t="str">
        <f>"20190312154712210"</f>
        <v>20190312154712210</v>
      </c>
      <c r="B5394" t="str">
        <f>"1552376832203925"</f>
        <v>1552376832203925</v>
      </c>
      <c r="C5394" t="s">
        <v>40</v>
      </c>
      <c r="D5394">
        <v>5.2561669999999996</v>
      </c>
      <c r="E5394">
        <v>0.43881249999999999</v>
      </c>
      <c r="F5394" t="s">
        <v>88</v>
      </c>
      <c r="G5394">
        <v>-251.34479999999999</v>
      </c>
      <c r="H5394" s="1">
        <v>2.0425879999999999E-7</v>
      </c>
      <c r="I5394">
        <v>-60.755429999999997</v>
      </c>
      <c r="J5394">
        <v>-272.47219999999999</v>
      </c>
      <c r="K5394">
        <v>1.1127609999999999</v>
      </c>
      <c r="L5394">
        <v>-60.329859999999996</v>
      </c>
      <c r="M5394">
        <v>0.97659640000000003</v>
      </c>
      <c r="N5394">
        <v>0</v>
      </c>
      <c r="O5394">
        <v>-0.21493429999999999</v>
      </c>
      <c r="P5394">
        <v>0.98240890000000003</v>
      </c>
      <c r="Q5394">
        <v>3.9566049999999998E-2</v>
      </c>
      <c r="R5394">
        <v>-0.1825029</v>
      </c>
      <c r="S5394">
        <v>3.0493160000000001</v>
      </c>
      <c r="T5394">
        <v>-0.1581272</v>
      </c>
      <c r="U5394">
        <v>-7.03125E-2</v>
      </c>
      <c r="V5394">
        <v>-3.3338859999999998E-2</v>
      </c>
      <c r="W5394">
        <v>4.7191080000000003E-2</v>
      </c>
      <c r="X5394">
        <v>0.99832929999999998</v>
      </c>
      <c r="Y5394">
        <v>-0.19182830000000001</v>
      </c>
      <c r="Z5394">
        <v>1.6034159999999999E-2</v>
      </c>
      <c r="AA5394">
        <v>0.98129750000000004</v>
      </c>
      <c r="AB5394">
        <v>32</v>
      </c>
      <c r="AC5394">
        <v>21.127399999999898</v>
      </c>
      <c r="AD5394">
        <v>-1.1127607957412</v>
      </c>
      <c r="AE5394">
        <v>-0.425570000000007</v>
      </c>
      <c r="AF5394">
        <v>-4.1141141175686604</v>
      </c>
      <c r="AG5394">
        <v>-1.1127607957412</v>
      </c>
      <c r="AH5394">
        <v>20.6677525393902</v>
      </c>
      <c r="AI5394">
        <v>93.022663042837905</v>
      </c>
      <c r="AJ5394">
        <v>101.258113348135</v>
      </c>
      <c r="AK5394">
        <v>21.102610421234299</v>
      </c>
      <c r="AL5394">
        <v>87.2951455227726</v>
      </c>
      <c r="AM5394">
        <v>91.912661852813599</v>
      </c>
      <c r="AN5394">
        <v>0.999999934428075</v>
      </c>
    </row>
    <row r="5395" spans="1:40" x14ac:dyDescent="0.25">
      <c r="A5395" t="str">
        <f>"20190312154712221"</f>
        <v>20190312154712221</v>
      </c>
      <c r="B5395" t="str">
        <f>"1552376832213685"</f>
        <v>1552376832213685</v>
      </c>
      <c r="C5395" t="s">
        <v>40</v>
      </c>
      <c r="D5395">
        <v>5.2256169999999997</v>
      </c>
      <c r="E5395">
        <v>0.43896750000000001</v>
      </c>
      <c r="F5395" t="s">
        <v>88</v>
      </c>
      <c r="G5395">
        <v>-251.0515</v>
      </c>
      <c r="H5395" s="1">
        <v>3.2613630000000001E-7</v>
      </c>
      <c r="I5395">
        <v>-60.773119999999999</v>
      </c>
      <c r="J5395">
        <v>-272.30919999999998</v>
      </c>
      <c r="K5395">
        <v>1.1128469999999999</v>
      </c>
      <c r="L5395">
        <v>-60.363709999999998</v>
      </c>
      <c r="M5395">
        <v>0.97706499999999996</v>
      </c>
      <c r="N5395">
        <v>0</v>
      </c>
      <c r="O5395">
        <v>-0.212783</v>
      </c>
      <c r="P5395">
        <v>0.98272959999999998</v>
      </c>
      <c r="Q5395">
        <v>3.8514939999999998E-2</v>
      </c>
      <c r="R5395">
        <v>-0.1809953</v>
      </c>
      <c r="S5395">
        <v>3.04834</v>
      </c>
      <c r="T5395">
        <v>-0.158355</v>
      </c>
      <c r="U5395">
        <v>-6.3079830000000003E-2</v>
      </c>
      <c r="V5395">
        <v>-3.2682610000000001E-2</v>
      </c>
      <c r="W5395">
        <v>4.6433740000000001E-2</v>
      </c>
      <c r="X5395">
        <v>0.99838660000000001</v>
      </c>
      <c r="Y5395">
        <v>-0.19198809999999999</v>
      </c>
      <c r="Z5395">
        <v>1.5958099999999999E-2</v>
      </c>
      <c r="AA5395">
        <v>0.98126749999999996</v>
      </c>
      <c r="AB5395">
        <v>32</v>
      </c>
      <c r="AC5395">
        <v>21.2576999999999</v>
      </c>
      <c r="AD5395">
        <v>-1.1128466738637</v>
      </c>
      <c r="AE5395">
        <v>-0.409410000000001</v>
      </c>
      <c r="AF5395">
        <v>-4.1121305874732101</v>
      </c>
      <c r="AG5395">
        <v>-1.1128466738637</v>
      </c>
      <c r="AH5395">
        <v>20.8009878018477</v>
      </c>
      <c r="AI5395">
        <v>93.004353352230197</v>
      </c>
      <c r="AJ5395">
        <v>101.182569137453</v>
      </c>
      <c r="AK5395">
        <v>21.232737440579399</v>
      </c>
      <c r="AL5395">
        <v>87.338585774605605</v>
      </c>
      <c r="AM5395">
        <v>91.874932172734106</v>
      </c>
      <c r="AN5395">
        <v>1.0000000241331699</v>
      </c>
    </row>
    <row r="5396" spans="1:40" x14ac:dyDescent="0.25">
      <c r="A5396" t="str">
        <f>"20190312154712232"</f>
        <v>20190312154712232</v>
      </c>
      <c r="B5396" t="str">
        <f>"1552376832223446"</f>
        <v>1552376832223446</v>
      </c>
      <c r="C5396" t="s">
        <v>40</v>
      </c>
      <c r="D5396">
        <v>5.2445170000000001</v>
      </c>
      <c r="E5396">
        <v>0.43881569999999998</v>
      </c>
      <c r="F5396" t="s">
        <v>88</v>
      </c>
      <c r="G5396">
        <v>-251.2381</v>
      </c>
      <c r="H5396" s="1">
        <v>2.4521289999999999E-7</v>
      </c>
      <c r="I5396">
        <v>-60.777000000000001</v>
      </c>
      <c r="J5396">
        <v>-272.16140000000001</v>
      </c>
      <c r="K5396">
        <v>1.1129260000000001</v>
      </c>
      <c r="L5396">
        <v>-60.393889999999999</v>
      </c>
      <c r="M5396">
        <v>0.97749779999999997</v>
      </c>
      <c r="N5396">
        <v>0</v>
      </c>
      <c r="O5396">
        <v>-0.21077660000000001</v>
      </c>
      <c r="P5396">
        <v>0.98304749999999996</v>
      </c>
      <c r="Q5396">
        <v>3.7022079999999999E-2</v>
      </c>
      <c r="R5396">
        <v>-0.17957490000000001</v>
      </c>
      <c r="S5396">
        <v>3.0480040000000002</v>
      </c>
      <c r="T5396">
        <v>-0.1609775</v>
      </c>
      <c r="U5396">
        <v>-5.9783940000000001E-2</v>
      </c>
      <c r="V5396">
        <v>-3.2083630000000002E-2</v>
      </c>
      <c r="W5396">
        <v>4.5187159999999997E-2</v>
      </c>
      <c r="X5396">
        <v>0.9984632</v>
      </c>
      <c r="Y5396">
        <v>-0.19101799999999999</v>
      </c>
      <c r="Z5396">
        <v>1.6094799999999999E-2</v>
      </c>
      <c r="AA5396">
        <v>0.98145459999999995</v>
      </c>
      <c r="AB5396">
        <v>32</v>
      </c>
      <c r="AC5396">
        <v>20.923300000000001</v>
      </c>
      <c r="AD5396">
        <v>-1.1129257547871001</v>
      </c>
      <c r="AE5396">
        <v>-0.383110000000002</v>
      </c>
      <c r="AF5396">
        <v>-4.02441440601695</v>
      </c>
      <c r="AG5396">
        <v>-1.1129257547871001</v>
      </c>
      <c r="AH5396">
        <v>20.476049602875001</v>
      </c>
      <c r="AI5396">
        <v>93.052819912745306</v>
      </c>
      <c r="AJ5396">
        <v>101.119326670814</v>
      </c>
      <c r="AK5396">
        <v>20.8974429628705</v>
      </c>
      <c r="AL5396">
        <v>87.410084551504397</v>
      </c>
      <c r="AM5396">
        <v>91.840452704538606</v>
      </c>
      <c r="AN5396">
        <v>1.0000000002485401</v>
      </c>
    </row>
    <row r="5397" spans="1:40" x14ac:dyDescent="0.25">
      <c r="A5397" t="str">
        <f>"20190312154712243"</f>
        <v>20190312154712243</v>
      </c>
      <c r="B5397" t="str">
        <f>"1552376832233206"</f>
        <v>1552376832233206</v>
      </c>
      <c r="C5397" t="s">
        <v>40</v>
      </c>
      <c r="D5397">
        <v>5.2155740000000002</v>
      </c>
      <c r="E5397">
        <v>0.43880780000000003</v>
      </c>
      <c r="F5397" t="s">
        <v>88</v>
      </c>
      <c r="G5397">
        <v>-251.44980000000001</v>
      </c>
      <c r="H5397" s="1">
        <v>1.576539E-7</v>
      </c>
      <c r="I5397">
        <v>-60.762390000000003</v>
      </c>
      <c r="J5397">
        <v>-271.9889</v>
      </c>
      <c r="K5397">
        <v>1.1130180000000001</v>
      </c>
      <c r="L5397">
        <v>-60.428919999999998</v>
      </c>
      <c r="M5397">
        <v>0.97800209999999999</v>
      </c>
      <c r="N5397">
        <v>0</v>
      </c>
      <c r="O5397">
        <v>-0.20841209999999999</v>
      </c>
      <c r="P5397">
        <v>0.98336760000000001</v>
      </c>
      <c r="Q5397">
        <v>3.577081E-2</v>
      </c>
      <c r="R5397">
        <v>-0.1780697</v>
      </c>
      <c r="S5397">
        <v>3.048035</v>
      </c>
      <c r="T5397">
        <v>-0.16378429999999999</v>
      </c>
      <c r="U5397">
        <v>-5.4229739999999999E-2</v>
      </c>
      <c r="V5397">
        <v>-3.1207039999999998E-2</v>
      </c>
      <c r="W5397">
        <v>4.4217779999999998E-2</v>
      </c>
      <c r="X5397">
        <v>0.99853440000000004</v>
      </c>
      <c r="Y5397">
        <v>-0.19041749999999999</v>
      </c>
      <c r="Z5397">
        <v>1.623492E-2</v>
      </c>
      <c r="AA5397">
        <v>0.98156889999999997</v>
      </c>
      <c r="AB5397">
        <v>32</v>
      </c>
      <c r="AC5397">
        <v>20.539099999999902</v>
      </c>
      <c r="AD5397">
        <v>-1.1130178423460999</v>
      </c>
      <c r="AE5397">
        <v>-0.33347000000000498</v>
      </c>
      <c r="AF5397">
        <v>-3.9430374696206698</v>
      </c>
      <c r="AG5397">
        <v>-1.1130178423460999</v>
      </c>
      <c r="AH5397">
        <v>20.098545650695801</v>
      </c>
      <c r="AI5397">
        <v>93.110514981531793</v>
      </c>
      <c r="AJ5397">
        <v>101.099614543434</v>
      </c>
      <c r="AK5397">
        <v>20.5118963159752</v>
      </c>
      <c r="AL5397">
        <v>87.465681563537203</v>
      </c>
      <c r="AM5397">
        <v>91.790073408093605</v>
      </c>
      <c r="AN5397">
        <v>1.0000000196985199</v>
      </c>
    </row>
    <row r="5398" spans="1:40" x14ac:dyDescent="0.25">
      <c r="A5398" t="str">
        <f>"20190312154712255"</f>
        <v>20190312154712255</v>
      </c>
      <c r="B5398" t="str">
        <f>"1552376832243942"</f>
        <v>1552376832243942</v>
      </c>
      <c r="C5398" t="s">
        <v>40</v>
      </c>
      <c r="D5398">
        <v>5.2119</v>
      </c>
      <c r="E5398">
        <v>0.43885479999999999</v>
      </c>
      <c r="F5398" t="s">
        <v>88</v>
      </c>
      <c r="G5398">
        <v>-251.74289999999999</v>
      </c>
      <c r="H5398" s="1">
        <v>3.2564059999999999E-8</v>
      </c>
      <c r="I5398">
        <v>-60.75956</v>
      </c>
      <c r="J5398">
        <v>-271.82229999999998</v>
      </c>
      <c r="K5398">
        <v>1.1131040000000001</v>
      </c>
      <c r="L5398">
        <v>-60.462040000000002</v>
      </c>
      <c r="M5398">
        <v>0.97850420000000005</v>
      </c>
      <c r="N5398">
        <v>0</v>
      </c>
      <c r="O5398">
        <v>-0.20603109999999999</v>
      </c>
      <c r="P5398">
        <v>0.98373390000000005</v>
      </c>
      <c r="Q5398">
        <v>3.4676020000000002E-2</v>
      </c>
      <c r="R5398">
        <v>-0.1762543</v>
      </c>
      <c r="S5398">
        <v>3.0478519999999998</v>
      </c>
      <c r="T5398">
        <v>-0.1675545</v>
      </c>
      <c r="U5398">
        <v>-4.977417E-2</v>
      </c>
      <c r="V5398">
        <v>-3.0628240000000001E-2</v>
      </c>
      <c r="W5398">
        <v>4.3366010000000003E-2</v>
      </c>
      <c r="X5398">
        <v>0.99858959999999997</v>
      </c>
      <c r="Y5398">
        <v>-0.18944050000000001</v>
      </c>
      <c r="Z5398">
        <v>1.6454420000000001E-2</v>
      </c>
      <c r="AA5398">
        <v>0.98175429999999997</v>
      </c>
      <c r="AB5398">
        <v>32</v>
      </c>
      <c r="AC5398">
        <v>20.0794</v>
      </c>
      <c r="AD5398">
        <v>-1.11310396743594</v>
      </c>
      <c r="AE5398">
        <v>-0.29751999999999801</v>
      </c>
      <c r="AF5398">
        <v>-3.83423131271479</v>
      </c>
      <c r="AG5398">
        <v>-1.11310396743594</v>
      </c>
      <c r="AH5398">
        <v>19.6495003828751</v>
      </c>
      <c r="AI5398">
        <v>93.182330804362294</v>
      </c>
      <c r="AJ5398">
        <v>101.041452692763</v>
      </c>
      <c r="AK5398">
        <v>20.05101482465</v>
      </c>
      <c r="AL5398">
        <v>87.514531066063299</v>
      </c>
      <c r="AM5398">
        <v>91.756796690080407</v>
      </c>
      <c r="AN5398">
        <v>0.99999994456848695</v>
      </c>
    </row>
    <row r="5399" spans="1:40" x14ac:dyDescent="0.25">
      <c r="A5399" t="str">
        <f>"20190312154712276"</f>
        <v>20190312154712276</v>
      </c>
      <c r="B5399" t="str">
        <f>"1552376832273221"</f>
        <v>1552376832273221</v>
      </c>
      <c r="C5399" t="s">
        <v>40</v>
      </c>
      <c r="D5399">
        <v>5.2002420000000003</v>
      </c>
      <c r="E5399">
        <v>0.43872319999999998</v>
      </c>
      <c r="F5399" t="s">
        <v>88</v>
      </c>
      <c r="G5399">
        <v>-251.9564</v>
      </c>
      <c r="H5399" s="1">
        <v>-5.7857280000000003E-8</v>
      </c>
      <c r="I5399">
        <v>-60.754260000000002</v>
      </c>
      <c r="J5399">
        <v>-271.54140000000001</v>
      </c>
      <c r="K5399">
        <v>1.113262</v>
      </c>
      <c r="L5399">
        <v>-60.516969999999901</v>
      </c>
      <c r="M5399">
        <v>0.97935779999999995</v>
      </c>
      <c r="N5399">
        <v>0</v>
      </c>
      <c r="O5399">
        <v>-0.2019165</v>
      </c>
      <c r="P5399">
        <v>0.98435519999999999</v>
      </c>
      <c r="Q5399">
        <v>3.2675669999999997E-2</v>
      </c>
      <c r="R5399">
        <v>-0.17313819999999999</v>
      </c>
      <c r="S5399">
        <v>3.0476070000000002</v>
      </c>
      <c r="T5399">
        <v>-0.170760299999999</v>
      </c>
      <c r="U5399">
        <v>-4.483032E-2</v>
      </c>
      <c r="V5399">
        <v>-2.9606029999999998E-2</v>
      </c>
      <c r="W5399">
        <v>4.1750990000000002E-2</v>
      </c>
      <c r="X5399">
        <v>0.9986893</v>
      </c>
      <c r="Y5399">
        <v>-0.18689210000000001</v>
      </c>
      <c r="Z5399">
        <v>1.647301E-2</v>
      </c>
      <c r="AA5399">
        <v>0.98224230000000001</v>
      </c>
      <c r="AB5399">
        <v>32</v>
      </c>
      <c r="AC5399">
        <v>19.585000000000001</v>
      </c>
      <c r="AD5399">
        <v>-1.1132620578572801</v>
      </c>
      <c r="AE5399">
        <v>-0.237290000000001</v>
      </c>
      <c r="AF5399">
        <v>-3.7103200945860801</v>
      </c>
      <c r="AG5399">
        <v>-1.1132620578572801</v>
      </c>
      <c r="AH5399">
        <v>19.167558831662902</v>
      </c>
      <c r="AI5399">
        <v>93.263587945112306</v>
      </c>
      <c r="AJ5399">
        <v>100.95541682904</v>
      </c>
      <c r="AK5399">
        <v>19.555079625995202</v>
      </c>
      <c r="AL5399">
        <v>87.607148933926695</v>
      </c>
      <c r="AM5399">
        <v>91.698029522428797</v>
      </c>
      <c r="AN5399">
        <v>0.99999999005641504</v>
      </c>
    </row>
    <row r="5400" spans="1:40" x14ac:dyDescent="0.25">
      <c r="A5400" t="str">
        <f>"20190312154712286"</f>
        <v>20190312154712286</v>
      </c>
      <c r="B5400" t="str">
        <f>"1552376832283957"</f>
        <v>1552376832283957</v>
      </c>
      <c r="C5400" t="s">
        <v>40</v>
      </c>
      <c r="D5400">
        <v>5.2381449999999896</v>
      </c>
      <c r="E5400">
        <v>0.43867339999999999</v>
      </c>
      <c r="F5400" t="s">
        <v>88</v>
      </c>
      <c r="G5400">
        <v>-252.2047</v>
      </c>
      <c r="H5400" s="1">
        <v>-1.6052240000000001E-7</v>
      </c>
      <c r="I5400">
        <v>-60.73695</v>
      </c>
      <c r="J5400">
        <v>-271.38260000000002</v>
      </c>
      <c r="K5400">
        <v>1.113351</v>
      </c>
      <c r="L5400">
        <v>-60.547519999999999</v>
      </c>
      <c r="M5400">
        <v>0.9798462</v>
      </c>
      <c r="N5400">
        <v>0</v>
      </c>
      <c r="O5400">
        <v>-0.19952449999999999</v>
      </c>
      <c r="P5400">
        <v>0.98468599999999995</v>
      </c>
      <c r="Q5400">
        <v>3.2641070000000001E-2</v>
      </c>
      <c r="R5400">
        <v>-0.1712562</v>
      </c>
      <c r="S5400">
        <v>3.0473940000000002</v>
      </c>
      <c r="T5400">
        <v>-0.1754454</v>
      </c>
      <c r="U5400">
        <v>-3.4667969999999999E-2</v>
      </c>
      <c r="V5400">
        <v>-2.908676E-2</v>
      </c>
      <c r="W5400">
        <v>4.1917749999999997E-2</v>
      </c>
      <c r="X5400">
        <v>0.99869759999999996</v>
      </c>
      <c r="Y5400">
        <v>-0.1877365</v>
      </c>
      <c r="Z5400">
        <v>1.6815710000000001E-2</v>
      </c>
      <c r="AA5400">
        <v>0.98207549999999999</v>
      </c>
      <c r="AB5400">
        <v>32</v>
      </c>
      <c r="AC5400">
        <v>19.177900000000001</v>
      </c>
      <c r="AD5400">
        <v>-1.11335116052239</v>
      </c>
      <c r="AE5400">
        <v>-0.18943000000000099</v>
      </c>
      <c r="AF5400">
        <v>-3.62878631066366</v>
      </c>
      <c r="AG5400">
        <v>-1.11335116052239</v>
      </c>
      <c r="AH5400">
        <v>18.766806226185299</v>
      </c>
      <c r="AI5400">
        <v>93.333521209997002</v>
      </c>
      <c r="AJ5400">
        <v>100.943766124703</v>
      </c>
      <c r="AK5400">
        <v>19.146818451802499</v>
      </c>
      <c r="AL5400">
        <v>87.597585982086201</v>
      </c>
      <c r="AM5400">
        <v>91.668250341307001</v>
      </c>
      <c r="AN5400">
        <v>1.0000000168090599</v>
      </c>
    </row>
    <row r="5401" spans="1:40" x14ac:dyDescent="0.25">
      <c r="A5401" t="str">
        <f>"20190312154712297"</f>
        <v>20190312154712297</v>
      </c>
      <c r="B5401" t="str">
        <f>"1552376832293718"</f>
        <v>1552376832293718</v>
      </c>
      <c r="C5401" t="s">
        <v>40</v>
      </c>
      <c r="D5401">
        <v>5.2206289999999997</v>
      </c>
      <c r="E5401">
        <v>0.43856420000000002</v>
      </c>
      <c r="F5401" t="s">
        <v>88</v>
      </c>
      <c r="G5401">
        <v>-252.0042</v>
      </c>
      <c r="H5401" s="1">
        <v>-7.3108419999999997E-8</v>
      </c>
      <c r="I5401">
        <v>-60.730510000000002</v>
      </c>
      <c r="J5401">
        <v>-271.22199999999998</v>
      </c>
      <c r="K5401">
        <v>1.1134459999999999</v>
      </c>
      <c r="L5401">
        <v>-60.577849999999998</v>
      </c>
      <c r="M5401">
        <v>0.98034699999999997</v>
      </c>
      <c r="N5401">
        <v>0</v>
      </c>
      <c r="O5401">
        <v>-0.19703889999999999</v>
      </c>
      <c r="P5401">
        <v>0.98504000000000003</v>
      </c>
      <c r="Q5401">
        <v>3.2461719999999999E-2</v>
      </c>
      <c r="R5401">
        <v>-0.169241</v>
      </c>
      <c r="S5401">
        <v>3.047485</v>
      </c>
      <c r="T5401">
        <v>-0.17508789999999999</v>
      </c>
      <c r="U5401">
        <v>-2.8778080000000001E-2</v>
      </c>
      <c r="V5401">
        <v>-2.8607199999999999E-2</v>
      </c>
      <c r="W5401">
        <v>4.1926320000000003E-2</v>
      </c>
      <c r="X5401">
        <v>0.99871100000000002</v>
      </c>
      <c r="Y5401">
        <v>-0.18715190000000001</v>
      </c>
      <c r="Z5401">
        <v>1.6624509999999999E-2</v>
      </c>
      <c r="AA5401">
        <v>0.98219029999999996</v>
      </c>
      <c r="AB5401">
        <v>32</v>
      </c>
      <c r="AC5401">
        <v>19.217799999999901</v>
      </c>
      <c r="AD5401">
        <v>-1.1134460731084199</v>
      </c>
      <c r="AE5401">
        <v>-0.15265999999999699</v>
      </c>
      <c r="AF5401">
        <v>-3.6250001648715999</v>
      </c>
      <c r="AG5401">
        <v>-1.1134460731084199</v>
      </c>
      <c r="AH5401">
        <v>18.807961613052498</v>
      </c>
      <c r="AI5401">
        <v>93.3269118919128</v>
      </c>
      <c r="AJ5401">
        <v>100.909275024813</v>
      </c>
      <c r="AK5401">
        <v>19.1864485611875</v>
      </c>
      <c r="AL5401">
        <v>87.597094304144306</v>
      </c>
      <c r="AM5401">
        <v>91.640738678043803</v>
      </c>
      <c r="AN5401">
        <v>0.99999992486078804</v>
      </c>
    </row>
    <row r="5402" spans="1:40" x14ac:dyDescent="0.25">
      <c r="A5402" t="str">
        <f>"20190312154712310"</f>
        <v>20190312154712310</v>
      </c>
      <c r="B5402" t="str">
        <f>"1552376832303477"</f>
        <v>1552376832303477</v>
      </c>
      <c r="C5402" t="s">
        <v>40</v>
      </c>
      <c r="D5402">
        <v>5.238308</v>
      </c>
      <c r="E5402">
        <v>0.43853740000000002</v>
      </c>
      <c r="F5402" t="s">
        <v>88</v>
      </c>
      <c r="G5402">
        <v>-252.0301</v>
      </c>
      <c r="H5402" s="1">
        <v>-8.0744369999999898E-8</v>
      </c>
      <c r="I5402">
        <v>-60.715069999999997</v>
      </c>
      <c r="J5402">
        <v>-271.05110000000002</v>
      </c>
      <c r="K5402">
        <v>1.113545</v>
      </c>
      <c r="L5402">
        <v>-60.609589999999997</v>
      </c>
      <c r="M5402">
        <v>0.98088430000000004</v>
      </c>
      <c r="N5402">
        <v>0</v>
      </c>
      <c r="O5402">
        <v>-0.19433829999999999</v>
      </c>
      <c r="P5402">
        <v>0.98545190000000005</v>
      </c>
      <c r="Q5402">
        <v>3.2312420000000001E-2</v>
      </c>
      <c r="R5402">
        <v>-0.16685559999999999</v>
      </c>
      <c r="S5402">
        <v>3.0476380000000001</v>
      </c>
      <c r="T5402">
        <v>-0.17681250000000001</v>
      </c>
      <c r="U5402">
        <v>-2.1789550000000001E-2</v>
      </c>
      <c r="V5402">
        <v>-2.82857E-2</v>
      </c>
      <c r="W5402">
        <v>4.1962529999999998E-2</v>
      </c>
      <c r="X5402">
        <v>0.99871869999999996</v>
      </c>
      <c r="Y5402">
        <v>-0.18669240000000001</v>
      </c>
      <c r="Z5402">
        <v>1.662048E-2</v>
      </c>
      <c r="AA5402">
        <v>0.98227779999999998</v>
      </c>
      <c r="AB5402">
        <v>32</v>
      </c>
      <c r="AC5402">
        <v>19.021000000000001</v>
      </c>
      <c r="AD5402">
        <v>-1.1135450807443701</v>
      </c>
      <c r="AE5402">
        <v>-0.105479999999992</v>
      </c>
      <c r="AF5402">
        <v>-3.5809497845837099</v>
      </c>
      <c r="AG5402">
        <v>-1.1135450807443701</v>
      </c>
      <c r="AH5402">
        <v>18.6150232677847</v>
      </c>
      <c r="AI5402">
        <v>93.361843359979602</v>
      </c>
      <c r="AJ5402">
        <v>100.888903651002</v>
      </c>
      <c r="AK5402">
        <v>18.989004062002</v>
      </c>
      <c r="AL5402">
        <v>87.595017948884902</v>
      </c>
      <c r="AM5402">
        <v>91.6222967607887</v>
      </c>
      <c r="AN5402">
        <v>0.99999998823908998</v>
      </c>
    </row>
    <row r="5403" spans="1:40" x14ac:dyDescent="0.25">
      <c r="A5403" t="str">
        <f>"20190312154712322"</f>
        <v>20190312154712322</v>
      </c>
      <c r="B5403" t="str">
        <f>"1552376832313239"</f>
        <v>1552376832313239</v>
      </c>
      <c r="C5403" t="s">
        <v>40</v>
      </c>
      <c r="D5403">
        <v>5.2517469999999999</v>
      </c>
      <c r="E5403">
        <v>0.43844660000000002</v>
      </c>
      <c r="F5403" t="s">
        <v>88</v>
      </c>
      <c r="G5403">
        <v>-251.75640000000001</v>
      </c>
      <c r="H5403" s="1">
        <v>4.0117750000000002E-8</v>
      </c>
      <c r="I5403">
        <v>-60.69943</v>
      </c>
      <c r="J5403">
        <v>-270.87650000000002</v>
      </c>
      <c r="K5403">
        <v>1.113645</v>
      </c>
      <c r="L5403">
        <v>-60.641660000000002</v>
      </c>
      <c r="M5403">
        <v>0.98143420000000003</v>
      </c>
      <c r="N5403">
        <v>0</v>
      </c>
      <c r="O5403">
        <v>-0.1915318</v>
      </c>
      <c r="P5403">
        <v>0.98587089999999999</v>
      </c>
      <c r="Q5403">
        <v>3.2471609999999998E-2</v>
      </c>
      <c r="R5403">
        <v>-0.16433020000000001</v>
      </c>
      <c r="S5403">
        <v>3.0476679999999998</v>
      </c>
      <c r="T5403">
        <v>-0.175888299999999</v>
      </c>
      <c r="U5403">
        <v>-1.4190670000000001E-2</v>
      </c>
      <c r="V5403">
        <v>-2.799956E-2</v>
      </c>
      <c r="W5403">
        <v>4.2300780000000003E-2</v>
      </c>
      <c r="X5403">
        <v>0.9987125</v>
      </c>
      <c r="Y5403">
        <v>-0.18634390000000001</v>
      </c>
      <c r="Z5403">
        <v>1.6364879999999998E-2</v>
      </c>
      <c r="AA5403">
        <v>0.98234829999999995</v>
      </c>
      <c r="AB5403">
        <v>32</v>
      </c>
      <c r="AC5403">
        <v>19.120100000000001</v>
      </c>
      <c r="AD5403">
        <v>-1.11364495988225</v>
      </c>
      <c r="AE5403">
        <v>-5.7770000000011999E-2</v>
      </c>
      <c r="AF5403">
        <v>-3.5934041467824902</v>
      </c>
      <c r="AG5403">
        <v>-1.11364495988225</v>
      </c>
      <c r="AH5403">
        <v>18.713662465040901</v>
      </c>
      <c r="AI5403">
        <v>93.344678288948501</v>
      </c>
      <c r="AJ5403">
        <v>100.86965023616</v>
      </c>
      <c r="AK5403">
        <v>19.088057033503102</v>
      </c>
      <c r="AL5403">
        <v>87.575620442649694</v>
      </c>
      <c r="AM5403">
        <v>91.605904101697604</v>
      </c>
      <c r="AN5403">
        <v>0.99999999450252597</v>
      </c>
    </row>
    <row r="5404" spans="1:40" x14ac:dyDescent="0.25">
      <c r="A5404" t="str">
        <f>"20190312154712333"</f>
        <v>20190312154712333</v>
      </c>
      <c r="B5404" t="str">
        <f>"1552376832322997"</f>
        <v>1552376832322997</v>
      </c>
      <c r="C5404" t="s">
        <v>40</v>
      </c>
      <c r="D5404">
        <v>5.2490740000000002</v>
      </c>
      <c r="E5404">
        <v>0.43854349999999998</v>
      </c>
      <c r="F5404" t="s">
        <v>88</v>
      </c>
      <c r="G5404">
        <v>-251.9614</v>
      </c>
      <c r="H5404" s="1">
        <v>-4.2682760000000002E-8</v>
      </c>
      <c r="I5404">
        <v>-60.676319999999997</v>
      </c>
      <c r="J5404">
        <v>-270.7253</v>
      </c>
      <c r="K5404">
        <v>1.1137330000000001</v>
      </c>
      <c r="L5404">
        <v>-60.668669999999999</v>
      </c>
      <c r="M5404">
        <v>0.98191980000000001</v>
      </c>
      <c r="N5404">
        <v>0</v>
      </c>
      <c r="O5404">
        <v>-0.1890192</v>
      </c>
      <c r="P5404">
        <v>0.98624940000000005</v>
      </c>
      <c r="Q5404">
        <v>3.2758389999999998E-2</v>
      </c>
      <c r="R5404">
        <v>-0.16198580000000001</v>
      </c>
      <c r="S5404">
        <v>3.047974</v>
      </c>
      <c r="T5404">
        <v>-0.1794529</v>
      </c>
      <c r="U5404">
        <v>-5.5847170000000003E-3</v>
      </c>
      <c r="V5404">
        <v>-2.782857E-2</v>
      </c>
      <c r="W5404">
        <v>4.2726680000000003E-2</v>
      </c>
      <c r="X5404">
        <v>0.99869909999999995</v>
      </c>
      <c r="Y5404">
        <v>-0.1865821</v>
      </c>
      <c r="Z5404">
        <v>1.655643E-2</v>
      </c>
      <c r="AA5404">
        <v>0.9822999</v>
      </c>
      <c r="AB5404">
        <v>32</v>
      </c>
      <c r="AC5404">
        <v>18.7639</v>
      </c>
      <c r="AD5404">
        <v>-1.1137330426827601</v>
      </c>
      <c r="AE5404">
        <v>-7.6499999999981496E-3</v>
      </c>
      <c r="AF5404">
        <v>-3.52698627768978</v>
      </c>
      <c r="AG5404">
        <v>-1.1137330426827601</v>
      </c>
      <c r="AH5404">
        <v>18.3623695512551</v>
      </c>
      <c r="AI5404">
        <v>93.408749686998505</v>
      </c>
      <c r="AJ5404">
        <v>100.87277244138799</v>
      </c>
      <c r="AK5404">
        <v>18.731167850143098</v>
      </c>
      <c r="AL5404">
        <v>87.551195967076396</v>
      </c>
      <c r="AM5404">
        <v>91.596123528384695</v>
      </c>
      <c r="AN5404">
        <v>0.999999945416437</v>
      </c>
    </row>
    <row r="5405" spans="1:40" x14ac:dyDescent="0.25">
      <c r="A5405" t="str">
        <f>"20190312154712345"</f>
        <v>20190312154712345</v>
      </c>
      <c r="B5405" t="str">
        <f>"1552376832333733"</f>
        <v>1552376832333733</v>
      </c>
      <c r="C5405" t="s">
        <v>40</v>
      </c>
      <c r="D5405">
        <v>5.2425160000000002</v>
      </c>
      <c r="E5405">
        <v>0.4385925</v>
      </c>
      <c r="F5405" t="s">
        <v>88</v>
      </c>
      <c r="G5405">
        <v>-251.62049999999999</v>
      </c>
      <c r="H5405" s="1">
        <v>1.065998E-7</v>
      </c>
      <c r="I5405">
        <v>-60.662739999999999</v>
      </c>
      <c r="J5405">
        <v>-270.55079999999998</v>
      </c>
      <c r="K5405">
        <v>1.1138349999999999</v>
      </c>
      <c r="L5405">
        <v>-60.699579999999997</v>
      </c>
      <c r="M5405">
        <v>0.98247689999999999</v>
      </c>
      <c r="N5405">
        <v>0</v>
      </c>
      <c r="O5405">
        <v>-0.18609239999999999</v>
      </c>
      <c r="P5405">
        <v>0.98666699999999996</v>
      </c>
      <c r="Q5405">
        <v>3.2651380000000001E-2</v>
      </c>
      <c r="R5405">
        <v>-0.15944430000000001</v>
      </c>
      <c r="S5405">
        <v>3.047882</v>
      </c>
      <c r="T5405">
        <v>-0.17767920000000001</v>
      </c>
      <c r="U5405">
        <v>9.4604490000000003E-4</v>
      </c>
      <c r="V5405">
        <v>-2.7437059999999999E-2</v>
      </c>
      <c r="W5405">
        <v>4.277719E-2</v>
      </c>
      <c r="X5405">
        <v>0.99870780000000003</v>
      </c>
      <c r="Y5405">
        <v>-0.1857789</v>
      </c>
      <c r="Z5405">
        <v>1.6202589999999999E-2</v>
      </c>
      <c r="AA5405">
        <v>0.98245800000000005</v>
      </c>
      <c r="AB5405">
        <v>32</v>
      </c>
      <c r="AC5405">
        <v>18.9302999999999</v>
      </c>
      <c r="AD5405">
        <v>-1.1138348934002</v>
      </c>
      <c r="AE5405">
        <v>3.6840000000005001E-2</v>
      </c>
      <c r="AF5405">
        <v>-3.5468936735855299</v>
      </c>
      <c r="AG5405">
        <v>-1.1138348934002</v>
      </c>
      <c r="AH5405">
        <v>18.528592231637202</v>
      </c>
      <c r="AI5405">
        <v>93.378953127997704</v>
      </c>
      <c r="AJ5405">
        <v>100.836920926264</v>
      </c>
      <c r="AK5405">
        <v>18.897878531405699</v>
      </c>
      <c r="AL5405">
        <v>87.548299381339206</v>
      </c>
      <c r="AM5405">
        <v>91.573665918793395</v>
      </c>
      <c r="AN5405">
        <v>0.99999997501328897</v>
      </c>
    </row>
    <row r="5406" spans="1:40" x14ac:dyDescent="0.25">
      <c r="A5406" t="str">
        <f>"20190312154712357"</f>
        <v>20190312154712357</v>
      </c>
      <c r="B5406" t="str">
        <f>"1552376832353254"</f>
        <v>1552376832353254</v>
      </c>
      <c r="C5406" t="s">
        <v>40</v>
      </c>
      <c r="D5406">
        <v>5.1996370000000001</v>
      </c>
      <c r="E5406">
        <v>0.4387894</v>
      </c>
      <c r="F5406" t="s">
        <v>88</v>
      </c>
      <c r="G5406">
        <v>-251.38480000000001</v>
      </c>
      <c r="H5406" s="1">
        <v>2.1141850000000001E-7</v>
      </c>
      <c r="I5406">
        <v>-60.646039999999999</v>
      </c>
      <c r="J5406">
        <v>-270.3861</v>
      </c>
      <c r="K5406">
        <v>1.113931</v>
      </c>
      <c r="L5406">
        <v>-60.728029999999997</v>
      </c>
      <c r="M5406">
        <v>0.98301059999999996</v>
      </c>
      <c r="N5406">
        <v>0</v>
      </c>
      <c r="O5406">
        <v>-0.18324380000000001</v>
      </c>
      <c r="P5406">
        <v>0.98699159999999997</v>
      </c>
      <c r="Q5406">
        <v>3.2934669999999999E-2</v>
      </c>
      <c r="R5406">
        <v>-0.1573611</v>
      </c>
      <c r="S5406">
        <v>3.0477910000000001</v>
      </c>
      <c r="T5406">
        <v>-0.17712240000000001</v>
      </c>
      <c r="U5406">
        <v>8.5144039999999997E-3</v>
      </c>
      <c r="V5406">
        <v>-2.6662700000000001E-2</v>
      </c>
      <c r="W5406">
        <v>4.3200219999999998E-2</v>
      </c>
      <c r="X5406">
        <v>0.9987106</v>
      </c>
      <c r="Y5406">
        <v>-0.18538019999999999</v>
      </c>
      <c r="Z5406">
        <v>1.5978160000000002E-2</v>
      </c>
      <c r="AA5406">
        <v>0.98253699999999999</v>
      </c>
      <c r="AB5406">
        <v>32</v>
      </c>
      <c r="AC5406">
        <v>19.001299999999901</v>
      </c>
      <c r="AD5406">
        <v>-1.1139307885815</v>
      </c>
      <c r="AE5406">
        <v>8.1990000000004601E-2</v>
      </c>
      <c r="AF5406">
        <v>-3.55046485472747</v>
      </c>
      <c r="AG5406">
        <v>-1.1139307885815</v>
      </c>
      <c r="AH5406">
        <v>18.600574577044199</v>
      </c>
      <c r="AI5406">
        <v>93.366536088562398</v>
      </c>
      <c r="AJ5406">
        <v>100.80658465425</v>
      </c>
      <c r="AK5406">
        <v>18.969133271781001</v>
      </c>
      <c r="AL5406">
        <v>87.524039207827698</v>
      </c>
      <c r="AM5406">
        <v>91.529269235637202</v>
      </c>
      <c r="AN5406">
        <v>1.00000001056584</v>
      </c>
    </row>
    <row r="5407" spans="1:40" x14ac:dyDescent="0.25">
      <c r="A5407" t="str">
        <f>"20190312154712368"</f>
        <v>20190312154712368</v>
      </c>
      <c r="B5407" t="str">
        <f>"1552376832363014"</f>
        <v>1552376832363014</v>
      </c>
      <c r="C5407" t="s">
        <v>40</v>
      </c>
      <c r="D5407">
        <v>5.1837039999999996</v>
      </c>
      <c r="E5407">
        <v>0.4388917</v>
      </c>
      <c r="F5407" t="s">
        <v>88</v>
      </c>
      <c r="G5407">
        <v>-250.92670000000001</v>
      </c>
      <c r="H5407" s="1">
        <v>4.0895169999999999E-7</v>
      </c>
      <c r="I5407">
        <v>-60.641509999999997</v>
      </c>
      <c r="J5407">
        <v>-270.23610000000002</v>
      </c>
      <c r="K5407">
        <v>1.1140159999999999</v>
      </c>
      <c r="L5407">
        <v>-60.753599999999999</v>
      </c>
      <c r="M5407">
        <v>0.98349560000000003</v>
      </c>
      <c r="N5407">
        <v>0</v>
      </c>
      <c r="O5407">
        <v>-0.1806162</v>
      </c>
      <c r="P5407">
        <v>0.98723119999999998</v>
      </c>
      <c r="Q5407">
        <v>3.3855490000000002E-2</v>
      </c>
      <c r="R5407">
        <v>-0.15565560000000001</v>
      </c>
      <c r="S5407">
        <v>3.0475460000000001</v>
      </c>
      <c r="T5407">
        <v>-0.17445339999999901</v>
      </c>
      <c r="U5407">
        <v>1.3549800000000001E-2</v>
      </c>
      <c r="V5407">
        <v>-2.5733829999999999E-2</v>
      </c>
      <c r="W5407">
        <v>4.4248740000000002E-2</v>
      </c>
      <c r="X5407">
        <v>0.9986891</v>
      </c>
      <c r="Y5407">
        <v>-0.18440239999999999</v>
      </c>
      <c r="Z5407">
        <v>1.556303E-2</v>
      </c>
      <c r="AA5407">
        <v>0.98272760000000003</v>
      </c>
      <c r="AB5407">
        <v>32</v>
      </c>
      <c r="AC5407">
        <v>19.3094</v>
      </c>
      <c r="AD5407">
        <v>-1.1140155910482901</v>
      </c>
      <c r="AE5407">
        <v>0.11209000000000199</v>
      </c>
      <c r="AF5407">
        <v>-3.58610008187107</v>
      </c>
      <c r="AG5407">
        <v>-1.1140155910482901</v>
      </c>
      <c r="AH5407">
        <v>18.908613230080501</v>
      </c>
      <c r="AI5407">
        <v>93.312810194153798</v>
      </c>
      <c r="AJ5407">
        <v>100.738849657331</v>
      </c>
      <c r="AK5407">
        <v>19.277883670648801</v>
      </c>
      <c r="AL5407">
        <v>87.463906024528598</v>
      </c>
      <c r="AM5407">
        <v>91.476048603987707</v>
      </c>
      <c r="AN5407">
        <v>1.00000004972843</v>
      </c>
    </row>
    <row r="5408" spans="1:40" x14ac:dyDescent="0.25">
      <c r="A5408" t="str">
        <f>"20190312154712381"</f>
        <v>20190312154712381</v>
      </c>
      <c r="B5408" t="str">
        <f>"1552376832373749"</f>
        <v>1552376832373749</v>
      </c>
      <c r="C5408" t="s">
        <v>40</v>
      </c>
      <c r="D5408">
        <v>5.2281529999999998</v>
      </c>
      <c r="E5408">
        <v>0.43896010000000002</v>
      </c>
      <c r="F5408" t="s">
        <v>88</v>
      </c>
      <c r="G5408">
        <v>-250.30510000000001</v>
      </c>
      <c r="H5408" s="1">
        <v>6.772372E-7</v>
      </c>
      <c r="I5408">
        <v>-60.634250000000002</v>
      </c>
      <c r="J5408">
        <v>-270.0444</v>
      </c>
      <c r="K5408">
        <v>1.1141239999999999</v>
      </c>
      <c r="L5408">
        <v>-60.785609999999998</v>
      </c>
      <c r="M5408">
        <v>0.98411599999999999</v>
      </c>
      <c r="N5408">
        <v>0</v>
      </c>
      <c r="O5408">
        <v>-0.1771952</v>
      </c>
      <c r="P5408">
        <v>0.98762919999999998</v>
      </c>
      <c r="Q5408">
        <v>3.3649239999999997E-2</v>
      </c>
      <c r="R5408">
        <v>-0.1531536</v>
      </c>
      <c r="S5408">
        <v>3.0475159999999999</v>
      </c>
      <c r="T5408">
        <v>-0.1703365</v>
      </c>
      <c r="U5408">
        <v>1.824951E-2</v>
      </c>
      <c r="V5408">
        <v>-2.4802870000000001E-2</v>
      </c>
      <c r="W5408">
        <v>4.4200620000000003E-2</v>
      </c>
      <c r="X5408">
        <v>0.99871469999999996</v>
      </c>
      <c r="Y5408">
        <v>-0.18253649999999999</v>
      </c>
      <c r="Z5408">
        <v>1.4955939999999999E-2</v>
      </c>
      <c r="AA5408">
        <v>0.98308530000000005</v>
      </c>
      <c r="AB5408">
        <v>32</v>
      </c>
      <c r="AC5408">
        <v>19.739299999999901</v>
      </c>
      <c r="AD5408">
        <v>-1.11412332276279</v>
      </c>
      <c r="AE5408">
        <v>0.151359999999996</v>
      </c>
      <c r="AF5408">
        <v>-3.6352991358108699</v>
      </c>
      <c r="AG5408">
        <v>-1.11412332276279</v>
      </c>
      <c r="AH5408">
        <v>19.338478352613901</v>
      </c>
      <c r="AI5408">
        <v>93.240628011992996</v>
      </c>
      <c r="AJ5408">
        <v>100.646369644621</v>
      </c>
      <c r="AK5408">
        <v>19.708714204119602</v>
      </c>
      <c r="AL5408">
        <v>87.466665581591101</v>
      </c>
      <c r="AM5408">
        <v>91.422636230842102</v>
      </c>
      <c r="AN5408">
        <v>0.99999996458235496</v>
      </c>
    </row>
    <row r="5409" spans="1:40" x14ac:dyDescent="0.25">
      <c r="A5409" t="str">
        <f>"20190312154712394"</f>
        <v>20190312154712394</v>
      </c>
      <c r="B5409" t="str">
        <f>"1552376832383510"</f>
        <v>1552376832383510</v>
      </c>
      <c r="C5409" t="s">
        <v>40</v>
      </c>
      <c r="D5409">
        <v>5.2098250000000004</v>
      </c>
      <c r="E5409">
        <v>0.43907279999999999</v>
      </c>
      <c r="F5409" t="s">
        <v>88</v>
      </c>
      <c r="G5409">
        <v>-250.01050000000001</v>
      </c>
      <c r="H5409" s="1">
        <v>8.0769090000000004E-7</v>
      </c>
      <c r="I5409">
        <v>-60.61589</v>
      </c>
      <c r="J5409">
        <v>-269.86329999999998</v>
      </c>
      <c r="K5409">
        <v>1.113953</v>
      </c>
      <c r="L5409">
        <v>-60.815190000000001</v>
      </c>
      <c r="M5409">
        <v>0.98469609999999996</v>
      </c>
      <c r="N5409">
        <v>0</v>
      </c>
      <c r="O5409">
        <v>-0.17396429999999999</v>
      </c>
      <c r="P5409">
        <v>0.98797080000000004</v>
      </c>
      <c r="Q5409">
        <v>3.3702280000000001E-2</v>
      </c>
      <c r="R5409">
        <v>-0.15092429999999901</v>
      </c>
      <c r="S5409">
        <v>3.0473940000000002</v>
      </c>
      <c r="T5409">
        <v>-0.16947100000000001</v>
      </c>
      <c r="U5409">
        <v>2.581787E-2</v>
      </c>
      <c r="V5409">
        <v>-2.3769289999999998E-2</v>
      </c>
      <c r="W5409">
        <v>4.3904329999999998E-2</v>
      </c>
      <c r="X5409">
        <v>0.998753</v>
      </c>
      <c r="Y5409">
        <v>-0.18176249999999999</v>
      </c>
      <c r="Z5409">
        <v>1.468204E-2</v>
      </c>
      <c r="AA5409">
        <v>0.98323289999999997</v>
      </c>
      <c r="AB5409">
        <v>32</v>
      </c>
      <c r="AC5409">
        <v>19.852799999999899</v>
      </c>
      <c r="AD5409">
        <v>-1.1139521923091</v>
      </c>
      <c r="AE5409">
        <v>0.1993</v>
      </c>
      <c r="AF5409">
        <v>-3.6386743350011299</v>
      </c>
      <c r="AG5409">
        <v>-1.1139521923091</v>
      </c>
      <c r="AH5409">
        <v>19.454133974596999</v>
      </c>
      <c r="AI5409">
        <v>93.221458969105996</v>
      </c>
      <c r="AJ5409">
        <v>100.59411570848999</v>
      </c>
      <c r="AK5409">
        <v>19.8228194035187</v>
      </c>
      <c r="AL5409">
        <v>87.483658490663998</v>
      </c>
      <c r="AM5409">
        <v>91.3633230313973</v>
      </c>
      <c r="AN5409">
        <v>1.0000000621744201</v>
      </c>
    </row>
    <row r="5410" spans="1:40" x14ac:dyDescent="0.25">
      <c r="A5410" t="str">
        <f>"20190312154712410"</f>
        <v>20190312154712410</v>
      </c>
      <c r="B5410" t="str">
        <f>"1552376832403029"</f>
        <v>1552376832403029</v>
      </c>
      <c r="C5410" t="s">
        <v>40</v>
      </c>
      <c r="D5410">
        <v>5.1786190000000003</v>
      </c>
      <c r="E5410">
        <v>0.43946420000000003</v>
      </c>
      <c r="F5410" t="s">
        <v>87</v>
      </c>
      <c r="G5410">
        <v>-249.6763</v>
      </c>
      <c r="H5410" s="1">
        <v>-3.1964489999999999E-6</v>
      </c>
      <c r="I5410">
        <v>-60.602440000000001</v>
      </c>
      <c r="J5410">
        <v>-269.62110000000001</v>
      </c>
      <c r="K5410">
        <v>1.113607</v>
      </c>
      <c r="L5410">
        <v>-60.854190000000003</v>
      </c>
      <c r="M5410">
        <v>0.98544560000000003</v>
      </c>
      <c r="N5410">
        <v>0</v>
      </c>
      <c r="O5410">
        <v>-0.1697111</v>
      </c>
      <c r="P5410">
        <v>0.98825130000000005</v>
      </c>
      <c r="Q5410">
        <v>3.269234E-2</v>
      </c>
      <c r="R5410">
        <v>-0.1493012</v>
      </c>
      <c r="S5410">
        <v>3.04718</v>
      </c>
      <c r="T5410">
        <v>-0.16814899999999999</v>
      </c>
      <c r="U5410">
        <v>3.2104489999999999E-2</v>
      </c>
      <c r="V5410">
        <v>-2.106856E-2</v>
      </c>
      <c r="W5410">
        <v>4.2194059999999999E-2</v>
      </c>
      <c r="X5410">
        <v>0.99888719999999998</v>
      </c>
      <c r="Y5410">
        <v>-0.17956240000000001</v>
      </c>
      <c r="Z5410">
        <v>1.42763E-2</v>
      </c>
      <c r="AA5410">
        <v>0.98364300000000005</v>
      </c>
      <c r="AB5410">
        <v>32</v>
      </c>
      <c r="AC5410">
        <v>19.944800000000001</v>
      </c>
      <c r="AD5410">
        <v>-1.1136101964489999</v>
      </c>
      <c r="AE5410">
        <v>0.25175000000000097</v>
      </c>
      <c r="AF5410">
        <v>-3.6218234069605799</v>
      </c>
      <c r="AG5410">
        <v>-1.1136101964489999</v>
      </c>
      <c r="AH5410">
        <v>19.551780313454699</v>
      </c>
      <c r="AI5410">
        <v>93.205455195446405</v>
      </c>
      <c r="AJ5410">
        <v>100.494659763656</v>
      </c>
      <c r="AK5410">
        <v>19.915567927790502</v>
      </c>
      <c r="AL5410">
        <v>87.581740357829602</v>
      </c>
      <c r="AM5410">
        <v>91.208305209974398</v>
      </c>
      <c r="AN5410">
        <v>0.99999993062179604</v>
      </c>
    </row>
    <row r="5411" spans="1:40" x14ac:dyDescent="0.25">
      <c r="A5411" t="str">
        <f>"20190312154712424"</f>
        <v>20190312154712424</v>
      </c>
      <c r="B5411" t="str">
        <f>"1552376832413766"</f>
        <v>1552376832413766</v>
      </c>
      <c r="C5411" t="s">
        <v>40</v>
      </c>
      <c r="D5411">
        <v>5.1963749999999997</v>
      </c>
      <c r="E5411">
        <v>0.43959880000000001</v>
      </c>
      <c r="F5411" t="s">
        <v>87</v>
      </c>
      <c r="G5411">
        <v>-249.66679999999999</v>
      </c>
      <c r="H5411" s="1">
        <v>-3.1988990000000002E-6</v>
      </c>
      <c r="I5411">
        <v>-60.626860000000001</v>
      </c>
      <c r="J5411">
        <v>-269.42739999999998</v>
      </c>
      <c r="K5411">
        <v>1.1132959999999901</v>
      </c>
      <c r="L5411">
        <v>-60.884920000000001</v>
      </c>
      <c r="M5411">
        <v>0.98602020000000001</v>
      </c>
      <c r="N5411">
        <v>0</v>
      </c>
      <c r="O5411">
        <v>-0.166381</v>
      </c>
      <c r="P5411">
        <v>0.98852839999999997</v>
      </c>
      <c r="Q5411">
        <v>3.2497060000000001E-2</v>
      </c>
      <c r="R5411">
        <v>-0.14749899999999999</v>
      </c>
      <c r="S5411">
        <v>3.0465390000000001</v>
      </c>
      <c r="T5411">
        <v>-0.17002200000000001</v>
      </c>
      <c r="U5411">
        <v>3.4698489999999999E-2</v>
      </c>
      <c r="V5411">
        <v>-1.9493150000000001E-2</v>
      </c>
      <c r="W5411">
        <v>4.1319830000000002E-2</v>
      </c>
      <c r="X5411">
        <v>0.99895579999999995</v>
      </c>
      <c r="Y5411">
        <v>-0.17707419999999999</v>
      </c>
      <c r="Z5411">
        <v>1.4185E-2</v>
      </c>
      <c r="AA5411">
        <v>0.98409530000000001</v>
      </c>
      <c r="AB5411">
        <v>33</v>
      </c>
      <c r="AC5411">
        <v>19.760599999999901</v>
      </c>
      <c r="AD5411">
        <v>-1.11329919889899</v>
      </c>
      <c r="AE5411">
        <v>0.25805999999999302</v>
      </c>
      <c r="AF5411">
        <v>-3.5311786874300299</v>
      </c>
      <c r="AG5411">
        <v>-1.11329919889899</v>
      </c>
      <c r="AH5411">
        <v>19.3807008333944</v>
      </c>
      <c r="AI5411">
        <v>93.234534238007001</v>
      </c>
      <c r="AJ5411">
        <v>100.326064472467</v>
      </c>
      <c r="AK5411">
        <v>19.731199224131402</v>
      </c>
      <c r="AL5411">
        <v>87.631873944978096</v>
      </c>
      <c r="AM5411">
        <v>91.117900808426</v>
      </c>
      <c r="AN5411">
        <v>1.00000000080089</v>
      </c>
    </row>
    <row r="5412" spans="1:40" x14ac:dyDescent="0.25">
      <c r="A5412" t="str">
        <f>"20190312154712435"</f>
        <v>20190312154712435</v>
      </c>
      <c r="B5412" t="str">
        <f>"1552376832423527"</f>
        <v>1552376832423527</v>
      </c>
      <c r="C5412" t="s">
        <v>40</v>
      </c>
      <c r="D5412">
        <v>5.2138589999999896</v>
      </c>
      <c r="E5412">
        <v>0.43973830000000003</v>
      </c>
      <c r="F5412" t="s">
        <v>87</v>
      </c>
      <c r="G5412">
        <v>-249.5575</v>
      </c>
      <c r="H5412" s="1">
        <v>-3.1523599999999998E-6</v>
      </c>
      <c r="I5412">
        <v>-60.628269999999901</v>
      </c>
      <c r="J5412">
        <v>-269.26069999999999</v>
      </c>
      <c r="K5412">
        <v>1.1130450000000001</v>
      </c>
      <c r="L5412">
        <v>-60.910800000000002</v>
      </c>
      <c r="M5412">
        <v>0.98650190000000004</v>
      </c>
      <c r="N5412">
        <v>0</v>
      </c>
      <c r="O5412">
        <v>-0.16353319999999999</v>
      </c>
      <c r="P5412">
        <v>0.98876569999999997</v>
      </c>
      <c r="Q5412">
        <v>3.2021590000000003E-2</v>
      </c>
      <c r="R5412">
        <v>-0.14600469999999999</v>
      </c>
      <c r="S5412">
        <v>3.046265</v>
      </c>
      <c r="T5412">
        <v>-0.17068050000000001</v>
      </c>
      <c r="U5412">
        <v>3.9337160000000003E-2</v>
      </c>
      <c r="V5412">
        <v>-1.80973E-2</v>
      </c>
      <c r="W5412">
        <v>4.024784E-2</v>
      </c>
      <c r="X5412">
        <v>0.99902579999999996</v>
      </c>
      <c r="Y5412">
        <v>-0.1757331</v>
      </c>
      <c r="Z5412">
        <v>1.404586E-2</v>
      </c>
      <c r="AA5412">
        <v>0.98433760000000003</v>
      </c>
      <c r="AB5412">
        <v>33</v>
      </c>
      <c r="AC5412">
        <v>19.703199999999899</v>
      </c>
      <c r="AD5412">
        <v>-1.11304815236</v>
      </c>
      <c r="AE5412">
        <v>0.282530000000008</v>
      </c>
      <c r="AF5412">
        <v>-3.48983335290648</v>
      </c>
      <c r="AG5412">
        <v>-1.11304815236</v>
      </c>
      <c r="AH5412">
        <v>19.330055148984901</v>
      </c>
      <c r="AI5412">
        <v>93.243205150775296</v>
      </c>
      <c r="AJ5412">
        <v>100.233897137472</v>
      </c>
      <c r="AK5412">
        <v>19.674065291223599</v>
      </c>
      <c r="AL5412">
        <v>87.693345535800702</v>
      </c>
      <c r="AM5412">
        <v>91.037796534374493</v>
      </c>
      <c r="AN5412">
        <v>0.999999974978797</v>
      </c>
    </row>
    <row r="5413" spans="1:40" x14ac:dyDescent="0.25">
      <c r="A5413" t="str">
        <f>"20190312154712445"</f>
        <v>20190312154712445</v>
      </c>
      <c r="B5413" t="str">
        <f>"1552376832443045"</f>
        <v>1552376832443045</v>
      </c>
      <c r="C5413" t="s">
        <v>40</v>
      </c>
      <c r="D5413">
        <v>5.12073</v>
      </c>
      <c r="E5413">
        <v>0.43983440000000001</v>
      </c>
      <c r="F5413" t="s">
        <v>87</v>
      </c>
      <c r="G5413">
        <v>-249.63740000000001</v>
      </c>
      <c r="H5413" s="1">
        <v>-3.1880880000000001E-6</v>
      </c>
      <c r="I5413">
        <v>-60.633719999999997</v>
      </c>
      <c r="J5413">
        <v>-269.10320000000002</v>
      </c>
      <c r="K5413">
        <v>1.1128199999999999</v>
      </c>
      <c r="L5413">
        <v>-60.93506</v>
      </c>
      <c r="M5413">
        <v>0.98694839999999995</v>
      </c>
      <c r="N5413">
        <v>0</v>
      </c>
      <c r="O5413">
        <v>-0.16084590000000001</v>
      </c>
      <c r="P5413">
        <v>0.9889829</v>
      </c>
      <c r="Q5413">
        <v>3.0557330000000001E-2</v>
      </c>
      <c r="R5413">
        <v>-0.14484240000000001</v>
      </c>
      <c r="S5413">
        <v>3.0460210000000001</v>
      </c>
      <c r="T5413">
        <v>-0.1727725</v>
      </c>
      <c r="U5413">
        <v>4.2999269999999999E-2</v>
      </c>
      <c r="V5413">
        <v>-1.6526079999999999E-2</v>
      </c>
      <c r="W5413">
        <v>3.8225219999999997E-2</v>
      </c>
      <c r="X5413">
        <v>0.99913249999999998</v>
      </c>
      <c r="Y5413">
        <v>-0.1742291</v>
      </c>
      <c r="Z5413">
        <v>1.402548E-2</v>
      </c>
      <c r="AA5413">
        <v>0.98460530000000002</v>
      </c>
      <c r="AB5413">
        <v>33</v>
      </c>
      <c r="AC5413">
        <v>19.465800000000002</v>
      </c>
      <c r="AD5413">
        <v>-1.112823188088</v>
      </c>
      <c r="AE5413">
        <v>0.30134000000000299</v>
      </c>
      <c r="AF5413">
        <v>-3.4173406412126499</v>
      </c>
      <c r="AG5413">
        <v>-1.112823188088</v>
      </c>
      <c r="AH5413">
        <v>19.101447423105501</v>
      </c>
      <c r="AI5413">
        <v>93.282205660616498</v>
      </c>
      <c r="AJ5413">
        <v>100.143181133813</v>
      </c>
      <c r="AK5413">
        <v>19.436612003219501</v>
      </c>
      <c r="AL5413">
        <v>87.809322545229605</v>
      </c>
      <c r="AM5413">
        <v>90.947610351566894</v>
      </c>
      <c r="AN5413">
        <v>1.00000001566023</v>
      </c>
    </row>
    <row r="5414" spans="1:40" x14ac:dyDescent="0.25">
      <c r="A5414" t="str">
        <f>"20190312154712457"</f>
        <v>20190312154712457</v>
      </c>
      <c r="B5414" t="str">
        <f>"1552376832453782"</f>
        <v>1552376832453782</v>
      </c>
      <c r="C5414" t="s">
        <v>40</v>
      </c>
      <c r="D5414">
        <v>5.1935399999999996</v>
      </c>
      <c r="E5414">
        <v>0.43996180000000001</v>
      </c>
      <c r="F5414" t="s">
        <v>88</v>
      </c>
      <c r="G5414">
        <v>-250.09309999999999</v>
      </c>
      <c r="H5414" s="1">
        <v>7.653406E-7</v>
      </c>
      <c r="I5414">
        <v>-60.64705</v>
      </c>
      <c r="J5414">
        <v>-268.92599999999999</v>
      </c>
      <c r="K5414">
        <v>1.112622</v>
      </c>
      <c r="L5414">
        <v>-60.961910000000003</v>
      </c>
      <c r="M5414">
        <v>0.98743970000000003</v>
      </c>
      <c r="N5414">
        <v>0</v>
      </c>
      <c r="O5414">
        <v>-0.15783239999999901</v>
      </c>
      <c r="P5414">
        <v>0.98925890000000005</v>
      </c>
      <c r="Q5414">
        <v>2.9524760000000001E-2</v>
      </c>
      <c r="R5414">
        <v>-0.14316039999999999</v>
      </c>
      <c r="S5414">
        <v>3.0456850000000002</v>
      </c>
      <c r="T5414">
        <v>-0.1782888</v>
      </c>
      <c r="U5414">
        <v>4.6142580000000002E-2</v>
      </c>
      <c r="V5414">
        <v>-1.5154910000000001E-2</v>
      </c>
      <c r="W5414">
        <v>3.6568900000000001E-2</v>
      </c>
      <c r="X5414">
        <v>0.9992162</v>
      </c>
      <c r="Y5414">
        <v>-0.17221349999999999</v>
      </c>
      <c r="Z5414">
        <v>1.4240589999999999E-2</v>
      </c>
      <c r="AA5414">
        <v>0.98495670000000002</v>
      </c>
      <c r="AB5414">
        <v>33</v>
      </c>
      <c r="AC5414">
        <v>18.832899999999899</v>
      </c>
      <c r="AD5414">
        <v>-1.11262123465939</v>
      </c>
      <c r="AE5414">
        <v>0.31485999999999498</v>
      </c>
      <c r="AF5414">
        <v>-3.27201500869498</v>
      </c>
      <c r="AG5414">
        <v>-1.11262123465939</v>
      </c>
      <c r="AH5414">
        <v>18.482646549295701</v>
      </c>
      <c r="AI5414">
        <v>93.392321076666306</v>
      </c>
      <c r="AJ5414">
        <v>100.03915720005899</v>
      </c>
      <c r="AK5414">
        <v>18.802984648590499</v>
      </c>
      <c r="AL5414">
        <v>87.904289066503793</v>
      </c>
      <c r="AM5414">
        <v>90.868926876167293</v>
      </c>
      <c r="AN5414">
        <v>0.99999998504337895</v>
      </c>
    </row>
    <row r="5415" spans="1:40" x14ac:dyDescent="0.25">
      <c r="A5415" t="str">
        <f>"20190312154712468"</f>
        <v>20190312154712468</v>
      </c>
      <c r="B5415" t="str">
        <f>"1552376832463541"</f>
        <v>1552376832463541</v>
      </c>
      <c r="C5415" t="s">
        <v>40</v>
      </c>
      <c r="D5415">
        <v>5.1460350000000004</v>
      </c>
      <c r="E5415">
        <v>0.44012899999999999</v>
      </c>
      <c r="F5415" t="s">
        <v>88</v>
      </c>
      <c r="G5415">
        <v>-250.34780000000001</v>
      </c>
      <c r="H5415" s="1">
        <v>6.5469819999999999E-7</v>
      </c>
      <c r="I5415">
        <v>-60.653239999999997</v>
      </c>
      <c r="J5415">
        <v>-268.77069999999998</v>
      </c>
      <c r="K5415">
        <v>1.112492</v>
      </c>
      <c r="L5415">
        <v>-60.985109999999999</v>
      </c>
      <c r="M5415">
        <v>0.98785970000000001</v>
      </c>
      <c r="N5415">
        <v>0</v>
      </c>
      <c r="O5415">
        <v>-0.1552065</v>
      </c>
      <c r="P5415">
        <v>0.98948950000000002</v>
      </c>
      <c r="Q5415">
        <v>2.8369209999999999E-2</v>
      </c>
      <c r="R5415">
        <v>-0.141795</v>
      </c>
      <c r="S5415">
        <v>3.0453800000000002</v>
      </c>
      <c r="T5415">
        <v>-0.1823833</v>
      </c>
      <c r="U5415">
        <v>5.059814E-2</v>
      </c>
      <c r="V5415">
        <v>-1.386213E-2</v>
      </c>
      <c r="W5415">
        <v>3.4877209999999999E-2</v>
      </c>
      <c r="X5415">
        <v>0.9992955</v>
      </c>
      <c r="Y5415">
        <v>-0.17101659999999999</v>
      </c>
      <c r="Z5415">
        <v>1.4377030000000001E-2</v>
      </c>
      <c r="AA5415">
        <v>0.98516329999999996</v>
      </c>
      <c r="AB5415">
        <v>33</v>
      </c>
      <c r="AC5415">
        <v>18.422899999999899</v>
      </c>
      <c r="AD5415">
        <v>-1.1124913453017999</v>
      </c>
      <c r="AE5415">
        <v>0.331869999999995</v>
      </c>
      <c r="AF5415">
        <v>-3.1756887746895299</v>
      </c>
      <c r="AG5415">
        <v>-1.1124913453017999</v>
      </c>
      <c r="AH5415">
        <v>18.082217181843401</v>
      </c>
      <c r="AI5415">
        <v>93.467690797919104</v>
      </c>
      <c r="AJ5415">
        <v>99.960985689068806</v>
      </c>
      <c r="AK5415">
        <v>18.3926402236985</v>
      </c>
      <c r="AL5415">
        <v>88.001277786571293</v>
      </c>
      <c r="AM5415">
        <v>90.794750506457703</v>
      </c>
      <c r="AN5415">
        <v>1.0000000373728799</v>
      </c>
    </row>
    <row r="5416" spans="1:40" x14ac:dyDescent="0.25">
      <c r="A5416" t="str">
        <f>"20190312154712479"</f>
        <v>20190312154712479</v>
      </c>
      <c r="B5416" t="str">
        <f>"1552376832473302"</f>
        <v>1552376832473302</v>
      </c>
      <c r="C5416" t="s">
        <v>40</v>
      </c>
      <c r="D5416">
        <v>4.907375</v>
      </c>
      <c r="E5416">
        <v>0.44021979999999999</v>
      </c>
      <c r="F5416" t="s">
        <v>88</v>
      </c>
      <c r="G5416">
        <v>-250.6172</v>
      </c>
      <c r="H5416" s="1">
        <v>5.3640110000000003E-7</v>
      </c>
      <c r="I5416">
        <v>-60.665430000000001</v>
      </c>
      <c r="J5416">
        <v>-268.60050000000001</v>
      </c>
      <c r="K5416">
        <v>1.1123989999999999</v>
      </c>
      <c r="L5416">
        <v>-61.010159999999999</v>
      </c>
      <c r="M5416">
        <v>0.98830899999999999</v>
      </c>
      <c r="N5416">
        <v>0</v>
      </c>
      <c r="O5416">
        <v>-0.15234439999999999</v>
      </c>
      <c r="P5416">
        <v>0.98980679999999999</v>
      </c>
      <c r="Q5416">
        <v>2.7250730000000001E-2</v>
      </c>
      <c r="R5416">
        <v>-0.1397851</v>
      </c>
      <c r="S5416">
        <v>3.0448909999999998</v>
      </c>
      <c r="T5416">
        <v>-0.1865985</v>
      </c>
      <c r="U5416">
        <v>5.3619380000000001E-2</v>
      </c>
      <c r="V5416">
        <v>-1.2983740000000001E-2</v>
      </c>
      <c r="W5416">
        <v>3.317589E-2</v>
      </c>
      <c r="X5416">
        <v>0.99936519999999995</v>
      </c>
      <c r="Y5416">
        <v>-0.1691233</v>
      </c>
      <c r="Z5416">
        <v>1.447936E-2</v>
      </c>
      <c r="AA5416">
        <v>0.98548849999999999</v>
      </c>
      <c r="AB5416">
        <v>34</v>
      </c>
      <c r="AC5416">
        <v>17.9833</v>
      </c>
      <c r="AD5416">
        <v>-1.1123984635988999</v>
      </c>
      <c r="AE5416">
        <v>0.34472999999999099</v>
      </c>
      <c r="AF5416">
        <v>-3.06867360192064</v>
      </c>
      <c r="AG5416">
        <v>-1.1123984635988999</v>
      </c>
      <c r="AH5416">
        <v>17.653340376614899</v>
      </c>
      <c r="AI5416">
        <v>93.552505740664301</v>
      </c>
      <c r="AJ5416">
        <v>99.861167869843101</v>
      </c>
      <c r="AK5416">
        <v>17.9525656792995</v>
      </c>
      <c r="AL5416">
        <v>88.098812678050507</v>
      </c>
      <c r="AM5416">
        <v>90.744344162724502</v>
      </c>
      <c r="AN5416">
        <v>1.00000001007635</v>
      </c>
    </row>
    <row r="5417" spans="1:40" x14ac:dyDescent="0.25">
      <c r="A5417" t="str">
        <f>"20190312154712490"</f>
        <v>20190312154712490</v>
      </c>
      <c r="B5417" t="str">
        <f>"1552376832483062"</f>
        <v>1552376832483062</v>
      </c>
      <c r="C5417" t="s">
        <v>40</v>
      </c>
      <c r="D5417">
        <v>5.0123550000000003</v>
      </c>
      <c r="E5417">
        <v>0.44021979999999999</v>
      </c>
      <c r="F5417" t="s">
        <v>88</v>
      </c>
      <c r="G5417">
        <v>-250.83269999999999</v>
      </c>
      <c r="H5417" s="1">
        <v>4.439189E-7</v>
      </c>
      <c r="I5417">
        <v>-60.665529999999997</v>
      </c>
      <c r="J5417">
        <v>-268.44670000000002</v>
      </c>
      <c r="K5417">
        <v>1.1123730000000001</v>
      </c>
      <c r="L5417">
        <v>-61.032319999999999</v>
      </c>
      <c r="M5417">
        <v>0.98870429999999998</v>
      </c>
      <c r="N5417">
        <v>0</v>
      </c>
      <c r="O5417">
        <v>-0.14977750000000001</v>
      </c>
      <c r="P5417">
        <v>0.98995679999999997</v>
      </c>
      <c r="Q5417">
        <v>2.639793E-2</v>
      </c>
      <c r="R5417">
        <v>-0.1388846</v>
      </c>
      <c r="S5417">
        <v>3.044495</v>
      </c>
      <c r="T5417">
        <v>-0.19060840000000001</v>
      </c>
      <c r="U5417">
        <v>5.9051510000000001E-2</v>
      </c>
      <c r="V5417">
        <v>-1.129061E-2</v>
      </c>
      <c r="W5417">
        <v>3.1830480000000001E-2</v>
      </c>
      <c r="X5417">
        <v>0.99942949999999997</v>
      </c>
      <c r="Y5417">
        <v>-0.16830400000000001</v>
      </c>
      <c r="Z5417">
        <v>1.460701E-2</v>
      </c>
      <c r="AA5417">
        <v>0.98562689999999997</v>
      </c>
      <c r="AB5417">
        <v>34</v>
      </c>
      <c r="AC5417">
        <v>17.614000000000001</v>
      </c>
      <c r="AD5417">
        <v>-1.1123725560811</v>
      </c>
      <c r="AE5417">
        <v>0.36678999999999401</v>
      </c>
      <c r="AF5417">
        <v>-2.9889579062875802</v>
      </c>
      <c r="AG5417">
        <v>-1.1123725560811</v>
      </c>
      <c r="AH5417">
        <v>17.2914324558099</v>
      </c>
      <c r="AI5417">
        <v>93.627170285195703</v>
      </c>
      <c r="AJ5417">
        <v>99.807107079399998</v>
      </c>
      <c r="AK5417">
        <v>17.583085009261499</v>
      </c>
      <c r="AL5417">
        <v>88.175939715233696</v>
      </c>
      <c r="AM5417">
        <v>90.647246037046301</v>
      </c>
      <c r="AN5417">
        <v>0.99999999140072604</v>
      </c>
    </row>
    <row r="5418" spans="1:40" x14ac:dyDescent="0.25">
      <c r="A5418" t="str">
        <f>"20190312154712501"</f>
        <v>20190312154712501</v>
      </c>
      <c r="B5418" t="str">
        <f>"1552376832493798"</f>
        <v>1552376832493798</v>
      </c>
      <c r="C5418" t="s">
        <v>40</v>
      </c>
      <c r="D5418">
        <v>3.5557439999999998</v>
      </c>
      <c r="E5418">
        <v>0.44021979999999999</v>
      </c>
      <c r="F5418" t="s">
        <v>88</v>
      </c>
      <c r="G5418">
        <v>-250.952</v>
      </c>
      <c r="H5418" s="1">
        <v>3.899212E-7</v>
      </c>
      <c r="I5418">
        <v>-60.678229999999999</v>
      </c>
      <c r="J5418">
        <v>-268.28379999999999</v>
      </c>
      <c r="K5418">
        <v>1.112374</v>
      </c>
      <c r="L5418">
        <v>-61.055540000000001</v>
      </c>
      <c r="M5418">
        <v>0.98911369999999998</v>
      </c>
      <c r="N5418">
        <v>0</v>
      </c>
      <c r="O5418">
        <v>-0.1470677</v>
      </c>
      <c r="P5418">
        <v>0.99014360000000001</v>
      </c>
      <c r="Q5418">
        <v>2.5716180000000002E-2</v>
      </c>
      <c r="R5418">
        <v>-0.1376761</v>
      </c>
      <c r="S5418">
        <v>3.0442809999999998</v>
      </c>
      <c r="T5418">
        <v>-0.1935656</v>
      </c>
      <c r="U5418">
        <v>6.1614990000000001E-2</v>
      </c>
      <c r="V5418">
        <v>-9.7669079999999995E-3</v>
      </c>
      <c r="W5418">
        <v>3.0637069999999999E-2</v>
      </c>
      <c r="X5418">
        <v>0.99948289999999995</v>
      </c>
      <c r="Y5418">
        <v>-0.16642319999999999</v>
      </c>
      <c r="Z5418">
        <v>1.4603700000000001E-2</v>
      </c>
      <c r="AA5418">
        <v>0.98594630000000005</v>
      </c>
      <c r="AB5418">
        <v>34</v>
      </c>
      <c r="AC5418">
        <v>17.331799999999902</v>
      </c>
      <c r="AD5418">
        <v>-1.1123736100788</v>
      </c>
      <c r="AE5418">
        <v>0.37730999999999398</v>
      </c>
      <c r="AF5418">
        <v>-2.9102051737485599</v>
      </c>
      <c r="AG5418">
        <v>-1.1123736100788</v>
      </c>
      <c r="AH5418">
        <v>17.017779236292998</v>
      </c>
      <c r="AI5418">
        <v>93.686475156629598</v>
      </c>
      <c r="AJ5418">
        <v>99.704262034797296</v>
      </c>
      <c r="AK5418">
        <v>17.300620778946499</v>
      </c>
      <c r="AL5418">
        <v>88.244350547350507</v>
      </c>
      <c r="AM5418">
        <v>90.5598743069379</v>
      </c>
      <c r="AN5418">
        <v>1.0000000449712301</v>
      </c>
    </row>
    <row r="5419" spans="1:40" x14ac:dyDescent="0.25">
      <c r="A5419" t="str">
        <f>"20190312154712677"</f>
        <v>20190312154712677</v>
      </c>
      <c r="B5419" t="str">
        <f>"1552376832673381"</f>
        <v>1552376832673381</v>
      </c>
      <c r="C5419" t="s">
        <v>40</v>
      </c>
      <c r="D5419">
        <v>4.3245300000000002</v>
      </c>
      <c r="E5419">
        <v>0.44021979999999999</v>
      </c>
      <c r="F5419" t="s">
        <v>88</v>
      </c>
      <c r="G5419">
        <v>-251.01990000000001</v>
      </c>
      <c r="H5419" s="1">
        <v>3.5896859999999899E-7</v>
      </c>
      <c r="I5419">
        <v>-60.686540000000001</v>
      </c>
      <c r="J5419">
        <v>-265.54820000000001</v>
      </c>
      <c r="K5419">
        <v>1.113775</v>
      </c>
      <c r="L5419">
        <v>-61.369230000000002</v>
      </c>
      <c r="M5419">
        <v>0.99476739999999997</v>
      </c>
      <c r="N5419">
        <v>0</v>
      </c>
      <c r="O5419">
        <v>-0.1021471</v>
      </c>
      <c r="P5419">
        <v>0.99668570000000001</v>
      </c>
      <c r="Q5419">
        <v>-8.4796790000000004E-3</v>
      </c>
      <c r="R5419">
        <v>-8.0908309999999997E-2</v>
      </c>
      <c r="S5419">
        <v>3.044006</v>
      </c>
      <c r="T5419">
        <v>-0.196136</v>
      </c>
      <c r="U5419">
        <v>6.5063480000000007E-2</v>
      </c>
      <c r="V5419">
        <v>-2.1230349999999999E-2</v>
      </c>
      <c r="W5419">
        <v>-6.7817249999999997E-3</v>
      </c>
      <c r="X5419">
        <v>0.99975159999999996</v>
      </c>
      <c r="Y5419">
        <v>-0.1229155</v>
      </c>
      <c r="Z5419">
        <v>1.0522699999999999E-2</v>
      </c>
      <c r="AA5419">
        <v>0.99236139999999995</v>
      </c>
      <c r="AB5419">
        <v>36</v>
      </c>
      <c r="AC5419">
        <v>14.5283</v>
      </c>
      <c r="AD5419">
        <v>-1.1137746410314</v>
      </c>
      <c r="AE5419">
        <v>0.68269000000000002</v>
      </c>
      <c r="AF5419">
        <v>-2.15053445135687</v>
      </c>
      <c r="AG5419">
        <v>-1.1137746410314</v>
      </c>
      <c r="AH5419">
        <v>14.298721419640399</v>
      </c>
      <c r="AI5419">
        <v>94.404623946073997</v>
      </c>
      <c r="AJ5419">
        <v>98.553204739234303</v>
      </c>
      <c r="AK5419">
        <v>14.502369689604601</v>
      </c>
      <c r="AL5419">
        <v>90.388567202482307</v>
      </c>
      <c r="AM5419">
        <v>91.216528840476499</v>
      </c>
      <c r="AN5419">
        <v>0.99999999062882805</v>
      </c>
    </row>
    <row r="5420" spans="1:40" x14ac:dyDescent="0.25">
      <c r="A5420" t="str">
        <f>"20190312154712689"</f>
        <v>20190312154712689</v>
      </c>
      <c r="B5420" t="str">
        <f>"1552376832683141"</f>
        <v>1552376832683141</v>
      </c>
      <c r="C5420" t="s">
        <v>40</v>
      </c>
      <c r="D5420">
        <v>4.9945890000000004</v>
      </c>
      <c r="E5420">
        <v>0.47226570000000001</v>
      </c>
      <c r="F5420" t="s">
        <v>88</v>
      </c>
      <c r="G5420">
        <v>-254.46780000000001</v>
      </c>
      <c r="H5420" s="1">
        <v>-1.079461E-6</v>
      </c>
      <c r="I5420">
        <v>-60.503459999999997</v>
      </c>
      <c r="J5420">
        <v>-265.36259999999999</v>
      </c>
      <c r="K5420">
        <v>1.113791</v>
      </c>
      <c r="L5420">
        <v>-61.385620000000003</v>
      </c>
      <c r="M5420">
        <v>0.99507400000000001</v>
      </c>
      <c r="N5420">
        <v>0</v>
      </c>
      <c r="O5420">
        <v>-9.9111030000000003E-2</v>
      </c>
      <c r="P5420">
        <v>0.99702029999999997</v>
      </c>
      <c r="Q5420">
        <v>-9.9013520000000004E-3</v>
      </c>
      <c r="R5420">
        <v>-7.6502529999999999E-2</v>
      </c>
      <c r="S5420">
        <v>3.0265499999999999</v>
      </c>
      <c r="T5420">
        <v>-0.3042204</v>
      </c>
      <c r="U5420">
        <v>0.23648069999999999</v>
      </c>
      <c r="V5420">
        <v>-2.2578270000000001E-2</v>
      </c>
      <c r="W5420">
        <v>-8.0780729999999999E-3</v>
      </c>
      <c r="X5420">
        <v>0.9997125</v>
      </c>
      <c r="Y5420">
        <v>-0.17495039999999901</v>
      </c>
      <c r="Z5420">
        <v>1.867707E-2</v>
      </c>
      <c r="AA5420">
        <v>0.9844001</v>
      </c>
      <c r="AB5420">
        <v>36</v>
      </c>
      <c r="AC5420">
        <v>10.894799999999901</v>
      </c>
      <c r="AD5420">
        <v>-1.1137920794609999</v>
      </c>
      <c r="AE5420">
        <v>0.88215999999999894</v>
      </c>
      <c r="AF5420">
        <v>-1.9374965323846001</v>
      </c>
      <c r="AG5420">
        <v>-1.1137920794609999</v>
      </c>
      <c r="AH5420">
        <v>10.643215159244299</v>
      </c>
      <c r="AI5420">
        <v>95.878236999558993</v>
      </c>
      <c r="AJ5420">
        <v>100.317177951087</v>
      </c>
      <c r="AK5420">
        <v>10.875313997087099</v>
      </c>
      <c r="AL5420">
        <v>90.462844496540896</v>
      </c>
      <c r="AM5420">
        <v>91.293791662528093</v>
      </c>
      <c r="AN5420">
        <v>1.00000005809791</v>
      </c>
    </row>
    <row r="5421" spans="1:40" x14ac:dyDescent="0.25">
      <c r="A5421" t="str">
        <f>"20190312154712755"</f>
        <v>20190312154712755</v>
      </c>
      <c r="B5421" t="str">
        <f>"1552376832753415"</f>
        <v>1552376832753415</v>
      </c>
      <c r="C5421" t="s">
        <v>40</v>
      </c>
      <c r="D5421">
        <v>4.8578960000000002</v>
      </c>
      <c r="E5421">
        <v>0.45437660000000002</v>
      </c>
      <c r="F5421" t="s">
        <v>64</v>
      </c>
      <c r="G5421">
        <v>-157.3501</v>
      </c>
      <c r="H5421">
        <v>42.246650000000002</v>
      </c>
      <c r="I5421">
        <v>-62.219900000000003</v>
      </c>
      <c r="J5421">
        <v>-264.29500000000002</v>
      </c>
      <c r="K5421">
        <v>1.1137709999999901</v>
      </c>
      <c r="L5421">
        <v>-61.469389999999997</v>
      </c>
      <c r="M5421">
        <v>0.99666359999999998</v>
      </c>
      <c r="N5421">
        <v>0</v>
      </c>
      <c r="O5421">
        <v>-8.1556760000000006E-2</v>
      </c>
      <c r="P5421">
        <v>0.99856920000000005</v>
      </c>
      <c r="Q5421">
        <v>-1.7364540000000001E-2</v>
      </c>
      <c r="R5421">
        <v>-5.0581420000000002E-2</v>
      </c>
      <c r="S5421">
        <v>3.0185849999999999</v>
      </c>
      <c r="T5421">
        <v>1.1495230000000001</v>
      </c>
      <c r="U5421">
        <v>-2.3315430000000002E-2</v>
      </c>
      <c r="V5421">
        <v>-3.0832040000000002E-2</v>
      </c>
      <c r="W5421">
        <v>-1.4610919999999999E-2</v>
      </c>
      <c r="X5421">
        <v>0.99941780000000002</v>
      </c>
      <c r="Y5421">
        <v>-6.3693139999999995E-2</v>
      </c>
      <c r="Z5421">
        <v>-4.1695629999999997E-2</v>
      </c>
      <c r="AA5421">
        <v>0.99709809999999999</v>
      </c>
      <c r="AB5421">
        <v>36</v>
      </c>
      <c r="AC5421">
        <v>106.9449</v>
      </c>
      <c r="AD5421">
        <v>41.132878999999903</v>
      </c>
      <c r="AE5421">
        <v>-0.75050999999999801</v>
      </c>
      <c r="AF5421">
        <v>-6.9465563313494201</v>
      </c>
      <c r="AG5421">
        <v>41.132878999999903</v>
      </c>
      <c r="AH5421">
        <v>92.906762590819298</v>
      </c>
      <c r="AI5421">
        <v>66.178516764876605</v>
      </c>
      <c r="AJ5421">
        <v>94.275998309713103</v>
      </c>
      <c r="AK5421">
        <v>101.842205960005</v>
      </c>
      <c r="AL5421">
        <v>90.837173825448701</v>
      </c>
      <c r="AM5421">
        <v>91.767014420893403</v>
      </c>
      <c r="AN5421">
        <v>1.00000001631532</v>
      </c>
    </row>
    <row r="5422" spans="1:40" x14ac:dyDescent="0.25">
      <c r="A5422" t="str">
        <f>"20190312154712767"</f>
        <v>20190312154712767</v>
      </c>
      <c r="B5422" t="str">
        <f>"1552376832763174"</f>
        <v>1552376832763174</v>
      </c>
      <c r="C5422" t="s">
        <v>40</v>
      </c>
      <c r="D5422">
        <v>4.9567259999999997</v>
      </c>
      <c r="E5422">
        <v>0.4573487</v>
      </c>
      <c r="F5422" t="s">
        <v>71</v>
      </c>
      <c r="G5422">
        <v>-179.95769999999999</v>
      </c>
      <c r="H5422">
        <v>2.438222E-2</v>
      </c>
      <c r="I5422">
        <v>-55.546239999999997</v>
      </c>
      <c r="J5422">
        <v>-264.1234</v>
      </c>
      <c r="K5422">
        <v>1.1137760000000001</v>
      </c>
      <c r="L5422">
        <v>-61.481290000000001</v>
      </c>
      <c r="M5422">
        <v>0.99688940000000004</v>
      </c>
      <c r="N5422">
        <v>0</v>
      </c>
      <c r="O5422">
        <v>-7.8741980000000003E-2</v>
      </c>
      <c r="P5422">
        <v>0.99870230000000004</v>
      </c>
      <c r="Q5422">
        <v>-1.77472999999999E-2</v>
      </c>
      <c r="R5422">
        <v>-4.7735130000000001E-2</v>
      </c>
      <c r="S5422">
        <v>3.014313</v>
      </c>
      <c r="T5422">
        <v>-3.8936020000000002E-2</v>
      </c>
      <c r="U5422">
        <v>0.21170040000000001</v>
      </c>
      <c r="V5422">
        <v>-3.0855779999999999E-2</v>
      </c>
      <c r="W5422">
        <v>-1.4815729999999999E-2</v>
      </c>
      <c r="X5422">
        <v>0.99941400000000002</v>
      </c>
      <c r="Y5422">
        <v>-0.1483717</v>
      </c>
      <c r="Z5422">
        <v>1.9727820000000002E-3</v>
      </c>
      <c r="AA5422">
        <v>0.98892970000000002</v>
      </c>
      <c r="AB5422">
        <v>36</v>
      </c>
      <c r="AC5422">
        <v>84.165700000000001</v>
      </c>
      <c r="AD5422">
        <v>-1.08939378</v>
      </c>
      <c r="AE5422">
        <v>5.9350499999999897</v>
      </c>
      <c r="AF5422">
        <v>-12.541941913141599</v>
      </c>
      <c r="AG5422">
        <v>-1.08939378</v>
      </c>
      <c r="AH5422">
        <v>83.4231179219137</v>
      </c>
      <c r="AI5422">
        <v>90.739849763268495</v>
      </c>
      <c r="AJ5422">
        <v>98.549890680546596</v>
      </c>
      <c r="AK5422">
        <v>84.367669693870596</v>
      </c>
      <c r="AL5422">
        <v>90.848909888506398</v>
      </c>
      <c r="AM5422">
        <v>91.768380839509405</v>
      </c>
      <c r="AN5422">
        <v>0.99999996420542003</v>
      </c>
    </row>
    <row r="5423" spans="1:40" x14ac:dyDescent="0.25">
      <c r="A5423" t="str">
        <f>"20190312154712779"</f>
        <v>20190312154712779</v>
      </c>
      <c r="B5423" t="str">
        <f>"1552376832773909"</f>
        <v>1552376832773909</v>
      </c>
      <c r="C5423" t="s">
        <v>40</v>
      </c>
      <c r="D5423">
        <v>4.9472060000000004</v>
      </c>
      <c r="E5423">
        <v>0.45843499999999998</v>
      </c>
      <c r="F5423" t="s">
        <v>89</v>
      </c>
      <c r="G5423">
        <v>-213.6849</v>
      </c>
      <c r="H5423" s="1">
        <v>-9.3899440000000005E-7</v>
      </c>
      <c r="I5423">
        <v>-58.189729999999997</v>
      </c>
      <c r="J5423">
        <v>-263.92290000000003</v>
      </c>
      <c r="K5423">
        <v>1.113785</v>
      </c>
      <c r="L5423">
        <v>-61.494570000000003</v>
      </c>
      <c r="M5423">
        <v>0.99714199999999997</v>
      </c>
      <c r="N5423">
        <v>0</v>
      </c>
      <c r="O5423">
        <v>-7.5465690000000002E-2</v>
      </c>
      <c r="P5423">
        <v>0.99882070000000001</v>
      </c>
      <c r="Q5423">
        <v>-1.832665E-2</v>
      </c>
      <c r="R5423">
        <v>-4.4962439999999999E-2</v>
      </c>
      <c r="S5423">
        <v>3.0121150000000001</v>
      </c>
      <c r="T5423">
        <v>-6.6513180000000005E-2</v>
      </c>
      <c r="U5423">
        <v>0.19656370000000001</v>
      </c>
      <c r="V5423">
        <v>-3.0341400000000001E-2</v>
      </c>
      <c r="W5423">
        <v>-1.5182940000000001E-2</v>
      </c>
      <c r="X5423">
        <v>0.99942430000000004</v>
      </c>
      <c r="Y5423">
        <v>-0.14018710000000001</v>
      </c>
      <c r="Z5423">
        <v>3.210264E-3</v>
      </c>
      <c r="AA5423">
        <v>0.99011979999999999</v>
      </c>
      <c r="AB5423">
        <v>36</v>
      </c>
      <c r="AC5423">
        <v>50.238</v>
      </c>
      <c r="AD5423">
        <v>-1.11378593899439</v>
      </c>
      <c r="AE5423">
        <v>3.3048399999999898</v>
      </c>
      <c r="AF5423">
        <v>-7.0832187969100397</v>
      </c>
      <c r="AG5423">
        <v>-1.11378593899439</v>
      </c>
      <c r="AH5423">
        <v>49.820953471456797</v>
      </c>
      <c r="AI5423">
        <v>91.267931921045303</v>
      </c>
      <c r="AJ5423">
        <v>98.091711633089403</v>
      </c>
      <c r="AK5423">
        <v>50.334281682049102</v>
      </c>
      <c r="AL5423">
        <v>90.869951785234903</v>
      </c>
      <c r="AM5423">
        <v>91.738901462658006</v>
      </c>
      <c r="AN5423">
        <v>1.0000000268257401</v>
      </c>
    </row>
    <row r="5424" spans="1:40" x14ac:dyDescent="0.25">
      <c r="A5424" t="str">
        <f>"20190312154712792"</f>
        <v>20190312154712792</v>
      </c>
      <c r="B5424" t="str">
        <f>"1552376832783670"</f>
        <v>1552376832783670</v>
      </c>
      <c r="C5424" t="s">
        <v>40</v>
      </c>
      <c r="D5424">
        <v>4.8763050000000003</v>
      </c>
      <c r="E5424">
        <v>0.45924100000000001</v>
      </c>
      <c r="F5424" t="s">
        <v>90</v>
      </c>
      <c r="G5424">
        <v>-221.2697</v>
      </c>
      <c r="H5424" s="1">
        <v>-7.1136469999999994E-8</v>
      </c>
      <c r="I5424">
        <v>-58.713880000000003</v>
      </c>
      <c r="J5424">
        <v>-263.72340000000003</v>
      </c>
      <c r="K5424">
        <v>1.1137999999999999</v>
      </c>
      <c r="L5424">
        <v>-61.507109999999997</v>
      </c>
      <c r="M5424">
        <v>0.99738190000000004</v>
      </c>
      <c r="N5424">
        <v>0</v>
      </c>
      <c r="O5424">
        <v>-7.2218089999999999E-2</v>
      </c>
      <c r="P5424">
        <v>0.99891669999999999</v>
      </c>
      <c r="Q5424">
        <v>-1.9147520000000001E-2</v>
      </c>
      <c r="R5424">
        <v>-4.2415710000000002E-2</v>
      </c>
      <c r="S5424">
        <v>3.0108950000000001</v>
      </c>
      <c r="T5424">
        <v>-7.8622220000000007E-2</v>
      </c>
      <c r="U5424">
        <v>0.19628909999999999</v>
      </c>
      <c r="V5424">
        <v>-2.962532E-2</v>
      </c>
      <c r="W5424">
        <v>-1.5795500000000001E-2</v>
      </c>
      <c r="X5424">
        <v>0.99943630000000006</v>
      </c>
      <c r="Y5424">
        <v>-0.13687949999999999</v>
      </c>
      <c r="Z5424">
        <v>3.668312E-3</v>
      </c>
      <c r="AA5424">
        <v>0.99058089999999999</v>
      </c>
      <c r="AB5424">
        <v>36</v>
      </c>
      <c r="AC5424">
        <v>42.453699999999998</v>
      </c>
      <c r="AD5424">
        <v>-1.1138000711364699</v>
      </c>
      <c r="AE5424">
        <v>2.7932299999999901</v>
      </c>
      <c r="AF5424">
        <v>-5.8478750273673299</v>
      </c>
      <c r="AG5424">
        <v>-1.1138000711364699</v>
      </c>
      <c r="AH5424">
        <v>42.112261661732099</v>
      </c>
      <c r="AI5424">
        <v>91.500633216428497</v>
      </c>
      <c r="AJ5424">
        <v>97.905760886489702</v>
      </c>
      <c r="AK5424">
        <v>42.530939035017298</v>
      </c>
      <c r="AL5424">
        <v>90.905053088740402</v>
      </c>
      <c r="AM5424">
        <v>91.6978660099075</v>
      </c>
      <c r="AN5424">
        <v>1.0000000375815199</v>
      </c>
    </row>
    <row r="5425" spans="1:40" x14ac:dyDescent="0.25">
      <c r="A5425" t="str">
        <f>"20190312154712805"</f>
        <v>20190312154712805</v>
      </c>
      <c r="B5425" t="str">
        <f>"1552376832793430"</f>
        <v>1552376832793430</v>
      </c>
      <c r="C5425" t="s">
        <v>40</v>
      </c>
      <c r="D5425">
        <v>4.9204530000000002</v>
      </c>
      <c r="E5425">
        <v>0.46027770000000001</v>
      </c>
      <c r="F5425" t="s">
        <v>90</v>
      </c>
      <c r="G5425">
        <v>-223.3177</v>
      </c>
      <c r="H5425" s="1">
        <v>-8.793256E-7</v>
      </c>
      <c r="I5425">
        <v>-58.855029999999999</v>
      </c>
      <c r="J5425">
        <v>-263.50880000000001</v>
      </c>
      <c r="K5425">
        <v>1.1138159999999999</v>
      </c>
      <c r="L5425">
        <v>-61.52008</v>
      </c>
      <c r="M5425">
        <v>0.99762740000000005</v>
      </c>
      <c r="N5425">
        <v>0</v>
      </c>
      <c r="O5425">
        <v>-6.8730700000000006E-2</v>
      </c>
      <c r="P5425">
        <v>0.99901519999999999</v>
      </c>
      <c r="Q5425">
        <v>-1.9867280000000001E-2</v>
      </c>
      <c r="R5425">
        <v>-3.9676349999999999E-2</v>
      </c>
      <c r="S5425">
        <v>3.0100709999999999</v>
      </c>
      <c r="T5425">
        <v>-8.2974080000000006E-2</v>
      </c>
      <c r="U5425">
        <v>0.19757079999999999</v>
      </c>
      <c r="V5425">
        <v>-2.886447E-2</v>
      </c>
      <c r="W5425">
        <v>-1.6295299999999999E-2</v>
      </c>
      <c r="X5425">
        <v>0.99945050000000002</v>
      </c>
      <c r="Y5425">
        <v>-0.13384779999999999</v>
      </c>
      <c r="Z5425">
        <v>3.734621E-3</v>
      </c>
      <c r="AA5425">
        <v>0.99099490000000001</v>
      </c>
      <c r="AB5425">
        <v>36</v>
      </c>
      <c r="AC5425">
        <v>40.191099999999999</v>
      </c>
      <c r="AD5425">
        <v>-1.11381687932559</v>
      </c>
      <c r="AE5425">
        <v>2.6650499999999999</v>
      </c>
      <c r="AF5425">
        <v>-5.4169896926444299</v>
      </c>
      <c r="AG5425">
        <v>-1.11381687932559</v>
      </c>
      <c r="AH5425">
        <v>39.882388346831</v>
      </c>
      <c r="AI5425">
        <v>91.585166818042396</v>
      </c>
      <c r="AJ5425">
        <v>97.734815277451602</v>
      </c>
      <c r="AK5425">
        <v>40.263994655502401</v>
      </c>
      <c r="AL5425">
        <v>90.933693242351495</v>
      </c>
      <c r="AM5425">
        <v>91.654261755054904</v>
      </c>
      <c r="AN5425">
        <v>0.99999999819036001</v>
      </c>
    </row>
    <row r="5426" spans="1:40" x14ac:dyDescent="0.25">
      <c r="A5426" t="str">
        <f>"20190312154712817"</f>
        <v>20190312154712817</v>
      </c>
      <c r="B5426" t="str">
        <f>"1552376832813926"</f>
        <v>1552376832813926</v>
      </c>
      <c r="C5426" t="s">
        <v>40</v>
      </c>
      <c r="D5426">
        <v>4.9545269999999997</v>
      </c>
      <c r="E5426">
        <v>0.46153129999999998</v>
      </c>
      <c r="F5426" t="s">
        <v>90</v>
      </c>
      <c r="G5426">
        <v>-226.26009999999999</v>
      </c>
      <c r="H5426" s="1">
        <v>-2.0932550000000002E-6</v>
      </c>
      <c r="I5426">
        <v>-59.073610000000002</v>
      </c>
      <c r="J5426">
        <v>-263.30739999999997</v>
      </c>
      <c r="K5426">
        <v>1.113839</v>
      </c>
      <c r="L5426">
        <v>-61.531370000000003</v>
      </c>
      <c r="M5426">
        <v>0.9978456</v>
      </c>
      <c r="N5426">
        <v>0</v>
      </c>
      <c r="O5426">
        <v>-6.5474749999999998E-2</v>
      </c>
      <c r="P5426">
        <v>0.9990831</v>
      </c>
      <c r="Q5426">
        <v>-2.002056E-2</v>
      </c>
      <c r="R5426">
        <v>-3.7842590000000002E-2</v>
      </c>
      <c r="S5426">
        <v>3.0090330000000001</v>
      </c>
      <c r="T5426">
        <v>-8.9976790000000001E-2</v>
      </c>
      <c r="U5426">
        <v>0.1976318</v>
      </c>
      <c r="V5426">
        <v>-2.7437599999999999E-2</v>
      </c>
      <c r="W5426">
        <v>-1.62408E-2</v>
      </c>
      <c r="X5426">
        <v>0.99949160000000004</v>
      </c>
      <c r="Y5426">
        <v>-0.13064489999999901</v>
      </c>
      <c r="Z5426">
        <v>3.9060649999999998E-3</v>
      </c>
      <c r="AA5426">
        <v>0.99142149999999996</v>
      </c>
      <c r="AB5426">
        <v>36</v>
      </c>
      <c r="AC5426">
        <v>37.0472999999999</v>
      </c>
      <c r="AD5426">
        <v>-1.113841093255</v>
      </c>
      <c r="AE5426">
        <v>2.4577599999999999</v>
      </c>
      <c r="AF5426">
        <v>-4.8737834583280897</v>
      </c>
      <c r="AG5426">
        <v>-1.113841093255</v>
      </c>
      <c r="AH5426">
        <v>36.773785743912399</v>
      </c>
      <c r="AI5426">
        <v>91.719871160858006</v>
      </c>
      <c r="AJ5426">
        <v>97.549650222967998</v>
      </c>
      <c r="AK5426">
        <v>37.112069803756199</v>
      </c>
      <c r="AL5426">
        <v>90.930570186945303</v>
      </c>
      <c r="AM5426">
        <v>91.572463403994902</v>
      </c>
      <c r="AN5426">
        <v>1.00000002197447</v>
      </c>
    </row>
    <row r="5427" spans="1:40" x14ac:dyDescent="0.25">
      <c r="A5427" t="str">
        <f>"20190312154712829"</f>
        <v>20190312154712829</v>
      </c>
      <c r="B5427" t="str">
        <f>"1552376832823686"</f>
        <v>1552376832823686</v>
      </c>
      <c r="C5427" t="s">
        <v>40</v>
      </c>
      <c r="D5427">
        <v>4.9617579999999997</v>
      </c>
      <c r="E5427">
        <v>0.4624318</v>
      </c>
      <c r="F5427" t="s">
        <v>90</v>
      </c>
      <c r="G5427">
        <v>-229.91210000000001</v>
      </c>
      <c r="H5427" s="1">
        <v>-3.5910739999999999E-6</v>
      </c>
      <c r="I5427">
        <v>-59.38503</v>
      </c>
      <c r="J5427">
        <v>-263.11360000000002</v>
      </c>
      <c r="K5427">
        <v>1.113866</v>
      </c>
      <c r="L5427">
        <v>-61.541780000000003</v>
      </c>
      <c r="M5427">
        <v>0.99804510000000002</v>
      </c>
      <c r="N5427">
        <v>0</v>
      </c>
      <c r="O5427">
        <v>-6.2348389999999997E-2</v>
      </c>
      <c r="P5427">
        <v>0.99913030000000003</v>
      </c>
      <c r="Q5427">
        <v>-2.0363389999999999E-2</v>
      </c>
      <c r="R5427">
        <v>-3.6390039999999998E-2</v>
      </c>
      <c r="S5427">
        <v>3.0080260000000001</v>
      </c>
      <c r="T5427">
        <v>-0.1003275</v>
      </c>
      <c r="U5427">
        <v>0.1933289</v>
      </c>
      <c r="V5427">
        <v>-2.575655E-2</v>
      </c>
      <c r="W5427">
        <v>-1.6384159999999998E-2</v>
      </c>
      <c r="X5427">
        <v>0.99953400000000003</v>
      </c>
      <c r="Y5427">
        <v>-0.12612999999999999</v>
      </c>
      <c r="Z5427">
        <v>4.177526E-3</v>
      </c>
      <c r="AA5427">
        <v>0.99200489999999997</v>
      </c>
      <c r="AB5427">
        <v>36</v>
      </c>
      <c r="AC5427">
        <v>33.201500000000003</v>
      </c>
      <c r="AD5427">
        <v>-1.113869591074</v>
      </c>
      <c r="AE5427">
        <v>2.15674999999999</v>
      </c>
      <c r="AF5427">
        <v>-4.2179058404005998</v>
      </c>
      <c r="AG5427">
        <v>-1.113869591074</v>
      </c>
      <c r="AH5427">
        <v>32.965484945475403</v>
      </c>
      <c r="AI5427">
        <v>91.919591623088095</v>
      </c>
      <c r="AJ5427">
        <v>97.291329871465706</v>
      </c>
      <c r="AK5427">
        <v>33.252889090044</v>
      </c>
      <c r="AL5427">
        <v>90.938785196325199</v>
      </c>
      <c r="AM5427">
        <v>91.476102963920297</v>
      </c>
      <c r="AN5427">
        <v>1.0000000288613999</v>
      </c>
    </row>
    <row r="5428" spans="1:40" x14ac:dyDescent="0.25">
      <c r="A5428" t="str">
        <f>"20190312154712840"</f>
        <v>20190312154712840</v>
      </c>
      <c r="B5428" t="str">
        <f>"1552376832833447"</f>
        <v>1552376832833447</v>
      </c>
      <c r="C5428" t="s">
        <v>40</v>
      </c>
      <c r="D5428">
        <v>5.0116160000000001</v>
      </c>
      <c r="E5428">
        <v>0.46301740000000002</v>
      </c>
      <c r="F5428" t="s">
        <v>90</v>
      </c>
      <c r="G5428">
        <v>-229.3295</v>
      </c>
      <c r="H5428" s="1">
        <v>-3.3376579999999999E-6</v>
      </c>
      <c r="I5428">
        <v>-59.400950000000002</v>
      </c>
      <c r="J5428">
        <v>-262.93110000000001</v>
      </c>
      <c r="K5428">
        <v>1.1138870000000001</v>
      </c>
      <c r="L5428">
        <v>-61.551090000000002</v>
      </c>
      <c r="M5428">
        <v>0.99822370000000005</v>
      </c>
      <c r="N5428">
        <v>0</v>
      </c>
      <c r="O5428">
        <v>-5.9409919999999998E-2</v>
      </c>
      <c r="P5428">
        <v>0.99917100000000003</v>
      </c>
      <c r="Q5428">
        <v>-2.0567800000000001E-2</v>
      </c>
      <c r="R5428">
        <v>-3.5135069999999997E-2</v>
      </c>
      <c r="S5428">
        <v>3.0075379999999998</v>
      </c>
      <c r="T5428">
        <v>-9.9159360000000002E-2</v>
      </c>
      <c r="U5428">
        <v>0.19058230000000001</v>
      </c>
      <c r="V5428">
        <v>-2.4068340000000001E-2</v>
      </c>
      <c r="W5428">
        <v>-1.6403540000000001E-2</v>
      </c>
      <c r="X5428">
        <v>0.99957569999999996</v>
      </c>
      <c r="Y5428">
        <v>-0.1223228</v>
      </c>
      <c r="Z5428">
        <v>3.9702879999999998E-3</v>
      </c>
      <c r="AA5428">
        <v>0.99248239999999999</v>
      </c>
      <c r="AB5428">
        <v>36</v>
      </c>
      <c r="AC5428">
        <v>33.601599999999998</v>
      </c>
      <c r="AD5428">
        <v>-1.1138903376580001</v>
      </c>
      <c r="AE5428">
        <v>2.1501399999999999</v>
      </c>
      <c r="AF5428">
        <v>-4.1381014197092298</v>
      </c>
      <c r="AG5428">
        <v>-1.1138903376580001</v>
      </c>
      <c r="AH5428">
        <v>33.377976356934397</v>
      </c>
      <c r="AI5428">
        <v>91.896854991490102</v>
      </c>
      <c r="AJ5428">
        <v>97.067297342044995</v>
      </c>
      <c r="AK5428">
        <v>33.651953000207897</v>
      </c>
      <c r="AL5428">
        <v>90.939895792534003</v>
      </c>
      <c r="AM5428">
        <v>91.379333138735007</v>
      </c>
      <c r="AN5428">
        <v>0.99999997057268797</v>
      </c>
    </row>
    <row r="5429" spans="1:40" x14ac:dyDescent="0.25">
      <c r="A5429" t="str">
        <f>"20190312154712851"</f>
        <v>20190312154712851</v>
      </c>
      <c r="B5429" t="str">
        <f>"1552376832843206"</f>
        <v>1552376832843206</v>
      </c>
      <c r="C5429" t="s">
        <v>40</v>
      </c>
      <c r="D5429">
        <v>4.9846459999999997</v>
      </c>
      <c r="E5429">
        <v>0.46357140000000002</v>
      </c>
      <c r="F5429" t="s">
        <v>86</v>
      </c>
      <c r="G5429">
        <v>-230.92679999999999</v>
      </c>
      <c r="H5429" s="1">
        <v>4.6395810000000002E-7</v>
      </c>
      <c r="I5429">
        <v>-59.530740000000002</v>
      </c>
      <c r="J5429">
        <v>-262.74979999999999</v>
      </c>
      <c r="K5429">
        <v>1.1139079999999999</v>
      </c>
      <c r="L5429">
        <v>-61.559629999999999</v>
      </c>
      <c r="M5429">
        <v>0.9983919</v>
      </c>
      <c r="N5429">
        <v>0</v>
      </c>
      <c r="O5429">
        <v>-5.6498949999999999E-2</v>
      </c>
      <c r="P5429">
        <v>0.99918430000000003</v>
      </c>
      <c r="Q5429">
        <v>-2.105918E-2</v>
      </c>
      <c r="R5429">
        <v>-3.4460850000000001E-2</v>
      </c>
      <c r="S5429">
        <v>3.0070190000000001</v>
      </c>
      <c r="T5429">
        <v>-0.10465720000000001</v>
      </c>
      <c r="U5429">
        <v>0.1898193</v>
      </c>
      <c r="V5429">
        <v>-2.182274E-2</v>
      </c>
      <c r="W5429">
        <v>-1.6708509999999999E-2</v>
      </c>
      <c r="X5429">
        <v>0.99962220000000002</v>
      </c>
      <c r="Y5429">
        <v>-0.1191807</v>
      </c>
      <c r="Z5429">
        <v>4.0352809999999999E-3</v>
      </c>
      <c r="AA5429">
        <v>0.99286439999999998</v>
      </c>
      <c r="AB5429">
        <v>36</v>
      </c>
      <c r="AC5429">
        <v>31.823</v>
      </c>
      <c r="AD5429">
        <v>-1.1139075360419</v>
      </c>
      <c r="AE5429">
        <v>2.0288900000000001</v>
      </c>
      <c r="AF5429">
        <v>-3.8189743364708701</v>
      </c>
      <c r="AG5429">
        <v>-1.1139075360419</v>
      </c>
      <c r="AH5429">
        <v>31.618951809828001</v>
      </c>
      <c r="AI5429">
        <v>92.003099100889699</v>
      </c>
      <c r="AJ5429">
        <v>96.886892320815605</v>
      </c>
      <c r="AK5429">
        <v>31.868220354040702</v>
      </c>
      <c r="AL5429">
        <v>90.957371678476207</v>
      </c>
      <c r="AM5429">
        <v>91.250624806488602</v>
      </c>
      <c r="AN5429">
        <v>0.99999997451018297</v>
      </c>
    </row>
    <row r="5430" spans="1:40" x14ac:dyDescent="0.25">
      <c r="A5430" t="str">
        <f>"20190312154712862"</f>
        <v>20190312154712862</v>
      </c>
      <c r="B5430" t="str">
        <f>"1552376832853943"</f>
        <v>1552376832853943</v>
      </c>
      <c r="C5430" t="s">
        <v>40</v>
      </c>
      <c r="D5430">
        <v>4.9663089999999999</v>
      </c>
      <c r="E5430">
        <v>0.4640341</v>
      </c>
      <c r="F5430" t="s">
        <v>86</v>
      </c>
      <c r="G5430">
        <v>-231.90430000000001</v>
      </c>
      <c r="H5430" s="1">
        <v>6.3373589999999898E-8</v>
      </c>
      <c r="I5430">
        <v>-59.636580000000002</v>
      </c>
      <c r="J5430">
        <v>-262.57350000000002</v>
      </c>
      <c r="K5430">
        <v>1.1139319999999999</v>
      </c>
      <c r="L5430">
        <v>-61.567720000000001</v>
      </c>
      <c r="M5430">
        <v>0.99854730000000003</v>
      </c>
      <c r="N5430">
        <v>0</v>
      </c>
      <c r="O5430">
        <v>-5.3667890000000003E-2</v>
      </c>
      <c r="P5430">
        <v>0.99917529999999999</v>
      </c>
      <c r="Q5430">
        <v>-2.2355110000000001E-2</v>
      </c>
      <c r="R5430">
        <v>-3.3900949999999999E-2</v>
      </c>
      <c r="S5430">
        <v>3.0065919999999999</v>
      </c>
      <c r="T5430">
        <v>-0.10857550000000001</v>
      </c>
      <c r="U5430">
        <v>0.18743899999999999</v>
      </c>
      <c r="V5430">
        <v>-1.953102E-2</v>
      </c>
      <c r="W5430">
        <v>-1.78233E-2</v>
      </c>
      <c r="X5430">
        <v>0.99965040000000005</v>
      </c>
      <c r="Y5430">
        <v>-0.1155868</v>
      </c>
      <c r="Z5430">
        <v>4.0200660000000001E-3</v>
      </c>
      <c r="AA5430">
        <v>0.99328919999999998</v>
      </c>
      <c r="AB5430">
        <v>37</v>
      </c>
      <c r="AC5430">
        <v>30.6692</v>
      </c>
      <c r="AD5430">
        <v>-1.11393193662641</v>
      </c>
      <c r="AE5430">
        <v>1.9311399999999901</v>
      </c>
      <c r="AF5430">
        <v>-3.5696365874342102</v>
      </c>
      <c r="AG5430">
        <v>-1.11393193662641</v>
      </c>
      <c r="AH5430">
        <v>30.481306059468199</v>
      </c>
      <c r="AI5430">
        <v>92.078735673353194</v>
      </c>
      <c r="AJ5430">
        <v>96.679429719545695</v>
      </c>
      <c r="AK5430">
        <v>30.709822025156001</v>
      </c>
      <c r="AL5430">
        <v>91.0212539150982</v>
      </c>
      <c r="AM5430">
        <v>91.119293963236203</v>
      </c>
      <c r="AN5430">
        <v>1.0000000264926401</v>
      </c>
    </row>
    <row r="5431" spans="1:40" x14ac:dyDescent="0.25">
      <c r="A5431" t="str">
        <f>"20190312154712872"</f>
        <v>20190312154712872</v>
      </c>
      <c r="B5431" t="str">
        <f>"1552376832863701"</f>
        <v>1552376832863701</v>
      </c>
      <c r="C5431" t="s">
        <v>40</v>
      </c>
      <c r="D5431">
        <v>4.9173030000000004</v>
      </c>
      <c r="E5431">
        <v>0.46432309999999999</v>
      </c>
      <c r="F5431" t="s">
        <v>86</v>
      </c>
      <c r="G5431">
        <v>-233.44880000000001</v>
      </c>
      <c r="H5431" s="1">
        <v>-5.7541929999999995E-7</v>
      </c>
      <c r="I5431">
        <v>-59.770629999999997</v>
      </c>
      <c r="J5431">
        <v>-262.41570000000002</v>
      </c>
      <c r="K5431">
        <v>1.1139490000000001</v>
      </c>
      <c r="L5431">
        <v>-61.574190000000002</v>
      </c>
      <c r="M5431">
        <v>0.99867930000000005</v>
      </c>
      <c r="N5431">
        <v>0</v>
      </c>
      <c r="O5431">
        <v>-5.1141619999999999E-2</v>
      </c>
      <c r="P5431">
        <v>0.99916380000000005</v>
      </c>
      <c r="Q5431">
        <v>-2.289828E-2</v>
      </c>
      <c r="R5431">
        <v>-3.3878329999999998E-2</v>
      </c>
      <c r="S5431">
        <v>3.006195</v>
      </c>
      <c r="T5431">
        <v>-0.114978</v>
      </c>
      <c r="U5431">
        <v>0.18548580000000001</v>
      </c>
      <c r="V5431">
        <v>-1.7017839999999999E-2</v>
      </c>
      <c r="W5431">
        <v>-1.8198820000000001E-2</v>
      </c>
      <c r="X5431">
        <v>0.99968959999999996</v>
      </c>
      <c r="Y5431">
        <v>-0.112429399999999</v>
      </c>
      <c r="Z5431">
        <v>4.1008169999999997E-3</v>
      </c>
      <c r="AA5431">
        <v>0.99365130000000002</v>
      </c>
      <c r="AB5431">
        <v>37</v>
      </c>
      <c r="AC5431">
        <v>28.966899999999999</v>
      </c>
      <c r="AD5431">
        <v>-1.1139495754193001</v>
      </c>
      <c r="AE5431">
        <v>1.8035599999999901</v>
      </c>
      <c r="AF5431">
        <v>-3.2778032426009398</v>
      </c>
      <c r="AG5431">
        <v>-1.1139495754193001</v>
      </c>
      <c r="AH5431">
        <v>28.794336876212601</v>
      </c>
      <c r="AI5431">
        <v>92.201260926789999</v>
      </c>
      <c r="AJ5431">
        <v>96.494309187556993</v>
      </c>
      <c r="AK5431">
        <v>29.001701913760101</v>
      </c>
      <c r="AL5431">
        <v>91.042773091797102</v>
      </c>
      <c r="AM5431">
        <v>90.975258959619794</v>
      </c>
      <c r="AN5431">
        <v>1.0000000501379001</v>
      </c>
    </row>
    <row r="5432" spans="1:40" x14ac:dyDescent="0.25">
      <c r="A5432" t="str">
        <f>"20190312154712883"</f>
        <v>20190312154712883</v>
      </c>
      <c r="B5432" t="str">
        <f>"1552376832873462"</f>
        <v>1552376832873462</v>
      </c>
      <c r="C5432" t="s">
        <v>40</v>
      </c>
      <c r="D5432">
        <v>4.991873</v>
      </c>
      <c r="E5432">
        <v>0.4645512</v>
      </c>
      <c r="F5432" t="s">
        <v>86</v>
      </c>
      <c r="G5432">
        <v>-233.51660000000001</v>
      </c>
      <c r="H5432" s="1">
        <v>-5.9710889999999996E-7</v>
      </c>
      <c r="I5432">
        <v>-59.812359999999998</v>
      </c>
      <c r="J5432">
        <v>-262.23809999999997</v>
      </c>
      <c r="K5432">
        <v>1.1139749999999999</v>
      </c>
      <c r="L5432">
        <v>-61.581420000000001</v>
      </c>
      <c r="M5432">
        <v>0.99882020000000005</v>
      </c>
      <c r="N5432">
        <v>0</v>
      </c>
      <c r="O5432">
        <v>-4.8295570000000003E-2</v>
      </c>
      <c r="P5432">
        <v>0.99916459999999996</v>
      </c>
      <c r="Q5432">
        <v>-2.4138179999999999E-2</v>
      </c>
      <c r="R5432">
        <v>-3.2981080000000003E-2</v>
      </c>
      <c r="S5432">
        <v>3.0060730000000002</v>
      </c>
      <c r="T5432">
        <v>-0.11587260000000001</v>
      </c>
      <c r="U5432">
        <v>0.18325810000000001</v>
      </c>
      <c r="V5432">
        <v>-1.5049740000000001E-2</v>
      </c>
      <c r="W5432">
        <v>-1.9261919999999998E-2</v>
      </c>
      <c r="X5432">
        <v>0.99970119999999896</v>
      </c>
      <c r="Y5432">
        <v>-0.10886899999999999</v>
      </c>
      <c r="Z5432">
        <v>3.95488E-3</v>
      </c>
      <c r="AA5432">
        <v>0.99404820000000005</v>
      </c>
      <c r="AB5432">
        <v>37</v>
      </c>
      <c r="AC5432">
        <v>28.721499999999899</v>
      </c>
      <c r="AD5432">
        <v>-1.1139755971089</v>
      </c>
      <c r="AE5432">
        <v>1.7690599999999901</v>
      </c>
      <c r="AF5432">
        <v>-3.1494148920916101</v>
      </c>
      <c r="AG5432">
        <v>-1.1139755971089</v>
      </c>
      <c r="AH5432">
        <v>28.559744503338699</v>
      </c>
      <c r="AI5432">
        <v>92.2202498229002</v>
      </c>
      <c r="AJ5432">
        <v>96.2928443208977</v>
      </c>
      <c r="AK5432">
        <v>28.7544563831324</v>
      </c>
      <c r="AL5432">
        <v>91.103694974554998</v>
      </c>
      <c r="AM5432">
        <v>90.862479162370903</v>
      </c>
      <c r="AN5432">
        <v>1.0000000027587901</v>
      </c>
    </row>
    <row r="5433" spans="1:40" x14ac:dyDescent="0.25">
      <c r="A5433" t="str">
        <f>"20190312154712892"</f>
        <v>20190312154712892</v>
      </c>
      <c r="B5433" t="str">
        <f>"1552376832883222"</f>
        <v>1552376832883222</v>
      </c>
      <c r="C5433" t="s">
        <v>40</v>
      </c>
      <c r="D5433">
        <v>4.9346430000000003</v>
      </c>
      <c r="E5433">
        <v>0.46481820000000001</v>
      </c>
      <c r="F5433" t="s">
        <v>86</v>
      </c>
      <c r="G5433">
        <v>-234.57259999999999</v>
      </c>
      <c r="H5433" s="1">
        <v>-1.0370650000000001E-6</v>
      </c>
      <c r="I5433">
        <v>-59.885869999999997</v>
      </c>
      <c r="J5433">
        <v>-262.0761</v>
      </c>
      <c r="K5433">
        <v>1.1139939999999999</v>
      </c>
      <c r="L5433">
        <v>-61.587130000000002</v>
      </c>
      <c r="M5433">
        <v>0.99894119999999997</v>
      </c>
      <c r="N5433">
        <v>0</v>
      </c>
      <c r="O5433">
        <v>-4.5705379999999997E-2</v>
      </c>
      <c r="P5433">
        <v>0.99915019999999999</v>
      </c>
      <c r="Q5433">
        <v>-2.5529679999999999E-2</v>
      </c>
      <c r="R5433">
        <v>-3.2361170000000002E-2</v>
      </c>
      <c r="S5433">
        <v>3.0056759999999998</v>
      </c>
      <c r="T5433">
        <v>-0.1210262</v>
      </c>
      <c r="U5433">
        <v>0.18420410000000001</v>
      </c>
      <c r="V5433">
        <v>-1.305824E-2</v>
      </c>
      <c r="W5433">
        <v>-2.0486440000000002E-2</v>
      </c>
      <c r="X5433">
        <v>0.99970479999999995</v>
      </c>
      <c r="Y5433">
        <v>-0.10660409999999999</v>
      </c>
      <c r="Z5433">
        <v>3.9814619999999998E-3</v>
      </c>
      <c r="AA5433">
        <v>0.9942936</v>
      </c>
      <c r="AB5433">
        <v>37</v>
      </c>
      <c r="AC5433">
        <v>27.503499999999999</v>
      </c>
      <c r="AD5433">
        <v>-1.113995037065</v>
      </c>
      <c r="AE5433">
        <v>1.70126</v>
      </c>
      <c r="AF5433">
        <v>-2.9517332526988702</v>
      </c>
      <c r="AG5433">
        <v>-1.113995037065</v>
      </c>
      <c r="AH5433">
        <v>27.352297343276501</v>
      </c>
      <c r="AI5433">
        <v>92.318785943337801</v>
      </c>
      <c r="AJ5433">
        <v>96.1592592902809</v>
      </c>
      <c r="AK5433">
        <v>27.533650032146198</v>
      </c>
      <c r="AL5433">
        <v>91.173868729286895</v>
      </c>
      <c r="AM5433">
        <v>90.748360409021998</v>
      </c>
      <c r="AN5433">
        <v>0.99999994949940396</v>
      </c>
    </row>
    <row r="5434" spans="1:40" x14ac:dyDescent="0.25">
      <c r="A5434" t="str">
        <f>"20190312154712903"</f>
        <v>20190312154712903</v>
      </c>
      <c r="B5434" t="str">
        <f>"1552376832893958"</f>
        <v>1552376832893958</v>
      </c>
      <c r="C5434" t="s">
        <v>40</v>
      </c>
      <c r="D5434">
        <v>5.0121469999999997</v>
      </c>
      <c r="E5434">
        <v>0.46508620000000001</v>
      </c>
      <c r="F5434" t="s">
        <v>86</v>
      </c>
      <c r="G5434">
        <v>-235.35480000000001</v>
      </c>
      <c r="H5434" s="1">
        <v>-1.360925E-6</v>
      </c>
      <c r="I5434">
        <v>-59.951949999999997</v>
      </c>
      <c r="J5434">
        <v>-261.90679999999998</v>
      </c>
      <c r="K5434">
        <v>1.114023</v>
      </c>
      <c r="L5434">
        <v>-61.593110000000003</v>
      </c>
      <c r="M5434">
        <v>0.99906079999999997</v>
      </c>
      <c r="N5434">
        <v>0</v>
      </c>
      <c r="O5434">
        <v>-4.2995720000000001E-2</v>
      </c>
      <c r="P5434">
        <v>0.99918689999999999</v>
      </c>
      <c r="Q5434">
        <v>-2.537176E-2</v>
      </c>
      <c r="R5434">
        <v>-3.133449E-2</v>
      </c>
      <c r="S5434">
        <v>3.0053100000000001</v>
      </c>
      <c r="T5434">
        <v>-0.1252894</v>
      </c>
      <c r="U5434">
        <v>0.1838989</v>
      </c>
      <c r="V5434">
        <v>-1.137794E-2</v>
      </c>
      <c r="W5434">
        <v>-2.0158969999999998E-2</v>
      </c>
      <c r="X5434">
        <v>0.99973199999999995</v>
      </c>
      <c r="Y5434">
        <v>-0.1038096</v>
      </c>
      <c r="Z5434">
        <v>3.9511329999999999E-3</v>
      </c>
      <c r="AA5434">
        <v>0.99458930000000001</v>
      </c>
      <c r="AB5434">
        <v>37</v>
      </c>
      <c r="AC5434">
        <v>26.5519999999999</v>
      </c>
      <c r="AD5434">
        <v>-1.114024360925</v>
      </c>
      <c r="AE5434">
        <v>1.64115999999999</v>
      </c>
      <c r="AF5434">
        <v>-2.7764123399818699</v>
      </c>
      <c r="AG5434">
        <v>-1.114024360925</v>
      </c>
      <c r="AH5434">
        <v>26.410567163933699</v>
      </c>
      <c r="AI5434">
        <v>92.402140690337305</v>
      </c>
      <c r="AJ5434">
        <v>96.001179877343603</v>
      </c>
      <c r="AK5434">
        <v>26.579457738618199</v>
      </c>
      <c r="AL5434">
        <v>91.155102195207604</v>
      </c>
      <c r="AM5434">
        <v>90.652054547813094</v>
      </c>
      <c r="AN5434">
        <v>0.999999956707051</v>
      </c>
    </row>
    <row r="5435" spans="1:40" x14ac:dyDescent="0.25">
      <c r="A5435" t="str">
        <f>"20190312154712913"</f>
        <v>20190312154712913</v>
      </c>
      <c r="B5435" t="str">
        <f>"1552376832903718"</f>
        <v>1552376832903718</v>
      </c>
      <c r="C5435" t="s">
        <v>40</v>
      </c>
      <c r="D5435">
        <v>5.002281</v>
      </c>
      <c r="E5435">
        <v>0.46535720000000003</v>
      </c>
      <c r="F5435" t="s">
        <v>86</v>
      </c>
      <c r="G5435">
        <v>-234.6962</v>
      </c>
      <c r="H5435" s="1">
        <v>-1.0841699999999999E-6</v>
      </c>
      <c r="I5435">
        <v>-59.919330000000002</v>
      </c>
      <c r="J5435">
        <v>-261.73469999999998</v>
      </c>
      <c r="K5435">
        <v>1.1140620000000001</v>
      </c>
      <c r="L5435">
        <v>-61.5982699999999</v>
      </c>
      <c r="M5435">
        <v>0.99917469999999997</v>
      </c>
      <c r="N5435">
        <v>0</v>
      </c>
      <c r="O5435">
        <v>-4.0242750000000001E-2</v>
      </c>
      <c r="P5435">
        <v>0.99925679999999995</v>
      </c>
      <c r="Q5435">
        <v>-2.443381E-2</v>
      </c>
      <c r="R5435">
        <v>-2.9815120000000001E-2</v>
      </c>
      <c r="S5435">
        <v>3.0051269999999999</v>
      </c>
      <c r="T5435">
        <v>-0.1230323</v>
      </c>
      <c r="U5435">
        <v>0.18484500000000001</v>
      </c>
      <c r="V5435">
        <v>-1.0158729999999999E-2</v>
      </c>
      <c r="W5435">
        <v>-1.9048240000000001E-2</v>
      </c>
      <c r="X5435">
        <v>0.99976690000000001</v>
      </c>
      <c r="Y5435">
        <v>-0.10139330000000001</v>
      </c>
      <c r="Z5435">
        <v>3.7182650000000001E-3</v>
      </c>
      <c r="AA5435">
        <v>0.99483949999999999</v>
      </c>
      <c r="AB5435">
        <v>37</v>
      </c>
      <c r="AC5435">
        <v>27.0384999999999</v>
      </c>
      <c r="AD5435">
        <v>-1.1140630841700001</v>
      </c>
      <c r="AE5435">
        <v>1.6789399999999799</v>
      </c>
      <c r="AF5435">
        <v>-2.7610307335537199</v>
      </c>
      <c r="AG5435">
        <v>-1.1140630841700001</v>
      </c>
      <c r="AH5435">
        <v>26.9035321220159</v>
      </c>
      <c r="AI5435">
        <v>92.358862049580694</v>
      </c>
      <c r="AJ5435">
        <v>95.859583899267406</v>
      </c>
      <c r="AK5435">
        <v>27.0677754517707</v>
      </c>
      <c r="AL5435">
        <v>91.091449828983698</v>
      </c>
      <c r="AM5435">
        <v>90.582168026921806</v>
      </c>
      <c r="AN5435">
        <v>0.99999994478895804</v>
      </c>
    </row>
    <row r="5436" spans="1:40" x14ac:dyDescent="0.25">
      <c r="A5436" t="str">
        <f>"20190312154712924"</f>
        <v>20190312154712924</v>
      </c>
      <c r="B5436" t="str">
        <f>"1552376832913479"</f>
        <v>1552376832913479</v>
      </c>
      <c r="C5436" t="s">
        <v>40</v>
      </c>
      <c r="D5436">
        <v>5.0237639999999999</v>
      </c>
      <c r="E5436">
        <v>0.46528599999999998</v>
      </c>
      <c r="F5436" t="s">
        <v>86</v>
      </c>
      <c r="G5436">
        <v>-234.11199999999999</v>
      </c>
      <c r="H5436" s="1">
        <v>-8.4118880000000002E-7</v>
      </c>
      <c r="I5436">
        <v>-59.876260000000002</v>
      </c>
      <c r="J5436">
        <v>-261.56849999999997</v>
      </c>
      <c r="K5436">
        <v>1.114098</v>
      </c>
      <c r="L5436">
        <v>-61.603180000000002</v>
      </c>
      <c r="M5436">
        <v>0.99927730000000003</v>
      </c>
      <c r="N5436">
        <v>0</v>
      </c>
      <c r="O5436">
        <v>-3.7584439999999997E-2</v>
      </c>
      <c r="P5436">
        <v>0.9993225</v>
      </c>
      <c r="Q5436">
        <v>-2.328941E-2</v>
      </c>
      <c r="R5436">
        <v>-2.8499770000000001E-2</v>
      </c>
      <c r="S5436">
        <v>3.0048520000000001</v>
      </c>
      <c r="T5436">
        <v>-0.1211901</v>
      </c>
      <c r="U5436">
        <v>0.18731690000000001</v>
      </c>
      <c r="V5436">
        <v>-8.8331609999999904E-3</v>
      </c>
      <c r="W5436">
        <v>-1.7734639999999999E-2</v>
      </c>
      <c r="X5436">
        <v>0.99980369999999996</v>
      </c>
      <c r="Y5436">
        <v>-9.9574529999999994E-2</v>
      </c>
      <c r="Z5436">
        <v>3.5191860000000001E-3</v>
      </c>
      <c r="AA5436">
        <v>0.99502389999999996</v>
      </c>
      <c r="AB5436">
        <v>37</v>
      </c>
      <c r="AC5436">
        <v>27.456499999999899</v>
      </c>
      <c r="AD5436">
        <v>-1.1140988411888</v>
      </c>
      <c r="AE5436">
        <v>1.72692</v>
      </c>
      <c r="AF5436">
        <v>-2.7531385187430302</v>
      </c>
      <c r="AG5436">
        <v>-1.1140988411888</v>
      </c>
      <c r="AH5436">
        <v>27.327377009417798</v>
      </c>
      <c r="AI5436">
        <v>92.322830278100099</v>
      </c>
      <c r="AJ5436">
        <v>95.752939753330196</v>
      </c>
      <c r="AK5436">
        <v>27.488297912860698</v>
      </c>
      <c r="AL5436">
        <v>91.016173305100196</v>
      </c>
      <c r="AM5436">
        <v>90.506189042569503</v>
      </c>
      <c r="AN5436">
        <v>0.99999999036143505</v>
      </c>
    </row>
    <row r="5437" spans="1:40" x14ac:dyDescent="0.25">
      <c r="A5437" t="str">
        <f>"20190312154712945"</f>
        <v>20190312154712945</v>
      </c>
      <c r="B5437" t="str">
        <f>"1552376832932998"</f>
        <v>1552376832932998</v>
      </c>
      <c r="C5437" t="s">
        <v>40</v>
      </c>
      <c r="D5437">
        <v>5.0300739999999999</v>
      </c>
      <c r="E5437">
        <v>0.44461580000000001</v>
      </c>
      <c r="F5437" t="s">
        <v>86</v>
      </c>
      <c r="G5437">
        <v>-233.30109999999999</v>
      </c>
      <c r="H5437" s="1">
        <v>-5.0722009999999995E-7</v>
      </c>
      <c r="I5437">
        <v>-59.79786</v>
      </c>
      <c r="J5437">
        <v>-261.2199</v>
      </c>
      <c r="K5437">
        <v>1.114166</v>
      </c>
      <c r="L5437">
        <v>-61.611600000000003</v>
      </c>
      <c r="M5437">
        <v>0.99946979999999996</v>
      </c>
      <c r="N5437">
        <v>0</v>
      </c>
      <c r="O5437">
        <v>-3.2001410000000001E-2</v>
      </c>
      <c r="P5437">
        <v>0.99947180000000002</v>
      </c>
      <c r="Q5437">
        <v>-2.1690609999999999E-2</v>
      </c>
      <c r="R5437">
        <v>-2.4207079999999999E-2</v>
      </c>
      <c r="S5437">
        <v>3.0047609999999998</v>
      </c>
      <c r="T5437">
        <v>-0.118426</v>
      </c>
      <c r="U5437">
        <v>0.1918945</v>
      </c>
      <c r="V5437">
        <v>-7.5695519999999898E-3</v>
      </c>
      <c r="W5437">
        <v>-1.5793439999999999E-2</v>
      </c>
      <c r="X5437">
        <v>0.99984660000000003</v>
      </c>
      <c r="Y5437">
        <v>-9.5539289999999999E-2</v>
      </c>
      <c r="Z5437">
        <v>3.1397679999999998E-3</v>
      </c>
      <c r="AA5437">
        <v>0.99542070000000005</v>
      </c>
      <c r="AB5437">
        <v>37</v>
      </c>
      <c r="AC5437">
        <v>27.918800000000001</v>
      </c>
      <c r="AD5437">
        <v>-1.1141665072200999</v>
      </c>
      <c r="AE5437">
        <v>1.8137399999999999</v>
      </c>
      <c r="AF5437">
        <v>-2.7019829795066999</v>
      </c>
      <c r="AG5437">
        <v>-1.1141665072200999</v>
      </c>
      <c r="AH5437">
        <v>27.802364895948699</v>
      </c>
      <c r="AI5437">
        <v>92.284123117181494</v>
      </c>
      <c r="AJ5437">
        <v>95.550879034583303</v>
      </c>
      <c r="AK5437">
        <v>27.955564255346999</v>
      </c>
      <c r="AL5437">
        <v>90.904935099361893</v>
      </c>
      <c r="AM5437">
        <v>90.433761635720202</v>
      </c>
      <c r="AN5437">
        <v>0.99999997719803602</v>
      </c>
    </row>
    <row r="5438" spans="1:40" x14ac:dyDescent="0.25">
      <c r="A5438" t="str">
        <f>"20190312154712956"</f>
        <v>20190312154712956</v>
      </c>
      <c r="B5438" t="str">
        <f>"1552376832953057"</f>
        <v>1552376832953057</v>
      </c>
      <c r="C5438" t="s">
        <v>40</v>
      </c>
      <c r="D5438">
        <v>5.0881530000000001</v>
      </c>
      <c r="E5438">
        <v>0.4394497</v>
      </c>
      <c r="F5438" t="s">
        <v>86</v>
      </c>
      <c r="G5438">
        <v>-231.53440000000001</v>
      </c>
      <c r="H5438" s="1">
        <v>-1.53659799999999E-7</v>
      </c>
      <c r="I5438">
        <v>-57.962069999999997</v>
      </c>
      <c r="J5438">
        <v>-261.02780000000001</v>
      </c>
      <c r="K5438">
        <v>1.1141989999999999</v>
      </c>
      <c r="L5438">
        <v>-61.61533</v>
      </c>
      <c r="M5438">
        <v>0.99956239999999996</v>
      </c>
      <c r="N5438">
        <v>0</v>
      </c>
      <c r="O5438">
        <v>-2.8922630000000001E-2</v>
      </c>
      <c r="P5438">
        <v>0.99952200000000002</v>
      </c>
      <c r="Q5438">
        <v>-2.2278099999999999E-2</v>
      </c>
      <c r="R5438">
        <v>-2.143716E-2</v>
      </c>
      <c r="S5438">
        <v>3.0081180000000001</v>
      </c>
      <c r="T5438">
        <v>-0.1129018</v>
      </c>
      <c r="U5438">
        <v>0.36981199999999997</v>
      </c>
      <c r="V5438">
        <v>-7.25341099999999E-3</v>
      </c>
      <c r="W5438">
        <v>-1.6192789999999999E-2</v>
      </c>
      <c r="X5438">
        <v>0.99984260000000003</v>
      </c>
      <c r="Y5438">
        <v>-0.15055079999999901</v>
      </c>
      <c r="Z5438">
        <v>3.8951649999999999E-3</v>
      </c>
      <c r="AA5438">
        <v>0.98859459999999999</v>
      </c>
      <c r="AB5438">
        <v>37</v>
      </c>
      <c r="AC5438">
        <v>29.493400000000001</v>
      </c>
      <c r="AD5438">
        <v>-1.1141991536597999</v>
      </c>
      <c r="AE5438">
        <v>3.65326</v>
      </c>
      <c r="AF5438">
        <v>-4.4984516798746501</v>
      </c>
      <c r="AG5438">
        <v>-1.1141991536597999</v>
      </c>
      <c r="AH5438">
        <v>29.3341648984579</v>
      </c>
      <c r="AI5438">
        <v>92.150108147361294</v>
      </c>
      <c r="AJ5438">
        <v>98.718499671384706</v>
      </c>
      <c r="AK5438">
        <v>29.6979921469466</v>
      </c>
      <c r="AL5438">
        <v>90.927819055205205</v>
      </c>
      <c r="AM5438">
        <v>90.415647969966003</v>
      </c>
      <c r="AN5438">
        <v>1.00000002159693</v>
      </c>
    </row>
    <row r="5439" spans="1:40" x14ac:dyDescent="0.25">
      <c r="A5439" t="str">
        <f>"20190312154712968"</f>
        <v>20190312154712968</v>
      </c>
      <c r="B5439" t="str">
        <f>"1552376832963794"</f>
        <v>1552376832963794</v>
      </c>
      <c r="C5439" t="s">
        <v>40</v>
      </c>
      <c r="D5439">
        <v>5.0976929999999996</v>
      </c>
      <c r="E5439">
        <v>0.43851990000000002</v>
      </c>
      <c r="F5439" t="s">
        <v>90</v>
      </c>
      <c r="G5439">
        <v>-223.08940000000001</v>
      </c>
      <c r="H5439" s="1">
        <v>-1.428331E-6</v>
      </c>
      <c r="I5439">
        <v>-56.331789999999998</v>
      </c>
      <c r="J5439">
        <v>-260.8501</v>
      </c>
      <c r="K5439">
        <v>1.114225</v>
      </c>
      <c r="L5439">
        <v>-61.618380000000002</v>
      </c>
      <c r="M5439">
        <v>0.99963990000000003</v>
      </c>
      <c r="N5439">
        <v>0</v>
      </c>
      <c r="O5439">
        <v>-2.6075770000000002E-2</v>
      </c>
      <c r="P5439">
        <v>0.99954229999999999</v>
      </c>
      <c r="Q5439">
        <v>-2.3700659999999998E-2</v>
      </c>
      <c r="R5439">
        <v>-1.880737E-2</v>
      </c>
      <c r="S5439">
        <v>3.0084529999999998</v>
      </c>
      <c r="T5439">
        <v>-8.8354230000000006E-2</v>
      </c>
      <c r="U5439">
        <v>0.41897580000000001</v>
      </c>
      <c r="V5439">
        <v>-7.0172660000000003E-3</v>
      </c>
      <c r="W5439">
        <v>-1.744132E-2</v>
      </c>
      <c r="X5439">
        <v>0.99982329999999997</v>
      </c>
      <c r="Y5439">
        <v>-0.1636348</v>
      </c>
      <c r="Z5439">
        <v>3.1530849999999999E-3</v>
      </c>
      <c r="AA5439">
        <v>0.9865159</v>
      </c>
      <c r="AB5439">
        <v>37</v>
      </c>
      <c r="AC5439">
        <v>37.7606999999999</v>
      </c>
      <c r="AD5439">
        <v>-1.1142264283309999</v>
      </c>
      <c r="AE5439">
        <v>5.2865899999999897</v>
      </c>
      <c r="AF5439">
        <v>-6.2641021251978701</v>
      </c>
      <c r="AG5439">
        <v>-1.1142264283309999</v>
      </c>
      <c r="AH5439">
        <v>37.577915040192202</v>
      </c>
      <c r="AI5439">
        <v>91.6752819724001</v>
      </c>
      <c r="AJ5439">
        <v>99.463978221210496</v>
      </c>
      <c r="AK5439">
        <v>38.112729825301201</v>
      </c>
      <c r="AL5439">
        <v>90.999364660810798</v>
      </c>
      <c r="AM5439">
        <v>90.4021241793141</v>
      </c>
      <c r="AN5439">
        <v>1.0000000364441699</v>
      </c>
    </row>
    <row r="5440" spans="1:40" x14ac:dyDescent="0.25">
      <c r="A5440" t="str">
        <f>"20190312154712979"</f>
        <v>20190312154712979</v>
      </c>
      <c r="B5440" t="str">
        <f>"1552376832973553"</f>
        <v>1552376832973553</v>
      </c>
      <c r="C5440" t="s">
        <v>40</v>
      </c>
      <c r="D5440">
        <v>5.0312190000000001</v>
      </c>
      <c r="E5440">
        <v>0.4384497</v>
      </c>
      <c r="F5440" t="s">
        <v>89</v>
      </c>
      <c r="G5440">
        <v>-216.03229999999999</v>
      </c>
      <c r="H5440" s="1">
        <v>-2.4849410000000002E-6</v>
      </c>
      <c r="I5440">
        <v>-55.151589999999999</v>
      </c>
      <c r="J5440">
        <v>-260.65530000000001</v>
      </c>
      <c r="K5440">
        <v>1.1142529999999999</v>
      </c>
      <c r="L5440">
        <v>-61.621119999999998</v>
      </c>
      <c r="M5440">
        <v>0.99971509999999997</v>
      </c>
      <c r="N5440">
        <v>0</v>
      </c>
      <c r="O5440">
        <v>-2.2952630000000002E-2</v>
      </c>
      <c r="P5440">
        <v>0.99952750000000001</v>
      </c>
      <c r="Q5440">
        <v>-2.6316229999999999E-2</v>
      </c>
      <c r="R5440">
        <v>-1.5888619999999999E-2</v>
      </c>
      <c r="S5440">
        <v>3.0077820000000002</v>
      </c>
      <c r="T5440">
        <v>-7.4777250000000003E-2</v>
      </c>
      <c r="U5440">
        <v>0.4339905</v>
      </c>
      <c r="V5440">
        <v>-6.7761999999999996E-3</v>
      </c>
      <c r="W5440">
        <v>-1.9864880000000001E-2</v>
      </c>
      <c r="X5440">
        <v>0.99977969999999905</v>
      </c>
      <c r="Y5440">
        <v>-0.16543339999999901</v>
      </c>
      <c r="Z5440">
        <v>2.6133509999999999E-3</v>
      </c>
      <c r="AA5440">
        <v>0.98621749999999997</v>
      </c>
      <c r="AB5440">
        <v>37</v>
      </c>
      <c r="AC5440">
        <v>44.622999999999998</v>
      </c>
      <c r="AD5440">
        <v>-1.114255484941</v>
      </c>
      <c r="AE5440">
        <v>6.46952999999999</v>
      </c>
      <c r="AF5440">
        <v>-7.4874902248236896</v>
      </c>
      <c r="AG5440">
        <v>-1.114255484941</v>
      </c>
      <c r="AH5440">
        <v>44.435611616710297</v>
      </c>
      <c r="AI5440">
        <v>91.416472734354102</v>
      </c>
      <c r="AJ5440">
        <v>99.564607432468904</v>
      </c>
      <c r="AK5440">
        <v>45.075798993513899</v>
      </c>
      <c r="AL5440">
        <v>91.138248666302104</v>
      </c>
      <c r="AM5440">
        <v>90.388327264803095</v>
      </c>
      <c r="AN5440">
        <v>0.99999998943797197</v>
      </c>
    </row>
    <row r="5441" spans="1:40" x14ac:dyDescent="0.25">
      <c r="A5441" t="str">
        <f>"20190312154712993"</f>
        <v>20190312154712993</v>
      </c>
      <c r="B5441" t="str">
        <f>"1552376832983313"</f>
        <v>1552376832983313</v>
      </c>
      <c r="C5441" t="s">
        <v>40</v>
      </c>
      <c r="D5441">
        <v>5.0372190000000003</v>
      </c>
      <c r="E5441">
        <v>0.4379131</v>
      </c>
      <c r="F5441" t="s">
        <v>90</v>
      </c>
      <c r="G5441">
        <v>-225.5129</v>
      </c>
      <c r="H5441" s="1">
        <v>-2.356154E-6</v>
      </c>
      <c r="I5441">
        <v>-56.434620000000002</v>
      </c>
      <c r="J5441">
        <v>-260.44909999999999</v>
      </c>
      <c r="K5441">
        <v>1.1142840000000001</v>
      </c>
      <c r="L5441">
        <v>-61.623199999999997</v>
      </c>
      <c r="M5441">
        <v>0.99978420000000001</v>
      </c>
      <c r="N5441">
        <v>0</v>
      </c>
      <c r="O5441">
        <v>-1.9648079999999998E-2</v>
      </c>
      <c r="P5441">
        <v>0.99949520000000003</v>
      </c>
      <c r="Q5441">
        <v>-2.8886599999999998E-2</v>
      </c>
      <c r="R5441">
        <v>-1.3226949999999999E-2</v>
      </c>
      <c r="S5441">
        <v>3.005951</v>
      </c>
      <c r="T5441">
        <v>-9.5309260000000007E-2</v>
      </c>
      <c r="U5441">
        <v>0.44363399999999997</v>
      </c>
      <c r="V5441">
        <v>-6.0979830000000004E-3</v>
      </c>
      <c r="W5441">
        <v>-2.221416E-2</v>
      </c>
      <c r="X5441">
        <v>0.99973460000000003</v>
      </c>
      <c r="Y5441">
        <v>-0.16532249999999901</v>
      </c>
      <c r="Z5441">
        <v>3.225842E-3</v>
      </c>
      <c r="AA5441">
        <v>0.98623430000000001</v>
      </c>
      <c r="AB5441">
        <v>37</v>
      </c>
      <c r="AC5441">
        <v>34.9361999999999</v>
      </c>
      <c r="AD5441">
        <v>-1.114286356154</v>
      </c>
      <c r="AE5441">
        <v>5.18858</v>
      </c>
      <c r="AF5441">
        <v>-5.8681824318603404</v>
      </c>
      <c r="AG5441">
        <v>-1.114286356154</v>
      </c>
      <c r="AH5441">
        <v>34.792877176649903</v>
      </c>
      <c r="AI5441">
        <v>91.808814236820595</v>
      </c>
      <c r="AJ5441">
        <v>99.573434249106</v>
      </c>
      <c r="AK5441">
        <v>35.301862576449899</v>
      </c>
      <c r="AL5441">
        <v>91.272882363950302</v>
      </c>
      <c r="AM5441">
        <v>90.349477107744903</v>
      </c>
      <c r="AN5441">
        <v>0.999999962369166</v>
      </c>
    </row>
    <row r="5442" spans="1:40" x14ac:dyDescent="0.25">
      <c r="A5442" t="str">
        <f>"20190312154713014"</f>
        <v>20190312154713014</v>
      </c>
      <c r="B5442" t="str">
        <f>"1552376833003810"</f>
        <v>1552376833003810</v>
      </c>
      <c r="C5442" t="s">
        <v>40</v>
      </c>
      <c r="D5442">
        <v>5.069401</v>
      </c>
      <c r="E5442">
        <v>0.43805680000000002</v>
      </c>
      <c r="F5442" t="s">
        <v>90</v>
      </c>
      <c r="G5442">
        <v>-229.4101</v>
      </c>
      <c r="H5442" s="1">
        <v>-3.9226390000000004E-6</v>
      </c>
      <c r="I5442">
        <v>-56.911340000000003</v>
      </c>
      <c r="J5442">
        <v>-260.08940000000001</v>
      </c>
      <c r="K5442">
        <v>1.1143369999999999</v>
      </c>
      <c r="L5442">
        <v>-61.625369999999997</v>
      </c>
      <c r="M5442">
        <v>0.99987789999999999</v>
      </c>
      <c r="N5442">
        <v>0</v>
      </c>
      <c r="O5442">
        <v>-1.3895100000000001E-2</v>
      </c>
      <c r="P5442">
        <v>0.99943930000000003</v>
      </c>
      <c r="Q5442">
        <v>-3.2191579999999997E-2</v>
      </c>
      <c r="R5442">
        <v>-9.2247820000000008E-3</v>
      </c>
      <c r="S5442">
        <v>3.0044249999999999</v>
      </c>
      <c r="T5442">
        <v>-0.1078577</v>
      </c>
      <c r="U5442">
        <v>0.45608520000000002</v>
      </c>
      <c r="V5442">
        <v>-4.3052489999999997E-3</v>
      </c>
      <c r="W5442">
        <v>-2.509407E-2</v>
      </c>
      <c r="X5442">
        <v>0.9996758</v>
      </c>
      <c r="Y5442">
        <v>-0.1636967</v>
      </c>
      <c r="Z5442">
        <v>3.4166259999999999E-3</v>
      </c>
      <c r="AA5442">
        <v>0.98650479999999996</v>
      </c>
      <c r="AB5442">
        <v>37</v>
      </c>
      <c r="AC5442">
        <v>30.679300000000001</v>
      </c>
      <c r="AD5442">
        <v>-1.114340922639</v>
      </c>
      <c r="AE5442">
        <v>4.7140299999999904</v>
      </c>
      <c r="AF5442">
        <v>-5.1332615804454402</v>
      </c>
      <c r="AG5442">
        <v>-1.114340922639</v>
      </c>
      <c r="AH5442">
        <v>30.5714316750054</v>
      </c>
      <c r="AI5442">
        <v>92.058735065286697</v>
      </c>
      <c r="AJ5442">
        <v>99.531643372596605</v>
      </c>
      <c r="AK5442">
        <v>31.019422380255001</v>
      </c>
      <c r="AL5442">
        <v>91.437935277072896</v>
      </c>
      <c r="AM5442">
        <v>90.246751069138398</v>
      </c>
      <c r="AN5442">
        <v>0.99999997631187798</v>
      </c>
    </row>
    <row r="5443" spans="1:40" x14ac:dyDescent="0.25">
      <c r="A5443" t="str">
        <f>"20190312154713028"</f>
        <v>20190312154713028</v>
      </c>
      <c r="B5443" t="str">
        <f>"1552376833023329"</f>
        <v>1552376833023329</v>
      </c>
      <c r="C5443" t="s">
        <v>40</v>
      </c>
      <c r="D5443">
        <v>5.0693339999999996</v>
      </c>
      <c r="E5443">
        <v>0.43835190000000002</v>
      </c>
      <c r="F5443" t="s">
        <v>86</v>
      </c>
      <c r="G5443">
        <v>-233.77500000000001</v>
      </c>
      <c r="H5443" s="1">
        <v>-1.1130190000000001E-6</v>
      </c>
      <c r="I5443">
        <v>-57.528840000000002</v>
      </c>
      <c r="J5443">
        <v>-259.87430000000001</v>
      </c>
      <c r="K5443">
        <v>1.1143749999999999</v>
      </c>
      <c r="L5443">
        <v>-61.62576</v>
      </c>
      <c r="M5443">
        <v>0.99991790000000003</v>
      </c>
      <c r="N5443">
        <v>0</v>
      </c>
      <c r="O5443">
        <v>-1.045984E-2</v>
      </c>
      <c r="P5443">
        <v>0.99941100000000005</v>
      </c>
      <c r="Q5443">
        <v>-3.3610519999999998E-2</v>
      </c>
      <c r="R5443">
        <v>-6.9442729999999999E-3</v>
      </c>
      <c r="S5443">
        <v>3.0018919999999998</v>
      </c>
      <c r="T5443">
        <v>-0.12712119999999999</v>
      </c>
      <c r="U5443">
        <v>0.4673157</v>
      </c>
      <c r="V5443">
        <v>-3.134422E-3</v>
      </c>
      <c r="W5443">
        <v>-2.6237779999999999E-2</v>
      </c>
      <c r="X5443">
        <v>0.99965079999999995</v>
      </c>
      <c r="Y5443">
        <v>-0.16399549999999999</v>
      </c>
      <c r="Z5443">
        <v>3.8902490000000001E-3</v>
      </c>
      <c r="AA5443">
        <v>0.98645340000000004</v>
      </c>
      <c r="AB5443">
        <v>37</v>
      </c>
      <c r="AC5443">
        <v>26.099299999999999</v>
      </c>
      <c r="AD5443">
        <v>-1.114376113019</v>
      </c>
      <c r="AE5443">
        <v>4.0969199999999901</v>
      </c>
      <c r="AF5443">
        <v>-4.3619369175118798</v>
      </c>
      <c r="AG5443">
        <v>-1.114376113019</v>
      </c>
      <c r="AH5443">
        <v>26.008742086624999</v>
      </c>
      <c r="AI5443">
        <v>92.419655032296703</v>
      </c>
      <c r="AJ5443">
        <v>99.520498410747507</v>
      </c>
      <c r="AK5443">
        <v>26.3955108441227</v>
      </c>
      <c r="AL5443">
        <v>91.503486621099299</v>
      </c>
      <c r="AM5443">
        <v>90.179651297507903</v>
      </c>
      <c r="AN5443">
        <v>0.99999998382062105</v>
      </c>
    </row>
    <row r="5444" spans="1:40" x14ac:dyDescent="0.25">
      <c r="A5444" t="str">
        <f>"20190312154713039"</f>
        <v>20190312154713039</v>
      </c>
      <c r="B5444" t="str">
        <f>"1552376833033089"</f>
        <v>1552376833033089</v>
      </c>
      <c r="C5444" t="s">
        <v>40</v>
      </c>
      <c r="D5444">
        <v>5.0211139999999999</v>
      </c>
      <c r="E5444">
        <v>0.4386737</v>
      </c>
      <c r="F5444" t="s">
        <v>86</v>
      </c>
      <c r="G5444">
        <v>-237.59829999999999</v>
      </c>
      <c r="H5444" s="1">
        <v>-2.6486669999999999E-6</v>
      </c>
      <c r="I5444">
        <v>-58.118110000000001</v>
      </c>
      <c r="J5444">
        <v>-259.66629999999998</v>
      </c>
      <c r="K5444">
        <v>1.1144080000000001</v>
      </c>
      <c r="L5444">
        <v>-61.625340000000001</v>
      </c>
      <c r="M5444">
        <v>0.99994499999999997</v>
      </c>
      <c r="N5444">
        <v>0</v>
      </c>
      <c r="O5444">
        <v>-7.1440059999999996E-3</v>
      </c>
      <c r="P5444">
        <v>0.99938419999999895</v>
      </c>
      <c r="Q5444">
        <v>-3.4764429999999999E-2</v>
      </c>
      <c r="R5444">
        <v>-4.7559849999999999E-3</v>
      </c>
      <c r="S5444">
        <v>3</v>
      </c>
      <c r="T5444">
        <v>-0.15007809999999999</v>
      </c>
      <c r="U5444">
        <v>0.47238160000000001</v>
      </c>
      <c r="V5444">
        <v>-1.9951299999999999E-3</v>
      </c>
      <c r="W5444">
        <v>-2.7111940000000001E-2</v>
      </c>
      <c r="X5444">
        <v>0.99963040000000003</v>
      </c>
      <c r="Y5444">
        <v>-0.16239039999999999</v>
      </c>
      <c r="Z5444">
        <v>4.3895649999999998E-3</v>
      </c>
      <c r="AA5444">
        <v>0.98671679999999995</v>
      </c>
      <c r="AB5444">
        <v>37</v>
      </c>
      <c r="AC5444">
        <v>22.067999999999898</v>
      </c>
      <c r="AD5444">
        <v>-1.114410648667</v>
      </c>
      <c r="AE5444">
        <v>3.5072299999999998</v>
      </c>
      <c r="AF5444">
        <v>-3.6557061634111898</v>
      </c>
      <c r="AG5444">
        <v>-1.114410648667</v>
      </c>
      <c r="AH5444">
        <v>21.987690032763101</v>
      </c>
      <c r="AI5444">
        <v>92.862237661479696</v>
      </c>
      <c r="AJ5444">
        <v>99.439733386423001</v>
      </c>
      <c r="AK5444">
        <v>22.317361215518599</v>
      </c>
      <c r="AL5444">
        <v>91.553590125549306</v>
      </c>
      <c r="AM5444">
        <v>90.114354642268495</v>
      </c>
      <c r="AN5444">
        <v>0.99999998721922001</v>
      </c>
    </row>
    <row r="5445" spans="1:40" x14ac:dyDescent="0.25">
      <c r="A5445" t="str">
        <f>"20190312154713051"</f>
        <v>20190312154713051</v>
      </c>
      <c r="B5445" t="str">
        <f>"1552376833043161"</f>
        <v>1552376833043161</v>
      </c>
      <c r="C5445" t="s">
        <v>40</v>
      </c>
      <c r="D5445">
        <v>5.1519259999999996</v>
      </c>
      <c r="E5445">
        <v>0.43882070000000001</v>
      </c>
      <c r="F5445" t="s">
        <v>86</v>
      </c>
      <c r="G5445">
        <v>-238.03469999999999</v>
      </c>
      <c r="H5445" s="1">
        <v>-2.823395E-6</v>
      </c>
      <c r="I5445">
        <v>-58.1883699999999</v>
      </c>
      <c r="J5445">
        <v>-259.47800000000001</v>
      </c>
      <c r="K5445">
        <v>1.11443799999999</v>
      </c>
      <c r="L5445">
        <v>-61.624270000000003</v>
      </c>
      <c r="M5445">
        <v>0.99995990000000001</v>
      </c>
      <c r="N5445">
        <v>0</v>
      </c>
      <c r="O5445">
        <v>-4.153314E-3</v>
      </c>
      <c r="P5445">
        <v>0.99936150000000001</v>
      </c>
      <c r="Q5445">
        <v>-3.5621859999999998E-2</v>
      </c>
      <c r="R5445">
        <v>-2.7471050000000001E-3</v>
      </c>
      <c r="S5445">
        <v>2.998688</v>
      </c>
      <c r="T5445">
        <v>-0.15448519999999999</v>
      </c>
      <c r="U5445">
        <v>0.47644039999999999</v>
      </c>
      <c r="V5445">
        <v>-1.006519E-3</v>
      </c>
      <c r="W5445">
        <v>-2.7705480000000001E-2</v>
      </c>
      <c r="X5445">
        <v>0.99961560000000005</v>
      </c>
      <c r="Y5445">
        <v>-0.160802</v>
      </c>
      <c r="Z5445">
        <v>4.3260950000000003E-3</v>
      </c>
      <c r="AA5445">
        <v>0.9869772</v>
      </c>
      <c r="AB5445">
        <v>37</v>
      </c>
      <c r="AC5445">
        <v>21.443300000000001</v>
      </c>
      <c r="AD5445">
        <v>-1.1144408233949901</v>
      </c>
      <c r="AE5445">
        <v>3.4359000000000002</v>
      </c>
      <c r="AF5445">
        <v>-3.5156756485529401</v>
      </c>
      <c r="AG5445">
        <v>-1.1144408233949901</v>
      </c>
      <c r="AH5445">
        <v>21.372561132824199</v>
      </c>
      <c r="AI5445">
        <v>92.945389113038502</v>
      </c>
      <c r="AJ5445">
        <v>99.341205399858595</v>
      </c>
      <c r="AK5445">
        <v>21.688437541487101</v>
      </c>
      <c r="AL5445">
        <v>91.587610260309006</v>
      </c>
      <c r="AM5445">
        <v>90.057691447802696</v>
      </c>
      <c r="AN5445">
        <v>0.99999997723294298</v>
      </c>
    </row>
    <row r="5446" spans="1:40" x14ac:dyDescent="0.25">
      <c r="A5446" t="str">
        <f>"20190312154713062"</f>
        <v>20190312154713062</v>
      </c>
      <c r="B5446" t="str">
        <f>"1552376833053897"</f>
        <v>1552376833053897</v>
      </c>
      <c r="C5446" t="s">
        <v>40</v>
      </c>
      <c r="D5446">
        <v>5.1009789999999997</v>
      </c>
      <c r="E5446">
        <v>0.43896760000000001</v>
      </c>
      <c r="F5446" t="s">
        <v>86</v>
      </c>
      <c r="G5446">
        <v>-238.43960000000001</v>
      </c>
      <c r="H5446" s="1">
        <v>-2.986942E-6</v>
      </c>
      <c r="I5446">
        <v>-58.245669999999997</v>
      </c>
      <c r="J5446">
        <v>-259.28969999999998</v>
      </c>
      <c r="K5446">
        <v>1.114465</v>
      </c>
      <c r="L5446">
        <v>-61.622889999999998</v>
      </c>
      <c r="M5446">
        <v>0.99996569999999996</v>
      </c>
      <c r="N5446">
        <v>0</v>
      </c>
      <c r="O5446">
        <v>-1.1668010000000001E-3</v>
      </c>
      <c r="P5446">
        <v>0.99932149999999997</v>
      </c>
      <c r="Q5446">
        <v>-3.6816880000000003E-2</v>
      </c>
      <c r="R5446">
        <v>-1.04634E-3</v>
      </c>
      <c r="S5446">
        <v>2.99762</v>
      </c>
      <c r="T5446">
        <v>-0.15878879999999901</v>
      </c>
      <c r="U5446">
        <v>0.48138429999999999</v>
      </c>
      <c r="V5446">
        <v>2.9096729999999999E-4</v>
      </c>
      <c r="W5446">
        <v>-2.8626950000000002E-2</v>
      </c>
      <c r="X5446">
        <v>0.99959010000000004</v>
      </c>
      <c r="Y5446">
        <v>-0.15948970000000001</v>
      </c>
      <c r="Z5446">
        <v>4.2558179999999998E-3</v>
      </c>
      <c r="AA5446">
        <v>0.98719040000000002</v>
      </c>
      <c r="AB5446">
        <v>37</v>
      </c>
      <c r="AC5446">
        <v>20.850099999999902</v>
      </c>
      <c r="AD5446">
        <v>-1.114467986942</v>
      </c>
      <c r="AE5446">
        <v>3.3772199999999999</v>
      </c>
      <c r="AF5446">
        <v>-3.3921027719782599</v>
      </c>
      <c r="AG5446">
        <v>-1.114467986942</v>
      </c>
      <c r="AH5446">
        <v>20.788270277386001</v>
      </c>
      <c r="AI5446">
        <v>93.0287332302468</v>
      </c>
      <c r="AJ5446">
        <v>99.267499517908007</v>
      </c>
      <c r="AK5446">
        <v>21.0926665273794</v>
      </c>
      <c r="AL5446">
        <v>91.640427560020498</v>
      </c>
      <c r="AM5446">
        <v>89.983321965878304</v>
      </c>
      <c r="AN5446">
        <v>0.99999997747313996</v>
      </c>
    </row>
    <row r="5447" spans="1:40" x14ac:dyDescent="0.25">
      <c r="A5447" t="str">
        <f>"20190312154713073"</f>
        <v>20190312154713073</v>
      </c>
      <c r="B5447" t="str">
        <f>"1552376833063657"</f>
        <v>1552376833063657</v>
      </c>
      <c r="C5447" t="s">
        <v>40</v>
      </c>
      <c r="D5447">
        <v>5.1543900000000002</v>
      </c>
      <c r="E5447">
        <v>0.43920979999999998</v>
      </c>
      <c r="F5447" t="s">
        <v>86</v>
      </c>
      <c r="G5447">
        <v>-238.7834</v>
      </c>
      <c r="H5447" s="1">
        <v>-3.1245879999999998E-6</v>
      </c>
      <c r="I5447">
        <v>-58.30124</v>
      </c>
      <c r="J5447">
        <v>-259.11520000000002</v>
      </c>
      <c r="K5447">
        <v>1.114487</v>
      </c>
      <c r="L5447">
        <v>-61.620759999999997</v>
      </c>
      <c r="M5447">
        <v>0.99996300000000005</v>
      </c>
      <c r="N5447">
        <v>0</v>
      </c>
      <c r="O5447">
        <v>1.5769009999999999E-3</v>
      </c>
      <c r="P5447">
        <v>0.99927630000000001</v>
      </c>
      <c r="Q5447">
        <v>-3.804051E-2</v>
      </c>
      <c r="R5447">
        <v>2.2223769999999999E-4</v>
      </c>
      <c r="S5447">
        <v>2.9965820000000001</v>
      </c>
      <c r="T5447">
        <v>-0.1628568</v>
      </c>
      <c r="U5447">
        <v>0.48538209999999998</v>
      </c>
      <c r="V5447">
        <v>1.7773489999999999E-3</v>
      </c>
      <c r="W5447">
        <v>-2.957268E-2</v>
      </c>
      <c r="X5447">
        <v>0.99956109999999998</v>
      </c>
      <c r="Y5447">
        <v>-0.15811269999999999</v>
      </c>
      <c r="Z5447">
        <v>4.1805260000000004E-3</v>
      </c>
      <c r="AA5447">
        <v>0.98741219999999996</v>
      </c>
      <c r="AB5447">
        <v>37</v>
      </c>
      <c r="AC5447">
        <v>20.331800000000001</v>
      </c>
      <c r="AD5447">
        <v>-1.1144901245879999</v>
      </c>
      <c r="AE5447">
        <v>3.31951999999999</v>
      </c>
      <c r="AF5447">
        <v>-3.2778602313044498</v>
      </c>
      <c r="AG5447">
        <v>-1.1144901245879999</v>
      </c>
      <c r="AH5447">
        <v>20.277663161582801</v>
      </c>
      <c r="AI5447">
        <v>93.105661129042304</v>
      </c>
      <c r="AJ5447">
        <v>99.182365253983093</v>
      </c>
      <c r="AK5447">
        <v>20.571098153194999</v>
      </c>
      <c r="AL5447">
        <v>91.694636739175294</v>
      </c>
      <c r="AM5447">
        <v>89.898120796120395</v>
      </c>
      <c r="AN5447">
        <v>1.0000000475025199</v>
      </c>
    </row>
    <row r="5448" spans="1:40" x14ac:dyDescent="0.25">
      <c r="A5448" t="str">
        <f>"20190312154713085"</f>
        <v>20190312154713085</v>
      </c>
      <c r="B5448" t="str">
        <f>"1552376833073417"</f>
        <v>1552376833073417</v>
      </c>
      <c r="C5448" t="s">
        <v>40</v>
      </c>
      <c r="D5448">
        <v>5.1524710000000002</v>
      </c>
      <c r="E5448">
        <v>0.43946750000000001</v>
      </c>
      <c r="F5448" t="s">
        <v>86</v>
      </c>
      <c r="G5448">
        <v>-239.26009999999999</v>
      </c>
      <c r="H5448" s="1">
        <v>-3.3131169999999999E-6</v>
      </c>
      <c r="I5448">
        <v>-58.391280000000002</v>
      </c>
      <c r="J5448">
        <v>-258.93180000000001</v>
      </c>
      <c r="K5448">
        <v>1.114509</v>
      </c>
      <c r="L5448">
        <v>-61.618380000000002</v>
      </c>
      <c r="M5448">
        <v>0.99995210000000001</v>
      </c>
      <c r="N5448">
        <v>0</v>
      </c>
      <c r="O5448">
        <v>4.4531220000000003E-3</v>
      </c>
      <c r="P5448">
        <v>0.99923030000000002</v>
      </c>
      <c r="Q5448">
        <v>-3.9193270000000002E-2</v>
      </c>
      <c r="R5448">
        <v>1.7291629999999999E-3</v>
      </c>
      <c r="S5448">
        <v>2.9956670000000001</v>
      </c>
      <c r="T5448">
        <v>-0.16815050000000001</v>
      </c>
      <c r="U5448">
        <v>0.4872437</v>
      </c>
      <c r="V5448">
        <v>3.1561530000000001E-3</v>
      </c>
      <c r="W5448">
        <v>-3.043241E-2</v>
      </c>
      <c r="X5448">
        <v>0.99953190000000003</v>
      </c>
      <c r="Y5448">
        <v>-0.15591050000000001</v>
      </c>
      <c r="Z5448">
        <v>4.0956880000000001E-3</v>
      </c>
      <c r="AA5448">
        <v>0.98776269999999999</v>
      </c>
      <c r="AB5448">
        <v>37</v>
      </c>
      <c r="AC5448">
        <v>19.671700000000001</v>
      </c>
      <c r="AD5448">
        <v>-1.1145123131170001</v>
      </c>
      <c r="AE5448">
        <v>3.2271000000000001</v>
      </c>
      <c r="AF5448">
        <v>-3.1296816214423</v>
      </c>
      <c r="AG5448">
        <v>-1.1145123131170001</v>
      </c>
      <c r="AH5448">
        <v>19.624534957542501</v>
      </c>
      <c r="AI5448">
        <v>93.209960765040293</v>
      </c>
      <c r="AJ5448">
        <v>99.061112795914894</v>
      </c>
      <c r="AK5448">
        <v>19.9037538431194</v>
      </c>
      <c r="AL5448">
        <v>91.743917809299703</v>
      </c>
      <c r="AM5448">
        <v>89.819081666737702</v>
      </c>
      <c r="AN5448">
        <v>1.00000005599888</v>
      </c>
    </row>
    <row r="5449" spans="1:40" x14ac:dyDescent="0.25">
      <c r="A5449" t="str">
        <f>"20190312154713095"</f>
        <v>20190312154713095</v>
      </c>
      <c r="B5449" t="str">
        <f>"1552376833083177"</f>
        <v>1552376833083177</v>
      </c>
      <c r="C5449" t="s">
        <v>40</v>
      </c>
      <c r="D5449">
        <v>5.1150989999999998</v>
      </c>
      <c r="E5449">
        <v>0.43963180000000002</v>
      </c>
      <c r="F5449" t="s">
        <v>86</v>
      </c>
      <c r="G5449">
        <v>-239.643</v>
      </c>
      <c r="H5449" s="1">
        <v>-3.4644689999999998E-6</v>
      </c>
      <c r="I5449">
        <v>-58.463999999999999</v>
      </c>
      <c r="J5449">
        <v>-258.74450000000002</v>
      </c>
      <c r="K5449">
        <v>1.1145259999999999</v>
      </c>
      <c r="L5449">
        <v>-61.615049999999997</v>
      </c>
      <c r="M5449">
        <v>0.99993220000000005</v>
      </c>
      <c r="N5449">
        <v>0</v>
      </c>
      <c r="O5449">
        <v>7.3553639999999997E-3</v>
      </c>
      <c r="P5449">
        <v>0.99917639999999996</v>
      </c>
      <c r="Q5449">
        <v>-4.0426410000000003E-2</v>
      </c>
      <c r="R5449">
        <v>3.525528E-3</v>
      </c>
      <c r="S5449">
        <v>2.9946440000000001</v>
      </c>
      <c r="T5449">
        <v>-0.1730313</v>
      </c>
      <c r="U5449">
        <v>0.48971559999999997</v>
      </c>
      <c r="V5449">
        <v>4.2711850000000003E-3</v>
      </c>
      <c r="W5449">
        <v>-3.1348239999999999E-2</v>
      </c>
      <c r="X5449">
        <v>0.99949940000000004</v>
      </c>
      <c r="Y5449">
        <v>-0.1538852</v>
      </c>
      <c r="Z5449">
        <v>3.9910270000000003E-3</v>
      </c>
      <c r="AA5449">
        <v>0.98808070000000003</v>
      </c>
      <c r="AB5449">
        <v>37</v>
      </c>
      <c r="AC5449">
        <v>19.101500000000001</v>
      </c>
      <c r="AD5449">
        <v>-1.114529464469</v>
      </c>
      <c r="AE5449">
        <v>3.1510499999999899</v>
      </c>
      <c r="AF5449">
        <v>-3.00051602766918</v>
      </c>
      <c r="AG5449">
        <v>-1.114529464469</v>
      </c>
      <c r="AH5449">
        <v>19.060988075811998</v>
      </c>
      <c r="AI5449">
        <v>93.305758938803095</v>
      </c>
      <c r="AJ5449">
        <v>98.945896065332605</v>
      </c>
      <c r="AK5449">
        <v>19.3278694838753</v>
      </c>
      <c r="AL5449">
        <v>91.796416150604898</v>
      </c>
      <c r="AM5449">
        <v>89.755158047723199</v>
      </c>
      <c r="AN5449">
        <v>1.00000000288638</v>
      </c>
    </row>
    <row r="5450" spans="1:40" x14ac:dyDescent="0.25">
      <c r="A5450" t="str">
        <f>"20190312154713114"</f>
        <v>20190312154713114</v>
      </c>
      <c r="B5450" t="str">
        <f>"1552376833103673"</f>
        <v>1552376833103673</v>
      </c>
      <c r="C5450" t="s">
        <v>40</v>
      </c>
      <c r="D5450">
        <v>5.0985699999999996</v>
      </c>
      <c r="E5450">
        <v>0.43994640000000002</v>
      </c>
      <c r="F5450" t="s">
        <v>86</v>
      </c>
      <c r="G5450">
        <v>-239.9135</v>
      </c>
      <c r="H5450" s="1">
        <v>-3.5725399999999999E-6</v>
      </c>
      <c r="I5450">
        <v>-58.509059999999998</v>
      </c>
      <c r="J5450">
        <v>-258.44450000000001</v>
      </c>
      <c r="K5450">
        <v>1.1145400000000001</v>
      </c>
      <c r="L5450">
        <v>-61.608890000000002</v>
      </c>
      <c r="M5450">
        <v>0.99988310000000002</v>
      </c>
      <c r="N5450">
        <v>0</v>
      </c>
      <c r="O5450">
        <v>1.1971000000000001E-2</v>
      </c>
      <c r="P5450">
        <v>0.99909910000000002</v>
      </c>
      <c r="Q5450">
        <v>-4.200247E-2</v>
      </c>
      <c r="R5450">
        <v>6.0617070000000004E-3</v>
      </c>
      <c r="S5450">
        <v>2.9935299999999998</v>
      </c>
      <c r="T5450">
        <v>-0.1771749</v>
      </c>
      <c r="U5450">
        <v>0.49374390000000001</v>
      </c>
      <c r="V5450">
        <v>6.3580669999999898E-3</v>
      </c>
      <c r="W5450">
        <v>-3.2403630000000003E-2</v>
      </c>
      <c r="X5450">
        <v>0.99945459999999997</v>
      </c>
      <c r="Y5450">
        <v>-0.15067849999999999</v>
      </c>
      <c r="Z5450">
        <v>3.7223040000000001E-3</v>
      </c>
      <c r="AA5450">
        <v>0.9885758</v>
      </c>
      <c r="AB5450">
        <v>37</v>
      </c>
      <c r="AC5450">
        <v>18.530999999999999</v>
      </c>
      <c r="AD5450">
        <v>-1.1145435725399999</v>
      </c>
      <c r="AE5450">
        <v>3.0998299999999999</v>
      </c>
      <c r="AF5450">
        <v>-2.8676720803273099</v>
      </c>
      <c r="AG5450">
        <v>-1.1145435725399999</v>
      </c>
      <c r="AH5450">
        <v>18.501675642765999</v>
      </c>
      <c r="AI5450">
        <v>93.406759140000801</v>
      </c>
      <c r="AJ5450">
        <v>98.810467937695705</v>
      </c>
      <c r="AK5450">
        <v>18.755739178328898</v>
      </c>
      <c r="AL5450">
        <v>91.856916371933806</v>
      </c>
      <c r="AM5450">
        <v>89.635515719366595</v>
      </c>
      <c r="AN5450">
        <v>0.99999995885715498</v>
      </c>
    </row>
    <row r="5451" spans="1:40" x14ac:dyDescent="0.25">
      <c r="A5451" t="str">
        <f>"20190312154713126"</f>
        <v>20190312154713126</v>
      </c>
      <c r="B5451" t="str">
        <f>"1552376833113433"</f>
        <v>1552376833113433</v>
      </c>
      <c r="C5451" t="s">
        <v>40</v>
      </c>
      <c r="D5451">
        <v>5.1208629999999999</v>
      </c>
      <c r="E5451">
        <v>0.44018570000000001</v>
      </c>
      <c r="F5451" t="s">
        <v>87</v>
      </c>
      <c r="G5451">
        <v>-240.14349999999999</v>
      </c>
      <c r="H5451" s="1">
        <v>4.7813260000000002E-7</v>
      </c>
      <c r="I5451">
        <v>-58.557630000000003</v>
      </c>
      <c r="J5451">
        <v>-258.25009999999997</v>
      </c>
      <c r="K5451">
        <v>1.114544</v>
      </c>
      <c r="L5451">
        <v>-61.60425</v>
      </c>
      <c r="M5451">
        <v>0.99984010000000001</v>
      </c>
      <c r="N5451">
        <v>0</v>
      </c>
      <c r="O5451">
        <v>1.493477E-2</v>
      </c>
      <c r="P5451">
        <v>0.99904210000000004</v>
      </c>
      <c r="Q5451">
        <v>-4.2954630000000001E-2</v>
      </c>
      <c r="R5451">
        <v>8.3673159999999996E-3</v>
      </c>
      <c r="S5451">
        <v>2.9920200000000001</v>
      </c>
      <c r="T5451">
        <v>-0.1822163</v>
      </c>
      <c r="U5451">
        <v>0.49884030000000001</v>
      </c>
      <c r="V5451">
        <v>7.0195040000000002E-3</v>
      </c>
      <c r="W5451">
        <v>-3.3026060000000003E-2</v>
      </c>
      <c r="X5451">
        <v>0.99942980000000003</v>
      </c>
      <c r="Y5451">
        <v>-0.1494608</v>
      </c>
      <c r="Z5451">
        <v>3.613621E-3</v>
      </c>
      <c r="AA5451">
        <v>0.98876109999999995</v>
      </c>
      <c r="AB5451">
        <v>37</v>
      </c>
      <c r="AC5451">
        <v>18.106599999999901</v>
      </c>
      <c r="AD5451">
        <v>-1.1145435218674</v>
      </c>
      <c r="AE5451">
        <v>3.0466199999999901</v>
      </c>
      <c r="AF5451">
        <v>-2.7656587236968799</v>
      </c>
      <c r="AG5451">
        <v>-1.1145435218674</v>
      </c>
      <c r="AH5451">
        <v>18.083452060076699</v>
      </c>
      <c r="AI5451">
        <v>93.486432081454595</v>
      </c>
      <c r="AJ5451">
        <v>98.695361362651497</v>
      </c>
      <c r="AK5451">
        <v>18.327637977851602</v>
      </c>
      <c r="AL5451">
        <v>91.892598084099703</v>
      </c>
      <c r="AM5451">
        <v>89.597589204960798</v>
      </c>
      <c r="AN5451">
        <v>0.99999995960178401</v>
      </c>
    </row>
    <row r="5452" spans="1:40" x14ac:dyDescent="0.25">
      <c r="A5452" t="str">
        <f>"20190312154713137"</f>
        <v>20190312154713137</v>
      </c>
      <c r="B5452" t="str">
        <f>"1552376833133929"</f>
        <v>1552376833133929</v>
      </c>
      <c r="C5452" t="s">
        <v>40</v>
      </c>
      <c r="D5452">
        <v>5.1301100000000002</v>
      </c>
      <c r="E5452">
        <v>0.44049929999999898</v>
      </c>
      <c r="F5452" t="s">
        <v>87</v>
      </c>
      <c r="G5452">
        <v>-240.12549999999999</v>
      </c>
      <c r="H5452" s="1">
        <v>4.8249189999999998E-7</v>
      </c>
      <c r="I5452">
        <v>-58.551000000000002</v>
      </c>
      <c r="J5452">
        <v>-258.0591</v>
      </c>
      <c r="K5452">
        <v>1.1145400000000001</v>
      </c>
      <c r="L5452">
        <v>-61.598939999999999</v>
      </c>
      <c r="M5452">
        <v>0.99978979999999995</v>
      </c>
      <c r="N5452">
        <v>0</v>
      </c>
      <c r="O5452">
        <v>1.7810469999999998E-2</v>
      </c>
      <c r="P5452">
        <v>0.99896969999999996</v>
      </c>
      <c r="Q5452">
        <v>-4.4070089999999999E-2</v>
      </c>
      <c r="R5452">
        <v>1.082698E-2</v>
      </c>
      <c r="S5452">
        <v>2.9907840000000001</v>
      </c>
      <c r="T5452">
        <v>-0.18391379999999999</v>
      </c>
      <c r="U5452">
        <v>0.50381469999999995</v>
      </c>
      <c r="V5452">
        <v>7.4405180000000001E-3</v>
      </c>
      <c r="W5452">
        <v>-3.382653E-2</v>
      </c>
      <c r="X5452">
        <v>0.99939999999999996</v>
      </c>
      <c r="Y5452">
        <v>-0.14828549999999999</v>
      </c>
      <c r="Z5452">
        <v>3.437051E-3</v>
      </c>
      <c r="AA5452">
        <v>0.9889386</v>
      </c>
      <c r="AB5452">
        <v>37</v>
      </c>
      <c r="AC5452">
        <v>17.933599999999998</v>
      </c>
      <c r="AD5452">
        <v>-1.1145395175081001</v>
      </c>
      <c r="AE5452">
        <v>3.0479399999999899</v>
      </c>
      <c r="AF5452">
        <v>-2.71783155484178</v>
      </c>
      <c r="AG5452">
        <v>-1.1145395175081001</v>
      </c>
      <c r="AH5452">
        <v>17.917780608790299</v>
      </c>
      <c r="AI5452">
        <v>93.519230933556599</v>
      </c>
      <c r="AJ5452">
        <v>98.625076766641996</v>
      </c>
      <c r="AK5452">
        <v>18.156973003265801</v>
      </c>
      <c r="AL5452">
        <v>91.938487248236896</v>
      </c>
      <c r="AM5452">
        <v>89.573441662424898</v>
      </c>
      <c r="AN5452">
        <v>0.99999997771997395</v>
      </c>
    </row>
    <row r="5453" spans="1:40" x14ac:dyDescent="0.25">
      <c r="A5453" t="str">
        <f>"20190312154713148"</f>
        <v>20190312154713148</v>
      </c>
      <c r="B5453" t="str">
        <f>"1552376833143689"</f>
        <v>1552376833143689</v>
      </c>
      <c r="C5453" t="s">
        <v>40</v>
      </c>
      <c r="D5453">
        <v>5.1389649999999998</v>
      </c>
      <c r="E5453">
        <v>0.44059880000000001</v>
      </c>
      <c r="F5453" t="s">
        <v>87</v>
      </c>
      <c r="G5453">
        <v>-240.20249999999999</v>
      </c>
      <c r="H5453" s="1">
        <v>4.5894509999999998E-7</v>
      </c>
      <c r="I5453">
        <v>-58.56091</v>
      </c>
      <c r="J5453">
        <v>-257.8843</v>
      </c>
      <c r="K5453">
        <v>1.1145320000000001</v>
      </c>
      <c r="L5453">
        <v>-61.593719999999998</v>
      </c>
      <c r="M5453">
        <v>0.99973710000000005</v>
      </c>
      <c r="N5453">
        <v>0</v>
      </c>
      <c r="O5453">
        <v>2.042136E-2</v>
      </c>
      <c r="P5453">
        <v>0.99890950000000001</v>
      </c>
      <c r="Q5453">
        <v>-4.477718E-2</v>
      </c>
      <c r="R5453">
        <v>1.3229609999999999E-2</v>
      </c>
      <c r="S5453">
        <v>2.9893190000000001</v>
      </c>
      <c r="T5453">
        <v>-0.18658130000000001</v>
      </c>
      <c r="U5453">
        <v>0.50857540000000001</v>
      </c>
      <c r="V5453">
        <v>7.6487809999999899E-3</v>
      </c>
      <c r="W5453">
        <v>-3.4254859999999998E-2</v>
      </c>
      <c r="X5453">
        <v>0.99938389999999999</v>
      </c>
      <c r="Y5453">
        <v>-0.147313</v>
      </c>
      <c r="Z5453">
        <v>3.2964219999999998E-3</v>
      </c>
      <c r="AA5453">
        <v>0.98908439999999997</v>
      </c>
      <c r="AB5453">
        <v>37</v>
      </c>
      <c r="AC5453">
        <v>17.681799999999999</v>
      </c>
      <c r="AD5453">
        <v>-1.1145315410548999</v>
      </c>
      <c r="AE5453">
        <v>3.0328099999999898</v>
      </c>
      <c r="AF5453">
        <v>-2.6608018855720399</v>
      </c>
      <c r="AG5453">
        <v>-1.1145315410548999</v>
      </c>
      <c r="AH5453">
        <v>17.671843965796501</v>
      </c>
      <c r="AI5453">
        <v>93.568643422950302</v>
      </c>
      <c r="AJ5453">
        <v>98.562551782441005</v>
      </c>
      <c r="AK5453">
        <v>17.9057565152028</v>
      </c>
      <c r="AL5453">
        <v>91.963042860355301</v>
      </c>
      <c r="AM5453">
        <v>89.561495524210798</v>
      </c>
      <c r="AN5453">
        <v>1.0000000394318</v>
      </c>
    </row>
    <row r="5454" spans="1:40" x14ac:dyDescent="0.25">
      <c r="A5454" t="str">
        <f>"20190312154713158"</f>
        <v>20190312154713158</v>
      </c>
      <c r="B5454" t="str">
        <f>"1552376833153450"</f>
        <v>1552376833153450</v>
      </c>
      <c r="C5454" t="s">
        <v>40</v>
      </c>
      <c r="D5454">
        <v>5.2575690000000002</v>
      </c>
      <c r="E5454">
        <v>0.44058799999999998</v>
      </c>
      <c r="F5454" t="s">
        <v>87</v>
      </c>
      <c r="G5454">
        <v>-240.2619</v>
      </c>
      <c r="H5454" s="1">
        <v>4.3742800000000002E-7</v>
      </c>
      <c r="I5454">
        <v>-58.556019999999997</v>
      </c>
      <c r="J5454">
        <v>-257.7235</v>
      </c>
      <c r="K5454">
        <v>1.114522</v>
      </c>
      <c r="L5454">
        <v>-61.588529999999999</v>
      </c>
      <c r="M5454">
        <v>0.99968310000000005</v>
      </c>
      <c r="N5454">
        <v>0</v>
      </c>
      <c r="O5454">
        <v>2.279484E-2</v>
      </c>
      <c r="P5454">
        <v>0.99884329999999999</v>
      </c>
      <c r="Q5454">
        <v>-4.5601580000000003E-2</v>
      </c>
      <c r="R5454">
        <v>1.5250669999999999E-2</v>
      </c>
      <c r="S5454">
        <v>2.987946</v>
      </c>
      <c r="T5454">
        <v>-0.18897340000000001</v>
      </c>
      <c r="U5454">
        <v>0.51504519999999998</v>
      </c>
      <c r="V5454">
        <v>8.0029750000000007E-3</v>
      </c>
      <c r="W5454">
        <v>-3.4829350000000002E-2</v>
      </c>
      <c r="X5454">
        <v>0.99936119999999995</v>
      </c>
      <c r="Y5454">
        <v>-0.14711920000000001</v>
      </c>
      <c r="Z5454">
        <v>3.1847260000000001E-3</v>
      </c>
      <c r="AA5454">
        <v>0.98911360000000004</v>
      </c>
      <c r="AB5454">
        <v>37</v>
      </c>
      <c r="AC5454">
        <v>17.461600000000001</v>
      </c>
      <c r="AD5454">
        <v>-1.114521562572</v>
      </c>
      <c r="AE5454">
        <v>3.0325099999999998</v>
      </c>
      <c r="AF5454">
        <v>-2.62329076634891</v>
      </c>
      <c r="AG5454">
        <v>-1.114521562572</v>
      </c>
      <c r="AH5454">
        <v>17.4571555482169</v>
      </c>
      <c r="AI5454">
        <v>93.612540334057599</v>
      </c>
      <c r="AJ5454">
        <v>98.545907303465</v>
      </c>
      <c r="AK5454">
        <v>17.688303835950201</v>
      </c>
      <c r="AL5454">
        <v>91.995978505706304</v>
      </c>
      <c r="AM5454">
        <v>89.541180016280293</v>
      </c>
      <c r="AN5454">
        <v>0.99999996964785598</v>
      </c>
    </row>
    <row r="5455" spans="1:40" x14ac:dyDescent="0.25">
      <c r="A5455" t="str">
        <f>"20190312154713171"</f>
        <v>20190312154713171</v>
      </c>
      <c r="B5455" t="str">
        <f>"1552376833163209"</f>
        <v>1552376833163209</v>
      </c>
      <c r="C5455" t="s">
        <v>40</v>
      </c>
      <c r="D5455">
        <v>5.103459</v>
      </c>
      <c r="E5455">
        <v>0.4407953</v>
      </c>
      <c r="F5455" t="s">
        <v>87</v>
      </c>
      <c r="G5455">
        <v>-240.4417</v>
      </c>
      <c r="H5455" s="1">
        <v>3.8077290000000003E-7</v>
      </c>
      <c r="I5455">
        <v>-58.572980000000001</v>
      </c>
      <c r="J5455">
        <v>-257.52839999999998</v>
      </c>
      <c r="K5455">
        <v>1.1145</v>
      </c>
      <c r="L5455">
        <v>-61.581629999999997</v>
      </c>
      <c r="M5455">
        <v>0.99961120000000003</v>
      </c>
      <c r="N5455">
        <v>0</v>
      </c>
      <c r="O5455">
        <v>2.5639160000000001E-2</v>
      </c>
      <c r="P5455">
        <v>0.99880930000000001</v>
      </c>
      <c r="Q5455">
        <v>-4.5408320000000002E-2</v>
      </c>
      <c r="R5455">
        <v>1.7836910000000001E-2</v>
      </c>
      <c r="S5455">
        <v>2.9867249999999999</v>
      </c>
      <c r="T5455">
        <v>-0.19261600000000001</v>
      </c>
      <c r="U5455">
        <v>0.52114870000000002</v>
      </c>
      <c r="V5455">
        <v>8.248175E-3</v>
      </c>
      <c r="W5455">
        <v>-3.4347719999999998E-2</v>
      </c>
      <c r="X5455">
        <v>0.99937589999999998</v>
      </c>
      <c r="Y5455">
        <v>-0.14633270000000001</v>
      </c>
      <c r="Z5455">
        <v>3.0399369999999999E-3</v>
      </c>
      <c r="AA5455">
        <v>0.98923079999999997</v>
      </c>
      <c r="AB5455">
        <v>37</v>
      </c>
      <c r="AC5455">
        <v>17.086699999999901</v>
      </c>
      <c r="AD5455">
        <v>-1.1144996192270999</v>
      </c>
      <c r="AE5455">
        <v>3.0086499999999998</v>
      </c>
      <c r="AF5455">
        <v>-2.55898620436303</v>
      </c>
      <c r="AG5455">
        <v>-1.1144996192270999</v>
      </c>
      <c r="AH5455">
        <v>17.087713570729701</v>
      </c>
      <c r="AI5455">
        <v>93.690636316534395</v>
      </c>
      <c r="AJ5455">
        <v>98.517087895856903</v>
      </c>
      <c r="AK5455">
        <v>17.3141697713369</v>
      </c>
      <c r="AL5455">
        <v>91.968366568679301</v>
      </c>
      <c r="AM5455">
        <v>89.527129995639001</v>
      </c>
      <c r="AN5455">
        <v>0.99999999388041905</v>
      </c>
    </row>
    <row r="5456" spans="1:40" x14ac:dyDescent="0.25">
      <c r="A5456" t="str">
        <f>"20190312154713180"</f>
        <v>20190312154713180</v>
      </c>
      <c r="B5456" t="str">
        <f>"1552376833173945"</f>
        <v>1552376833173945</v>
      </c>
      <c r="C5456" t="s">
        <v>40</v>
      </c>
      <c r="D5456">
        <v>5.0961100000000004</v>
      </c>
      <c r="E5456">
        <v>0.44063770000000002</v>
      </c>
      <c r="F5456" t="s">
        <v>87</v>
      </c>
      <c r="G5456">
        <v>-240.35570000000001</v>
      </c>
      <c r="H5456" s="1">
        <v>4.0354119999999998E-7</v>
      </c>
      <c r="I5456">
        <v>-58.5486199999999</v>
      </c>
      <c r="J5456">
        <v>-257.35289999999998</v>
      </c>
      <c r="K5456">
        <v>1.114476</v>
      </c>
      <c r="L5456">
        <v>-61.575099999999999</v>
      </c>
      <c r="M5456">
        <v>0.99954030000000005</v>
      </c>
      <c r="N5456">
        <v>0</v>
      </c>
      <c r="O5456">
        <v>2.8169929999999999E-2</v>
      </c>
      <c r="P5456">
        <v>0.99875179999999997</v>
      </c>
      <c r="Q5456">
        <v>-4.5596240000000003E-2</v>
      </c>
      <c r="R5456">
        <v>2.0390040000000002E-2</v>
      </c>
      <c r="S5456">
        <v>2.9853209999999999</v>
      </c>
      <c r="T5456">
        <v>-0.19374559999999999</v>
      </c>
      <c r="U5456">
        <v>0.52725219999999995</v>
      </c>
      <c r="V5456">
        <v>8.2184630000000005E-3</v>
      </c>
      <c r="W5456">
        <v>-3.4289569999999998E-2</v>
      </c>
      <c r="X5456">
        <v>0.99937810000000005</v>
      </c>
      <c r="Y5456">
        <v>-0.1458719</v>
      </c>
      <c r="Z5456">
        <v>2.8812019999999998E-3</v>
      </c>
      <c r="AA5456">
        <v>0.98929929999999999</v>
      </c>
      <c r="AB5456">
        <v>37</v>
      </c>
      <c r="AC5456">
        <v>16.9971999999999</v>
      </c>
      <c r="AD5456">
        <v>-1.1144755964588</v>
      </c>
      <c r="AE5456">
        <v>3.0264799999999998</v>
      </c>
      <c r="AF5456">
        <v>-2.5358716096860401</v>
      </c>
      <c r="AG5456">
        <v>-1.1144755964588</v>
      </c>
      <c r="AH5456">
        <v>17.004854421177399</v>
      </c>
      <c r="AI5456">
        <v>93.708830169272403</v>
      </c>
      <c r="AJ5456">
        <v>98.481803510905095</v>
      </c>
      <c r="AK5456">
        <v>17.228980659381801</v>
      </c>
      <c r="AL5456">
        <v>91.965032937161396</v>
      </c>
      <c r="AM5456">
        <v>89.5288343525107</v>
      </c>
      <c r="AN5456">
        <v>0.99999995225223703</v>
      </c>
    </row>
    <row r="5457" spans="1:40" x14ac:dyDescent="0.25">
      <c r="A5457" t="str">
        <f>"20190312154713192"</f>
        <v>20190312154713192</v>
      </c>
      <c r="B5457" t="str">
        <f>"1552376833183704"</f>
        <v>1552376833183704</v>
      </c>
      <c r="C5457" t="s">
        <v>40</v>
      </c>
      <c r="D5457">
        <v>5.146509</v>
      </c>
      <c r="E5457">
        <v>0.44014560000000003</v>
      </c>
      <c r="F5457" t="s">
        <v>87</v>
      </c>
      <c r="G5457">
        <v>-240.45050000000001</v>
      </c>
      <c r="H5457" s="1">
        <v>3.6831390000000001E-7</v>
      </c>
      <c r="I5457">
        <v>-58.537520000000001</v>
      </c>
      <c r="J5457">
        <v>-257.16329999999999</v>
      </c>
      <c r="K5457">
        <v>1.114441</v>
      </c>
      <c r="L5457">
        <v>-61.56738</v>
      </c>
      <c r="M5457">
        <v>0.99945859999999997</v>
      </c>
      <c r="N5457">
        <v>0</v>
      </c>
      <c r="O5457">
        <v>3.0846559999999999E-2</v>
      </c>
      <c r="P5457">
        <v>0.99870579999999998</v>
      </c>
      <c r="Q5457">
        <v>-4.5594990000000002E-2</v>
      </c>
      <c r="R5457">
        <v>2.2529750000000001E-2</v>
      </c>
      <c r="S5457">
        <v>2.9838260000000001</v>
      </c>
      <c r="T5457">
        <v>-0.1967421</v>
      </c>
      <c r="U5457">
        <v>0.53622440000000005</v>
      </c>
      <c r="V5457">
        <v>8.7449729999999996E-3</v>
      </c>
      <c r="W5457">
        <v>-3.40337E-2</v>
      </c>
      <c r="X5457">
        <v>0.9993824</v>
      </c>
      <c r="Y5457">
        <v>-0.14618819999999999</v>
      </c>
      <c r="Z5457">
        <v>2.7620689999999998E-3</v>
      </c>
      <c r="AA5457">
        <v>0.98925289999999999</v>
      </c>
      <c r="AB5457">
        <v>37</v>
      </c>
      <c r="AC5457">
        <v>16.712799999999898</v>
      </c>
      <c r="AD5457">
        <v>-1.1144406316861</v>
      </c>
      <c r="AE5457">
        <v>3.02986000000001</v>
      </c>
      <c r="AF5457">
        <v>-2.5020804244289101</v>
      </c>
      <c r="AG5457">
        <v>-1.1144406316861</v>
      </c>
      <c r="AH5457">
        <v>16.726306276995299</v>
      </c>
      <c r="AI5457">
        <v>93.770045360597805</v>
      </c>
      <c r="AJ5457">
        <v>98.507763977809802</v>
      </c>
      <c r="AK5457">
        <v>16.949091599366401</v>
      </c>
      <c r="AL5457">
        <v>91.950364060293097</v>
      </c>
      <c r="AM5457">
        <v>89.498653111035296</v>
      </c>
      <c r="AN5457">
        <v>0.99999997435911003</v>
      </c>
    </row>
    <row r="5458" spans="1:40" x14ac:dyDescent="0.25">
      <c r="A5458" t="str">
        <f>"20190312154713205"</f>
        <v>20190312154713205</v>
      </c>
      <c r="B5458" t="str">
        <f>"1552376833193467"</f>
        <v>1552376833193467</v>
      </c>
      <c r="C5458" t="s">
        <v>40</v>
      </c>
      <c r="D5458">
        <v>5.056781</v>
      </c>
      <c r="E5458">
        <v>0.43968639999999998</v>
      </c>
      <c r="F5458" t="s">
        <v>87</v>
      </c>
      <c r="G5458">
        <v>-240.41460000000001</v>
      </c>
      <c r="H5458" s="1">
        <v>3.699865E-7</v>
      </c>
      <c r="I5458">
        <v>-58.497779999999999</v>
      </c>
      <c r="J5458">
        <v>-256.95679999999999</v>
      </c>
      <c r="K5458">
        <v>1.114393</v>
      </c>
      <c r="L5458">
        <v>-61.558689999999999</v>
      </c>
      <c r="M5458">
        <v>0.99936219999999998</v>
      </c>
      <c r="N5458">
        <v>0</v>
      </c>
      <c r="O5458">
        <v>3.3733520000000003E-2</v>
      </c>
      <c r="P5458">
        <v>0.99869169999999996</v>
      </c>
      <c r="Q5458">
        <v>-4.4741169999999997E-2</v>
      </c>
      <c r="R5458">
        <v>2.4769989999999999E-2</v>
      </c>
      <c r="S5458">
        <v>2.9824980000000001</v>
      </c>
      <c r="T5458">
        <v>-0.1984513</v>
      </c>
      <c r="U5458">
        <v>0.54660030000000004</v>
      </c>
      <c r="V5458">
        <v>9.3699019999999994E-3</v>
      </c>
      <c r="W5458">
        <v>-3.2910679999999998E-2</v>
      </c>
      <c r="X5458">
        <v>0.99941440000000004</v>
      </c>
      <c r="Y5458">
        <v>-0.1467398</v>
      </c>
      <c r="Z5458">
        <v>2.6146139999999999E-3</v>
      </c>
      <c r="AA5458">
        <v>0.98917169999999999</v>
      </c>
      <c r="AB5458">
        <v>37</v>
      </c>
      <c r="AC5458">
        <v>16.542199999999902</v>
      </c>
      <c r="AD5458">
        <v>-1.1143926300135001</v>
      </c>
      <c r="AE5458">
        <v>3.0609099999999998</v>
      </c>
      <c r="AF5458">
        <v>-2.4901757950304302</v>
      </c>
      <c r="AG5458">
        <v>-1.1143926300135001</v>
      </c>
      <c r="AH5458">
        <v>16.5633657953849</v>
      </c>
      <c r="AI5458">
        <v>93.806441697358693</v>
      </c>
      <c r="AJ5458">
        <v>98.549949772812298</v>
      </c>
      <c r="AK5458">
        <v>16.786540230068599</v>
      </c>
      <c r="AL5458">
        <v>91.885983576995102</v>
      </c>
      <c r="AM5458">
        <v>89.462845331860095</v>
      </c>
      <c r="AN5458">
        <v>1.0000000254244501</v>
      </c>
    </row>
    <row r="5459" spans="1:40" x14ac:dyDescent="0.25">
      <c r="A5459" t="str">
        <f>"20190312154713217"</f>
        <v>20190312154713217</v>
      </c>
      <c r="B5459" t="str">
        <f>"1552376833213961"</f>
        <v>1552376833213961</v>
      </c>
      <c r="C5459" t="s">
        <v>40</v>
      </c>
      <c r="D5459">
        <v>5.0521719999999997</v>
      </c>
      <c r="E5459">
        <v>0.43869590000000003</v>
      </c>
      <c r="F5459" t="s">
        <v>86</v>
      </c>
      <c r="G5459">
        <v>-239.90190000000001</v>
      </c>
      <c r="H5459" s="1">
        <v>-3.5917179999999999E-6</v>
      </c>
      <c r="I5459">
        <v>-58.372810000000001</v>
      </c>
      <c r="J5459">
        <v>-256.74619999999999</v>
      </c>
      <c r="K5459">
        <v>1.1143259999999999</v>
      </c>
      <c r="L5459">
        <v>-61.548949999999998</v>
      </c>
      <c r="M5459">
        <v>0.99925850000000005</v>
      </c>
      <c r="N5459">
        <v>0</v>
      </c>
      <c r="O5459">
        <v>3.659772E-2</v>
      </c>
      <c r="P5459">
        <v>0.99864869999999994</v>
      </c>
      <c r="Q5459">
        <v>-4.4340070000000002E-2</v>
      </c>
      <c r="R5459">
        <v>2.7103740000000001E-2</v>
      </c>
      <c r="S5459">
        <v>2.9813839999999998</v>
      </c>
      <c r="T5459">
        <v>-0.19480929999999999</v>
      </c>
      <c r="U5459">
        <v>0.5569153</v>
      </c>
      <c r="V5459">
        <v>9.8842110000000004E-3</v>
      </c>
      <c r="W5459">
        <v>-3.2261339999999999E-2</v>
      </c>
      <c r="X5459">
        <v>0.99943059999999995</v>
      </c>
      <c r="Y5459">
        <v>-0.1472927</v>
      </c>
      <c r="Z5459">
        <v>2.3998090000000001E-3</v>
      </c>
      <c r="AA5459">
        <v>0.98909000000000002</v>
      </c>
      <c r="AB5459">
        <v>37</v>
      </c>
      <c r="AC5459">
        <v>16.844299999999901</v>
      </c>
      <c r="AD5459">
        <v>-1.1143295917179901</v>
      </c>
      <c r="AE5459">
        <v>3.17613999999999</v>
      </c>
      <c r="AF5459">
        <v>-2.54674185682325</v>
      </c>
      <c r="AG5459">
        <v>-1.1143295917179901</v>
      </c>
      <c r="AH5459">
        <v>16.877932572646799</v>
      </c>
      <c r="AI5459">
        <v>93.735188830014295</v>
      </c>
      <c r="AJ5459">
        <v>98.580731832100199</v>
      </c>
      <c r="AK5459">
        <v>17.1053276043192</v>
      </c>
      <c r="AL5459">
        <v>91.848759399655606</v>
      </c>
      <c r="AM5459">
        <v>89.433372250803103</v>
      </c>
      <c r="AN5459">
        <v>1.0000000079510201</v>
      </c>
    </row>
    <row r="5460" spans="1:40" x14ac:dyDescent="0.25">
      <c r="A5460" t="str">
        <f>"20190312154713230"</f>
        <v>20190312154713230</v>
      </c>
      <c r="B5460" t="str">
        <f>"1552376833223720"</f>
        <v>1552376833223720</v>
      </c>
      <c r="C5460" t="s">
        <v>40</v>
      </c>
      <c r="D5460">
        <v>5.0493079999999999</v>
      </c>
      <c r="E5460">
        <v>0.43830079999999999</v>
      </c>
      <c r="F5460" t="s">
        <v>86</v>
      </c>
      <c r="G5460">
        <v>-239.5309</v>
      </c>
      <c r="H5460" s="1">
        <v>-3.455085E-6</v>
      </c>
      <c r="I5460">
        <v>-58.245730000000002</v>
      </c>
      <c r="J5460">
        <v>-256.5478</v>
      </c>
      <c r="K5460">
        <v>1.1142559999999999</v>
      </c>
      <c r="L5460">
        <v>-61.539400000000001</v>
      </c>
      <c r="M5460">
        <v>0.99915509999999996</v>
      </c>
      <c r="N5460">
        <v>0</v>
      </c>
      <c r="O5460">
        <v>3.9253290000000003E-2</v>
      </c>
      <c r="P5460">
        <v>0.99858959999999997</v>
      </c>
      <c r="Q5460">
        <v>-4.4328909999999999E-2</v>
      </c>
      <c r="R5460">
        <v>2.9225999999999999E-2</v>
      </c>
      <c r="S5460">
        <v>2.9799799999999999</v>
      </c>
      <c r="T5460">
        <v>-0.19289049999999999</v>
      </c>
      <c r="U5460">
        <v>0.57177730000000004</v>
      </c>
      <c r="V5460">
        <v>1.0406200000000001E-2</v>
      </c>
      <c r="W5460">
        <v>-3.202899E-2</v>
      </c>
      <c r="X5460">
        <v>0.99943269999999995</v>
      </c>
      <c r="Y5460">
        <v>-0.14951519999999999</v>
      </c>
      <c r="Z5460">
        <v>2.2777029999999998E-3</v>
      </c>
      <c r="AA5460">
        <v>0.98875679999999999</v>
      </c>
      <c r="AB5460">
        <v>37</v>
      </c>
      <c r="AC5460">
        <v>17.0168999999999</v>
      </c>
      <c r="AD5460">
        <v>-1.114259455085</v>
      </c>
      <c r="AE5460">
        <v>3.2936699999999899</v>
      </c>
      <c r="AF5460">
        <v>-2.6123162798621902</v>
      </c>
      <c r="AG5460">
        <v>-1.114259455085</v>
      </c>
      <c r="AH5460">
        <v>17.0625646381474</v>
      </c>
      <c r="AI5460">
        <v>93.693441723663796</v>
      </c>
      <c r="AJ5460">
        <v>98.704518072274098</v>
      </c>
      <c r="AK5460">
        <v>17.297308533706499</v>
      </c>
      <c r="AL5460">
        <v>91.835439978627306</v>
      </c>
      <c r="AM5460">
        <v>89.403451782229894</v>
      </c>
      <c r="AN5460">
        <v>0.99999993351407201</v>
      </c>
    </row>
    <row r="5461" spans="1:40" x14ac:dyDescent="0.25">
      <c r="A5461" t="str">
        <f>"20190312154713242"</f>
        <v>20190312154713242</v>
      </c>
      <c r="B5461" t="str">
        <f>"1552376833233481"</f>
        <v>1552376833233481</v>
      </c>
      <c r="C5461" t="s">
        <v>40</v>
      </c>
      <c r="D5461">
        <v>5.0346979999999997</v>
      </c>
      <c r="E5461">
        <v>0.43805329999999898</v>
      </c>
      <c r="F5461" t="s">
        <v>86</v>
      </c>
      <c r="G5461">
        <v>-239.31819999999999</v>
      </c>
      <c r="H5461" s="1">
        <v>-3.3759379999999999E-6</v>
      </c>
      <c r="I5461">
        <v>-58.177680000000002</v>
      </c>
      <c r="J5461">
        <v>-256.34219999999999</v>
      </c>
      <c r="K5461">
        <v>1.1141779999999999</v>
      </c>
      <c r="L5461">
        <v>-61.529020000000003</v>
      </c>
      <c r="M5461">
        <v>0.99904219999999999</v>
      </c>
      <c r="N5461">
        <v>0</v>
      </c>
      <c r="O5461">
        <v>4.1966099999999999E-2</v>
      </c>
      <c r="P5461">
        <v>0.99847620000000004</v>
      </c>
      <c r="Q5461">
        <v>-4.5098979999999997E-2</v>
      </c>
      <c r="R5461">
        <v>3.1806040000000001E-2</v>
      </c>
      <c r="S5461">
        <v>2.9787140000000001</v>
      </c>
      <c r="T5461">
        <v>-0.19263739999999999</v>
      </c>
      <c r="U5461">
        <v>0.58117680000000005</v>
      </c>
      <c r="V5461">
        <v>1.0535569999999999E-2</v>
      </c>
      <c r="W5461">
        <v>-3.2587020000000001E-2</v>
      </c>
      <c r="X5461">
        <v>0.99941340000000001</v>
      </c>
      <c r="Y5461">
        <v>-0.1499209</v>
      </c>
      <c r="Z5461">
        <v>2.114814E-3</v>
      </c>
      <c r="AA5461">
        <v>0.98869569999999996</v>
      </c>
      <c r="AB5461">
        <v>37</v>
      </c>
      <c r="AC5461">
        <v>17.024000000000001</v>
      </c>
      <c r="AD5461">
        <v>-1.1141813759379999</v>
      </c>
      <c r="AE5461">
        <v>3.3513399999999902</v>
      </c>
      <c r="AF5461">
        <v>-2.6230848595518599</v>
      </c>
      <c r="AG5461">
        <v>-1.1141813759379999</v>
      </c>
      <c r="AH5461">
        <v>17.079225814678999</v>
      </c>
      <c r="AI5461">
        <v>93.689325577154904</v>
      </c>
      <c r="AJ5461">
        <v>98.731452752529407</v>
      </c>
      <c r="AK5461">
        <v>17.315366838380701</v>
      </c>
      <c r="AL5461">
        <v>91.867429268088003</v>
      </c>
      <c r="AM5461">
        <v>89.396024371328195</v>
      </c>
      <c r="AN5461">
        <v>1.0000000281036301</v>
      </c>
    </row>
    <row r="5462" spans="1:40" x14ac:dyDescent="0.25">
      <c r="A5462" t="str">
        <f>"20190312154713253"</f>
        <v>20190312154713253</v>
      </c>
      <c r="B5462" t="str">
        <f>"1552376833243241"</f>
        <v>1552376833243241</v>
      </c>
      <c r="C5462" t="s">
        <v>40</v>
      </c>
      <c r="D5462">
        <v>4.9838779999999998</v>
      </c>
      <c r="E5462">
        <v>0.43782080000000001</v>
      </c>
      <c r="F5462" t="s">
        <v>86</v>
      </c>
      <c r="G5462">
        <v>-239.32339999999999</v>
      </c>
      <c r="H5462" s="1">
        <v>-3.3828029999999999E-6</v>
      </c>
      <c r="I5462">
        <v>-58.151510000000002</v>
      </c>
      <c r="J5462">
        <v>-256.17619999999999</v>
      </c>
      <c r="K5462">
        <v>1.1141099999999999</v>
      </c>
      <c r="L5462">
        <v>-61.52008</v>
      </c>
      <c r="M5462">
        <v>0.99894890000000003</v>
      </c>
      <c r="N5462">
        <v>0</v>
      </c>
      <c r="O5462">
        <v>4.4088210000000003E-2</v>
      </c>
      <c r="P5462">
        <v>0.99837569999999998</v>
      </c>
      <c r="Q5462">
        <v>-4.5903289999999999E-2</v>
      </c>
      <c r="R5462">
        <v>3.3746180000000001E-2</v>
      </c>
      <c r="S5462">
        <v>2.9769589999999999</v>
      </c>
      <c r="T5462">
        <v>-0.1948947</v>
      </c>
      <c r="U5462">
        <v>0.59078980000000003</v>
      </c>
      <c r="V5462">
        <v>1.07166E-2</v>
      </c>
      <c r="W5462">
        <v>-3.3236799999999997E-2</v>
      </c>
      <c r="X5462">
        <v>0.99939009999999995</v>
      </c>
      <c r="Y5462">
        <v>-0.15100060000000001</v>
      </c>
      <c r="Z5462">
        <v>2.0380580000000001E-3</v>
      </c>
      <c r="AA5462">
        <v>0.98853159999999896</v>
      </c>
      <c r="AB5462">
        <v>37</v>
      </c>
      <c r="AC5462">
        <v>16.852799999999998</v>
      </c>
      <c r="AD5462">
        <v>-1.1141133828030001</v>
      </c>
      <c r="AE5462">
        <v>3.3685700000000098</v>
      </c>
      <c r="AF5462">
        <v>-2.6112521713466301</v>
      </c>
      <c r="AG5462">
        <v>-1.1141133828030001</v>
      </c>
      <c r="AH5462">
        <v>16.9138569846777</v>
      </c>
      <c r="AI5462">
        <v>93.724620689232296</v>
      </c>
      <c r="AJ5462">
        <v>98.776340632785406</v>
      </c>
      <c r="AK5462">
        <v>17.150464851724401</v>
      </c>
      <c r="AL5462">
        <v>91.904679055193199</v>
      </c>
      <c r="AM5462">
        <v>89.385632879497706</v>
      </c>
      <c r="AN5462">
        <v>1.0000000511839</v>
      </c>
    </row>
    <row r="5463" spans="1:40" x14ac:dyDescent="0.25">
      <c r="A5463" t="str">
        <f>"20190312154713262"</f>
        <v>20190312154713262</v>
      </c>
      <c r="B5463" t="str">
        <f>"1552376833253978"</f>
        <v>1552376833253978</v>
      </c>
      <c r="C5463" t="s">
        <v>40</v>
      </c>
      <c r="D5463">
        <v>4.9943569999999999</v>
      </c>
      <c r="E5463">
        <v>0.43761280000000002</v>
      </c>
      <c r="F5463" t="s">
        <v>86</v>
      </c>
      <c r="G5463">
        <v>-239.33609999999999</v>
      </c>
      <c r="H5463" s="1">
        <v>-3.3915480000000001E-6</v>
      </c>
      <c r="I5463">
        <v>-58.133000000000003</v>
      </c>
      <c r="J5463">
        <v>-256.0068</v>
      </c>
      <c r="K5463">
        <v>1.1140350000000001</v>
      </c>
      <c r="L5463">
        <v>-61.510930000000002</v>
      </c>
      <c r="M5463">
        <v>0.99884930000000005</v>
      </c>
      <c r="N5463">
        <v>0</v>
      </c>
      <c r="O5463">
        <v>4.6246710000000003E-2</v>
      </c>
      <c r="P5463">
        <v>0.99831250000000005</v>
      </c>
      <c r="Q5463">
        <v>-4.5846419999999999E-2</v>
      </c>
      <c r="R5463">
        <v>3.564618E-2</v>
      </c>
      <c r="S5463">
        <v>2.9756010000000002</v>
      </c>
      <c r="T5463">
        <v>-0.19686149999999999</v>
      </c>
      <c r="U5463">
        <v>0.59848020000000002</v>
      </c>
      <c r="V5463">
        <v>1.096448E-2</v>
      </c>
      <c r="W5463">
        <v>-3.3022309999999999E-2</v>
      </c>
      <c r="X5463">
        <v>0.99939449999999996</v>
      </c>
      <c r="Y5463">
        <v>-0.1514066</v>
      </c>
      <c r="Z5463">
        <v>1.9314779999999999E-3</v>
      </c>
      <c r="AA5463">
        <v>0.98846970000000001</v>
      </c>
      <c r="AB5463">
        <v>37</v>
      </c>
      <c r="AC5463">
        <v>16.6707</v>
      </c>
      <c r="AD5463">
        <v>-1.1140383915479899</v>
      </c>
      <c r="AE5463">
        <v>3.3779299999999899</v>
      </c>
      <c r="AF5463">
        <v>-2.5921685801224101</v>
      </c>
      <c r="AG5463">
        <v>-1.1140383915479899</v>
      </c>
      <c r="AH5463">
        <v>16.737294553223101</v>
      </c>
      <c r="AI5463">
        <v>93.763270105301302</v>
      </c>
      <c r="AJ5463">
        <v>98.803672337804599</v>
      </c>
      <c r="AK5463">
        <v>16.973433608052598</v>
      </c>
      <c r="AL5463">
        <v>91.892382974949498</v>
      </c>
      <c r="AM5463">
        <v>89.371426173455703</v>
      </c>
      <c r="AN5463">
        <v>1.0000000297048199</v>
      </c>
    </row>
    <row r="5464" spans="1:40" x14ac:dyDescent="0.25">
      <c r="A5464" t="str">
        <f>"20190312154713281"</f>
        <v>20190312154713281</v>
      </c>
      <c r="B5464" t="str">
        <f>"1552376833273514"</f>
        <v>1552376833273514</v>
      </c>
      <c r="C5464" t="s">
        <v>40</v>
      </c>
      <c r="D5464">
        <v>4.9678940000000003</v>
      </c>
      <c r="E5464">
        <v>0.43705159999999998</v>
      </c>
      <c r="F5464" t="s">
        <v>86</v>
      </c>
      <c r="G5464">
        <v>-239.1224</v>
      </c>
      <c r="H5464" s="1">
        <v>-3.3105930000000001E-6</v>
      </c>
      <c r="I5464">
        <v>-58.07253</v>
      </c>
      <c r="J5464">
        <v>-255.7158</v>
      </c>
      <c r="K5464">
        <v>1.1138999999999999</v>
      </c>
      <c r="L5464">
        <v>-61.494050000000001</v>
      </c>
      <c r="M5464">
        <v>0.99867490000000003</v>
      </c>
      <c r="N5464">
        <v>0</v>
      </c>
      <c r="O5464">
        <v>4.981116E-2</v>
      </c>
      <c r="P5464">
        <v>0.99822610000000001</v>
      </c>
      <c r="Q5464">
        <v>-4.468068E-2</v>
      </c>
      <c r="R5464">
        <v>3.9356330000000002E-2</v>
      </c>
      <c r="S5464">
        <v>2.9744259999999998</v>
      </c>
      <c r="T5464">
        <v>-0.19625429999999999</v>
      </c>
      <c r="U5464">
        <v>0.6057129</v>
      </c>
      <c r="V5464">
        <v>1.0790070000000001E-2</v>
      </c>
      <c r="W5464">
        <v>-3.1623020000000002E-2</v>
      </c>
      <c r="X5464">
        <v>0.99944160000000004</v>
      </c>
      <c r="Y5464">
        <v>-0.1502743</v>
      </c>
      <c r="Z5464">
        <v>1.6571089999999999E-3</v>
      </c>
      <c r="AA5464">
        <v>0.98864289999999999</v>
      </c>
      <c r="AB5464">
        <v>37</v>
      </c>
      <c r="AC5464">
        <v>16.593399999999999</v>
      </c>
      <c r="AD5464">
        <v>-1.1139033105930001</v>
      </c>
      <c r="AE5464">
        <v>3.4215199999999899</v>
      </c>
      <c r="AF5464">
        <v>-2.5795162400719001</v>
      </c>
      <c r="AG5464">
        <v>-1.1139033105930001</v>
      </c>
      <c r="AH5464">
        <v>16.6711803802852</v>
      </c>
      <c r="AI5464">
        <v>93.777776888963899</v>
      </c>
      <c r="AJ5464">
        <v>98.795573426453004</v>
      </c>
      <c r="AK5464">
        <v>16.906298822928399</v>
      </c>
      <c r="AL5464">
        <v>91.812167742446107</v>
      </c>
      <c r="AM5464">
        <v>89.381453149351401</v>
      </c>
      <c r="AN5464">
        <v>0.99999997640754201</v>
      </c>
    </row>
    <row r="5465" spans="1:40" x14ac:dyDescent="0.25">
      <c r="A5465" t="str">
        <f>"20190312154713293"</f>
        <v>20190312154713293</v>
      </c>
      <c r="B5465" t="str">
        <f>"1552376833283257"</f>
        <v>1552376833283257</v>
      </c>
      <c r="C5465" t="s">
        <v>40</v>
      </c>
      <c r="D5465">
        <v>4.917027</v>
      </c>
      <c r="E5465">
        <v>0.43695469999999997</v>
      </c>
      <c r="F5465" t="s">
        <v>86</v>
      </c>
      <c r="G5465">
        <v>-238.62520000000001</v>
      </c>
      <c r="H5465" s="1">
        <v>-3.124127E-6</v>
      </c>
      <c r="I5465">
        <v>-57.92116</v>
      </c>
      <c r="J5465">
        <v>-255.53309999999999</v>
      </c>
      <c r="K5465">
        <v>1.1138060000000001</v>
      </c>
      <c r="L5465">
        <v>-61.482939999999999</v>
      </c>
      <c r="M5465">
        <v>0.99856310000000004</v>
      </c>
      <c r="N5465">
        <v>0</v>
      </c>
      <c r="O5465">
        <v>5.1969550000000003E-2</v>
      </c>
      <c r="P5465">
        <v>0.99817140000000004</v>
      </c>
      <c r="Q5465">
        <v>-4.384702E-2</v>
      </c>
      <c r="R5465">
        <v>4.1612349999999999E-2</v>
      </c>
      <c r="S5465">
        <v>2.9721679999999999</v>
      </c>
      <c r="T5465">
        <v>-0.1937152</v>
      </c>
      <c r="U5465">
        <v>0.6213379</v>
      </c>
      <c r="V5465">
        <v>1.067424E-2</v>
      </c>
      <c r="W5465">
        <v>-3.0657259999999999E-2</v>
      </c>
      <c r="X5465">
        <v>0.99947299999999994</v>
      </c>
      <c r="Y5465">
        <v>-0.1532723</v>
      </c>
      <c r="Z5465">
        <v>1.594184E-3</v>
      </c>
      <c r="AA5465">
        <v>0.98818269999999997</v>
      </c>
      <c r="AB5465">
        <v>37</v>
      </c>
      <c r="AC5465">
        <v>16.907899999999898</v>
      </c>
      <c r="AD5465">
        <v>-1.1138091241269901</v>
      </c>
      <c r="AE5465">
        <v>3.56177999999999</v>
      </c>
      <c r="AF5465">
        <v>-2.6671127760298998</v>
      </c>
      <c r="AG5465">
        <v>-1.1138091241269901</v>
      </c>
      <c r="AH5465">
        <v>16.999532525041101</v>
      </c>
      <c r="AI5465">
        <v>93.703484526197599</v>
      </c>
      <c r="AJ5465">
        <v>98.916635638662299</v>
      </c>
      <c r="AK5465">
        <v>17.243496379649301</v>
      </c>
      <c r="AL5465">
        <v>91.756806802620503</v>
      </c>
      <c r="AM5465">
        <v>89.388111884387897</v>
      </c>
      <c r="AN5465">
        <v>1.00000004235964</v>
      </c>
    </row>
    <row r="5466" spans="1:40" x14ac:dyDescent="0.25">
      <c r="A5466" t="str">
        <f>"20190312154713303"</f>
        <v>20190312154713303</v>
      </c>
      <c r="B5466" t="str">
        <f>"1552376833293994"</f>
        <v>1552376833293994</v>
      </c>
      <c r="C5466" t="s">
        <v>40</v>
      </c>
      <c r="D5466">
        <v>4.9630299999999998</v>
      </c>
      <c r="E5466">
        <v>0.43681409999999998</v>
      </c>
      <c r="F5466" t="s">
        <v>86</v>
      </c>
      <c r="G5466">
        <v>-238.27340000000001</v>
      </c>
      <c r="H5466" s="1">
        <v>-2.9894000000000001E-6</v>
      </c>
      <c r="I5466">
        <v>-57.829830000000001</v>
      </c>
      <c r="J5466">
        <v>-255.34690000000001</v>
      </c>
      <c r="K5466">
        <v>1.113707</v>
      </c>
      <c r="L5466">
        <v>-61.471469999999997</v>
      </c>
      <c r="M5466">
        <v>0.99844580000000005</v>
      </c>
      <c r="N5466">
        <v>0</v>
      </c>
      <c r="O5466">
        <v>5.4144049999999999E-2</v>
      </c>
      <c r="P5466">
        <v>0.99808620000000003</v>
      </c>
      <c r="Q5466">
        <v>-4.3435309999999998E-2</v>
      </c>
      <c r="R5466">
        <v>4.4018839999999997E-2</v>
      </c>
      <c r="S5466">
        <v>2.9708399999999999</v>
      </c>
      <c r="T5466">
        <v>-0.19171550000000001</v>
      </c>
      <c r="U5466">
        <v>0.62878420000000002</v>
      </c>
      <c r="V5466">
        <v>1.042794E-2</v>
      </c>
      <c r="W5466">
        <v>-3.0116549999999999E-2</v>
      </c>
      <c r="X5466">
        <v>0.99949200000000005</v>
      </c>
      <c r="Y5466">
        <v>-0.15358840000000001</v>
      </c>
      <c r="Z5466">
        <v>1.4500419999999999E-3</v>
      </c>
      <c r="AA5466">
        <v>0.98813379999999995</v>
      </c>
      <c r="AB5466">
        <v>37</v>
      </c>
      <c r="AC5466">
        <v>17.0734999999999</v>
      </c>
      <c r="AD5466">
        <v>-1.1137099894</v>
      </c>
      <c r="AE5466">
        <v>3.64163999999999</v>
      </c>
      <c r="AF5466">
        <v>-2.7007963914408202</v>
      </c>
      <c r="AG5466">
        <v>-1.1137099894</v>
      </c>
      <c r="AH5466">
        <v>17.175738861581401</v>
      </c>
      <c r="AI5466">
        <v>93.665072174119899</v>
      </c>
      <c r="AJ5466">
        <v>98.936292652617894</v>
      </c>
      <c r="AK5466">
        <v>17.422418217048602</v>
      </c>
      <c r="AL5466">
        <v>91.725812157055699</v>
      </c>
      <c r="AM5466">
        <v>89.402241064982505</v>
      </c>
      <c r="AN5466">
        <v>1.0000000032902701</v>
      </c>
    </row>
    <row r="5467" spans="1:40" x14ac:dyDescent="0.25">
      <c r="A5467" t="str">
        <f>"20190312154713314"</f>
        <v>20190312154713314</v>
      </c>
      <c r="B5467" t="str">
        <f>"1552376833303754"</f>
        <v>1552376833303754</v>
      </c>
      <c r="C5467" t="s">
        <v>40</v>
      </c>
      <c r="D5467">
        <v>4.9462250000000001</v>
      </c>
      <c r="E5467">
        <v>0.43676169999999997</v>
      </c>
      <c r="F5467" t="s">
        <v>86</v>
      </c>
      <c r="G5467">
        <v>-237.9913</v>
      </c>
      <c r="H5467" s="1">
        <v>-2.8829949999999998E-6</v>
      </c>
      <c r="I5467">
        <v>-57.747509999999998</v>
      </c>
      <c r="J5467">
        <v>-255.16650000000001</v>
      </c>
      <c r="K5467">
        <v>1.1136060000000001</v>
      </c>
      <c r="L5467">
        <v>-61.459809999999997</v>
      </c>
      <c r="M5467">
        <v>0.99833329999999998</v>
      </c>
      <c r="N5467">
        <v>0</v>
      </c>
      <c r="O5467">
        <v>5.6151069999999997E-2</v>
      </c>
      <c r="P5467">
        <v>0.99799309999999997</v>
      </c>
      <c r="Q5467">
        <v>-4.3580830000000001E-2</v>
      </c>
      <c r="R5467">
        <v>4.5943390000000001E-2</v>
      </c>
      <c r="S5467">
        <v>2.9693450000000001</v>
      </c>
      <c r="T5467">
        <v>-0.1905433</v>
      </c>
      <c r="U5467">
        <v>0.63711549999999995</v>
      </c>
      <c r="V5467">
        <v>1.0501730000000001E-2</v>
      </c>
      <c r="W5467">
        <v>-3.0149889999999999E-2</v>
      </c>
      <c r="X5467">
        <v>0.9994902</v>
      </c>
      <c r="Y5467">
        <v>-0.15435950000000001</v>
      </c>
      <c r="Z5467">
        <v>1.3392740000000001E-3</v>
      </c>
      <c r="AA5467">
        <v>0.9880139</v>
      </c>
      <c r="AB5467">
        <v>37</v>
      </c>
      <c r="AC5467">
        <v>17.1752</v>
      </c>
      <c r="AD5467">
        <v>-1.1136088829949999</v>
      </c>
      <c r="AE5467">
        <v>3.7122999999999902</v>
      </c>
      <c r="AF5467">
        <v>-2.7309818629295801</v>
      </c>
      <c r="AG5467">
        <v>-1.1136088829949999</v>
      </c>
      <c r="AH5467">
        <v>17.287134454063899</v>
      </c>
      <c r="AI5467">
        <v>93.640779812906104</v>
      </c>
      <c r="AJ5467">
        <v>98.977264765657694</v>
      </c>
      <c r="AK5467">
        <v>17.536915473161699</v>
      </c>
      <c r="AL5467">
        <v>91.727723304629606</v>
      </c>
      <c r="AM5467">
        <v>89.398010440179505</v>
      </c>
      <c r="AN5467">
        <v>0.99999998104802201</v>
      </c>
    </row>
    <row r="5468" spans="1:40" x14ac:dyDescent="0.25">
      <c r="A5468" t="str">
        <f>"20190312154713326"</f>
        <v>20190312154713326</v>
      </c>
      <c r="B5468" t="str">
        <f>"1552376833323273"</f>
        <v>1552376833323273</v>
      </c>
      <c r="C5468" t="s">
        <v>40</v>
      </c>
      <c r="D5468">
        <v>4.9267159999999999</v>
      </c>
      <c r="E5468">
        <v>0.43668089999999998</v>
      </c>
      <c r="F5468" t="s">
        <v>86</v>
      </c>
      <c r="G5468">
        <v>-237.82810000000001</v>
      </c>
      <c r="H5468" s="1">
        <v>-2.8209680000000001E-6</v>
      </c>
      <c r="I5468">
        <v>-57.702500000000001</v>
      </c>
      <c r="J5468">
        <v>-254.98939999999999</v>
      </c>
      <c r="K5468">
        <v>1.113505</v>
      </c>
      <c r="L5468">
        <v>-61.448180000000001</v>
      </c>
      <c r="M5468">
        <v>0.99822040000000001</v>
      </c>
      <c r="N5468">
        <v>0</v>
      </c>
      <c r="O5468">
        <v>5.8100079999999998E-2</v>
      </c>
      <c r="P5468">
        <v>0.99788370000000004</v>
      </c>
      <c r="Q5468">
        <v>-4.4066050000000002E-2</v>
      </c>
      <c r="R5468">
        <v>4.7818819999999998E-2</v>
      </c>
      <c r="S5468">
        <v>2.9680939999999998</v>
      </c>
      <c r="T5468">
        <v>-0.19063430000000001</v>
      </c>
      <c r="U5468">
        <v>0.64318850000000005</v>
      </c>
      <c r="V5468">
        <v>1.0569510000000001E-2</v>
      </c>
      <c r="W5468">
        <v>-3.0528010000000001E-2</v>
      </c>
      <c r="X5468">
        <v>0.99947799999999998</v>
      </c>
      <c r="Y5468">
        <v>-0.15445110000000001</v>
      </c>
      <c r="Z5468">
        <v>1.220025E-3</v>
      </c>
      <c r="AA5468">
        <v>0.98799970000000004</v>
      </c>
      <c r="AB5468">
        <v>37</v>
      </c>
      <c r="AC5468">
        <v>17.161299999999901</v>
      </c>
      <c r="AD5468">
        <v>-1.1135078209680001</v>
      </c>
      <c r="AE5468">
        <v>3.7456800000000001</v>
      </c>
      <c r="AF5468">
        <v>-2.7312130124301701</v>
      </c>
      <c r="AG5468">
        <v>-1.1135078209680001</v>
      </c>
      <c r="AH5468">
        <v>17.280505802251199</v>
      </c>
      <c r="AI5468">
        <v>93.641801560640701</v>
      </c>
      <c r="AJ5468">
        <v>98.981399981158603</v>
      </c>
      <c r="AK5468">
        <v>17.530410861364999</v>
      </c>
      <c r="AL5468">
        <v>91.749397976571998</v>
      </c>
      <c r="AM5468">
        <v>89.394117988122503</v>
      </c>
      <c r="AN5468">
        <v>0.99999997321009904</v>
      </c>
    </row>
    <row r="5469" spans="1:40" x14ac:dyDescent="0.25">
      <c r="A5469" t="str">
        <f>"20190312154713336"</f>
        <v>20190312154713336</v>
      </c>
      <c r="B5469" t="str">
        <f>"1552376833334008"</f>
        <v>1552376833334008</v>
      </c>
      <c r="C5469" t="s">
        <v>40</v>
      </c>
      <c r="D5469">
        <v>5.1015550000000003</v>
      </c>
      <c r="E5469">
        <v>0.43670239999999999</v>
      </c>
      <c r="F5469" t="s">
        <v>86</v>
      </c>
      <c r="G5469">
        <v>-237.315</v>
      </c>
      <c r="H5469" s="1">
        <v>-2.6225279999999998E-6</v>
      </c>
      <c r="I5469">
        <v>-57.580280000000002</v>
      </c>
      <c r="J5469">
        <v>-254.8108</v>
      </c>
      <c r="K5469">
        <v>1.113399</v>
      </c>
      <c r="L5469">
        <v>-61.436070000000001</v>
      </c>
      <c r="M5469">
        <v>0.99810730000000003</v>
      </c>
      <c r="N5469">
        <v>0</v>
      </c>
      <c r="O5469">
        <v>5.9989969999999997E-2</v>
      </c>
      <c r="P5469">
        <v>0.99777879999999997</v>
      </c>
      <c r="Q5469">
        <v>-4.4181489999999997E-2</v>
      </c>
      <c r="R5469">
        <v>4.9857560000000002E-2</v>
      </c>
      <c r="S5469">
        <v>2.9669949999999998</v>
      </c>
      <c r="T5469">
        <v>-0.1869237</v>
      </c>
      <c r="U5469">
        <v>0.64929199999999998</v>
      </c>
      <c r="V5469">
        <v>1.041152E-2</v>
      </c>
      <c r="W5469">
        <v>-3.0548840000000001E-2</v>
      </c>
      <c r="X5469">
        <v>0.99947909999999995</v>
      </c>
      <c r="Y5469">
        <v>-0.15460699999999999</v>
      </c>
      <c r="Z5469">
        <v>1.084354E-3</v>
      </c>
      <c r="AA5469">
        <v>0.98797550000000001</v>
      </c>
      <c r="AB5469">
        <v>37</v>
      </c>
      <c r="AC5469">
        <v>17.495799999999999</v>
      </c>
      <c r="AD5469">
        <v>-1.1134016225279999</v>
      </c>
      <c r="AE5469">
        <v>3.8557899999999901</v>
      </c>
      <c r="AF5469">
        <v>-2.78840630523068</v>
      </c>
      <c r="AG5469">
        <v>-1.1134016225279999</v>
      </c>
      <c r="AH5469">
        <v>17.6275321048305</v>
      </c>
      <c r="AI5469">
        <v>93.569881439841396</v>
      </c>
      <c r="AJ5469">
        <v>98.988836794966005</v>
      </c>
      <c r="AK5469">
        <v>17.881408249993299</v>
      </c>
      <c r="AL5469">
        <v>91.750591867750501</v>
      </c>
      <c r="AM5469">
        <v>89.403174535157603</v>
      </c>
      <c r="AN5469">
        <v>1.0000000513554299</v>
      </c>
    </row>
    <row r="5470" spans="1:40" x14ac:dyDescent="0.25">
      <c r="A5470" t="str">
        <f>"20190312154713348"</f>
        <v>20190312154713348</v>
      </c>
      <c r="B5470" t="str">
        <f>"1552376833343769"</f>
        <v>1552376833343769</v>
      </c>
      <c r="C5470" t="s">
        <v>40</v>
      </c>
      <c r="D5470">
        <v>5.0748239999999996</v>
      </c>
      <c r="E5470">
        <v>0.43674380000000002</v>
      </c>
      <c r="F5470" t="s">
        <v>86</v>
      </c>
      <c r="G5470">
        <v>-236.9777</v>
      </c>
      <c r="H5470" s="1">
        <v>-2.4927190000000002E-6</v>
      </c>
      <c r="I5470">
        <v>-57.496389999999998</v>
      </c>
      <c r="J5470">
        <v>-254.63130000000001</v>
      </c>
      <c r="K5470">
        <v>1.1132930000000001</v>
      </c>
      <c r="L5470">
        <v>-61.423679999999997</v>
      </c>
      <c r="M5470">
        <v>0.99799260000000001</v>
      </c>
      <c r="N5470">
        <v>0</v>
      </c>
      <c r="O5470">
        <v>6.1847539999999999E-2</v>
      </c>
      <c r="P5470">
        <v>0.99769129999999995</v>
      </c>
      <c r="Q5470">
        <v>-4.4324170000000003E-2</v>
      </c>
      <c r="R5470">
        <v>5.1458509999999999E-2</v>
      </c>
      <c r="S5470">
        <v>2.9657589999999998</v>
      </c>
      <c r="T5470">
        <v>-0.18516560000000001</v>
      </c>
      <c r="U5470">
        <v>0.65518189999999998</v>
      </c>
      <c r="V5470">
        <v>1.0659699999999999E-2</v>
      </c>
      <c r="W5470">
        <v>-3.059721E-2</v>
      </c>
      <c r="X5470">
        <v>0.99947490000000005</v>
      </c>
      <c r="Y5470">
        <v>-0.15473229999999999</v>
      </c>
      <c r="Z5470">
        <v>9.6433610000000003E-4</v>
      </c>
      <c r="AA5470">
        <v>0.98795599999999995</v>
      </c>
      <c r="AB5470">
        <v>37</v>
      </c>
      <c r="AC5470">
        <v>17.653600000000001</v>
      </c>
      <c r="AD5470">
        <v>-1.113295492719</v>
      </c>
      <c r="AE5470">
        <v>3.92728999999999</v>
      </c>
      <c r="AF5470">
        <v>-2.8171616477764001</v>
      </c>
      <c r="AG5470">
        <v>-1.113295492719</v>
      </c>
      <c r="AH5470">
        <v>17.7952793071684</v>
      </c>
      <c r="AI5470">
        <v>93.535911589060504</v>
      </c>
      <c r="AJ5470">
        <v>98.995810880821793</v>
      </c>
      <c r="AK5470">
        <v>18.051254588641399</v>
      </c>
      <c r="AL5470">
        <v>91.753364743458206</v>
      </c>
      <c r="AM5470">
        <v>89.388946470882104</v>
      </c>
      <c r="AN5470">
        <v>0.99999994709693996</v>
      </c>
    </row>
    <row r="5471" spans="1:40" x14ac:dyDescent="0.25">
      <c r="A5471" t="str">
        <f>"20190312154713360"</f>
        <v>20190312154713360</v>
      </c>
      <c r="B5471" t="str">
        <f>"1552376833353529"</f>
        <v>1552376833353529</v>
      </c>
      <c r="C5471" t="s">
        <v>40</v>
      </c>
      <c r="D5471">
        <v>5.2469789999999996</v>
      </c>
      <c r="E5471">
        <v>0.43678709999999998</v>
      </c>
      <c r="F5471" t="s">
        <v>86</v>
      </c>
      <c r="G5471">
        <v>-236.67949999999999</v>
      </c>
      <c r="H5471" s="1">
        <v>-2.3765940000000001E-6</v>
      </c>
      <c r="I5471">
        <v>-57.4298</v>
      </c>
      <c r="J5471">
        <v>-254.43369999999999</v>
      </c>
      <c r="K5471">
        <v>1.113178</v>
      </c>
      <c r="L5471">
        <v>-61.409640000000003</v>
      </c>
      <c r="M5471">
        <v>0.99786680000000005</v>
      </c>
      <c r="N5471">
        <v>0</v>
      </c>
      <c r="O5471">
        <v>6.3823340000000006E-2</v>
      </c>
      <c r="P5471">
        <v>0.99761169999999999</v>
      </c>
      <c r="Q5471">
        <v>-4.4378609999999999E-2</v>
      </c>
      <c r="R5471">
        <v>5.2930390000000001E-2</v>
      </c>
      <c r="S5471">
        <v>2.964737</v>
      </c>
      <c r="T5471">
        <v>-0.18386069999999999</v>
      </c>
      <c r="U5471">
        <v>0.65957639999999995</v>
      </c>
      <c r="V5471">
        <v>1.115406E-2</v>
      </c>
      <c r="W5471">
        <v>-3.0554100000000001E-2</v>
      </c>
      <c r="X5471">
        <v>0.99947090000000005</v>
      </c>
      <c r="Y5471">
        <v>-0.15425050000000001</v>
      </c>
      <c r="Z5471">
        <v>8.2266279999999999E-4</v>
      </c>
      <c r="AA5471">
        <v>0.9880314</v>
      </c>
      <c r="AB5471">
        <v>36</v>
      </c>
      <c r="AC5471">
        <v>17.754199999999901</v>
      </c>
      <c r="AD5471">
        <v>-1.113180376594</v>
      </c>
      <c r="AE5471">
        <v>3.9798399999999998</v>
      </c>
      <c r="AF5471">
        <v>-2.8279000671160301</v>
      </c>
      <c r="AG5471">
        <v>-1.113180376594</v>
      </c>
      <c r="AH5471">
        <v>17.905005731078202</v>
      </c>
      <c r="AI5471">
        <v>93.514134925465498</v>
      </c>
      <c r="AJ5471">
        <v>98.975105269209806</v>
      </c>
      <c r="AK5471">
        <v>18.161096320717299</v>
      </c>
      <c r="AL5471">
        <v>91.750893433922897</v>
      </c>
      <c r="AM5471">
        <v>89.360607664486807</v>
      </c>
      <c r="AN5471">
        <v>1.00000002301405</v>
      </c>
    </row>
    <row r="5472" spans="1:40" x14ac:dyDescent="0.25">
      <c r="A5472" t="str">
        <f>"20190312154713371"</f>
        <v>20190312154713371</v>
      </c>
      <c r="B5472" t="str">
        <f>"1552376833363290"</f>
        <v>1552376833363290</v>
      </c>
      <c r="C5472" t="s">
        <v>40</v>
      </c>
      <c r="D5472">
        <v>4.8872059999999999</v>
      </c>
      <c r="E5472">
        <v>0.43682339999999997</v>
      </c>
      <c r="F5472" t="s">
        <v>86</v>
      </c>
      <c r="G5472">
        <v>-236.34469999999999</v>
      </c>
      <c r="H5472" s="1">
        <v>-2.245295E-6</v>
      </c>
      <c r="I5472">
        <v>-57.360230000000001</v>
      </c>
      <c r="J5472">
        <v>-254.26740000000001</v>
      </c>
      <c r="K5472">
        <v>1.1130789999999999</v>
      </c>
      <c r="L5472">
        <v>-61.397550000000003</v>
      </c>
      <c r="M5472">
        <v>0.9977627</v>
      </c>
      <c r="N5472">
        <v>0</v>
      </c>
      <c r="O5472">
        <v>6.5415490000000007E-2</v>
      </c>
      <c r="P5472">
        <v>0.99756800000000001</v>
      </c>
      <c r="Q5472">
        <v>-4.4075179999999999E-2</v>
      </c>
      <c r="R5472">
        <v>5.3998839999999999E-2</v>
      </c>
      <c r="S5472">
        <v>2.9638819999999999</v>
      </c>
      <c r="T5472">
        <v>-0.1823939</v>
      </c>
      <c r="U5472">
        <v>0.66348269999999998</v>
      </c>
      <c r="V5472">
        <v>1.1667439999999999E-2</v>
      </c>
      <c r="W5472">
        <v>-3.0174969999999999E-2</v>
      </c>
      <c r="X5472">
        <v>0.99947660000000005</v>
      </c>
      <c r="Y5472">
        <v>-0.1539807</v>
      </c>
      <c r="Z5472">
        <v>7.1186060000000002E-4</v>
      </c>
      <c r="AA5472">
        <v>0.9880736</v>
      </c>
      <c r="AB5472">
        <v>36</v>
      </c>
      <c r="AC5472">
        <v>17.922699999999999</v>
      </c>
      <c r="AD5472">
        <v>-1.1130812452949901</v>
      </c>
      <c r="AE5472">
        <v>4.0373200000000002</v>
      </c>
      <c r="AF5472">
        <v>-2.84569131975254</v>
      </c>
      <c r="AG5472">
        <v>-1.1130812452949901</v>
      </c>
      <c r="AH5472">
        <v>18.082058684742201</v>
      </c>
      <c r="AI5472">
        <v>93.479802032286798</v>
      </c>
      <c r="AJ5472">
        <v>98.943654430240201</v>
      </c>
      <c r="AK5472">
        <v>18.3384229208622</v>
      </c>
      <c r="AL5472">
        <v>91.729160790045299</v>
      </c>
      <c r="AM5472">
        <v>89.331185235816093</v>
      </c>
      <c r="AN5472">
        <v>1.0000000659591</v>
      </c>
    </row>
    <row r="5473" spans="1:40" x14ac:dyDescent="0.25">
      <c r="A5473" t="str">
        <f>"20190312154713381"</f>
        <v>20190312154713381</v>
      </c>
      <c r="B5473" t="str">
        <f>"1552376833374026"</f>
        <v>1552376833374026</v>
      </c>
      <c r="C5473" t="s">
        <v>40</v>
      </c>
      <c r="D5473">
        <v>5.1441350000000003</v>
      </c>
      <c r="E5473">
        <v>0.43687979999999998</v>
      </c>
      <c r="F5473" t="s">
        <v>86</v>
      </c>
      <c r="G5473">
        <v>-235.91480000000001</v>
      </c>
      <c r="H5473" s="1">
        <v>-2.076716E-6</v>
      </c>
      <c r="I5473">
        <v>-57.270969999999998</v>
      </c>
      <c r="J5473">
        <v>-254.0865</v>
      </c>
      <c r="K5473">
        <v>1.112965</v>
      </c>
      <c r="L5473">
        <v>-61.384250000000002</v>
      </c>
      <c r="M5473">
        <v>0.99764909999999996</v>
      </c>
      <c r="N5473">
        <v>0</v>
      </c>
      <c r="O5473">
        <v>6.7110680000000006E-2</v>
      </c>
      <c r="P5473">
        <v>0.99750479999999997</v>
      </c>
      <c r="Q5473">
        <v>-4.3812410000000003E-2</v>
      </c>
      <c r="R5473">
        <v>5.5360729999999997E-2</v>
      </c>
      <c r="S5473">
        <v>2.9633180000000001</v>
      </c>
      <c r="T5473">
        <v>-0.1797242</v>
      </c>
      <c r="U5473">
        <v>0.6662903</v>
      </c>
      <c r="V5473">
        <v>1.1990229999999999E-2</v>
      </c>
      <c r="W5473">
        <v>-2.9835919999999998E-2</v>
      </c>
      <c r="X5473">
        <v>0.99948289999999995</v>
      </c>
      <c r="Y5473">
        <v>-0.15324209999999999</v>
      </c>
      <c r="Z5473">
        <v>5.785152E-4</v>
      </c>
      <c r="AA5473">
        <v>0.98818850000000003</v>
      </c>
      <c r="AB5473">
        <v>36</v>
      </c>
      <c r="AC5473">
        <v>18.171699999999898</v>
      </c>
      <c r="AD5473">
        <v>-1.112967076716</v>
      </c>
      <c r="AE5473">
        <v>4.1132799999999996</v>
      </c>
      <c r="AF5473">
        <v>-2.8741164994477901</v>
      </c>
      <c r="AG5473">
        <v>-1.112967076716</v>
      </c>
      <c r="AH5473">
        <v>18.3413471102862</v>
      </c>
      <c r="AI5473">
        <v>93.430730018881206</v>
      </c>
      <c r="AJ5473">
        <v>98.9059096182405</v>
      </c>
      <c r="AK5473">
        <v>18.598501423132301</v>
      </c>
      <c r="AL5473">
        <v>91.709726006215206</v>
      </c>
      <c r="AM5473">
        <v>89.312687969612995</v>
      </c>
      <c r="AN5473">
        <v>1.0000000075650499</v>
      </c>
    </row>
    <row r="5474" spans="1:40" x14ac:dyDescent="0.25">
      <c r="A5474" t="str">
        <f>"20190312154713393"</f>
        <v>20190312154713393</v>
      </c>
      <c r="B5474" t="str">
        <f>"1552376833383785"</f>
        <v>1552376833383785</v>
      </c>
      <c r="C5474" t="s">
        <v>40</v>
      </c>
      <c r="D5474">
        <v>5.0531839999999999</v>
      </c>
      <c r="E5474">
        <v>0.43693660000000001</v>
      </c>
      <c r="F5474" t="s">
        <v>86</v>
      </c>
      <c r="G5474">
        <v>-235.5111</v>
      </c>
      <c r="H5474" s="1">
        <v>-1.9189879999999998E-6</v>
      </c>
      <c r="I5474">
        <v>-57.183869999999999</v>
      </c>
      <c r="J5474">
        <v>-253.9025</v>
      </c>
      <c r="K5474">
        <v>1.1128469999999999</v>
      </c>
      <c r="L5474">
        <v>-61.3703</v>
      </c>
      <c r="M5474">
        <v>0.99753769999999997</v>
      </c>
      <c r="N5474">
        <v>0</v>
      </c>
      <c r="O5474">
        <v>6.873187E-2</v>
      </c>
      <c r="P5474">
        <v>0.99746749999999995</v>
      </c>
      <c r="Q5474">
        <v>-4.3473980000000002E-2</v>
      </c>
      <c r="R5474">
        <v>5.6287900000000002E-2</v>
      </c>
      <c r="S5474">
        <v>2.9625240000000002</v>
      </c>
      <c r="T5474">
        <v>-0.17750279999999999</v>
      </c>
      <c r="U5474">
        <v>0.66989140000000003</v>
      </c>
      <c r="V5474">
        <v>1.26732999999999E-2</v>
      </c>
      <c r="W5474">
        <v>-2.9426109999999998E-2</v>
      </c>
      <c r="X5474">
        <v>0.9994866</v>
      </c>
      <c r="Y5474">
        <v>-0.15284300000000001</v>
      </c>
      <c r="Z5474">
        <v>4.6436719999999999E-4</v>
      </c>
      <c r="AA5474">
        <v>0.98825039999999997</v>
      </c>
      <c r="AB5474">
        <v>36</v>
      </c>
      <c r="AC5474">
        <v>18.391400000000001</v>
      </c>
      <c r="AD5474">
        <v>-1.112848918988</v>
      </c>
      <c r="AE5474">
        <v>4.1864299999999997</v>
      </c>
      <c r="AF5474">
        <v>-2.9022269929699198</v>
      </c>
      <c r="AG5474">
        <v>-1.112848918988</v>
      </c>
      <c r="AH5474">
        <v>18.571022489893</v>
      </c>
      <c r="AI5474">
        <v>93.388260459023201</v>
      </c>
      <c r="AJ5474">
        <v>98.882179234835206</v>
      </c>
      <c r="AK5474">
        <v>18.8293449316572</v>
      </c>
      <c r="AL5474">
        <v>91.686235344501398</v>
      </c>
      <c r="AM5474">
        <v>89.273539343800905</v>
      </c>
      <c r="AN5474">
        <v>0.99999998603109097</v>
      </c>
    </row>
    <row r="5475" spans="1:40" x14ac:dyDescent="0.25">
      <c r="A5475" t="str">
        <f>"20190312154713405"</f>
        <v>20190312154713405</v>
      </c>
      <c r="B5475" t="str">
        <f>"1552376833393546"</f>
        <v>1552376833393546</v>
      </c>
      <c r="C5475" t="s">
        <v>40</v>
      </c>
      <c r="D5475">
        <v>5.0434659999999996</v>
      </c>
      <c r="E5475">
        <v>0.43688939999999998</v>
      </c>
      <c r="F5475" t="s">
        <v>86</v>
      </c>
      <c r="G5475">
        <v>-235.07470000000001</v>
      </c>
      <c r="H5475" s="1">
        <v>-1.746995E-6</v>
      </c>
      <c r="I5475">
        <v>-57.098059999999997</v>
      </c>
      <c r="J5475">
        <v>-253.7167</v>
      </c>
      <c r="K5475">
        <v>1.1127279999999999</v>
      </c>
      <c r="L5475">
        <v>-61.356140000000003</v>
      </c>
      <c r="M5475">
        <v>0.99742500000000001</v>
      </c>
      <c r="N5475">
        <v>0</v>
      </c>
      <c r="O5475">
        <v>7.0335430000000004E-2</v>
      </c>
      <c r="P5475">
        <v>0.99740589999999996</v>
      </c>
      <c r="Q5475">
        <v>-4.344195E-2</v>
      </c>
      <c r="R5475">
        <v>5.7398829999999998E-2</v>
      </c>
      <c r="S5475">
        <v>2.9620669999999998</v>
      </c>
      <c r="T5475">
        <v>-0.1750784</v>
      </c>
      <c r="U5475">
        <v>0.67211909999999997</v>
      </c>
      <c r="V5475">
        <v>1.315654E-2</v>
      </c>
      <c r="W5475">
        <v>-2.9326720000000001E-2</v>
      </c>
      <c r="X5475">
        <v>0.99948329999999996</v>
      </c>
      <c r="Y5475">
        <v>-0.1520019</v>
      </c>
      <c r="Z5475">
        <v>3.405754E-4</v>
      </c>
      <c r="AA5475">
        <v>0.98838009999999998</v>
      </c>
      <c r="AB5475">
        <v>36</v>
      </c>
      <c r="AC5475">
        <v>18.641999999999999</v>
      </c>
      <c r="AD5475">
        <v>-1.1127297469949999</v>
      </c>
      <c r="AE5475">
        <v>4.2580799999999996</v>
      </c>
      <c r="AF5475">
        <v>-2.9263016325603801</v>
      </c>
      <c r="AG5475">
        <v>-1.1127297469949999</v>
      </c>
      <c r="AH5475">
        <v>18.831578648934901</v>
      </c>
      <c r="AI5475">
        <v>93.341578292482296</v>
      </c>
      <c r="AJ5475">
        <v>98.832738849281199</v>
      </c>
      <c r="AK5475">
        <v>19.0900435605997</v>
      </c>
      <c r="AL5475">
        <v>91.680538219508904</v>
      </c>
      <c r="AM5475">
        <v>89.245839644514007</v>
      </c>
      <c r="AN5475">
        <v>1.0000000090148</v>
      </c>
    </row>
    <row r="5476" spans="1:40" x14ac:dyDescent="0.25">
      <c r="A5476" t="str">
        <f>"20190312154713416"</f>
        <v>20190312154713416</v>
      </c>
      <c r="B5476" t="str">
        <f>"1552376833414041"</f>
        <v>1552376833414041</v>
      </c>
      <c r="C5476" t="s">
        <v>40</v>
      </c>
      <c r="D5476">
        <v>4.8775040000000001</v>
      </c>
      <c r="E5476">
        <v>0.4369557</v>
      </c>
      <c r="F5476" t="s">
        <v>86</v>
      </c>
      <c r="G5476">
        <v>-235.02269999999999</v>
      </c>
      <c r="H5476" s="1">
        <v>-1.7261779999999999E-6</v>
      </c>
      <c r="I5476">
        <v>-57.089530000000003</v>
      </c>
      <c r="J5476">
        <v>-253.5111</v>
      </c>
      <c r="K5476">
        <v>1.1125910000000001</v>
      </c>
      <c r="L5476">
        <v>-61.340029999999999</v>
      </c>
      <c r="M5476">
        <v>0.99730680000000005</v>
      </c>
      <c r="N5476">
        <v>0</v>
      </c>
      <c r="O5476">
        <v>7.1978929999999997E-2</v>
      </c>
      <c r="P5476">
        <v>0.99734460000000003</v>
      </c>
      <c r="Q5476">
        <v>-4.3343359999999997E-2</v>
      </c>
      <c r="R5476">
        <v>5.8525699999999903E-2</v>
      </c>
      <c r="S5476">
        <v>2.9612270000000001</v>
      </c>
      <c r="T5476">
        <v>-0.176262</v>
      </c>
      <c r="U5476">
        <v>0.67584230000000001</v>
      </c>
      <c r="V5476">
        <v>1.36623E-2</v>
      </c>
      <c r="W5476">
        <v>-2.916411E-2</v>
      </c>
      <c r="X5476">
        <v>0.99948130000000002</v>
      </c>
      <c r="Y5476">
        <v>-0.15161659999999999</v>
      </c>
      <c r="Z5476">
        <v>2.3570939999999999E-4</v>
      </c>
      <c r="AA5476">
        <v>0.98843930000000002</v>
      </c>
      <c r="AB5476">
        <v>36</v>
      </c>
      <c r="AC5476">
        <v>18.488399999999999</v>
      </c>
      <c r="AD5476">
        <v>-1.112592726178</v>
      </c>
      <c r="AE5476">
        <v>4.2504999999999997</v>
      </c>
      <c r="AF5476">
        <v>-2.8985955763686602</v>
      </c>
      <c r="AG5476">
        <v>-1.112592726178</v>
      </c>
      <c r="AH5476">
        <v>18.6821523974249</v>
      </c>
      <c r="AI5476">
        <v>93.367952617178403</v>
      </c>
      <c r="AJ5476">
        <v>98.819304111496294</v>
      </c>
      <c r="AK5476">
        <v>18.9383879221622</v>
      </c>
      <c r="AL5476">
        <v>91.671217320204804</v>
      </c>
      <c r="AM5476">
        <v>89.2168504018818</v>
      </c>
      <c r="AN5476">
        <v>1.00000003640153</v>
      </c>
    </row>
    <row r="5477" spans="1:40" x14ac:dyDescent="0.25">
      <c r="A5477" t="str">
        <f>"20190312154713430"</f>
        <v>20190312154713430</v>
      </c>
      <c r="B5477" t="str">
        <f>"1552376833423803"</f>
        <v>1552376833423803</v>
      </c>
      <c r="C5477" t="s">
        <v>40</v>
      </c>
      <c r="D5477">
        <v>4.8640280000000002</v>
      </c>
      <c r="E5477">
        <v>0.43703940000000002</v>
      </c>
      <c r="F5477" t="s">
        <v>86</v>
      </c>
      <c r="G5477">
        <v>-234.7867</v>
      </c>
      <c r="H5477" s="1">
        <v>-1.632353E-6</v>
      </c>
      <c r="I5477">
        <v>-57.047919999999998</v>
      </c>
      <c r="J5477">
        <v>-253.30889999999999</v>
      </c>
      <c r="K5477">
        <v>1.1124529999999999</v>
      </c>
      <c r="L5477">
        <v>-61.324010000000001</v>
      </c>
      <c r="M5477">
        <v>0.997193</v>
      </c>
      <c r="N5477">
        <v>0</v>
      </c>
      <c r="O5477">
        <v>7.3529280000000002E-2</v>
      </c>
      <c r="P5477">
        <v>0.99730289999999999</v>
      </c>
      <c r="Q5477">
        <v>-4.3057070000000003E-2</v>
      </c>
      <c r="R5477">
        <v>5.9442019999999998E-2</v>
      </c>
      <c r="S5477">
        <v>2.9605260000000002</v>
      </c>
      <c r="T5477">
        <v>-0.17591319999999999</v>
      </c>
      <c r="U5477">
        <v>0.67861939999999998</v>
      </c>
      <c r="V5477">
        <v>1.4285020000000001E-2</v>
      </c>
      <c r="W5477">
        <v>-2.881852E-2</v>
      </c>
      <c r="X5477">
        <v>0.9994826</v>
      </c>
      <c r="Y5477">
        <v>-0.15101589999999901</v>
      </c>
      <c r="Z5477">
        <v>1.2738299999999901E-4</v>
      </c>
      <c r="AA5477">
        <v>0.98853139999999995</v>
      </c>
      <c r="AB5477">
        <v>36</v>
      </c>
      <c r="AC5477">
        <v>18.522200000000002</v>
      </c>
      <c r="AD5477">
        <v>-1.112454632353</v>
      </c>
      <c r="AE5477">
        <v>4.2760899999999902</v>
      </c>
      <c r="AF5477">
        <v>-2.8925463788333898</v>
      </c>
      <c r="AG5477">
        <v>-1.112454632353</v>
      </c>
      <c r="AH5477">
        <v>18.722381271629299</v>
      </c>
      <c r="AI5477">
        <v>93.360649107645401</v>
      </c>
      <c r="AJ5477">
        <v>98.782571196702406</v>
      </c>
      <c r="AK5477">
        <v>18.97714257582</v>
      </c>
      <c r="AL5477">
        <v>91.651408175772204</v>
      </c>
      <c r="AM5477">
        <v>89.181160700023398</v>
      </c>
      <c r="AN5477">
        <v>1.0000000182970701</v>
      </c>
    </row>
    <row r="5478" spans="1:40" x14ac:dyDescent="0.25">
      <c r="A5478" t="str">
        <f>"20190312154713444"</f>
        <v>20190312154713444</v>
      </c>
      <c r="B5478" t="str">
        <f>"1552376833433562"</f>
        <v>1552376833433562</v>
      </c>
      <c r="C5478" t="s">
        <v>40</v>
      </c>
      <c r="D5478">
        <v>5.1307400000000003</v>
      </c>
      <c r="E5478">
        <v>0.43712240000000002</v>
      </c>
      <c r="F5478" t="s">
        <v>86</v>
      </c>
      <c r="G5478">
        <v>-234.5016</v>
      </c>
      <c r="H5478" s="1">
        <v>-1.5187369999999999E-6</v>
      </c>
      <c r="I5478">
        <v>-56.998869999999997</v>
      </c>
      <c r="J5478">
        <v>-253.07990000000001</v>
      </c>
      <c r="K5478">
        <v>1.112296</v>
      </c>
      <c r="L5478">
        <v>-61.305570000000003</v>
      </c>
      <c r="M5478">
        <v>0.99706700000000004</v>
      </c>
      <c r="N5478">
        <v>0</v>
      </c>
      <c r="O5478">
        <v>7.5206060000000005E-2</v>
      </c>
      <c r="P5478">
        <v>0.99723620000000002</v>
      </c>
      <c r="Q5478">
        <v>-4.2670020000000003E-2</v>
      </c>
      <c r="R5478">
        <v>6.0821819999999999E-2</v>
      </c>
      <c r="S5478">
        <v>2.959946</v>
      </c>
      <c r="T5478">
        <v>-0.17508170000000001</v>
      </c>
      <c r="U5478">
        <v>0.68069460000000004</v>
      </c>
      <c r="V5478">
        <v>1.456906E-2</v>
      </c>
      <c r="W5478">
        <v>-2.8373120000000002E-2</v>
      </c>
      <c r="X5478">
        <v>0.99949120000000002</v>
      </c>
      <c r="Y5478">
        <v>-0.15005959999999999</v>
      </c>
      <c r="Z5478" s="1">
        <v>1.7057170000000001E-6</v>
      </c>
      <c r="AA5478">
        <v>0.98867700000000003</v>
      </c>
      <c r="AB5478">
        <v>36</v>
      </c>
      <c r="AC5478">
        <v>18.578299999999999</v>
      </c>
      <c r="AD5478">
        <v>-1.1122975187369999</v>
      </c>
      <c r="AE5478">
        <v>4.3066999999999904</v>
      </c>
      <c r="AF5478">
        <v>-2.88733763813533</v>
      </c>
      <c r="AG5478">
        <v>-1.1122975187369999</v>
      </c>
      <c r="AH5478">
        <v>18.785694941453698</v>
      </c>
      <c r="AI5478">
        <v>93.349277895559595</v>
      </c>
      <c r="AJ5478">
        <v>98.737911163162295</v>
      </c>
      <c r="AK5478">
        <v>19.0388092810486</v>
      </c>
      <c r="AL5478">
        <v>91.625878265648694</v>
      </c>
      <c r="AM5478">
        <v>89.164888558779893</v>
      </c>
      <c r="AN5478">
        <v>0.99999997516262795</v>
      </c>
    </row>
    <row r="5479" spans="1:40" x14ac:dyDescent="0.25">
      <c r="A5479" t="str">
        <f>"20190312154713459"</f>
        <v>20190312154713459</v>
      </c>
      <c r="B5479" t="str">
        <f>"1552376833454056"</f>
        <v>1552376833454056</v>
      </c>
      <c r="C5479" t="s">
        <v>40</v>
      </c>
      <c r="D5479">
        <v>4.8633249999999997</v>
      </c>
      <c r="E5479">
        <v>0.43716650000000001</v>
      </c>
      <c r="F5479" t="s">
        <v>86</v>
      </c>
      <c r="G5479">
        <v>-234.06180000000001</v>
      </c>
      <c r="H5479" s="1">
        <v>-1.3459469999999999E-6</v>
      </c>
      <c r="I5479">
        <v>-56.909190000000002</v>
      </c>
      <c r="J5479">
        <v>-252.81630000000001</v>
      </c>
      <c r="K5479">
        <v>1.11212</v>
      </c>
      <c r="L5479">
        <v>-61.283969999999997</v>
      </c>
      <c r="M5479">
        <v>0.99693169999999998</v>
      </c>
      <c r="N5479">
        <v>0</v>
      </c>
      <c r="O5479">
        <v>7.6966880000000001E-2</v>
      </c>
      <c r="P5479">
        <v>0.99722489999999997</v>
      </c>
      <c r="Q5479">
        <v>-4.1318309999999997E-2</v>
      </c>
      <c r="R5479">
        <v>6.1930109999999997E-2</v>
      </c>
      <c r="S5479">
        <v>2.959152</v>
      </c>
      <c r="T5479">
        <v>-0.17306949999999999</v>
      </c>
      <c r="U5479">
        <v>0.68405150000000003</v>
      </c>
      <c r="V5479">
        <v>1.520403E-2</v>
      </c>
      <c r="W5479">
        <v>-2.6961570000000001E-2</v>
      </c>
      <c r="X5479">
        <v>0.99952079999999999</v>
      </c>
      <c r="Y5479">
        <v>-0.14944289999999999</v>
      </c>
      <c r="Z5479">
        <v>-1.169671E-4</v>
      </c>
      <c r="AA5479">
        <v>0.98877040000000005</v>
      </c>
      <c r="AB5479">
        <v>36</v>
      </c>
      <c r="AC5479">
        <v>18.7545</v>
      </c>
      <c r="AD5479">
        <v>-1.1121213459469901</v>
      </c>
      <c r="AE5479">
        <v>4.3747799999999897</v>
      </c>
      <c r="AF5479">
        <v>-2.9084786549247199</v>
      </c>
      <c r="AG5479">
        <v>-1.1121213459469901</v>
      </c>
      <c r="AH5479">
        <v>18.972332845263399</v>
      </c>
      <c r="AI5479">
        <v>93.316076927955393</v>
      </c>
      <c r="AJ5479">
        <v>98.715650067625504</v>
      </c>
      <c r="AK5479">
        <v>19.226166429263198</v>
      </c>
      <c r="AL5479">
        <v>91.544971451694096</v>
      </c>
      <c r="AM5479">
        <v>89.128522816548994</v>
      </c>
      <c r="AN5479">
        <v>0.99999995920887197</v>
      </c>
    </row>
    <row r="5480" spans="1:40" x14ac:dyDescent="0.25">
      <c r="A5480" t="str">
        <f>"20190312154713471"</f>
        <v>20190312154713471</v>
      </c>
      <c r="B5480" t="str">
        <f>"1552376833463817"</f>
        <v>1552376833463817</v>
      </c>
      <c r="C5480" t="s">
        <v>40</v>
      </c>
      <c r="D5480">
        <v>4.9977460000000002</v>
      </c>
      <c r="E5480">
        <v>0.43715759999999998</v>
      </c>
      <c r="F5480" t="s">
        <v>86</v>
      </c>
      <c r="G5480">
        <v>-233.3716</v>
      </c>
      <c r="H5480" s="1">
        <v>-1.096409E-6</v>
      </c>
      <c r="I5480">
        <v>-56.768590000000003</v>
      </c>
      <c r="J5480">
        <v>-252.6472</v>
      </c>
      <c r="K5480">
        <v>1.1120080000000001</v>
      </c>
      <c r="L5480">
        <v>-61.269869999999997</v>
      </c>
      <c r="M5480">
        <v>0.99684969999999995</v>
      </c>
      <c r="N5480">
        <v>0</v>
      </c>
      <c r="O5480">
        <v>7.8017160000000002E-2</v>
      </c>
      <c r="P5480">
        <v>0.9971797</v>
      </c>
      <c r="Q5480">
        <v>-4.0705119999999997E-2</v>
      </c>
      <c r="R5480">
        <v>6.3054399999999997E-2</v>
      </c>
      <c r="S5480">
        <v>2.9586640000000002</v>
      </c>
      <c r="T5480">
        <v>-0.16921820000000001</v>
      </c>
      <c r="U5480">
        <v>0.68704219999999905</v>
      </c>
      <c r="V5480">
        <v>1.5119820000000001E-2</v>
      </c>
      <c r="W5480">
        <v>-2.6317489999999999E-2</v>
      </c>
      <c r="X5480">
        <v>0.99953930000000002</v>
      </c>
      <c r="Y5480">
        <v>-0.14939240000000001</v>
      </c>
      <c r="Z5480">
        <v>-1.7460299999999901E-4</v>
      </c>
      <c r="AA5480">
        <v>0.98877800000000005</v>
      </c>
      <c r="AB5480">
        <v>36</v>
      </c>
      <c r="AC5480">
        <v>19.275600000000001</v>
      </c>
      <c r="AD5480">
        <v>-1.1120090964089999</v>
      </c>
      <c r="AE5480">
        <v>4.5012799999999897</v>
      </c>
      <c r="AF5480">
        <v>-2.9741897598262801</v>
      </c>
      <c r="AG5480">
        <v>-1.1120090964089999</v>
      </c>
      <c r="AH5480">
        <v>19.506486168209999</v>
      </c>
      <c r="AI5480">
        <v>93.225539830736494</v>
      </c>
      <c r="AJ5480">
        <v>98.669224443388799</v>
      </c>
      <c r="AK5480">
        <v>19.763232822302101</v>
      </c>
      <c r="AL5480">
        <v>91.508055197233304</v>
      </c>
      <c r="AM5480">
        <v>89.133364934815006</v>
      </c>
      <c r="AN5480">
        <v>1.0000000157406099</v>
      </c>
    </row>
    <row r="5481" spans="1:40" x14ac:dyDescent="0.25">
      <c r="A5481" t="str">
        <f>"20190312154713482"</f>
        <v>20190312154713482</v>
      </c>
      <c r="B5481" t="str">
        <f>"1552376833473581"</f>
        <v>1552376833473581</v>
      </c>
      <c r="C5481" t="s">
        <v>40</v>
      </c>
      <c r="D5481">
        <v>5.0378030000000003</v>
      </c>
      <c r="E5481">
        <v>0.43713659999999999</v>
      </c>
      <c r="F5481" t="s">
        <v>86</v>
      </c>
      <c r="G5481">
        <v>-233.15610000000001</v>
      </c>
      <c r="H5481" s="1">
        <v>-1.0360370000000001E-6</v>
      </c>
      <c r="I5481">
        <v>-56.719819999999999</v>
      </c>
      <c r="J5481">
        <v>-252.45609999999999</v>
      </c>
      <c r="K5481">
        <v>1.1118809999999999</v>
      </c>
      <c r="L5481">
        <v>-61.253909999999998</v>
      </c>
      <c r="M5481">
        <v>0.99675829999999999</v>
      </c>
      <c r="N5481">
        <v>0</v>
      </c>
      <c r="O5481">
        <v>7.9168409999999995E-2</v>
      </c>
      <c r="P5481">
        <v>0.99714270000000005</v>
      </c>
      <c r="Q5481">
        <v>-4.0031009999999999E-2</v>
      </c>
      <c r="R5481">
        <v>6.4063320000000007E-2</v>
      </c>
      <c r="S5481">
        <v>2.957916</v>
      </c>
      <c r="T5481">
        <v>-0.16875479999999901</v>
      </c>
      <c r="U5481">
        <v>0.69049069999999901</v>
      </c>
      <c r="V5481">
        <v>1.5251509999999999E-2</v>
      </c>
      <c r="W5481">
        <v>-2.5608619999999999E-2</v>
      </c>
      <c r="X5481">
        <v>0.99955570000000005</v>
      </c>
      <c r="Y5481">
        <v>-0.14940129999999999</v>
      </c>
      <c r="Z5481">
        <v>-2.381722E-4</v>
      </c>
      <c r="AA5481">
        <v>0.98877660000000001</v>
      </c>
      <c r="AB5481">
        <v>36</v>
      </c>
      <c r="AC5481">
        <v>19.299999999999901</v>
      </c>
      <c r="AD5481">
        <v>-1.1118820360370001</v>
      </c>
      <c r="AE5481">
        <v>4.5340899999999902</v>
      </c>
      <c r="AF5481">
        <v>-2.9823679243978098</v>
      </c>
      <c r="AG5481">
        <v>-1.1118820360370001</v>
      </c>
      <c r="AH5481">
        <v>19.536952355175298</v>
      </c>
      <c r="AI5481">
        <v>93.220066633788093</v>
      </c>
      <c r="AJ5481">
        <v>98.679349752044999</v>
      </c>
      <c r="AK5481">
        <v>19.794527208976898</v>
      </c>
      <c r="AL5481">
        <v>91.467426259589502</v>
      </c>
      <c r="AM5481">
        <v>89.125832258621799</v>
      </c>
      <c r="AN5481">
        <v>1.00000000368903</v>
      </c>
    </row>
    <row r="5482" spans="1:40" x14ac:dyDescent="0.25">
      <c r="A5482" t="str">
        <f>"20190312154713494"</f>
        <v>20190312154713494</v>
      </c>
      <c r="B5482" t="str">
        <f>"1552376833483338"</f>
        <v>1552376833483338</v>
      </c>
      <c r="C5482" t="s">
        <v>40</v>
      </c>
      <c r="D5482">
        <v>4.8930110000000004</v>
      </c>
      <c r="E5482">
        <v>0.43723269999999997</v>
      </c>
      <c r="F5482" t="s">
        <v>86</v>
      </c>
      <c r="G5482">
        <v>-232.9462</v>
      </c>
      <c r="H5482" s="1">
        <v>-9.7587210000000006E-7</v>
      </c>
      <c r="I5482">
        <v>-56.677549999999997</v>
      </c>
      <c r="J5482">
        <v>-252.2834</v>
      </c>
      <c r="K5482">
        <v>1.111764</v>
      </c>
      <c r="L5482">
        <v>-61.239229999999999</v>
      </c>
      <c r="M5482">
        <v>0.99668429999999997</v>
      </c>
      <c r="N5482">
        <v>0</v>
      </c>
      <c r="O5482">
        <v>8.0089199999999999E-2</v>
      </c>
      <c r="P5482">
        <v>0.9971025</v>
      </c>
      <c r="Q5482">
        <v>-3.9467019999999998E-2</v>
      </c>
      <c r="R5482">
        <v>6.5033179999999996E-2</v>
      </c>
      <c r="S5482">
        <v>2.9572600000000002</v>
      </c>
      <c r="T5482">
        <v>-0.16853670000000001</v>
      </c>
      <c r="U5482">
        <v>0.69366459999999996</v>
      </c>
      <c r="V5482">
        <v>1.5192809999999999E-2</v>
      </c>
      <c r="W5482">
        <v>-2.5019389999999999E-2</v>
      </c>
      <c r="X5482">
        <v>0.99957149999999995</v>
      </c>
      <c r="Y5482">
        <v>-0.14954389999999901</v>
      </c>
      <c r="Z5482">
        <v>-2.8521429999999999E-4</v>
      </c>
      <c r="AA5482">
        <v>0.98875500000000005</v>
      </c>
      <c r="AB5482">
        <v>36</v>
      </c>
      <c r="AC5482">
        <v>19.337199999999999</v>
      </c>
      <c r="AD5482">
        <v>-1.1117649758721</v>
      </c>
      <c r="AE5482">
        <v>4.5616800000000097</v>
      </c>
      <c r="AF5482">
        <v>-2.9888042550657299</v>
      </c>
      <c r="AG5482">
        <v>-1.1117649758721</v>
      </c>
      <c r="AH5482">
        <v>19.579141893517001</v>
      </c>
      <c r="AI5482">
        <v>93.212805045824098</v>
      </c>
      <c r="AJ5482">
        <v>98.679338270318198</v>
      </c>
      <c r="AK5482">
        <v>19.837131080959001</v>
      </c>
      <c r="AL5482">
        <v>91.433655068290605</v>
      </c>
      <c r="AM5482">
        <v>89.129209998143693</v>
      </c>
      <c r="AN5482">
        <v>0.99999998748195795</v>
      </c>
    </row>
    <row r="5483" spans="1:40" x14ac:dyDescent="0.25">
      <c r="A5483" t="str">
        <f>"20190312154713504"</f>
        <v>20190312154713504</v>
      </c>
      <c r="B5483" t="str">
        <f>"1552376833494073"</f>
        <v>1552376833494073</v>
      </c>
      <c r="C5483" t="s">
        <v>40</v>
      </c>
      <c r="D5483">
        <v>5.1004050000000003</v>
      </c>
      <c r="E5483">
        <v>0.43732100000000002</v>
      </c>
      <c r="F5483" t="s">
        <v>86</v>
      </c>
      <c r="G5483">
        <v>-232.6096</v>
      </c>
      <c r="H5483" s="1">
        <v>-8.7941259999999997E-7</v>
      </c>
      <c r="I5483">
        <v>-56.609580000000001</v>
      </c>
      <c r="J5483">
        <v>-252.1046</v>
      </c>
      <c r="K5483">
        <v>1.1116410000000001</v>
      </c>
      <c r="L5483">
        <v>-61.224029999999999</v>
      </c>
      <c r="M5483">
        <v>0.99660870000000001</v>
      </c>
      <c r="N5483">
        <v>0</v>
      </c>
      <c r="O5483">
        <v>8.1019160000000007E-2</v>
      </c>
      <c r="P5483">
        <v>0.99708379999999996</v>
      </c>
      <c r="Q5483">
        <v>-3.8490940000000001E-2</v>
      </c>
      <c r="R5483">
        <v>6.5898300000000007E-2</v>
      </c>
      <c r="S5483">
        <v>2.9567260000000002</v>
      </c>
      <c r="T5483">
        <v>-0.16708480000000001</v>
      </c>
      <c r="U5483">
        <v>0.69577029999999995</v>
      </c>
      <c r="V5483">
        <v>1.524738E-2</v>
      </c>
      <c r="W5483">
        <v>-2.4016989999999998E-2</v>
      </c>
      <c r="X5483">
        <v>0.99959529999999996</v>
      </c>
      <c r="Y5483">
        <v>-0.14933189999999999</v>
      </c>
      <c r="Z5483">
        <v>-3.4010689999999999E-4</v>
      </c>
      <c r="AA5483">
        <v>0.98878710000000003</v>
      </c>
      <c r="AB5483">
        <v>36</v>
      </c>
      <c r="AC5483">
        <v>19.495000000000001</v>
      </c>
      <c r="AD5483">
        <v>-1.1116418794126</v>
      </c>
      <c r="AE5483">
        <v>4.6144499999999997</v>
      </c>
      <c r="AF5483">
        <v>-3.0103761102469</v>
      </c>
      <c r="AG5483">
        <v>-1.1116418794126</v>
      </c>
      <c r="AH5483">
        <v>19.744003698100599</v>
      </c>
      <c r="AI5483">
        <v>93.185767984587599</v>
      </c>
      <c r="AJ5483">
        <v>98.669143947851396</v>
      </c>
      <c r="AK5483">
        <v>20.00309461118</v>
      </c>
      <c r="AL5483">
        <v>91.376204445187795</v>
      </c>
      <c r="AM5483">
        <v>89.126103556597101</v>
      </c>
      <c r="AN5483">
        <v>1.0000000310938</v>
      </c>
    </row>
    <row r="5484" spans="1:40" x14ac:dyDescent="0.25">
      <c r="A5484" t="str">
        <f>"20190312154713515"</f>
        <v>20190312154713515</v>
      </c>
      <c r="B5484" t="str">
        <f>"1552376833503834"</f>
        <v>1552376833503834</v>
      </c>
      <c r="C5484" t="s">
        <v>40</v>
      </c>
      <c r="D5484">
        <v>4.9848270000000001</v>
      </c>
      <c r="E5484">
        <v>0.4373068</v>
      </c>
      <c r="F5484" t="s">
        <v>86</v>
      </c>
      <c r="G5484">
        <v>-231.86869999999999</v>
      </c>
      <c r="H5484" s="1">
        <v>-6.7003339999999997E-7</v>
      </c>
      <c r="I5484">
        <v>-56.44885</v>
      </c>
      <c r="J5484">
        <v>-251.9288</v>
      </c>
      <c r="K5484">
        <v>1.111515</v>
      </c>
      <c r="L5484">
        <v>-61.2089199999999</v>
      </c>
      <c r="M5484">
        <v>0.99654330000000002</v>
      </c>
      <c r="N5484">
        <v>0</v>
      </c>
      <c r="O5484">
        <v>8.1813520000000001E-2</v>
      </c>
      <c r="P5484">
        <v>0.99706039999999996</v>
      </c>
      <c r="Q5484">
        <v>-3.7987460000000001E-2</v>
      </c>
      <c r="R5484">
        <v>6.6542019999999993E-2</v>
      </c>
      <c r="S5484">
        <v>2.9564210000000002</v>
      </c>
      <c r="T5484">
        <v>-0.162408</v>
      </c>
      <c r="U5484">
        <v>0.69763180000000002</v>
      </c>
      <c r="V5484">
        <v>1.53893E-2</v>
      </c>
      <c r="W5484">
        <v>-2.349188E-2</v>
      </c>
      <c r="X5484">
        <v>0.99960559999999998</v>
      </c>
      <c r="Y5484">
        <v>-0.149163299999999</v>
      </c>
      <c r="Z5484">
        <v>-3.7785709999999998E-4</v>
      </c>
      <c r="AA5484">
        <v>0.98881249999999998</v>
      </c>
      <c r="AB5484">
        <v>36</v>
      </c>
      <c r="AC5484">
        <v>20.060099999999998</v>
      </c>
      <c r="AD5484">
        <v>-1.1115156700333999</v>
      </c>
      <c r="AE5484">
        <v>4.76006999999999</v>
      </c>
      <c r="AF5484">
        <v>-3.0937590689492902</v>
      </c>
      <c r="AG5484">
        <v>-1.1115156700333999</v>
      </c>
      <c r="AH5484">
        <v>20.323246055709699</v>
      </c>
      <c r="AI5484">
        <v>93.094908984959702</v>
      </c>
      <c r="AJ5484">
        <v>98.655548452981293</v>
      </c>
      <c r="AK5484">
        <v>20.587402519559301</v>
      </c>
      <c r="AL5484">
        <v>91.34610937203</v>
      </c>
      <c r="AM5484">
        <v>89.117979844434799</v>
      </c>
      <c r="AN5484">
        <v>1.00000002726589</v>
      </c>
    </row>
    <row r="5485" spans="1:40" x14ac:dyDescent="0.25">
      <c r="A5485" t="str">
        <f>"20190312154713527"</f>
        <v>20190312154713527</v>
      </c>
      <c r="B5485" t="str">
        <f>"1552376833523353"</f>
        <v>1552376833523353</v>
      </c>
      <c r="C5485" t="s">
        <v>40</v>
      </c>
      <c r="D5485">
        <v>4.7781929999999999</v>
      </c>
      <c r="E5485">
        <v>0.43738500000000002</v>
      </c>
      <c r="F5485" t="s">
        <v>86</v>
      </c>
      <c r="G5485">
        <v>-231.56890000000001</v>
      </c>
      <c r="H5485" s="1">
        <v>-5.8378489999999999E-7</v>
      </c>
      <c r="I5485">
        <v>-56.389530000000001</v>
      </c>
      <c r="J5485">
        <v>-251.74610000000001</v>
      </c>
      <c r="K5485">
        <v>1.111383</v>
      </c>
      <c r="L5485">
        <v>-61.193150000000003</v>
      </c>
      <c r="M5485">
        <v>0.99647810000000003</v>
      </c>
      <c r="N5485">
        <v>0</v>
      </c>
      <c r="O5485">
        <v>8.2599820000000004E-2</v>
      </c>
      <c r="P5485">
        <v>0.99705080000000001</v>
      </c>
      <c r="Q5485">
        <v>-3.7249190000000001E-2</v>
      </c>
      <c r="R5485">
        <v>6.7100950000000006E-2</v>
      </c>
      <c r="S5485">
        <v>2.9560089999999999</v>
      </c>
      <c r="T5485">
        <v>-0.1613781</v>
      </c>
      <c r="U5485">
        <v>0.69970699999999997</v>
      </c>
      <c r="V5485">
        <v>1.5607889999999999E-2</v>
      </c>
      <c r="W5485">
        <v>-2.2731890000000001E-2</v>
      </c>
      <c r="X5485">
        <v>0.99961979999999995</v>
      </c>
      <c r="Y5485">
        <v>-0.1490737</v>
      </c>
      <c r="Z5485">
        <v>-4.1987189999999997E-4</v>
      </c>
      <c r="AA5485">
        <v>0.98882599999999998</v>
      </c>
      <c r="AB5485">
        <v>36</v>
      </c>
      <c r="AC5485">
        <v>20.177199999999999</v>
      </c>
      <c r="AD5485">
        <v>-1.11138358378489</v>
      </c>
      <c r="AE5485">
        <v>4.8036199999999898</v>
      </c>
      <c r="AF5485">
        <v>-3.11146099298012</v>
      </c>
      <c r="AG5485">
        <v>-1.11138358378489</v>
      </c>
      <c r="AH5485">
        <v>20.446349972517201</v>
      </c>
      <c r="AI5485">
        <v>93.075969288557502</v>
      </c>
      <c r="AJ5485">
        <v>98.652705874733897</v>
      </c>
      <c r="AK5485">
        <v>20.711581064221001</v>
      </c>
      <c r="AL5485">
        <v>91.3025534954146</v>
      </c>
      <c r="AM5485">
        <v>89.105466335091407</v>
      </c>
      <c r="AN5485">
        <v>1.0000000448026301</v>
      </c>
    </row>
    <row r="5486" spans="1:40" x14ac:dyDescent="0.25">
      <c r="A5486" t="str">
        <f>"20190312154713538"</f>
        <v>20190312154713538</v>
      </c>
      <c r="B5486" t="str">
        <f>"1552376833534089"</f>
        <v>1552376833534089</v>
      </c>
      <c r="C5486" t="s">
        <v>40</v>
      </c>
      <c r="D5486">
        <v>4.7917719999999999</v>
      </c>
      <c r="E5486">
        <v>0.43738500000000002</v>
      </c>
      <c r="F5486" t="s">
        <v>86</v>
      </c>
      <c r="G5486">
        <v>-231.34909999999999</v>
      </c>
      <c r="H5486" s="1">
        <v>-5.1756469999999999E-7</v>
      </c>
      <c r="I5486">
        <v>-56.35736</v>
      </c>
      <c r="J5486">
        <v>-251.55070000000001</v>
      </c>
      <c r="K5486">
        <v>1.11124</v>
      </c>
      <c r="L5486">
        <v>-61.176209999999998</v>
      </c>
      <c r="M5486">
        <v>0.99641559999999996</v>
      </c>
      <c r="N5486">
        <v>0</v>
      </c>
      <c r="O5486">
        <v>8.3347190000000002E-2</v>
      </c>
      <c r="P5486">
        <v>0.9970367</v>
      </c>
      <c r="Q5486">
        <v>-3.668246E-2</v>
      </c>
      <c r="R5486">
        <v>6.7620970000000002E-2</v>
      </c>
      <c r="S5486">
        <v>2.9557190000000002</v>
      </c>
      <c r="T5486">
        <v>-0.16105039999999901</v>
      </c>
      <c r="U5486">
        <v>0.70074459999999905</v>
      </c>
      <c r="V5486">
        <v>1.5826670000000001E-2</v>
      </c>
      <c r="W5486">
        <v>-2.2145270000000002E-2</v>
      </c>
      <c r="X5486">
        <v>0.99962949999999995</v>
      </c>
      <c r="Y5486">
        <v>-0.14868439999999999</v>
      </c>
      <c r="Z5486">
        <v>-4.6932650000000001E-4</v>
      </c>
      <c r="AA5486">
        <v>0.9888846</v>
      </c>
      <c r="AB5486">
        <v>36</v>
      </c>
      <c r="AC5486">
        <v>20.201599999999999</v>
      </c>
      <c r="AD5486">
        <v>-1.1112405175647</v>
      </c>
      <c r="AE5486">
        <v>4.8188499999999896</v>
      </c>
      <c r="AF5486">
        <v>-3.1092553172454802</v>
      </c>
      <c r="AG5486">
        <v>-1.1112405175647</v>
      </c>
      <c r="AH5486">
        <v>20.474358203564801</v>
      </c>
      <c r="AI5486">
        <v>93.071518756889702</v>
      </c>
      <c r="AJ5486">
        <v>98.6350148878862</v>
      </c>
      <c r="AK5486">
        <v>20.738892640726501</v>
      </c>
      <c r="AL5486">
        <v>91.268934217155206</v>
      </c>
      <c r="AM5486">
        <v>89.092938296557193</v>
      </c>
      <c r="AN5486">
        <v>1.00000001686845</v>
      </c>
    </row>
    <row r="5487" spans="1:40" x14ac:dyDescent="0.25">
      <c r="A5487" t="str">
        <f>"20190312154713553"</f>
        <v>20190312154713553</v>
      </c>
      <c r="B5487" t="str">
        <f>"1552376833543850"</f>
        <v>1552376833543850</v>
      </c>
      <c r="C5487" t="s">
        <v>40</v>
      </c>
      <c r="D5487">
        <v>5.0726009999999997</v>
      </c>
      <c r="E5487">
        <v>0.4725703</v>
      </c>
      <c r="F5487" t="s">
        <v>86</v>
      </c>
      <c r="G5487">
        <v>-230.95230000000001</v>
      </c>
      <c r="H5487" s="1">
        <v>-4.0275809999999998E-7</v>
      </c>
      <c r="I5487">
        <v>-56.2812699999999</v>
      </c>
      <c r="J5487">
        <v>-251.33</v>
      </c>
      <c r="K5487">
        <v>1.111078</v>
      </c>
      <c r="L5487">
        <v>-61.156979999999997</v>
      </c>
      <c r="M5487">
        <v>0.99635320000000005</v>
      </c>
      <c r="N5487">
        <v>0</v>
      </c>
      <c r="O5487">
        <v>8.4083740000000004E-2</v>
      </c>
      <c r="P5487">
        <v>0.9970099</v>
      </c>
      <c r="Q5487">
        <v>-3.6338019999999999E-2</v>
      </c>
      <c r="R5487">
        <v>6.8197800000000003E-2</v>
      </c>
      <c r="S5487">
        <v>2.9553989999999999</v>
      </c>
      <c r="T5487">
        <v>-0.1594372</v>
      </c>
      <c r="U5487">
        <v>0.70230099999999995</v>
      </c>
      <c r="V5487">
        <v>1.5977379999999999E-2</v>
      </c>
      <c r="W5487">
        <v>-2.1781930000000001E-2</v>
      </c>
      <c r="X5487">
        <v>0.99963500000000005</v>
      </c>
      <c r="Y5487">
        <v>-0.14847360000000001</v>
      </c>
      <c r="Z5487">
        <v>-5.0910889999999996E-4</v>
      </c>
      <c r="AA5487">
        <v>0.98891620000000002</v>
      </c>
      <c r="AB5487">
        <v>36</v>
      </c>
      <c r="AC5487">
        <v>20.377700000000001</v>
      </c>
      <c r="AD5487">
        <v>-1.1110784027581</v>
      </c>
      <c r="AE5487">
        <v>4.8757100000000104</v>
      </c>
      <c r="AF5487">
        <v>-3.1360084269513702</v>
      </c>
      <c r="AG5487">
        <v>-1.1110784027581</v>
      </c>
      <c r="AH5487">
        <v>20.657445170681001</v>
      </c>
      <c r="AI5487">
        <v>93.043926958327901</v>
      </c>
      <c r="AJ5487">
        <v>98.632166459354195</v>
      </c>
      <c r="AK5487">
        <v>20.923648942062599</v>
      </c>
      <c r="AL5487">
        <v>91.248111452742705</v>
      </c>
      <c r="AM5487">
        <v>89.084307271949399</v>
      </c>
      <c r="AN5487">
        <v>0.99999993118559205</v>
      </c>
    </row>
    <row r="5488" spans="1:40" x14ac:dyDescent="0.25">
      <c r="A5488" t="str">
        <f>"20190312154713565"</f>
        <v>20190312154713565</v>
      </c>
      <c r="B5488" t="str">
        <f>"1552376833553610"</f>
        <v>1552376833553610</v>
      </c>
      <c r="C5488" t="s">
        <v>40</v>
      </c>
      <c r="D5488">
        <v>4.8615199999999996</v>
      </c>
      <c r="E5488">
        <v>0.48123850000000001</v>
      </c>
      <c r="F5488" t="s">
        <v>86</v>
      </c>
      <c r="G5488">
        <v>-230.57980000000001</v>
      </c>
      <c r="H5488" s="1">
        <v>2.3427919999999999E-7</v>
      </c>
      <c r="I5488">
        <v>-58.199150000000003</v>
      </c>
      <c r="J5488">
        <v>-251.1319</v>
      </c>
      <c r="K5488">
        <v>1.1109309999999999</v>
      </c>
      <c r="L5488">
        <v>-61.139620000000001</v>
      </c>
      <c r="M5488">
        <v>0.99630260000000004</v>
      </c>
      <c r="N5488">
        <v>0</v>
      </c>
      <c r="O5488">
        <v>8.467906E-2</v>
      </c>
      <c r="P5488">
        <v>0.99701019999999896</v>
      </c>
      <c r="Q5488">
        <v>-3.6083499999999998E-2</v>
      </c>
      <c r="R5488">
        <v>6.8327499999999999E-2</v>
      </c>
      <c r="S5488">
        <v>2.9742130000000002</v>
      </c>
      <c r="T5488">
        <v>-0.1592556</v>
      </c>
      <c r="U5488">
        <v>0.4239502</v>
      </c>
      <c r="V5488">
        <v>1.6435749999999999E-2</v>
      </c>
      <c r="W5488">
        <v>-2.1510959999999999E-2</v>
      </c>
      <c r="X5488">
        <v>0.99963349999999995</v>
      </c>
      <c r="Y5488">
        <v>-5.6806950000000002E-2</v>
      </c>
      <c r="Z5488">
        <v>-2.9857080000000001E-3</v>
      </c>
      <c r="AA5488">
        <v>0.99838070000000001</v>
      </c>
      <c r="AB5488">
        <v>36</v>
      </c>
      <c r="AC5488">
        <v>20.552099999999999</v>
      </c>
      <c r="AD5488">
        <v>-1.1109307657208001</v>
      </c>
      <c r="AE5488">
        <v>2.9404699999999901</v>
      </c>
      <c r="AF5488">
        <v>-1.18599482297773</v>
      </c>
      <c r="AG5488">
        <v>-1.1109307657208001</v>
      </c>
      <c r="AH5488">
        <v>20.668111212368</v>
      </c>
      <c r="AI5488">
        <v>93.071698839447507</v>
      </c>
      <c r="AJ5488">
        <v>93.284192723846004</v>
      </c>
      <c r="AK5488">
        <v>20.731897452311699</v>
      </c>
      <c r="AL5488">
        <v>91.232582297184095</v>
      </c>
      <c r="AM5488">
        <v>89.058040507085494</v>
      </c>
      <c r="AN5488">
        <v>0.99999999480021695</v>
      </c>
    </row>
    <row r="5489" spans="1:40" x14ac:dyDescent="0.25">
      <c r="A5489" t="str">
        <f>"20190312154713577"</f>
        <v>20190312154713577</v>
      </c>
      <c r="B5489" t="str">
        <f>"1552376833574105"</f>
        <v>1552376833574105</v>
      </c>
      <c r="C5489" t="s">
        <v>40</v>
      </c>
      <c r="D5489">
        <v>4.8601700000000001</v>
      </c>
      <c r="E5489">
        <v>0.49432579999999998</v>
      </c>
      <c r="F5489" t="s">
        <v>90</v>
      </c>
      <c r="G5489">
        <v>-229.3818</v>
      </c>
      <c r="H5489" s="1">
        <v>-3.5490720000000001E-6</v>
      </c>
      <c r="I5489">
        <v>-58.546190000000003</v>
      </c>
      <c r="J5489">
        <v>-250.94049999999999</v>
      </c>
      <c r="K5489">
        <v>1.110787</v>
      </c>
      <c r="L5489">
        <v>-61.12283</v>
      </c>
      <c r="M5489">
        <v>0.99626360000000003</v>
      </c>
      <c r="N5489">
        <v>0</v>
      </c>
      <c r="O5489">
        <v>8.5133429999999996E-2</v>
      </c>
      <c r="P5489">
        <v>0.99701360000000006</v>
      </c>
      <c r="Q5489">
        <v>-3.5711149999999997E-2</v>
      </c>
      <c r="R5489">
        <v>6.8474789999999994E-2</v>
      </c>
      <c r="S5489">
        <v>2.9791259999999999</v>
      </c>
      <c r="T5489">
        <v>-0.152166</v>
      </c>
      <c r="U5489">
        <v>0.355224599999999</v>
      </c>
      <c r="V5489">
        <v>1.67356E-2</v>
      </c>
      <c r="W5489">
        <v>-2.112615E-2</v>
      </c>
      <c r="X5489">
        <v>0.99963670000000004</v>
      </c>
      <c r="Y5489">
        <v>-3.3491720000000003E-2</v>
      </c>
      <c r="Z5489">
        <v>-3.4695450000000001E-3</v>
      </c>
      <c r="AA5489">
        <v>0.99943300000000002</v>
      </c>
      <c r="AB5489">
        <v>36</v>
      </c>
      <c r="AC5489">
        <v>21.558699999999899</v>
      </c>
      <c r="AD5489">
        <v>-1.110790549072</v>
      </c>
      <c r="AE5489">
        <v>2.5766399999999998</v>
      </c>
      <c r="AF5489">
        <v>-0.72981364907568302</v>
      </c>
      <c r="AG5489">
        <v>-1.110790549072</v>
      </c>
      <c r="AH5489">
        <v>21.643149832541798</v>
      </c>
      <c r="AI5489">
        <v>92.936345283815399</v>
      </c>
      <c r="AJ5489">
        <v>91.931299475822897</v>
      </c>
      <c r="AK5489">
        <v>21.683920731273201</v>
      </c>
      <c r="AL5489">
        <v>91.210529334309797</v>
      </c>
      <c r="AM5489">
        <v>89.040861868581203</v>
      </c>
      <c r="AN5489">
        <v>0.99999996325403495</v>
      </c>
    </row>
    <row r="5490" spans="1:40" x14ac:dyDescent="0.25">
      <c r="A5490" t="str">
        <f>"20190312154713589"</f>
        <v>20190312154713589</v>
      </c>
      <c r="B5490" t="str">
        <f>"1552376833583865"</f>
        <v>1552376833583865</v>
      </c>
      <c r="C5490" t="s">
        <v>40</v>
      </c>
      <c r="D5490">
        <v>4.8279310000000004</v>
      </c>
      <c r="E5490">
        <v>0.49770110000000001</v>
      </c>
      <c r="F5490" t="s">
        <v>90</v>
      </c>
      <c r="G5490">
        <v>-229.92500000000001</v>
      </c>
      <c r="H5490" s="1">
        <v>-3.604086E-6</v>
      </c>
      <c r="I5490">
        <v>-59.351349999999996</v>
      </c>
      <c r="J5490">
        <v>-250.7533</v>
      </c>
      <c r="K5490">
        <v>1.1106450000000001</v>
      </c>
      <c r="L5490">
        <v>-61.106450000000002</v>
      </c>
      <c r="M5490">
        <v>0.99623070000000002</v>
      </c>
      <c r="N5490">
        <v>0</v>
      </c>
      <c r="O5490">
        <v>8.5514950000000006E-2</v>
      </c>
      <c r="P5490">
        <v>0.99703660000000005</v>
      </c>
      <c r="Q5490">
        <v>-3.562017E-2</v>
      </c>
      <c r="R5490">
        <v>6.8187680000000001E-2</v>
      </c>
      <c r="S5490">
        <v>2.9860690000000001</v>
      </c>
      <c r="T5490">
        <v>-0.15783129999999901</v>
      </c>
      <c r="U5490">
        <v>0.25170900000000002</v>
      </c>
      <c r="V5490">
        <v>1.739829E-2</v>
      </c>
      <c r="W5490">
        <v>-2.102335E-2</v>
      </c>
      <c r="X5490">
        <v>0.99962759999999995</v>
      </c>
      <c r="Y5490">
        <v>1.4128980000000001E-3</v>
      </c>
      <c r="Z5490">
        <v>-4.5383759999999898E-3</v>
      </c>
      <c r="AA5490">
        <v>0.99998869999999895</v>
      </c>
      <c r="AB5490">
        <v>36</v>
      </c>
      <c r="AC5490">
        <v>20.828299999999899</v>
      </c>
      <c r="AD5490">
        <v>-1.110648604086</v>
      </c>
      <c r="AE5490">
        <v>1.7551000000000001</v>
      </c>
      <c r="AF5490">
        <v>3.2558061311727997E-2</v>
      </c>
      <c r="AG5490">
        <v>-1.110648604086</v>
      </c>
      <c r="AH5490">
        <v>20.843241719508299</v>
      </c>
      <c r="AI5490">
        <v>93.0501624957746</v>
      </c>
      <c r="AJ5490">
        <v>89.910501542409605</v>
      </c>
      <c r="AK5490">
        <v>20.872837031102499</v>
      </c>
      <c r="AL5490">
        <v>91.204637962937696</v>
      </c>
      <c r="AM5490">
        <v>89.002880723888296</v>
      </c>
      <c r="AN5490">
        <v>1.0000000102109501</v>
      </c>
    </row>
    <row r="5491" spans="1:40" x14ac:dyDescent="0.25">
      <c r="A5491" t="str">
        <f>"20190312154713601"</f>
        <v>20190312154713601</v>
      </c>
      <c r="B5491" t="str">
        <f>"1552376833593625"</f>
        <v>1552376833593625</v>
      </c>
      <c r="C5491" t="s">
        <v>40</v>
      </c>
      <c r="D5491">
        <v>4.8506019999999896</v>
      </c>
      <c r="E5491">
        <v>0.49991999999999998</v>
      </c>
      <c r="F5491" t="s">
        <v>86</v>
      </c>
      <c r="G5491">
        <v>-230.8005</v>
      </c>
      <c r="H5491" s="1">
        <v>5.3210519999999997E-7</v>
      </c>
      <c r="I5491">
        <v>-59.609400000000001</v>
      </c>
      <c r="J5491">
        <v>-250.56010000000001</v>
      </c>
      <c r="K5491">
        <v>1.1105</v>
      </c>
      <c r="L5491">
        <v>-61.089480000000002</v>
      </c>
      <c r="M5491">
        <v>0.99620280000000005</v>
      </c>
      <c r="N5491">
        <v>0</v>
      </c>
      <c r="O5491">
        <v>8.5835809999999998E-2</v>
      </c>
      <c r="P5491">
        <v>0.99708399999999997</v>
      </c>
      <c r="Q5491">
        <v>-3.4955880000000002E-2</v>
      </c>
      <c r="R5491">
        <v>6.7836690000000005E-2</v>
      </c>
      <c r="S5491">
        <v>2.9876399999999999</v>
      </c>
      <c r="T5491">
        <v>-0.166302799999999</v>
      </c>
      <c r="U5491">
        <v>0.22415160000000001</v>
      </c>
      <c r="V5491">
        <v>1.8064119999999999E-2</v>
      </c>
      <c r="W5491">
        <v>-2.0348519999999998E-2</v>
      </c>
      <c r="X5491">
        <v>0.99962969999999896</v>
      </c>
      <c r="Y5491">
        <v>1.091601E-2</v>
      </c>
      <c r="Z5491">
        <v>-5.0629719999999998E-3</v>
      </c>
      <c r="AA5491">
        <v>0.99992760000000003</v>
      </c>
      <c r="AB5491">
        <v>36</v>
      </c>
      <c r="AC5491">
        <v>19.759599999999999</v>
      </c>
      <c r="AD5491">
        <v>-1.1104994678947999</v>
      </c>
      <c r="AE5491">
        <v>1.4800800000000001</v>
      </c>
      <c r="AF5491">
        <v>0.22095096907449699</v>
      </c>
      <c r="AG5491">
        <v>-1.1104994678947999</v>
      </c>
      <c r="AH5491">
        <v>19.751677475353599</v>
      </c>
      <c r="AI5491">
        <v>93.217754505510399</v>
      </c>
      <c r="AJ5491">
        <v>89.359090892136706</v>
      </c>
      <c r="AK5491">
        <v>19.784104515729801</v>
      </c>
      <c r="AL5491">
        <v>91.165964839864401</v>
      </c>
      <c r="AM5491">
        <v>88.964731442341204</v>
      </c>
      <c r="AN5491">
        <v>0.99999995590982604</v>
      </c>
    </row>
    <row r="5492" spans="1:40" x14ac:dyDescent="0.25">
      <c r="A5492" t="str">
        <f>"20190312154713618"</f>
        <v>20190312154713618</v>
      </c>
      <c r="B5492" t="str">
        <f>"1552376833614121"</f>
        <v>1552376833614121</v>
      </c>
      <c r="C5492" t="s">
        <v>40</v>
      </c>
      <c r="D5492">
        <v>4.8244910000000001</v>
      </c>
      <c r="E5492">
        <v>0.50304320000000002</v>
      </c>
      <c r="F5492" t="s">
        <v>86</v>
      </c>
      <c r="G5492">
        <v>-230.83160000000001</v>
      </c>
      <c r="H5492" s="1">
        <v>5.4064559999999999E-7</v>
      </c>
      <c r="I5492">
        <v>-59.732750000000003</v>
      </c>
      <c r="J5492">
        <v>-250.30109999999999</v>
      </c>
      <c r="K5492">
        <v>1.110314</v>
      </c>
      <c r="L5492">
        <v>-61.066769999999998</v>
      </c>
      <c r="M5492">
        <v>0.99617800000000001</v>
      </c>
      <c r="N5492">
        <v>0</v>
      </c>
      <c r="O5492">
        <v>8.6121080000000003E-2</v>
      </c>
      <c r="P5492">
        <v>0.99714389999999997</v>
      </c>
      <c r="Q5492">
        <v>-3.3964149999999999E-2</v>
      </c>
      <c r="R5492">
        <v>6.7456349999999998E-2</v>
      </c>
      <c r="S5492">
        <v>2.9888919999999999</v>
      </c>
      <c r="T5492">
        <v>-0.16824169999999999</v>
      </c>
      <c r="U5492">
        <v>0.20553589999999999</v>
      </c>
      <c r="V5492">
        <v>1.8722329999999999E-2</v>
      </c>
      <c r="W5492">
        <v>-1.9345950000000001E-2</v>
      </c>
      <c r="X5492">
        <v>0.99963749999999996</v>
      </c>
      <c r="Y5492">
        <v>1.7415050000000001E-2</v>
      </c>
      <c r="Z5492">
        <v>-5.3197490000000004E-3</v>
      </c>
      <c r="AA5492">
        <v>0.99983420000000001</v>
      </c>
      <c r="AB5492">
        <v>36</v>
      </c>
      <c r="AC5492">
        <v>19.469499999999901</v>
      </c>
      <c r="AD5492">
        <v>-1.1103134593544</v>
      </c>
      <c r="AE5492">
        <v>1.33401999999999</v>
      </c>
      <c r="AF5492">
        <v>0.346727592013019</v>
      </c>
      <c r="AG5492">
        <v>-1.1103134593544</v>
      </c>
      <c r="AH5492">
        <v>19.449091186526001</v>
      </c>
      <c r="AI5492">
        <v>93.266848081969599</v>
      </c>
      <c r="AJ5492">
        <v>88.978670865307805</v>
      </c>
      <c r="AK5492">
        <v>19.4838436655319</v>
      </c>
      <c r="AL5492">
        <v>91.108510482037303</v>
      </c>
      <c r="AM5492">
        <v>88.927025957296195</v>
      </c>
      <c r="AN5492">
        <v>0.99999996141413905</v>
      </c>
    </row>
    <row r="5493" spans="1:40" x14ac:dyDescent="0.25">
      <c r="A5493" t="str">
        <f>"20190312154713630"</f>
        <v>20190312154713630</v>
      </c>
      <c r="B5493" t="str">
        <f>"1552376833623882"</f>
        <v>1552376833623882</v>
      </c>
      <c r="C5493" t="s">
        <v>40</v>
      </c>
      <c r="D5493">
        <v>4.8813110000000002</v>
      </c>
      <c r="E5493">
        <v>0.50442200000000004</v>
      </c>
      <c r="F5493" t="s">
        <v>86</v>
      </c>
      <c r="G5493">
        <v>-230.9246</v>
      </c>
      <c r="H5493" s="1">
        <v>5.3083069999999899E-7</v>
      </c>
      <c r="I5493">
        <v>-59.902479999999997</v>
      </c>
      <c r="J5493">
        <v>-250.09039999999999</v>
      </c>
      <c r="K5493">
        <v>1.1101620000000001</v>
      </c>
      <c r="L5493">
        <v>-61.048340000000003</v>
      </c>
      <c r="M5493">
        <v>0.9961662</v>
      </c>
      <c r="N5493">
        <v>0</v>
      </c>
      <c r="O5493">
        <v>8.6255680000000001E-2</v>
      </c>
      <c r="P5493">
        <v>0.99716910000000003</v>
      </c>
      <c r="Q5493">
        <v>-3.343629E-2</v>
      </c>
      <c r="R5493">
        <v>6.7351519999999998E-2</v>
      </c>
      <c r="S5493">
        <v>2.99057</v>
      </c>
      <c r="T5493">
        <v>-0.1713662</v>
      </c>
      <c r="U5493">
        <v>0.1796875</v>
      </c>
      <c r="V5493">
        <v>1.895517E-2</v>
      </c>
      <c r="W5493">
        <v>-1.8811700000000001E-2</v>
      </c>
      <c r="X5493">
        <v>0.99964330000000001</v>
      </c>
      <c r="Y5493">
        <v>2.617334E-2</v>
      </c>
      <c r="Z5493">
        <v>-5.6754839999999997E-3</v>
      </c>
      <c r="AA5493">
        <v>0.99964129999999995</v>
      </c>
      <c r="AB5493">
        <v>36</v>
      </c>
      <c r="AC5493">
        <v>19.165799999999901</v>
      </c>
      <c r="AD5493">
        <v>-1.1101614691693</v>
      </c>
      <c r="AE5493">
        <v>1.1458599999999901</v>
      </c>
      <c r="AF5493">
        <v>0.51004138216536099</v>
      </c>
      <c r="AG5493">
        <v>-1.1101614691693</v>
      </c>
      <c r="AH5493">
        <v>19.1292480764107</v>
      </c>
      <c r="AI5493">
        <v>93.320244364794902</v>
      </c>
      <c r="AJ5493">
        <v>88.472689758731704</v>
      </c>
      <c r="AK5493">
        <v>19.168221948527499</v>
      </c>
      <c r="AL5493">
        <v>91.077894646870803</v>
      </c>
      <c r="AM5493">
        <v>88.913691409725303</v>
      </c>
      <c r="AN5493">
        <v>0.99999995288075305</v>
      </c>
    </row>
    <row r="5494" spans="1:40" x14ac:dyDescent="0.25">
      <c r="A5494" t="str">
        <f>"20190312154713644"</f>
        <v>20190312154713644</v>
      </c>
      <c r="B5494" t="str">
        <f>"1552376833633642"</f>
        <v>1552376833633642</v>
      </c>
      <c r="C5494" t="s">
        <v>40</v>
      </c>
      <c r="D5494">
        <v>4.8031790000000001</v>
      </c>
      <c r="E5494">
        <v>0.50526700000000002</v>
      </c>
      <c r="F5494" t="s">
        <v>86</v>
      </c>
      <c r="G5494">
        <v>-230.27850000000001</v>
      </c>
      <c r="H5494" s="1">
        <v>7.982729E-7</v>
      </c>
      <c r="I5494">
        <v>-59.933450000000001</v>
      </c>
      <c r="J5494">
        <v>-249.8818</v>
      </c>
      <c r="K5494">
        <v>1.1100139999999901</v>
      </c>
      <c r="L5494">
        <v>-61.030090000000001</v>
      </c>
      <c r="M5494">
        <v>0.9961603</v>
      </c>
      <c r="N5494">
        <v>0</v>
      </c>
      <c r="O5494">
        <v>8.6320939999999999E-2</v>
      </c>
      <c r="P5494">
        <v>0.9971873</v>
      </c>
      <c r="Q5494">
        <v>-3.3282890000000002E-2</v>
      </c>
      <c r="R5494">
        <v>6.71538E-2</v>
      </c>
      <c r="S5494">
        <v>2.9915310000000002</v>
      </c>
      <c r="T5494">
        <v>-0.16763059999999999</v>
      </c>
      <c r="U5494">
        <v>0.16833499999999901</v>
      </c>
      <c r="V5494">
        <v>1.9212E-2</v>
      </c>
      <c r="W5494">
        <v>-1.865325E-2</v>
      </c>
      <c r="X5494">
        <v>0.99964140000000001</v>
      </c>
      <c r="Y5494">
        <v>3.004043E-2</v>
      </c>
      <c r="Z5494">
        <v>-5.6628019999999998E-3</v>
      </c>
      <c r="AA5494">
        <v>0.99953259999999999</v>
      </c>
      <c r="AB5494">
        <v>36</v>
      </c>
      <c r="AC5494">
        <v>19.603299999999901</v>
      </c>
      <c r="AD5494">
        <v>-1.1100132017270901</v>
      </c>
      <c r="AE5494">
        <v>1.0966400000000001</v>
      </c>
      <c r="AF5494">
        <v>0.59789900494211701</v>
      </c>
      <c r="AG5494">
        <v>-1.1100132017270901</v>
      </c>
      <c r="AH5494">
        <v>19.562259909812202</v>
      </c>
      <c r="AI5494">
        <v>93.246115573714505</v>
      </c>
      <c r="AJ5494">
        <v>88.249362365093006</v>
      </c>
      <c r="AK5494">
        <v>19.602847377541</v>
      </c>
      <c r="AL5494">
        <v>91.068814500815805</v>
      </c>
      <c r="AM5494">
        <v>88.8989741546023</v>
      </c>
      <c r="AN5494">
        <v>0.99999998663676104</v>
      </c>
    </row>
    <row r="5495" spans="1:40" x14ac:dyDescent="0.25">
      <c r="A5495" t="str">
        <f>"20190312154713667"</f>
        <v>20190312154713667</v>
      </c>
      <c r="B5495" t="str">
        <f>"1552376833663897"</f>
        <v>1552376833663897</v>
      </c>
      <c r="C5495" t="s">
        <v>40</v>
      </c>
      <c r="D5495">
        <v>4.9078540000000004</v>
      </c>
      <c r="E5495">
        <v>0.50607970000000002</v>
      </c>
      <c r="F5495" t="s">
        <v>41</v>
      </c>
      <c r="G5495">
        <v>-248.82859999999999</v>
      </c>
      <c r="H5495">
        <v>1.0492539999999999</v>
      </c>
      <c r="I5495">
        <v>-60.97343</v>
      </c>
      <c r="J5495">
        <v>-249.506</v>
      </c>
      <c r="K5495">
        <v>1.109748</v>
      </c>
      <c r="L5495">
        <v>-60.997500000000002</v>
      </c>
      <c r="M5495">
        <v>0.99617509999999998</v>
      </c>
      <c r="N5495">
        <v>0</v>
      </c>
      <c r="O5495">
        <v>8.6146630000000002E-2</v>
      </c>
      <c r="P5495">
        <v>0.99723450000000002</v>
      </c>
      <c r="Q5495">
        <v>-3.307156E-2</v>
      </c>
      <c r="R5495">
        <v>6.6555550000000005E-2</v>
      </c>
      <c r="S5495">
        <v>2.9918520000000002</v>
      </c>
      <c r="T5495">
        <v>-0.17255819999999999</v>
      </c>
      <c r="U5495">
        <v>0.16113279999999999</v>
      </c>
      <c r="V5495">
        <v>1.962444E-2</v>
      </c>
      <c r="W5495">
        <v>-1.8436770000000002E-2</v>
      </c>
      <c r="X5495">
        <v>0.99963740000000001</v>
      </c>
      <c r="Y5495">
        <v>3.2256130000000001E-2</v>
      </c>
      <c r="Z5495">
        <v>-5.8826829999999997E-3</v>
      </c>
      <c r="AA5495">
        <v>0.99946230000000003</v>
      </c>
      <c r="AB5495">
        <v>36</v>
      </c>
      <c r="AC5495">
        <v>0.67739999999997702</v>
      </c>
      <c r="AD5495">
        <v>-6.0493999999999798E-2</v>
      </c>
      <c r="AE5495">
        <v>2.40699999999947E-2</v>
      </c>
      <c r="AF5495">
        <v>3.4109785562639203E-2</v>
      </c>
      <c r="AG5495">
        <v>-6.0493999999999798E-2</v>
      </c>
      <c r="AH5495">
        <v>0.67160563150707897</v>
      </c>
      <c r="AI5495">
        <v>95.140363091627194</v>
      </c>
      <c r="AJ5495">
        <v>87.092536350648203</v>
      </c>
      <c r="AK5495">
        <v>0.67518673400708296</v>
      </c>
      <c r="AL5495">
        <v>91.056408981431105</v>
      </c>
      <c r="AM5495">
        <v>88.875339024122297</v>
      </c>
      <c r="AN5495">
        <v>0.99999998230605303</v>
      </c>
    </row>
    <row r="5496" spans="1:40" x14ac:dyDescent="0.25">
      <c r="A5496" t="str">
        <f>"20190312154713677"</f>
        <v>20190312154713677</v>
      </c>
      <c r="B5496" t="str">
        <f>"1552376833673657"</f>
        <v>1552376833673657</v>
      </c>
      <c r="C5496" t="s">
        <v>40</v>
      </c>
      <c r="D5496">
        <v>4.911645</v>
      </c>
      <c r="E5496">
        <v>0.50681220000000005</v>
      </c>
      <c r="F5496" t="s">
        <v>86</v>
      </c>
      <c r="G5496">
        <v>-230.1318</v>
      </c>
      <c r="H5496" s="1">
        <v>8.6808669999999897E-7</v>
      </c>
      <c r="I5496">
        <v>-60.008130000000001</v>
      </c>
      <c r="J5496">
        <v>-249.3304</v>
      </c>
      <c r="K5496">
        <v>1.1096239999999999</v>
      </c>
      <c r="L5496">
        <v>-60.982390000000002</v>
      </c>
      <c r="M5496">
        <v>0.99619029999999997</v>
      </c>
      <c r="N5496">
        <v>0</v>
      </c>
      <c r="O5496">
        <v>8.5969870000000004E-2</v>
      </c>
      <c r="P5496">
        <v>0.99726360000000003</v>
      </c>
      <c r="Q5496">
        <v>-3.3011169999999999E-2</v>
      </c>
      <c r="R5496">
        <v>6.615016E-2</v>
      </c>
      <c r="S5496">
        <v>2.992432</v>
      </c>
      <c r="T5496">
        <v>-0.17140459999999999</v>
      </c>
      <c r="U5496">
        <v>0.15280150000000001</v>
      </c>
      <c r="V5496">
        <v>1.9847549999999999E-2</v>
      </c>
      <c r="W5496">
        <v>-1.837507E-2</v>
      </c>
      <c r="X5496">
        <v>0.99963409999999997</v>
      </c>
      <c r="Y5496">
        <v>3.4862749999999998E-2</v>
      </c>
      <c r="Z5496">
        <v>-5.9073349999999997E-3</v>
      </c>
      <c r="AA5496">
        <v>0.9993746</v>
      </c>
      <c r="AB5496">
        <v>36</v>
      </c>
      <c r="AC5496">
        <v>19.198599999999999</v>
      </c>
      <c r="AD5496">
        <v>-1.1096231319133001</v>
      </c>
      <c r="AE5496">
        <v>0.97426000000000101</v>
      </c>
      <c r="AF5496">
        <v>0.67776730581558597</v>
      </c>
      <c r="AG5496">
        <v>-1.1096231319133001</v>
      </c>
      <c r="AH5496">
        <v>19.147474558591998</v>
      </c>
      <c r="AI5496">
        <v>93.314590378145496</v>
      </c>
      <c r="AJ5496">
        <v>87.972735290895301</v>
      </c>
      <c r="AK5496">
        <v>19.191571430907899</v>
      </c>
      <c r="AL5496">
        <v>91.052873265600397</v>
      </c>
      <c r="AM5496">
        <v>88.862552354643697</v>
      </c>
      <c r="AN5496">
        <v>0.99999995116065699</v>
      </c>
    </row>
    <row r="5497" spans="1:40" x14ac:dyDescent="0.25">
      <c r="A5497" t="str">
        <f>"20190312154713694"</f>
        <v>20190312154713694</v>
      </c>
      <c r="B5497" t="str">
        <f>"1552376833683417"</f>
        <v>1552376833683417</v>
      </c>
      <c r="C5497" t="s">
        <v>40</v>
      </c>
      <c r="D5497">
        <v>4.8793059999999997</v>
      </c>
      <c r="E5497">
        <v>0.50729480000000005</v>
      </c>
      <c r="F5497" t="s">
        <v>86</v>
      </c>
      <c r="G5497">
        <v>-230.30439999999999</v>
      </c>
      <c r="H5497" s="1">
        <v>8.2186119999999903E-7</v>
      </c>
      <c r="I5497">
        <v>-60.055160000000001</v>
      </c>
      <c r="J5497">
        <v>-249.06989999999999</v>
      </c>
      <c r="K5497">
        <v>1.10944</v>
      </c>
      <c r="L5497">
        <v>-60.960140000000003</v>
      </c>
      <c r="M5497">
        <v>0.99622310000000003</v>
      </c>
      <c r="N5497">
        <v>0</v>
      </c>
      <c r="O5497">
        <v>8.5588129999999998E-2</v>
      </c>
      <c r="P5497">
        <v>0.99736860000000005</v>
      </c>
      <c r="Q5497">
        <v>-3.3039409999999998E-2</v>
      </c>
      <c r="R5497">
        <v>6.4534209999999995E-2</v>
      </c>
      <c r="S5497">
        <v>2.9927980000000001</v>
      </c>
      <c r="T5497">
        <v>-0.174544</v>
      </c>
      <c r="U5497">
        <v>0.14584349999999999</v>
      </c>
      <c r="V5497">
        <v>2.1075E-2</v>
      </c>
      <c r="W5497">
        <v>-1.8402990000000001E-2</v>
      </c>
      <c r="X5497">
        <v>0.99960850000000001</v>
      </c>
      <c r="Y5497">
        <v>3.6793760000000002E-2</v>
      </c>
      <c r="Z5497">
        <v>-6.0491679999999997E-3</v>
      </c>
      <c r="AA5497">
        <v>0.99930459999999999</v>
      </c>
      <c r="AB5497">
        <v>36</v>
      </c>
      <c r="AC5497">
        <v>18.765499999999999</v>
      </c>
      <c r="AD5497">
        <v>-1.1094391781388</v>
      </c>
      <c r="AE5497">
        <v>0.90498000000000201</v>
      </c>
      <c r="AF5497">
        <v>0.70216893447678197</v>
      </c>
      <c r="AG5497">
        <v>-1.1094391781388</v>
      </c>
      <c r="AH5497">
        <v>18.708849360417801</v>
      </c>
      <c r="AI5497">
        <v>93.391296900790707</v>
      </c>
      <c r="AJ5497">
        <v>87.850619157764498</v>
      </c>
      <c r="AK5497">
        <v>18.7548644594766</v>
      </c>
      <c r="AL5497">
        <v>91.054473193985501</v>
      </c>
      <c r="AM5497">
        <v>88.792197458332694</v>
      </c>
      <c r="AN5497">
        <v>0.99999998946909496</v>
      </c>
    </row>
    <row r="5498" spans="1:40" x14ac:dyDescent="0.25">
      <c r="A5498" t="str">
        <f>"20190312154713705"</f>
        <v>20190312154713705</v>
      </c>
      <c r="B5498" t="str">
        <f>"1552376833693177"</f>
        <v>1552376833693177</v>
      </c>
      <c r="C5498" t="s">
        <v>40</v>
      </c>
      <c r="D5498">
        <v>4.9292680000000004</v>
      </c>
      <c r="E5498">
        <v>0.50778889999999999</v>
      </c>
      <c r="F5498" t="s">
        <v>86</v>
      </c>
      <c r="G5498">
        <v>-230.31530000000001</v>
      </c>
      <c r="H5498" s="1">
        <v>8.2734189999999995E-7</v>
      </c>
      <c r="I5498">
        <v>-60.100369999999998</v>
      </c>
      <c r="J5498">
        <v>-248.89519999999999</v>
      </c>
      <c r="K5498">
        <v>1.1093139999999999</v>
      </c>
      <c r="L5498">
        <v>-60.945309999999999</v>
      </c>
      <c r="M5498">
        <v>0.99625030000000003</v>
      </c>
      <c r="N5498">
        <v>0</v>
      </c>
      <c r="O5498">
        <v>8.5270380000000007E-2</v>
      </c>
      <c r="P5498">
        <v>0.99742140000000001</v>
      </c>
      <c r="Q5498">
        <v>-3.2907690000000003E-2</v>
      </c>
      <c r="R5498">
        <v>6.3781080000000004E-2</v>
      </c>
      <c r="S5498">
        <v>2.9931950000000001</v>
      </c>
      <c r="T5498">
        <v>-0.17706350000000001</v>
      </c>
      <c r="U5498">
        <v>0.137207</v>
      </c>
      <c r="V5498">
        <v>2.150548E-2</v>
      </c>
      <c r="W5498">
        <v>-1.8271989999999998E-2</v>
      </c>
      <c r="X5498">
        <v>0.99960170000000004</v>
      </c>
      <c r="Y5498">
        <v>3.9348380000000002E-2</v>
      </c>
      <c r="Z5498">
        <v>-6.1928469999999996E-3</v>
      </c>
      <c r="AA5498">
        <v>0.99920640000000005</v>
      </c>
      <c r="AB5498">
        <v>36</v>
      </c>
      <c r="AC5498">
        <v>18.579899999999899</v>
      </c>
      <c r="AD5498">
        <v>-1.10931317265809</v>
      </c>
      <c r="AE5498">
        <v>0.84494000000000102</v>
      </c>
      <c r="AF5498">
        <v>0.73999058991242495</v>
      </c>
      <c r="AG5498">
        <v>-1.10931317265809</v>
      </c>
      <c r="AH5498">
        <v>18.5183946603008</v>
      </c>
      <c r="AI5498">
        <v>93.425383198772394</v>
      </c>
      <c r="AJ5498">
        <v>87.711691910535393</v>
      </c>
      <c r="AK5498">
        <v>18.566343274399699</v>
      </c>
      <c r="AL5498">
        <v>91.046966220639803</v>
      </c>
      <c r="AM5498">
        <v>88.767525917956306</v>
      </c>
      <c r="AN5498">
        <v>0.99999995496573901</v>
      </c>
    </row>
    <row r="5499" spans="1:40" x14ac:dyDescent="0.25">
      <c r="A5499" t="str">
        <f>"20190312154713715"</f>
        <v>20190312154713715</v>
      </c>
      <c r="B5499" t="str">
        <f>"1552376833703914"</f>
        <v>1552376833703914</v>
      </c>
      <c r="C5499" t="s">
        <v>40</v>
      </c>
      <c r="D5499">
        <v>4.8698920000000001</v>
      </c>
      <c r="E5499">
        <v>0.50805020000000001</v>
      </c>
      <c r="F5499" t="s">
        <v>41</v>
      </c>
      <c r="G5499">
        <v>-247.87350000000001</v>
      </c>
      <c r="H5499">
        <v>1.0477829999999999</v>
      </c>
      <c r="I5499">
        <v>-60.900849999999998</v>
      </c>
      <c r="J5499">
        <v>-248.72450000000001</v>
      </c>
      <c r="K5499">
        <v>1.1091869999999999</v>
      </c>
      <c r="L5499">
        <v>-60.930999999999997</v>
      </c>
      <c r="M5499">
        <v>0.99628510000000003</v>
      </c>
      <c r="N5499">
        <v>0</v>
      </c>
      <c r="O5499">
        <v>8.4859829999999997E-2</v>
      </c>
      <c r="P5499">
        <v>0.99746780000000002</v>
      </c>
      <c r="Q5499">
        <v>-3.2999340000000002E-2</v>
      </c>
      <c r="R5499">
        <v>6.3000329999999993E-2</v>
      </c>
      <c r="S5499">
        <v>2.9934229999999999</v>
      </c>
      <c r="T5499">
        <v>-0.1801469</v>
      </c>
      <c r="U5499">
        <v>0.13110350000000001</v>
      </c>
      <c r="V5499">
        <v>2.186975E-2</v>
      </c>
      <c r="W5499">
        <v>-1.8365429999999999E-2</v>
      </c>
      <c r="X5499">
        <v>0.99959209999999998</v>
      </c>
      <c r="Y5499">
        <v>4.0963560000000003E-2</v>
      </c>
      <c r="Z5499">
        <v>-6.3243680000000004E-3</v>
      </c>
      <c r="AA5499">
        <v>0.99914060000000005</v>
      </c>
      <c r="AB5499">
        <v>36</v>
      </c>
      <c r="AC5499">
        <v>0.85099999999999898</v>
      </c>
      <c r="AD5499">
        <v>-6.1404000000000201E-2</v>
      </c>
      <c r="AE5499">
        <v>3.0150000000006099E-2</v>
      </c>
      <c r="AF5499">
        <v>4.1964044333315999E-2</v>
      </c>
      <c r="AG5499">
        <v>-6.1404000000000201E-2</v>
      </c>
      <c r="AH5499">
        <v>0.84608897348470202</v>
      </c>
      <c r="AI5499">
        <v>94.145824118705704</v>
      </c>
      <c r="AJ5499">
        <v>87.160589381180301</v>
      </c>
      <c r="AK5499">
        <v>0.84935150749569199</v>
      </c>
      <c r="AL5499">
        <v>91.052320820492398</v>
      </c>
      <c r="AM5499">
        <v>88.7466442590367</v>
      </c>
      <c r="AN5499">
        <v>0.99999997068327795</v>
      </c>
    </row>
    <row r="5500" spans="1:40" x14ac:dyDescent="0.25">
      <c r="A5500" t="str">
        <f>"20190312154713727"</f>
        <v>20190312154713727</v>
      </c>
      <c r="B5500" t="str">
        <f>"1552376833723433"</f>
        <v>1552376833723433</v>
      </c>
      <c r="C5500" t="s">
        <v>40</v>
      </c>
      <c r="D5500">
        <v>4.8999119999999996</v>
      </c>
      <c r="E5500">
        <v>0.50872649999999997</v>
      </c>
      <c r="F5500" t="s">
        <v>86</v>
      </c>
      <c r="G5500">
        <v>-230.61959999999999</v>
      </c>
      <c r="H5500" s="1">
        <v>7.0810459999999905E-7</v>
      </c>
      <c r="I5500">
        <v>-60.164239999999999</v>
      </c>
      <c r="J5500">
        <v>-248.5429</v>
      </c>
      <c r="K5500">
        <v>1.1090530000000001</v>
      </c>
      <c r="L5500">
        <v>-60.91583</v>
      </c>
      <c r="M5500">
        <v>0.99632589999999999</v>
      </c>
      <c r="N5500">
        <v>0</v>
      </c>
      <c r="O5500">
        <v>8.4380570000000002E-2</v>
      </c>
      <c r="P5500">
        <v>0.99753210000000003</v>
      </c>
      <c r="Q5500">
        <v>-3.2754169999999999E-2</v>
      </c>
      <c r="R5500">
        <v>6.2103020000000002E-2</v>
      </c>
      <c r="S5500">
        <v>2.9935610000000001</v>
      </c>
      <c r="T5500">
        <v>-0.18339920000000001</v>
      </c>
      <c r="U5500">
        <v>0.12676999999999999</v>
      </c>
      <c r="V5500">
        <v>2.2282529999999998E-2</v>
      </c>
      <c r="W5500">
        <v>-1.8122619999999999E-2</v>
      </c>
      <c r="X5500">
        <v>0.99958740000000001</v>
      </c>
      <c r="Y5500">
        <v>4.1919449999999997E-2</v>
      </c>
      <c r="Z5500">
        <v>-6.4383399999999999E-3</v>
      </c>
      <c r="AA5500">
        <v>0.99910030000000005</v>
      </c>
      <c r="AB5500">
        <v>36</v>
      </c>
      <c r="AC5500">
        <v>17.923300000000001</v>
      </c>
      <c r="AD5500">
        <v>-1.10905229189539</v>
      </c>
      <c r="AE5500">
        <v>0.75159000000000697</v>
      </c>
      <c r="AF5500">
        <v>0.76072405316222602</v>
      </c>
      <c r="AG5500">
        <v>-1.10905229189539</v>
      </c>
      <c r="AH5500">
        <v>17.854548648495999</v>
      </c>
      <c r="AI5500">
        <v>93.551201567715097</v>
      </c>
      <c r="AJ5500">
        <v>87.560289390839202</v>
      </c>
      <c r="AK5500">
        <v>17.905127911096599</v>
      </c>
      <c r="AL5500">
        <v>91.038406531888697</v>
      </c>
      <c r="AM5500">
        <v>88.7229895888253</v>
      </c>
      <c r="AN5500">
        <v>0.99999995536881103</v>
      </c>
    </row>
    <row r="5501" spans="1:40" x14ac:dyDescent="0.25">
      <c r="A5501" t="str">
        <f>"20190312154713739"</f>
        <v>20190312154713739</v>
      </c>
      <c r="B5501" t="str">
        <f>"1552376833733193"</f>
        <v>1552376833733193</v>
      </c>
      <c r="C5501" t="s">
        <v>40</v>
      </c>
      <c r="D5501">
        <v>4.9271859999999998</v>
      </c>
      <c r="E5501">
        <v>0.50917749999999995</v>
      </c>
      <c r="F5501" t="s">
        <v>41</v>
      </c>
      <c r="G5501">
        <v>-247.55500000000001</v>
      </c>
      <c r="H5501">
        <v>1.0479430000000001</v>
      </c>
      <c r="I5501">
        <v>-60.876649999999998</v>
      </c>
      <c r="J5501">
        <v>-248.35579999999999</v>
      </c>
      <c r="K5501">
        <v>1.108911</v>
      </c>
      <c r="L5501">
        <v>-60.900449999999999</v>
      </c>
      <c r="M5501">
        <v>0.99637399999999998</v>
      </c>
      <c r="N5501">
        <v>0</v>
      </c>
      <c r="O5501">
        <v>8.3808850000000004E-2</v>
      </c>
      <c r="P5501">
        <v>0.99759379999999998</v>
      </c>
      <c r="Q5501">
        <v>-3.220895E-2</v>
      </c>
      <c r="R5501">
        <v>6.1395110000000003E-2</v>
      </c>
      <c r="S5501">
        <v>2.9939580000000001</v>
      </c>
      <c r="T5501">
        <v>-0.18519079999999999</v>
      </c>
      <c r="U5501">
        <v>0.11868289999999999</v>
      </c>
      <c r="V5501">
        <v>2.2413800000000001E-2</v>
      </c>
      <c r="W5501">
        <v>-1.758003E-2</v>
      </c>
      <c r="X5501">
        <v>0.99959419999999999</v>
      </c>
      <c r="Y5501">
        <v>4.4038290000000001E-2</v>
      </c>
      <c r="Z5501">
        <v>-6.5310100000000003E-3</v>
      </c>
      <c r="AA5501">
        <v>0.99900849999999997</v>
      </c>
      <c r="AB5501">
        <v>36</v>
      </c>
      <c r="AC5501">
        <v>0.80079999999998097</v>
      </c>
      <c r="AD5501">
        <v>-6.0967999999999897E-2</v>
      </c>
      <c r="AE5501">
        <v>2.3800000000001299E-2</v>
      </c>
      <c r="AF5501">
        <v>4.3155168256006703E-2</v>
      </c>
      <c r="AG5501">
        <v>-6.0967999999999897E-2</v>
      </c>
      <c r="AH5501">
        <v>0.79537073257798796</v>
      </c>
      <c r="AI5501">
        <v>94.376940943245501</v>
      </c>
      <c r="AJ5501">
        <v>86.894294960907899</v>
      </c>
      <c r="AK5501">
        <v>0.79887049501959295</v>
      </c>
      <c r="AL5501">
        <v>91.007313413262693</v>
      </c>
      <c r="AM5501">
        <v>88.7154777619279</v>
      </c>
      <c r="AN5501">
        <v>1.00000000027944</v>
      </c>
    </row>
    <row r="5502" spans="1:40" x14ac:dyDescent="0.25">
      <c r="A5502" t="str">
        <f>"20190312154713750"</f>
        <v>20190312154713750</v>
      </c>
      <c r="B5502" t="str">
        <f>"1552376833743929"</f>
        <v>1552376833743929</v>
      </c>
      <c r="C5502" t="s">
        <v>40</v>
      </c>
      <c r="D5502">
        <v>4.9480950000000004</v>
      </c>
      <c r="E5502">
        <v>0.50944999999999996</v>
      </c>
      <c r="F5502" t="s">
        <v>86</v>
      </c>
      <c r="G5502">
        <v>-230.37309999999999</v>
      </c>
      <c r="H5502" s="1">
        <v>8.2415150000000002E-7</v>
      </c>
      <c r="I5502">
        <v>-60.222270000000002</v>
      </c>
      <c r="J5502">
        <v>-248.18</v>
      </c>
      <c r="K5502">
        <v>1.1087800000000001</v>
      </c>
      <c r="L5502">
        <v>-60.886139999999997</v>
      </c>
      <c r="M5502">
        <v>0.99642489999999995</v>
      </c>
      <c r="N5502">
        <v>0</v>
      </c>
      <c r="O5502">
        <v>8.3200270000000007E-2</v>
      </c>
      <c r="P5502">
        <v>0.99768179999999995</v>
      </c>
      <c r="Q5502">
        <v>-3.1229199999999999E-2</v>
      </c>
      <c r="R5502">
        <v>6.046518E-2</v>
      </c>
      <c r="S5502">
        <v>2.9943390000000001</v>
      </c>
      <c r="T5502">
        <v>-0.18464729999999999</v>
      </c>
      <c r="U5502">
        <v>0.112915</v>
      </c>
      <c r="V5502">
        <v>2.273323E-2</v>
      </c>
      <c r="W5502">
        <v>-1.6603179999999999E-2</v>
      </c>
      <c r="X5502">
        <v>0.99960369999999998</v>
      </c>
      <c r="Y5502">
        <v>4.5354690000000003E-2</v>
      </c>
      <c r="Z5502">
        <v>-6.5145799999999999E-3</v>
      </c>
      <c r="AA5502">
        <v>0.99894970000000005</v>
      </c>
      <c r="AB5502">
        <v>36</v>
      </c>
      <c r="AC5502">
        <v>17.806899999999999</v>
      </c>
      <c r="AD5502">
        <v>-1.1087791758484999</v>
      </c>
      <c r="AE5502">
        <v>0.66387000000000995</v>
      </c>
      <c r="AF5502">
        <v>0.81696739803228302</v>
      </c>
      <c r="AG5502">
        <v>-1.1087791758484999</v>
      </c>
      <c r="AH5502">
        <v>17.7317342399902</v>
      </c>
      <c r="AI5502">
        <v>93.574309186347406</v>
      </c>
      <c r="AJ5502">
        <v>87.362034437378497</v>
      </c>
      <c r="AK5502">
        <v>17.785140599609701</v>
      </c>
      <c r="AL5502">
        <v>90.951335841686898</v>
      </c>
      <c r="AM5502">
        <v>88.697190051353303</v>
      </c>
      <c r="AN5502">
        <v>1.0000000111930101</v>
      </c>
    </row>
    <row r="5503" spans="1:40" x14ac:dyDescent="0.25">
      <c r="A5503" t="str">
        <f>"20190312154713762"</f>
        <v>20190312154713762</v>
      </c>
      <c r="B5503" t="str">
        <f>"1552376833753690"</f>
        <v>1552376833753690</v>
      </c>
      <c r="C5503" t="s">
        <v>40</v>
      </c>
      <c r="D5503">
        <v>4.9892979999999998</v>
      </c>
      <c r="E5503">
        <v>0.50991589999999998</v>
      </c>
      <c r="F5503" t="s">
        <v>41</v>
      </c>
      <c r="G5503">
        <v>-247.2313</v>
      </c>
      <c r="H5503">
        <v>1.0505880000000001</v>
      </c>
      <c r="I5503">
        <v>-60.852069999999998</v>
      </c>
      <c r="J5503">
        <v>-247.98910000000001</v>
      </c>
      <c r="K5503">
        <v>1.108638</v>
      </c>
      <c r="L5503">
        <v>-60.870730000000002</v>
      </c>
      <c r="M5503">
        <v>0.99648369999999997</v>
      </c>
      <c r="N5503">
        <v>0</v>
      </c>
      <c r="O5503">
        <v>8.2493419999999998E-2</v>
      </c>
      <c r="P5503">
        <v>0.99774189999999996</v>
      </c>
      <c r="Q5503">
        <v>-3.032692E-2</v>
      </c>
      <c r="R5503">
        <v>5.9931440000000002E-2</v>
      </c>
      <c r="S5503">
        <v>2.994659</v>
      </c>
      <c r="T5503">
        <v>-0.1835831</v>
      </c>
      <c r="U5503">
        <v>0.10800170000000001</v>
      </c>
      <c r="V5503">
        <v>2.2557000000000001E-2</v>
      </c>
      <c r="W5503">
        <v>-1.5703310000000002E-2</v>
      </c>
      <c r="X5503">
        <v>0.99962220000000002</v>
      </c>
      <c r="Y5503">
        <v>4.6289190000000001E-2</v>
      </c>
      <c r="Z5503">
        <v>-6.4621640000000003E-3</v>
      </c>
      <c r="AA5503">
        <v>0.99890710000000005</v>
      </c>
      <c r="AB5503">
        <v>36</v>
      </c>
      <c r="AC5503">
        <v>0.75780000000000303</v>
      </c>
      <c r="AD5503">
        <v>-5.8050000000000102E-2</v>
      </c>
      <c r="AE5503">
        <v>1.86600000000041E-2</v>
      </c>
      <c r="AF5503">
        <v>4.3667761288055502E-2</v>
      </c>
      <c r="AG5503">
        <v>-5.8050000000000102E-2</v>
      </c>
      <c r="AH5503">
        <v>0.75234392652058701</v>
      </c>
      <c r="AI5503">
        <v>94.404750932328398</v>
      </c>
      <c r="AJ5503">
        <v>86.678148974224001</v>
      </c>
      <c r="AK5503">
        <v>0.75584261566038002</v>
      </c>
      <c r="AL5503">
        <v>90.899770389903196</v>
      </c>
      <c r="AM5503">
        <v>88.707310024422696</v>
      </c>
      <c r="AN5503">
        <v>0.99999997746339697</v>
      </c>
    </row>
    <row r="5504" spans="1:40" x14ac:dyDescent="0.25">
      <c r="A5504" t="str">
        <f>"20190312154713774"</f>
        <v>20190312154713774</v>
      </c>
      <c r="B5504" t="str">
        <f>"1552376833763449"</f>
        <v>1552376833763449</v>
      </c>
      <c r="C5504" t="s">
        <v>40</v>
      </c>
      <c r="D5504">
        <v>4.9779070000000001</v>
      </c>
      <c r="E5504">
        <v>0.50991589999999998</v>
      </c>
      <c r="F5504" t="s">
        <v>90</v>
      </c>
      <c r="G5504">
        <v>-229.74039999999999</v>
      </c>
      <c r="H5504" s="1">
        <v>-3.3272710000000001E-6</v>
      </c>
      <c r="I5504">
        <v>-60.245040000000003</v>
      </c>
      <c r="J5504">
        <v>-247.8158</v>
      </c>
      <c r="K5504">
        <v>1.1085160000000001</v>
      </c>
      <c r="L5504">
        <v>-60.857089999999999</v>
      </c>
      <c r="M5504">
        <v>0.9965446</v>
      </c>
      <c r="N5504">
        <v>0</v>
      </c>
      <c r="O5504">
        <v>8.1751030000000002E-2</v>
      </c>
      <c r="P5504">
        <v>0.99780610000000003</v>
      </c>
      <c r="Q5504">
        <v>-2.9497309999999999E-2</v>
      </c>
      <c r="R5504">
        <v>5.9271539999999998E-2</v>
      </c>
      <c r="S5504">
        <v>2.9950869999999998</v>
      </c>
      <c r="T5504">
        <v>-0.18195620000000001</v>
      </c>
      <c r="U5504">
        <v>0.1026917</v>
      </c>
      <c r="V5504">
        <v>2.2472590000000001E-2</v>
      </c>
      <c r="W5504">
        <v>-1.4875899999999999E-2</v>
      </c>
      <c r="X5504">
        <v>0.99963679999999999</v>
      </c>
      <c r="Y5504">
        <v>4.7322709999999997E-2</v>
      </c>
      <c r="Z5504">
        <v>-6.3908309999999996E-3</v>
      </c>
      <c r="AA5504">
        <v>0.99885919999999895</v>
      </c>
      <c r="AB5504">
        <v>36</v>
      </c>
      <c r="AC5504">
        <v>18.075399999999998</v>
      </c>
      <c r="AD5504">
        <v>-1.1085193272709899</v>
      </c>
      <c r="AE5504">
        <v>0.61204999999999599</v>
      </c>
      <c r="AF5504">
        <v>0.86459295107886402</v>
      </c>
      <c r="AG5504">
        <v>-1.1085193272709899</v>
      </c>
      <c r="AH5504">
        <v>17.997314222544301</v>
      </c>
      <c r="AI5504">
        <v>93.520550618014795</v>
      </c>
      <c r="AJ5504">
        <v>87.2496189856775</v>
      </c>
      <c r="AK5504">
        <v>18.052137139269298</v>
      </c>
      <c r="AL5504">
        <v>90.852357707407194</v>
      </c>
      <c r="AM5504">
        <v>88.712164539043599</v>
      </c>
      <c r="AN5504">
        <v>1.0000000208081701</v>
      </c>
    </row>
    <row r="5505" spans="1:40" x14ac:dyDescent="0.25">
      <c r="A5505" t="str">
        <f>"20190312154713783"</f>
        <v>20190312154713783</v>
      </c>
      <c r="B5505" t="str">
        <f>"1552376833773210"</f>
        <v>1552376833773210</v>
      </c>
      <c r="C5505" t="s">
        <v>40</v>
      </c>
      <c r="D5505">
        <v>4.8953389999999999</v>
      </c>
      <c r="E5505">
        <v>0.53739059999999905</v>
      </c>
      <c r="F5505" t="s">
        <v>90</v>
      </c>
      <c r="G5505">
        <v>-229.3158</v>
      </c>
      <c r="H5505" s="1">
        <v>-3.1473579999999998E-6</v>
      </c>
      <c r="I5505">
        <v>-60.23489</v>
      </c>
      <c r="J5505">
        <v>-247.6429</v>
      </c>
      <c r="K5505">
        <v>1.1083909999999999</v>
      </c>
      <c r="L5505">
        <v>-60.84348</v>
      </c>
      <c r="M5505">
        <v>0.99660649999999995</v>
      </c>
      <c r="N5505">
        <v>0</v>
      </c>
      <c r="O5505">
        <v>8.0992359999999999E-2</v>
      </c>
      <c r="P5505">
        <v>0.99786980000000003</v>
      </c>
      <c r="Q5505">
        <v>-2.8900329999999998E-2</v>
      </c>
      <c r="R5505">
        <v>5.848594E-2</v>
      </c>
      <c r="S5505">
        <v>2.9953159999999999</v>
      </c>
      <c r="T5505">
        <v>-0.17947839999999901</v>
      </c>
      <c r="U5505">
        <v>0.10073849999999999</v>
      </c>
      <c r="V5505">
        <v>2.2497139999999999E-2</v>
      </c>
      <c r="W5505">
        <v>-1.428164E-2</v>
      </c>
      <c r="X5505">
        <v>0.99964489999999995</v>
      </c>
      <c r="Y5505">
        <v>4.7223429999999997E-2</v>
      </c>
      <c r="Z5505">
        <v>-6.2553460000000002E-3</v>
      </c>
      <c r="AA5505">
        <v>0.9988648</v>
      </c>
      <c r="AB5505">
        <v>36</v>
      </c>
      <c r="AC5505">
        <v>18.327100000000002</v>
      </c>
      <c r="AD5505">
        <v>-1.1083941473579999</v>
      </c>
      <c r="AE5505">
        <v>0.60859000000000596</v>
      </c>
      <c r="AF5505">
        <v>0.87472911007012699</v>
      </c>
      <c r="AG5505">
        <v>-1.1083941473579999</v>
      </c>
      <c r="AH5505">
        <v>18.249497267203498</v>
      </c>
      <c r="AI5505">
        <v>93.471648130725399</v>
      </c>
      <c r="AJ5505">
        <v>87.255817135317301</v>
      </c>
      <c r="AK5505">
        <v>18.304038874182101</v>
      </c>
      <c r="AL5505">
        <v>90.818305510605697</v>
      </c>
      <c r="AM5505">
        <v>88.710768571187401</v>
      </c>
      <c r="AN5505">
        <v>1.00000000632263</v>
      </c>
    </row>
    <row r="5506" spans="1:40" x14ac:dyDescent="0.25">
      <c r="A5506" t="str">
        <f>"20190312154713794"</f>
        <v>20190312154713794</v>
      </c>
      <c r="B5506" t="str">
        <f>"1552376833783946"</f>
        <v>1552376833783946</v>
      </c>
      <c r="C5506" t="s">
        <v>40</v>
      </c>
      <c r="D5506">
        <v>4.9216629999999997</v>
      </c>
      <c r="E5506">
        <v>0.54216769999999903</v>
      </c>
      <c r="F5506" t="s">
        <v>41</v>
      </c>
      <c r="G5506">
        <v>-246.59790000000001</v>
      </c>
      <c r="H5506">
        <v>1.041722</v>
      </c>
      <c r="I5506">
        <v>-60.885509999999996</v>
      </c>
      <c r="J5506">
        <v>-247.4676</v>
      </c>
      <c r="K5506">
        <v>1.108276</v>
      </c>
      <c r="L5506">
        <v>-60.830019999999998</v>
      </c>
      <c r="M5506">
        <v>0.99667700000000004</v>
      </c>
      <c r="N5506">
        <v>0</v>
      </c>
      <c r="O5506">
        <v>8.0121639999999994E-2</v>
      </c>
      <c r="P5506">
        <v>0.9979382</v>
      </c>
      <c r="Q5506">
        <v>-2.8210200000000001E-2</v>
      </c>
      <c r="R5506">
        <v>5.765311E-2</v>
      </c>
      <c r="S5506">
        <v>3.0078740000000002</v>
      </c>
      <c r="T5506">
        <v>-0.1917007</v>
      </c>
      <c r="U5506">
        <v>-0.12011719999999999</v>
      </c>
      <c r="V5506">
        <v>2.2457560000000001E-2</v>
      </c>
      <c r="W5506">
        <v>-1.359379E-2</v>
      </c>
      <c r="X5506">
        <v>0.99965539999999997</v>
      </c>
      <c r="Y5506">
        <v>0.1194363</v>
      </c>
      <c r="Z5506">
        <v>-8.8983150000000004E-3</v>
      </c>
      <c r="AA5506">
        <v>0.99280199999999996</v>
      </c>
      <c r="AB5506">
        <v>36</v>
      </c>
      <c r="AC5506">
        <v>0.86969999999999403</v>
      </c>
      <c r="AD5506">
        <v>-6.6554000000000002E-2</v>
      </c>
      <c r="AE5506">
        <v>-5.5489999999998901E-2</v>
      </c>
      <c r="AF5506">
        <v>0.12427604163575</v>
      </c>
      <c r="AG5506">
        <v>-6.6554000000000002E-2</v>
      </c>
      <c r="AH5506">
        <v>0.85745596371435395</v>
      </c>
      <c r="AI5506">
        <v>94.392570280384405</v>
      </c>
      <c r="AJ5506">
        <v>81.753217046242696</v>
      </c>
      <c r="AK5506">
        <v>0.86896760535129403</v>
      </c>
      <c r="AL5506">
        <v>90.778890764322995</v>
      </c>
      <c r="AM5506">
        <v>88.713049510555805</v>
      </c>
      <c r="AN5506">
        <v>1.0000000259384301</v>
      </c>
    </row>
    <row r="5507" spans="1:40" x14ac:dyDescent="0.25">
      <c r="A5507" t="str">
        <f>"20190312154713807"</f>
        <v>20190312154713807</v>
      </c>
      <c r="B5507" t="str">
        <f>"1552376833803465"</f>
        <v>1552376833803465</v>
      </c>
      <c r="C5507" t="s">
        <v>40</v>
      </c>
      <c r="D5507">
        <v>4.9705450000000004</v>
      </c>
      <c r="E5507">
        <v>0.54573850000000002</v>
      </c>
      <c r="F5507" t="s">
        <v>86</v>
      </c>
      <c r="G5507">
        <v>-231.12360000000001</v>
      </c>
      <c r="H5507" s="1">
        <v>1.803932E-7</v>
      </c>
      <c r="I5507">
        <v>-61.700679999999998</v>
      </c>
      <c r="J5507">
        <v>-247.28649999999999</v>
      </c>
      <c r="K5507">
        <v>1.108158</v>
      </c>
      <c r="L5507">
        <v>-60.816249999999997</v>
      </c>
      <c r="M5507">
        <v>0.99675100000000005</v>
      </c>
      <c r="N5507">
        <v>0</v>
      </c>
      <c r="O5507">
        <v>7.9194990000000007E-2</v>
      </c>
      <c r="P5507">
        <v>0.9980002</v>
      </c>
      <c r="Q5507">
        <v>-2.7737499999999998E-2</v>
      </c>
      <c r="R5507">
        <v>5.6804309999999997E-2</v>
      </c>
      <c r="S5507">
        <v>3.009674</v>
      </c>
      <c r="T5507">
        <v>-0.20408380000000001</v>
      </c>
      <c r="U5507">
        <v>-0.16033939999999999</v>
      </c>
      <c r="V5507">
        <v>2.2376819999999999E-2</v>
      </c>
      <c r="W5507">
        <v>-1.312341E-2</v>
      </c>
      <c r="X5507">
        <v>0.99966350000000004</v>
      </c>
      <c r="Y5507">
        <v>0.13164039999999999</v>
      </c>
      <c r="Z5507">
        <v>-9.8143420000000002E-3</v>
      </c>
      <c r="AA5507">
        <v>0.99124900000000005</v>
      </c>
      <c r="AB5507">
        <v>36</v>
      </c>
      <c r="AC5507">
        <v>16.162899999999901</v>
      </c>
      <c r="AD5507">
        <v>-1.1081578196068</v>
      </c>
      <c r="AE5507">
        <v>-0.88443000000000804</v>
      </c>
      <c r="AF5507">
        <v>2.1517257725214098</v>
      </c>
      <c r="AG5507">
        <v>-1.1081578196068</v>
      </c>
      <c r="AH5507">
        <v>15.9672402193428</v>
      </c>
      <c r="AI5507">
        <v>93.934621366673298</v>
      </c>
      <c r="AJ5507">
        <v>82.325126313537695</v>
      </c>
      <c r="AK5507">
        <v>16.149634601918599</v>
      </c>
      <c r="AL5507">
        <v>90.751937568218906</v>
      </c>
      <c r="AM5507">
        <v>88.717685227370495</v>
      </c>
      <c r="AN5507">
        <v>1.00000002959779</v>
      </c>
    </row>
    <row r="5508" spans="1:40" x14ac:dyDescent="0.25">
      <c r="A5508" t="str">
        <f>"20190312154713819"</f>
        <v>20190312154713819</v>
      </c>
      <c r="B5508" t="str">
        <f>"1552376833813226"</f>
        <v>1552376833813226</v>
      </c>
      <c r="C5508" t="s">
        <v>40</v>
      </c>
      <c r="D5508">
        <v>4.9583380000000004</v>
      </c>
      <c r="E5508">
        <v>0.54665079999999999</v>
      </c>
      <c r="F5508" t="s">
        <v>41</v>
      </c>
      <c r="G5508">
        <v>-246.28630000000001</v>
      </c>
      <c r="H5508">
        <v>1.0308469999999901</v>
      </c>
      <c r="I5508">
        <v>-60.879669999999997</v>
      </c>
      <c r="J5508">
        <v>-247.09190000000001</v>
      </c>
      <c r="K5508">
        <v>1.1080460000000001</v>
      </c>
      <c r="L5508">
        <v>-60.801729999999999</v>
      </c>
      <c r="M5508">
        <v>0.99683520000000003</v>
      </c>
      <c r="N5508">
        <v>0</v>
      </c>
      <c r="O5508">
        <v>7.8126979999999999E-2</v>
      </c>
      <c r="P5508">
        <v>0.9980599</v>
      </c>
      <c r="Q5508">
        <v>-2.7477669999999999E-2</v>
      </c>
      <c r="R5508">
        <v>5.5869559999999999E-2</v>
      </c>
      <c r="S5508">
        <v>3.0103909999999998</v>
      </c>
      <c r="T5508">
        <v>-0.2326481</v>
      </c>
      <c r="U5508">
        <v>-0.1906738</v>
      </c>
      <c r="V5508">
        <v>2.223994E-2</v>
      </c>
      <c r="W5508">
        <v>-1.286559E-2</v>
      </c>
      <c r="X5508">
        <v>0.99966980000000005</v>
      </c>
      <c r="Y5508">
        <v>0.14034849999999999</v>
      </c>
      <c r="Z5508">
        <v>-1.143226E-2</v>
      </c>
      <c r="AA5508">
        <v>0.99003620000000003</v>
      </c>
      <c r="AB5508">
        <v>36</v>
      </c>
      <c r="AC5508">
        <v>0.80559999999999798</v>
      </c>
      <c r="AD5508">
        <v>-7.7199000000000004E-2</v>
      </c>
      <c r="AE5508">
        <v>-7.7939999999991003E-2</v>
      </c>
      <c r="AF5508">
        <v>0.13937955155005299</v>
      </c>
      <c r="AG5508">
        <v>-7.7199000000000004E-2</v>
      </c>
      <c r="AH5508">
        <v>0.789861179480982</v>
      </c>
      <c r="AI5508">
        <v>95.497804415647394</v>
      </c>
      <c r="AJ5508">
        <v>79.992562965741698</v>
      </c>
      <c r="AK5508">
        <v>0.80577107657347802</v>
      </c>
      <c r="AL5508">
        <v>90.737164401485103</v>
      </c>
      <c r="AM5508">
        <v>88.7255346377829</v>
      </c>
      <c r="AN5508">
        <v>0.99999992368464297</v>
      </c>
    </row>
    <row r="5509" spans="1:40" x14ac:dyDescent="0.25">
      <c r="A5509" t="str">
        <f>"20190312154713830"</f>
        <v>20190312154713830</v>
      </c>
      <c r="B5509" t="str">
        <f>"1552376833823962"</f>
        <v>1552376833823962</v>
      </c>
      <c r="C5509" t="s">
        <v>40</v>
      </c>
      <c r="D5509">
        <v>4.9545949999999896</v>
      </c>
      <c r="E5509">
        <v>0.54701739999999999</v>
      </c>
      <c r="F5509" t="s">
        <v>41</v>
      </c>
      <c r="G5509">
        <v>-246.2689</v>
      </c>
      <c r="H5509">
        <v>1.0453129999999999</v>
      </c>
      <c r="I5509">
        <v>-60.856659999999998</v>
      </c>
      <c r="J5509">
        <v>-246.90459999999999</v>
      </c>
      <c r="K5509">
        <v>1.1079479999999999</v>
      </c>
      <c r="L5509">
        <v>-60.788020000000003</v>
      </c>
      <c r="M5509">
        <v>0.996919</v>
      </c>
      <c r="N5509">
        <v>0</v>
      </c>
      <c r="O5509">
        <v>7.7049019999999996E-2</v>
      </c>
      <c r="P5509">
        <v>0.99815609999999999</v>
      </c>
      <c r="Q5509">
        <v>-2.6787970000000001E-2</v>
      </c>
      <c r="R5509">
        <v>5.446964E-2</v>
      </c>
      <c r="S5509">
        <v>3.0107569999999999</v>
      </c>
      <c r="T5509">
        <v>-0.2294563</v>
      </c>
      <c r="U5509">
        <v>-0.2007446</v>
      </c>
      <c r="V5509">
        <v>2.2561680000000001E-2</v>
      </c>
      <c r="W5509">
        <v>-1.217938E-2</v>
      </c>
      <c r="X5509">
        <v>0.99967130000000004</v>
      </c>
      <c r="Y5509">
        <v>0.1425823</v>
      </c>
      <c r="Z5509">
        <v>-1.127651E-2</v>
      </c>
      <c r="AA5509">
        <v>0.98971869999999995</v>
      </c>
      <c r="AB5509">
        <v>36</v>
      </c>
      <c r="AC5509">
        <v>0.63569999999998505</v>
      </c>
      <c r="AD5509">
        <v>-6.2634999999999996E-2</v>
      </c>
      <c r="AE5509">
        <v>-6.8640000000002005E-2</v>
      </c>
      <c r="AF5509">
        <v>0.11630518314704499</v>
      </c>
      <c r="AG5509">
        <v>-6.2634999999999996E-2</v>
      </c>
      <c r="AH5509">
        <v>0.62254660104509796</v>
      </c>
      <c r="AI5509">
        <v>95.6481752231835</v>
      </c>
      <c r="AJ5509">
        <v>79.417895932509893</v>
      </c>
      <c r="AK5509">
        <v>0.636407345435823</v>
      </c>
      <c r="AL5509">
        <v>90.697844298453106</v>
      </c>
      <c r="AM5509">
        <v>88.707105398941806</v>
      </c>
      <c r="AN5509">
        <v>1.0000000373726401</v>
      </c>
    </row>
    <row r="5510" spans="1:40" x14ac:dyDescent="0.25">
      <c r="A5510" t="str">
        <f>"20190312154713843"</f>
        <v>20190312154713843</v>
      </c>
      <c r="B5510" t="str">
        <f>"1552376833833721"</f>
        <v>1552376833833721</v>
      </c>
      <c r="C5510" t="s">
        <v>40</v>
      </c>
      <c r="D5510">
        <v>4.9375619999999998</v>
      </c>
      <c r="E5510">
        <v>0.54714200000000002</v>
      </c>
      <c r="F5510" t="s">
        <v>41</v>
      </c>
      <c r="G5510">
        <v>-245.9657</v>
      </c>
      <c r="H5510">
        <v>1.0368900000000001</v>
      </c>
      <c r="I5510">
        <v>-60.8529699999999</v>
      </c>
      <c r="J5510">
        <v>-246.70670000000001</v>
      </c>
      <c r="K5510">
        <v>1.1078520000000001</v>
      </c>
      <c r="L5510">
        <v>-60.773650000000004</v>
      </c>
      <c r="M5510">
        <v>0.99700880000000003</v>
      </c>
      <c r="N5510">
        <v>0</v>
      </c>
      <c r="O5510">
        <v>7.5877470000000002E-2</v>
      </c>
      <c r="P5510">
        <v>0.99825459999999999</v>
      </c>
      <c r="Q5510">
        <v>-2.5974819999999999E-2</v>
      </c>
      <c r="R5510">
        <v>5.3039490000000002E-2</v>
      </c>
      <c r="S5510">
        <v>3.0107729999999999</v>
      </c>
      <c r="T5510">
        <v>-0.22775200000000001</v>
      </c>
      <c r="U5510">
        <v>-0.20773320000000001</v>
      </c>
      <c r="V5510">
        <v>2.2821020000000001E-2</v>
      </c>
      <c r="W5510">
        <v>-1.136975E-2</v>
      </c>
      <c r="X5510">
        <v>0.99967490000000003</v>
      </c>
      <c r="Y5510">
        <v>0.14371519999999999</v>
      </c>
      <c r="Z5510">
        <v>-1.114661E-2</v>
      </c>
      <c r="AA5510">
        <v>0.98955630000000006</v>
      </c>
      <c r="AB5510">
        <v>35</v>
      </c>
      <c r="AC5510">
        <v>0.74100000000001298</v>
      </c>
      <c r="AD5510">
        <v>-7.0962000000000094E-2</v>
      </c>
      <c r="AE5510">
        <v>-7.9319999999988497E-2</v>
      </c>
      <c r="AF5510">
        <v>0.13410660848219</v>
      </c>
      <c r="AG5510">
        <v>-7.0962000000000094E-2</v>
      </c>
      <c r="AH5510">
        <v>0.72625904904988903</v>
      </c>
      <c r="AI5510">
        <v>95.488391445200804</v>
      </c>
      <c r="AJ5510">
        <v>79.537953631818695</v>
      </c>
      <c r="AK5510">
        <v>0.74193826846271005</v>
      </c>
      <c r="AL5510">
        <v>90.651452733177607</v>
      </c>
      <c r="AM5510">
        <v>88.692253788087498</v>
      </c>
      <c r="AN5510">
        <v>0.99999998792945599</v>
      </c>
    </row>
    <row r="5511" spans="1:40" x14ac:dyDescent="0.25">
      <c r="A5511" t="str">
        <f>"20190312154713856"</f>
        <v>20190312154713856</v>
      </c>
      <c r="B5511" t="str">
        <f>"1552376833843482"</f>
        <v>1552376833843482</v>
      </c>
      <c r="C5511" t="s">
        <v>40</v>
      </c>
      <c r="D5511">
        <v>4.9325609999999998</v>
      </c>
      <c r="E5511">
        <v>0.5474021</v>
      </c>
      <c r="F5511" t="s">
        <v>86</v>
      </c>
      <c r="G5511">
        <v>-231.95580000000001</v>
      </c>
      <c r="H5511" s="1">
        <v>-2.073461E-7</v>
      </c>
      <c r="I5511">
        <v>-61.816220000000001</v>
      </c>
      <c r="J5511">
        <v>-246.50489999999999</v>
      </c>
      <c r="K5511">
        <v>1.1077650000000001</v>
      </c>
      <c r="L5511">
        <v>-60.759520000000002</v>
      </c>
      <c r="M5511">
        <v>0.99710390000000004</v>
      </c>
      <c r="N5511">
        <v>0</v>
      </c>
      <c r="O5511">
        <v>7.4616600000000005E-2</v>
      </c>
      <c r="P5511">
        <v>0.99836899999999995</v>
      </c>
      <c r="Q5511">
        <v>-2.5090910000000001E-2</v>
      </c>
      <c r="R5511">
        <v>5.1281889999999997E-2</v>
      </c>
      <c r="S5511">
        <v>3.0106660000000001</v>
      </c>
      <c r="T5511">
        <v>-0.2261127</v>
      </c>
      <c r="U5511">
        <v>-0.21279909999999999</v>
      </c>
      <c r="V5511">
        <v>2.3319860000000001E-2</v>
      </c>
      <c r="W5511">
        <v>-1.049014E-2</v>
      </c>
      <c r="X5511">
        <v>0.99967300000000003</v>
      </c>
      <c r="Y5511">
        <v>0.1441347</v>
      </c>
      <c r="Z5511">
        <v>-1.0987769999999999E-2</v>
      </c>
      <c r="AA5511">
        <v>0.98949710000000002</v>
      </c>
      <c r="AB5511">
        <v>35</v>
      </c>
      <c r="AC5511">
        <v>14.5490999999999</v>
      </c>
      <c r="AD5511">
        <v>-1.1077652073461</v>
      </c>
      <c r="AE5511">
        <v>-1.05669999999999</v>
      </c>
      <c r="AF5511">
        <v>2.12720805141503</v>
      </c>
      <c r="AG5511">
        <v>-1.1077652073461</v>
      </c>
      <c r="AH5511">
        <v>14.3469401708437</v>
      </c>
      <c r="AI5511">
        <v>94.36763874124</v>
      </c>
      <c r="AJ5511">
        <v>81.566249334909202</v>
      </c>
      <c r="AK5511">
        <v>14.5460252342136</v>
      </c>
      <c r="AL5511">
        <v>90.601051782706193</v>
      </c>
      <c r="AM5511">
        <v>88.663675747330103</v>
      </c>
      <c r="AN5511">
        <v>0.99999998291831904</v>
      </c>
    </row>
    <row r="5512" spans="1:40" x14ac:dyDescent="0.25">
      <c r="A5512" t="str">
        <f>"20190312154713867"</f>
        <v>20190312154713867</v>
      </c>
      <c r="B5512" t="str">
        <f>"1552376833863977"</f>
        <v>1552376833863977</v>
      </c>
      <c r="C5512" t="s">
        <v>40</v>
      </c>
      <c r="D5512">
        <v>4.9830779999999999</v>
      </c>
      <c r="E5512">
        <v>0.54752809999999996</v>
      </c>
      <c r="F5512" t="s">
        <v>41</v>
      </c>
      <c r="G5512">
        <v>-245.64609999999999</v>
      </c>
      <c r="H5512">
        <v>1.042835</v>
      </c>
      <c r="I5512">
        <v>-60.82226</v>
      </c>
      <c r="J5512">
        <v>-246.33189999999999</v>
      </c>
      <c r="K5512">
        <v>1.1076999999999999</v>
      </c>
      <c r="L5512">
        <v>-60.747500000000002</v>
      </c>
      <c r="M5512">
        <v>0.99718530000000005</v>
      </c>
      <c r="N5512">
        <v>0</v>
      </c>
      <c r="O5512">
        <v>7.3522039999999997E-2</v>
      </c>
      <c r="P5512">
        <v>0.99848009999999998</v>
      </c>
      <c r="Q5512">
        <v>-2.406142E-2</v>
      </c>
      <c r="R5512">
        <v>4.9584089999999997E-2</v>
      </c>
      <c r="S5512">
        <v>3.0104679999999999</v>
      </c>
      <c r="T5512">
        <v>-0.2275662</v>
      </c>
      <c r="U5512">
        <v>-0.21981809999999999</v>
      </c>
      <c r="V5512">
        <v>2.3927009999999999E-2</v>
      </c>
      <c r="W5512">
        <v>-9.4653280000000003E-3</v>
      </c>
      <c r="X5512">
        <v>0.99966889999999997</v>
      </c>
      <c r="Y5512">
        <v>0.14534</v>
      </c>
      <c r="Z5512">
        <v>-1.1021100000000001E-2</v>
      </c>
      <c r="AA5512">
        <v>0.98932039999999999</v>
      </c>
      <c r="AB5512">
        <v>35</v>
      </c>
      <c r="AC5512">
        <v>0.68579999999999997</v>
      </c>
      <c r="AD5512">
        <v>-6.4864999999999895E-2</v>
      </c>
      <c r="AE5512">
        <v>-7.4759999999997703E-2</v>
      </c>
      <c r="AF5512">
        <v>0.12388919708007</v>
      </c>
      <c r="AG5512">
        <v>-6.4864999999999895E-2</v>
      </c>
      <c r="AH5512">
        <v>0.67250094429252805</v>
      </c>
      <c r="AI5512">
        <v>95.418704466935594</v>
      </c>
      <c r="AJ5512">
        <v>79.561911235329603</v>
      </c>
      <c r="AK5512">
        <v>0.68688683307549703</v>
      </c>
      <c r="AL5512">
        <v>90.542331443395796</v>
      </c>
      <c r="AM5512">
        <v>88.6288910372636</v>
      </c>
      <c r="AN5512">
        <v>1.0000000019344399</v>
      </c>
    </row>
    <row r="5513" spans="1:40" x14ac:dyDescent="0.25">
      <c r="A5513" t="str">
        <f>"20190312154713878"</f>
        <v>20190312154713878</v>
      </c>
      <c r="B5513" t="str">
        <f>"1552376833873738"</f>
        <v>1552376833873738</v>
      </c>
      <c r="C5513" t="s">
        <v>40</v>
      </c>
      <c r="D5513">
        <v>4.9711230000000004</v>
      </c>
      <c r="E5513">
        <v>0.54756380000000004</v>
      </c>
      <c r="F5513" t="s">
        <v>41</v>
      </c>
      <c r="G5513">
        <v>-245.33240000000001</v>
      </c>
      <c r="H5513">
        <v>1.034365</v>
      </c>
      <c r="I5513">
        <v>-60.822749999999999</v>
      </c>
      <c r="J5513">
        <v>-246.15020000000001</v>
      </c>
      <c r="K5513">
        <v>1.1076440000000001</v>
      </c>
      <c r="L5513">
        <v>-60.735140000000001</v>
      </c>
      <c r="M5513">
        <v>0.99727129999999997</v>
      </c>
      <c r="N5513">
        <v>0</v>
      </c>
      <c r="O5513">
        <v>7.2343879999999999E-2</v>
      </c>
      <c r="P5513">
        <v>0.99861929999999999</v>
      </c>
      <c r="Q5513">
        <v>-2.3101460000000001E-2</v>
      </c>
      <c r="R5513">
        <v>4.7183120000000002E-2</v>
      </c>
      <c r="S5513">
        <v>3.0104829999999998</v>
      </c>
      <c r="T5513">
        <v>-0.2207354</v>
      </c>
      <c r="U5513">
        <v>-0.22583010000000001</v>
      </c>
      <c r="V5513">
        <v>2.51538E-2</v>
      </c>
      <c r="W5513">
        <v>-8.5132449999999991E-3</v>
      </c>
      <c r="X5513">
        <v>0.99964730000000002</v>
      </c>
      <c r="Y5513">
        <v>0.14617349999999901</v>
      </c>
      <c r="Z5513">
        <v>-1.063481E-2</v>
      </c>
      <c r="AA5513">
        <v>0.98920180000000002</v>
      </c>
      <c r="AB5513">
        <v>35</v>
      </c>
      <c r="AC5513">
        <v>0.81780000000000497</v>
      </c>
      <c r="AD5513">
        <v>-7.3279000000000094E-2</v>
      </c>
      <c r="AE5513">
        <v>-8.7609999999997898E-2</v>
      </c>
      <c r="AF5513">
        <v>0.145395471386881</v>
      </c>
      <c r="AG5513">
        <v>-7.3279000000000094E-2</v>
      </c>
      <c r="AH5513">
        <v>0.80294422052481396</v>
      </c>
      <c r="AI5513">
        <v>95.1315379991253</v>
      </c>
      <c r="AJ5513">
        <v>79.736215365625696</v>
      </c>
      <c r="AK5513">
        <v>0.81928571097939595</v>
      </c>
      <c r="AL5513">
        <v>90.487778921695394</v>
      </c>
      <c r="AM5513">
        <v>88.558589091706907</v>
      </c>
      <c r="AN5513">
        <v>0.999999956696079</v>
      </c>
    </row>
    <row r="5514" spans="1:40" x14ac:dyDescent="0.25">
      <c r="A5514" t="str">
        <f>"20190312154713889"</f>
        <v>20190312154713889</v>
      </c>
      <c r="B5514" t="str">
        <f>"1552376833883498"</f>
        <v>1552376833883498</v>
      </c>
      <c r="C5514" t="s">
        <v>40</v>
      </c>
      <c r="D5514">
        <v>5.2617510000000003</v>
      </c>
      <c r="E5514">
        <v>0.5483981</v>
      </c>
      <c r="F5514" t="s">
        <v>86</v>
      </c>
      <c r="G5514">
        <v>-231.22200000000001</v>
      </c>
      <c r="H5514" s="1">
        <v>8.7738040000000001E-8</v>
      </c>
      <c r="I5514">
        <v>-61.890210000000003</v>
      </c>
      <c r="J5514">
        <v>-245.98859999999999</v>
      </c>
      <c r="K5514">
        <v>1.1076010000000001</v>
      </c>
      <c r="L5514">
        <v>-60.724330000000002</v>
      </c>
      <c r="M5514">
        <v>0.9973476</v>
      </c>
      <c r="N5514">
        <v>0</v>
      </c>
      <c r="O5514">
        <v>7.1284029999999998E-2</v>
      </c>
      <c r="P5514">
        <v>0.99874719999999995</v>
      </c>
      <c r="Q5514">
        <v>-2.2014570000000001E-2</v>
      </c>
      <c r="R5514">
        <v>4.4937600000000001E-2</v>
      </c>
      <c r="S5514">
        <v>3.009979</v>
      </c>
      <c r="T5514">
        <v>-0.22333529999999999</v>
      </c>
      <c r="U5514">
        <v>-0.23291020000000001</v>
      </c>
      <c r="V5514">
        <v>2.6344630000000001E-2</v>
      </c>
      <c r="W5514">
        <v>-7.4340659999999996E-3</v>
      </c>
      <c r="X5514">
        <v>0.99962530000000005</v>
      </c>
      <c r="Y5514">
        <v>0.14743339999999999</v>
      </c>
      <c r="Z5514">
        <v>-1.0728909999999999E-2</v>
      </c>
      <c r="AA5514">
        <v>0.98901380000000005</v>
      </c>
      <c r="AB5514">
        <v>35</v>
      </c>
      <c r="AC5514">
        <v>14.766599999999899</v>
      </c>
      <c r="AD5514">
        <v>-1.1076009122619599</v>
      </c>
      <c r="AE5514">
        <v>-1.16587999999999</v>
      </c>
      <c r="AF5514">
        <v>2.20333075914992</v>
      </c>
      <c r="AG5514">
        <v>-1.1076009122619599</v>
      </c>
      <c r="AH5514">
        <v>14.56447565112</v>
      </c>
      <c r="AI5514">
        <v>94.300123987941404</v>
      </c>
      <c r="AJ5514">
        <v>81.397458173721802</v>
      </c>
      <c r="AK5514">
        <v>14.771777049736601</v>
      </c>
      <c r="AL5514">
        <v>90.425944520170304</v>
      </c>
      <c r="AM5514">
        <v>88.490347540443594</v>
      </c>
      <c r="AN5514">
        <v>1.0000000226336001</v>
      </c>
    </row>
    <row r="5515" spans="1:40" x14ac:dyDescent="0.25">
      <c r="A5515" t="str">
        <f>"20190312154713900"</f>
        <v>20190312154713900</v>
      </c>
      <c r="B5515" t="str">
        <f>"1552376833893258"</f>
        <v>1552376833893258</v>
      </c>
      <c r="C5515" t="s">
        <v>40</v>
      </c>
      <c r="D5515">
        <v>5.0019640000000001</v>
      </c>
      <c r="E5515">
        <v>0.54842630000000003</v>
      </c>
      <c r="F5515" t="s">
        <v>86</v>
      </c>
      <c r="G5515">
        <v>-230.9657</v>
      </c>
      <c r="H5515" s="1">
        <v>1.8107960000000001E-7</v>
      </c>
      <c r="I5515">
        <v>-61.9527</v>
      </c>
      <c r="J5515">
        <v>-245.80950000000001</v>
      </c>
      <c r="K5515">
        <v>1.107556</v>
      </c>
      <c r="L5515">
        <v>-60.712589999999999</v>
      </c>
      <c r="M5515">
        <v>0.99743179999999998</v>
      </c>
      <c r="N5515">
        <v>0</v>
      </c>
      <c r="O5515">
        <v>7.0095619999999997E-2</v>
      </c>
      <c r="P5515">
        <v>0.99888379999999999</v>
      </c>
      <c r="Q5515">
        <v>-2.1153459999999999E-2</v>
      </c>
      <c r="R5515">
        <v>4.2238129999999999E-2</v>
      </c>
      <c r="S5515">
        <v>3.0099490000000002</v>
      </c>
      <c r="T5515">
        <v>-0.2219158</v>
      </c>
      <c r="U5515">
        <v>-0.24612429999999999</v>
      </c>
      <c r="V5515">
        <v>2.7859479999999999E-2</v>
      </c>
      <c r="W5515">
        <v>-6.5827969999999996E-3</v>
      </c>
      <c r="X5515">
        <v>0.99959019999999998</v>
      </c>
      <c r="Y5515">
        <v>0.15057209999999999</v>
      </c>
      <c r="Z5515">
        <v>-1.06874E-2</v>
      </c>
      <c r="AA5515">
        <v>0.98854120000000001</v>
      </c>
      <c r="AB5515">
        <v>35</v>
      </c>
      <c r="AC5515">
        <v>14.8438</v>
      </c>
      <c r="AD5515">
        <v>-1.10755581892039</v>
      </c>
      <c r="AE5515">
        <v>-1.2401099999999901</v>
      </c>
      <c r="AF5515">
        <v>2.2651338097976699</v>
      </c>
      <c r="AG5515">
        <v>-1.10755581892039</v>
      </c>
      <c r="AH5515">
        <v>14.6394083573649</v>
      </c>
      <c r="AI5515">
        <v>94.275825818588899</v>
      </c>
      <c r="AJ5515">
        <v>81.204458047181305</v>
      </c>
      <c r="AK5515">
        <v>14.854958368235099</v>
      </c>
      <c r="AL5515">
        <v>90.377169199752601</v>
      </c>
      <c r="AM5515">
        <v>88.403528260405196</v>
      </c>
      <c r="AN5515">
        <v>1.00000002588912</v>
      </c>
    </row>
    <row r="5516" spans="1:40" x14ac:dyDescent="0.25">
      <c r="A5516" t="str">
        <f>"20190312154713910"</f>
        <v>20190312154713910</v>
      </c>
      <c r="B5516" t="str">
        <f>"1552376833903994"</f>
        <v>1552376833903994</v>
      </c>
      <c r="C5516" t="s">
        <v>40</v>
      </c>
      <c r="D5516">
        <v>5.0339580000000002</v>
      </c>
      <c r="E5516">
        <v>0.54876619999999998</v>
      </c>
      <c r="F5516" t="s">
        <v>86</v>
      </c>
      <c r="G5516">
        <v>-230.7706</v>
      </c>
      <c r="H5516" s="1">
        <v>2.568044E-7</v>
      </c>
      <c r="I5516">
        <v>-61.982750000000003</v>
      </c>
      <c r="J5516">
        <v>-245.63839999999999</v>
      </c>
      <c r="K5516">
        <v>1.1075200000000001</v>
      </c>
      <c r="L5516">
        <v>-60.701599999999999</v>
      </c>
      <c r="M5516">
        <v>0.99751179999999995</v>
      </c>
      <c r="N5516">
        <v>0</v>
      </c>
      <c r="O5516">
        <v>6.8949800000000006E-2</v>
      </c>
      <c r="P5516">
        <v>0.99900849999999997</v>
      </c>
      <c r="Q5516">
        <v>-2.058946E-2</v>
      </c>
      <c r="R5516">
        <v>3.9475650000000001E-2</v>
      </c>
      <c r="S5516">
        <v>3.0094150000000002</v>
      </c>
      <c r="T5516">
        <v>-0.2216303</v>
      </c>
      <c r="U5516">
        <v>-0.25418089999999999</v>
      </c>
      <c r="V5516">
        <v>2.94781E-2</v>
      </c>
      <c r="W5516">
        <v>-6.0293219999999897E-3</v>
      </c>
      <c r="X5516">
        <v>0.99954719999999997</v>
      </c>
      <c r="Y5516">
        <v>0.15207950000000001</v>
      </c>
      <c r="Z5516">
        <v>-1.0645750000000001E-2</v>
      </c>
      <c r="AA5516">
        <v>0.98831089999999999</v>
      </c>
      <c r="AB5516">
        <v>35</v>
      </c>
      <c r="AC5516">
        <v>14.8677999999999</v>
      </c>
      <c r="AD5516">
        <v>-1.1075197431956001</v>
      </c>
      <c r="AE5516">
        <v>-1.28115</v>
      </c>
      <c r="AF5516">
        <v>2.2907256096646602</v>
      </c>
      <c r="AG5516">
        <v>-1.1075197431956001</v>
      </c>
      <c r="AH5516">
        <v>14.663298367524201</v>
      </c>
      <c r="AI5516">
        <v>94.267782776086804</v>
      </c>
      <c r="AJ5516">
        <v>81.120922878485601</v>
      </c>
      <c r="AK5516">
        <v>14.8824172369739</v>
      </c>
      <c r="AL5516">
        <v>90.345456811482805</v>
      </c>
      <c r="AM5516">
        <v>88.310753794305398</v>
      </c>
      <c r="AN5516">
        <v>0.99999995806561404</v>
      </c>
    </row>
    <row r="5517" spans="1:40" x14ac:dyDescent="0.25">
      <c r="A5517" t="str">
        <f>"20190312154713921"</f>
        <v>20190312154713921</v>
      </c>
      <c r="B5517" t="str">
        <f>"1552376833913754"</f>
        <v>1552376833913754</v>
      </c>
      <c r="C5517" t="s">
        <v>40</v>
      </c>
      <c r="D5517">
        <v>4.9789349999999999</v>
      </c>
      <c r="E5517">
        <v>0.54869440000000003</v>
      </c>
      <c r="F5517" t="s">
        <v>86</v>
      </c>
      <c r="G5517">
        <v>-230.8201</v>
      </c>
      <c r="H5517" s="1">
        <v>2.2918679999999999E-7</v>
      </c>
      <c r="I5517">
        <v>-62.006720000000001</v>
      </c>
      <c r="J5517">
        <v>-245.46610000000001</v>
      </c>
      <c r="K5517">
        <v>1.1074900000000001</v>
      </c>
      <c r="L5517">
        <v>-60.69061</v>
      </c>
      <c r="M5517">
        <v>0.99759120000000001</v>
      </c>
      <c r="N5517">
        <v>0</v>
      </c>
      <c r="O5517">
        <v>6.7790630000000004E-2</v>
      </c>
      <c r="P5517">
        <v>0.99912579999999995</v>
      </c>
      <c r="Q5517">
        <v>-2.0553749999999999E-2</v>
      </c>
      <c r="R5517">
        <v>3.6406340000000002E-2</v>
      </c>
      <c r="S5517">
        <v>3.0088349999999999</v>
      </c>
      <c r="T5517">
        <v>-0.2248791</v>
      </c>
      <c r="U5517">
        <v>-0.26501459999999999</v>
      </c>
      <c r="V5517">
        <v>3.1386709999999998E-2</v>
      </c>
      <c r="W5517">
        <v>-6.0061250000000002E-3</v>
      </c>
      <c r="X5517">
        <v>0.99948919999999997</v>
      </c>
      <c r="Y5517">
        <v>0.15445789999999901</v>
      </c>
      <c r="Z5517">
        <v>-1.080419E-2</v>
      </c>
      <c r="AA5517">
        <v>0.98794029999999999</v>
      </c>
      <c r="AB5517">
        <v>35</v>
      </c>
      <c r="AC5517">
        <v>14.646000000000001</v>
      </c>
      <c r="AD5517">
        <v>-1.1074897708132001</v>
      </c>
      <c r="AE5517">
        <v>-1.3161099999999899</v>
      </c>
      <c r="AF5517">
        <v>2.2930441368174699</v>
      </c>
      <c r="AG5517">
        <v>-1.1074897708132001</v>
      </c>
      <c r="AH5517">
        <v>14.4411584536909</v>
      </c>
      <c r="AI5517">
        <v>94.331366199114001</v>
      </c>
      <c r="AJ5517">
        <v>80.977594099710004</v>
      </c>
      <c r="AK5517">
        <v>14.6639572588867</v>
      </c>
      <c r="AL5517">
        <v>90.344127706818895</v>
      </c>
      <c r="AM5517">
        <v>88.201346011615996</v>
      </c>
      <c r="AN5517">
        <v>0.99999993000938703</v>
      </c>
    </row>
    <row r="5518" spans="1:40" x14ac:dyDescent="0.25">
      <c r="A5518" t="str">
        <f>"20190312154713932"</f>
        <v>20190312154713932</v>
      </c>
      <c r="B5518" t="str">
        <f>"1552376833923514"</f>
        <v>1552376833923514</v>
      </c>
      <c r="C5518" t="s">
        <v>40</v>
      </c>
      <c r="D5518">
        <v>5.0004369999999998</v>
      </c>
      <c r="E5518">
        <v>0.54859429999999998</v>
      </c>
      <c r="F5518" t="s">
        <v>86</v>
      </c>
      <c r="G5518">
        <v>-230.6592</v>
      </c>
      <c r="H5518" s="1">
        <v>2.89788E-7</v>
      </c>
      <c r="I5518">
        <v>-62.038369999999901</v>
      </c>
      <c r="J5518">
        <v>-245.30019999999999</v>
      </c>
      <c r="K5518">
        <v>1.1074619999999999</v>
      </c>
      <c r="L5518">
        <v>-60.680390000000003</v>
      </c>
      <c r="M5518">
        <v>0.99766699999999997</v>
      </c>
      <c r="N5518">
        <v>0</v>
      </c>
      <c r="O5518">
        <v>6.6664929999999997E-2</v>
      </c>
      <c r="P5518">
        <v>0.9992415</v>
      </c>
      <c r="Q5518">
        <v>-2.0358069999999999E-2</v>
      </c>
      <c r="R5518">
        <v>3.3196179999999999E-2</v>
      </c>
      <c r="S5518">
        <v>3.007965</v>
      </c>
      <c r="T5518">
        <v>-0.2249814</v>
      </c>
      <c r="U5518">
        <v>-0.27380369999999998</v>
      </c>
      <c r="V5518">
        <v>3.3470399999999997E-2</v>
      </c>
      <c r="W5518">
        <v>-5.8239640000000001E-3</v>
      </c>
      <c r="X5518">
        <v>0.9994227</v>
      </c>
      <c r="Y5518">
        <v>0.15622920000000001</v>
      </c>
      <c r="Z5518">
        <v>-1.079303E-2</v>
      </c>
      <c r="AA5518">
        <v>0.98766180000000003</v>
      </c>
      <c r="AB5518">
        <v>35</v>
      </c>
      <c r="AC5518">
        <v>14.640999999999901</v>
      </c>
      <c r="AD5518">
        <v>-1.1074617102119999</v>
      </c>
      <c r="AE5518">
        <v>-1.35797999999999</v>
      </c>
      <c r="AF5518">
        <v>2.3179559985963598</v>
      </c>
      <c r="AG5518">
        <v>-1.1074617102119999</v>
      </c>
      <c r="AH5518">
        <v>14.4359912554254</v>
      </c>
      <c r="AI5518">
        <v>94.331603473756005</v>
      </c>
      <c r="AJ5518">
        <v>80.878002909531304</v>
      </c>
      <c r="AK5518">
        <v>14.662784011835299</v>
      </c>
      <c r="AL5518">
        <v>90.333690457067107</v>
      </c>
      <c r="AM5518">
        <v>88.081896482865403</v>
      </c>
      <c r="AN5518">
        <v>0.99999995975405997</v>
      </c>
    </row>
    <row r="5519" spans="1:40" x14ac:dyDescent="0.25">
      <c r="A5519" t="str">
        <f>"20190312154713943"</f>
        <v>20190312154713943</v>
      </c>
      <c r="B5519" t="str">
        <f>"1552376833933274"</f>
        <v>1552376833933274</v>
      </c>
      <c r="C5519" t="s">
        <v>40</v>
      </c>
      <c r="D5519">
        <v>5.0106840000000004</v>
      </c>
      <c r="E5519">
        <v>0.54838290000000001</v>
      </c>
      <c r="F5519" t="s">
        <v>86</v>
      </c>
      <c r="G5519">
        <v>-230.43129999999999</v>
      </c>
      <c r="H5519" s="1">
        <v>3.7705219999999999E-7</v>
      </c>
      <c r="I5519">
        <v>-62.077779999999997</v>
      </c>
      <c r="J5519">
        <v>-245.12809999999999</v>
      </c>
      <c r="K5519">
        <v>1.1074349999999999</v>
      </c>
      <c r="L5519">
        <v>-60.66986</v>
      </c>
      <c r="M5519">
        <v>0.99774439999999998</v>
      </c>
      <c r="N5519">
        <v>0</v>
      </c>
      <c r="O5519">
        <v>6.549584E-2</v>
      </c>
      <c r="P5519">
        <v>0.99932019999999999</v>
      </c>
      <c r="Q5519">
        <v>-2.0834390000000001E-2</v>
      </c>
      <c r="R5519">
        <v>3.041572E-2</v>
      </c>
      <c r="S5519">
        <v>3.0070950000000001</v>
      </c>
      <c r="T5519">
        <v>-0.22397449999999999</v>
      </c>
      <c r="U5519">
        <v>-0.28262330000000002</v>
      </c>
      <c r="V5519">
        <v>3.5076129999999997E-2</v>
      </c>
      <c r="W5519">
        <v>-6.3117099999999999E-3</v>
      </c>
      <c r="X5519">
        <v>0.99936469999999999</v>
      </c>
      <c r="Y5519">
        <v>0.15797329999999901</v>
      </c>
      <c r="Z5519">
        <v>-1.0724569999999999E-2</v>
      </c>
      <c r="AA5519">
        <v>0.98738519999999996</v>
      </c>
      <c r="AB5519">
        <v>35</v>
      </c>
      <c r="AC5519">
        <v>14.6967999999999</v>
      </c>
      <c r="AD5519">
        <v>-1.1074346229478</v>
      </c>
      <c r="AE5519">
        <v>-1.4079200000000001</v>
      </c>
      <c r="AF5519">
        <v>2.3543335551868099</v>
      </c>
      <c r="AG5519">
        <v>-1.1074346229478</v>
      </c>
      <c r="AH5519">
        <v>14.4914804583621</v>
      </c>
      <c r="AI5519">
        <v>94.313692626500199</v>
      </c>
      <c r="AJ5519">
        <v>80.772163126855702</v>
      </c>
      <c r="AK5519">
        <v>14.723189321892001</v>
      </c>
      <c r="AL5519">
        <v>90.361636749972206</v>
      </c>
      <c r="AM5519">
        <v>87.989833376459998</v>
      </c>
      <c r="AN5519">
        <v>0.99999998809249502</v>
      </c>
    </row>
    <row r="5520" spans="1:40" x14ac:dyDescent="0.25">
      <c r="A5520" t="str">
        <f>"20190312154713954"</f>
        <v>20190312154713954</v>
      </c>
      <c r="B5520" t="str">
        <f>"1552376833944010"</f>
        <v>1552376833944010</v>
      </c>
      <c r="C5520" t="s">
        <v>40</v>
      </c>
      <c r="D5520">
        <v>4.9200369999999998</v>
      </c>
      <c r="E5520">
        <v>0.54810000000000003</v>
      </c>
      <c r="F5520" t="s">
        <v>86</v>
      </c>
      <c r="G5520">
        <v>-230.40559999999999</v>
      </c>
      <c r="H5520" s="1">
        <v>3.8583779999999998E-7</v>
      </c>
      <c r="I5520">
        <v>-62.086219999999997</v>
      </c>
      <c r="J5520">
        <v>-244.95869999999999</v>
      </c>
      <c r="K5520">
        <v>1.107413</v>
      </c>
      <c r="L5520">
        <v>-60.659820000000003</v>
      </c>
      <c r="M5520">
        <v>0.99782009999999999</v>
      </c>
      <c r="N5520">
        <v>0</v>
      </c>
      <c r="O5520">
        <v>6.4332120000000007E-2</v>
      </c>
      <c r="P5520">
        <v>0.99941270000000004</v>
      </c>
      <c r="Q5520">
        <v>-2.0764979999999999E-2</v>
      </c>
      <c r="R5520">
        <v>2.7260360000000001E-2</v>
      </c>
      <c r="S5520">
        <v>3.0061490000000002</v>
      </c>
      <c r="T5520">
        <v>-0.22612399999999999</v>
      </c>
      <c r="U5520">
        <v>-0.2892151</v>
      </c>
      <c r="V5520">
        <v>3.7065500000000001E-2</v>
      </c>
      <c r="W5520">
        <v>-6.2559470000000004E-3</v>
      </c>
      <c r="X5520">
        <v>0.99929330000000005</v>
      </c>
      <c r="Y5520">
        <v>0.15898470000000001</v>
      </c>
      <c r="Z5520">
        <v>-1.078025E-2</v>
      </c>
      <c r="AA5520">
        <v>0.98722220000000005</v>
      </c>
      <c r="AB5520">
        <v>35</v>
      </c>
      <c r="AC5520">
        <v>14.553100000000001</v>
      </c>
      <c r="AD5520">
        <v>-1.1074126141622</v>
      </c>
      <c r="AE5520">
        <v>-1.4263999999999999</v>
      </c>
      <c r="AF5520">
        <v>2.3463208982963901</v>
      </c>
      <c r="AG5520">
        <v>-1.1074126141622</v>
      </c>
      <c r="AH5520">
        <v>14.348879045417201</v>
      </c>
      <c r="AI5520">
        <v>94.355584666736206</v>
      </c>
      <c r="AJ5520">
        <v>80.713215143872702</v>
      </c>
      <c r="AK5520">
        <v>14.5815607640541</v>
      </c>
      <c r="AL5520">
        <v>90.358441682333506</v>
      </c>
      <c r="AM5520">
        <v>87.875775215521799</v>
      </c>
      <c r="AN5520">
        <v>1.000000043794</v>
      </c>
    </row>
    <row r="5521" spans="1:40" x14ac:dyDescent="0.25">
      <c r="A5521" t="str">
        <f>"20190312154713964"</f>
        <v>20190312154713964</v>
      </c>
      <c r="B5521" t="str">
        <f>"1552376833953776"</f>
        <v>1552376833953776</v>
      </c>
      <c r="C5521" t="s">
        <v>40</v>
      </c>
      <c r="D5521">
        <v>4.8485589999999998</v>
      </c>
      <c r="E5521">
        <v>0.54810000000000003</v>
      </c>
      <c r="F5521" t="s">
        <v>86</v>
      </c>
      <c r="G5521">
        <v>-230.2884</v>
      </c>
      <c r="H5521" s="1">
        <v>4.3060590000000002E-7</v>
      </c>
      <c r="I5521">
        <v>-62.106949999999998</v>
      </c>
      <c r="J5521">
        <v>-244.7893</v>
      </c>
      <c r="K5521">
        <v>1.1073900000000001</v>
      </c>
      <c r="L5521">
        <v>-60.649839999999998</v>
      </c>
      <c r="M5521">
        <v>0.99789459999999996</v>
      </c>
      <c r="N5521">
        <v>0</v>
      </c>
      <c r="O5521">
        <v>6.3165599999999905E-2</v>
      </c>
      <c r="P5521">
        <v>0.99949489999999996</v>
      </c>
      <c r="Q5521">
        <v>-2.0818590000000001E-2</v>
      </c>
      <c r="R5521">
        <v>2.4015600000000002E-2</v>
      </c>
      <c r="S5521">
        <v>3.0051420000000002</v>
      </c>
      <c r="T5521">
        <v>-0.22684750000000001</v>
      </c>
      <c r="U5521">
        <v>-0.29644779999999998</v>
      </c>
      <c r="V5521">
        <v>3.9140130000000002E-2</v>
      </c>
      <c r="W5521">
        <v>-6.3241230000000001E-3</v>
      </c>
      <c r="X5521">
        <v>0.99921369999999998</v>
      </c>
      <c r="Y5521">
        <v>0.160211299999999</v>
      </c>
      <c r="Z5521">
        <v>-1.0775470000000001E-2</v>
      </c>
      <c r="AA5521">
        <v>0.98702389999999995</v>
      </c>
      <c r="AB5521">
        <v>35</v>
      </c>
      <c r="AC5521">
        <v>14.5009</v>
      </c>
      <c r="AD5521">
        <v>-1.1073895693940901</v>
      </c>
      <c r="AE5521">
        <v>-1.4571099999999899</v>
      </c>
      <c r="AF5521">
        <v>2.3566504206172101</v>
      </c>
      <c r="AG5521">
        <v>-1.1073895693940901</v>
      </c>
      <c r="AH5521">
        <v>14.2973397613894</v>
      </c>
      <c r="AI5521">
        <v>94.370221262822795</v>
      </c>
      <c r="AJ5521">
        <v>80.640019624875194</v>
      </c>
      <c r="AK5521">
        <v>14.5325165444945</v>
      </c>
      <c r="AL5521">
        <v>90.362347979152204</v>
      </c>
      <c r="AM5521">
        <v>87.756817840796799</v>
      </c>
      <c r="AN5521">
        <v>0.99999998128791201</v>
      </c>
    </row>
    <row r="5522" spans="1:40" x14ac:dyDescent="0.25">
      <c r="A5522" t="str">
        <f>"20190312154713975"</f>
        <v>20190312154713975</v>
      </c>
      <c r="B5522" t="str">
        <f>"1552376833963536"</f>
        <v>1552376833963536</v>
      </c>
      <c r="C5522" t="s">
        <v>40</v>
      </c>
      <c r="D5522">
        <v>4.9148259999999997</v>
      </c>
      <c r="E5522">
        <v>0.54737029999999998</v>
      </c>
      <c r="F5522" t="s">
        <v>86</v>
      </c>
      <c r="G5522">
        <v>-230.13059999999999</v>
      </c>
      <c r="H5522" s="1">
        <v>4.8840429999999999E-7</v>
      </c>
      <c r="I5522">
        <v>-62.144100000000002</v>
      </c>
      <c r="J5522">
        <v>-244.61539999999999</v>
      </c>
      <c r="K5522">
        <v>1.107362</v>
      </c>
      <c r="L5522">
        <v>-60.639949999999999</v>
      </c>
      <c r="M5522">
        <v>0.99797080000000005</v>
      </c>
      <c r="N5522">
        <v>0</v>
      </c>
      <c r="O5522">
        <v>6.1951390000000002E-2</v>
      </c>
      <c r="P5522">
        <v>0.99956179999999994</v>
      </c>
      <c r="Q5522">
        <v>-2.0596260000000002E-2</v>
      </c>
      <c r="R5522">
        <v>2.126391E-2</v>
      </c>
      <c r="S5522">
        <v>3.0041350000000002</v>
      </c>
      <c r="T5522">
        <v>-0.22694710000000001</v>
      </c>
      <c r="U5522">
        <v>-0.30624390000000001</v>
      </c>
      <c r="V5522">
        <v>4.0675860000000001E-2</v>
      </c>
      <c r="W5522">
        <v>-6.1136319999999999E-3</v>
      </c>
      <c r="X5522">
        <v>0.99915370000000003</v>
      </c>
      <c r="Y5522">
        <v>0.16222590000000001</v>
      </c>
      <c r="Z5522">
        <v>-1.076656E-2</v>
      </c>
      <c r="AA5522">
        <v>0.98669490000000004</v>
      </c>
      <c r="AB5522">
        <v>35</v>
      </c>
      <c r="AC5522">
        <v>14.4848</v>
      </c>
      <c r="AD5522">
        <v>-1.1073615115957001</v>
      </c>
      <c r="AE5522">
        <v>-1.5041500000000001</v>
      </c>
      <c r="AF5522">
        <v>2.38492054577587</v>
      </c>
      <c r="AG5522">
        <v>-1.1073615115957001</v>
      </c>
      <c r="AH5522">
        <v>14.2811995920651</v>
      </c>
      <c r="AI5522">
        <v>94.373506958695003</v>
      </c>
      <c r="AJ5522">
        <v>80.519251671974303</v>
      </c>
      <c r="AK5522">
        <v>14.521251919701299</v>
      </c>
      <c r="AL5522">
        <v>90.350287489999403</v>
      </c>
      <c r="AM5522">
        <v>87.668758184531001</v>
      </c>
      <c r="AN5522">
        <v>1.0000000091533301</v>
      </c>
    </row>
    <row r="5523" spans="1:40" x14ac:dyDescent="0.25">
      <c r="A5523" t="str">
        <f>"20190312154713990"</f>
        <v>20190312154713990</v>
      </c>
      <c r="B5523" t="str">
        <f>"1552376833984031"</f>
        <v>1552376833984031</v>
      </c>
      <c r="C5523" t="s">
        <v>40</v>
      </c>
      <c r="D5523">
        <v>4.9820289999999998</v>
      </c>
      <c r="E5523">
        <v>0.54691319999999999</v>
      </c>
      <c r="F5523" t="s">
        <v>90</v>
      </c>
      <c r="G5523">
        <v>-229.2834</v>
      </c>
      <c r="H5523" s="1">
        <v>-3.4130039999999999E-6</v>
      </c>
      <c r="I5523">
        <v>-62.217469999999999</v>
      </c>
      <c r="J5523">
        <v>-244.38589999999999</v>
      </c>
      <c r="K5523">
        <v>1.107324</v>
      </c>
      <c r="L5523">
        <v>-60.627200000000002</v>
      </c>
      <c r="M5523">
        <v>0.99806989999999995</v>
      </c>
      <c r="N5523">
        <v>0</v>
      </c>
      <c r="O5523">
        <v>6.0334180000000001E-2</v>
      </c>
      <c r="P5523">
        <v>0.99963270000000004</v>
      </c>
      <c r="Q5523">
        <v>-2.0168419999999999E-2</v>
      </c>
      <c r="R5523">
        <v>1.81137E-2</v>
      </c>
      <c r="S5523">
        <v>3.0034179999999999</v>
      </c>
      <c r="T5523">
        <v>-0.2169229</v>
      </c>
      <c r="U5523">
        <v>-0.30902099999999999</v>
      </c>
      <c r="V5523">
        <v>4.2207479999999999E-2</v>
      </c>
      <c r="W5523">
        <v>-5.6988849999999999E-3</v>
      </c>
      <c r="X5523">
        <v>0.9990926</v>
      </c>
      <c r="Y5523">
        <v>0.16161389999999901</v>
      </c>
      <c r="Z5523">
        <v>-1.0155859999999999E-2</v>
      </c>
      <c r="AA5523">
        <v>0.98680179999999995</v>
      </c>
      <c r="AB5523">
        <v>35</v>
      </c>
      <c r="AC5523">
        <v>15.1024999999999</v>
      </c>
      <c r="AD5523">
        <v>-1.1073274130040001</v>
      </c>
      <c r="AE5523">
        <v>-1.5902699999999901</v>
      </c>
      <c r="AF5523">
        <v>2.4854526524437501</v>
      </c>
      <c r="AG5523">
        <v>-1.1073274130040001</v>
      </c>
      <c r="AH5523">
        <v>14.8998007686777</v>
      </c>
      <c r="AI5523">
        <v>94.1925892698262</v>
      </c>
      <c r="AJ5523">
        <v>80.529624362868205</v>
      </c>
      <c r="AK5523">
        <v>15.1462111378858</v>
      </c>
      <c r="AL5523">
        <v>90.326523830447499</v>
      </c>
      <c r="AM5523">
        <v>87.580931590831696</v>
      </c>
      <c r="AN5523">
        <v>0.99999998601647599</v>
      </c>
    </row>
    <row r="5524" spans="1:40" x14ac:dyDescent="0.25">
      <c r="A5524" t="str">
        <f>"20190312154714008"</f>
        <v>20190312154714008</v>
      </c>
      <c r="B5524" t="str">
        <f>"1552376834003553"</f>
        <v>1552376834003553</v>
      </c>
      <c r="C5524" t="s">
        <v>40</v>
      </c>
      <c r="D5524">
        <v>4.9064860000000001</v>
      </c>
      <c r="E5524">
        <v>0.54655159999999903</v>
      </c>
      <c r="F5524" t="s">
        <v>90</v>
      </c>
      <c r="G5524">
        <v>-228.8304</v>
      </c>
      <c r="H5524" s="1">
        <v>-3.2643790000000001E-6</v>
      </c>
      <c r="I5524">
        <v>-62.258690000000001</v>
      </c>
      <c r="J5524">
        <v>-244.11259999999999</v>
      </c>
      <c r="K5524">
        <v>1.1072770000000001</v>
      </c>
      <c r="L5524">
        <v>-60.612490000000001</v>
      </c>
      <c r="M5524">
        <v>0.99818640000000003</v>
      </c>
      <c r="N5524">
        <v>0</v>
      </c>
      <c r="O5524">
        <v>5.8375629999999998E-2</v>
      </c>
      <c r="P5524">
        <v>0.99967760000000006</v>
      </c>
      <c r="Q5524">
        <v>-1.9956069999999999E-2</v>
      </c>
      <c r="R5524">
        <v>1.571119E-2</v>
      </c>
      <c r="S5524">
        <v>3.0025179999999998</v>
      </c>
      <c r="T5524">
        <v>-0.2137358</v>
      </c>
      <c r="U5524">
        <v>-0.31491089999999999</v>
      </c>
      <c r="V5524">
        <v>4.2648829999999999E-2</v>
      </c>
      <c r="W5524">
        <v>-5.4943700000000002E-3</v>
      </c>
      <c r="X5524">
        <v>0.99907500000000005</v>
      </c>
      <c r="Y5524">
        <v>0.16164419999999999</v>
      </c>
      <c r="Z5524">
        <v>-9.8712179999999993E-3</v>
      </c>
      <c r="AA5524">
        <v>0.98679969999999995</v>
      </c>
      <c r="AB5524">
        <v>35</v>
      </c>
      <c r="AC5524">
        <v>15.2821999999999</v>
      </c>
      <c r="AD5524">
        <v>-1.1072802643790001</v>
      </c>
      <c r="AE5524">
        <v>-1.6462000000000001</v>
      </c>
      <c r="AF5524">
        <v>2.52250584381758</v>
      </c>
      <c r="AG5524">
        <v>-1.1072802643790001</v>
      </c>
      <c r="AH5524">
        <v>15.0817569779873</v>
      </c>
      <c r="AI5524">
        <v>94.141710500915906</v>
      </c>
      <c r="AJ5524">
        <v>80.504858642966795</v>
      </c>
      <c r="AK5524">
        <v>15.331291493512399</v>
      </c>
      <c r="AL5524">
        <v>90.314805801279604</v>
      </c>
      <c r="AM5524">
        <v>87.555623687583406</v>
      </c>
      <c r="AN5524">
        <v>0.99999998321353201</v>
      </c>
    </row>
    <row r="5525" spans="1:40" x14ac:dyDescent="0.25">
      <c r="A5525" t="str">
        <f>"20190312154714020"</f>
        <v>20190312154714020</v>
      </c>
      <c r="B5525" t="str">
        <f>"1552376834013311"</f>
        <v>1552376834013311</v>
      </c>
      <c r="C5525" t="s">
        <v>40</v>
      </c>
      <c r="D5525">
        <v>4.9203299999999999</v>
      </c>
      <c r="E5525">
        <v>0.54633869999999995</v>
      </c>
      <c r="F5525" t="s">
        <v>90</v>
      </c>
      <c r="G5525">
        <v>-228.57230000000001</v>
      </c>
      <c r="H5525" s="1">
        <v>-3.177491E-6</v>
      </c>
      <c r="I5525">
        <v>-62.265720000000002</v>
      </c>
      <c r="J5525">
        <v>-243.9315</v>
      </c>
      <c r="K5525">
        <v>1.1072409999999999</v>
      </c>
      <c r="L5525">
        <v>-60.603090000000002</v>
      </c>
      <c r="M5525">
        <v>0.99826289999999995</v>
      </c>
      <c r="N5525">
        <v>0</v>
      </c>
      <c r="O5525">
        <v>5.7051030000000003E-2</v>
      </c>
      <c r="P5525">
        <v>0.99973460000000003</v>
      </c>
      <c r="Q5525">
        <v>-1.913012E-2</v>
      </c>
      <c r="R5525">
        <v>1.28421E-2</v>
      </c>
      <c r="S5525">
        <v>3.0017399999999999</v>
      </c>
      <c r="T5525">
        <v>-0.21388080000000001</v>
      </c>
      <c r="U5525">
        <v>-0.31933590000000001</v>
      </c>
      <c r="V5525">
        <v>4.4195089999999999E-2</v>
      </c>
      <c r="W5525">
        <v>-4.6817589999999997E-3</v>
      </c>
      <c r="X5525">
        <v>0.99901189999999995</v>
      </c>
      <c r="Y5525">
        <v>0.161802</v>
      </c>
      <c r="Z5525">
        <v>-9.7912869999999992E-3</v>
      </c>
      <c r="AA5525">
        <v>0.9867747</v>
      </c>
      <c r="AB5525">
        <v>35</v>
      </c>
      <c r="AC5525">
        <v>15.3591999999999</v>
      </c>
      <c r="AD5525">
        <v>-1.107244177491</v>
      </c>
      <c r="AE5525">
        <v>-1.6626299999999901</v>
      </c>
      <c r="AF5525">
        <v>2.5233127398832602</v>
      </c>
      <c r="AG5525">
        <v>-1.107244177491</v>
      </c>
      <c r="AH5525">
        <v>15.1614326811785</v>
      </c>
      <c r="AI5525">
        <v>94.120436849733807</v>
      </c>
      <c r="AJ5525">
        <v>80.550888364690607</v>
      </c>
      <c r="AK5525">
        <v>15.409806546409101</v>
      </c>
      <c r="AL5525">
        <v>90.268246024597801</v>
      </c>
      <c r="AM5525">
        <v>87.466954922739205</v>
      </c>
      <c r="AN5525">
        <v>0.99999995059452396</v>
      </c>
    </row>
    <row r="5526" spans="1:40" x14ac:dyDescent="0.25">
      <c r="A5526" t="str">
        <f>"20190312154714032"</f>
        <v>20190312154714032</v>
      </c>
      <c r="B5526" t="str">
        <f>"1552376834024048"</f>
        <v>1552376834024048</v>
      </c>
      <c r="C5526" t="s">
        <v>40</v>
      </c>
      <c r="D5526">
        <v>4.9145190000000003</v>
      </c>
      <c r="E5526">
        <v>0.54607779999999995</v>
      </c>
      <c r="F5526" t="s">
        <v>90</v>
      </c>
      <c r="G5526">
        <v>-228.2158</v>
      </c>
      <c r="H5526" s="1">
        <v>-3.0622769999999999E-6</v>
      </c>
      <c r="I5526">
        <v>-62.311549999999997</v>
      </c>
      <c r="J5526">
        <v>-243.7268</v>
      </c>
      <c r="K5526">
        <v>1.1071949999999999</v>
      </c>
      <c r="L5526">
        <v>-60.592770000000002</v>
      </c>
      <c r="M5526">
        <v>0.99834909999999999</v>
      </c>
      <c r="N5526">
        <v>0</v>
      </c>
      <c r="O5526">
        <v>5.5522500000000002E-2</v>
      </c>
      <c r="P5526">
        <v>0.99976100000000001</v>
      </c>
      <c r="Q5526">
        <v>-1.897998E-2</v>
      </c>
      <c r="R5526">
        <v>1.087399E-2</v>
      </c>
      <c r="S5526">
        <v>3.000931</v>
      </c>
      <c r="T5526">
        <v>-0.21142949999999999</v>
      </c>
      <c r="U5526">
        <v>-0.32623289999999999</v>
      </c>
      <c r="V5526">
        <v>4.463259E-2</v>
      </c>
      <c r="W5526">
        <v>-4.5389469999999998E-3</v>
      </c>
      <c r="X5526">
        <v>0.99899320000000003</v>
      </c>
      <c r="Y5526">
        <v>0.16257530000000001</v>
      </c>
      <c r="Z5526">
        <v>-9.600651E-3</v>
      </c>
      <c r="AA5526">
        <v>0.98664949999999996</v>
      </c>
      <c r="AB5526">
        <v>35</v>
      </c>
      <c r="AC5526">
        <v>15.5109999999999</v>
      </c>
      <c r="AD5526">
        <v>-1.1071980622769999</v>
      </c>
      <c r="AE5526">
        <v>-1.71878</v>
      </c>
      <c r="AF5526">
        <v>2.56452221675291</v>
      </c>
      <c r="AG5526">
        <v>-1.1071980622769999</v>
      </c>
      <c r="AH5526">
        <v>15.314540948948</v>
      </c>
      <c r="AI5526">
        <v>94.078534867367097</v>
      </c>
      <c r="AJ5526">
        <v>80.493642252535196</v>
      </c>
      <c r="AK5526">
        <v>15.5672035454777</v>
      </c>
      <c r="AL5526">
        <v>90.260063388617894</v>
      </c>
      <c r="AM5526">
        <v>87.441864901401004</v>
      </c>
      <c r="AN5526">
        <v>1.0000000418881001</v>
      </c>
    </row>
    <row r="5527" spans="1:40" x14ac:dyDescent="0.25">
      <c r="A5527" t="str">
        <f>"20190312154714045"</f>
        <v>20190312154714045</v>
      </c>
      <c r="B5527" t="str">
        <f>"1552376834033808"</f>
        <v>1552376834033808</v>
      </c>
      <c r="C5527" t="s">
        <v>40</v>
      </c>
      <c r="D5527">
        <v>4.9292160000000003</v>
      </c>
      <c r="E5527">
        <v>0.54588760000000003</v>
      </c>
      <c r="F5527" t="s">
        <v>90</v>
      </c>
      <c r="G5527">
        <v>-228.0823</v>
      </c>
      <c r="H5527" s="1">
        <v>-3.014388E-6</v>
      </c>
      <c r="I5527">
        <v>-62.313279999999999</v>
      </c>
      <c r="J5527">
        <v>-243.5256</v>
      </c>
      <c r="K5527">
        <v>1.107146</v>
      </c>
      <c r="L5527">
        <v>-60.582920000000001</v>
      </c>
      <c r="M5527">
        <v>0.99843280000000001</v>
      </c>
      <c r="N5527">
        <v>0</v>
      </c>
      <c r="O5527">
        <v>5.399756E-2</v>
      </c>
      <c r="P5527">
        <v>0.99977360000000004</v>
      </c>
      <c r="Q5527">
        <v>-1.9000630000000001E-2</v>
      </c>
      <c r="R5527">
        <v>9.5912600000000008E-3</v>
      </c>
      <c r="S5527">
        <v>3.0002900000000001</v>
      </c>
      <c r="T5527">
        <v>-0.21233730000000001</v>
      </c>
      <c r="U5527">
        <v>-0.32995609999999997</v>
      </c>
      <c r="V5527">
        <v>4.4387799999999998E-2</v>
      </c>
      <c r="W5527">
        <v>-4.5627200000000001E-3</v>
      </c>
      <c r="X5527">
        <v>0.99900389999999994</v>
      </c>
      <c r="Y5527">
        <v>0.16230059999999999</v>
      </c>
      <c r="Z5527">
        <v>-9.5260090000000002E-3</v>
      </c>
      <c r="AA5527">
        <v>0.98669530000000005</v>
      </c>
      <c r="AB5527">
        <v>35</v>
      </c>
      <c r="AC5527">
        <v>15.443299999999899</v>
      </c>
      <c r="AD5527">
        <v>-1.1071490143880001</v>
      </c>
      <c r="AE5527">
        <v>-1.7303600000000099</v>
      </c>
      <c r="AF5527">
        <v>2.54888774008757</v>
      </c>
      <c r="AG5527">
        <v>-1.1071490143880001</v>
      </c>
      <c r="AH5527">
        <v>15.2499119444855</v>
      </c>
      <c r="AI5527">
        <v>94.095789748918193</v>
      </c>
      <c r="AJ5527">
        <v>80.5112289816839</v>
      </c>
      <c r="AK5527">
        <v>15.501045834594199</v>
      </c>
      <c r="AL5527">
        <v>90.261425520898698</v>
      </c>
      <c r="AM5527">
        <v>87.455903868225803</v>
      </c>
      <c r="AN5527">
        <v>0.99999994370892198</v>
      </c>
    </row>
    <row r="5528" spans="1:40" x14ac:dyDescent="0.25">
      <c r="A5528" t="str">
        <f>"20190312154714057"</f>
        <v>20190312154714057</v>
      </c>
      <c r="B5528" t="str">
        <f>"1552376834053329"</f>
        <v>1552376834053329</v>
      </c>
      <c r="C5528" t="s">
        <v>40</v>
      </c>
      <c r="D5528">
        <v>4.916506</v>
      </c>
      <c r="E5528">
        <v>0.54555140000000002</v>
      </c>
      <c r="F5528" t="s">
        <v>90</v>
      </c>
      <c r="G5528">
        <v>-227.95830000000001</v>
      </c>
      <c r="H5528" s="1">
        <v>-2.959908E-6</v>
      </c>
      <c r="I5528">
        <v>-62.307380000000002</v>
      </c>
      <c r="J5528">
        <v>-243.33580000000001</v>
      </c>
      <c r="K5528">
        <v>1.1070930000000001</v>
      </c>
      <c r="L5528">
        <v>-60.574069999999899</v>
      </c>
      <c r="M5528">
        <v>0.99851210000000001</v>
      </c>
      <c r="N5528">
        <v>0</v>
      </c>
      <c r="O5528">
        <v>5.2508470000000002E-2</v>
      </c>
      <c r="P5528">
        <v>0.99977539999999998</v>
      </c>
      <c r="Q5528">
        <v>-1.941996E-2</v>
      </c>
      <c r="R5528">
        <v>8.5087700000000006E-3</v>
      </c>
      <c r="S5528">
        <v>2.9998320000000001</v>
      </c>
      <c r="T5528">
        <v>-0.2133486</v>
      </c>
      <c r="U5528">
        <v>-0.33230589999999999</v>
      </c>
      <c r="V5528">
        <v>4.3975960000000001E-2</v>
      </c>
      <c r="W5528">
        <v>-4.9842419999999998E-3</v>
      </c>
      <c r="X5528">
        <v>0.99902020000000002</v>
      </c>
      <c r="Y5528">
        <v>0.16160939999999999</v>
      </c>
      <c r="Z5528">
        <v>-9.4423470000000002E-3</v>
      </c>
      <c r="AA5528">
        <v>0.98680959999999995</v>
      </c>
      <c r="AB5528">
        <v>35</v>
      </c>
      <c r="AC5528">
        <v>15.3774999999999</v>
      </c>
      <c r="AD5528">
        <v>-1.1070959599079999</v>
      </c>
      <c r="AE5528">
        <v>-1.7333100000000099</v>
      </c>
      <c r="AF5528">
        <v>2.5255286163808299</v>
      </c>
      <c r="AG5528">
        <v>-1.1070959599079999</v>
      </c>
      <c r="AH5528">
        <v>15.1875259328583</v>
      </c>
      <c r="AI5528">
        <v>94.112926146813606</v>
      </c>
      <c r="AJ5528">
        <v>80.558695818459597</v>
      </c>
      <c r="AK5528">
        <v>15.435831698287201</v>
      </c>
      <c r="AL5528">
        <v>90.285577200569193</v>
      </c>
      <c r="AM5528">
        <v>87.479519052210904</v>
      </c>
      <c r="AN5528">
        <v>1.0000000438671299</v>
      </c>
    </row>
    <row r="5529" spans="1:40" x14ac:dyDescent="0.25">
      <c r="A5529" t="str">
        <f>"20190312154714069"</f>
        <v>20190312154714069</v>
      </c>
      <c r="B5529" t="str">
        <f>"1552376834064063"</f>
        <v>1552376834064063</v>
      </c>
      <c r="C5529" t="s">
        <v>40</v>
      </c>
      <c r="D5529">
        <v>4.9505589999999904</v>
      </c>
      <c r="E5529">
        <v>0.54538980000000004</v>
      </c>
      <c r="F5529" t="s">
        <v>90</v>
      </c>
      <c r="G5529">
        <v>-227.9573</v>
      </c>
      <c r="H5529" s="1">
        <v>-2.953464E-6</v>
      </c>
      <c r="I5529">
        <v>-62.280410000000003</v>
      </c>
      <c r="J5529">
        <v>-243.14449999999999</v>
      </c>
      <c r="K5529">
        <v>1.107038</v>
      </c>
      <c r="L5529">
        <v>-60.565399999999997</v>
      </c>
      <c r="M5529">
        <v>0.99859149999999997</v>
      </c>
      <c r="N5529">
        <v>0</v>
      </c>
      <c r="O5529">
        <v>5.0976680000000003E-2</v>
      </c>
      <c r="P5529">
        <v>0.99978109999999998</v>
      </c>
      <c r="Q5529">
        <v>-1.9623040000000001E-2</v>
      </c>
      <c r="R5529">
        <v>7.2733019999999997E-3</v>
      </c>
      <c r="S5529">
        <v>2.9993289999999999</v>
      </c>
      <c r="T5529">
        <v>-0.21592059999999999</v>
      </c>
      <c r="U5529">
        <v>-0.33279419999999998</v>
      </c>
      <c r="V5529">
        <v>4.3676060000000003E-2</v>
      </c>
      <c r="W5529">
        <v>-5.1902820000000001E-3</v>
      </c>
      <c r="X5529">
        <v>0.99903229999999998</v>
      </c>
      <c r="Y5529">
        <v>0.16026660000000001</v>
      </c>
      <c r="Z5529">
        <v>-9.3994189999999991E-3</v>
      </c>
      <c r="AA5529">
        <v>0.98702900000000005</v>
      </c>
      <c r="AB5529">
        <v>35</v>
      </c>
      <c r="AC5529">
        <v>15.187199999999899</v>
      </c>
      <c r="AD5529">
        <v>-1.107040953464</v>
      </c>
      <c r="AE5529">
        <v>-1.7150099999999899</v>
      </c>
      <c r="AF5529">
        <v>2.4740763331692301</v>
      </c>
      <c r="AG5529">
        <v>-1.107040953464</v>
      </c>
      <c r="AH5529">
        <v>15.001310788776401</v>
      </c>
      <c r="AI5529">
        <v>94.164509725472001</v>
      </c>
      <c r="AJ5529">
        <v>80.634853458244294</v>
      </c>
      <c r="AK5529">
        <v>15.244209351634201</v>
      </c>
      <c r="AL5529">
        <v>90.297382577335696</v>
      </c>
      <c r="AM5529">
        <v>87.496716152303605</v>
      </c>
      <c r="AN5529">
        <v>1.00000003684382</v>
      </c>
    </row>
    <row r="5530" spans="1:40" x14ac:dyDescent="0.25">
      <c r="A5530" t="str">
        <f>"20190312154714084"</f>
        <v>20190312154714084</v>
      </c>
      <c r="B5530" t="str">
        <f>"1552376834073823"</f>
        <v>1552376834073823</v>
      </c>
      <c r="C5530" t="s">
        <v>40</v>
      </c>
      <c r="D5530">
        <v>4.9446370000000002</v>
      </c>
      <c r="E5530">
        <v>0.54523009999999905</v>
      </c>
      <c r="F5530" t="s">
        <v>90</v>
      </c>
      <c r="G5530">
        <v>-227.80799999999999</v>
      </c>
      <c r="H5530" s="1">
        <v>-2.8892740000000001E-6</v>
      </c>
      <c r="I5530">
        <v>-62.279670000000003</v>
      </c>
      <c r="J5530">
        <v>-242.9014</v>
      </c>
      <c r="K5530">
        <v>1.1069610000000001</v>
      </c>
      <c r="L5530">
        <v>-60.554780000000001</v>
      </c>
      <c r="M5530">
        <v>0.99869110000000005</v>
      </c>
      <c r="N5530">
        <v>0</v>
      </c>
      <c r="O5530">
        <v>4.8982449999999997E-2</v>
      </c>
      <c r="P5530">
        <v>0.99978920000000004</v>
      </c>
      <c r="Q5530">
        <v>-1.9460439999999999E-2</v>
      </c>
      <c r="R5530">
        <v>6.5430749999999998E-3</v>
      </c>
      <c r="S5530">
        <v>2.99884</v>
      </c>
      <c r="T5530">
        <v>-0.21646770000000001</v>
      </c>
      <c r="U5530">
        <v>-0.33520509999999998</v>
      </c>
      <c r="V5530">
        <v>4.2411329999999997E-2</v>
      </c>
      <c r="W5530">
        <v>-5.0252370000000001E-3</v>
      </c>
      <c r="X5530">
        <v>0.99908759999999996</v>
      </c>
      <c r="Y5530">
        <v>0.1591022</v>
      </c>
      <c r="Z5530">
        <v>-9.2390609999999998E-3</v>
      </c>
      <c r="AA5530">
        <v>0.98721890000000001</v>
      </c>
      <c r="AB5530">
        <v>35</v>
      </c>
      <c r="AC5530">
        <v>15.093400000000001</v>
      </c>
      <c r="AD5530">
        <v>-1.1069638892739999</v>
      </c>
      <c r="AE5530">
        <v>-1.7248899999999801</v>
      </c>
      <c r="AF5530">
        <v>2.4492067488550102</v>
      </c>
      <c r="AG5530">
        <v>-1.1069638892739999</v>
      </c>
      <c r="AH5530">
        <v>14.9116061665679</v>
      </c>
      <c r="AI5530">
        <v>94.189634847890403</v>
      </c>
      <c r="AJ5530">
        <v>80.672544773739702</v>
      </c>
      <c r="AK5530">
        <v>15.151896951128499</v>
      </c>
      <c r="AL5530">
        <v>90.287926082074506</v>
      </c>
      <c r="AM5530">
        <v>87.569250015428494</v>
      </c>
      <c r="AN5530">
        <v>1.0000000031965099</v>
      </c>
    </row>
    <row r="5531" spans="1:40" x14ac:dyDescent="0.25">
      <c r="A5531" t="str">
        <f>"20190312154714096"</f>
        <v>20190312154714096</v>
      </c>
      <c r="B5531" t="str">
        <f>"1552376834083584"</f>
        <v>1552376834083584</v>
      </c>
      <c r="C5531" t="s">
        <v>40</v>
      </c>
      <c r="D5531">
        <v>4.9439489999999999</v>
      </c>
      <c r="E5531">
        <v>0.54494379999999998</v>
      </c>
      <c r="F5531" t="s">
        <v>90</v>
      </c>
      <c r="G5531">
        <v>-227.56450000000001</v>
      </c>
      <c r="H5531" s="1">
        <v>-2.7833250000000002E-6</v>
      </c>
      <c r="I5531">
        <v>-62.27299</v>
      </c>
      <c r="J5531">
        <v>-242.72200000000001</v>
      </c>
      <c r="K5531">
        <v>1.1069070000000001</v>
      </c>
      <c r="L5531">
        <v>-60.547420000000002</v>
      </c>
      <c r="M5531">
        <v>0.99876509999999996</v>
      </c>
      <c r="N5531">
        <v>0</v>
      </c>
      <c r="O5531">
        <v>4.7452910000000001E-2</v>
      </c>
      <c r="P5531">
        <v>0.99979929999999995</v>
      </c>
      <c r="Q5531">
        <v>-1.920676E-2</v>
      </c>
      <c r="R5531">
        <v>5.7362979999999999E-3</v>
      </c>
      <c r="S5531">
        <v>2.9986109999999999</v>
      </c>
      <c r="T5531">
        <v>-0.21642939999999999</v>
      </c>
      <c r="U5531">
        <v>-0.3359375</v>
      </c>
      <c r="V5531">
        <v>4.1688620000000003E-2</v>
      </c>
      <c r="W5531">
        <v>-4.7708940000000003E-3</v>
      </c>
      <c r="X5531">
        <v>0.99911930000000004</v>
      </c>
      <c r="Y5531">
        <v>0.15784400000000001</v>
      </c>
      <c r="Z5531">
        <v>-9.0828249999999992E-3</v>
      </c>
      <c r="AA5531">
        <v>0.98742229999999998</v>
      </c>
      <c r="AB5531">
        <v>35</v>
      </c>
      <c r="AC5531">
        <v>15.157500000000001</v>
      </c>
      <c r="AD5531">
        <v>-1.1069097833249999</v>
      </c>
      <c r="AE5531">
        <v>-1.72557</v>
      </c>
      <c r="AF5531">
        <v>2.4301767891808499</v>
      </c>
      <c r="AG5531">
        <v>-1.1069097833249999</v>
      </c>
      <c r="AH5531">
        <v>14.979664789752</v>
      </c>
      <c r="AI5531">
        <v>94.171796598850193</v>
      </c>
      <c r="AJ5531">
        <v>80.785090227772301</v>
      </c>
      <c r="AK5531">
        <v>15.2158261592472</v>
      </c>
      <c r="AL5531">
        <v>90.273353117021102</v>
      </c>
      <c r="AM5531">
        <v>87.6106984949853</v>
      </c>
      <c r="AN5531">
        <v>1.0000000390497701</v>
      </c>
    </row>
    <row r="5532" spans="1:40" x14ac:dyDescent="0.25">
      <c r="A5532" t="str">
        <f>"20190312154714108"</f>
        <v>20190312154714108</v>
      </c>
      <c r="B5532" t="str">
        <f>"1552376834104079"</f>
        <v>1552376834104079</v>
      </c>
      <c r="C5532" t="s">
        <v>40</v>
      </c>
      <c r="D5532">
        <v>5.07613</v>
      </c>
      <c r="E5532">
        <v>0.54276749999999996</v>
      </c>
      <c r="F5532" t="s">
        <v>90</v>
      </c>
      <c r="G5532">
        <v>-227.428</v>
      </c>
      <c r="H5532" s="1">
        <v>-2.7220930000000002E-6</v>
      </c>
      <c r="I5532">
        <v>-62.261130000000001</v>
      </c>
      <c r="J5532">
        <v>-242.54079999999999</v>
      </c>
      <c r="K5532">
        <v>1.106851</v>
      </c>
      <c r="L5532">
        <v>-60.540190000000003</v>
      </c>
      <c r="M5532">
        <v>0.99883829999999996</v>
      </c>
      <c r="N5532">
        <v>0</v>
      </c>
      <c r="O5532">
        <v>4.5884679999999997E-2</v>
      </c>
      <c r="P5532">
        <v>0.99981140000000002</v>
      </c>
      <c r="Q5532">
        <v>-1.8797959999999999E-2</v>
      </c>
      <c r="R5532">
        <v>4.8886820000000001E-3</v>
      </c>
      <c r="S5532">
        <v>2.998367</v>
      </c>
      <c r="T5532">
        <v>-0.2170078</v>
      </c>
      <c r="U5532">
        <v>-0.33596799999999999</v>
      </c>
      <c r="V5532">
        <v>4.096955E-2</v>
      </c>
      <c r="W5532">
        <v>-4.3613280000000003E-3</v>
      </c>
      <c r="X5532">
        <v>0.99915089999999995</v>
      </c>
      <c r="Y5532">
        <v>0.1563174</v>
      </c>
      <c r="Z5532">
        <v>-8.9396979999999994E-3</v>
      </c>
      <c r="AA5532">
        <v>0.98766640000000006</v>
      </c>
      <c r="AB5532">
        <v>35</v>
      </c>
      <c r="AC5532">
        <v>15.112799999999901</v>
      </c>
      <c r="AD5532">
        <v>-1.1068537220929999</v>
      </c>
      <c r="AE5532">
        <v>-1.7209399999999899</v>
      </c>
      <c r="AF5532">
        <v>2.3999395984902301</v>
      </c>
      <c r="AG5532">
        <v>-1.1068537220929999</v>
      </c>
      <c r="AH5532">
        <v>14.9387992770189</v>
      </c>
      <c r="AI5532">
        <v>94.183993597019096</v>
      </c>
      <c r="AJ5532">
        <v>80.873333747448399</v>
      </c>
      <c r="AK5532">
        <v>15.1707797781648</v>
      </c>
      <c r="AL5532">
        <v>90.249886473895899</v>
      </c>
      <c r="AM5532">
        <v>87.6519382283456</v>
      </c>
      <c r="AN5532">
        <v>1.0000000230899599</v>
      </c>
    </row>
    <row r="5533" spans="1:40" x14ac:dyDescent="0.25">
      <c r="A5533" t="str">
        <f>"20190312154714118"</f>
        <v>20190312154714118</v>
      </c>
      <c r="B5533" t="str">
        <f>"1552376834113840"</f>
        <v>1552376834113840</v>
      </c>
      <c r="C5533" t="s">
        <v>40</v>
      </c>
      <c r="D5533">
        <v>5.1253869999999999</v>
      </c>
      <c r="E5533">
        <v>0.54276749999999996</v>
      </c>
      <c r="F5533" t="s">
        <v>41</v>
      </c>
      <c r="G5533">
        <v>-241.55260000000001</v>
      </c>
      <c r="H5533">
        <v>1.035188</v>
      </c>
      <c r="I5533">
        <v>-60.646160000000002</v>
      </c>
      <c r="J5533">
        <v>-242.37190000000001</v>
      </c>
      <c r="K5533">
        <v>1.106808</v>
      </c>
      <c r="L5533">
        <v>-60.53378</v>
      </c>
      <c r="M5533">
        <v>0.99890579999999995</v>
      </c>
      <c r="N5533">
        <v>0</v>
      </c>
      <c r="O5533">
        <v>4.4388780000000003E-2</v>
      </c>
      <c r="P5533">
        <v>0.99982150000000003</v>
      </c>
      <c r="Q5533">
        <v>-1.8426850000000002E-2</v>
      </c>
      <c r="R5533">
        <v>4.1720680000000001E-3</v>
      </c>
      <c r="S5533">
        <v>2.9980470000000001</v>
      </c>
      <c r="T5533">
        <v>-0.21728600000000001</v>
      </c>
      <c r="U5533">
        <v>-0.32104490000000002</v>
      </c>
      <c r="V5533">
        <v>4.0191709999999999E-2</v>
      </c>
      <c r="W5533">
        <v>-3.9884810000000003E-3</v>
      </c>
      <c r="X5533">
        <v>0.99918399999999996</v>
      </c>
      <c r="Y5533">
        <v>0.15000749999999999</v>
      </c>
      <c r="Z5533">
        <v>-8.6186579999999995E-3</v>
      </c>
      <c r="AA5533">
        <v>0.98864730000000001</v>
      </c>
      <c r="AB5533">
        <v>35</v>
      </c>
      <c r="AC5533">
        <v>0.81929999999999803</v>
      </c>
      <c r="AD5533">
        <v>-7.1620000000000003E-2</v>
      </c>
      <c r="AE5533">
        <v>-0.112379999999987</v>
      </c>
      <c r="AF5533">
        <v>0.14753430327757799</v>
      </c>
      <c r="AG5533">
        <v>-7.1620000000000003E-2</v>
      </c>
      <c r="AH5533">
        <v>0.80744709453529795</v>
      </c>
      <c r="AI5533">
        <v>94.986699055551398</v>
      </c>
      <c r="AJ5533">
        <v>79.645311406407004</v>
      </c>
      <c r="AK5533">
        <v>0.82393361717864999</v>
      </c>
      <c r="AL5533">
        <v>90.228523739874106</v>
      </c>
      <c r="AM5533">
        <v>87.696545817742503</v>
      </c>
      <c r="AN5533">
        <v>0.99999997369470495</v>
      </c>
    </row>
    <row r="5534" spans="1:40" x14ac:dyDescent="0.25">
      <c r="A5534" t="str">
        <f>"20190312154714130"</f>
        <v>20190312154714130</v>
      </c>
      <c r="B5534" t="str">
        <f>"1552376834123600"</f>
        <v>1552376834123600</v>
      </c>
      <c r="C5534" t="s">
        <v>40</v>
      </c>
      <c r="D5534">
        <v>5.1012420000000001</v>
      </c>
      <c r="E5534">
        <v>0.45835490000000001</v>
      </c>
      <c r="F5534" t="s">
        <v>90</v>
      </c>
      <c r="G5534">
        <v>-227.03059999999999</v>
      </c>
      <c r="H5534" s="1">
        <v>-2.5352529999999999E-6</v>
      </c>
      <c r="I5534">
        <v>-62.187460000000002</v>
      </c>
      <c r="J5534">
        <v>-242.1951</v>
      </c>
      <c r="K5534">
        <v>1.10676</v>
      </c>
      <c r="L5534">
        <v>-60.5274</v>
      </c>
      <c r="M5534">
        <v>0.99897559999999996</v>
      </c>
      <c r="N5534">
        <v>0</v>
      </c>
      <c r="O5534">
        <v>4.2789430000000003E-2</v>
      </c>
      <c r="P5534">
        <v>0.99983840000000002</v>
      </c>
      <c r="Q5534">
        <v>-1.7660769999999999E-2</v>
      </c>
      <c r="R5534">
        <v>3.3640100000000002E-3</v>
      </c>
      <c r="S5534">
        <v>2.9978940000000001</v>
      </c>
      <c r="T5534">
        <v>-0.2162859</v>
      </c>
      <c r="U5534">
        <v>-0.32315060000000001</v>
      </c>
      <c r="V5534">
        <v>3.940507E-2</v>
      </c>
      <c r="W5534">
        <v>-3.2203800000000001E-3</v>
      </c>
      <c r="X5534">
        <v>0.9992181</v>
      </c>
      <c r="Y5534">
        <v>0.1491275</v>
      </c>
      <c r="Z5534">
        <v>-8.4326379999999992E-3</v>
      </c>
      <c r="AA5534">
        <v>0.98878200000000005</v>
      </c>
      <c r="AB5534">
        <v>35</v>
      </c>
      <c r="AC5534">
        <v>15.1645</v>
      </c>
      <c r="AD5534">
        <v>-1.1067625352529999</v>
      </c>
      <c r="AE5534">
        <v>-1.6600599999999901</v>
      </c>
      <c r="AF5534">
        <v>2.2954079025704299</v>
      </c>
      <c r="AG5534">
        <v>-1.1067625352529999</v>
      </c>
      <c r="AH5534">
        <v>15.000610750616801</v>
      </c>
      <c r="AI5534">
        <v>94.171323882727194</v>
      </c>
      <c r="AJ5534">
        <v>81.300030231064397</v>
      </c>
      <c r="AK5534">
        <v>15.215523114245601</v>
      </c>
      <c r="AL5534">
        <v>90.184514506731205</v>
      </c>
      <c r="AM5534">
        <v>87.741659317609205</v>
      </c>
      <c r="AN5534">
        <v>0.99999997087832904</v>
      </c>
    </row>
    <row r="5535" spans="1:40" x14ac:dyDescent="0.25">
      <c r="A5535" t="str">
        <f>"20190312154714141"</f>
        <v>20190312154714141</v>
      </c>
      <c r="B5535" t="str">
        <f>"1552376834133360"</f>
        <v>1552376834133360</v>
      </c>
      <c r="C5535" t="s">
        <v>40</v>
      </c>
      <c r="D5535">
        <v>5.0034859999999997</v>
      </c>
      <c r="E5535">
        <v>0.44964569999999998</v>
      </c>
      <c r="F5535" t="s">
        <v>90</v>
      </c>
      <c r="G5535">
        <v>-226.98390000000001</v>
      </c>
      <c r="H5535" s="1">
        <v>-2.4733110000000002E-6</v>
      </c>
      <c r="I5535">
        <v>-58.759039999999999</v>
      </c>
      <c r="J5535">
        <v>-242.01830000000001</v>
      </c>
      <c r="K5535">
        <v>1.1067119999999999</v>
      </c>
      <c r="L5535">
        <v>-60.521239999999999</v>
      </c>
      <c r="M5535">
        <v>0.99904389999999998</v>
      </c>
      <c r="N5535">
        <v>0</v>
      </c>
      <c r="O5535">
        <v>4.1164449999999998E-2</v>
      </c>
      <c r="P5535">
        <v>0.99985219999999997</v>
      </c>
      <c r="Q5535">
        <v>-1.698179E-2</v>
      </c>
      <c r="R5535">
        <v>2.695125E-3</v>
      </c>
      <c r="S5535">
        <v>2.9954830000000001</v>
      </c>
      <c r="T5535">
        <v>-0.21795</v>
      </c>
      <c r="U5535">
        <v>0.34823609999999999</v>
      </c>
      <c r="V5535">
        <v>3.8453180000000003E-2</v>
      </c>
      <c r="W5535">
        <v>-2.5379199999999999E-3</v>
      </c>
      <c r="X5535">
        <v>0.99925719999999996</v>
      </c>
      <c r="Y5535">
        <v>-7.4398000000000006E-2</v>
      </c>
      <c r="Z5535">
        <v>-2.8509789999999998E-4</v>
      </c>
      <c r="AA5535">
        <v>0.99722860000000002</v>
      </c>
      <c r="AB5535">
        <v>35</v>
      </c>
      <c r="AC5535">
        <v>15.0344</v>
      </c>
      <c r="AD5535">
        <v>-1.1067144733109999</v>
      </c>
      <c r="AE5535">
        <v>1.7622</v>
      </c>
      <c r="AF5535">
        <v>-1.1356855183579599</v>
      </c>
      <c r="AG5535">
        <v>-1.1067144733109999</v>
      </c>
      <c r="AH5535">
        <v>15.013947475056</v>
      </c>
      <c r="AI5535">
        <v>94.203820201144296</v>
      </c>
      <c r="AJ5535">
        <v>94.325731621287005</v>
      </c>
      <c r="AK5535">
        <v>15.0974573126002</v>
      </c>
      <c r="AL5535">
        <v>90.145412257946305</v>
      </c>
      <c r="AM5535">
        <v>87.796244698306595</v>
      </c>
      <c r="AN5535">
        <v>1.00000001992093</v>
      </c>
    </row>
    <row r="5536" spans="1:40" x14ac:dyDescent="0.25">
      <c r="A5536" t="str">
        <f>"20190312154714151"</f>
        <v>20190312154714151</v>
      </c>
      <c r="B5536" t="str">
        <f>"1552376834144095"</f>
        <v>1552376834144095</v>
      </c>
      <c r="C5536" t="s">
        <v>40</v>
      </c>
      <c r="D5536">
        <v>4.951085</v>
      </c>
      <c r="E5536">
        <v>0.44367610000000002</v>
      </c>
      <c r="F5536" t="s">
        <v>90</v>
      </c>
      <c r="G5536">
        <v>-224.0487</v>
      </c>
      <c r="H5536" s="1">
        <v>-1.3743750000000001E-6</v>
      </c>
      <c r="I5536">
        <v>-58.034260000000003</v>
      </c>
      <c r="J5536">
        <v>-241.85480000000001</v>
      </c>
      <c r="K5536">
        <v>1.1066739999999999</v>
      </c>
      <c r="L5536">
        <v>-60.51596</v>
      </c>
      <c r="M5536">
        <v>0.9991061</v>
      </c>
      <c r="N5536">
        <v>0</v>
      </c>
      <c r="O5536">
        <v>3.9624590000000001E-2</v>
      </c>
      <c r="P5536">
        <v>0.99986790000000003</v>
      </c>
      <c r="Q5536">
        <v>-1.6167109999999998E-2</v>
      </c>
      <c r="R5536">
        <v>1.742431E-3</v>
      </c>
      <c r="S5536">
        <v>2.9962010000000001</v>
      </c>
      <c r="T5536">
        <v>-0.18453069999999999</v>
      </c>
      <c r="U5536">
        <v>0.41467290000000001</v>
      </c>
      <c r="V5536">
        <v>3.787128E-2</v>
      </c>
      <c r="W5536">
        <v>-1.7218470000000001E-3</v>
      </c>
      <c r="X5536">
        <v>0.99928119999999998</v>
      </c>
      <c r="Y5536">
        <v>-9.7622710000000001E-2</v>
      </c>
      <c r="Z5536">
        <v>5.6445370000000005E-4</v>
      </c>
      <c r="AA5536">
        <v>0.99522330000000003</v>
      </c>
      <c r="AB5536">
        <v>35</v>
      </c>
      <c r="AC5536">
        <v>17.806100000000001</v>
      </c>
      <c r="AD5536">
        <v>-1.106675374375</v>
      </c>
      <c r="AE5536">
        <v>2.4817</v>
      </c>
      <c r="AF5536">
        <v>-1.76741750368183</v>
      </c>
      <c r="AG5536">
        <v>-1.106675374375</v>
      </c>
      <c r="AH5536">
        <v>17.822925094923502</v>
      </c>
      <c r="AI5536">
        <v>93.535795629837693</v>
      </c>
      <c r="AJ5536">
        <v>95.663243657840795</v>
      </c>
      <c r="AK5536">
        <v>17.9445020537161</v>
      </c>
      <c r="AL5536">
        <v>90.098654609128701</v>
      </c>
      <c r="AM5536">
        <v>87.829613380291605</v>
      </c>
      <c r="AN5536">
        <v>1.0000000576396799</v>
      </c>
    </row>
    <row r="5537" spans="1:40" x14ac:dyDescent="0.25">
      <c r="A5537" t="str">
        <f>"20190312154714162"</f>
        <v>20190312154714162</v>
      </c>
      <c r="B5537" t="str">
        <f>"1552376834153856"</f>
        <v>1552376834153856</v>
      </c>
      <c r="C5537" t="s">
        <v>40</v>
      </c>
      <c r="D5537">
        <v>5.0032360000000002</v>
      </c>
      <c r="E5537">
        <v>0.44040649999999998</v>
      </c>
      <c r="F5537" t="s">
        <v>90</v>
      </c>
      <c r="G5537">
        <v>-221.09829999999999</v>
      </c>
      <c r="H5537" s="1">
        <v>-4.3874459999999998E-7</v>
      </c>
      <c r="I5537">
        <v>-57.339060000000003</v>
      </c>
      <c r="J5537">
        <v>-241.6756</v>
      </c>
      <c r="K5537">
        <v>1.1066279999999999</v>
      </c>
      <c r="L5537">
        <v>-60.510249999999999</v>
      </c>
      <c r="M5537">
        <v>0.99917230000000001</v>
      </c>
      <c r="N5537">
        <v>0</v>
      </c>
      <c r="O5537">
        <v>3.7924600000000003E-2</v>
      </c>
      <c r="P5537">
        <v>0.9998764</v>
      </c>
      <c r="Q5537">
        <v>-1.5726540000000001E-2</v>
      </c>
      <c r="R5537">
        <v>5.6225199999999996E-4</v>
      </c>
      <c r="S5537">
        <v>2.9970089999999998</v>
      </c>
      <c r="T5537">
        <v>-0.15979179999999901</v>
      </c>
      <c r="U5537">
        <v>0.4587097</v>
      </c>
      <c r="V5537">
        <v>3.7353879999999999E-2</v>
      </c>
      <c r="W5537">
        <v>-1.2807109999999999E-3</v>
      </c>
      <c r="X5537">
        <v>0.99930129999999995</v>
      </c>
      <c r="Y5537">
        <v>-0.1135881</v>
      </c>
      <c r="Z5537">
        <v>1.001135E-3</v>
      </c>
      <c r="AA5537">
        <v>0.99352739999999995</v>
      </c>
      <c r="AB5537">
        <v>35</v>
      </c>
      <c r="AC5537">
        <v>20.577300000000001</v>
      </c>
      <c r="AD5537">
        <v>-1.1066284387445999</v>
      </c>
      <c r="AE5537">
        <v>3.1711900000000002</v>
      </c>
      <c r="AF5537">
        <v>-2.3817092727613498</v>
      </c>
      <c r="AG5537">
        <v>-1.1066284387445999</v>
      </c>
      <c r="AH5537">
        <v>20.6245065235304</v>
      </c>
      <c r="AI5537">
        <v>93.051079153281293</v>
      </c>
      <c r="AJ5537">
        <v>96.587313965618506</v>
      </c>
      <c r="AK5537">
        <v>20.791042179278701</v>
      </c>
      <c r="AL5537">
        <v>90.073379353640405</v>
      </c>
      <c r="AM5537">
        <v>87.859280589499505</v>
      </c>
      <c r="AN5537">
        <v>1.0000000203767001</v>
      </c>
    </row>
    <row r="5538" spans="1:40" x14ac:dyDescent="0.25">
      <c r="A5538" t="str">
        <f>"20190312154714175"</f>
        <v>20190312154714175</v>
      </c>
      <c r="B5538" t="str">
        <f>"1552376834163617"</f>
        <v>1552376834163617</v>
      </c>
      <c r="C5538" t="s">
        <v>40</v>
      </c>
      <c r="D5538">
        <v>5.0044110000000002</v>
      </c>
      <c r="E5538">
        <v>0.43830560000000002</v>
      </c>
      <c r="F5538" t="s">
        <v>89</v>
      </c>
      <c r="G5538">
        <v>-219.9247</v>
      </c>
      <c r="H5538" s="1">
        <v>-3.8234079999999999E-6</v>
      </c>
      <c r="I5538">
        <v>-57.019550000000002</v>
      </c>
      <c r="J5538">
        <v>-241.49549999999999</v>
      </c>
      <c r="K5538">
        <v>1.106587</v>
      </c>
      <c r="L5538">
        <v>-60.505099999999999</v>
      </c>
      <c r="M5538">
        <v>0.99923709999999999</v>
      </c>
      <c r="N5538">
        <v>0</v>
      </c>
      <c r="O5538">
        <v>3.6174459999999999E-2</v>
      </c>
      <c r="P5538">
        <v>0.9998882</v>
      </c>
      <c r="Q5538">
        <v>-1.4938299999999899E-2</v>
      </c>
      <c r="R5538">
        <v>-7.4996779999999999E-4</v>
      </c>
      <c r="S5538">
        <v>2.9977109999999998</v>
      </c>
      <c r="T5538">
        <v>-0.1525156</v>
      </c>
      <c r="U5538">
        <v>0.48107909999999998</v>
      </c>
      <c r="V5538">
        <v>3.6921210000000003E-2</v>
      </c>
      <c r="W5538">
        <v>-4.9191999999999997E-4</v>
      </c>
      <c r="X5538">
        <v>0.99931809999999999</v>
      </c>
      <c r="Y5538">
        <v>-0.1225209</v>
      </c>
      <c r="Z5538">
        <v>1.2688070000000001E-3</v>
      </c>
      <c r="AA5538">
        <v>0.99246509999999999</v>
      </c>
      <c r="AB5538">
        <v>35</v>
      </c>
      <c r="AC5538">
        <v>21.570799999999899</v>
      </c>
      <c r="AD5538">
        <v>-1.106590823408</v>
      </c>
      <c r="AE5538">
        <v>3.4855499999999902</v>
      </c>
      <c r="AF5538">
        <v>-2.6959571075853899</v>
      </c>
      <c r="AG5538">
        <v>-1.106590823408</v>
      </c>
      <c r="AH5538">
        <v>21.627311208199199</v>
      </c>
      <c r="AI5538">
        <v>92.906605574276796</v>
      </c>
      <c r="AJ5538">
        <v>97.105564663091499</v>
      </c>
      <c r="AK5538">
        <v>21.822770632362101</v>
      </c>
      <c r="AL5538">
        <v>90.028184939829003</v>
      </c>
      <c r="AM5538">
        <v>87.884089411814898</v>
      </c>
      <c r="AN5538">
        <v>1.00000004136037</v>
      </c>
    </row>
    <row r="5539" spans="1:40" x14ac:dyDescent="0.25">
      <c r="A5539" t="str">
        <f>"20190312154714186"</f>
        <v>20190312154714186</v>
      </c>
      <c r="B5539" t="str">
        <f>"1552376834183136"</f>
        <v>1552376834183136</v>
      </c>
      <c r="C5539" t="s">
        <v>40</v>
      </c>
      <c r="D5539">
        <v>4.9961129999999896</v>
      </c>
      <c r="E5539">
        <v>0.4350986</v>
      </c>
      <c r="F5539" t="s">
        <v>89</v>
      </c>
      <c r="G5539">
        <v>-219.1996</v>
      </c>
      <c r="H5539" s="1">
        <v>-3.5455889999999999E-6</v>
      </c>
      <c r="I5539">
        <v>-56.83231</v>
      </c>
      <c r="J5539">
        <v>-241.321</v>
      </c>
      <c r="K5539">
        <v>1.106552</v>
      </c>
      <c r="L5539">
        <v>-60.500269999999901</v>
      </c>
      <c r="M5539">
        <v>0.9992972</v>
      </c>
      <c r="N5539">
        <v>0</v>
      </c>
      <c r="O5539">
        <v>3.4471559999999998E-2</v>
      </c>
      <c r="P5539">
        <v>0.99989740000000005</v>
      </c>
      <c r="Q5539">
        <v>-1.4150640000000001E-2</v>
      </c>
      <c r="R5539">
        <v>-2.2224509999999999E-3</v>
      </c>
      <c r="S5539">
        <v>2.998459</v>
      </c>
      <c r="T5539">
        <v>-0.148819799999999</v>
      </c>
      <c r="U5539">
        <v>0.493927</v>
      </c>
      <c r="V5539">
        <v>3.6696050000000001E-2</v>
      </c>
      <c r="W5539">
        <v>2.9451050000000001E-4</v>
      </c>
      <c r="X5539">
        <v>0.99932639999999995</v>
      </c>
      <c r="Y5539">
        <v>-0.1283107</v>
      </c>
      <c r="Z5539">
        <v>1.46379E-3</v>
      </c>
      <c r="AA5539">
        <v>0.99173299999999998</v>
      </c>
      <c r="AB5539">
        <v>35</v>
      </c>
      <c r="AC5539">
        <v>22.121399999999898</v>
      </c>
      <c r="AD5539">
        <v>-1.1065555455889999</v>
      </c>
      <c r="AE5539">
        <v>3.6679599999999901</v>
      </c>
      <c r="AF5539">
        <v>-2.8960850622906702</v>
      </c>
      <c r="AG5539">
        <v>-1.1065555455889999</v>
      </c>
      <c r="AH5539">
        <v>22.180688585684901</v>
      </c>
      <c r="AI5539">
        <v>92.832019423106104</v>
      </c>
      <c r="AJ5539">
        <v>97.438905115718896</v>
      </c>
      <c r="AK5539">
        <v>22.396310410391902</v>
      </c>
      <c r="AL5539">
        <v>89.983125790582207</v>
      </c>
      <c r="AM5539">
        <v>87.896998892676393</v>
      </c>
      <c r="AN5539">
        <v>0.99999997027949805</v>
      </c>
    </row>
    <row r="5540" spans="1:40" x14ac:dyDescent="0.25">
      <c r="A5540" t="str">
        <f>"20190312154714196"</f>
        <v>20190312154714196</v>
      </c>
      <c r="B5540" t="str">
        <f>"1552376834193872"</f>
        <v>1552376834193872</v>
      </c>
      <c r="C5540" t="s">
        <v>40</v>
      </c>
      <c r="D5540">
        <v>4.9496159999999998</v>
      </c>
      <c r="E5540">
        <v>0.43447400000000003</v>
      </c>
      <c r="F5540" t="s">
        <v>89</v>
      </c>
      <c r="G5540">
        <v>-218.24199999999999</v>
      </c>
      <c r="H5540" s="1">
        <v>-3.1871229999999999E-6</v>
      </c>
      <c r="I5540">
        <v>-56.537179999999999</v>
      </c>
      <c r="J5540">
        <v>-241.15530000000001</v>
      </c>
      <c r="K5540">
        <v>1.1065229999999999</v>
      </c>
      <c r="L5540">
        <v>-60.49606</v>
      </c>
      <c r="M5540">
        <v>0.99935249999999998</v>
      </c>
      <c r="N5540">
        <v>0</v>
      </c>
      <c r="O5540">
        <v>3.2831810000000003E-2</v>
      </c>
      <c r="P5540">
        <v>0.99989779999999995</v>
      </c>
      <c r="Q5540">
        <v>-1.3734649999999999E-2</v>
      </c>
      <c r="R5540">
        <v>-4.0158520000000003E-3</v>
      </c>
      <c r="S5540">
        <v>2.9994049999999999</v>
      </c>
      <c r="T5540">
        <v>-0.14381050000000001</v>
      </c>
      <c r="U5540">
        <v>0.51504519999999998</v>
      </c>
      <c r="V5540">
        <v>3.6851979999999999E-2</v>
      </c>
      <c r="W5540">
        <v>7.0697459999999996E-4</v>
      </c>
      <c r="X5540">
        <v>0.99932049999999994</v>
      </c>
      <c r="Y5540">
        <v>-0.13667009999999999</v>
      </c>
      <c r="Z5540">
        <v>1.690067E-3</v>
      </c>
      <c r="AA5540">
        <v>0.99061520000000003</v>
      </c>
      <c r="AB5540">
        <v>35</v>
      </c>
      <c r="AC5540">
        <v>22.9132999999999</v>
      </c>
      <c r="AD5540">
        <v>-1.1065261871230001</v>
      </c>
      <c r="AE5540">
        <v>3.95887999999999</v>
      </c>
      <c r="AF5540">
        <v>-3.19713871233547</v>
      </c>
      <c r="AG5540">
        <v>-1.1065261871230001</v>
      </c>
      <c r="AH5540">
        <v>22.9788999809074</v>
      </c>
      <c r="AI5540">
        <v>92.730629043744599</v>
      </c>
      <c r="AJ5540">
        <v>97.920921808053095</v>
      </c>
      <c r="AK5540">
        <v>23.226621374647902</v>
      </c>
      <c r="AL5540">
        <v>89.959493336429603</v>
      </c>
      <c r="AM5540">
        <v>87.888058372097504</v>
      </c>
      <c r="AN5540">
        <v>1.0000000149816199</v>
      </c>
    </row>
    <row r="5541" spans="1:40" x14ac:dyDescent="0.25">
      <c r="A5541" t="str">
        <f>"20190312154714208"</f>
        <v>20190312154714208</v>
      </c>
      <c r="B5541" t="str">
        <f>"1552376834203633"</f>
        <v>1552376834203633</v>
      </c>
      <c r="C5541" t="s">
        <v>40</v>
      </c>
      <c r="D5541">
        <v>4.9523089999999996</v>
      </c>
      <c r="E5541">
        <v>0.43364629999999998</v>
      </c>
      <c r="F5541" t="s">
        <v>89</v>
      </c>
      <c r="G5541">
        <v>-218.17609999999999</v>
      </c>
      <c r="H5541" s="1">
        <v>-3.1558899999999999E-6</v>
      </c>
      <c r="I5541">
        <v>-56.553730000000002</v>
      </c>
      <c r="J5541">
        <v>-240.97800000000001</v>
      </c>
      <c r="K5541">
        <v>1.106492</v>
      </c>
      <c r="L5541">
        <v>-60.491790000000002</v>
      </c>
      <c r="M5541">
        <v>0.99940879999999999</v>
      </c>
      <c r="N5541">
        <v>0</v>
      </c>
      <c r="O5541">
        <v>3.1068109999999999E-2</v>
      </c>
      <c r="P5541">
        <v>0.99990009999999996</v>
      </c>
      <c r="Q5541">
        <v>-1.2921810000000001E-2</v>
      </c>
      <c r="R5541">
        <v>-5.7474369999999898E-3</v>
      </c>
      <c r="S5541">
        <v>3.000397</v>
      </c>
      <c r="T5541">
        <v>-0.14447860000000001</v>
      </c>
      <c r="U5541">
        <v>0.51473999999999998</v>
      </c>
      <c r="V5541">
        <v>3.6825419999999998E-2</v>
      </c>
      <c r="W5541">
        <v>1.5175970000000001E-3</v>
      </c>
      <c r="X5541">
        <v>0.9993206</v>
      </c>
      <c r="Y5541">
        <v>-0.13826089999999999</v>
      </c>
      <c r="Z5541">
        <v>1.819497E-3</v>
      </c>
      <c r="AA5541">
        <v>0.9903942</v>
      </c>
      <c r="AB5541">
        <v>35</v>
      </c>
      <c r="AC5541">
        <v>22.8018999999999</v>
      </c>
      <c r="AD5541">
        <v>-1.10649515589</v>
      </c>
      <c r="AE5541">
        <v>3.9380599999999899</v>
      </c>
      <c r="AF5541">
        <v>-3.2203062290436701</v>
      </c>
      <c r="AG5541">
        <v>-1.10649515589</v>
      </c>
      <c r="AH5541">
        <v>22.860977627430699</v>
      </c>
      <c r="AI5541">
        <v>92.743964638748096</v>
      </c>
      <c r="AJ5541">
        <v>98.018199507690298</v>
      </c>
      <c r="AK5541">
        <v>23.113178098667301</v>
      </c>
      <c r="AL5541">
        <v>89.913048066836495</v>
      </c>
      <c r="AM5541">
        <v>87.889579327151907</v>
      </c>
      <c r="AN5541">
        <v>1.0000000381215901</v>
      </c>
    </row>
    <row r="5542" spans="1:40" x14ac:dyDescent="0.25">
      <c r="A5542" t="str">
        <f>"20190312154714219"</f>
        <v>20190312154714219</v>
      </c>
      <c r="B5542" t="str">
        <f>"1552376834213392"</f>
        <v>1552376834213392</v>
      </c>
      <c r="C5542" t="s">
        <v>40</v>
      </c>
      <c r="D5542">
        <v>5.2555880000000004</v>
      </c>
      <c r="E5542">
        <v>0.43308530000000001</v>
      </c>
      <c r="F5542" t="s">
        <v>89</v>
      </c>
      <c r="G5542">
        <v>-218.31209999999999</v>
      </c>
      <c r="H5542" s="1">
        <v>-3.2074599999999999E-6</v>
      </c>
      <c r="I5542">
        <v>-56.592080000000003</v>
      </c>
      <c r="J5542">
        <v>-240.8031</v>
      </c>
      <c r="K5542">
        <v>1.1064689999999999</v>
      </c>
      <c r="L5542">
        <v>-60.487949999999998</v>
      </c>
      <c r="M5542">
        <v>0.99946170000000001</v>
      </c>
      <c r="N5542">
        <v>0</v>
      </c>
      <c r="O5542">
        <v>2.931653E-2</v>
      </c>
      <c r="P5542">
        <v>0.99988560000000004</v>
      </c>
      <c r="Q5542">
        <v>-1.2886160000000001E-2</v>
      </c>
      <c r="R5542">
        <v>-7.9316219999999993E-3</v>
      </c>
      <c r="S5542">
        <v>3.0013890000000001</v>
      </c>
      <c r="T5542">
        <v>-0.14652089999999901</v>
      </c>
      <c r="U5542">
        <v>0.51638790000000001</v>
      </c>
      <c r="V5542">
        <v>3.7257369999999998E-2</v>
      </c>
      <c r="W5542">
        <v>1.547161E-3</v>
      </c>
      <c r="X5542">
        <v>0.99930450000000004</v>
      </c>
      <c r="Y5542">
        <v>-0.140461999999999</v>
      </c>
      <c r="Z5542">
        <v>1.9825139999999999E-3</v>
      </c>
      <c r="AA5542">
        <v>0.99008410000000002</v>
      </c>
      <c r="AB5542">
        <v>35</v>
      </c>
      <c r="AC5542">
        <v>22.491</v>
      </c>
      <c r="AD5542">
        <v>-1.10647220746</v>
      </c>
      <c r="AE5542">
        <v>3.8958699999999902</v>
      </c>
      <c r="AF5542">
        <v>-3.2271824109076901</v>
      </c>
      <c r="AG5542">
        <v>-1.10647220746</v>
      </c>
      <c r="AH5542">
        <v>22.542586799302899</v>
      </c>
      <c r="AI5542">
        <v>92.781714925416907</v>
      </c>
      <c r="AJ5542">
        <v>98.147071366040294</v>
      </c>
      <c r="AK5542">
        <v>22.799280836536401</v>
      </c>
      <c r="AL5542">
        <v>89.911354168621898</v>
      </c>
      <c r="AM5542">
        <v>87.864813201426003</v>
      </c>
      <c r="AN5542">
        <v>0.99999999452336297</v>
      </c>
    </row>
    <row r="5543" spans="1:40" x14ac:dyDescent="0.25">
      <c r="A5543" t="str">
        <f>"20190312154714233"</f>
        <v>20190312154714233</v>
      </c>
      <c r="B5543" t="str">
        <f>"1552376834223152"</f>
        <v>1552376834223152</v>
      </c>
      <c r="C5543" t="s">
        <v>40</v>
      </c>
      <c r="D5543">
        <v>4.9444530000000002</v>
      </c>
      <c r="E5543">
        <v>0.43259579999999997</v>
      </c>
      <c r="F5543" t="s">
        <v>89</v>
      </c>
      <c r="G5543">
        <v>-217.21979999999999</v>
      </c>
      <c r="H5543" s="1">
        <v>-2.7639829999999999E-6</v>
      </c>
      <c r="I5543">
        <v>-56.45044</v>
      </c>
      <c r="J5543">
        <v>-240.5915</v>
      </c>
      <c r="K5543">
        <v>1.1064430000000001</v>
      </c>
      <c r="L5543">
        <v>-60.483730000000001</v>
      </c>
      <c r="M5543">
        <v>0.99952189999999996</v>
      </c>
      <c r="N5543">
        <v>0</v>
      </c>
      <c r="O5543">
        <v>2.718489E-2</v>
      </c>
      <c r="P5543">
        <v>0.99986819999999998</v>
      </c>
      <c r="Q5543">
        <v>-1.253665E-2</v>
      </c>
      <c r="R5543">
        <v>-1.032214E-2</v>
      </c>
      <c r="S5543">
        <v>3.0025789999999999</v>
      </c>
      <c r="T5543">
        <v>-0.14087359999999999</v>
      </c>
      <c r="U5543">
        <v>0.51403809999999905</v>
      </c>
      <c r="V5543">
        <v>3.7518200000000002E-2</v>
      </c>
      <c r="W5543">
        <v>1.892391E-3</v>
      </c>
      <c r="X5543">
        <v>0.99929420000000002</v>
      </c>
      <c r="Y5543">
        <v>-0.1417612</v>
      </c>
      <c r="Z5543">
        <v>2.0349040000000001E-3</v>
      </c>
      <c r="AA5543">
        <v>0.98989879999999997</v>
      </c>
      <c r="AB5543">
        <v>35</v>
      </c>
      <c r="AC5543">
        <v>23.371700000000001</v>
      </c>
      <c r="AD5543">
        <v>-1.1064457639830001</v>
      </c>
      <c r="AE5543">
        <v>4.03329</v>
      </c>
      <c r="AF5543">
        <v>-3.3889972900614</v>
      </c>
      <c r="AG5543">
        <v>-1.1064457639830001</v>
      </c>
      <c r="AH5543">
        <v>23.421742292425598</v>
      </c>
      <c r="AI5543">
        <v>92.676813184796401</v>
      </c>
      <c r="AJ5543">
        <v>98.2332430652135</v>
      </c>
      <c r="AK5543">
        <v>23.691507695237</v>
      </c>
      <c r="AL5543">
        <v>89.891573922926597</v>
      </c>
      <c r="AM5543">
        <v>87.849857105594396</v>
      </c>
      <c r="AN5543">
        <v>1.00000004731428</v>
      </c>
    </row>
    <row r="5544" spans="1:40" x14ac:dyDescent="0.25">
      <c r="A5544" t="str">
        <f>"20190312154714245"</f>
        <v>20190312154714245</v>
      </c>
      <c r="B5544" t="str">
        <f>"1552376834233888"</f>
        <v>1552376834233888</v>
      </c>
      <c r="C5544" t="s">
        <v>40</v>
      </c>
      <c r="D5544">
        <v>4.9582309999999996</v>
      </c>
      <c r="E5544">
        <v>0.43215530000000002</v>
      </c>
      <c r="F5544" t="s">
        <v>89</v>
      </c>
      <c r="G5544">
        <v>-217.4684</v>
      </c>
      <c r="H5544" s="1">
        <v>-2.852899E-6</v>
      </c>
      <c r="I5544">
        <v>-56.550449999999998</v>
      </c>
      <c r="J5544">
        <v>-240.40260000000001</v>
      </c>
      <c r="K5544">
        <v>1.106425</v>
      </c>
      <c r="L5544">
        <v>-60.480220000000003</v>
      </c>
      <c r="M5544">
        <v>0.99957209999999996</v>
      </c>
      <c r="N5544">
        <v>0</v>
      </c>
      <c r="O5544">
        <v>2.5277040000000001E-2</v>
      </c>
      <c r="P5544">
        <v>0.99983770000000005</v>
      </c>
      <c r="Q5544">
        <v>-1.2775369999999999E-2</v>
      </c>
      <c r="R5544">
        <v>-1.2720260000000001E-2</v>
      </c>
      <c r="S5544">
        <v>3.00386</v>
      </c>
      <c r="T5544">
        <v>-0.14373549999999999</v>
      </c>
      <c r="U5544">
        <v>0.51095579999999996</v>
      </c>
      <c r="V5544">
        <v>3.8005749999999998E-2</v>
      </c>
      <c r="W5544">
        <v>1.647297E-3</v>
      </c>
      <c r="X5544">
        <v>0.99927619999999895</v>
      </c>
      <c r="Y5544">
        <v>-0.142585299999999</v>
      </c>
      <c r="Z5544">
        <v>2.1855400000000001E-3</v>
      </c>
      <c r="AA5544">
        <v>0.98978010000000005</v>
      </c>
      <c r="AB5544">
        <v>35</v>
      </c>
      <c r="AC5544">
        <v>22.934200000000001</v>
      </c>
      <c r="AD5544">
        <v>-1.1064278528989999</v>
      </c>
      <c r="AE5544">
        <v>3.9297699999999902</v>
      </c>
      <c r="AF5544">
        <v>-3.3411879820608901</v>
      </c>
      <c r="AG5544">
        <v>-1.1064278528989999</v>
      </c>
      <c r="AH5544">
        <v>22.974268180914901</v>
      </c>
      <c r="AI5544">
        <v>92.728542429176898</v>
      </c>
      <c r="AJ5544">
        <v>98.274613691326493</v>
      </c>
      <c r="AK5544">
        <v>23.242304493611201</v>
      </c>
      <c r="AL5544">
        <v>89.905616795125297</v>
      </c>
      <c r="AM5544">
        <v>87.821903484356795</v>
      </c>
      <c r="AN5544">
        <v>1.0000000372534501</v>
      </c>
    </row>
    <row r="5545" spans="1:40" x14ac:dyDescent="0.25">
      <c r="A5545" t="str">
        <f>"20190312154714259"</f>
        <v>20190312154714259</v>
      </c>
      <c r="B5545" t="str">
        <f>"1552376834253408"</f>
        <v>1552376834253408</v>
      </c>
      <c r="C5545" t="s">
        <v>40</v>
      </c>
      <c r="D5545">
        <v>5.1428229999999999</v>
      </c>
      <c r="E5545">
        <v>0.4312105</v>
      </c>
      <c r="F5545" t="s">
        <v>89</v>
      </c>
      <c r="G5545">
        <v>-217.54150000000001</v>
      </c>
      <c r="H5545" s="1">
        <v>-2.871718E-6</v>
      </c>
      <c r="I5545">
        <v>-56.62115</v>
      </c>
      <c r="J5545">
        <v>-240.1756</v>
      </c>
      <c r="K5545">
        <v>1.106411</v>
      </c>
      <c r="L5545">
        <v>-60.476619999999997</v>
      </c>
      <c r="M5545">
        <v>0.99962759999999995</v>
      </c>
      <c r="N5545">
        <v>0</v>
      </c>
      <c r="O5545">
        <v>2.2974560000000002E-2</v>
      </c>
      <c r="P5545">
        <v>0.9998011</v>
      </c>
      <c r="Q5545">
        <v>-1.2789729999999999E-2</v>
      </c>
      <c r="R5545">
        <v>-1.530395E-2</v>
      </c>
      <c r="S5545">
        <v>3.0050659999999998</v>
      </c>
      <c r="T5545">
        <v>-0.1454384</v>
      </c>
      <c r="U5545">
        <v>0.50726320000000003</v>
      </c>
      <c r="V5545">
        <v>3.828616E-2</v>
      </c>
      <c r="W5545">
        <v>1.6287000000000001E-3</v>
      </c>
      <c r="X5545">
        <v>0.99926550000000003</v>
      </c>
      <c r="Y5545">
        <v>-0.1436103</v>
      </c>
      <c r="Z5545">
        <v>2.345832E-3</v>
      </c>
      <c r="AA5545">
        <v>0.9896315</v>
      </c>
      <c r="AB5545">
        <v>35</v>
      </c>
      <c r="AC5545">
        <v>22.634099999999901</v>
      </c>
      <c r="AD5545">
        <v>-1.1064138717180001</v>
      </c>
      <c r="AE5545">
        <v>3.8554699999999902</v>
      </c>
      <c r="AF5545">
        <v>-3.32666230426288</v>
      </c>
      <c r="AG5545">
        <v>-1.1064138717180001</v>
      </c>
      <c r="AH5545">
        <v>22.6640827727669</v>
      </c>
      <c r="AI5545">
        <v>92.765260289767198</v>
      </c>
      <c r="AJ5545">
        <v>98.350318134431802</v>
      </c>
      <c r="AK5545">
        <v>22.9336321081717</v>
      </c>
      <c r="AL5545">
        <v>89.906682323686098</v>
      </c>
      <c r="AM5545">
        <v>87.805825461056401</v>
      </c>
      <c r="AN5545">
        <v>1.0000000111007401</v>
      </c>
    </row>
    <row r="5546" spans="1:40" x14ac:dyDescent="0.25">
      <c r="A5546" t="str">
        <f>"20190312154714275"</f>
        <v>20190312154714275</v>
      </c>
      <c r="B5546" t="str">
        <f>"1552376834263169"</f>
        <v>1552376834263169</v>
      </c>
      <c r="C5546" t="s">
        <v>40</v>
      </c>
      <c r="D5546">
        <v>4.9500739999999999</v>
      </c>
      <c r="E5546">
        <v>0.43080990000000002</v>
      </c>
      <c r="F5546" t="s">
        <v>89</v>
      </c>
      <c r="G5546">
        <v>-218.39089999999999</v>
      </c>
      <c r="H5546" s="1">
        <v>-3.204157E-6</v>
      </c>
      <c r="I5546">
        <v>-56.801319999999997</v>
      </c>
      <c r="J5546">
        <v>-239.93440000000001</v>
      </c>
      <c r="K5546">
        <v>1.106398</v>
      </c>
      <c r="L5546">
        <v>-60.473419999999997</v>
      </c>
      <c r="M5546">
        <v>0.99968089999999998</v>
      </c>
      <c r="N5546">
        <v>0</v>
      </c>
      <c r="O5546">
        <v>2.05253E-2</v>
      </c>
      <c r="P5546">
        <v>0.99975860000000005</v>
      </c>
      <c r="Q5546">
        <v>-1.2283240000000001E-2</v>
      </c>
      <c r="R5546">
        <v>-1.822315E-2</v>
      </c>
      <c r="S5546">
        <v>3.0063930000000001</v>
      </c>
      <c r="T5546">
        <v>-0.15269059999999901</v>
      </c>
      <c r="U5546">
        <v>0.50720209999999999</v>
      </c>
      <c r="V5546">
        <v>3.8759689999999999E-2</v>
      </c>
      <c r="W5546">
        <v>2.1293779999999999E-3</v>
      </c>
      <c r="X5546">
        <v>0.99924630000000003</v>
      </c>
      <c r="Y5546">
        <v>-0.14592339999999901</v>
      </c>
      <c r="Z5546">
        <v>2.6432080000000002E-3</v>
      </c>
      <c r="AA5546">
        <v>0.98929239999999996</v>
      </c>
      <c r="AB5546">
        <v>35</v>
      </c>
      <c r="AC5546">
        <v>21.543500000000002</v>
      </c>
      <c r="AD5546">
        <v>-1.1064012041569999</v>
      </c>
      <c r="AE5546">
        <v>3.6720999999999999</v>
      </c>
      <c r="AF5546">
        <v>-3.2208363788617702</v>
      </c>
      <c r="AG5546">
        <v>-1.1064012041569999</v>
      </c>
      <c r="AH5546">
        <v>21.5590829301814</v>
      </c>
      <c r="AI5546">
        <v>92.905622731542095</v>
      </c>
      <c r="AJ5546">
        <v>98.496906107314501</v>
      </c>
      <c r="AK5546">
        <v>21.826405278799299</v>
      </c>
      <c r="AL5546">
        <v>89.877995536380894</v>
      </c>
      <c r="AM5546">
        <v>87.778671902627806</v>
      </c>
      <c r="AN5546">
        <v>1.00000000794162</v>
      </c>
    </row>
    <row r="5547" spans="1:40" x14ac:dyDescent="0.25">
      <c r="A5547" t="str">
        <f>"20190312154714285"</f>
        <v>20190312154714285</v>
      </c>
      <c r="B5547" t="str">
        <f>"1552376834283664"</f>
        <v>1552376834283664</v>
      </c>
      <c r="C5547" t="s">
        <v>40</v>
      </c>
      <c r="D5547">
        <v>4.9285199999999998</v>
      </c>
      <c r="E5547">
        <v>0.42995499999999998</v>
      </c>
      <c r="F5547" t="s">
        <v>89</v>
      </c>
      <c r="G5547">
        <v>-218.2353</v>
      </c>
      <c r="H5547" s="1">
        <v>-3.1278489999999998E-6</v>
      </c>
      <c r="I5547">
        <v>-56.854999999999997</v>
      </c>
      <c r="J5547">
        <v>-239.77269999999999</v>
      </c>
      <c r="K5547">
        <v>1.1063940000000001</v>
      </c>
      <c r="L5547">
        <v>-60.471499999999999</v>
      </c>
      <c r="M5547">
        <v>0.99971330000000003</v>
      </c>
      <c r="N5547">
        <v>0</v>
      </c>
      <c r="O5547">
        <v>1.8883819999999999E-2</v>
      </c>
      <c r="P5547">
        <v>0.99973749999999995</v>
      </c>
      <c r="Q5547">
        <v>-1.164428E-2</v>
      </c>
      <c r="R5547">
        <v>-1.9743940000000001E-2</v>
      </c>
      <c r="S5547">
        <v>3.0079959999999999</v>
      </c>
      <c r="T5547">
        <v>-0.15337229999999999</v>
      </c>
      <c r="U5547">
        <v>0.50158689999999995</v>
      </c>
      <c r="V5547">
        <v>3.8644020000000001E-2</v>
      </c>
      <c r="W5547">
        <v>2.768338E-3</v>
      </c>
      <c r="X5547">
        <v>0.99924919999999995</v>
      </c>
      <c r="Y5547">
        <v>-0.14566200000000001</v>
      </c>
      <c r="Z5547">
        <v>2.730386E-3</v>
      </c>
      <c r="AA5547">
        <v>0.98933059999999995</v>
      </c>
      <c r="AB5547">
        <v>35</v>
      </c>
      <c r="AC5547">
        <v>21.537399999999899</v>
      </c>
      <c r="AD5547">
        <v>-1.1063971278489999</v>
      </c>
      <c r="AE5547">
        <v>3.6164999999999998</v>
      </c>
      <c r="AF5547">
        <v>-3.2008870979961901</v>
      </c>
      <c r="AG5547">
        <v>-1.1063971278489999</v>
      </c>
      <c r="AH5547">
        <v>21.546557889874101</v>
      </c>
      <c r="AI5547">
        <v>92.907653102229204</v>
      </c>
      <c r="AJ5547">
        <v>98.4498772946977</v>
      </c>
      <c r="AK5547">
        <v>21.811096939868101</v>
      </c>
      <c r="AL5547">
        <v>89.841385712761294</v>
      </c>
      <c r="AM5547">
        <v>87.785300791026302</v>
      </c>
      <c r="AN5547">
        <v>0.99999999383884097</v>
      </c>
    </row>
    <row r="5548" spans="1:40" x14ac:dyDescent="0.25">
      <c r="A5548" t="str">
        <f>"20190312154714297"</f>
        <v>20190312154714297</v>
      </c>
      <c r="B5548" t="str">
        <f>"1552376834293424"</f>
        <v>1552376834293424</v>
      </c>
      <c r="C5548" t="s">
        <v>40</v>
      </c>
      <c r="D5548">
        <v>4.9428769999999904</v>
      </c>
      <c r="E5548">
        <v>0.42948409999999898</v>
      </c>
      <c r="F5548" t="s">
        <v>89</v>
      </c>
      <c r="G5548">
        <v>-217.76070000000001</v>
      </c>
      <c r="H5548" s="1">
        <v>-2.9364579999999999E-6</v>
      </c>
      <c r="I5548">
        <v>-56.786219999999901</v>
      </c>
      <c r="J5548">
        <v>-239.5966</v>
      </c>
      <c r="K5548">
        <v>1.1063940000000001</v>
      </c>
      <c r="L5548">
        <v>-60.469850000000001</v>
      </c>
      <c r="M5548">
        <v>0.99974540000000001</v>
      </c>
      <c r="N5548">
        <v>0</v>
      </c>
      <c r="O5548">
        <v>1.7099630000000001E-2</v>
      </c>
      <c r="P5548">
        <v>0.99971339999999997</v>
      </c>
      <c r="Q5548">
        <v>-1.105594E-2</v>
      </c>
      <c r="R5548">
        <v>-2.1237949999999998E-2</v>
      </c>
      <c r="S5548">
        <v>3.0089570000000001</v>
      </c>
      <c r="T5548">
        <v>-0.15123979999999901</v>
      </c>
      <c r="U5548">
        <v>0.50375369999999997</v>
      </c>
      <c r="V5548">
        <v>3.835881E-2</v>
      </c>
      <c r="W5548">
        <v>3.3572290000000002E-3</v>
      </c>
      <c r="X5548">
        <v>0.99925839999999999</v>
      </c>
      <c r="Y5548">
        <v>-0.14806839999999999</v>
      </c>
      <c r="Z5548">
        <v>2.840422E-3</v>
      </c>
      <c r="AA5548">
        <v>0.98897299999999999</v>
      </c>
      <c r="AB5548">
        <v>35</v>
      </c>
      <c r="AC5548">
        <v>21.835899999999899</v>
      </c>
      <c r="AD5548">
        <v>-1.106396936458</v>
      </c>
      <c r="AE5548">
        <v>3.68363</v>
      </c>
      <c r="AF5548">
        <v>-3.3014237484322502</v>
      </c>
      <c r="AG5548">
        <v>-1.106396936458</v>
      </c>
      <c r="AH5548">
        <v>21.841180564035</v>
      </c>
      <c r="AI5548">
        <v>92.867405594364897</v>
      </c>
      <c r="AJ5548">
        <v>98.595526585237295</v>
      </c>
      <c r="AK5548">
        <v>22.116977220644198</v>
      </c>
      <c r="AL5548">
        <v>89.807644587953206</v>
      </c>
      <c r="AM5548">
        <v>87.801650376264604</v>
      </c>
      <c r="AN5548">
        <v>1.0000000096308601</v>
      </c>
    </row>
    <row r="5549" spans="1:40" x14ac:dyDescent="0.25">
      <c r="A5549" t="str">
        <f>"20190312154714308"</f>
        <v>20190312154714308</v>
      </c>
      <c r="B5549" t="str">
        <f>"1552376834303184"</f>
        <v>1552376834303184</v>
      </c>
      <c r="C5549" t="s">
        <v>40</v>
      </c>
      <c r="D5549">
        <v>4.9517509999999998</v>
      </c>
      <c r="E5549">
        <v>0.42899779999999998</v>
      </c>
      <c r="F5549" t="s">
        <v>89</v>
      </c>
      <c r="G5549">
        <v>-217.48840000000001</v>
      </c>
      <c r="H5549" s="1">
        <v>-2.821523E-6</v>
      </c>
      <c r="I5549">
        <v>-56.775660000000002</v>
      </c>
      <c r="J5549">
        <v>-239.42359999999999</v>
      </c>
      <c r="K5549">
        <v>1.1063940000000001</v>
      </c>
      <c r="L5549">
        <v>-60.468409999999999</v>
      </c>
      <c r="M5549">
        <v>0.99977389999999999</v>
      </c>
      <c r="N5549">
        <v>0</v>
      </c>
      <c r="O5549">
        <v>1.535187E-2</v>
      </c>
      <c r="P5549">
        <v>0.99969050000000004</v>
      </c>
      <c r="Q5549">
        <v>-1.046454E-2</v>
      </c>
      <c r="R5549">
        <v>-2.2576639999999999E-2</v>
      </c>
      <c r="S5549">
        <v>3.0098720000000001</v>
      </c>
      <c r="T5549">
        <v>-0.1506277</v>
      </c>
      <c r="U5549">
        <v>0.50292970000000004</v>
      </c>
      <c r="V5549">
        <v>3.7955000000000003E-2</v>
      </c>
      <c r="W5549">
        <v>3.9508870000000001E-3</v>
      </c>
      <c r="X5549">
        <v>0.99927160000000004</v>
      </c>
      <c r="Y5549">
        <v>-0.14948229999999901</v>
      </c>
      <c r="Z5549">
        <v>2.9500220000000001E-3</v>
      </c>
      <c r="AA5549">
        <v>0.98875999999999997</v>
      </c>
      <c r="AB5549">
        <v>35</v>
      </c>
      <c r="AC5549">
        <v>21.935199999999899</v>
      </c>
      <c r="AD5549">
        <v>-1.106396821523</v>
      </c>
      <c r="AE5549">
        <v>3.6927500000000002</v>
      </c>
      <c r="AF5549">
        <v>-3.3472508023699699</v>
      </c>
      <c r="AG5549">
        <v>-1.106396821523</v>
      </c>
      <c r="AH5549">
        <v>21.935043682381998</v>
      </c>
      <c r="AI5549">
        <v>92.854545322623594</v>
      </c>
      <c r="AJ5549">
        <v>98.676306629189995</v>
      </c>
      <c r="AK5549">
        <v>22.216533105069502</v>
      </c>
      <c r="AL5549">
        <v>89.773630251827001</v>
      </c>
      <c r="AM5549">
        <v>87.824799150247102</v>
      </c>
      <c r="AN5549">
        <v>0.99999996104982203</v>
      </c>
    </row>
    <row r="5550" spans="1:40" x14ac:dyDescent="0.25">
      <c r="A5550" t="str">
        <f>"20190312154714319"</f>
        <v>20190312154714319</v>
      </c>
      <c r="B5550" t="str">
        <f>"1552376834313920"</f>
        <v>1552376834313920</v>
      </c>
      <c r="C5550" t="s">
        <v>40</v>
      </c>
      <c r="D5550">
        <v>4.9641999999999999</v>
      </c>
      <c r="E5550">
        <v>0.42849100000000001</v>
      </c>
      <c r="F5550" t="s">
        <v>89</v>
      </c>
      <c r="G5550">
        <v>-216.9836</v>
      </c>
      <c r="H5550" s="1">
        <v>-2.6147710000000002E-6</v>
      </c>
      <c r="I5550">
        <v>-56.720280000000002</v>
      </c>
      <c r="J5550">
        <v>-239.24090000000001</v>
      </c>
      <c r="K5550">
        <v>1.1063959999999999</v>
      </c>
      <c r="L5550">
        <v>-60.46725</v>
      </c>
      <c r="M5550">
        <v>0.99980029999999998</v>
      </c>
      <c r="N5550">
        <v>0</v>
      </c>
      <c r="O5550">
        <v>1.351174E-2</v>
      </c>
      <c r="P5550">
        <v>0.99966200000000005</v>
      </c>
      <c r="Q5550">
        <v>-1.0007719999999999E-2</v>
      </c>
      <c r="R5550">
        <v>-2.3997190000000002E-2</v>
      </c>
      <c r="S5550">
        <v>3.0107270000000002</v>
      </c>
      <c r="T5550">
        <v>-0.14844209999999999</v>
      </c>
      <c r="U5550">
        <v>0.50286869999999995</v>
      </c>
      <c r="V5550">
        <v>3.7539419999999997E-2</v>
      </c>
      <c r="W5550">
        <v>4.4100779999999996E-3</v>
      </c>
      <c r="X5550">
        <v>0.99928539999999999</v>
      </c>
      <c r="Y5550">
        <v>-0.15123719999999999</v>
      </c>
      <c r="Z5550">
        <v>3.0393989999999999E-3</v>
      </c>
      <c r="AA5550">
        <v>0.98849279999999995</v>
      </c>
      <c r="AB5550">
        <v>35</v>
      </c>
      <c r="AC5550">
        <v>22.257300000000001</v>
      </c>
      <c r="AD5550">
        <v>-1.1063986147710001</v>
      </c>
      <c r="AE5550">
        <v>3.7469699999999899</v>
      </c>
      <c r="AF5550">
        <v>-3.4376001062679999</v>
      </c>
      <c r="AG5550">
        <v>-1.1063986147710001</v>
      </c>
      <c r="AH5550">
        <v>22.252430281024299</v>
      </c>
      <c r="AI5550">
        <v>92.813107673344206</v>
      </c>
      <c r="AJ5550">
        <v>98.781748247739202</v>
      </c>
      <c r="AK5550">
        <v>22.543554861583601</v>
      </c>
      <c r="AL5550">
        <v>89.747320320113005</v>
      </c>
      <c r="AM5550">
        <v>87.848623216322594</v>
      </c>
      <c r="AN5550">
        <v>0.99999998374753096</v>
      </c>
    </row>
    <row r="5551" spans="1:40" x14ac:dyDescent="0.25">
      <c r="A5551" t="str">
        <f>"20190312154714331"</f>
        <v>20190312154714331</v>
      </c>
      <c r="B5551" t="str">
        <f>"1552376834323682"</f>
        <v>1552376834323682</v>
      </c>
      <c r="C5551" t="s">
        <v>40</v>
      </c>
      <c r="D5551">
        <v>4.9319850000000001</v>
      </c>
      <c r="E5551">
        <v>0.42810239999999999</v>
      </c>
      <c r="F5551" t="s">
        <v>89</v>
      </c>
      <c r="G5551">
        <v>-216.4734</v>
      </c>
      <c r="H5551" s="1">
        <v>-2.4053009999999999E-6</v>
      </c>
      <c r="I5551">
        <v>-56.667409999999997</v>
      </c>
      <c r="J5551">
        <v>-239.07390000000001</v>
      </c>
      <c r="K5551">
        <v>1.106403</v>
      </c>
      <c r="L5551">
        <v>-60.466549999999998</v>
      </c>
      <c r="M5551">
        <v>0.99982159999999998</v>
      </c>
      <c r="N5551">
        <v>0</v>
      </c>
      <c r="O5551">
        <v>1.183939E-2</v>
      </c>
      <c r="P5551">
        <v>0.99963400000000002</v>
      </c>
      <c r="Q5551">
        <v>-9.6958180000000001E-3</v>
      </c>
      <c r="R5551">
        <v>-2.526049E-2</v>
      </c>
      <c r="S5551">
        <v>3.011612</v>
      </c>
      <c r="T5551">
        <v>-0.14635090000000001</v>
      </c>
      <c r="U5551">
        <v>0.50262450000000003</v>
      </c>
      <c r="V5551">
        <v>3.7133270000000003E-2</v>
      </c>
      <c r="W5551">
        <v>4.7247870000000003E-3</v>
      </c>
      <c r="X5551">
        <v>0.99929920000000005</v>
      </c>
      <c r="Y5551">
        <v>-0.15276619999999999</v>
      </c>
      <c r="Z5551">
        <v>3.1132830000000001E-3</v>
      </c>
      <c r="AA5551">
        <v>0.98825750000000001</v>
      </c>
      <c r="AB5551">
        <v>35</v>
      </c>
      <c r="AC5551">
        <v>22.6005</v>
      </c>
      <c r="AD5551">
        <v>-1.106405405301</v>
      </c>
      <c r="AE5551">
        <v>3.79914</v>
      </c>
      <c r="AF5551">
        <v>-3.5230572825413402</v>
      </c>
      <c r="AG5551">
        <v>-1.106405405301</v>
      </c>
      <c r="AH5551">
        <v>22.5912460779026</v>
      </c>
      <c r="AI5551">
        <v>92.770386261268499</v>
      </c>
      <c r="AJ5551">
        <v>98.863761578864001</v>
      </c>
      <c r="AK5551">
        <v>22.891056438908599</v>
      </c>
      <c r="AL5551">
        <v>89.729288651373693</v>
      </c>
      <c r="AM5551">
        <v>87.871907435916199</v>
      </c>
      <c r="AN5551">
        <v>1.00000004723686</v>
      </c>
    </row>
    <row r="5552" spans="1:40" x14ac:dyDescent="0.25">
      <c r="A5552" t="str">
        <f>"20190312154714342"</f>
        <v>20190312154714342</v>
      </c>
      <c r="B5552" t="str">
        <f>"1552376834333440"</f>
        <v>1552376834333440</v>
      </c>
      <c r="C5552" t="s">
        <v>40</v>
      </c>
      <c r="D5552">
        <v>4.9761490000000004</v>
      </c>
      <c r="E5552">
        <v>0.42766029999999999</v>
      </c>
      <c r="F5552" t="s">
        <v>89</v>
      </c>
      <c r="G5552">
        <v>-216.09010000000001</v>
      </c>
      <c r="H5552" s="1">
        <v>-2.2461450000000002E-6</v>
      </c>
      <c r="I5552">
        <v>-56.637630000000001</v>
      </c>
      <c r="J5552">
        <v>-238.8939</v>
      </c>
      <c r="K5552">
        <v>1.106412</v>
      </c>
      <c r="L5552">
        <v>-60.465969999999999</v>
      </c>
      <c r="M5552">
        <v>0.99984119999999999</v>
      </c>
      <c r="N5552">
        <v>0</v>
      </c>
      <c r="O5552">
        <v>1.0043130000000001E-2</v>
      </c>
      <c r="P5552">
        <v>0.99959609999999999</v>
      </c>
      <c r="Q5552">
        <v>-9.6594509999999995E-3</v>
      </c>
      <c r="R5552">
        <v>-2.6723569999999999E-2</v>
      </c>
      <c r="S5552">
        <v>3.012375</v>
      </c>
      <c r="T5552">
        <v>-0.14501129999999901</v>
      </c>
      <c r="U5552">
        <v>0.50183109999999997</v>
      </c>
      <c r="V5552">
        <v>3.680083E-2</v>
      </c>
      <c r="W5552">
        <v>4.76341E-3</v>
      </c>
      <c r="X5552">
        <v>0.99931130000000001</v>
      </c>
      <c r="Y5552">
        <v>-0.15424689999999999</v>
      </c>
      <c r="Z5552">
        <v>3.2052859999999999E-3</v>
      </c>
      <c r="AA5552">
        <v>0.98802719999999999</v>
      </c>
      <c r="AB5552">
        <v>34</v>
      </c>
      <c r="AC5552">
        <v>22.803799999999899</v>
      </c>
      <c r="AD5552">
        <v>-1.1064142461449999</v>
      </c>
      <c r="AE5552">
        <v>3.8283399999999901</v>
      </c>
      <c r="AF5552">
        <v>-3.5908790370485</v>
      </c>
      <c r="AG5552">
        <v>-1.1064142461449999</v>
      </c>
      <c r="AH5552">
        <v>22.788925974002101</v>
      </c>
      <c r="AI5552">
        <v>92.745732736035094</v>
      </c>
      <c r="AJ5552">
        <v>98.954540857961405</v>
      </c>
      <c r="AK5552">
        <v>23.096616890604</v>
      </c>
      <c r="AL5552">
        <v>89.727075687725105</v>
      </c>
      <c r="AM5552">
        <v>87.890967667959998</v>
      </c>
      <c r="AN5552">
        <v>1.0000000327356</v>
      </c>
    </row>
    <row r="5553" spans="1:40" x14ac:dyDescent="0.25">
      <c r="A5553" t="str">
        <f>"20190312154714353"</f>
        <v>20190312154714353</v>
      </c>
      <c r="B5553" t="str">
        <f>"1552376834343200"</f>
        <v>1552376834343200</v>
      </c>
      <c r="C5553" t="s">
        <v>40</v>
      </c>
      <c r="D5553">
        <v>4.8620289999999997</v>
      </c>
      <c r="E5553">
        <v>0.42742479999999999</v>
      </c>
      <c r="F5553" t="s">
        <v>89</v>
      </c>
      <c r="G5553">
        <v>-215.90369999999999</v>
      </c>
      <c r="H5553" s="1">
        <v>-2.1650780000000001E-6</v>
      </c>
      <c r="I5553">
        <v>-56.64376</v>
      </c>
      <c r="J5553">
        <v>-238.721</v>
      </c>
      <c r="K5553">
        <v>1.106425</v>
      </c>
      <c r="L5553">
        <v>-60.465879999999999</v>
      </c>
      <c r="M5553">
        <v>0.999857</v>
      </c>
      <c r="N5553">
        <v>0</v>
      </c>
      <c r="O5553">
        <v>8.3370349999999996E-3</v>
      </c>
      <c r="P5553">
        <v>0.99956630000000002</v>
      </c>
      <c r="Q5553">
        <v>-9.7716709999999991E-3</v>
      </c>
      <c r="R5553">
        <v>-2.7785319999999999E-2</v>
      </c>
      <c r="S5553">
        <v>3.0131839999999999</v>
      </c>
      <c r="T5553">
        <v>-0.1450108</v>
      </c>
      <c r="U5553">
        <v>0.500946</v>
      </c>
      <c r="V5553">
        <v>3.6156069999999998E-2</v>
      </c>
      <c r="W5553">
        <v>4.6556459999999899E-3</v>
      </c>
      <c r="X5553">
        <v>0.99933530000000004</v>
      </c>
      <c r="Y5553">
        <v>-0.15560389999999999</v>
      </c>
      <c r="Z5553">
        <v>3.3183919999999999E-3</v>
      </c>
      <c r="AA5553">
        <v>0.98781390000000002</v>
      </c>
      <c r="AB5553">
        <v>34</v>
      </c>
      <c r="AC5553">
        <v>22.8172999999999</v>
      </c>
      <c r="AD5553">
        <v>-1.106427165078</v>
      </c>
      <c r="AE5553">
        <v>3.82212</v>
      </c>
      <c r="AF5553">
        <v>-3.6234504608988201</v>
      </c>
      <c r="AG5553">
        <v>-1.106427165078</v>
      </c>
      <c r="AH5553">
        <v>22.796236518238899</v>
      </c>
      <c r="AI5553">
        <v>92.744302405562195</v>
      </c>
      <c r="AJ5553">
        <v>99.031580646450493</v>
      </c>
      <c r="AK5553">
        <v>23.108915459400102</v>
      </c>
      <c r="AL5553">
        <v>89.733250166752399</v>
      </c>
      <c r="AM5553">
        <v>87.927935679360402</v>
      </c>
      <c r="AN5553">
        <v>0.99999998913180599</v>
      </c>
    </row>
    <row r="5554" spans="1:40" x14ac:dyDescent="0.25">
      <c r="A5554" t="str">
        <f>"20190312154714365"</f>
        <v>20190312154714365</v>
      </c>
      <c r="B5554" t="str">
        <f>"1552376834363696"</f>
        <v>1552376834363696</v>
      </c>
      <c r="C5554" t="s">
        <v>40</v>
      </c>
      <c r="D5554">
        <v>4.8740560000000004</v>
      </c>
      <c r="E5554">
        <v>0.42677920000000003</v>
      </c>
      <c r="F5554" t="s">
        <v>89</v>
      </c>
      <c r="G5554">
        <v>-216.00409999999999</v>
      </c>
      <c r="H5554" s="1">
        <v>-2.1984610000000002E-6</v>
      </c>
      <c r="I5554">
        <v>-56.698560000000001</v>
      </c>
      <c r="J5554">
        <v>-238.52940000000001</v>
      </c>
      <c r="K5554">
        <v>1.106444</v>
      </c>
      <c r="L5554">
        <v>-60.465940000000003</v>
      </c>
      <c r="M5554">
        <v>0.99987090000000001</v>
      </c>
      <c r="N5554">
        <v>0</v>
      </c>
      <c r="O5554">
        <v>6.4552180000000004E-3</v>
      </c>
      <c r="P5554">
        <v>0.99951990000000002</v>
      </c>
      <c r="Q5554">
        <v>-9.3828899999999996E-3</v>
      </c>
      <c r="R5554">
        <v>-2.9529360000000001E-2</v>
      </c>
      <c r="S5554">
        <v>3.0137480000000001</v>
      </c>
      <c r="T5554">
        <v>-0.14678479999999999</v>
      </c>
      <c r="U5554">
        <v>0.49978640000000002</v>
      </c>
      <c r="V5554">
        <v>3.6021820000000003E-2</v>
      </c>
      <c r="W5554">
        <v>5.0452170000000003E-3</v>
      </c>
      <c r="X5554">
        <v>0.99933830000000001</v>
      </c>
      <c r="Y5554">
        <v>-0.1570551</v>
      </c>
      <c r="Z5554">
        <v>3.4844640000000001E-3</v>
      </c>
      <c r="AA5554">
        <v>0.98758369999999995</v>
      </c>
      <c r="AB5554">
        <v>34</v>
      </c>
      <c r="AC5554">
        <v>22.525300000000001</v>
      </c>
      <c r="AD5554">
        <v>-1.1064461984609999</v>
      </c>
      <c r="AE5554">
        <v>3.7673800000000002</v>
      </c>
      <c r="AF5554">
        <v>-3.6133988943673399</v>
      </c>
      <c r="AG5554">
        <v>-1.1064461984609999</v>
      </c>
      <c r="AH5554">
        <v>22.496350538507201</v>
      </c>
      <c r="AI5554">
        <v>92.780152607999</v>
      </c>
      <c r="AJ5554">
        <v>99.124997326189899</v>
      </c>
      <c r="AK5554">
        <v>22.8115466882738</v>
      </c>
      <c r="AL5554">
        <v>89.710929142007402</v>
      </c>
      <c r="AM5554">
        <v>87.935628920836393</v>
      </c>
      <c r="AN5554">
        <v>1.0000000317887801</v>
      </c>
    </row>
    <row r="5555" spans="1:40" x14ac:dyDescent="0.25">
      <c r="A5555" t="str">
        <f>"20190312154714376"</f>
        <v>20190312154714376</v>
      </c>
      <c r="B5555" t="str">
        <f>"1552376834373457"</f>
        <v>1552376834373457</v>
      </c>
      <c r="C5555" t="s">
        <v>40</v>
      </c>
      <c r="D5555">
        <v>4.9382609999999998</v>
      </c>
      <c r="E5555">
        <v>0.42634309999999997</v>
      </c>
      <c r="F5555" t="s">
        <v>89</v>
      </c>
      <c r="G5555">
        <v>-215.98249999999999</v>
      </c>
      <c r="H5555" s="1">
        <v>-2.1839110000000001E-6</v>
      </c>
      <c r="I5555">
        <v>-56.728360000000002</v>
      </c>
      <c r="J5555">
        <v>-238.36529999999999</v>
      </c>
      <c r="K5555">
        <v>1.1064659999999999</v>
      </c>
      <c r="L5555">
        <v>-60.466369999999998</v>
      </c>
      <c r="M5555">
        <v>0.99987990000000004</v>
      </c>
      <c r="N5555">
        <v>0</v>
      </c>
      <c r="O5555">
        <v>4.8626040000000004E-3</v>
      </c>
      <c r="P5555">
        <v>0.99948419999999905</v>
      </c>
      <c r="Q5555">
        <v>-8.9982480000000004E-3</v>
      </c>
      <c r="R5555">
        <v>-3.0822479999999999E-2</v>
      </c>
      <c r="S5555">
        <v>3.0148160000000002</v>
      </c>
      <c r="T5555">
        <v>-0.14794640000000001</v>
      </c>
      <c r="U5555">
        <v>0.49975589999999998</v>
      </c>
      <c r="V5555">
        <v>3.5725809999999997E-2</v>
      </c>
      <c r="W5555">
        <v>5.4319269999999996E-3</v>
      </c>
      <c r="X5555">
        <v>0.99934690000000004</v>
      </c>
      <c r="Y5555">
        <v>-0.15855540000000001</v>
      </c>
      <c r="Z5555">
        <v>3.624894E-3</v>
      </c>
      <c r="AA5555">
        <v>0.98734339999999998</v>
      </c>
      <c r="AB5555">
        <v>34</v>
      </c>
      <c r="AC5555">
        <v>22.3828</v>
      </c>
      <c r="AD5555">
        <v>-1.106468183911</v>
      </c>
      <c r="AE5555">
        <v>3.7380100000000001</v>
      </c>
      <c r="AF5555">
        <v>-3.6205079227156598</v>
      </c>
      <c r="AG5555">
        <v>-1.106468183911</v>
      </c>
      <c r="AH5555">
        <v>22.3475845999859</v>
      </c>
      <c r="AI5555">
        <v>92.7980766112358</v>
      </c>
      <c r="AJ5555">
        <v>99.2024708687415</v>
      </c>
      <c r="AK5555">
        <v>22.665985240310601</v>
      </c>
      <c r="AL5555">
        <v>89.688771988007602</v>
      </c>
      <c r="AM5555">
        <v>87.952596036947895</v>
      </c>
      <c r="AN5555">
        <v>1.00000003293534</v>
      </c>
    </row>
    <row r="5556" spans="1:40" x14ac:dyDescent="0.25">
      <c r="A5556" t="str">
        <f>"20190312154714387"</f>
        <v>20190312154714387</v>
      </c>
      <c r="B5556" t="str">
        <f>"1552376834383217"</f>
        <v>1552376834383217</v>
      </c>
      <c r="C5556" t="s">
        <v>40</v>
      </c>
      <c r="D5556">
        <v>4.898441</v>
      </c>
      <c r="E5556">
        <v>0.42592350000000001</v>
      </c>
      <c r="F5556" t="s">
        <v>89</v>
      </c>
      <c r="G5556">
        <v>-215.5797</v>
      </c>
      <c r="H5556" s="1">
        <v>-2.0172189999999998E-6</v>
      </c>
      <c r="I5556">
        <v>-56.693930000000002</v>
      </c>
      <c r="J5556">
        <v>-238.21440000000001</v>
      </c>
      <c r="K5556">
        <v>1.1064909999999999</v>
      </c>
      <c r="L5556">
        <v>-60.466889999999999</v>
      </c>
      <c r="M5556">
        <v>0.9998861</v>
      </c>
      <c r="N5556">
        <v>0</v>
      </c>
      <c r="O5556">
        <v>3.405992E-3</v>
      </c>
      <c r="P5556">
        <v>0.99944540000000004</v>
      </c>
      <c r="Q5556">
        <v>-8.7520749999999998E-3</v>
      </c>
      <c r="R5556">
        <v>-3.2131769999999997E-2</v>
      </c>
      <c r="S5556">
        <v>3.015625</v>
      </c>
      <c r="T5556">
        <v>-0.14643879999999901</v>
      </c>
      <c r="U5556">
        <v>0.49926759999999898</v>
      </c>
      <c r="V5556">
        <v>3.5580689999999998E-2</v>
      </c>
      <c r="W5556">
        <v>5.6789249999999996E-3</v>
      </c>
      <c r="X5556">
        <v>0.99935070000000004</v>
      </c>
      <c r="Y5556">
        <v>-0.15979589999999999</v>
      </c>
      <c r="Z5556">
        <v>3.6872070000000001E-3</v>
      </c>
      <c r="AA5556">
        <v>0.9871432</v>
      </c>
      <c r="AB5556">
        <v>34</v>
      </c>
      <c r="AC5556">
        <v>22.634699999999999</v>
      </c>
      <c r="AD5556">
        <v>-1.106493017219</v>
      </c>
      <c r="AE5556">
        <v>3.7729599999999901</v>
      </c>
      <c r="AF5556">
        <v>-3.68726283824236</v>
      </c>
      <c r="AG5556">
        <v>-1.106493017219</v>
      </c>
      <c r="AH5556">
        <v>22.594884911017701</v>
      </c>
      <c r="AI5556">
        <v>92.767044621290196</v>
      </c>
      <c r="AJ5556">
        <v>99.268407846120297</v>
      </c>
      <c r="AK5556">
        <v>22.920494283011799</v>
      </c>
      <c r="AL5556">
        <v>89.674619825703004</v>
      </c>
      <c r="AM5556">
        <v>87.960913404804501</v>
      </c>
      <c r="AN5556">
        <v>1.0000000286402599</v>
      </c>
    </row>
    <row r="5557" spans="1:40" x14ac:dyDescent="0.25">
      <c r="A5557" t="str">
        <f>"20190312154714397"</f>
        <v>20190312154714397</v>
      </c>
      <c r="B5557" t="str">
        <f>"1552376834393952"</f>
        <v>1552376834393952</v>
      </c>
      <c r="C5557" t="s">
        <v>40</v>
      </c>
      <c r="D5557">
        <v>4.9305320000000004</v>
      </c>
      <c r="E5557">
        <v>0.42554829999999999</v>
      </c>
      <c r="F5557" t="s">
        <v>89</v>
      </c>
      <c r="G5557">
        <v>-214.893</v>
      </c>
      <c r="H5557" s="1">
        <v>-1.7371540000000001E-6</v>
      </c>
      <c r="I5557">
        <v>-56.612009999999998</v>
      </c>
      <c r="J5557">
        <v>-238.0384</v>
      </c>
      <c r="K5557">
        <v>1.106517</v>
      </c>
      <c r="L5557">
        <v>-60.467860000000002</v>
      </c>
      <c r="M5557">
        <v>0.99989039999999996</v>
      </c>
      <c r="N5557">
        <v>0</v>
      </c>
      <c r="O5557">
        <v>1.7272429999999901E-3</v>
      </c>
      <c r="P5557">
        <v>0.99940309999999999</v>
      </c>
      <c r="Q5557">
        <v>-7.8602859999999993E-3</v>
      </c>
      <c r="R5557">
        <v>-3.3644069999999998E-2</v>
      </c>
      <c r="S5557">
        <v>3.016464</v>
      </c>
      <c r="T5557">
        <v>-0.14311740000000001</v>
      </c>
      <c r="U5557">
        <v>0.49859619999999999</v>
      </c>
      <c r="V5557">
        <v>3.542145E-2</v>
      </c>
      <c r="W5557">
        <v>6.5720249999999996E-3</v>
      </c>
      <c r="X5557">
        <v>0.99935079999999998</v>
      </c>
      <c r="Y5557">
        <v>-0.1611997</v>
      </c>
      <c r="Z5557">
        <v>3.714874E-3</v>
      </c>
      <c r="AA5557">
        <v>0.98691479999999998</v>
      </c>
      <c r="AB5557">
        <v>34</v>
      </c>
      <c r="AC5557">
        <v>23.145399999999899</v>
      </c>
      <c r="AD5557">
        <v>-1.106518737154</v>
      </c>
      <c r="AE5557">
        <v>3.85584999999999</v>
      </c>
      <c r="AF5557">
        <v>-3.8073952376601699</v>
      </c>
      <c r="AG5557">
        <v>-1.106518737154</v>
      </c>
      <c r="AH5557">
        <v>23.100654508579598</v>
      </c>
      <c r="AI5557">
        <v>92.705914021939805</v>
      </c>
      <c r="AJ5557">
        <v>99.359212968485593</v>
      </c>
      <c r="AK5557">
        <v>23.438448774101701</v>
      </c>
      <c r="AL5557">
        <v>89.623447973653995</v>
      </c>
      <c r="AM5557">
        <v>87.970031808749596</v>
      </c>
      <c r="AN5557">
        <v>0.99999994604666997</v>
      </c>
    </row>
    <row r="5558" spans="1:40" x14ac:dyDescent="0.25">
      <c r="A5558" t="str">
        <f>"20190312154714409"</f>
        <v>20190312154714409</v>
      </c>
      <c r="B5558" t="str">
        <f>"1552376834403712"</f>
        <v>1552376834403712</v>
      </c>
      <c r="C5558" t="s">
        <v>40</v>
      </c>
      <c r="D5558">
        <v>4.9630589999999897</v>
      </c>
      <c r="E5558">
        <v>0.42516680000000001</v>
      </c>
      <c r="F5558" t="s">
        <v>89</v>
      </c>
      <c r="G5558">
        <v>-213.75479999999999</v>
      </c>
      <c r="H5558" s="1">
        <v>-1.2920770000000001E-6</v>
      </c>
      <c r="I5558">
        <v>-56.469250000000002</v>
      </c>
      <c r="J5558">
        <v>-237.85890000000001</v>
      </c>
      <c r="K5558">
        <v>1.1065480000000001</v>
      </c>
      <c r="L5558">
        <v>-60.469149999999999</v>
      </c>
      <c r="M5558">
        <v>0.99989189999999994</v>
      </c>
      <c r="N5558">
        <v>0</v>
      </c>
      <c r="O5558" s="1">
        <v>3.2773420000000002E-5</v>
      </c>
      <c r="P5558">
        <v>0.99935200000000002</v>
      </c>
      <c r="Q5558">
        <v>-7.4186869999999898E-3</v>
      </c>
      <c r="R5558">
        <v>-3.5219680000000003E-2</v>
      </c>
      <c r="S5558">
        <v>3.0174560000000001</v>
      </c>
      <c r="T5558">
        <v>-0.1374947</v>
      </c>
      <c r="U5558">
        <v>0.49685669999999998</v>
      </c>
      <c r="V5558">
        <v>3.5306360000000002E-2</v>
      </c>
      <c r="W5558">
        <v>7.0140419999999998E-3</v>
      </c>
      <c r="X5558">
        <v>0.99935189999999996</v>
      </c>
      <c r="Y5558">
        <v>-0.1622767</v>
      </c>
      <c r="Z5558">
        <v>3.6691079999999999E-3</v>
      </c>
      <c r="AA5558">
        <v>0.98673840000000002</v>
      </c>
      <c r="AB5558">
        <v>34</v>
      </c>
      <c r="AC5558">
        <v>24.104099999999999</v>
      </c>
      <c r="AD5558">
        <v>-1.1065492920769999</v>
      </c>
      <c r="AE5558">
        <v>3.99989999999999</v>
      </c>
      <c r="AF5558">
        <v>-3.9909246170172099</v>
      </c>
      <c r="AG5558">
        <v>-1.1065492920769999</v>
      </c>
      <c r="AH5558">
        <v>24.054894892496701</v>
      </c>
      <c r="AI5558">
        <v>92.598338328743296</v>
      </c>
      <c r="AJ5558">
        <v>99.420081654097899</v>
      </c>
      <c r="AK5558">
        <v>24.408807814466801</v>
      </c>
      <c r="AL5558">
        <v>89.598121691973304</v>
      </c>
      <c r="AM5558">
        <v>87.976624236574594</v>
      </c>
      <c r="AN5558">
        <v>0.99999997793761797</v>
      </c>
    </row>
    <row r="5559" spans="1:40" x14ac:dyDescent="0.25">
      <c r="A5559" t="str">
        <f>"20190312154714420"</f>
        <v>20190312154714420</v>
      </c>
      <c r="B5559" t="str">
        <f>"1552376834413473"</f>
        <v>1552376834413473</v>
      </c>
      <c r="C5559" t="s">
        <v>40</v>
      </c>
      <c r="D5559">
        <v>4.9540480000000002</v>
      </c>
      <c r="E5559">
        <v>0.42477209999999899</v>
      </c>
      <c r="F5559" t="s">
        <v>89</v>
      </c>
      <c r="G5559">
        <v>-212.94</v>
      </c>
      <c r="H5559" s="1">
        <v>-1.037991E-6</v>
      </c>
      <c r="I5559">
        <v>-56.382060000000003</v>
      </c>
      <c r="J5559">
        <v>-237.6875</v>
      </c>
      <c r="K5559">
        <v>1.1065780000000001</v>
      </c>
      <c r="L5559">
        <v>-60.470550000000003</v>
      </c>
      <c r="M5559">
        <v>0.99989070000000002</v>
      </c>
      <c r="N5559">
        <v>0</v>
      </c>
      <c r="O5559">
        <v>-1.569656E-3</v>
      </c>
      <c r="P5559">
        <v>0.99931530000000002</v>
      </c>
      <c r="Q5559">
        <v>-6.8644650000000001E-3</v>
      </c>
      <c r="R5559">
        <v>-3.6359309999999999E-2</v>
      </c>
      <c r="S5559">
        <v>3.018402</v>
      </c>
      <c r="T5559">
        <v>-0.13403489999999901</v>
      </c>
      <c r="U5559">
        <v>0.4950562</v>
      </c>
      <c r="V5559">
        <v>3.4847990000000002E-2</v>
      </c>
      <c r="W5559">
        <v>7.5724049999999999E-3</v>
      </c>
      <c r="X5559">
        <v>0.99936400000000003</v>
      </c>
      <c r="Y5559">
        <v>-0.163241</v>
      </c>
      <c r="Z5559">
        <v>3.6678570000000001E-3</v>
      </c>
      <c r="AA5559">
        <v>0.9865794</v>
      </c>
      <c r="AB5559">
        <v>34</v>
      </c>
      <c r="AC5559">
        <v>24.747499999999999</v>
      </c>
      <c r="AD5559">
        <v>-1.1065790379909901</v>
      </c>
      <c r="AE5559">
        <v>4.0884900000000002</v>
      </c>
      <c r="AF5559">
        <v>-4.1193168370321702</v>
      </c>
      <c r="AG5559">
        <v>-1.1065790379909901</v>
      </c>
      <c r="AH5559">
        <v>24.692991566015799</v>
      </c>
      <c r="AI5559">
        <v>92.530977265529401</v>
      </c>
      <c r="AJ5559">
        <v>99.470942110210899</v>
      </c>
      <c r="AK5559">
        <v>25.0586735652649</v>
      </c>
      <c r="AL5559">
        <v>89.566129034029203</v>
      </c>
      <c r="AM5559">
        <v>88.002895758626593</v>
      </c>
      <c r="AN5559">
        <v>1.00000006411026</v>
      </c>
    </row>
    <row r="5560" spans="1:40" x14ac:dyDescent="0.25">
      <c r="A5560" t="str">
        <f>"20190312154714432"</f>
        <v>20190312154714432</v>
      </c>
      <c r="B5560" t="str">
        <f>"1552376834423233"</f>
        <v>1552376834423233</v>
      </c>
      <c r="C5560" t="s">
        <v>40</v>
      </c>
      <c r="D5560">
        <v>4.9613060000000004</v>
      </c>
      <c r="E5560">
        <v>0.42438749999999997</v>
      </c>
      <c r="F5560" t="s">
        <v>89</v>
      </c>
      <c r="G5560">
        <v>-211.9795</v>
      </c>
      <c r="H5560" s="1">
        <v>-7.4395480000000004E-7</v>
      </c>
      <c r="I5560">
        <v>-56.258780000000002</v>
      </c>
      <c r="J5560">
        <v>-237.49889999999999</v>
      </c>
      <c r="K5560">
        <v>1.106616</v>
      </c>
      <c r="L5560">
        <v>-60.472499999999997</v>
      </c>
      <c r="M5560">
        <v>0.99988650000000001</v>
      </c>
      <c r="N5560">
        <v>0</v>
      </c>
      <c r="O5560">
        <v>-3.2990329999999998E-3</v>
      </c>
      <c r="P5560">
        <v>0.99925679999999995</v>
      </c>
      <c r="Q5560">
        <v>-6.7078299999999997E-3</v>
      </c>
      <c r="R5560">
        <v>-3.7960960000000002E-2</v>
      </c>
      <c r="S5560">
        <v>3.01918</v>
      </c>
      <c r="T5560">
        <v>-0.12995789999999999</v>
      </c>
      <c r="U5560">
        <v>0.49462889999999998</v>
      </c>
      <c r="V5560">
        <v>3.4721769999999999E-2</v>
      </c>
      <c r="W5560">
        <v>7.7302330000000004E-3</v>
      </c>
      <c r="X5560">
        <v>0.99936709999999995</v>
      </c>
      <c r="Y5560">
        <v>-0.16477710000000001</v>
      </c>
      <c r="Z5560">
        <v>3.6622849999999999E-3</v>
      </c>
      <c r="AA5560">
        <v>0.98632399999999998</v>
      </c>
      <c r="AB5560">
        <v>34</v>
      </c>
      <c r="AC5560">
        <v>25.519399999999901</v>
      </c>
      <c r="AD5560">
        <v>-1.1066167439548</v>
      </c>
      <c r="AE5560">
        <v>4.2137199999999897</v>
      </c>
      <c r="AF5560">
        <v>-4.29004255154784</v>
      </c>
      <c r="AG5560">
        <v>-1.1066167439548</v>
      </c>
      <c r="AH5560">
        <v>25.458755955731998</v>
      </c>
      <c r="AI5560">
        <v>92.4543520885357</v>
      </c>
      <c r="AJ5560">
        <v>99.565024976893696</v>
      </c>
      <c r="AK5560">
        <v>25.8413877438038</v>
      </c>
      <c r="AL5560">
        <v>89.5570858539879</v>
      </c>
      <c r="AM5560">
        <v>88.010129645280003</v>
      </c>
      <c r="AN5560">
        <v>0.99999997918828798</v>
      </c>
    </row>
    <row r="5561" spans="1:40" x14ac:dyDescent="0.25">
      <c r="A5561" t="str">
        <f>"20190312154714445"</f>
        <v>20190312154714445</v>
      </c>
      <c r="B5561" t="str">
        <f>"1552376834433968"</f>
        <v>1552376834433968</v>
      </c>
      <c r="C5561" t="s">
        <v>40</v>
      </c>
      <c r="D5561">
        <v>4.9978939999999996</v>
      </c>
      <c r="E5561">
        <v>0.42405100000000001</v>
      </c>
      <c r="F5561" t="s">
        <v>89</v>
      </c>
      <c r="G5561">
        <v>-211.18979999999999</v>
      </c>
      <c r="H5561" s="1">
        <v>-4.9593309999999999E-7</v>
      </c>
      <c r="I5561">
        <v>-56.18083</v>
      </c>
      <c r="J5561">
        <v>-237.3065</v>
      </c>
      <c r="K5561">
        <v>1.1066549999999999</v>
      </c>
      <c r="L5561">
        <v>-60.474670000000003</v>
      </c>
      <c r="M5561">
        <v>0.99987930000000003</v>
      </c>
      <c r="N5561">
        <v>0</v>
      </c>
      <c r="O5561">
        <v>-5.0463359999999898E-3</v>
      </c>
      <c r="P5561">
        <v>0.99920330000000002</v>
      </c>
      <c r="Q5561">
        <v>-6.7687310000000001E-3</v>
      </c>
      <c r="R5561">
        <v>-3.933391E-2</v>
      </c>
      <c r="S5561">
        <v>3.0200960000000001</v>
      </c>
      <c r="T5561">
        <v>-0.12703119999999901</v>
      </c>
      <c r="U5561">
        <v>0.49264530000000001</v>
      </c>
      <c r="V5561">
        <v>3.4347500000000003E-2</v>
      </c>
      <c r="W5561">
        <v>7.6725369999999897E-3</v>
      </c>
      <c r="X5561">
        <v>0.9993805</v>
      </c>
      <c r="Y5561">
        <v>-0.16582629999999901</v>
      </c>
      <c r="Z5561">
        <v>3.6739120000000001E-3</v>
      </c>
      <c r="AA5561">
        <v>0.98614809999999997</v>
      </c>
      <c r="AB5561">
        <v>34</v>
      </c>
      <c r="AC5561">
        <v>26.116700000000002</v>
      </c>
      <c r="AD5561">
        <v>-1.1066554959331001</v>
      </c>
      <c r="AE5561">
        <v>4.2938399999999799</v>
      </c>
      <c r="AF5561">
        <v>-4.4178696244013196</v>
      </c>
      <c r="AG5561">
        <v>-1.1066554959331001</v>
      </c>
      <c r="AH5561">
        <v>26.049156306847401</v>
      </c>
      <c r="AI5561">
        <v>92.398445802004503</v>
      </c>
      <c r="AJ5561">
        <v>99.625625410745698</v>
      </c>
      <c r="AK5561">
        <v>26.444296222502398</v>
      </c>
      <c r="AL5561">
        <v>89.560391699058201</v>
      </c>
      <c r="AM5561">
        <v>88.031588096488704</v>
      </c>
      <c r="AN5561">
        <v>1.0000000011802499</v>
      </c>
    </row>
    <row r="5562" spans="1:40" x14ac:dyDescent="0.25">
      <c r="A5562" t="str">
        <f>"20190312154714458"</f>
        <v>20190312154714458</v>
      </c>
      <c r="B5562" t="str">
        <f>"1552376834453488"</f>
        <v>1552376834453488</v>
      </c>
      <c r="C5562" t="s">
        <v>40</v>
      </c>
      <c r="D5562">
        <v>4.4968709999999996</v>
      </c>
      <c r="E5562">
        <v>0.42330410000000002</v>
      </c>
      <c r="F5562" t="s">
        <v>89</v>
      </c>
      <c r="G5562">
        <v>-210.69059999999999</v>
      </c>
      <c r="H5562" s="1">
        <v>-3.3469669999999999E-7</v>
      </c>
      <c r="I5562">
        <v>-56.148330000000001</v>
      </c>
      <c r="J5562">
        <v>-237.11089999999999</v>
      </c>
      <c r="K5562">
        <v>1.1067039999999999</v>
      </c>
      <c r="L5562">
        <v>-60.477359999999997</v>
      </c>
      <c r="M5562">
        <v>0.99986909999999896</v>
      </c>
      <c r="N5562">
        <v>0</v>
      </c>
      <c r="O5562">
        <v>-6.7801399999999996E-3</v>
      </c>
      <c r="P5562">
        <v>0.99916269999999996</v>
      </c>
      <c r="Q5562">
        <v>-6.9956369999999999E-3</v>
      </c>
      <c r="R5562">
        <v>-4.0314170000000003E-2</v>
      </c>
      <c r="S5562">
        <v>3.0208740000000001</v>
      </c>
      <c r="T5562">
        <v>-0.12560399999999999</v>
      </c>
      <c r="U5562">
        <v>0.49102780000000001</v>
      </c>
      <c r="V5562">
        <v>3.3592329999999997E-2</v>
      </c>
      <c r="W5562">
        <v>7.4512909999999996E-3</v>
      </c>
      <c r="X5562">
        <v>0.99940779999999996</v>
      </c>
      <c r="Y5562">
        <v>-0.1669823</v>
      </c>
      <c r="Z5562">
        <v>3.7273829999999999E-3</v>
      </c>
      <c r="AA5562">
        <v>0.98595290000000002</v>
      </c>
      <c r="AB5562">
        <v>34</v>
      </c>
      <c r="AC5562">
        <v>26.420300000000001</v>
      </c>
      <c r="AD5562">
        <v>-1.1067043346967</v>
      </c>
      <c r="AE5562">
        <v>4.3290299999999897</v>
      </c>
      <c r="AF5562">
        <v>-4.5003930361811504</v>
      </c>
      <c r="AG5562">
        <v>-1.1067043346967</v>
      </c>
      <c r="AH5562">
        <v>26.3453200921251</v>
      </c>
      <c r="AI5562">
        <v>92.371138606610501</v>
      </c>
      <c r="AJ5562">
        <v>99.6938825871907</v>
      </c>
      <c r="AK5562">
        <v>26.749845284058701</v>
      </c>
      <c r="AL5562">
        <v>89.573068505348701</v>
      </c>
      <c r="AM5562">
        <v>88.074885553491001</v>
      </c>
      <c r="AN5562">
        <v>0.99999995853661705</v>
      </c>
    </row>
    <row r="5563" spans="1:40" x14ac:dyDescent="0.25">
      <c r="A5563" t="str">
        <f>"20190312154714471"</f>
        <v>20190312154714471</v>
      </c>
      <c r="B5563" t="str">
        <f>"1552376834463248"</f>
        <v>1552376834463248</v>
      </c>
      <c r="C5563" t="s">
        <v>40</v>
      </c>
      <c r="D5563">
        <v>4.9630419999999997</v>
      </c>
      <c r="E5563">
        <v>0.42291099999999998</v>
      </c>
      <c r="F5563" t="s">
        <v>89</v>
      </c>
      <c r="G5563">
        <v>-210.387</v>
      </c>
      <c r="H5563" s="1">
        <v>-2.4197749999999998E-7</v>
      </c>
      <c r="I5563">
        <v>-56.108539999999998</v>
      </c>
      <c r="J5563">
        <v>-236.92250000000001</v>
      </c>
      <c r="K5563">
        <v>1.1067499999999999</v>
      </c>
      <c r="L5563">
        <v>-60.480159999999998</v>
      </c>
      <c r="M5563">
        <v>0.99985659999999998</v>
      </c>
      <c r="N5563">
        <v>0</v>
      </c>
      <c r="O5563">
        <v>-8.4215509999999993E-3</v>
      </c>
      <c r="P5563">
        <v>0.99911539999999999</v>
      </c>
      <c r="Q5563">
        <v>-6.9317429999999998E-3</v>
      </c>
      <c r="R5563">
        <v>-4.1478349999999997E-2</v>
      </c>
      <c r="S5563">
        <v>3.0215610000000002</v>
      </c>
      <c r="T5563">
        <v>-0.125130399999999</v>
      </c>
      <c r="U5563">
        <v>0.49395749999999999</v>
      </c>
      <c r="V5563">
        <v>3.3115739999999998E-2</v>
      </c>
      <c r="W5563">
        <v>7.5194759999999998E-3</v>
      </c>
      <c r="X5563">
        <v>0.99942330000000001</v>
      </c>
      <c r="Y5563">
        <v>-0.1694938</v>
      </c>
      <c r="Z5563">
        <v>3.8313840000000002E-3</v>
      </c>
      <c r="AA5563">
        <v>0.98552379999999995</v>
      </c>
      <c r="AB5563">
        <v>34</v>
      </c>
      <c r="AC5563">
        <v>26.535499999999999</v>
      </c>
      <c r="AD5563">
        <v>-1.1067502419774999</v>
      </c>
      <c r="AE5563">
        <v>4.3716199999999903</v>
      </c>
      <c r="AF5563">
        <v>-4.5871901988290604</v>
      </c>
      <c r="AG5563">
        <v>-1.1067502419774999</v>
      </c>
      <c r="AH5563">
        <v>26.452937928304699</v>
      </c>
      <c r="AI5563">
        <v>92.360581346932804</v>
      </c>
      <c r="AJ5563">
        <v>99.837799510739302</v>
      </c>
      <c r="AK5563">
        <v>26.8705253960002</v>
      </c>
      <c r="AL5563">
        <v>89.569161728302703</v>
      </c>
      <c r="AM5563">
        <v>88.102207342240305</v>
      </c>
      <c r="AN5563">
        <v>1.0000000636689701</v>
      </c>
    </row>
    <row r="5564" spans="1:40" x14ac:dyDescent="0.25">
      <c r="A5564" t="str">
        <f>"20190312154714484"</f>
        <v>20190312154714484</v>
      </c>
      <c r="B5564" t="str">
        <f>"1552376834473984"</f>
        <v>1552376834473984</v>
      </c>
      <c r="C5564" t="s">
        <v>40</v>
      </c>
      <c r="D5564">
        <v>4.918774</v>
      </c>
      <c r="E5564">
        <v>0.42258889999999999</v>
      </c>
      <c r="F5564" t="s">
        <v>89</v>
      </c>
      <c r="G5564">
        <v>-210.2491</v>
      </c>
      <c r="H5564" s="1">
        <v>-1.907606E-7</v>
      </c>
      <c r="I5564">
        <v>-56.124679999999998</v>
      </c>
      <c r="J5564">
        <v>-236.71559999999999</v>
      </c>
      <c r="K5564">
        <v>1.106803</v>
      </c>
      <c r="L5564">
        <v>-60.483490000000003</v>
      </c>
      <c r="M5564">
        <v>0.99984030000000002</v>
      </c>
      <c r="N5564">
        <v>0</v>
      </c>
      <c r="O5564">
        <v>-1.019952E-2</v>
      </c>
      <c r="P5564">
        <v>0.99906519999999999</v>
      </c>
      <c r="Q5564">
        <v>-6.9184939999999999E-3</v>
      </c>
      <c r="R5564">
        <v>-4.2678769999999998E-2</v>
      </c>
      <c r="S5564">
        <v>3.022278</v>
      </c>
      <c r="T5564">
        <v>-0.12540229999999999</v>
      </c>
      <c r="U5564">
        <v>0.49349979999999899</v>
      </c>
      <c r="V5564">
        <v>3.253843E-2</v>
      </c>
      <c r="W5564">
        <v>7.5371190000000001E-3</v>
      </c>
      <c r="X5564">
        <v>0.99944200000000005</v>
      </c>
      <c r="Y5564">
        <v>-0.17105999999999999</v>
      </c>
      <c r="Z5564">
        <v>3.9444060000000001E-3</v>
      </c>
      <c r="AA5564">
        <v>0.98525269999999998</v>
      </c>
      <c r="AB5564">
        <v>34</v>
      </c>
      <c r="AC5564">
        <v>26.4665</v>
      </c>
      <c r="AD5564">
        <v>-1.1068031907606</v>
      </c>
      <c r="AE5564">
        <v>4.3588099999999903</v>
      </c>
      <c r="AF5564">
        <v>-4.6206904725732896</v>
      </c>
      <c r="AG5564">
        <v>-1.1068031907606</v>
      </c>
      <c r="AH5564">
        <v>26.375751798676301</v>
      </c>
      <c r="AI5564">
        <v>92.366883644724197</v>
      </c>
      <c r="AJ5564">
        <v>99.9366445728526</v>
      </c>
      <c r="AK5564">
        <v>26.800299936601199</v>
      </c>
      <c r="AL5564">
        <v>89.568150774489695</v>
      </c>
      <c r="AM5564">
        <v>88.135303051804399</v>
      </c>
      <c r="AN5564">
        <v>0.99999993447683999</v>
      </c>
    </row>
    <row r="5565" spans="1:40" x14ac:dyDescent="0.25">
      <c r="A5565" t="str">
        <f>"20190312154714498"</f>
        <v>20190312154714498</v>
      </c>
      <c r="B5565" t="str">
        <f>"1552376834493504"</f>
        <v>1552376834493504</v>
      </c>
      <c r="C5565" t="s">
        <v>40</v>
      </c>
      <c r="D5565">
        <v>4.9971259999999997</v>
      </c>
      <c r="E5565">
        <v>0.4217051</v>
      </c>
      <c r="F5565" t="s">
        <v>89</v>
      </c>
      <c r="G5565">
        <v>-210.50640000000001</v>
      </c>
      <c r="H5565" s="1">
        <v>-2.5454800000000001E-7</v>
      </c>
      <c r="I5565">
        <v>-56.2140699999999</v>
      </c>
      <c r="J5565">
        <v>-236.4958</v>
      </c>
      <c r="K5565">
        <v>1.1068659999999999</v>
      </c>
      <c r="L5565">
        <v>-60.487520000000004</v>
      </c>
      <c r="M5565">
        <v>0.99981989999999998</v>
      </c>
      <c r="N5565">
        <v>0</v>
      </c>
      <c r="O5565">
        <v>-1.202661E-2</v>
      </c>
      <c r="P5565">
        <v>0.99902690000000005</v>
      </c>
      <c r="Q5565">
        <v>-6.5326610000000004E-3</v>
      </c>
      <c r="R5565">
        <v>-4.3618270000000001E-2</v>
      </c>
      <c r="S5565">
        <v>3.02298</v>
      </c>
      <c r="T5565">
        <v>-0.1276593</v>
      </c>
      <c r="U5565">
        <v>0.49243160000000002</v>
      </c>
      <c r="V5565">
        <v>3.1653689999999998E-2</v>
      </c>
      <c r="W5565">
        <v>7.9300220000000001E-3</v>
      </c>
      <c r="X5565">
        <v>0.99946740000000001</v>
      </c>
      <c r="Y5565">
        <v>-0.1724765</v>
      </c>
      <c r="Z5565">
        <v>4.1208879999999996E-3</v>
      </c>
      <c r="AA5565">
        <v>0.98500500000000002</v>
      </c>
      <c r="AB5565">
        <v>34</v>
      </c>
      <c r="AC5565">
        <v>25.9893999999999</v>
      </c>
      <c r="AD5565">
        <v>-1.1068662545479999</v>
      </c>
      <c r="AE5565">
        <v>4.2734500000000004</v>
      </c>
      <c r="AF5565">
        <v>-4.57765440877382</v>
      </c>
      <c r="AG5565">
        <v>-1.1068662545479999</v>
      </c>
      <c r="AH5565">
        <v>25.8903946954328</v>
      </c>
      <c r="AI5565">
        <v>92.410673254007094</v>
      </c>
      <c r="AJ5565">
        <v>100.02678185639</v>
      </c>
      <c r="AK5565">
        <v>26.315254326662298</v>
      </c>
      <c r="AL5565">
        <v>89.545638428724203</v>
      </c>
      <c r="AM5565">
        <v>88.186017034213407</v>
      </c>
      <c r="AN5565">
        <v>0.99999996250114698</v>
      </c>
    </row>
    <row r="5566" spans="1:40" x14ac:dyDescent="0.25">
      <c r="A5566" t="str">
        <f>"20190312154714510"</f>
        <v>20190312154714510</v>
      </c>
      <c r="B5566" t="str">
        <f>"1552376834503264"</f>
        <v>1552376834503264</v>
      </c>
      <c r="C5566" t="s">
        <v>40</v>
      </c>
      <c r="D5566">
        <v>4.9553969999999996</v>
      </c>
      <c r="E5566">
        <v>0.4215275</v>
      </c>
      <c r="F5566" t="s">
        <v>89</v>
      </c>
      <c r="G5566">
        <v>-210.10050000000001</v>
      </c>
      <c r="H5566" s="1">
        <v>-1.32596E-7</v>
      </c>
      <c r="I5566">
        <v>-56.153210000000001</v>
      </c>
      <c r="J5566">
        <v>-236.32429999999999</v>
      </c>
      <c r="K5566">
        <v>1.1069150000000001</v>
      </c>
      <c r="L5566">
        <v>-60.49091</v>
      </c>
      <c r="M5566">
        <v>0.99980219999999997</v>
      </c>
      <c r="N5566">
        <v>0</v>
      </c>
      <c r="O5566">
        <v>-1.3423940000000001E-2</v>
      </c>
      <c r="P5566">
        <v>0.9989905</v>
      </c>
      <c r="Q5566">
        <v>-6.1664119999999996E-3</v>
      </c>
      <c r="R5566">
        <v>-4.4499459999999998E-2</v>
      </c>
      <c r="S5566">
        <v>3.0237729999999998</v>
      </c>
      <c r="T5566">
        <v>-0.12679949999999901</v>
      </c>
      <c r="U5566">
        <v>0.49652099999999999</v>
      </c>
      <c r="V5566">
        <v>3.113962E-2</v>
      </c>
      <c r="W5566">
        <v>8.3005119999999995E-3</v>
      </c>
      <c r="X5566">
        <v>0.99948060000000005</v>
      </c>
      <c r="Y5566">
        <v>-0.17510770000000001</v>
      </c>
      <c r="Z5566">
        <v>4.2046469999999997E-3</v>
      </c>
      <c r="AA5566">
        <v>0.98454030000000003</v>
      </c>
      <c r="AB5566">
        <v>34</v>
      </c>
      <c r="AC5566">
        <v>26.223799999999901</v>
      </c>
      <c r="AD5566">
        <v>-1.1069151325959901</v>
      </c>
      <c r="AE5566">
        <v>4.3376999999999999</v>
      </c>
      <c r="AF5566">
        <v>-4.6812551787256904</v>
      </c>
      <c r="AG5566">
        <v>-1.1069151325959901</v>
      </c>
      <c r="AH5566">
        <v>26.1179060324273</v>
      </c>
      <c r="AI5566">
        <v>92.3888046571318</v>
      </c>
      <c r="AJ5566">
        <v>100.161538483603</v>
      </c>
      <c r="AK5566">
        <v>26.5571916188029</v>
      </c>
      <c r="AL5566">
        <v>89.524410243771797</v>
      </c>
      <c r="AM5566">
        <v>88.215481271392804</v>
      </c>
      <c r="AN5566">
        <v>1.00000002210478</v>
      </c>
    </row>
    <row r="5567" spans="1:40" x14ac:dyDescent="0.25">
      <c r="A5567" t="str">
        <f>"20190312154714520"</f>
        <v>20190312154714520</v>
      </c>
      <c r="B5567" t="str">
        <f>"1552376834514001"</f>
        <v>1552376834514001</v>
      </c>
      <c r="C5567" t="s">
        <v>40</v>
      </c>
      <c r="D5567">
        <v>5.0535059999999996</v>
      </c>
      <c r="E5567">
        <v>0.4215275</v>
      </c>
      <c r="F5567" t="s">
        <v>89</v>
      </c>
      <c r="G5567">
        <v>-210.08629999999999</v>
      </c>
      <c r="H5567" s="1">
        <v>-1.16902E-7</v>
      </c>
      <c r="I5567">
        <v>-56.194009999999999</v>
      </c>
      <c r="J5567">
        <v>-236.15809999999999</v>
      </c>
      <c r="K5567">
        <v>1.106968</v>
      </c>
      <c r="L5567">
        <v>-60.494349999999997</v>
      </c>
      <c r="M5567">
        <v>0.99978339999999999</v>
      </c>
      <c r="N5567">
        <v>0</v>
      </c>
      <c r="O5567">
        <v>-1.4757620000000001E-2</v>
      </c>
      <c r="P5567">
        <v>0.99895829999999997</v>
      </c>
      <c r="Q5567">
        <v>-6.002103E-3</v>
      </c>
      <c r="R5567">
        <v>-4.5236350000000002E-2</v>
      </c>
      <c r="S5567">
        <v>3.024292</v>
      </c>
      <c r="T5567">
        <v>-0.12758699999999901</v>
      </c>
      <c r="U5567">
        <v>0.49526979999999998</v>
      </c>
      <c r="V5567">
        <v>3.054366E-2</v>
      </c>
      <c r="W5567">
        <v>8.4688279999999994E-3</v>
      </c>
      <c r="X5567">
        <v>0.99949750000000004</v>
      </c>
      <c r="Y5567">
        <v>-0.17599339999999999</v>
      </c>
      <c r="Z5567">
        <v>4.3046129999999997E-3</v>
      </c>
      <c r="AA5567">
        <v>0.98438190000000003</v>
      </c>
      <c r="AB5567">
        <v>34</v>
      </c>
      <c r="AC5567">
        <v>26.0718</v>
      </c>
      <c r="AD5567">
        <v>-1.106968116902</v>
      </c>
      <c r="AE5567">
        <v>4.3003399999999896</v>
      </c>
      <c r="AF5567">
        <v>-4.67646367746298</v>
      </c>
      <c r="AG5567">
        <v>-1.106968116902</v>
      </c>
      <c r="AH5567">
        <v>25.959931557375</v>
      </c>
      <c r="AI5567">
        <v>92.403060589723395</v>
      </c>
      <c r="AJ5567">
        <v>100.211832147099</v>
      </c>
      <c r="AK5567">
        <v>26.400998795539198</v>
      </c>
      <c r="AL5567">
        <v>89.514766070813593</v>
      </c>
      <c r="AM5567">
        <v>88.249642086184096</v>
      </c>
      <c r="AN5567">
        <v>0.999999944360068</v>
      </c>
    </row>
    <row r="5568" spans="1:40" x14ac:dyDescent="0.25">
      <c r="A5568" t="str">
        <f>"20190312154714532"</f>
        <v>20190312154714532</v>
      </c>
      <c r="B5568" t="str">
        <f>"1552376834523761"</f>
        <v>1552376834523761</v>
      </c>
      <c r="C5568" t="s">
        <v>40</v>
      </c>
      <c r="D5568">
        <v>5.3294959999999998</v>
      </c>
      <c r="E5568">
        <v>0.45361190000000001</v>
      </c>
      <c r="F5568" t="s">
        <v>71</v>
      </c>
      <c r="G5568">
        <v>-209.9435</v>
      </c>
      <c r="H5568" s="1">
        <v>-1.114804E-6</v>
      </c>
      <c r="I5568">
        <v>-56.222019999999901</v>
      </c>
      <c r="J5568">
        <v>-235.98310000000001</v>
      </c>
      <c r="K5568">
        <v>1.1070230000000001</v>
      </c>
      <c r="L5568">
        <v>-60.49823</v>
      </c>
      <c r="M5568">
        <v>0.9997625</v>
      </c>
      <c r="N5568">
        <v>0</v>
      </c>
      <c r="O5568">
        <v>-1.6116780000000001E-2</v>
      </c>
      <c r="P5568">
        <v>0.99892899999999996</v>
      </c>
      <c r="Q5568">
        <v>-5.7267890000000004E-3</v>
      </c>
      <c r="R5568">
        <v>-4.5913089999999997E-2</v>
      </c>
      <c r="S5568">
        <v>3.024689</v>
      </c>
      <c r="T5568">
        <v>-0.12772439999999999</v>
      </c>
      <c r="U5568">
        <v>0.49295040000000001</v>
      </c>
      <c r="V5568">
        <v>2.9862779999999998E-2</v>
      </c>
      <c r="W5568">
        <v>8.7496750000000002E-3</v>
      </c>
      <c r="X5568">
        <v>0.99951570000000001</v>
      </c>
      <c r="Y5568">
        <v>-0.1765737</v>
      </c>
      <c r="Z5568">
        <v>4.3781499999999999E-3</v>
      </c>
      <c r="AA5568">
        <v>0.98427770000000003</v>
      </c>
      <c r="AB5568">
        <v>34</v>
      </c>
      <c r="AC5568">
        <v>26.0396</v>
      </c>
      <c r="AD5568">
        <v>-1.1070241148040001</v>
      </c>
      <c r="AE5568">
        <v>4.2762100000000096</v>
      </c>
      <c r="AF5568">
        <v>-4.6871252540094899</v>
      </c>
      <c r="AG5568">
        <v>-1.1070241148040001</v>
      </c>
      <c r="AH5568">
        <v>25.921671384010601</v>
      </c>
      <c r="AI5568">
        <v>92.406440402741595</v>
      </c>
      <c r="AJ5568">
        <v>100.249408150547</v>
      </c>
      <c r="AK5568">
        <v>26.3652743751732</v>
      </c>
      <c r="AL5568">
        <v>89.4986741478303</v>
      </c>
      <c r="AM5568">
        <v>88.288668782685704</v>
      </c>
      <c r="AN5568">
        <v>0.99999998849421101</v>
      </c>
    </row>
    <row r="5569" spans="1:40" x14ac:dyDescent="0.25">
      <c r="A5569" t="str">
        <f>"20190312154714544"</f>
        <v>20190312154714544</v>
      </c>
      <c r="B5569" t="str">
        <f>"1552376834533522"</f>
        <v>1552376834533522</v>
      </c>
      <c r="C5569" t="s">
        <v>40</v>
      </c>
      <c r="D5569">
        <v>5.1344719999999997</v>
      </c>
      <c r="E5569">
        <v>0.46386139999999998</v>
      </c>
      <c r="F5569" t="s">
        <v>89</v>
      </c>
      <c r="G5569">
        <v>-212.83580000000001</v>
      </c>
      <c r="H5569" s="1">
        <v>-4.8635900000000005E-7</v>
      </c>
      <c r="I5569">
        <v>-58.688090000000003</v>
      </c>
      <c r="J5569">
        <v>-235.8058</v>
      </c>
      <c r="K5569">
        <v>1.1070799999999901</v>
      </c>
      <c r="L5569">
        <v>-60.502319999999997</v>
      </c>
      <c r="M5569">
        <v>0.9997395</v>
      </c>
      <c r="N5569">
        <v>0</v>
      </c>
      <c r="O5569">
        <v>-1.7477929999999999E-2</v>
      </c>
      <c r="P5569">
        <v>0.9989017</v>
      </c>
      <c r="Q5569">
        <v>-5.5573130000000004E-3</v>
      </c>
      <c r="R5569">
        <v>-4.6523839999999997E-2</v>
      </c>
      <c r="S5569">
        <v>3.0131839999999999</v>
      </c>
      <c r="T5569">
        <v>-0.14410590000000001</v>
      </c>
      <c r="U5569">
        <v>0.23562620000000001</v>
      </c>
      <c r="V5569">
        <v>2.9112929999999999E-2</v>
      </c>
      <c r="W5569">
        <v>8.9241909999999997E-3</v>
      </c>
      <c r="X5569">
        <v>0.99953630000000004</v>
      </c>
      <c r="Y5569">
        <v>-9.5247029999999996E-2</v>
      </c>
      <c r="Z5569">
        <v>3.107173E-3</v>
      </c>
      <c r="AA5569">
        <v>0.99544880000000002</v>
      </c>
      <c r="AB5569">
        <v>34</v>
      </c>
      <c r="AC5569">
        <v>22.97</v>
      </c>
      <c r="AD5569">
        <v>-1.10708048635899</v>
      </c>
      <c r="AE5569">
        <v>1.81422999999999</v>
      </c>
      <c r="AF5569">
        <v>-2.2103614371005502</v>
      </c>
      <c r="AG5569">
        <v>-1.10708048635899</v>
      </c>
      <c r="AH5569">
        <v>22.881954473875801</v>
      </c>
      <c r="AI5569">
        <v>92.757124941315197</v>
      </c>
      <c r="AJ5569">
        <v>95.517564300077694</v>
      </c>
      <c r="AK5569">
        <v>23.015107330412899</v>
      </c>
      <c r="AL5569">
        <v>89.488674737717602</v>
      </c>
      <c r="AM5569">
        <v>88.331649823583902</v>
      </c>
      <c r="AN5569">
        <v>1.00000000944793</v>
      </c>
    </row>
    <row r="5570" spans="1:40" x14ac:dyDescent="0.25">
      <c r="A5570" t="str">
        <f>"20190312154714556"</f>
        <v>20190312154714556</v>
      </c>
      <c r="B5570" t="str">
        <f>"1552376834543281"</f>
        <v>1552376834543281</v>
      </c>
      <c r="C5570" t="s">
        <v>40</v>
      </c>
      <c r="D5570">
        <v>5.0226670000000002</v>
      </c>
      <c r="E5570">
        <v>0.47296779999999999</v>
      </c>
      <c r="F5570" t="s">
        <v>89</v>
      </c>
      <c r="G5570">
        <v>-213.12350000000001</v>
      </c>
      <c r="H5570" s="1">
        <v>-4.9132419999999997E-7</v>
      </c>
      <c r="I5570">
        <v>-59.355930000000001</v>
      </c>
      <c r="J5570">
        <v>-235.60890000000001</v>
      </c>
      <c r="K5570">
        <v>1.1071530000000001</v>
      </c>
      <c r="L5570">
        <v>-60.507199999999997</v>
      </c>
      <c r="M5570">
        <v>0.99971339999999997</v>
      </c>
      <c r="N5570">
        <v>0</v>
      </c>
      <c r="O5570">
        <v>-1.8919100000000001E-2</v>
      </c>
      <c r="P5570">
        <v>0.99887190000000003</v>
      </c>
      <c r="Q5570">
        <v>-5.5789719999999998E-3</v>
      </c>
      <c r="R5570">
        <v>-4.7156669999999998E-2</v>
      </c>
      <c r="S5570">
        <v>3.0095519999999998</v>
      </c>
      <c r="T5570">
        <v>-0.14689079999999999</v>
      </c>
      <c r="U5570">
        <v>0.1520996</v>
      </c>
      <c r="V5570">
        <v>2.830351E-2</v>
      </c>
      <c r="W5570">
        <v>8.9079810000000006E-3</v>
      </c>
      <c r="X5570">
        <v>0.99955970000000005</v>
      </c>
      <c r="Y5570">
        <v>-6.9257799999999994E-2</v>
      </c>
      <c r="Z5570">
        <v>2.6105310000000001E-3</v>
      </c>
      <c r="AA5570">
        <v>0.99759540000000002</v>
      </c>
      <c r="AB5570">
        <v>34</v>
      </c>
      <c r="AC5570">
        <v>22.485399999999998</v>
      </c>
      <c r="AD5570">
        <v>-1.1071534913241901</v>
      </c>
      <c r="AE5570">
        <v>1.15126999999998</v>
      </c>
      <c r="AF5570">
        <v>-1.57271020951735</v>
      </c>
      <c r="AG5570">
        <v>-1.1071534913241901</v>
      </c>
      <c r="AH5570">
        <v>22.405412390401199</v>
      </c>
      <c r="AI5570">
        <v>92.8220120344496</v>
      </c>
      <c r="AJ5570">
        <v>94.015195018869207</v>
      </c>
      <c r="AK5570">
        <v>22.487812491223199</v>
      </c>
      <c r="AL5570">
        <v>89.4896035432388</v>
      </c>
      <c r="AM5570">
        <v>88.378047393327094</v>
      </c>
      <c r="AN5570">
        <v>1.0000000173339501</v>
      </c>
    </row>
    <row r="5571" spans="1:40" x14ac:dyDescent="0.25">
      <c r="A5571" t="str">
        <f>"20190312154714569"</f>
        <v>20190312154714569</v>
      </c>
      <c r="B5571" t="str">
        <f>"1552376834563271"</f>
        <v>1552376834563271</v>
      </c>
      <c r="C5571" t="s">
        <v>40</v>
      </c>
      <c r="D5571">
        <v>5.0367839999999999</v>
      </c>
      <c r="E5571">
        <v>0.48300349999999997</v>
      </c>
      <c r="F5571" t="s">
        <v>89</v>
      </c>
      <c r="G5571">
        <v>-213.7979</v>
      </c>
      <c r="H5571" s="1">
        <v>-6.7642599999999997E-7</v>
      </c>
      <c r="I5571">
        <v>-59.943420000000003</v>
      </c>
      <c r="J5571">
        <v>-235.41569999999999</v>
      </c>
      <c r="K5571">
        <v>1.107221</v>
      </c>
      <c r="L5571">
        <v>-60.512180000000001</v>
      </c>
      <c r="M5571">
        <v>0.99968650000000003</v>
      </c>
      <c r="N5571">
        <v>0</v>
      </c>
      <c r="O5571">
        <v>-2.0300809999999999E-2</v>
      </c>
      <c r="P5571">
        <v>0.99884170000000005</v>
      </c>
      <c r="Q5571">
        <v>-5.3151889999999997E-3</v>
      </c>
      <c r="R5571">
        <v>-4.7826279999999999E-2</v>
      </c>
      <c r="S5571">
        <v>3.006195</v>
      </c>
      <c r="T5571">
        <v>-0.1525985</v>
      </c>
      <c r="U5571">
        <v>7.7697749999999996E-2</v>
      </c>
      <c r="V5571">
        <v>2.7592209999999999E-2</v>
      </c>
      <c r="W5571">
        <v>9.1773810000000001E-3</v>
      </c>
      <c r="X5571">
        <v>0.9995771</v>
      </c>
      <c r="Y5571">
        <v>-4.6042760000000002E-2</v>
      </c>
      <c r="Z5571">
        <v>2.1974360000000001E-3</v>
      </c>
      <c r="AA5571">
        <v>0.99893710000000002</v>
      </c>
      <c r="AB5571">
        <v>34</v>
      </c>
      <c r="AC5571">
        <v>21.6177999999999</v>
      </c>
      <c r="AD5571">
        <v>-1.1072216764259999</v>
      </c>
      <c r="AE5571">
        <v>0.56876000000001103</v>
      </c>
      <c r="AF5571">
        <v>-1.0049143924927399</v>
      </c>
      <c r="AG5571">
        <v>-1.1072216764259999</v>
      </c>
      <c r="AH5571">
        <v>21.545315961505601</v>
      </c>
      <c r="AI5571">
        <v>92.938673971984002</v>
      </c>
      <c r="AJ5571">
        <v>92.670448437352107</v>
      </c>
      <c r="AK5571">
        <v>21.597139455448598</v>
      </c>
      <c r="AL5571">
        <v>89.474167402666595</v>
      </c>
      <c r="AM5571">
        <v>88.418815492625697</v>
      </c>
      <c r="AN5571">
        <v>0.99999996660955603</v>
      </c>
    </row>
    <row r="5572" spans="1:40" x14ac:dyDescent="0.25">
      <c r="A5572" t="str">
        <f>"20190312154714580"</f>
        <v>20190312154714580</v>
      </c>
      <c r="B5572" t="str">
        <f>"1552376834574007"</f>
        <v>1552376834574007</v>
      </c>
      <c r="C5572" t="s">
        <v>40</v>
      </c>
      <c r="D5572">
        <v>5.0412109999999997</v>
      </c>
      <c r="E5572">
        <v>0.48568840000000002</v>
      </c>
      <c r="F5572" t="s">
        <v>89</v>
      </c>
      <c r="G5572">
        <v>-213.92240000000001</v>
      </c>
      <c r="H5572" s="1">
        <v>-6.9415939999999996E-7</v>
      </c>
      <c r="I5572">
        <v>-60.543140000000001</v>
      </c>
      <c r="J5572">
        <v>-235.2329</v>
      </c>
      <c r="K5572">
        <v>1.107289</v>
      </c>
      <c r="L5572">
        <v>-60.517090000000003</v>
      </c>
      <c r="M5572">
        <v>0.99965979999999999</v>
      </c>
      <c r="N5572">
        <v>0</v>
      </c>
      <c r="O5572">
        <v>-2.1572790000000001E-2</v>
      </c>
      <c r="P5572">
        <v>0.99882320000000002</v>
      </c>
      <c r="Q5572">
        <v>-5.2439590000000003E-3</v>
      </c>
      <c r="R5572">
        <v>-4.8216799999999997E-2</v>
      </c>
      <c r="S5572">
        <v>3.0024410000000001</v>
      </c>
      <c r="T5572">
        <v>-0.154669899999999</v>
      </c>
      <c r="U5572">
        <v>-4.333496E-3</v>
      </c>
      <c r="V5572">
        <v>2.670985E-2</v>
      </c>
      <c r="W5572">
        <v>9.2536719999999992E-3</v>
      </c>
      <c r="X5572">
        <v>0.99960039999999994</v>
      </c>
      <c r="Y5572">
        <v>-2.007687E-2</v>
      </c>
      <c r="Z5572">
        <v>1.627414E-3</v>
      </c>
      <c r="AA5572">
        <v>0.99979709999999999</v>
      </c>
      <c r="AB5572">
        <v>34</v>
      </c>
      <c r="AC5572">
        <v>21.310499999999902</v>
      </c>
      <c r="AD5572">
        <v>-1.1072896941593999</v>
      </c>
      <c r="AE5572">
        <v>-2.6049999999997901E-2</v>
      </c>
      <c r="AF5572">
        <v>-0.43256456447469099</v>
      </c>
      <c r="AG5572">
        <v>-1.1072896941593999</v>
      </c>
      <c r="AH5572">
        <v>21.248733864735001</v>
      </c>
      <c r="AI5572">
        <v>92.982417040330205</v>
      </c>
      <c r="AJ5572">
        <v>91.166220127758095</v>
      </c>
      <c r="AK5572">
        <v>21.2819616911498</v>
      </c>
      <c r="AL5572">
        <v>89.469796083932096</v>
      </c>
      <c r="AM5572">
        <v>88.469390755408099</v>
      </c>
      <c r="AN5572">
        <v>1.0000000031063301</v>
      </c>
    </row>
    <row r="5573" spans="1:40" x14ac:dyDescent="0.25">
      <c r="A5573" t="str">
        <f>"20190312154714593"</f>
        <v>20190312154714593</v>
      </c>
      <c r="B5573" t="str">
        <f>"1552376834583767"</f>
        <v>1552376834583767</v>
      </c>
      <c r="C5573" t="s">
        <v>40</v>
      </c>
      <c r="D5573">
        <v>5.0432360000000003</v>
      </c>
      <c r="E5573">
        <v>0.48762030000000001</v>
      </c>
      <c r="F5573" t="s">
        <v>89</v>
      </c>
      <c r="G5573">
        <v>-214.0772</v>
      </c>
      <c r="H5573" s="1">
        <v>-8.0398809999999998E-7</v>
      </c>
      <c r="I5573">
        <v>-60.706330000000001</v>
      </c>
      <c r="J5573">
        <v>-235.05699999999999</v>
      </c>
      <c r="K5573">
        <v>1.1073569999999999</v>
      </c>
      <c r="L5573">
        <v>-60.522030000000001</v>
      </c>
      <c r="M5573">
        <v>0.99963400000000002</v>
      </c>
      <c r="N5573">
        <v>0</v>
      </c>
      <c r="O5573">
        <v>-2.2741790000000001E-2</v>
      </c>
      <c r="P5573">
        <v>0.99879799999999996</v>
      </c>
      <c r="Q5573">
        <v>-5.3282479999999998E-3</v>
      </c>
      <c r="R5573">
        <v>-4.8725629999999999E-2</v>
      </c>
      <c r="S5573">
        <v>3.0014340000000002</v>
      </c>
      <c r="T5573">
        <v>-0.1570947</v>
      </c>
      <c r="U5573">
        <v>-2.6855469999999999E-2</v>
      </c>
      <c r="V5573">
        <v>2.6048350000000001E-2</v>
      </c>
      <c r="W5573">
        <v>9.1740429999999998E-3</v>
      </c>
      <c r="X5573">
        <v>0.99961860000000002</v>
      </c>
      <c r="Y5573">
        <v>-1.374851E-2</v>
      </c>
      <c r="Z5573">
        <v>1.5490300000000001E-3</v>
      </c>
      <c r="AA5573">
        <v>0.99990429999999997</v>
      </c>
      <c r="AB5573">
        <v>34</v>
      </c>
      <c r="AC5573">
        <v>20.979800000000001</v>
      </c>
      <c r="AD5573">
        <v>-1.1073578039881</v>
      </c>
      <c r="AE5573">
        <v>-0.184299999999993</v>
      </c>
      <c r="AF5573">
        <v>-0.29210338011966103</v>
      </c>
      <c r="AG5573">
        <v>-1.1073578039881</v>
      </c>
      <c r="AH5573">
        <v>20.920286268351798</v>
      </c>
      <c r="AI5573">
        <v>93.029672011920496</v>
      </c>
      <c r="AJ5573">
        <v>90.799950973814006</v>
      </c>
      <c r="AK5573">
        <v>20.9516095620484</v>
      </c>
      <c r="AL5573">
        <v>89.474358688177304</v>
      </c>
      <c r="AM5573">
        <v>88.507307842047695</v>
      </c>
      <c r="AN5573">
        <v>1.00000001253432</v>
      </c>
    </row>
    <row r="5574" spans="1:40" x14ac:dyDescent="0.25">
      <c r="A5574" t="str">
        <f>"20190312154714606"</f>
        <v>20190312154714606</v>
      </c>
      <c r="B5574" t="str">
        <f>"1552376834603286"</f>
        <v>1552376834603286</v>
      </c>
      <c r="C5574" t="s">
        <v>40</v>
      </c>
      <c r="D5574">
        <v>4.9873989999999999</v>
      </c>
      <c r="E5574">
        <v>0.49015530000000002</v>
      </c>
      <c r="F5574" t="s">
        <v>89</v>
      </c>
      <c r="G5574">
        <v>-213.98769999999999</v>
      </c>
      <c r="H5574" s="1">
        <v>-7.984623E-7</v>
      </c>
      <c r="I5574">
        <v>-60.829900000000002</v>
      </c>
      <c r="J5574">
        <v>-234.8552</v>
      </c>
      <c r="K5574">
        <v>1.107437</v>
      </c>
      <c r="L5574">
        <v>-60.527859999999997</v>
      </c>
      <c r="M5574">
        <v>0.99960349999999998</v>
      </c>
      <c r="N5574">
        <v>0</v>
      </c>
      <c r="O5574">
        <v>-2.4050439999999999E-2</v>
      </c>
      <c r="P5574">
        <v>0.99877890000000003</v>
      </c>
      <c r="Q5574">
        <v>-5.1232099999999996E-3</v>
      </c>
      <c r="R5574">
        <v>-4.913899E-2</v>
      </c>
      <c r="S5574">
        <v>3.000626</v>
      </c>
      <c r="T5574">
        <v>-0.15770590000000001</v>
      </c>
      <c r="U5574">
        <v>-4.3853759999999999E-2</v>
      </c>
      <c r="V5574">
        <v>2.5152520000000001E-2</v>
      </c>
      <c r="W5574">
        <v>9.3843190000000003E-3</v>
      </c>
      <c r="X5574">
        <v>0.99963959999999996</v>
      </c>
      <c r="Y5574">
        <v>-9.3952240000000006E-3</v>
      </c>
      <c r="Z5574">
        <v>1.509797E-3</v>
      </c>
      <c r="AA5574">
        <v>0.99995469999999997</v>
      </c>
      <c r="AB5574">
        <v>34</v>
      </c>
      <c r="AC5574">
        <v>20.8675</v>
      </c>
      <c r="AD5574">
        <v>-1.1074377984623001</v>
      </c>
      <c r="AE5574">
        <v>-0.30204000000000503</v>
      </c>
      <c r="AF5574">
        <v>-0.19941224426835699</v>
      </c>
      <c r="AG5574">
        <v>-1.1074377984623001</v>
      </c>
      <c r="AH5574">
        <v>20.810129831921799</v>
      </c>
      <c r="AI5574">
        <v>93.046055531992593</v>
      </c>
      <c r="AJ5574">
        <v>90.549017732324899</v>
      </c>
      <c r="AK5574">
        <v>20.840529919895701</v>
      </c>
      <c r="AL5574">
        <v>89.462310247506494</v>
      </c>
      <c r="AM5574">
        <v>88.558651312143297</v>
      </c>
      <c r="AN5574">
        <v>1.0000000222968</v>
      </c>
    </row>
    <row r="5575" spans="1:40" x14ac:dyDescent="0.25">
      <c r="A5575" t="str">
        <f>"20190312154714621"</f>
        <v>20190312154714621</v>
      </c>
      <c r="B5575" t="str">
        <f>"1552376834614022"</f>
        <v>1552376834614022</v>
      </c>
      <c r="C5575" t="s">
        <v>40</v>
      </c>
      <c r="D5575">
        <v>5.0231339999999998</v>
      </c>
      <c r="E5575">
        <v>0.49112319999999998</v>
      </c>
      <c r="F5575" t="s">
        <v>89</v>
      </c>
      <c r="G5575">
        <v>-213.4965</v>
      </c>
      <c r="H5575" s="1">
        <v>-6.3109179999999999E-7</v>
      </c>
      <c r="I5575">
        <v>-60.992820000000002</v>
      </c>
      <c r="J5575">
        <v>-234.61959999999999</v>
      </c>
      <c r="K5575">
        <v>1.1075360000000001</v>
      </c>
      <c r="L5575">
        <v>-60.534970000000001</v>
      </c>
      <c r="M5575">
        <v>0.99956769999999995</v>
      </c>
      <c r="N5575">
        <v>0</v>
      </c>
      <c r="O5575">
        <v>-2.549477E-2</v>
      </c>
      <c r="P5575">
        <v>0.99878350000000005</v>
      </c>
      <c r="Q5575">
        <v>-5.1456369999999998E-3</v>
      </c>
      <c r="R5575">
        <v>-4.9040540000000001E-2</v>
      </c>
      <c r="S5575">
        <v>2.9996800000000001</v>
      </c>
      <c r="T5575">
        <v>-0.1555318</v>
      </c>
      <c r="U5575">
        <v>-6.5307619999999997E-2</v>
      </c>
      <c r="V5575">
        <v>2.3607159999999999E-2</v>
      </c>
      <c r="W5575">
        <v>9.3709689999999998E-3</v>
      </c>
      <c r="X5575">
        <v>0.99967740000000005</v>
      </c>
      <c r="Y5575">
        <v>-3.6929910000000001E-3</v>
      </c>
      <c r="Z5575">
        <v>1.4164539999999999E-3</v>
      </c>
      <c r="AA5575">
        <v>0.9999922</v>
      </c>
      <c r="AB5575">
        <v>34</v>
      </c>
      <c r="AC5575">
        <v>21.123099999999901</v>
      </c>
      <c r="AD5575">
        <v>-1.1075366310918</v>
      </c>
      <c r="AE5575">
        <v>-0.45784999999999998</v>
      </c>
      <c r="AF5575">
        <v>-8.06635240619646E-2</v>
      </c>
      <c r="AG5575">
        <v>-1.1075366310918</v>
      </c>
      <c r="AH5575">
        <v>21.070008871977599</v>
      </c>
      <c r="AI5575">
        <v>93.008938587388897</v>
      </c>
      <c r="AJ5575">
        <v>90.219347649008796</v>
      </c>
      <c r="AK5575">
        <v>21.0992515947495</v>
      </c>
      <c r="AL5575">
        <v>89.463075172408793</v>
      </c>
      <c r="AM5575">
        <v>88.647224303725594</v>
      </c>
      <c r="AN5575">
        <v>1.00000000856701</v>
      </c>
    </row>
    <row r="5576" spans="1:40" x14ac:dyDescent="0.25">
      <c r="A5576" t="str">
        <f>"20190312154714634"</f>
        <v>20190312154714634</v>
      </c>
      <c r="B5576" t="str">
        <f>"1552376834623783"</f>
        <v>1552376834623783</v>
      </c>
      <c r="C5576" t="s">
        <v>40</v>
      </c>
      <c r="D5576">
        <v>5.018586</v>
      </c>
      <c r="E5576">
        <v>0.49185040000000002</v>
      </c>
      <c r="F5576" t="s">
        <v>89</v>
      </c>
      <c r="G5576">
        <v>-213.4641</v>
      </c>
      <c r="H5576" s="1">
        <v>-6.320365E-7</v>
      </c>
      <c r="I5576">
        <v>-61.04853</v>
      </c>
      <c r="J5576">
        <v>-234.43029999999999</v>
      </c>
      <c r="K5576">
        <v>1.1076159999999999</v>
      </c>
      <c r="L5576">
        <v>-60.540889999999997</v>
      </c>
      <c r="M5576">
        <v>0.99953939999999997</v>
      </c>
      <c r="N5576">
        <v>0</v>
      </c>
      <c r="O5576">
        <v>-2.6586220000000001E-2</v>
      </c>
      <c r="P5576">
        <v>0.99874989999999997</v>
      </c>
      <c r="Q5576">
        <v>-5.1672879999999999E-3</v>
      </c>
      <c r="R5576">
        <v>-4.9720210000000001E-2</v>
      </c>
      <c r="S5576">
        <v>2.9992519999999998</v>
      </c>
      <c r="T5576">
        <v>-0.1570174</v>
      </c>
      <c r="U5576">
        <v>-7.2814939999999995E-2</v>
      </c>
      <c r="V5576">
        <v>2.3193950000000001E-2</v>
      </c>
      <c r="W5576">
        <v>9.3518969999999996E-3</v>
      </c>
      <c r="X5576">
        <v>0.99968729999999995</v>
      </c>
      <c r="Y5576">
        <v>-2.2797759999999999E-3</v>
      </c>
      <c r="Z5576">
        <v>1.4502289999999999E-3</v>
      </c>
      <c r="AA5576">
        <v>0.99999640000000001</v>
      </c>
      <c r="AB5576">
        <v>34</v>
      </c>
      <c r="AC5576">
        <v>20.966199999999901</v>
      </c>
      <c r="AD5576">
        <v>-1.1076166320365</v>
      </c>
      <c r="AE5576">
        <v>-0.50764000000000198</v>
      </c>
      <c r="AF5576">
        <v>-4.9872075358164403E-2</v>
      </c>
      <c r="AG5576">
        <v>-1.1076166320365</v>
      </c>
      <c r="AH5576">
        <v>20.913951132030199</v>
      </c>
      <c r="AI5576">
        <v>93.0315813820893</v>
      </c>
      <c r="AJ5576">
        <v>90.136629085497802</v>
      </c>
      <c r="AK5576">
        <v>20.943320027646301</v>
      </c>
      <c r="AL5576">
        <v>89.464167991632394</v>
      </c>
      <c r="AM5576">
        <v>88.670907320415395</v>
      </c>
      <c r="AN5576">
        <v>1.0000000575376899</v>
      </c>
    </row>
    <row r="5577" spans="1:40" x14ac:dyDescent="0.25">
      <c r="A5577" t="str">
        <f>"20190312154714649"</f>
        <v>20190312154714649</v>
      </c>
      <c r="B5577" t="str">
        <f>"1552376834643302"</f>
        <v>1552376834643302</v>
      </c>
      <c r="C5577" t="s">
        <v>40</v>
      </c>
      <c r="D5577">
        <v>5.040686</v>
      </c>
      <c r="E5577">
        <v>0.4929402</v>
      </c>
      <c r="F5577" t="s">
        <v>89</v>
      </c>
      <c r="G5577">
        <v>-213.56190000000001</v>
      </c>
      <c r="H5577" s="1">
        <v>-6.8812320000000001E-7</v>
      </c>
      <c r="I5577">
        <v>-61.101680000000002</v>
      </c>
      <c r="J5577">
        <v>-234.20959999999999</v>
      </c>
      <c r="K5577">
        <v>1.107715</v>
      </c>
      <c r="L5577">
        <v>-60.548000000000002</v>
      </c>
      <c r="M5577">
        <v>0.99950629999999996</v>
      </c>
      <c r="N5577">
        <v>0</v>
      </c>
      <c r="O5577">
        <v>-2.7804579999999999E-2</v>
      </c>
      <c r="P5577">
        <v>0.99870320000000001</v>
      </c>
      <c r="Q5577">
        <v>-5.0862370000000004E-3</v>
      </c>
      <c r="R5577">
        <v>-5.0657239999999999E-2</v>
      </c>
      <c r="S5577">
        <v>2.9989170000000001</v>
      </c>
      <c r="T5577">
        <v>-0.15917100000000001</v>
      </c>
      <c r="U5577">
        <v>-8.0596920000000002E-2</v>
      </c>
      <c r="V5577">
        <v>2.2911569999999999E-2</v>
      </c>
      <c r="W5577">
        <v>9.4343859999999995E-3</v>
      </c>
      <c r="X5577">
        <v>0.99969300000000005</v>
      </c>
      <c r="Y5577">
        <v>-9.0189909999999999E-4</v>
      </c>
      <c r="Z5577">
        <v>1.498248E-3</v>
      </c>
      <c r="AA5577">
        <v>0.99999850000000001</v>
      </c>
      <c r="AB5577">
        <v>34</v>
      </c>
      <c r="AC5577">
        <v>20.647699999999901</v>
      </c>
      <c r="AD5577">
        <v>-1.1077156881232</v>
      </c>
      <c r="AE5577">
        <v>-0.55367999999999995</v>
      </c>
      <c r="AF5577">
        <v>-2.06368403119363E-2</v>
      </c>
      <c r="AG5577">
        <v>-1.1077156881232</v>
      </c>
      <c r="AH5577">
        <v>20.595876518246001</v>
      </c>
      <c r="AI5577">
        <v>93.078592533688095</v>
      </c>
      <c r="AJ5577">
        <v>90.057409717697993</v>
      </c>
      <c r="AK5577">
        <v>20.625653673998599</v>
      </c>
      <c r="AL5577">
        <v>89.459441492060094</v>
      </c>
      <c r="AM5577">
        <v>88.687090445049407</v>
      </c>
      <c r="AN5577">
        <v>1.0000000209640301</v>
      </c>
    </row>
    <row r="5578" spans="1:40" x14ac:dyDescent="0.25">
      <c r="A5578" t="str">
        <f>"20190312154714666"</f>
        <v>20190312154714666</v>
      </c>
      <c r="B5578" t="str">
        <f>"1552376834653569"</f>
        <v>1552376834653569</v>
      </c>
      <c r="C5578" t="s">
        <v>40</v>
      </c>
      <c r="D5578">
        <v>5.0237569999999998</v>
      </c>
      <c r="E5578">
        <v>0.49338530000000003</v>
      </c>
      <c r="F5578" t="s">
        <v>89</v>
      </c>
      <c r="G5578">
        <v>-213.7456</v>
      </c>
      <c r="H5578" s="1">
        <v>-7.8652999999999999E-7</v>
      </c>
      <c r="I5578">
        <v>-61.175289999999997</v>
      </c>
      <c r="J5578">
        <v>-233.95070000000001</v>
      </c>
      <c r="K5578">
        <v>1.1078399999999999</v>
      </c>
      <c r="L5578">
        <v>-60.556550000000001</v>
      </c>
      <c r="M5578">
        <v>0.99946860000000004</v>
      </c>
      <c r="N5578">
        <v>0</v>
      </c>
      <c r="O5578">
        <v>-2.913133E-2</v>
      </c>
      <c r="P5578">
        <v>0.99865009999999999</v>
      </c>
      <c r="Q5578">
        <v>-5.6099210000000004E-3</v>
      </c>
      <c r="R5578">
        <v>-5.1639169999999998E-2</v>
      </c>
      <c r="S5578">
        <v>2.9983979999999999</v>
      </c>
      <c r="T5578">
        <v>-0.16230329999999901</v>
      </c>
      <c r="U5578">
        <v>-9.1918949999999999E-2</v>
      </c>
      <c r="V5578">
        <v>2.2562100000000002E-2</v>
      </c>
      <c r="W5578">
        <v>8.9132250000000003E-3</v>
      </c>
      <c r="X5578">
        <v>0.99970570000000003</v>
      </c>
      <c r="Y5578">
        <v>1.548184E-3</v>
      </c>
      <c r="Z5578">
        <v>1.533321E-3</v>
      </c>
      <c r="AA5578">
        <v>0.99999760000000004</v>
      </c>
      <c r="AB5578">
        <v>34</v>
      </c>
      <c r="AC5578">
        <v>20.205100000000002</v>
      </c>
      <c r="AD5578">
        <v>-1.10784078653</v>
      </c>
      <c r="AE5578">
        <v>-0.61874000000000196</v>
      </c>
      <c r="AF5578">
        <v>2.97236795406489E-2</v>
      </c>
      <c r="AG5578">
        <v>-1.10784078653</v>
      </c>
      <c r="AH5578">
        <v>20.1540173116876</v>
      </c>
      <c r="AI5578">
        <v>93.146306589085896</v>
      </c>
      <c r="AJ5578">
        <v>89.915498725233107</v>
      </c>
      <c r="AK5578">
        <v>20.1844645335275</v>
      </c>
      <c r="AL5578">
        <v>89.489303058427893</v>
      </c>
      <c r="AM5578">
        <v>88.707125813451896</v>
      </c>
      <c r="AN5578">
        <v>0.99999999027440001</v>
      </c>
    </row>
    <row r="5579" spans="1:40" x14ac:dyDescent="0.25">
      <c r="A5579" t="str">
        <f>"20190312154714679"</f>
        <v>20190312154714679</v>
      </c>
      <c r="B5579" t="str">
        <f>"1552376834674065"</f>
        <v>1552376834674065</v>
      </c>
      <c r="C5579" t="s">
        <v>40</v>
      </c>
      <c r="D5579">
        <v>5.097569</v>
      </c>
      <c r="E5579">
        <v>0.49382809999999999</v>
      </c>
      <c r="F5579" t="s">
        <v>89</v>
      </c>
      <c r="G5579">
        <v>-213.7653</v>
      </c>
      <c r="H5579" s="1">
        <v>-8.0635070000000002E-7</v>
      </c>
      <c r="I5579">
        <v>-61.218110000000003</v>
      </c>
      <c r="J5579">
        <v>-233.74350000000001</v>
      </c>
      <c r="K5579">
        <v>1.107944</v>
      </c>
      <c r="L5579">
        <v>-60.563569999999999</v>
      </c>
      <c r="M5579">
        <v>0.99944</v>
      </c>
      <c r="N5579">
        <v>0</v>
      </c>
      <c r="O5579">
        <v>-3.0102770000000001E-2</v>
      </c>
      <c r="P5579">
        <v>0.99860990000000005</v>
      </c>
      <c r="Q5579">
        <v>-6.1704180000000004E-3</v>
      </c>
      <c r="R5579">
        <v>-5.2348409999999998E-2</v>
      </c>
      <c r="S5579">
        <v>2.9980319999999998</v>
      </c>
      <c r="T5579">
        <v>-0.16454179999999999</v>
      </c>
      <c r="U5579">
        <v>-9.8266599999999996E-2</v>
      </c>
      <c r="V5579">
        <v>2.2296E-2</v>
      </c>
      <c r="W5579">
        <v>8.3543909999999992E-3</v>
      </c>
      <c r="X5579">
        <v>0.99971650000000001</v>
      </c>
      <c r="Y5579">
        <v>2.6959559999999998E-3</v>
      </c>
      <c r="Z5579">
        <v>1.5763350000000001E-3</v>
      </c>
      <c r="AA5579">
        <v>0.99999510000000003</v>
      </c>
      <c r="AB5579">
        <v>34</v>
      </c>
      <c r="AC5579">
        <v>19.978200000000001</v>
      </c>
      <c r="AD5579">
        <v>-1.1079448063507</v>
      </c>
      <c r="AE5579">
        <v>-0.65453999999999701</v>
      </c>
      <c r="AF5579">
        <v>5.26182759038369E-2</v>
      </c>
      <c r="AG5579">
        <v>-1.1079448063507</v>
      </c>
      <c r="AH5579">
        <v>19.927626892957001</v>
      </c>
      <c r="AI5579">
        <v>93.182268116958994</v>
      </c>
      <c r="AJ5579">
        <v>89.848712636768695</v>
      </c>
      <c r="AK5579">
        <v>19.958472485683401</v>
      </c>
      <c r="AL5579">
        <v>89.521323083999704</v>
      </c>
      <c r="AM5579">
        <v>88.722382833575693</v>
      </c>
      <c r="AN5579">
        <v>0.99999999391861505</v>
      </c>
    </row>
    <row r="5580" spans="1:40" x14ac:dyDescent="0.25">
      <c r="A5580" t="str">
        <f>"20190312154714691"</f>
        <v>20190312154714691</v>
      </c>
      <c r="B5580" t="str">
        <f>"1552376834683825"</f>
        <v>1552376834683825</v>
      </c>
      <c r="C5580" t="s">
        <v>40</v>
      </c>
      <c r="D5580">
        <v>5.0436690000000004</v>
      </c>
      <c r="E5580">
        <v>0.4940427</v>
      </c>
      <c r="F5580" t="s">
        <v>89</v>
      </c>
      <c r="G5580">
        <v>-214.1114</v>
      </c>
      <c r="H5580" s="1">
        <v>-9.6131450000000009E-7</v>
      </c>
      <c r="I5580">
        <v>-61.242440000000002</v>
      </c>
      <c r="J5580">
        <v>-233.56479999999999</v>
      </c>
      <c r="K5580">
        <v>1.1080350000000001</v>
      </c>
      <c r="L5580">
        <v>-60.569760000000002</v>
      </c>
      <c r="M5580">
        <v>0.99941619999999998</v>
      </c>
      <c r="N5580">
        <v>0</v>
      </c>
      <c r="O5580">
        <v>-3.0882759999999999E-2</v>
      </c>
      <c r="P5580">
        <v>0.99856080000000003</v>
      </c>
      <c r="Q5580">
        <v>-6.52682E-3</v>
      </c>
      <c r="R5580">
        <v>-5.3234280000000002E-2</v>
      </c>
      <c r="S5580">
        <v>2.9976959999999999</v>
      </c>
      <c r="T5580">
        <v>-0.1691761</v>
      </c>
      <c r="U5580">
        <v>-0.1036682</v>
      </c>
      <c r="V5580">
        <v>2.2399470000000001E-2</v>
      </c>
      <c r="W5580">
        <v>7.9982059999999904E-3</v>
      </c>
      <c r="X5580">
        <v>0.99971710000000003</v>
      </c>
      <c r="Y5580">
        <v>3.721022E-3</v>
      </c>
      <c r="Z5580">
        <v>1.6358379999999999E-3</v>
      </c>
      <c r="AA5580">
        <v>0.99999170000000004</v>
      </c>
      <c r="AB5580">
        <v>34</v>
      </c>
      <c r="AC5580">
        <v>19.453399999999899</v>
      </c>
      <c r="AD5580">
        <v>-1.1080359613144899</v>
      </c>
      <c r="AE5580">
        <v>-0.67268000000000605</v>
      </c>
      <c r="AF5580">
        <v>7.1289236587569402E-2</v>
      </c>
      <c r="AG5580">
        <v>-1.1080359613144899</v>
      </c>
      <c r="AH5580">
        <v>19.402025259303102</v>
      </c>
      <c r="AI5580">
        <v>93.268549126058005</v>
      </c>
      <c r="AJ5580">
        <v>89.789477956794997</v>
      </c>
      <c r="AK5580">
        <v>19.433769835249599</v>
      </c>
      <c r="AL5580">
        <v>89.541731663587598</v>
      </c>
      <c r="AM5580">
        <v>88.716456489990904</v>
      </c>
      <c r="AN5580">
        <v>0.99999999379395399</v>
      </c>
    </row>
    <row r="5581" spans="1:40" x14ac:dyDescent="0.25">
      <c r="A5581" t="str">
        <f>"20190312154714702"</f>
        <v>20190312154714702</v>
      </c>
      <c r="B5581" t="str">
        <f>"1552376834693585"</f>
        <v>1552376834693585</v>
      </c>
      <c r="C5581" t="s">
        <v>40</v>
      </c>
      <c r="D5581">
        <v>5.052155</v>
      </c>
      <c r="E5581">
        <v>0.49428100000000003</v>
      </c>
      <c r="F5581" t="s">
        <v>89</v>
      </c>
      <c r="G5581">
        <v>-214.1302</v>
      </c>
      <c r="H5581" s="1">
        <v>-9.768185000000001E-7</v>
      </c>
      <c r="I5581">
        <v>-61.270359999999997</v>
      </c>
      <c r="J5581">
        <v>-233.40049999999999</v>
      </c>
      <c r="K5581">
        <v>1.10812</v>
      </c>
      <c r="L5581">
        <v>-60.575499999999998</v>
      </c>
      <c r="M5581">
        <v>0.99939469999999997</v>
      </c>
      <c r="N5581">
        <v>0</v>
      </c>
      <c r="O5581">
        <v>-3.157306E-2</v>
      </c>
      <c r="P5581">
        <v>0.99852050000000003</v>
      </c>
      <c r="Q5581">
        <v>-6.5600019999999997E-3</v>
      </c>
      <c r="R5581">
        <v>-5.3980210000000001E-2</v>
      </c>
      <c r="S5581">
        <v>2.997452</v>
      </c>
      <c r="T5581">
        <v>-0.17089589999999999</v>
      </c>
      <c r="U5581">
        <v>-0.1080627</v>
      </c>
      <c r="V5581">
        <v>2.2453939999999999E-2</v>
      </c>
      <c r="W5581">
        <v>7.9648299999999991E-3</v>
      </c>
      <c r="X5581">
        <v>0.99971620000000005</v>
      </c>
      <c r="Y5581">
        <v>4.4981250000000004E-3</v>
      </c>
      <c r="Z5581">
        <v>1.669685E-3</v>
      </c>
      <c r="AA5581">
        <v>0.99998849999999995</v>
      </c>
      <c r="AB5581">
        <v>34</v>
      </c>
      <c r="AC5581">
        <v>19.270299999999899</v>
      </c>
      <c r="AD5581">
        <v>-1.1081209768185001</v>
      </c>
      <c r="AE5581">
        <v>-0.69485999999999803</v>
      </c>
      <c r="AF5581">
        <v>8.5743081382648995E-2</v>
      </c>
      <c r="AG5581">
        <v>-1.1081209768185001</v>
      </c>
      <c r="AH5581">
        <v>19.219162014833199</v>
      </c>
      <c r="AI5581">
        <v>93.299821840587001</v>
      </c>
      <c r="AJ5581">
        <v>89.744386144990898</v>
      </c>
      <c r="AK5581">
        <v>19.251271971682201</v>
      </c>
      <c r="AL5581">
        <v>89.543644053754704</v>
      </c>
      <c r="AM5581">
        <v>88.7133351180142</v>
      </c>
      <c r="AN5581">
        <v>1.0000000492404399</v>
      </c>
    </row>
    <row r="5582" spans="1:40" x14ac:dyDescent="0.25">
      <c r="A5582" t="str">
        <f>"20190312154714714"</f>
        <v>20190312154714714</v>
      </c>
      <c r="B5582" t="str">
        <f>"1552376834703346"</f>
        <v>1552376834703346</v>
      </c>
      <c r="C5582" t="s">
        <v>40</v>
      </c>
      <c r="D5582">
        <v>5.0431330000000001</v>
      </c>
      <c r="E5582">
        <v>0.49428100000000003</v>
      </c>
      <c r="F5582" t="s">
        <v>89</v>
      </c>
      <c r="G5582">
        <v>-214.16130000000001</v>
      </c>
      <c r="H5582" s="1">
        <v>-9.967443000000001E-7</v>
      </c>
      <c r="I5582">
        <v>-61.29515</v>
      </c>
      <c r="J5582">
        <v>-233.2268</v>
      </c>
      <c r="K5582">
        <v>1.108214</v>
      </c>
      <c r="L5582">
        <v>-60.581670000000003</v>
      </c>
      <c r="M5582">
        <v>0.9993744</v>
      </c>
      <c r="N5582">
        <v>0</v>
      </c>
      <c r="O5582">
        <v>-3.2213579999999999E-2</v>
      </c>
      <c r="P5582">
        <v>0.99848680000000001</v>
      </c>
      <c r="Q5582">
        <v>-6.6785009999999999E-3</v>
      </c>
      <c r="R5582">
        <v>-5.4587009999999998E-2</v>
      </c>
      <c r="S5582">
        <v>2.9972530000000002</v>
      </c>
      <c r="T5582">
        <v>-0.17263329999999999</v>
      </c>
      <c r="U5582">
        <v>-0.1121216</v>
      </c>
      <c r="V5582">
        <v>2.241858E-2</v>
      </c>
      <c r="W5582">
        <v>7.8480089999999995E-3</v>
      </c>
      <c r="X5582">
        <v>0.99971790000000005</v>
      </c>
      <c r="Y5582">
        <v>5.2127359999999999E-3</v>
      </c>
      <c r="Z5582">
        <v>1.7029629999999901E-3</v>
      </c>
      <c r="AA5582">
        <v>0.99998500000000001</v>
      </c>
      <c r="AB5582">
        <v>34</v>
      </c>
      <c r="AC5582">
        <v>19.065499999999901</v>
      </c>
      <c r="AD5582">
        <v>-1.1082149967443</v>
      </c>
      <c r="AE5582">
        <v>-0.713480000000004</v>
      </c>
      <c r="AF5582">
        <v>9.8543687464312302E-2</v>
      </c>
      <c r="AG5582">
        <v>-1.1082149967443</v>
      </c>
      <c r="AH5582">
        <v>19.014434718352199</v>
      </c>
      <c r="AI5582">
        <v>93.335541818428695</v>
      </c>
      <c r="AJ5582">
        <v>89.703063124208995</v>
      </c>
      <c r="AK5582">
        <v>19.0469572109517</v>
      </c>
      <c r="AL5582">
        <v>89.550337605050203</v>
      </c>
      <c r="AM5582">
        <v>88.715362835480803</v>
      </c>
      <c r="AN5582">
        <v>1.00000003177744</v>
      </c>
    </row>
    <row r="5583" spans="1:40" x14ac:dyDescent="0.25">
      <c r="A5583" t="str">
        <f>"20190312154714725"</f>
        <v>20190312154714725</v>
      </c>
      <c r="B5583" t="str">
        <f>"1552376834713106"</f>
        <v>1552376834713106</v>
      </c>
      <c r="C5583" t="s">
        <v>40</v>
      </c>
      <c r="D5583">
        <v>5.0693820000000001</v>
      </c>
      <c r="E5583">
        <v>0.49778990000000001</v>
      </c>
      <c r="F5583" t="s">
        <v>89</v>
      </c>
      <c r="G5583">
        <v>-214.0257</v>
      </c>
      <c r="H5583" s="1">
        <v>-9.4291980000000004E-7</v>
      </c>
      <c r="I5583">
        <v>-61.311439999999997</v>
      </c>
      <c r="J5583">
        <v>-233.0506</v>
      </c>
      <c r="K5583">
        <v>1.1083080000000001</v>
      </c>
      <c r="L5583">
        <v>-60.587949999999999</v>
      </c>
      <c r="M5583">
        <v>0.99935410000000002</v>
      </c>
      <c r="N5583">
        <v>0</v>
      </c>
      <c r="O5583">
        <v>-3.2834259999999997E-2</v>
      </c>
      <c r="P5583">
        <v>0.99843789999999999</v>
      </c>
      <c r="Q5583">
        <v>-6.6303369999999896E-3</v>
      </c>
      <c r="R5583">
        <v>-5.5478090000000001E-2</v>
      </c>
      <c r="S5583">
        <v>2.9971770000000002</v>
      </c>
      <c r="T5583">
        <v>-0.1729858</v>
      </c>
      <c r="U5583">
        <v>-0.1139221</v>
      </c>
      <c r="V5583">
        <v>2.2688280000000002E-2</v>
      </c>
      <c r="W5583">
        <v>7.8956889999999991E-3</v>
      </c>
      <c r="X5583">
        <v>0.99971140000000003</v>
      </c>
      <c r="Y5583">
        <v>5.1937379999999998E-3</v>
      </c>
      <c r="Z5583">
        <v>1.742761E-3</v>
      </c>
      <c r="AA5583">
        <v>0.99998500000000001</v>
      </c>
      <c r="AB5583">
        <v>34</v>
      </c>
      <c r="AC5583">
        <v>19.024899999999999</v>
      </c>
      <c r="AD5583">
        <v>-1.1083089429198001</v>
      </c>
      <c r="AE5583">
        <v>-0.72349000000000496</v>
      </c>
      <c r="AF5583">
        <v>9.8032460628204199E-2</v>
      </c>
      <c r="AG5583">
        <v>-1.1083089429198001</v>
      </c>
      <c r="AH5583">
        <v>18.974097654269201</v>
      </c>
      <c r="AI5583">
        <v>93.342899784640096</v>
      </c>
      <c r="AJ5583">
        <v>89.703975579061506</v>
      </c>
      <c r="AK5583">
        <v>19.006692002293299</v>
      </c>
      <c r="AL5583">
        <v>89.547605639557901</v>
      </c>
      <c r="AM5583">
        <v>88.699905216078207</v>
      </c>
      <c r="AN5583">
        <v>0.999999991622051</v>
      </c>
    </row>
    <row r="5584" spans="1:40" x14ac:dyDescent="0.25">
      <c r="A5584" t="str">
        <f>"20190312154714737"</f>
        <v>20190312154714737</v>
      </c>
      <c r="B5584" t="str">
        <f>"1552376834733601"</f>
        <v>1552376834733601</v>
      </c>
      <c r="C5584" t="s">
        <v>40</v>
      </c>
      <c r="D5584">
        <v>5.058179</v>
      </c>
      <c r="E5584">
        <v>0.49857210000000002</v>
      </c>
      <c r="F5584" t="s">
        <v>41</v>
      </c>
      <c r="G5584">
        <v>-232.0668</v>
      </c>
      <c r="H5584">
        <v>1.0116560000000001</v>
      </c>
      <c r="I5584">
        <v>-60.634329999999999</v>
      </c>
      <c r="J5584">
        <v>-232.87569999999999</v>
      </c>
      <c r="K5584">
        <v>1.1084080000000001</v>
      </c>
      <c r="L5584">
        <v>-60.594329999999999</v>
      </c>
      <c r="M5584">
        <v>0.99933680000000003</v>
      </c>
      <c r="N5584">
        <v>0</v>
      </c>
      <c r="O5584">
        <v>-3.3360090000000002E-2</v>
      </c>
      <c r="P5584">
        <v>0.99840240000000002</v>
      </c>
      <c r="Q5584">
        <v>-6.6777099999999999E-3</v>
      </c>
      <c r="R5584">
        <v>-5.6109020000000003E-2</v>
      </c>
      <c r="S5584">
        <v>2.9949189999999999</v>
      </c>
      <c r="T5584">
        <v>-0.29423579999999999</v>
      </c>
      <c r="U5584">
        <v>-0.14099120000000001</v>
      </c>
      <c r="V5584">
        <v>2.2791909999999999E-2</v>
      </c>
      <c r="W5584">
        <v>7.8494369999999904E-3</v>
      </c>
      <c r="X5584">
        <v>0.99970939999999997</v>
      </c>
      <c r="Y5584">
        <v>1.3765879999999999E-2</v>
      </c>
      <c r="Z5584">
        <v>2.5928280000000001E-3</v>
      </c>
      <c r="AA5584">
        <v>0.99990190000000001</v>
      </c>
      <c r="AB5584">
        <v>34</v>
      </c>
      <c r="AC5584">
        <v>0.80889999999999396</v>
      </c>
      <c r="AD5584">
        <v>-9.6752000000000102E-2</v>
      </c>
      <c r="AE5584">
        <v>-3.9999999999999099E-2</v>
      </c>
      <c r="AF5584">
        <v>1.2807102579025301E-2</v>
      </c>
      <c r="AG5584">
        <v>-9.6752000000000102E-2</v>
      </c>
      <c r="AH5584">
        <v>0.79838999291837298</v>
      </c>
      <c r="AI5584">
        <v>96.908752419456107</v>
      </c>
      <c r="AJ5584">
        <v>89.080987985560498</v>
      </c>
      <c r="AK5584">
        <v>0.804332985878778</v>
      </c>
      <c r="AL5584">
        <v>89.550255762957207</v>
      </c>
      <c r="AM5584">
        <v>88.693966399915894</v>
      </c>
      <c r="AN5584">
        <v>0.99999998463551198</v>
      </c>
    </row>
    <row r="5585" spans="1:40" x14ac:dyDescent="0.25">
      <c r="A5585" t="str">
        <f>"20190312154714748"</f>
        <v>20190312154714748</v>
      </c>
      <c r="B5585" t="str">
        <f>"1552376834743362"</f>
        <v>1552376834743362</v>
      </c>
      <c r="C5585" t="s">
        <v>40</v>
      </c>
      <c r="D5585">
        <v>5.0687110000000004</v>
      </c>
      <c r="E5585">
        <v>0.49851430000000002</v>
      </c>
      <c r="F5585" t="s">
        <v>41</v>
      </c>
      <c r="G5585">
        <v>-232.05850000000001</v>
      </c>
      <c r="H5585">
        <v>1.0284819999999999</v>
      </c>
      <c r="I5585">
        <v>-60.635080000000002</v>
      </c>
      <c r="J5585">
        <v>-232.71340000000001</v>
      </c>
      <c r="K5585">
        <v>1.108503</v>
      </c>
      <c r="L5585">
        <v>-60.600189999999998</v>
      </c>
      <c r="M5585">
        <v>0.99932180000000004</v>
      </c>
      <c r="N5585">
        <v>0</v>
      </c>
      <c r="O5585">
        <v>-3.3809440000000003E-2</v>
      </c>
      <c r="P5585">
        <v>0.99836769999999997</v>
      </c>
      <c r="Q5585">
        <v>-6.5333020000000004E-3</v>
      </c>
      <c r="R5585">
        <v>-5.6739570000000003E-2</v>
      </c>
      <c r="S5585">
        <v>2.9944760000000001</v>
      </c>
      <c r="T5585">
        <v>-0.29288999999999998</v>
      </c>
      <c r="U5585">
        <v>-0.1490784</v>
      </c>
      <c r="V5585">
        <v>2.2972269999999999E-2</v>
      </c>
      <c r="W5585">
        <v>7.9948699999999994E-3</v>
      </c>
      <c r="X5585">
        <v>0.99970409999999998</v>
      </c>
      <c r="Y5585">
        <v>1.6007899999999999E-2</v>
      </c>
      <c r="Z5585">
        <v>2.5156689999999999E-3</v>
      </c>
      <c r="AA5585">
        <v>0.99986870000000005</v>
      </c>
      <c r="AB5585">
        <v>34</v>
      </c>
      <c r="AC5585">
        <v>0.65489999999999704</v>
      </c>
      <c r="AD5585">
        <v>-8.0021000000000106E-2</v>
      </c>
      <c r="AE5585">
        <v>-3.4889999999997201E-2</v>
      </c>
      <c r="AF5585">
        <v>1.2539210078176301E-2</v>
      </c>
      <c r="AG5585">
        <v>-8.0021000000000106E-2</v>
      </c>
      <c r="AH5585">
        <v>0.64608651878408696</v>
      </c>
      <c r="AI5585">
        <v>97.059092965402897</v>
      </c>
      <c r="AJ5585">
        <v>88.888146385329406</v>
      </c>
      <c r="AK5585">
        <v>0.65114390267046596</v>
      </c>
      <c r="AL5585">
        <v>89.541922795389098</v>
      </c>
      <c r="AM5585">
        <v>88.683627965505906</v>
      </c>
      <c r="AN5585">
        <v>0.99999996534603897</v>
      </c>
    </row>
    <row r="5586" spans="1:40" x14ac:dyDescent="0.25">
      <c r="A5586" t="str">
        <f>"20190312154714760"</f>
        <v>20190312154714760</v>
      </c>
      <c r="B5586" t="str">
        <f>"1552376834754098"</f>
        <v>1552376834754098</v>
      </c>
      <c r="C5586" t="s">
        <v>40</v>
      </c>
      <c r="D5586">
        <v>5.0530939999999998</v>
      </c>
      <c r="E5586">
        <v>0.49821779999999999</v>
      </c>
      <c r="F5586" t="s">
        <v>41</v>
      </c>
      <c r="G5586">
        <v>-231.76439999999999</v>
      </c>
      <c r="H5586">
        <v>1.0156940000000001</v>
      </c>
      <c r="I5586">
        <v>-60.648029999999999</v>
      </c>
      <c r="J5586">
        <v>-232.5179</v>
      </c>
      <c r="K5586">
        <v>1.1086240000000001</v>
      </c>
      <c r="L5586">
        <v>-60.607329999999997</v>
      </c>
      <c r="M5586">
        <v>0.99930569999999996</v>
      </c>
      <c r="N5586">
        <v>0</v>
      </c>
      <c r="O5586">
        <v>-3.4284370000000002E-2</v>
      </c>
      <c r="P5586">
        <v>0.99833830000000001</v>
      </c>
      <c r="Q5586">
        <v>-6.5153850000000003E-3</v>
      </c>
      <c r="R5586">
        <v>-5.7259949999999997E-2</v>
      </c>
      <c r="S5586">
        <v>2.9944310000000001</v>
      </c>
      <c r="T5586">
        <v>-0.29277690000000001</v>
      </c>
      <c r="U5586">
        <v>-0.1505127</v>
      </c>
      <c r="V5586">
        <v>2.3015890000000001E-2</v>
      </c>
      <c r="W5586">
        <v>8.0148960000000005E-3</v>
      </c>
      <c r="X5586">
        <v>0.99970300000000001</v>
      </c>
      <c r="Y5586">
        <v>1.6013369999999999E-2</v>
      </c>
      <c r="Z5586">
        <v>2.5606980000000001E-3</v>
      </c>
      <c r="AA5586">
        <v>0.99986850000000005</v>
      </c>
      <c r="AB5586">
        <v>34</v>
      </c>
      <c r="AC5586">
        <v>0.75350000000000195</v>
      </c>
      <c r="AD5586">
        <v>-9.2929999999999902E-2</v>
      </c>
      <c r="AE5586">
        <v>-4.0700000000000999E-2</v>
      </c>
      <c r="AF5586">
        <v>1.4618341127409199E-2</v>
      </c>
      <c r="AG5586">
        <v>-9.2929999999999902E-2</v>
      </c>
      <c r="AH5586">
        <v>0.74318113861137503</v>
      </c>
      <c r="AI5586">
        <v>97.126108319133095</v>
      </c>
      <c r="AJ5586">
        <v>88.873139789057106</v>
      </c>
      <c r="AK5586">
        <v>0.74911139731352205</v>
      </c>
      <c r="AL5586">
        <v>89.540775382527997</v>
      </c>
      <c r="AM5586">
        <v>88.681127855075999</v>
      </c>
      <c r="AN5586">
        <v>1.00000002897969</v>
      </c>
    </row>
    <row r="5587" spans="1:40" x14ac:dyDescent="0.25">
      <c r="A5587" t="str">
        <f>"20190312154714777"</f>
        <v>20190312154714777</v>
      </c>
      <c r="B5587" t="str">
        <f>"1552376834773618"</f>
        <v>1552376834773618</v>
      </c>
      <c r="C5587" t="s">
        <v>40</v>
      </c>
      <c r="D5587">
        <v>5.0869070000000001</v>
      </c>
      <c r="E5587">
        <v>0.49778299999999998</v>
      </c>
      <c r="F5587" t="s">
        <v>41</v>
      </c>
      <c r="G5587">
        <v>-231.75550000000001</v>
      </c>
      <c r="H5587">
        <v>1.0334890000000001</v>
      </c>
      <c r="I5587">
        <v>-60.645589999999999</v>
      </c>
      <c r="J5587">
        <v>-232.26840000000001</v>
      </c>
      <c r="K5587">
        <v>1.1087739999999999</v>
      </c>
      <c r="L5587">
        <v>-60.616459999999996</v>
      </c>
      <c r="M5587">
        <v>0.99928899999999998</v>
      </c>
      <c r="N5587">
        <v>0</v>
      </c>
      <c r="O5587">
        <v>-3.4767489999999998E-2</v>
      </c>
      <c r="P5587">
        <v>0.99831930000000002</v>
      </c>
      <c r="Q5587">
        <v>-6.106645E-3</v>
      </c>
      <c r="R5587">
        <v>-5.763368E-2</v>
      </c>
      <c r="S5587">
        <v>2.9944920000000002</v>
      </c>
      <c r="T5587">
        <v>-0.29505379999999998</v>
      </c>
      <c r="U5587">
        <v>-0.14968870000000001</v>
      </c>
      <c r="V5587">
        <v>2.290472E-2</v>
      </c>
      <c r="W5587">
        <v>8.4268680000000006E-3</v>
      </c>
      <c r="X5587">
        <v>0.99970219999999999</v>
      </c>
      <c r="Y5587">
        <v>1.5261820000000001E-2</v>
      </c>
      <c r="Z5587">
        <v>2.6648219999999999E-3</v>
      </c>
      <c r="AA5587">
        <v>0.99987999999999999</v>
      </c>
      <c r="AB5587">
        <v>34</v>
      </c>
      <c r="AC5587">
        <v>0.51290000000000102</v>
      </c>
      <c r="AD5587">
        <v>-7.5285000000000005E-2</v>
      </c>
      <c r="AE5587">
        <v>-2.9130000000009201E-2</v>
      </c>
      <c r="AF5587">
        <v>1.1041123649584299E-2</v>
      </c>
      <c r="AG5587">
        <v>-7.5285000000000005E-2</v>
      </c>
      <c r="AH5587">
        <v>0.50280451656319203</v>
      </c>
      <c r="AI5587">
        <v>98.513622145926902</v>
      </c>
      <c r="AJ5587">
        <v>88.742039673348202</v>
      </c>
      <c r="AK5587">
        <v>0.50852936937092497</v>
      </c>
      <c r="AL5587">
        <v>89.517170345169802</v>
      </c>
      <c r="AM5587">
        <v>88.687494910149496</v>
      </c>
      <c r="AN5587">
        <v>1.0000000634937001</v>
      </c>
    </row>
    <row r="5588" spans="1:40" x14ac:dyDescent="0.25">
      <c r="A5588" t="str">
        <f>"20190312154714789"</f>
        <v>20190312154714789</v>
      </c>
      <c r="B5588" t="str">
        <f>"1552376834783377"</f>
        <v>1552376834783377</v>
      </c>
      <c r="C5588" t="s">
        <v>40</v>
      </c>
      <c r="D5588">
        <v>5.079847</v>
      </c>
      <c r="E5588">
        <v>0.49768119999999999</v>
      </c>
      <c r="F5588" t="s">
        <v>41</v>
      </c>
      <c r="G5588">
        <v>-231.45779999999999</v>
      </c>
      <c r="H5588">
        <v>1.0286930000000001</v>
      </c>
      <c r="I5588">
        <v>-60.656489999999998</v>
      </c>
      <c r="J5588">
        <v>-232.09229999999999</v>
      </c>
      <c r="K5588">
        <v>1.108881</v>
      </c>
      <c r="L5588">
        <v>-60.622959999999999</v>
      </c>
      <c r="M5588">
        <v>0.99927940000000004</v>
      </c>
      <c r="N5588">
        <v>0</v>
      </c>
      <c r="O5588">
        <v>-3.5040929999999998E-2</v>
      </c>
      <c r="P5588">
        <v>0.99830719999999995</v>
      </c>
      <c r="Q5588">
        <v>-6.2080979999999996E-3</v>
      </c>
      <c r="R5588">
        <v>-5.7827339999999998E-2</v>
      </c>
      <c r="S5588">
        <v>2.9947360000000001</v>
      </c>
      <c r="T5588">
        <v>-0.29581259999999998</v>
      </c>
      <c r="U5588">
        <v>-0.14733889999999999</v>
      </c>
      <c r="V5588">
        <v>2.2823E-2</v>
      </c>
      <c r="W5588">
        <v>8.3276889999999992E-3</v>
      </c>
      <c r="X5588">
        <v>0.99970479999999995</v>
      </c>
      <c r="Y5588">
        <v>1.4208409999999999E-2</v>
      </c>
      <c r="Z5588">
        <v>2.7502640000000001E-3</v>
      </c>
      <c r="AA5588">
        <v>0.99989530000000004</v>
      </c>
      <c r="AB5588">
        <v>34</v>
      </c>
      <c r="AC5588">
        <v>0.63450000000000195</v>
      </c>
      <c r="AD5588">
        <v>-8.0187999999999898E-2</v>
      </c>
      <c r="AE5588">
        <v>-3.3530000000005999E-2</v>
      </c>
      <c r="AF5588">
        <v>1.1096824481617499E-2</v>
      </c>
      <c r="AG5588">
        <v>-8.0187999999999898E-2</v>
      </c>
      <c r="AH5588">
        <v>0.62532550569665801</v>
      </c>
      <c r="AI5588">
        <v>97.306249950583904</v>
      </c>
      <c r="AJ5588">
        <v>88.983354307864403</v>
      </c>
      <c r="AK5588">
        <v>0.63054360906471596</v>
      </c>
      <c r="AL5588">
        <v>89.5228530345926</v>
      </c>
      <c r="AM5588">
        <v>88.692179467629899</v>
      </c>
      <c r="AN5588">
        <v>0.99999996343805897</v>
      </c>
    </row>
    <row r="5589" spans="1:40" x14ac:dyDescent="0.25">
      <c r="A5589" t="str">
        <f>"20190312154714800"</f>
        <v>20190312154714800</v>
      </c>
      <c r="B5589" t="str">
        <f>"1552376834793138"</f>
        <v>1552376834793138</v>
      </c>
      <c r="C5589" t="s">
        <v>40</v>
      </c>
      <c r="D5589">
        <v>5.0775579999999998</v>
      </c>
      <c r="E5589">
        <v>0.49738749999999998</v>
      </c>
      <c r="F5589" t="s">
        <v>41</v>
      </c>
      <c r="G5589">
        <v>-231.16380000000001</v>
      </c>
      <c r="H5589">
        <v>1.017315</v>
      </c>
      <c r="I5589">
        <v>-60.668750000000003</v>
      </c>
      <c r="J5589">
        <v>-231.91659999999999</v>
      </c>
      <c r="K5589">
        <v>1.1089850000000001</v>
      </c>
      <c r="L5589">
        <v>-60.629359999999998</v>
      </c>
      <c r="M5589">
        <v>0.99927189999999999</v>
      </c>
      <c r="N5589">
        <v>0</v>
      </c>
      <c r="O5589">
        <v>-3.526112E-2</v>
      </c>
      <c r="P5589">
        <v>0.99829290000000004</v>
      </c>
      <c r="Q5589">
        <v>-5.7464650000000001E-3</v>
      </c>
      <c r="R5589">
        <v>-5.8125499999999997E-2</v>
      </c>
      <c r="S5589">
        <v>2.99472</v>
      </c>
      <c r="T5589">
        <v>-0.295305599999999</v>
      </c>
      <c r="U5589">
        <v>-0.14712520000000001</v>
      </c>
      <c r="V5589">
        <v>2.2899829999999999E-2</v>
      </c>
      <c r="W5589">
        <v>8.7911580000000003E-3</v>
      </c>
      <c r="X5589">
        <v>0.99969909999999995</v>
      </c>
      <c r="Y5589">
        <v>1.3919300000000001E-2</v>
      </c>
      <c r="Z5589">
        <v>2.7814350000000001E-3</v>
      </c>
      <c r="AA5589">
        <v>0.99989930000000005</v>
      </c>
      <c r="AB5589">
        <v>34</v>
      </c>
      <c r="AC5589">
        <v>0.75279999999997904</v>
      </c>
      <c r="AD5589">
        <v>-9.1670000000000099E-2</v>
      </c>
      <c r="AE5589">
        <v>-3.9390000000004401E-2</v>
      </c>
      <c r="AF5589">
        <v>1.26313186244656E-2</v>
      </c>
      <c r="AG5589">
        <v>-9.1670000000000099E-2</v>
      </c>
      <c r="AH5589">
        <v>0.74273728426037899</v>
      </c>
      <c r="AI5589">
        <v>97.034961097808406</v>
      </c>
      <c r="AJ5589">
        <v>89.025696564616197</v>
      </c>
      <c r="AK5589">
        <v>0.74847953381550503</v>
      </c>
      <c r="AL5589">
        <v>89.496297255620703</v>
      </c>
      <c r="AM5589">
        <v>88.687770955263005</v>
      </c>
      <c r="AN5589">
        <v>0.99999998860690897</v>
      </c>
    </row>
    <row r="5590" spans="1:40" x14ac:dyDescent="0.25">
      <c r="A5590" t="str">
        <f>"20190312154714811"</f>
        <v>20190312154714811</v>
      </c>
      <c r="B5590" t="str">
        <f>"1552376834803873"</f>
        <v>1552376834803873</v>
      </c>
      <c r="C5590" t="s">
        <v>40</v>
      </c>
      <c r="D5590">
        <v>5.0545609999999996</v>
      </c>
      <c r="E5590">
        <v>0.49713420000000003</v>
      </c>
      <c r="F5590" t="s">
        <v>41</v>
      </c>
      <c r="G5590">
        <v>-231.15520000000001</v>
      </c>
      <c r="H5590">
        <v>1.033919</v>
      </c>
      <c r="I5590">
        <v>-60.666539999999998</v>
      </c>
      <c r="J5590">
        <v>-231.7627</v>
      </c>
      <c r="K5590">
        <v>1.1090739999999999</v>
      </c>
      <c r="L5590">
        <v>-60.634979999999999</v>
      </c>
      <c r="M5590">
        <v>0.99926720000000002</v>
      </c>
      <c r="N5590">
        <v>0</v>
      </c>
      <c r="O5590">
        <v>-3.5394929999999998E-2</v>
      </c>
      <c r="P5590">
        <v>0.99830019999999997</v>
      </c>
      <c r="Q5590">
        <v>-5.5342610000000004E-3</v>
      </c>
      <c r="R5590">
        <v>-5.8020580000000002E-2</v>
      </c>
      <c r="S5590">
        <v>2.9949949999999999</v>
      </c>
      <c r="T5590">
        <v>-0.295236</v>
      </c>
      <c r="U5590">
        <v>-0.14553829999999901</v>
      </c>
      <c r="V5590">
        <v>2.2659350000000002E-2</v>
      </c>
      <c r="W5590">
        <v>9.0057279999999993E-3</v>
      </c>
      <c r="X5590">
        <v>0.99970270000000006</v>
      </c>
      <c r="Y5590">
        <v>1.3256159999999999E-2</v>
      </c>
      <c r="Z5590">
        <v>2.8262999999999999E-3</v>
      </c>
      <c r="AA5590">
        <v>0.99990809999999997</v>
      </c>
      <c r="AB5590">
        <v>34</v>
      </c>
      <c r="AC5590">
        <v>0.60749999999998705</v>
      </c>
      <c r="AD5590">
        <v>-7.5154999999999805E-2</v>
      </c>
      <c r="AE5590">
        <v>-3.1559999999998901E-2</v>
      </c>
      <c r="AF5590">
        <v>9.8846442331735895E-3</v>
      </c>
      <c r="AG5590">
        <v>-7.5154999999999805E-2</v>
      </c>
      <c r="AH5590">
        <v>0.59909223064545702</v>
      </c>
      <c r="AI5590">
        <v>97.149332901476896</v>
      </c>
      <c r="AJ5590">
        <v>89.054741517610793</v>
      </c>
      <c r="AK5590">
        <v>0.60386876143444101</v>
      </c>
      <c r="AL5590">
        <v>89.484002828883405</v>
      </c>
      <c r="AM5590">
        <v>88.701551113135295</v>
      </c>
      <c r="AN5590">
        <v>1.0000000188332601</v>
      </c>
    </row>
    <row r="5591" spans="1:40" x14ac:dyDescent="0.25">
      <c r="A5591" t="str">
        <f>"20190312154714822"</f>
        <v>20190312154714822</v>
      </c>
      <c r="B5591" t="str">
        <f>"1552376834813634"</f>
        <v>1552376834813634</v>
      </c>
      <c r="C5591" t="s">
        <v>40</v>
      </c>
      <c r="D5591">
        <v>5.0655769999999896</v>
      </c>
      <c r="E5591">
        <v>0.49701499999999998</v>
      </c>
      <c r="F5591" t="s">
        <v>41</v>
      </c>
      <c r="G5591">
        <v>-230.8631</v>
      </c>
      <c r="H5591">
        <v>1.0201370000000001</v>
      </c>
      <c r="I5591">
        <v>-60.677979999999998</v>
      </c>
      <c r="J5591">
        <v>-231.59440000000001</v>
      </c>
      <c r="K5591">
        <v>1.1091660000000001</v>
      </c>
      <c r="L5591">
        <v>-60.64114</v>
      </c>
      <c r="M5591">
        <v>0.9992626</v>
      </c>
      <c r="N5591">
        <v>0</v>
      </c>
      <c r="O5591">
        <v>-3.5520650000000001E-2</v>
      </c>
      <c r="P5591">
        <v>0.99830450000000004</v>
      </c>
      <c r="Q5591">
        <v>-5.3765030000000004E-3</v>
      </c>
      <c r="R5591">
        <v>-5.795753E-2</v>
      </c>
      <c r="S5591">
        <v>2.9951629999999998</v>
      </c>
      <c r="T5591">
        <v>-0.296126</v>
      </c>
      <c r="U5591">
        <v>-0.14291379999999901</v>
      </c>
      <c r="V5591">
        <v>2.2468709999999999E-2</v>
      </c>
      <c r="W5591">
        <v>9.1654619999999992E-3</v>
      </c>
      <c r="X5591">
        <v>0.99970559999999997</v>
      </c>
      <c r="Y5591">
        <v>1.2259590000000001E-2</v>
      </c>
      <c r="Z5591">
        <v>2.896193E-3</v>
      </c>
      <c r="AA5591">
        <v>0.9999207</v>
      </c>
      <c r="AB5591">
        <v>34</v>
      </c>
      <c r="AC5591">
        <v>0.73130000000000395</v>
      </c>
      <c r="AD5591">
        <v>-8.9028999999999997E-2</v>
      </c>
      <c r="AE5591">
        <v>-3.6840000000005001E-2</v>
      </c>
      <c r="AF5591">
        <v>1.0679851280564E-2</v>
      </c>
      <c r="AG5591">
        <v>-8.9028999999999997E-2</v>
      </c>
      <c r="AH5591">
        <v>0.72148126232819698</v>
      </c>
      <c r="AI5591">
        <v>97.033833049615694</v>
      </c>
      <c r="AJ5591">
        <v>89.151931244415707</v>
      </c>
      <c r="AK5591">
        <v>0.72703193461846205</v>
      </c>
      <c r="AL5591">
        <v>89.474850392869897</v>
      </c>
      <c r="AM5591">
        <v>88.712475399169605</v>
      </c>
      <c r="AN5591">
        <v>1.00000006764704</v>
      </c>
    </row>
    <row r="5592" spans="1:40" x14ac:dyDescent="0.25">
      <c r="A5592" t="str">
        <f>"20190312154714834"</f>
        <v>20190312154714834</v>
      </c>
      <c r="B5592" t="str">
        <f>"1552376834823393"</f>
        <v>1552376834823393</v>
      </c>
      <c r="C5592" t="s">
        <v>40</v>
      </c>
      <c r="D5592">
        <v>5.079485</v>
      </c>
      <c r="E5592">
        <v>0.49688470000000001</v>
      </c>
      <c r="F5592" t="s">
        <v>41</v>
      </c>
      <c r="G5592">
        <v>-230.8537</v>
      </c>
      <c r="H5592">
        <v>1.0362119999999999</v>
      </c>
      <c r="I5592">
        <v>-60.67624</v>
      </c>
      <c r="J5592">
        <v>-231.4221</v>
      </c>
      <c r="K5592">
        <v>1.1092599999999999</v>
      </c>
      <c r="L5592">
        <v>-60.647370000000002</v>
      </c>
      <c r="M5592">
        <v>0.99926099999999995</v>
      </c>
      <c r="N5592">
        <v>0</v>
      </c>
      <c r="O5592">
        <v>-3.5569320000000001E-2</v>
      </c>
      <c r="P5592">
        <v>0.99830479999999999</v>
      </c>
      <c r="Q5592">
        <v>-5.1552159999999998E-3</v>
      </c>
      <c r="R5592">
        <v>-5.7976100000000003E-2</v>
      </c>
      <c r="S5592">
        <v>2.9952700000000001</v>
      </c>
      <c r="T5592">
        <v>-0.2949929</v>
      </c>
      <c r="U5592">
        <v>-0.14160159999999999</v>
      </c>
      <c r="V5592">
        <v>2.2436520000000001E-2</v>
      </c>
      <c r="W5592">
        <v>9.3886109999999998E-3</v>
      </c>
      <c r="X5592">
        <v>0.99970420000000004</v>
      </c>
      <c r="Y5592">
        <v>1.1773809999999999E-2</v>
      </c>
      <c r="Z5592">
        <v>2.9137249999999998E-3</v>
      </c>
      <c r="AA5592">
        <v>0.99992639999999999</v>
      </c>
      <c r="AB5592">
        <v>34</v>
      </c>
      <c r="AC5592">
        <v>0.56839999999999602</v>
      </c>
      <c r="AD5592">
        <v>-7.3048000000000002E-2</v>
      </c>
      <c r="AE5592">
        <v>-2.8870000000004802E-2</v>
      </c>
      <c r="AF5592">
        <v>8.4920842778736898E-3</v>
      </c>
      <c r="AG5592">
        <v>-7.3048000000000002E-2</v>
      </c>
      <c r="AH5592">
        <v>0.55984456408511896</v>
      </c>
      <c r="AI5592">
        <v>97.433057668225103</v>
      </c>
      <c r="AJ5592">
        <v>89.130967222816096</v>
      </c>
      <c r="AK5592">
        <v>0.56465393094800997</v>
      </c>
      <c r="AL5592">
        <v>89.462064319520906</v>
      </c>
      <c r="AM5592">
        <v>88.714317563441</v>
      </c>
      <c r="AN5592">
        <v>1.00000001547192</v>
      </c>
    </row>
    <row r="5593" spans="1:40" x14ac:dyDescent="0.25">
      <c r="A5593" t="str">
        <f>"20190312154714847"</f>
        <v>20190312154714847</v>
      </c>
      <c r="B5593" t="str">
        <f>"1552376834843890"</f>
        <v>1552376834843890</v>
      </c>
      <c r="C5593" t="s">
        <v>40</v>
      </c>
      <c r="D5593">
        <v>5.0489329999999999</v>
      </c>
      <c r="E5593">
        <v>0.49652750000000001</v>
      </c>
      <c r="F5593" t="s">
        <v>41</v>
      </c>
      <c r="G5593">
        <v>-230.56190000000001</v>
      </c>
      <c r="H5593">
        <v>1.0247250000000001</v>
      </c>
      <c r="I5593">
        <v>-60.68779</v>
      </c>
      <c r="J5593">
        <v>-231.22749999999999</v>
      </c>
      <c r="K5593">
        <v>1.109364</v>
      </c>
      <c r="L5593">
        <v>-60.654389999999999</v>
      </c>
      <c r="M5593">
        <v>0.99926040000000005</v>
      </c>
      <c r="N5593">
        <v>0</v>
      </c>
      <c r="O5593">
        <v>-3.5588359999999999E-2</v>
      </c>
      <c r="P5593">
        <v>0.99830050000000004</v>
      </c>
      <c r="Q5593">
        <v>-4.806757E-3</v>
      </c>
      <c r="R5593">
        <v>-5.807905E-2</v>
      </c>
      <c r="S5593">
        <v>2.9954070000000002</v>
      </c>
      <c r="T5593">
        <v>-0.2943481</v>
      </c>
      <c r="U5593">
        <v>-0.1404724</v>
      </c>
      <c r="V5593">
        <v>2.2518509999999999E-2</v>
      </c>
      <c r="W5593">
        <v>9.7390719999999997E-3</v>
      </c>
      <c r="X5593">
        <v>0.999699</v>
      </c>
      <c r="Y5593">
        <v>1.1377969999999999E-2</v>
      </c>
      <c r="Z5593">
        <v>2.9285399999999999E-3</v>
      </c>
      <c r="AA5593">
        <v>0.99993100000000001</v>
      </c>
      <c r="AB5593">
        <v>33</v>
      </c>
      <c r="AC5593">
        <v>0.66559999999998298</v>
      </c>
      <c r="AD5593">
        <v>-8.4638999999999895E-2</v>
      </c>
      <c r="AE5593">
        <v>-3.3400000000000298E-2</v>
      </c>
      <c r="AF5593">
        <v>9.5349186568028203E-3</v>
      </c>
      <c r="AG5593">
        <v>-8.4638999999999895E-2</v>
      </c>
      <c r="AH5593">
        <v>0.65578946456510701</v>
      </c>
      <c r="AI5593">
        <v>97.353415743527506</v>
      </c>
      <c r="AJ5593">
        <v>89.167000791052004</v>
      </c>
      <c r="AK5593">
        <v>0.66129758568240704</v>
      </c>
      <c r="AL5593">
        <v>89.441983463055394</v>
      </c>
      <c r="AM5593">
        <v>88.709614157131</v>
      </c>
      <c r="AN5593">
        <v>1.0000000117085199</v>
      </c>
    </row>
    <row r="5594" spans="1:40" x14ac:dyDescent="0.25">
      <c r="A5594" t="str">
        <f>"20190312154714861"</f>
        <v>20190312154714861</v>
      </c>
      <c r="B5594" t="str">
        <f>"1552376834853651"</f>
        <v>1552376834853651</v>
      </c>
      <c r="C5594" t="s">
        <v>40</v>
      </c>
      <c r="D5594">
        <v>5.0623379999999996</v>
      </c>
      <c r="E5594">
        <v>0.49644480000000002</v>
      </c>
      <c r="F5594" t="s">
        <v>41</v>
      </c>
      <c r="G5594">
        <v>-230.26779999999999</v>
      </c>
      <c r="H5594">
        <v>1.0158879999999999</v>
      </c>
      <c r="I5594">
        <v>-60.698630000000001</v>
      </c>
      <c r="J5594">
        <v>-231.02070000000001</v>
      </c>
      <c r="K5594">
        <v>1.109472</v>
      </c>
      <c r="L5594">
        <v>-60.661769999999997</v>
      </c>
      <c r="M5594">
        <v>0.99926250000000005</v>
      </c>
      <c r="N5594">
        <v>0</v>
      </c>
      <c r="O5594">
        <v>-3.5530939999999997E-2</v>
      </c>
      <c r="P5594">
        <v>0.99830810000000003</v>
      </c>
      <c r="Q5594">
        <v>-4.5973790000000004E-3</v>
      </c>
      <c r="R5594">
        <v>-5.7964189999999999E-2</v>
      </c>
      <c r="S5594">
        <v>2.9956670000000001</v>
      </c>
      <c r="T5594">
        <v>-0.29174539999999999</v>
      </c>
      <c r="U5594">
        <v>-0.13787839999999901</v>
      </c>
      <c r="V5594">
        <v>2.2458559999999999E-2</v>
      </c>
      <c r="W5594">
        <v>9.949823E-3</v>
      </c>
      <c r="X5594">
        <v>0.99969830000000004</v>
      </c>
      <c r="Y5594">
        <v>1.0568889999999999E-2</v>
      </c>
      <c r="Z5594">
        <v>2.9363010000000001E-3</v>
      </c>
      <c r="AA5594">
        <v>0.99993989999999999</v>
      </c>
      <c r="AB5594">
        <v>33</v>
      </c>
      <c r="AC5594">
        <v>0.752900000000011</v>
      </c>
      <c r="AD5594">
        <v>-9.3584000000000098E-2</v>
      </c>
      <c r="AE5594">
        <v>-3.6860000000004299E-2</v>
      </c>
      <c r="AF5594">
        <v>9.9295944259725696E-3</v>
      </c>
      <c r="AG5594">
        <v>-9.3584000000000098E-2</v>
      </c>
      <c r="AH5594">
        <v>0.74229329715023895</v>
      </c>
      <c r="AI5594">
        <v>97.184969911385195</v>
      </c>
      <c r="AJ5594">
        <v>89.233604932244305</v>
      </c>
      <c r="AK5594">
        <v>0.74823519089630997</v>
      </c>
      <c r="AL5594">
        <v>89.429907750434396</v>
      </c>
      <c r="AM5594">
        <v>88.713047434660098</v>
      </c>
      <c r="AN5594">
        <v>1.00000003845894</v>
      </c>
    </row>
    <row r="5595" spans="1:40" x14ac:dyDescent="0.25">
      <c r="A5595" t="str">
        <f>"20190312154714873"</f>
        <v>20190312154714873</v>
      </c>
      <c r="B5595" t="str">
        <f>"1552376834863410"</f>
        <v>1552376834863410</v>
      </c>
      <c r="C5595" t="s">
        <v>40</v>
      </c>
      <c r="D5595">
        <v>5.0458040000000004</v>
      </c>
      <c r="E5595">
        <v>0.49630000000000002</v>
      </c>
      <c r="F5595" t="s">
        <v>41</v>
      </c>
      <c r="G5595">
        <v>-230.25710000000001</v>
      </c>
      <c r="H5595">
        <v>1.0352790000000001</v>
      </c>
      <c r="I5595">
        <v>-60.696680000000001</v>
      </c>
      <c r="J5595">
        <v>-230.834</v>
      </c>
      <c r="K5595">
        <v>1.1095699999999999</v>
      </c>
      <c r="L5595">
        <v>-60.668399999999998</v>
      </c>
      <c r="M5595">
        <v>0.99926689999999996</v>
      </c>
      <c r="N5595">
        <v>0</v>
      </c>
      <c r="O5595">
        <v>-3.541072E-2</v>
      </c>
      <c r="P5595">
        <v>0.99831760000000003</v>
      </c>
      <c r="Q5595">
        <v>-4.3733409999999898E-3</v>
      </c>
      <c r="R5595">
        <v>-5.7820139999999999E-2</v>
      </c>
      <c r="S5595">
        <v>2.9957889999999998</v>
      </c>
      <c r="T5595">
        <v>-0.2910122</v>
      </c>
      <c r="U5595">
        <v>-0.13665769999999999</v>
      </c>
      <c r="V5595">
        <v>2.2432420000000002E-2</v>
      </c>
      <c r="W5595">
        <v>1.017583E-2</v>
      </c>
      <c r="X5595">
        <v>0.99969660000000005</v>
      </c>
      <c r="Y5595">
        <v>1.0280920000000001E-2</v>
      </c>
      <c r="Z5595">
        <v>2.9311810000000002E-3</v>
      </c>
      <c r="AA5595">
        <v>0.99994280000000002</v>
      </c>
      <c r="AB5595">
        <v>33</v>
      </c>
      <c r="AC5595">
        <v>0.57689999999999397</v>
      </c>
      <c r="AD5595">
        <v>-7.4291000000000093E-2</v>
      </c>
      <c r="AE5595">
        <v>-2.8280000000009398E-2</v>
      </c>
      <c r="AF5595">
        <v>7.70419790058024E-3</v>
      </c>
      <c r="AG5595">
        <v>-7.4291000000000093E-2</v>
      </c>
      <c r="AH5595">
        <v>0.56814057067716195</v>
      </c>
      <c r="AI5595">
        <v>97.449145013937795</v>
      </c>
      <c r="AJ5595">
        <v>89.223095491723598</v>
      </c>
      <c r="AK5595">
        <v>0.57302898303285099</v>
      </c>
      <c r="AL5595">
        <v>89.416957841028605</v>
      </c>
      <c r="AM5595">
        <v>88.714542658279001</v>
      </c>
      <c r="AN5595">
        <v>1.0000000265174001</v>
      </c>
    </row>
    <row r="5596" spans="1:40" x14ac:dyDescent="0.25">
      <c r="A5596" t="str">
        <f>"20190312154714886"</f>
        <v>20190312154714886</v>
      </c>
      <c r="B5596" t="str">
        <f>"1552376834883905"</f>
        <v>1552376834883905</v>
      </c>
      <c r="C5596" t="s">
        <v>40</v>
      </c>
      <c r="D5596">
        <v>5.049804</v>
      </c>
      <c r="E5596">
        <v>0.49623329999999999</v>
      </c>
      <c r="F5596" t="s">
        <v>41</v>
      </c>
      <c r="G5596">
        <v>-229.965</v>
      </c>
      <c r="H5596">
        <v>1.0254350000000001</v>
      </c>
      <c r="I5596">
        <v>-60.707709999999999</v>
      </c>
      <c r="J5596">
        <v>-230.6352</v>
      </c>
      <c r="K5596">
        <v>1.1096710000000001</v>
      </c>
      <c r="L5596">
        <v>-60.675379999999997</v>
      </c>
      <c r="M5596">
        <v>0.99927290000000002</v>
      </c>
      <c r="N5596">
        <v>0</v>
      </c>
      <c r="O5596">
        <v>-3.5241439999999999E-2</v>
      </c>
      <c r="P5596">
        <v>0.99831999999999999</v>
      </c>
      <c r="Q5596">
        <v>-3.9679440000000002E-3</v>
      </c>
      <c r="R5596">
        <v>-5.7810350000000003E-2</v>
      </c>
      <c r="S5596">
        <v>2.9959560000000001</v>
      </c>
      <c r="T5596">
        <v>-0.29003689999999999</v>
      </c>
      <c r="U5596">
        <v>-0.13491819999999999</v>
      </c>
      <c r="V5596">
        <v>2.2589310000000001E-2</v>
      </c>
      <c r="W5596">
        <v>1.058303E-2</v>
      </c>
      <c r="X5596">
        <v>0.99968880000000004</v>
      </c>
      <c r="Y5596">
        <v>9.8687080000000003E-3</v>
      </c>
      <c r="Z5596">
        <v>2.924856E-3</v>
      </c>
      <c r="AA5596">
        <v>0.99994700000000003</v>
      </c>
      <c r="AB5596">
        <v>33</v>
      </c>
      <c r="AC5596">
        <v>0.67019999999999402</v>
      </c>
      <c r="AD5596">
        <v>-8.42359999999997E-2</v>
      </c>
      <c r="AE5596">
        <v>-3.2329999999994599E-2</v>
      </c>
      <c r="AF5596">
        <v>8.5537853925166194E-3</v>
      </c>
      <c r="AG5596">
        <v>-8.42359999999997E-2</v>
      </c>
      <c r="AH5596">
        <v>0.66051289261807899</v>
      </c>
      <c r="AI5596">
        <v>97.267164477946807</v>
      </c>
      <c r="AJ5596">
        <v>89.258048688522393</v>
      </c>
      <c r="AK5596">
        <v>0.66591752661665504</v>
      </c>
      <c r="AL5596">
        <v>89.393625719347497</v>
      </c>
      <c r="AM5596">
        <v>88.705545255927007</v>
      </c>
      <c r="AN5596">
        <v>0.99999998714784799</v>
      </c>
    </row>
    <row r="5597" spans="1:40" x14ac:dyDescent="0.25">
      <c r="A5597" t="str">
        <f>"20190312154714899"</f>
        <v>20190312154714899</v>
      </c>
      <c r="B5597" t="str">
        <f>"1552376834893665"</f>
        <v>1552376834893665</v>
      </c>
      <c r="C5597" t="s">
        <v>40</v>
      </c>
      <c r="D5597">
        <v>5.0726500000000003</v>
      </c>
      <c r="E5597">
        <v>0.49604039999999999</v>
      </c>
      <c r="F5597" t="s">
        <v>41</v>
      </c>
      <c r="G5597">
        <v>-229.67160000000001</v>
      </c>
      <c r="H5597">
        <v>1.016761</v>
      </c>
      <c r="I5597">
        <v>-60.718789999999998</v>
      </c>
      <c r="J5597">
        <v>-230.43379999999999</v>
      </c>
      <c r="K5597">
        <v>1.10978</v>
      </c>
      <c r="L5597">
        <v>-60.682340000000003</v>
      </c>
      <c r="M5597">
        <v>0.99928130000000004</v>
      </c>
      <c r="N5597">
        <v>0</v>
      </c>
      <c r="O5597">
        <v>-3.5002690000000003E-2</v>
      </c>
      <c r="P5597">
        <v>0.99830149999999995</v>
      </c>
      <c r="Q5597">
        <v>-3.0821239999999999E-3</v>
      </c>
      <c r="R5597">
        <v>-5.8178390000000003E-2</v>
      </c>
      <c r="S5597">
        <v>2.996124</v>
      </c>
      <c r="T5597">
        <v>-0.28891309999999998</v>
      </c>
      <c r="U5597">
        <v>-0.13436890000000001</v>
      </c>
      <c r="V5597">
        <v>2.3194159999999998E-2</v>
      </c>
      <c r="W5597">
        <v>1.1471800000000001E-2</v>
      </c>
      <c r="X5597">
        <v>0.99966509999999997</v>
      </c>
      <c r="Y5597">
        <v>9.919878E-3</v>
      </c>
      <c r="Z5597">
        <v>2.8880260000000001E-3</v>
      </c>
      <c r="AA5597">
        <v>0.99994669999999997</v>
      </c>
      <c r="AB5597">
        <v>33</v>
      </c>
      <c r="AC5597">
        <v>0.76219999999997801</v>
      </c>
      <c r="AD5597">
        <v>-9.3018999999999893E-2</v>
      </c>
      <c r="AE5597">
        <v>-3.6450000000002002E-2</v>
      </c>
      <c r="AF5597">
        <v>9.6030846399266494E-3</v>
      </c>
      <c r="AG5597">
        <v>-9.3018999999999893E-2</v>
      </c>
      <c r="AH5597">
        <v>0.75183666893401502</v>
      </c>
      <c r="AI5597">
        <v>97.052357888100303</v>
      </c>
      <c r="AJ5597">
        <v>89.268210338613201</v>
      </c>
      <c r="AK5597">
        <v>0.75762994288068897</v>
      </c>
      <c r="AL5597">
        <v>89.342699820702094</v>
      </c>
      <c r="AM5597">
        <v>88.6708657855919</v>
      </c>
      <c r="AN5597">
        <v>0.99999994170567597</v>
      </c>
    </row>
    <row r="5598" spans="1:40" x14ac:dyDescent="0.25">
      <c r="A5598" t="str">
        <f>"20190312154714912"</f>
        <v>20190312154714912</v>
      </c>
      <c r="B5598" t="str">
        <f>"1552376834903426"</f>
        <v>1552376834903426</v>
      </c>
      <c r="C5598" t="s">
        <v>40</v>
      </c>
      <c r="D5598">
        <v>5.027825</v>
      </c>
      <c r="E5598">
        <v>0.49596950000000001</v>
      </c>
      <c r="F5598" t="s">
        <v>41</v>
      </c>
      <c r="G5598">
        <v>-229.661</v>
      </c>
      <c r="H5598">
        <v>1.0357149999999999</v>
      </c>
      <c r="I5598">
        <v>-60.717089999999999</v>
      </c>
      <c r="J5598">
        <v>-230.26679999999999</v>
      </c>
      <c r="K5598">
        <v>1.1098629999999901</v>
      </c>
      <c r="L5598">
        <v>-60.687989999999999</v>
      </c>
      <c r="M5598">
        <v>0.99928989999999995</v>
      </c>
      <c r="N5598">
        <v>0</v>
      </c>
      <c r="O5598">
        <v>-3.475727E-2</v>
      </c>
      <c r="P5598">
        <v>0.99831550000000002</v>
      </c>
      <c r="Q5598">
        <v>-2.5660069999999999E-3</v>
      </c>
      <c r="R5598">
        <v>-5.796449E-2</v>
      </c>
      <c r="S5598">
        <v>2.9964140000000001</v>
      </c>
      <c r="T5598">
        <v>-0.28718449999999901</v>
      </c>
      <c r="U5598">
        <v>-0.1340027</v>
      </c>
      <c r="V5598">
        <v>2.322304E-2</v>
      </c>
      <c r="W5598">
        <v>1.198961E-2</v>
      </c>
      <c r="X5598">
        <v>0.99965839999999995</v>
      </c>
      <c r="Y5598">
        <v>1.0036110000000001E-2</v>
      </c>
      <c r="Z5598">
        <v>2.8415659999999998E-3</v>
      </c>
      <c r="AA5598">
        <v>0.99994559999999999</v>
      </c>
      <c r="AB5598">
        <v>33</v>
      </c>
      <c r="AC5598">
        <v>0.60580000000001599</v>
      </c>
      <c r="AD5598">
        <v>-7.4147999999999797E-2</v>
      </c>
      <c r="AE5598">
        <v>-2.9099999999999598E-2</v>
      </c>
      <c r="AF5598">
        <v>7.9060631022142194E-3</v>
      </c>
      <c r="AG5598">
        <v>-7.4147999999999797E-2</v>
      </c>
      <c r="AH5598">
        <v>0.59751468083882497</v>
      </c>
      <c r="AI5598">
        <v>97.073287670119598</v>
      </c>
      <c r="AJ5598">
        <v>89.241930566270298</v>
      </c>
      <c r="AK5598">
        <v>0.60214967039407996</v>
      </c>
      <c r="AL5598">
        <v>89.313029481675798</v>
      </c>
      <c r="AM5598">
        <v>88.669202504714207</v>
      </c>
      <c r="AN5598">
        <v>0.99999998851267602</v>
      </c>
    </row>
    <row r="5599" spans="1:40" x14ac:dyDescent="0.25">
      <c r="A5599" t="str">
        <f>"20190312154714922"</f>
        <v>20190312154714922</v>
      </c>
      <c r="B5599" t="str">
        <f>"1552376834913186"</f>
        <v>1552376834913186</v>
      </c>
      <c r="C5599" t="s">
        <v>40</v>
      </c>
      <c r="D5599">
        <v>5.0346859999999998</v>
      </c>
      <c r="E5599">
        <v>0.49592370000000002</v>
      </c>
      <c r="F5599" t="s">
        <v>41</v>
      </c>
      <c r="G5599">
        <v>-229.37049999999999</v>
      </c>
      <c r="H5599">
        <v>1.0244799999999901</v>
      </c>
      <c r="I5599">
        <v>-60.727980000000002</v>
      </c>
      <c r="J5599">
        <v>-230.0958</v>
      </c>
      <c r="K5599">
        <v>1.1099410000000001</v>
      </c>
      <c r="L5599">
        <v>-60.693759999999997</v>
      </c>
      <c r="M5599">
        <v>0.99929920000000005</v>
      </c>
      <c r="N5599">
        <v>0</v>
      </c>
      <c r="O5599">
        <v>-3.4487299999999999E-2</v>
      </c>
      <c r="P5599">
        <v>0.99829440000000003</v>
      </c>
      <c r="Q5599">
        <v>-2.2714050000000002E-3</v>
      </c>
      <c r="R5599">
        <v>-5.8332580000000002E-2</v>
      </c>
      <c r="S5599">
        <v>2.996613</v>
      </c>
      <c r="T5599">
        <v>-0.28547410000000001</v>
      </c>
      <c r="U5599">
        <v>-0.13287349999999901</v>
      </c>
      <c r="V5599">
        <v>2.3859229999999999E-2</v>
      </c>
      <c r="W5599">
        <v>1.228666E-2</v>
      </c>
      <c r="X5599">
        <v>0.99963979999999997</v>
      </c>
      <c r="Y5599">
        <v>9.9251809999999999E-3</v>
      </c>
      <c r="Z5599">
        <v>2.804202E-3</v>
      </c>
      <c r="AA5599">
        <v>0.99994680000000002</v>
      </c>
      <c r="AB5599">
        <v>33</v>
      </c>
      <c r="AC5599">
        <v>0.72530000000000405</v>
      </c>
      <c r="AD5599">
        <v>-8.5461000000000203E-2</v>
      </c>
      <c r="AE5599">
        <v>-3.4220000000004802E-2</v>
      </c>
      <c r="AF5599">
        <v>9.0578760225943494E-3</v>
      </c>
      <c r="AG5599">
        <v>-8.5461000000000203E-2</v>
      </c>
      <c r="AH5599">
        <v>0.71612841091594903</v>
      </c>
      <c r="AI5599">
        <v>96.804813708564396</v>
      </c>
      <c r="AJ5599">
        <v>89.2753389106078</v>
      </c>
      <c r="AK5599">
        <v>0.721266614061709</v>
      </c>
      <c r="AL5599">
        <v>89.296008508291806</v>
      </c>
      <c r="AM5599">
        <v>88.632733827978498</v>
      </c>
      <c r="AN5599">
        <v>0.999999977307093</v>
      </c>
    </row>
    <row r="5600" spans="1:40" x14ac:dyDescent="0.25">
      <c r="A5600" t="str">
        <f>"20190312154714934"</f>
        <v>20190312154714934</v>
      </c>
      <c r="B5600" t="str">
        <f>"1552376834923922"</f>
        <v>1552376834923922</v>
      </c>
      <c r="C5600" t="s">
        <v>40</v>
      </c>
      <c r="D5600">
        <v>5.0486690000000003</v>
      </c>
      <c r="E5600">
        <v>0.49591540000000001</v>
      </c>
      <c r="F5600" t="s">
        <v>41</v>
      </c>
      <c r="G5600">
        <v>-229.35990000000001</v>
      </c>
      <c r="H5600">
        <v>1.0400860000000001</v>
      </c>
      <c r="I5600">
        <v>-60.72683</v>
      </c>
      <c r="J5600">
        <v>-229.93260000000001</v>
      </c>
      <c r="K5600">
        <v>1.110017</v>
      </c>
      <c r="L5600">
        <v>-60.699129999999997</v>
      </c>
      <c r="M5600">
        <v>0.99931029999999998</v>
      </c>
      <c r="N5600">
        <v>0</v>
      </c>
      <c r="O5600">
        <v>-3.4169199999999997E-2</v>
      </c>
      <c r="P5600">
        <v>0.99828910000000004</v>
      </c>
      <c r="Q5600">
        <v>-2.3615429999999998E-3</v>
      </c>
      <c r="R5600">
        <v>-5.8425009999999999E-2</v>
      </c>
      <c r="S5600">
        <v>2.996658</v>
      </c>
      <c r="T5600">
        <v>-0.28444760000000002</v>
      </c>
      <c r="U5600">
        <v>-0.13366700000000001</v>
      </c>
      <c r="V5600">
        <v>2.426789E-2</v>
      </c>
      <c r="W5600">
        <v>1.219845E-2</v>
      </c>
      <c r="X5600">
        <v>0.99963100000000005</v>
      </c>
      <c r="Y5600">
        <v>1.0502249999999999E-2</v>
      </c>
      <c r="Z5600">
        <v>2.7366959999999998E-3</v>
      </c>
      <c r="AA5600">
        <v>0.99994110000000003</v>
      </c>
      <c r="AB5600">
        <v>33</v>
      </c>
      <c r="AC5600">
        <v>0.57269999999999699</v>
      </c>
      <c r="AD5600">
        <v>-6.9930999999999896E-2</v>
      </c>
      <c r="AE5600">
        <v>-2.7700000000002899E-2</v>
      </c>
      <c r="AF5600">
        <v>7.9941356068212593E-3</v>
      </c>
      <c r="AG5600">
        <v>-6.9930999999999896E-2</v>
      </c>
      <c r="AH5600">
        <v>0.56490881844422502</v>
      </c>
      <c r="AI5600">
        <v>97.0561391806568</v>
      </c>
      <c r="AJ5600">
        <v>89.189250290742606</v>
      </c>
      <c r="AK5600">
        <v>0.569276930958168</v>
      </c>
      <c r="AL5600">
        <v>89.301062917932398</v>
      </c>
      <c r="AM5600">
        <v>88.609312225532406</v>
      </c>
      <c r="AN5600">
        <v>0.99999993441422497</v>
      </c>
    </row>
    <row r="5601" spans="1:40" x14ac:dyDescent="0.25">
      <c r="A5601" t="str">
        <f>"20190312154714945"</f>
        <v>20190312154714945</v>
      </c>
      <c r="B5601" t="str">
        <f>"1552376834943442"</f>
        <v>1552376834943442</v>
      </c>
      <c r="C5601" t="s">
        <v>40</v>
      </c>
      <c r="D5601">
        <v>5.0193450000000004</v>
      </c>
      <c r="E5601">
        <v>0.49589499999999997</v>
      </c>
      <c r="F5601" t="s">
        <v>41</v>
      </c>
      <c r="G5601">
        <v>-229.0718</v>
      </c>
      <c r="H5601">
        <v>1.028233</v>
      </c>
      <c r="I5601">
        <v>-60.737720000000003</v>
      </c>
      <c r="J5601">
        <v>-229.76060000000001</v>
      </c>
      <c r="K5601">
        <v>1.1100939999999999</v>
      </c>
      <c r="L5601">
        <v>-60.704709999999999</v>
      </c>
      <c r="M5601">
        <v>0.99932209999999999</v>
      </c>
      <c r="N5601">
        <v>0</v>
      </c>
      <c r="O5601">
        <v>-3.3819960000000003E-2</v>
      </c>
      <c r="P5601">
        <v>0.99827779999999999</v>
      </c>
      <c r="Q5601">
        <v>-2.4529479999999999E-3</v>
      </c>
      <c r="R5601">
        <v>-5.861135E-2</v>
      </c>
      <c r="S5601">
        <v>2.996613</v>
      </c>
      <c r="T5601">
        <v>-0.2847015</v>
      </c>
      <c r="U5601">
        <v>-0.13403319999999999</v>
      </c>
      <c r="V5601">
        <v>2.4801699999999999E-2</v>
      </c>
      <c r="W5601">
        <v>1.2109760000000001E-2</v>
      </c>
      <c r="X5601">
        <v>0.99961909999999998</v>
      </c>
      <c r="Y5601">
        <v>1.0970860000000001E-2</v>
      </c>
      <c r="Z5601">
        <v>2.6838959999999999E-3</v>
      </c>
      <c r="AA5601">
        <v>0.99993620000000005</v>
      </c>
      <c r="AB5601">
        <v>33</v>
      </c>
      <c r="AC5601">
        <v>0.68880000000001396</v>
      </c>
      <c r="AD5601">
        <v>-8.18610000000001E-2</v>
      </c>
      <c r="AE5601">
        <v>-3.3009999999997298E-2</v>
      </c>
      <c r="AF5601">
        <v>9.5587577897421495E-3</v>
      </c>
      <c r="AG5601">
        <v>-8.18610000000001E-2</v>
      </c>
      <c r="AH5601">
        <v>0.67994069814184099</v>
      </c>
      <c r="AI5601">
        <v>96.864372882967302</v>
      </c>
      <c r="AJ5601">
        <v>89.194576225909898</v>
      </c>
      <c r="AK5601">
        <v>0.684917473978506</v>
      </c>
      <c r="AL5601">
        <v>89.306144941973002</v>
      </c>
      <c r="AM5601">
        <v>88.578717383740297</v>
      </c>
      <c r="AN5601">
        <v>1.0000000578474699</v>
      </c>
    </row>
    <row r="5602" spans="1:40" x14ac:dyDescent="0.25">
      <c r="A5602" t="str">
        <f>"20190312154714955"</f>
        <v>20190312154714955</v>
      </c>
      <c r="B5602" t="str">
        <f>"1552376834943442"</f>
        <v>1552376834943442</v>
      </c>
      <c r="C5602" t="s">
        <v>40</v>
      </c>
      <c r="D5602">
        <v>5.0193450000000004</v>
      </c>
      <c r="E5602">
        <v>0.49589499999999997</v>
      </c>
      <c r="F5602" t="s">
        <v>41</v>
      </c>
      <c r="G5602">
        <v>-228.7808</v>
      </c>
      <c r="H5602">
        <v>1.0170699999999999</v>
      </c>
      <c r="I5602">
        <v>-60.748820000000002</v>
      </c>
      <c r="J5602">
        <v>-229.61179999999999</v>
      </c>
      <c r="K5602">
        <v>1.11016</v>
      </c>
      <c r="L5602">
        <v>-60.709440000000001</v>
      </c>
      <c r="M5602">
        <v>0.99933380000000005</v>
      </c>
      <c r="N5602">
        <v>0</v>
      </c>
      <c r="O5602">
        <v>-3.347468E-2</v>
      </c>
      <c r="P5602">
        <v>0.99828729999999999</v>
      </c>
      <c r="Q5602">
        <v>-2.7046150000000001E-3</v>
      </c>
      <c r="R5602">
        <v>-5.8440869999999999E-2</v>
      </c>
      <c r="S5602">
        <v>2.9965670000000002</v>
      </c>
      <c r="T5602">
        <v>-0.28451989999999999</v>
      </c>
      <c r="U5602">
        <v>-0.13446040000000001</v>
      </c>
      <c r="V5602">
        <v>2.497483E-2</v>
      </c>
      <c r="W5602">
        <v>1.18604E-2</v>
      </c>
      <c r="X5602">
        <v>0.99961770000000005</v>
      </c>
      <c r="Y5602">
        <v>1.1455470000000001E-2</v>
      </c>
      <c r="Z5602">
        <v>2.626607E-3</v>
      </c>
      <c r="AA5602">
        <v>0.99993089999999996</v>
      </c>
      <c r="AB5602">
        <v>33</v>
      </c>
      <c r="AC5602">
        <v>0.83099999999998797</v>
      </c>
      <c r="AD5602">
        <v>-9.3089999999999895E-2</v>
      </c>
      <c r="AE5602">
        <v>-3.9379999999994197E-2</v>
      </c>
      <c r="AF5602">
        <v>1.1394853616166999E-2</v>
      </c>
      <c r="AG5602">
        <v>-9.3089999999999895E-2</v>
      </c>
      <c r="AH5602">
        <v>0.82156594368645497</v>
      </c>
      <c r="AI5602">
        <v>96.463882996176196</v>
      </c>
      <c r="AJ5602">
        <v>89.205377041214604</v>
      </c>
      <c r="AK5602">
        <v>0.82690156041354101</v>
      </c>
      <c r="AL5602">
        <v>89.320433189203698</v>
      </c>
      <c r="AM5602">
        <v>88.568798129705698</v>
      </c>
      <c r="AN5602">
        <v>0.99999997868748902</v>
      </c>
    </row>
    <row r="5603" spans="1:40" x14ac:dyDescent="0.25">
      <c r="A5603" t="str">
        <f>"20190312154714967"</f>
        <v>20190312154714967</v>
      </c>
      <c r="B5603" t="str">
        <f>"1552376834963938"</f>
        <v>1552376834963938</v>
      </c>
      <c r="C5603" t="s">
        <v>40</v>
      </c>
      <c r="D5603">
        <v>5.0376890000000003</v>
      </c>
      <c r="E5603">
        <v>0.49592350000000002</v>
      </c>
      <c r="F5603" t="s">
        <v>41</v>
      </c>
      <c r="G5603">
        <v>-228.77420000000001</v>
      </c>
      <c r="H5603">
        <v>1.0304180000000001</v>
      </c>
      <c r="I5603">
        <v>-60.747079999999997</v>
      </c>
      <c r="J5603">
        <v>-229.44329999999999</v>
      </c>
      <c r="K5603">
        <v>1.1102270000000001</v>
      </c>
      <c r="L5603">
        <v>-60.714750000000002</v>
      </c>
      <c r="M5603">
        <v>0.9993474</v>
      </c>
      <c r="N5603">
        <v>0</v>
      </c>
      <c r="O5603">
        <v>-3.3068409999999999E-2</v>
      </c>
      <c r="P5603">
        <v>0.9982856</v>
      </c>
      <c r="Q5603">
        <v>-2.9320150000000001E-3</v>
      </c>
      <c r="R5603">
        <v>-5.8458910000000003E-2</v>
      </c>
      <c r="S5603">
        <v>2.996521</v>
      </c>
      <c r="T5603">
        <v>-0.28529470000000001</v>
      </c>
      <c r="U5603">
        <v>-0.13412479999999999</v>
      </c>
      <c r="V5603">
        <v>2.5397510000000002E-2</v>
      </c>
      <c r="W5603">
        <v>1.1635339999999999E-2</v>
      </c>
      <c r="X5603">
        <v>0.99960970000000005</v>
      </c>
      <c r="Y5603">
        <v>1.174826E-2</v>
      </c>
      <c r="Z5603">
        <v>2.5813279999999999E-3</v>
      </c>
      <c r="AA5603">
        <v>0.99992760000000003</v>
      </c>
      <c r="AB5603">
        <v>33</v>
      </c>
      <c r="AC5603">
        <v>0.66909999999998604</v>
      </c>
      <c r="AD5603">
        <v>-7.9809000000000005E-2</v>
      </c>
      <c r="AE5603">
        <v>-3.2330000000001698E-2</v>
      </c>
      <c r="AF5603">
        <v>1.0041375431221401E-2</v>
      </c>
      <c r="AG5603">
        <v>-7.9809000000000005E-2</v>
      </c>
      <c r="AH5603">
        <v>0.660428982376708</v>
      </c>
      <c r="AI5603">
        <v>96.889661435658496</v>
      </c>
      <c r="AJ5603">
        <v>89.128923592015298</v>
      </c>
      <c r="AK5603">
        <v>0.66530951177980602</v>
      </c>
      <c r="AL5603">
        <v>89.333329070773203</v>
      </c>
      <c r="AM5603">
        <v>88.544574815396203</v>
      </c>
      <c r="AN5603">
        <v>0.999999983492602</v>
      </c>
    </row>
    <row r="5604" spans="1:40" x14ac:dyDescent="0.25">
      <c r="A5604" t="str">
        <f>"20190312154714978"</f>
        <v>20190312154714978</v>
      </c>
      <c r="B5604" t="str">
        <f>"1552376834973699"</f>
        <v>1552376834973699</v>
      </c>
      <c r="C5604" t="s">
        <v>40</v>
      </c>
      <c r="D5604">
        <v>5.0156140000000002</v>
      </c>
      <c r="E5604">
        <v>0.4959095</v>
      </c>
      <c r="F5604" t="s">
        <v>41</v>
      </c>
      <c r="G5604">
        <v>-228.48390000000001</v>
      </c>
      <c r="H5604">
        <v>1.018718</v>
      </c>
      <c r="I5604">
        <v>-60.757890000000003</v>
      </c>
      <c r="J5604">
        <v>-229.2688</v>
      </c>
      <c r="K5604">
        <v>1.1102860000000001</v>
      </c>
      <c r="L5604">
        <v>-60.720120000000001</v>
      </c>
      <c r="M5604">
        <v>0.99936230000000004</v>
      </c>
      <c r="N5604">
        <v>0</v>
      </c>
      <c r="O5604">
        <v>-3.2612040000000002E-2</v>
      </c>
      <c r="P5604">
        <v>0.99830909999999995</v>
      </c>
      <c r="Q5604">
        <v>-3.2620840000000002E-3</v>
      </c>
      <c r="R5604">
        <v>-5.8037659999999998E-2</v>
      </c>
      <c r="S5604">
        <v>2.996429</v>
      </c>
      <c r="T5604">
        <v>-0.28577659999999899</v>
      </c>
      <c r="U5604">
        <v>-0.13458249999999999</v>
      </c>
      <c r="V5604">
        <v>2.5430910000000001E-2</v>
      </c>
      <c r="W5604">
        <v>1.130682E-2</v>
      </c>
      <c r="X5604">
        <v>0.99961259999999996</v>
      </c>
      <c r="Y5604">
        <v>1.2354230000000001E-2</v>
      </c>
      <c r="Z5604">
        <v>2.5135449999999998E-3</v>
      </c>
      <c r="AA5604">
        <v>0.99992049999999999</v>
      </c>
      <c r="AB5604">
        <v>33</v>
      </c>
      <c r="AC5604">
        <v>0.78489999999999305</v>
      </c>
      <c r="AD5604">
        <v>-9.1568000000000094E-2</v>
      </c>
      <c r="AE5604">
        <v>-3.7770000000008901E-2</v>
      </c>
      <c r="AF5604">
        <v>1.1987238828948499E-2</v>
      </c>
      <c r="AG5604">
        <v>-9.1568000000000094E-2</v>
      </c>
      <c r="AH5604">
        <v>0.77518834362212197</v>
      </c>
      <c r="AI5604">
        <v>96.735965691953297</v>
      </c>
      <c r="AJ5604">
        <v>89.114068907992305</v>
      </c>
      <c r="AK5604">
        <v>0.78066981535496305</v>
      </c>
      <c r="AL5604">
        <v>89.352153105724796</v>
      </c>
      <c r="AM5604">
        <v>88.542665851915899</v>
      </c>
      <c r="AN5604">
        <v>0.99999996272034897</v>
      </c>
    </row>
    <row r="5605" spans="1:40" x14ac:dyDescent="0.25">
      <c r="A5605" t="str">
        <f>"20190312154714991"</f>
        <v>20190312154714991</v>
      </c>
      <c r="B5605" t="str">
        <f>"1552376834983457"</f>
        <v>1552376834983457</v>
      </c>
      <c r="C5605" t="s">
        <v>40</v>
      </c>
      <c r="D5605">
        <v>5.0566579999999997</v>
      </c>
      <c r="E5605">
        <v>0.49591289999999999</v>
      </c>
      <c r="F5605" t="s">
        <v>41</v>
      </c>
      <c r="G5605">
        <v>-228.47579999999999</v>
      </c>
      <c r="H5605">
        <v>1.034362</v>
      </c>
      <c r="I5605">
        <v>-60.75544</v>
      </c>
      <c r="J5605">
        <v>-229.08869999999999</v>
      </c>
      <c r="K5605">
        <v>1.1103430000000001</v>
      </c>
      <c r="L5605">
        <v>-60.725560000000002</v>
      </c>
      <c r="M5605">
        <v>0.9993784</v>
      </c>
      <c r="N5605">
        <v>0</v>
      </c>
      <c r="O5605">
        <v>-3.2116199999999998E-2</v>
      </c>
      <c r="P5605">
        <v>0.99834049999999996</v>
      </c>
      <c r="Q5605">
        <v>-3.2897920000000002E-3</v>
      </c>
      <c r="R5605">
        <v>-5.7493139999999998E-2</v>
      </c>
      <c r="S5605">
        <v>2.9963989999999998</v>
      </c>
      <c r="T5605">
        <v>-0.2869158</v>
      </c>
      <c r="U5605">
        <v>-0.13333130000000001</v>
      </c>
      <c r="V5605">
        <v>2.5380340000000001E-2</v>
      </c>
      <c r="W5605">
        <v>1.12806E-2</v>
      </c>
      <c r="X5605">
        <v>0.99961420000000001</v>
      </c>
      <c r="Y5605">
        <v>1.2432210000000001E-2</v>
      </c>
      <c r="Z5605">
        <v>2.4725329999999998E-3</v>
      </c>
      <c r="AA5605">
        <v>0.99991969999999997</v>
      </c>
      <c r="AB5605">
        <v>33</v>
      </c>
      <c r="AC5605">
        <v>0.612899999999996</v>
      </c>
      <c r="AD5605">
        <v>-7.5981000000000007E-2</v>
      </c>
      <c r="AE5605">
        <v>-2.98800000000056E-2</v>
      </c>
      <c r="AF5605">
        <v>1.00247830290478E-2</v>
      </c>
      <c r="AG5605">
        <v>-7.5981000000000007E-2</v>
      </c>
      <c r="AH5605">
        <v>0.60427867566127202</v>
      </c>
      <c r="AI5605">
        <v>97.165689980819707</v>
      </c>
      <c r="AJ5605">
        <v>89.049569185428993</v>
      </c>
      <c r="AK5605">
        <v>0.60911930399119696</v>
      </c>
      <c r="AL5605">
        <v>89.3536555088927</v>
      </c>
      <c r="AM5605">
        <v>88.545564878277801</v>
      </c>
      <c r="AN5605">
        <v>0.99999998121825695</v>
      </c>
    </row>
    <row r="5606" spans="1:40" x14ac:dyDescent="0.25">
      <c r="A5606" t="str">
        <f>"20190312154715002"</f>
        <v>20190312154715002</v>
      </c>
      <c r="B5606" t="str">
        <f>"1552376834993217"</f>
        <v>1552376834993217</v>
      </c>
      <c r="C5606" t="s">
        <v>40</v>
      </c>
      <c r="D5606">
        <v>5.0536120000000002</v>
      </c>
      <c r="E5606">
        <v>0.49590719999999999</v>
      </c>
      <c r="F5606" t="s">
        <v>41</v>
      </c>
      <c r="G5606">
        <v>-228.18539999999999</v>
      </c>
      <c r="H5606">
        <v>1.0239480000000001</v>
      </c>
      <c r="I5606">
        <v>-60.765529999999998</v>
      </c>
      <c r="J5606">
        <v>-228.9179</v>
      </c>
      <c r="K5606">
        <v>1.110393</v>
      </c>
      <c r="L5606">
        <v>-60.730649999999997</v>
      </c>
      <c r="M5606">
        <v>0.99939389999999995</v>
      </c>
      <c r="N5606">
        <v>0</v>
      </c>
      <c r="O5606">
        <v>-3.163038E-2</v>
      </c>
      <c r="P5606">
        <v>0.99838819999999995</v>
      </c>
      <c r="Q5606">
        <v>-3.3241519999999999E-3</v>
      </c>
      <c r="R5606">
        <v>-5.66568E-2</v>
      </c>
      <c r="S5606">
        <v>2.9964140000000001</v>
      </c>
      <c r="T5606">
        <v>-0.28661350000000002</v>
      </c>
      <c r="U5606">
        <v>-0.1318665</v>
      </c>
      <c r="V5606">
        <v>2.5027460000000001E-2</v>
      </c>
      <c r="W5606">
        <v>1.124675E-2</v>
      </c>
      <c r="X5606">
        <v>0.9996235</v>
      </c>
      <c r="Y5606">
        <v>1.2427819999999999E-2</v>
      </c>
      <c r="Z5606">
        <v>2.4238549999999999E-3</v>
      </c>
      <c r="AA5606">
        <v>0.99991980000000003</v>
      </c>
      <c r="AB5606">
        <v>33</v>
      </c>
      <c r="AC5606">
        <v>0.73250000000001503</v>
      </c>
      <c r="AD5606">
        <v>-8.6445000000000105E-2</v>
      </c>
      <c r="AE5606">
        <v>-3.4880000000008203E-2</v>
      </c>
      <c r="AF5606">
        <v>1.15306152528807E-2</v>
      </c>
      <c r="AG5606">
        <v>-8.6445000000000105E-2</v>
      </c>
      <c r="AH5606">
        <v>0.72318758098728697</v>
      </c>
      <c r="AI5606">
        <v>96.815553651722993</v>
      </c>
      <c r="AJ5606">
        <v>89.086544581254699</v>
      </c>
      <c r="AK5606">
        <v>0.72842705222098503</v>
      </c>
      <c r="AL5606">
        <v>89.355595107787394</v>
      </c>
      <c r="AM5606">
        <v>88.565791703516098</v>
      </c>
      <c r="AN5606">
        <v>1.0000000024459299</v>
      </c>
    </row>
    <row r="5607" spans="1:40" x14ac:dyDescent="0.25">
      <c r="A5607" t="str">
        <f>"20190312154715013"</f>
        <v>20190312154715013</v>
      </c>
      <c r="B5607" t="str">
        <f>"1552376835003953"</f>
        <v>1552376835003953</v>
      </c>
      <c r="C5607" t="s">
        <v>40</v>
      </c>
      <c r="D5607">
        <v>5.063663</v>
      </c>
      <c r="E5607">
        <v>0.49594769999999999</v>
      </c>
      <c r="F5607" t="s">
        <v>41</v>
      </c>
      <c r="G5607">
        <v>-228.1755</v>
      </c>
      <c r="H5607">
        <v>1.0394030000000001</v>
      </c>
      <c r="I5607">
        <v>-60.762929999999997</v>
      </c>
      <c r="J5607">
        <v>-228.76060000000001</v>
      </c>
      <c r="K5607">
        <v>1.1104309999999999</v>
      </c>
      <c r="L5607">
        <v>-60.735169999999997</v>
      </c>
      <c r="M5607">
        <v>0.99940870000000004</v>
      </c>
      <c r="N5607">
        <v>0</v>
      </c>
      <c r="O5607">
        <v>-3.1159920000000001E-2</v>
      </c>
      <c r="P5607">
        <v>0.99844960000000005</v>
      </c>
      <c r="Q5607">
        <v>-3.1801970000000001E-3</v>
      </c>
      <c r="R5607">
        <v>-5.557281E-2</v>
      </c>
      <c r="S5607">
        <v>2.9965359999999999</v>
      </c>
      <c r="T5607">
        <v>-0.28657440000000001</v>
      </c>
      <c r="U5607">
        <v>-0.1293945</v>
      </c>
      <c r="V5607">
        <v>2.4411530000000001E-2</v>
      </c>
      <c r="W5607">
        <v>1.1390269999999999E-2</v>
      </c>
      <c r="X5607">
        <v>0.99963709999999995</v>
      </c>
      <c r="Y5607">
        <v>1.2072889999999999E-2</v>
      </c>
      <c r="Z5607">
        <v>2.3955650000000001E-3</v>
      </c>
      <c r="AA5607">
        <v>0.99992420000000004</v>
      </c>
      <c r="AB5607">
        <v>33</v>
      </c>
      <c r="AC5607">
        <v>0.58510000000001094</v>
      </c>
      <c r="AD5607">
        <v>-7.10279999999998E-2</v>
      </c>
      <c r="AE5607">
        <v>-2.7760000000007699E-2</v>
      </c>
      <c r="AF5607">
        <v>9.3750744980662694E-3</v>
      </c>
      <c r="AG5607">
        <v>-7.10279999999998E-2</v>
      </c>
      <c r="AH5607">
        <v>0.57719410544392302</v>
      </c>
      <c r="AI5607">
        <v>97.0144832694466</v>
      </c>
      <c r="AJ5607">
        <v>89.069455202631602</v>
      </c>
      <c r="AK5607">
        <v>0.58162350723217404</v>
      </c>
      <c r="AL5607">
        <v>89.347371486785306</v>
      </c>
      <c r="AM5607">
        <v>88.601092633009401</v>
      </c>
      <c r="AN5607">
        <v>0.99999999637201098</v>
      </c>
    </row>
    <row r="5608" spans="1:40" x14ac:dyDescent="0.25">
      <c r="A5608" t="str">
        <f>"20190312154715023"</f>
        <v>20190312154715023</v>
      </c>
      <c r="B5608" t="str">
        <f>"1552376835013713"</f>
        <v>1552376835013713</v>
      </c>
      <c r="C5608" t="s">
        <v>40</v>
      </c>
      <c r="D5608">
        <v>5.0727510000000002</v>
      </c>
      <c r="E5608">
        <v>0.4959344</v>
      </c>
      <c r="F5608" t="s">
        <v>41</v>
      </c>
      <c r="G5608">
        <v>-227.88829999999999</v>
      </c>
      <c r="H5608">
        <v>1.027091</v>
      </c>
      <c r="I5608">
        <v>-60.771999999999998</v>
      </c>
      <c r="J5608">
        <v>-228.60730000000001</v>
      </c>
      <c r="K5608">
        <v>1.110466</v>
      </c>
      <c r="L5608">
        <v>-60.739530000000002</v>
      </c>
      <c r="M5608">
        <v>0.99942310000000001</v>
      </c>
      <c r="N5608">
        <v>0</v>
      </c>
      <c r="O5608">
        <v>-3.0699150000000001E-2</v>
      </c>
      <c r="P5608">
        <v>0.99851760000000001</v>
      </c>
      <c r="Q5608">
        <v>-2.9984550000000001E-3</v>
      </c>
      <c r="R5608">
        <v>-5.4348729999999998E-2</v>
      </c>
      <c r="S5608">
        <v>2.9966740000000001</v>
      </c>
      <c r="T5608">
        <v>-0.28633639999999999</v>
      </c>
      <c r="U5608">
        <v>-0.1265869</v>
      </c>
      <c r="V5608">
        <v>2.364548E-2</v>
      </c>
      <c r="W5608">
        <v>1.1570499999999999E-2</v>
      </c>
      <c r="X5608">
        <v>0.99965349999999997</v>
      </c>
      <c r="Y5608">
        <v>1.159671E-2</v>
      </c>
      <c r="Z5608">
        <v>2.3723400000000001E-3</v>
      </c>
      <c r="AA5608">
        <v>0.99992999999999999</v>
      </c>
      <c r="AB5608">
        <v>33</v>
      </c>
      <c r="AC5608">
        <v>0.71900000000002195</v>
      </c>
      <c r="AD5608">
        <v>-8.3374999999999894E-2</v>
      </c>
      <c r="AE5608">
        <v>-3.2469999999996398E-2</v>
      </c>
      <c r="AF5608">
        <v>1.02422311398477E-2</v>
      </c>
      <c r="AG5608">
        <v>-8.3374999999999894E-2</v>
      </c>
      <c r="AH5608">
        <v>0.71012853749830995</v>
      </c>
      <c r="AI5608">
        <v>96.695654490072897</v>
      </c>
      <c r="AJ5608">
        <v>89.173676455734594</v>
      </c>
      <c r="AK5608">
        <v>0.71507959955043499</v>
      </c>
      <c r="AL5608">
        <v>89.337044425115096</v>
      </c>
      <c r="AM5608">
        <v>88.6449968640637</v>
      </c>
      <c r="AN5608">
        <v>1.00000005262846</v>
      </c>
    </row>
    <row r="5609" spans="1:40" x14ac:dyDescent="0.25">
      <c r="A5609" t="str">
        <f>"20190312154715034"</f>
        <v>20190312154715034</v>
      </c>
      <c r="B5609" t="str">
        <f>"1552376835023474"</f>
        <v>1552376835023474</v>
      </c>
      <c r="C5609" t="s">
        <v>40</v>
      </c>
      <c r="D5609">
        <v>5.1181419999999997</v>
      </c>
      <c r="E5609">
        <v>0.49597160000000001</v>
      </c>
      <c r="F5609" t="s">
        <v>41</v>
      </c>
      <c r="G5609">
        <v>-227.59950000000001</v>
      </c>
      <c r="H5609">
        <v>1.0143580000000001</v>
      </c>
      <c r="I5609">
        <v>-60.781080000000003</v>
      </c>
      <c r="J5609">
        <v>-228.44460000000001</v>
      </c>
      <c r="K5609">
        <v>1.1104959999999999</v>
      </c>
      <c r="L5609">
        <v>-60.7440199999999</v>
      </c>
      <c r="M5609">
        <v>0.99943850000000001</v>
      </c>
      <c r="N5609">
        <v>0</v>
      </c>
      <c r="O5609">
        <v>-3.0193089999999999E-2</v>
      </c>
      <c r="P5609">
        <v>0.99860479999999996</v>
      </c>
      <c r="Q5609">
        <v>-2.743802E-3</v>
      </c>
      <c r="R5609">
        <v>-5.2734789999999997E-2</v>
      </c>
      <c r="S5609">
        <v>2.996918</v>
      </c>
      <c r="T5609">
        <v>-0.2857671</v>
      </c>
      <c r="U5609">
        <v>-0.1228943</v>
      </c>
      <c r="V5609">
        <v>2.2534820000000001E-2</v>
      </c>
      <c r="W5609">
        <v>1.1823200000000001E-2</v>
      </c>
      <c r="X5609">
        <v>0.99967620000000001</v>
      </c>
      <c r="Y5609">
        <v>1.0870309999999999E-2</v>
      </c>
      <c r="Z5609">
        <v>2.3539659999999999E-3</v>
      </c>
      <c r="AA5609">
        <v>0.99993810000000005</v>
      </c>
      <c r="AB5609">
        <v>33</v>
      </c>
      <c r="AC5609">
        <v>0.84510000000000196</v>
      </c>
      <c r="AD5609">
        <v>-9.6137999999999793E-2</v>
      </c>
      <c r="AE5609">
        <v>-3.7060000000010897E-2</v>
      </c>
      <c r="AF5609">
        <v>1.1377273900505599E-2</v>
      </c>
      <c r="AG5609">
        <v>-9.6137999999999793E-2</v>
      </c>
      <c r="AH5609">
        <v>0.83504793270989197</v>
      </c>
      <c r="AI5609">
        <v>96.566871009874504</v>
      </c>
      <c r="AJ5609">
        <v>89.219410743039901</v>
      </c>
      <c r="AK5609">
        <v>0.84064083134741396</v>
      </c>
      <c r="AL5609">
        <v>89.3225647937481</v>
      </c>
      <c r="AM5609">
        <v>88.708650414333903</v>
      </c>
      <c r="AN5609">
        <v>1.00000005550855</v>
      </c>
    </row>
    <row r="5610" spans="1:40" x14ac:dyDescent="0.25">
      <c r="A5610" t="str">
        <f>"20190312154715046"</f>
        <v>20190312154715046</v>
      </c>
      <c r="B5610" t="str">
        <f>"1552376835043969"</f>
        <v>1552376835043969</v>
      </c>
      <c r="C5610" t="s">
        <v>40</v>
      </c>
      <c r="D5610">
        <v>5.0714139999999999</v>
      </c>
      <c r="E5610">
        <v>0.49598370000000003</v>
      </c>
      <c r="F5610" t="s">
        <v>41</v>
      </c>
      <c r="G5610">
        <v>-227.59190000000001</v>
      </c>
      <c r="H5610">
        <v>1.0295000000000001</v>
      </c>
      <c r="I5610">
        <v>-60.777949999999997</v>
      </c>
      <c r="J5610">
        <v>-228.27109999999999</v>
      </c>
      <c r="K5610">
        <v>1.1105229999999999</v>
      </c>
      <c r="L5610">
        <v>-60.748809999999999</v>
      </c>
      <c r="M5610">
        <v>0.99945490000000003</v>
      </c>
      <c r="N5610">
        <v>0</v>
      </c>
      <c r="O5610">
        <v>-2.9651150000000001E-2</v>
      </c>
      <c r="P5610">
        <v>0.99869010000000003</v>
      </c>
      <c r="Q5610">
        <v>-2.74267E-3</v>
      </c>
      <c r="R5610">
        <v>-5.1098980000000002E-2</v>
      </c>
      <c r="S5610">
        <v>2.997147</v>
      </c>
      <c r="T5610">
        <v>-0.28466019999999997</v>
      </c>
      <c r="U5610">
        <v>-0.1184692</v>
      </c>
      <c r="V5610">
        <v>2.1438349999999998E-2</v>
      </c>
      <c r="W5610">
        <v>1.1821770000000001E-2</v>
      </c>
      <c r="X5610">
        <v>0.99970020000000004</v>
      </c>
      <c r="Y5610">
        <v>9.936528E-3</v>
      </c>
      <c r="Z5610">
        <v>2.3377150000000002E-3</v>
      </c>
      <c r="AA5610">
        <v>0.9999479</v>
      </c>
      <c r="AB5610">
        <v>33</v>
      </c>
      <c r="AC5610">
        <v>0.67919999999998004</v>
      </c>
      <c r="AD5610">
        <v>-8.1022999999999804E-2</v>
      </c>
      <c r="AE5610">
        <v>-2.9139999999998101E-2</v>
      </c>
      <c r="AF5610">
        <v>8.8601484743591006E-3</v>
      </c>
      <c r="AG5610">
        <v>-8.1022999999999804E-2</v>
      </c>
      <c r="AH5610">
        <v>0.67024500185148295</v>
      </c>
      <c r="AI5610">
        <v>96.892195214677699</v>
      </c>
      <c r="AJ5610">
        <v>89.242635835049498</v>
      </c>
      <c r="AK5610">
        <v>0.675182635489748</v>
      </c>
      <c r="AL5610">
        <v>89.322646643006294</v>
      </c>
      <c r="AM5610">
        <v>88.771492960670699</v>
      </c>
      <c r="AN5610">
        <v>0.99999992348834399</v>
      </c>
    </row>
    <row r="5611" spans="1:40" x14ac:dyDescent="0.25">
      <c r="A5611" t="str">
        <f>"20190312154715069"</f>
        <v>20190312154715069</v>
      </c>
      <c r="B5611" t="str">
        <f>"1552376835063490"</f>
        <v>1552376835063490</v>
      </c>
      <c r="C5611" t="s">
        <v>40</v>
      </c>
      <c r="D5611">
        <v>5.0737079999999999</v>
      </c>
      <c r="E5611">
        <v>0.49595929999999999</v>
      </c>
      <c r="F5611" t="s">
        <v>41</v>
      </c>
      <c r="G5611">
        <v>-227.30250000000001</v>
      </c>
      <c r="H5611">
        <v>1.0185109999999999</v>
      </c>
      <c r="I5611">
        <v>-60.785690000000002</v>
      </c>
      <c r="J5611">
        <v>-227.94540000000001</v>
      </c>
      <c r="K5611">
        <v>1.110562</v>
      </c>
      <c r="L5611">
        <v>-60.757420000000003</v>
      </c>
      <c r="M5611">
        <v>0.99948490000000001</v>
      </c>
      <c r="N5611">
        <v>0</v>
      </c>
      <c r="O5611">
        <v>-2.86194E-2</v>
      </c>
      <c r="P5611">
        <v>0.99886830000000004</v>
      </c>
      <c r="Q5611">
        <v>-2.5216689999999998E-3</v>
      </c>
      <c r="R5611">
        <v>-4.749627E-2</v>
      </c>
      <c r="S5611">
        <v>2.9973299999999998</v>
      </c>
      <c r="T5611">
        <v>-0.28473910000000002</v>
      </c>
      <c r="U5611">
        <v>-0.1138</v>
      </c>
      <c r="V5611">
        <v>1.886285E-2</v>
      </c>
      <c r="W5611">
        <v>1.2035860000000001E-2</v>
      </c>
      <c r="X5611">
        <v>0.99974969999999996</v>
      </c>
      <c r="Y5611">
        <v>9.4087779999999996E-3</v>
      </c>
      <c r="Z5611">
        <v>2.2655959999999999E-3</v>
      </c>
      <c r="AA5611">
        <v>0.99995319999999999</v>
      </c>
      <c r="AB5611">
        <v>33</v>
      </c>
      <c r="AC5611">
        <v>0.64289999999999703</v>
      </c>
      <c r="AD5611">
        <v>-9.20509999999998E-2</v>
      </c>
      <c r="AE5611">
        <v>-2.82700000000062E-2</v>
      </c>
      <c r="AF5611">
        <v>9.6594217503789201E-3</v>
      </c>
      <c r="AG5611">
        <v>-9.20509999999998E-2</v>
      </c>
      <c r="AH5611">
        <v>0.630544064060506</v>
      </c>
      <c r="AI5611">
        <v>98.304784039197401</v>
      </c>
      <c r="AJ5611">
        <v>89.122343952067496</v>
      </c>
      <c r="AK5611">
        <v>0.63730095539822595</v>
      </c>
      <c r="AL5611">
        <v>89.310379413953001</v>
      </c>
      <c r="AM5611">
        <v>88.919095972838406</v>
      </c>
      <c r="AN5611">
        <v>1.0000000658430701</v>
      </c>
    </row>
    <row r="5612" spans="1:40" x14ac:dyDescent="0.25">
      <c r="A5612" t="str">
        <f>"20190312154715083"</f>
        <v>20190312154715083</v>
      </c>
      <c r="B5612" t="str">
        <f>"1552376835073250"</f>
        <v>1552376835073250</v>
      </c>
      <c r="C5612" t="s">
        <v>40</v>
      </c>
      <c r="D5612">
        <v>5.057474</v>
      </c>
      <c r="E5612">
        <v>0.49602230000000003</v>
      </c>
      <c r="F5612" t="s">
        <v>41</v>
      </c>
      <c r="G5612">
        <v>-227.00649999999999</v>
      </c>
      <c r="H5612">
        <v>1.021315</v>
      </c>
      <c r="I5612">
        <v>-60.789960000000001</v>
      </c>
      <c r="J5612">
        <v>-227.7355</v>
      </c>
      <c r="K5612">
        <v>1.110579</v>
      </c>
      <c r="L5612">
        <v>-60.762790000000003</v>
      </c>
      <c r="M5612">
        <v>0.9995039</v>
      </c>
      <c r="N5612">
        <v>0</v>
      </c>
      <c r="O5612">
        <v>-2.7953180000000001E-2</v>
      </c>
      <c r="P5612">
        <v>0.99896130000000005</v>
      </c>
      <c r="Q5612">
        <v>-2.4803500000000001E-3</v>
      </c>
      <c r="R5612">
        <v>-4.5502010000000002E-2</v>
      </c>
      <c r="S5612">
        <v>2.9977719999999999</v>
      </c>
      <c r="T5612">
        <v>-0.28493879999999999</v>
      </c>
      <c r="U5612">
        <v>-0.1030273</v>
      </c>
      <c r="V5612">
        <v>1.7532679999999998E-2</v>
      </c>
      <c r="W5612">
        <v>1.2072569999999999E-2</v>
      </c>
      <c r="X5612">
        <v>0.99977340000000003</v>
      </c>
      <c r="Y5612">
        <v>6.4912260000000001E-3</v>
      </c>
      <c r="Z5612">
        <v>2.3421929999999998E-3</v>
      </c>
      <c r="AA5612">
        <v>0.99997619999999998</v>
      </c>
      <c r="AB5612">
        <v>33</v>
      </c>
      <c r="AC5612">
        <v>0.72900000000001297</v>
      </c>
      <c r="AD5612">
        <v>-8.9263999999999996E-2</v>
      </c>
      <c r="AE5612">
        <v>-2.7169999999998098E-2</v>
      </c>
      <c r="AF5612">
        <v>6.6793597381843896E-3</v>
      </c>
      <c r="AG5612">
        <v>-8.9263999999999996E-2</v>
      </c>
      <c r="AH5612">
        <v>0.71871368695455395</v>
      </c>
      <c r="AI5612">
        <v>97.079559015333402</v>
      </c>
      <c r="AJ5612">
        <v>89.467537473425196</v>
      </c>
      <c r="AK5612">
        <v>0.72426655269887996</v>
      </c>
      <c r="AL5612">
        <v>89.308275885285099</v>
      </c>
      <c r="AM5612">
        <v>88.995326732175698</v>
      </c>
      <c r="AN5612">
        <v>0.99999999658097305</v>
      </c>
    </row>
    <row r="5613" spans="1:40" x14ac:dyDescent="0.25">
      <c r="A5613" t="str">
        <f>"20190312154715095"</f>
        <v>20190312154715095</v>
      </c>
      <c r="B5613" t="str">
        <f>"1552376835083986"</f>
        <v>1552376835083986</v>
      </c>
      <c r="C5613" t="s">
        <v>40</v>
      </c>
      <c r="D5613">
        <v>5.093013</v>
      </c>
      <c r="E5613">
        <v>0.4960851</v>
      </c>
      <c r="F5613" t="s">
        <v>41</v>
      </c>
      <c r="G5613">
        <v>-226.9941</v>
      </c>
      <c r="H5613">
        <v>1.0399940000000001</v>
      </c>
      <c r="I5613">
        <v>-60.787170000000003</v>
      </c>
      <c r="J5613">
        <v>-227.54570000000001</v>
      </c>
      <c r="K5613">
        <v>1.11059</v>
      </c>
      <c r="L5613">
        <v>-60.767519999999998</v>
      </c>
      <c r="M5613">
        <v>0.99952039999999998</v>
      </c>
      <c r="N5613">
        <v>0</v>
      </c>
      <c r="O5613">
        <v>-2.7354989999999999E-2</v>
      </c>
      <c r="P5613">
        <v>0.99902970000000002</v>
      </c>
      <c r="Q5613">
        <v>-2.4760390000000002E-3</v>
      </c>
      <c r="R5613">
        <v>-4.3976260000000003E-2</v>
      </c>
      <c r="S5613">
        <v>2.997986</v>
      </c>
      <c r="T5613">
        <v>-0.28538350000000001</v>
      </c>
      <c r="U5613">
        <v>-9.7503660000000006E-2</v>
      </c>
      <c r="V5613">
        <v>1.660377E-2</v>
      </c>
      <c r="W5613">
        <v>1.2073530000000001E-2</v>
      </c>
      <c r="X5613">
        <v>0.99978920000000004</v>
      </c>
      <c r="Y5613">
        <v>5.2500709999999898E-3</v>
      </c>
      <c r="Z5613">
        <v>2.3479040000000001E-3</v>
      </c>
      <c r="AA5613">
        <v>0.99998350000000003</v>
      </c>
      <c r="AB5613">
        <v>33</v>
      </c>
      <c r="AC5613">
        <v>0.55160000000000697</v>
      </c>
      <c r="AD5613">
        <v>-7.0595999999999798E-2</v>
      </c>
      <c r="AE5613">
        <v>-1.9649999999998599E-2</v>
      </c>
      <c r="AF5613">
        <v>4.4787739409234096E-3</v>
      </c>
      <c r="AG5613">
        <v>-7.0595999999999798E-2</v>
      </c>
      <c r="AH5613">
        <v>0.54304732445710302</v>
      </c>
      <c r="AI5613">
        <v>97.406647236835397</v>
      </c>
      <c r="AJ5613">
        <v>89.5274647079722</v>
      </c>
      <c r="AK5613">
        <v>0.54763514426306903</v>
      </c>
      <c r="AL5613">
        <v>89.308220845012798</v>
      </c>
      <c r="AM5613">
        <v>89.048560936192501</v>
      </c>
      <c r="AN5613">
        <v>0.99999994987075502</v>
      </c>
    </row>
    <row r="5614" spans="1:40" x14ac:dyDescent="0.25">
      <c r="A5614" t="str">
        <f>"20190312154715106"</f>
        <v>20190312154715106</v>
      </c>
      <c r="B5614" t="str">
        <f>"1552376835103506"</f>
        <v>1552376835103506</v>
      </c>
      <c r="C5614" t="s">
        <v>40</v>
      </c>
      <c r="D5614">
        <v>5.139602</v>
      </c>
      <c r="E5614">
        <v>0.4960948</v>
      </c>
      <c r="F5614" t="s">
        <v>41</v>
      </c>
      <c r="G5614">
        <v>-226.70760000000001</v>
      </c>
      <c r="H5614">
        <v>1.0307919999999999</v>
      </c>
      <c r="I5614">
        <v>-60.793799999999997</v>
      </c>
      <c r="J5614">
        <v>-227.38470000000001</v>
      </c>
      <c r="K5614">
        <v>1.1105959999999999</v>
      </c>
      <c r="L5614">
        <v>-60.771479999999997</v>
      </c>
      <c r="M5614">
        <v>0.99953400000000003</v>
      </c>
      <c r="N5614">
        <v>0</v>
      </c>
      <c r="O5614">
        <v>-2.6850909999999999E-2</v>
      </c>
      <c r="P5614">
        <v>0.99909950000000003</v>
      </c>
      <c r="Q5614">
        <v>-2.0992670000000001E-3</v>
      </c>
      <c r="R5614">
        <v>-4.2379859999999998E-2</v>
      </c>
      <c r="S5614">
        <v>2.9981080000000002</v>
      </c>
      <c r="T5614">
        <v>-0.28548200000000001</v>
      </c>
      <c r="U5614">
        <v>-9.3475340000000004E-2</v>
      </c>
      <c r="V5614">
        <v>1.550938E-2</v>
      </c>
      <c r="W5614">
        <v>1.244638E-2</v>
      </c>
      <c r="X5614">
        <v>0.99980219999999997</v>
      </c>
      <c r="Y5614">
        <v>4.4123959999999999E-3</v>
      </c>
      <c r="Z5614">
        <v>2.3406E-3</v>
      </c>
      <c r="AA5614">
        <v>0.99998750000000003</v>
      </c>
      <c r="AB5614">
        <v>33</v>
      </c>
      <c r="AC5614">
        <v>0.67709999999999504</v>
      </c>
      <c r="AD5614">
        <v>-7.9803999999999903E-2</v>
      </c>
      <c r="AE5614">
        <v>-2.2319999999993401E-2</v>
      </c>
      <c r="AF5614">
        <v>4.0727682527419299E-3</v>
      </c>
      <c r="AG5614">
        <v>-7.9803999999999903E-2</v>
      </c>
      <c r="AH5614">
        <v>0.66818331820037202</v>
      </c>
      <c r="AI5614">
        <v>96.810693256207998</v>
      </c>
      <c r="AJ5614">
        <v>89.650770176912104</v>
      </c>
      <c r="AK5614">
        <v>0.67294443498590595</v>
      </c>
      <c r="AL5614">
        <v>89.286856504137404</v>
      </c>
      <c r="AM5614">
        <v>89.1112734609017</v>
      </c>
      <c r="AN5614">
        <v>0.99999994618396204</v>
      </c>
    </row>
    <row r="5615" spans="1:40" x14ac:dyDescent="0.25">
      <c r="A5615" t="str">
        <f>"20190312154715118"</f>
        <v>20190312154715118</v>
      </c>
      <c r="B5615" t="str">
        <f>"1552376835113266"</f>
        <v>1552376835113266</v>
      </c>
      <c r="C5615" t="s">
        <v>40</v>
      </c>
      <c r="D5615">
        <v>5.124676</v>
      </c>
      <c r="E5615">
        <v>0.49539680000000003</v>
      </c>
      <c r="F5615" t="s">
        <v>41</v>
      </c>
      <c r="G5615">
        <v>-226.4195</v>
      </c>
      <c r="H5615">
        <v>1.0190220000000001</v>
      </c>
      <c r="I5615">
        <v>-60.799979999999998</v>
      </c>
      <c r="J5615">
        <v>-227.21940000000001</v>
      </c>
      <c r="K5615">
        <v>1.1106009999999999</v>
      </c>
      <c r="L5615">
        <v>-60.775419999999997</v>
      </c>
      <c r="M5615">
        <v>0.99954770000000004</v>
      </c>
      <c r="N5615">
        <v>0</v>
      </c>
      <c r="O5615">
        <v>-2.6340809999999999E-2</v>
      </c>
      <c r="P5615">
        <v>0.99916050000000001</v>
      </c>
      <c r="Q5615">
        <v>-1.8447520000000001E-3</v>
      </c>
      <c r="R5615">
        <v>-4.0927369999999998E-2</v>
      </c>
      <c r="S5615">
        <v>2.9983369999999998</v>
      </c>
      <c r="T5615">
        <v>-0.28443960000000001</v>
      </c>
      <c r="U5615">
        <v>-8.8623049999999995E-2</v>
      </c>
      <c r="V5615">
        <v>1.456548E-2</v>
      </c>
      <c r="W5615">
        <v>1.2697180000000001E-2</v>
      </c>
      <c r="X5615">
        <v>0.99981330000000002</v>
      </c>
      <c r="Y5615">
        <v>3.305466E-3</v>
      </c>
      <c r="Z5615">
        <v>2.3361050000000002E-3</v>
      </c>
      <c r="AA5615">
        <v>0.99999179999999999</v>
      </c>
      <c r="AB5615">
        <v>33</v>
      </c>
      <c r="AC5615">
        <v>0.79990000000000705</v>
      </c>
      <c r="AD5615">
        <v>-9.1578999999999994E-2</v>
      </c>
      <c r="AE5615">
        <v>-2.45600000000081E-2</v>
      </c>
      <c r="AF5615">
        <v>3.4342715293388601E-3</v>
      </c>
      <c r="AG5615">
        <v>-9.1578999999999994E-2</v>
      </c>
      <c r="AH5615">
        <v>0.78992518582778104</v>
      </c>
      <c r="AI5615">
        <v>96.612931265778698</v>
      </c>
      <c r="AJ5615">
        <v>89.7509029612809</v>
      </c>
      <c r="AK5615">
        <v>0.79522343191520195</v>
      </c>
      <c r="AL5615">
        <v>89.272485627618593</v>
      </c>
      <c r="AM5615">
        <v>89.165362673971998</v>
      </c>
      <c r="AN5615">
        <v>1.00000000322223</v>
      </c>
    </row>
    <row r="5616" spans="1:40" x14ac:dyDescent="0.25">
      <c r="A5616" t="str">
        <f>"20190312154715134"</f>
        <v>20190312154715134</v>
      </c>
      <c r="B5616" t="str">
        <f>"1552376835124001"</f>
        <v>1552376835124001</v>
      </c>
      <c r="C5616" t="s">
        <v>40</v>
      </c>
      <c r="D5616">
        <v>5.0745879999999897</v>
      </c>
      <c r="E5616">
        <v>0.49539680000000003</v>
      </c>
      <c r="F5616" t="s">
        <v>41</v>
      </c>
      <c r="G5616">
        <v>-226.41040000000001</v>
      </c>
      <c r="H5616">
        <v>1.0344439999999999</v>
      </c>
      <c r="I5616">
        <v>-60.796610000000001</v>
      </c>
      <c r="J5616">
        <v>-226.9717</v>
      </c>
      <c r="K5616">
        <v>1.1106</v>
      </c>
      <c r="L5616">
        <v>-60.781190000000002</v>
      </c>
      <c r="M5616">
        <v>0.99956719999999999</v>
      </c>
      <c r="N5616">
        <v>0</v>
      </c>
      <c r="O5616">
        <v>-2.5589009999999999E-2</v>
      </c>
      <c r="P5616">
        <v>0.99923980000000001</v>
      </c>
      <c r="Q5616">
        <v>-9.7699089999999994E-4</v>
      </c>
      <c r="R5616">
        <v>-3.8970980000000002E-2</v>
      </c>
      <c r="S5616">
        <v>2.9987789999999999</v>
      </c>
      <c r="T5616">
        <v>-0.28229989999999999</v>
      </c>
      <c r="U5616">
        <v>-7.8674320000000006E-2</v>
      </c>
      <c r="V5616">
        <v>1.3358170000000001E-2</v>
      </c>
      <c r="W5616">
        <v>1.355923E-2</v>
      </c>
      <c r="X5616">
        <v>0.99981889999999995</v>
      </c>
      <c r="Y5616">
        <v>7.4467589999999996E-4</v>
      </c>
      <c r="Z5616">
        <v>2.3680680000000001E-3</v>
      </c>
      <c r="AA5616">
        <v>0.99999689999999997</v>
      </c>
      <c r="AB5616">
        <v>33</v>
      </c>
      <c r="AC5616">
        <v>0.56129999999998803</v>
      </c>
      <c r="AD5616">
        <v>-7.6155999999999793E-2</v>
      </c>
      <c r="AE5616">
        <v>-1.5419999999998799E-2</v>
      </c>
      <c r="AF5616">
        <v>1.03135416902701E-3</v>
      </c>
      <c r="AG5616">
        <v>-7.6155999999999793E-2</v>
      </c>
      <c r="AH5616">
        <v>0.55136857782495396</v>
      </c>
      <c r="AI5616">
        <v>97.864023353044502</v>
      </c>
      <c r="AJ5616">
        <v>89.892826369644695</v>
      </c>
      <c r="AK5616">
        <v>0.55660408607926504</v>
      </c>
      <c r="AL5616">
        <v>89.223089589163493</v>
      </c>
      <c r="AM5616">
        <v>89.234540148014005</v>
      </c>
      <c r="AN5616">
        <v>1.0000000631105701</v>
      </c>
    </row>
    <row r="5617" spans="1:40" x14ac:dyDescent="0.25">
      <c r="A5617" t="str">
        <f>"20190312154715147"</f>
        <v>20190312154715147</v>
      </c>
      <c r="B5617" t="str">
        <f>"1552376835143522"</f>
        <v>1552376835143522</v>
      </c>
      <c r="C5617" t="s">
        <v>40</v>
      </c>
      <c r="D5617">
        <v>5.1188029999999998</v>
      </c>
      <c r="E5617">
        <v>0.47216269999999999</v>
      </c>
      <c r="F5617" t="s">
        <v>41</v>
      </c>
      <c r="G5617">
        <v>-226.11959999999999</v>
      </c>
      <c r="H5617">
        <v>1.031131</v>
      </c>
      <c r="I5617">
        <v>-60.801929999999999</v>
      </c>
      <c r="J5617">
        <v>-226.79650000000001</v>
      </c>
      <c r="K5617">
        <v>1.1106</v>
      </c>
      <c r="L5617">
        <v>-60.78519</v>
      </c>
      <c r="M5617">
        <v>0.99958060000000004</v>
      </c>
      <c r="N5617">
        <v>0</v>
      </c>
      <c r="O5617">
        <v>-2.5065759999999999E-2</v>
      </c>
      <c r="P5617">
        <v>0.99927379999999999</v>
      </c>
      <c r="Q5617">
        <v>-4.7948119999999999E-4</v>
      </c>
      <c r="R5617">
        <v>-3.8104760000000001E-2</v>
      </c>
      <c r="S5617">
        <v>2.999161</v>
      </c>
      <c r="T5617">
        <v>-0.27969169999999999</v>
      </c>
      <c r="U5617">
        <v>-7.2814939999999995E-2</v>
      </c>
      <c r="V5617">
        <v>1.30137E-2</v>
      </c>
      <c r="W5617">
        <v>1.4053660000000001E-2</v>
      </c>
      <c r="X5617">
        <v>0.9998165</v>
      </c>
      <c r="Y5617">
        <v>-6.8570549999999995E-4</v>
      </c>
      <c r="Z5617">
        <v>2.3639310000000001E-3</v>
      </c>
      <c r="AA5617">
        <v>0.99999700000000002</v>
      </c>
      <c r="AB5617">
        <v>33</v>
      </c>
      <c r="AC5617">
        <v>0.67690000000001704</v>
      </c>
      <c r="AD5617">
        <v>-7.9468999999999998E-2</v>
      </c>
      <c r="AE5617">
        <v>-1.6740000000005702E-2</v>
      </c>
      <c r="AF5617">
        <v>-2.3087804924322699E-4</v>
      </c>
      <c r="AG5617">
        <v>-7.9468999999999998E-2</v>
      </c>
      <c r="AH5617">
        <v>0.66790673205095297</v>
      </c>
      <c r="AI5617">
        <v>96.785277241348297</v>
      </c>
      <c r="AJ5617">
        <v>90.0198056654352</v>
      </c>
      <c r="AK5617">
        <v>0.67261785434573296</v>
      </c>
      <c r="AL5617">
        <v>89.194758045096606</v>
      </c>
      <c r="AM5617">
        <v>89.254275177223903</v>
      </c>
      <c r="AN5617">
        <v>0.99999994770966605</v>
      </c>
    </row>
    <row r="5618" spans="1:40" x14ac:dyDescent="0.25">
      <c r="A5618" t="str">
        <f>"20190312154715157"</f>
        <v>20190312154715157</v>
      </c>
      <c r="B5618" t="str">
        <f>"1552376835153283"</f>
        <v>1552376835153283</v>
      </c>
      <c r="C5618" t="s">
        <v>40</v>
      </c>
      <c r="D5618">
        <v>5.1032820000000001</v>
      </c>
      <c r="E5618">
        <v>0.47256429999999999</v>
      </c>
      <c r="F5618" t="s">
        <v>89</v>
      </c>
      <c r="G5618">
        <v>-212.7474</v>
      </c>
      <c r="H5618" s="1">
        <v>-1.709457E-7</v>
      </c>
      <c r="I5618">
        <v>-60.252490000000002</v>
      </c>
      <c r="J5618">
        <v>-226.63749999999999</v>
      </c>
      <c r="K5618">
        <v>1.1105959999999999</v>
      </c>
      <c r="L5618">
        <v>-60.788699999999999</v>
      </c>
      <c r="M5618">
        <v>0.99959219999999904</v>
      </c>
      <c r="N5618">
        <v>0</v>
      </c>
      <c r="O5618">
        <v>-2.4600589999999999E-2</v>
      </c>
      <c r="P5618">
        <v>0.99930129999999995</v>
      </c>
      <c r="Q5618" s="1">
        <v>4.9425290000000002E-5</v>
      </c>
      <c r="R5618">
        <v>-3.7376630000000001E-2</v>
      </c>
      <c r="S5618">
        <v>3.006424</v>
      </c>
      <c r="T5618">
        <v>-0.2376627</v>
      </c>
      <c r="U5618">
        <v>0.11398320000000001</v>
      </c>
      <c r="V5618">
        <v>1.2749689999999999E-2</v>
      </c>
      <c r="W5618">
        <v>1.4580040000000001E-2</v>
      </c>
      <c r="X5618">
        <v>0.99981240000000005</v>
      </c>
      <c r="Y5618">
        <v>-6.2189609999999999E-2</v>
      </c>
      <c r="Z5618">
        <v>4.3946649999999999E-3</v>
      </c>
      <c r="AA5618">
        <v>0.99805469999999996</v>
      </c>
      <c r="AB5618">
        <v>33</v>
      </c>
      <c r="AC5618">
        <v>13.890099999999901</v>
      </c>
      <c r="AD5618">
        <v>-1.1105961709457</v>
      </c>
      <c r="AE5618">
        <v>0.53620999999999697</v>
      </c>
      <c r="AF5618">
        <v>-0.87222050030610898</v>
      </c>
      <c r="AG5618">
        <v>-1.1105961709457</v>
      </c>
      <c r="AH5618">
        <v>13.78470906047</v>
      </c>
      <c r="AI5618">
        <v>94.5970606124489</v>
      </c>
      <c r="AJ5618">
        <v>93.620534845766898</v>
      </c>
      <c r="AK5618">
        <v>13.856853767644299</v>
      </c>
      <c r="AL5618">
        <v>89.164595629410897</v>
      </c>
      <c r="AM5618">
        <v>89.269399105394001</v>
      </c>
      <c r="AN5618">
        <v>0.99999998367762799</v>
      </c>
    </row>
    <row r="5619" spans="1:40" x14ac:dyDescent="0.25">
      <c r="A5619" t="str">
        <f>"20190312154715167"</f>
        <v>20190312154715167</v>
      </c>
      <c r="B5619" t="str">
        <f>"1552376835164018"</f>
        <v>1552376835164018</v>
      </c>
      <c r="C5619" t="s">
        <v>40</v>
      </c>
      <c r="D5619">
        <v>5.1076249999999996</v>
      </c>
      <c r="E5619">
        <v>0.47284979999999999</v>
      </c>
      <c r="F5619" t="s">
        <v>89</v>
      </c>
      <c r="G5619">
        <v>-212.64439999999999</v>
      </c>
      <c r="H5619" s="1">
        <v>-1.2492569999999999E-7</v>
      </c>
      <c r="I5619">
        <v>-60.262650000000001</v>
      </c>
      <c r="J5619">
        <v>-226.48400000000001</v>
      </c>
      <c r="K5619">
        <v>1.11059</v>
      </c>
      <c r="L5619">
        <v>-60.792050000000003</v>
      </c>
      <c r="M5619">
        <v>0.99960300000000002</v>
      </c>
      <c r="N5619">
        <v>0</v>
      </c>
      <c r="O5619">
        <v>-2.4157140000000001E-2</v>
      </c>
      <c r="P5619">
        <v>0.99932509999999997</v>
      </c>
      <c r="Q5619">
        <v>5.9872769999999998E-4</v>
      </c>
      <c r="R5619">
        <v>-3.6733149999999999E-2</v>
      </c>
      <c r="S5619">
        <v>3.006332</v>
      </c>
      <c r="T5619">
        <v>-0.23860429999999999</v>
      </c>
      <c r="U5619">
        <v>0.1130066</v>
      </c>
      <c r="V5619">
        <v>1.2548429999999999E-2</v>
      </c>
      <c r="W5619">
        <v>1.512643E-2</v>
      </c>
      <c r="X5619">
        <v>0.9998068</v>
      </c>
      <c r="Y5619">
        <v>-6.1425840000000002E-2</v>
      </c>
      <c r="Z5619">
        <v>4.3467990000000001E-3</v>
      </c>
      <c r="AA5619">
        <v>0.99810220000000005</v>
      </c>
      <c r="AB5619">
        <v>33</v>
      </c>
      <c r="AC5619">
        <v>13.839600000000001</v>
      </c>
      <c r="AD5619">
        <v>-1.1105901249257</v>
      </c>
      <c r="AE5619">
        <v>0.52940000000000198</v>
      </c>
      <c r="AF5619">
        <v>-0.85808809381824802</v>
      </c>
      <c r="AG5619">
        <v>-1.1105901249257</v>
      </c>
      <c r="AH5619">
        <v>13.734454754689001</v>
      </c>
      <c r="AI5619">
        <v>94.614013174776602</v>
      </c>
      <c r="AJ5619">
        <v>93.575024041962607</v>
      </c>
      <c r="AK5619">
        <v>13.8059759890756</v>
      </c>
      <c r="AL5619">
        <v>89.1332863084872</v>
      </c>
      <c r="AM5619">
        <v>89.280926744739602</v>
      </c>
      <c r="AN5619">
        <v>0.99999995465312297</v>
      </c>
    </row>
    <row r="5620" spans="1:40" x14ac:dyDescent="0.25">
      <c r="A5620" t="str">
        <f>"20190312154715179"</f>
        <v>20190312154715179</v>
      </c>
      <c r="B5620" t="str">
        <f>"1552376835173778"</f>
        <v>1552376835173778</v>
      </c>
      <c r="C5620" t="s">
        <v>40</v>
      </c>
      <c r="D5620">
        <v>5.1184209999999997</v>
      </c>
      <c r="E5620">
        <v>0.47314879999999998</v>
      </c>
      <c r="F5620" t="s">
        <v>89</v>
      </c>
      <c r="G5620">
        <v>-212.51849999999999</v>
      </c>
      <c r="H5620" s="1">
        <v>-6.9841919999999999E-8</v>
      </c>
      <c r="I5620">
        <v>-60.268740000000001</v>
      </c>
      <c r="J5620">
        <v>-226.30760000000001</v>
      </c>
      <c r="K5620">
        <v>1.1105799999999999</v>
      </c>
      <c r="L5620">
        <v>-60.795839999999998</v>
      </c>
      <c r="M5620">
        <v>0.99961509999999998</v>
      </c>
      <c r="N5620">
        <v>0</v>
      </c>
      <c r="O5620">
        <v>-2.3656739999999999E-2</v>
      </c>
      <c r="P5620">
        <v>0.99934080000000003</v>
      </c>
      <c r="Q5620">
        <v>7.8429279999999997E-4</v>
      </c>
      <c r="R5620">
        <v>-3.6303630000000003E-2</v>
      </c>
      <c r="S5620">
        <v>3.0063170000000001</v>
      </c>
      <c r="T5620">
        <v>-0.23907410000000001</v>
      </c>
      <c r="U5620">
        <v>0.1126404</v>
      </c>
      <c r="V5620">
        <v>1.261935E-2</v>
      </c>
      <c r="W5620">
        <v>1.530952E-2</v>
      </c>
      <c r="X5620">
        <v>0.9998032</v>
      </c>
      <c r="Y5620">
        <v>-6.0807460000000001E-2</v>
      </c>
      <c r="Z5620">
        <v>4.2910999999999999E-3</v>
      </c>
      <c r="AA5620">
        <v>0.99814029999999998</v>
      </c>
      <c r="AB5620">
        <v>33</v>
      </c>
      <c r="AC5620">
        <v>13.789099999999999</v>
      </c>
      <c r="AD5620">
        <v>-1.1105800698419199</v>
      </c>
      <c r="AE5620">
        <v>0.52710000000000401</v>
      </c>
      <c r="AF5620">
        <v>-0.84770105603429702</v>
      </c>
      <c r="AG5620">
        <v>-1.1105800698419199</v>
      </c>
      <c r="AH5620">
        <v>13.6841332093571</v>
      </c>
      <c r="AI5620">
        <v>94.631016419743801</v>
      </c>
      <c r="AJ5620">
        <v>93.544813955959796</v>
      </c>
      <c r="AK5620">
        <v>13.7552712391781</v>
      </c>
      <c r="AL5620">
        <v>89.122794878473798</v>
      </c>
      <c r="AM5620">
        <v>89.276860583056504</v>
      </c>
      <c r="AN5620">
        <v>1.0000000340636399</v>
      </c>
    </row>
    <row r="5621" spans="1:40" x14ac:dyDescent="0.25">
      <c r="A5621" t="str">
        <f>"20190312154715191"</f>
        <v>20190312154715191</v>
      </c>
      <c r="B5621" t="str">
        <f>"1552376835183538"</f>
        <v>1552376835183538</v>
      </c>
      <c r="C5621" t="s">
        <v>40</v>
      </c>
      <c r="D5621">
        <v>5.1231299999999997</v>
      </c>
      <c r="E5621">
        <v>0.47352680000000003</v>
      </c>
      <c r="F5621" t="s">
        <v>89</v>
      </c>
      <c r="G5621">
        <v>-212.2852</v>
      </c>
      <c r="H5621" s="1">
        <v>3.1468520000000001E-8</v>
      </c>
      <c r="I5621">
        <v>-60.275779999999997</v>
      </c>
      <c r="J5621">
        <v>-226.14779999999999</v>
      </c>
      <c r="K5621">
        <v>1.110571</v>
      </c>
      <c r="L5621">
        <v>-60.799160000000001</v>
      </c>
      <c r="M5621">
        <v>0.9996256</v>
      </c>
      <c r="N5621">
        <v>0</v>
      </c>
      <c r="O5621">
        <v>-2.3213460000000002E-2</v>
      </c>
      <c r="P5621">
        <v>0.99935410000000002</v>
      </c>
      <c r="Q5621">
        <v>8.1816319999999997E-4</v>
      </c>
      <c r="R5621">
        <v>-3.5934599999999997E-2</v>
      </c>
      <c r="S5621">
        <v>3.006195</v>
      </c>
      <c r="T5621">
        <v>-0.2380921</v>
      </c>
      <c r="U5621">
        <v>0.1114807</v>
      </c>
      <c r="V5621">
        <v>1.269381E-2</v>
      </c>
      <c r="W5621">
        <v>1.5341459999999999E-2</v>
      </c>
      <c r="X5621">
        <v>0.99980179999999996</v>
      </c>
      <c r="Y5621">
        <v>-5.9987909999999998E-2</v>
      </c>
      <c r="Z5621">
        <v>4.2062920000000004E-3</v>
      </c>
      <c r="AA5621">
        <v>0.99819020000000003</v>
      </c>
      <c r="AB5621">
        <v>33</v>
      </c>
      <c r="AC5621">
        <v>13.862599999999899</v>
      </c>
      <c r="AD5621">
        <v>-1.11057096853148</v>
      </c>
      <c r="AE5621">
        <v>0.52337999999999596</v>
      </c>
      <c r="AF5621">
        <v>-0.83969010369068897</v>
      </c>
      <c r="AG5621">
        <v>-1.11057096853148</v>
      </c>
      <c r="AH5621">
        <v>13.7585356339524</v>
      </c>
      <c r="AI5621">
        <v>94.606301306132906</v>
      </c>
      <c r="AJ5621">
        <v>93.492457373013295</v>
      </c>
      <c r="AK5621">
        <v>13.828801471462301</v>
      </c>
      <c r="AL5621">
        <v>89.120964664681694</v>
      </c>
      <c r="AM5621">
        <v>89.272593164792795</v>
      </c>
      <c r="AN5621">
        <v>1.00000006624524</v>
      </c>
    </row>
    <row r="5622" spans="1:40" x14ac:dyDescent="0.25">
      <c r="A5622" t="str">
        <f>"20190312154715202"</f>
        <v>20190312154715202</v>
      </c>
      <c r="B5622" t="str">
        <f>"1552376835193298"</f>
        <v>1552376835193298</v>
      </c>
      <c r="C5622" t="s">
        <v>40</v>
      </c>
      <c r="D5622">
        <v>5.1148689999999997</v>
      </c>
      <c r="E5622">
        <v>0.4736996</v>
      </c>
      <c r="F5622" t="s">
        <v>89</v>
      </c>
      <c r="G5622">
        <v>-212.1848</v>
      </c>
      <c r="H5622" s="1">
        <v>7.7173579999999999E-8</v>
      </c>
      <c r="I5622">
        <v>-60.290500000000002</v>
      </c>
      <c r="J5622">
        <v>-225.97460000000001</v>
      </c>
      <c r="K5622">
        <v>1.110563</v>
      </c>
      <c r="L5622">
        <v>-60.802729999999997</v>
      </c>
      <c r="M5622">
        <v>0.99963650000000004</v>
      </c>
      <c r="N5622">
        <v>0</v>
      </c>
      <c r="O5622">
        <v>-2.2738120000000001E-2</v>
      </c>
      <c r="P5622">
        <v>0.99935949999999996</v>
      </c>
      <c r="Q5622">
        <v>5.9946999999999995E-4</v>
      </c>
      <c r="R5622">
        <v>-3.5787090000000001E-2</v>
      </c>
      <c r="S5622">
        <v>3.0060579999999999</v>
      </c>
      <c r="T5622">
        <v>-0.23909150000000001</v>
      </c>
      <c r="U5622">
        <v>0.1094971</v>
      </c>
      <c r="V5622">
        <v>1.302262E-2</v>
      </c>
      <c r="W5622">
        <v>1.5120710000000001E-2</v>
      </c>
      <c r="X5622">
        <v>0.99980089999999999</v>
      </c>
      <c r="Y5622">
        <v>-5.8859950000000001E-2</v>
      </c>
      <c r="Z5622">
        <v>4.1416229999999997E-3</v>
      </c>
      <c r="AA5622">
        <v>0.99825759999999997</v>
      </c>
      <c r="AB5622">
        <v>33</v>
      </c>
      <c r="AC5622">
        <v>13.7898</v>
      </c>
      <c r="AD5622">
        <v>-1.11056292282642</v>
      </c>
      <c r="AE5622">
        <v>0.51223000000000196</v>
      </c>
      <c r="AF5622">
        <v>-0.82037105433287205</v>
      </c>
      <c r="AG5622">
        <v>-1.11056292282642</v>
      </c>
      <c r="AH5622">
        <v>13.6859422303469</v>
      </c>
      <c r="AI5622">
        <v>94.630897096566201</v>
      </c>
      <c r="AJ5622">
        <v>93.430353761028996</v>
      </c>
      <c r="AK5622">
        <v>13.7554125130705</v>
      </c>
      <c r="AL5622">
        <v>89.133614144926497</v>
      </c>
      <c r="AM5622">
        <v>89.253752449435595</v>
      </c>
      <c r="AN5622">
        <v>1.00000003207168</v>
      </c>
    </row>
    <row r="5623" spans="1:40" x14ac:dyDescent="0.25">
      <c r="A5623" t="str">
        <f>"20190312154715213"</f>
        <v>20190312154715213</v>
      </c>
      <c r="B5623" t="str">
        <f>"1552376835204034"</f>
        <v>1552376835204034</v>
      </c>
      <c r="C5623" t="s">
        <v>40</v>
      </c>
      <c r="D5623">
        <v>5.0805920000000002</v>
      </c>
      <c r="E5623">
        <v>0.47393239999999998</v>
      </c>
      <c r="F5623" t="s">
        <v>89</v>
      </c>
      <c r="G5623">
        <v>-212.06450000000001</v>
      </c>
      <c r="H5623" s="1">
        <v>1.3055569999999999E-7</v>
      </c>
      <c r="I5623">
        <v>-60.3005</v>
      </c>
      <c r="J5623">
        <v>-225.8236</v>
      </c>
      <c r="K5623">
        <v>1.110547</v>
      </c>
      <c r="L5623">
        <v>-60.805759999999999</v>
      </c>
      <c r="M5623">
        <v>0.99964540000000002</v>
      </c>
      <c r="N5623">
        <v>0</v>
      </c>
      <c r="O5623">
        <v>-2.2337760000000002E-2</v>
      </c>
      <c r="P5623">
        <v>0.99936250000000004</v>
      </c>
      <c r="Q5623">
        <v>5.4605210000000003E-4</v>
      </c>
      <c r="R5623">
        <v>-3.5700450000000002E-2</v>
      </c>
      <c r="S5623">
        <v>3.0059659999999999</v>
      </c>
      <c r="T5623">
        <v>-0.2399915</v>
      </c>
      <c r="U5623">
        <v>0.10852050000000001</v>
      </c>
      <c r="V5623">
        <v>1.333698E-2</v>
      </c>
      <c r="W5623">
        <v>1.50654E-2</v>
      </c>
      <c r="X5623">
        <v>0.99979759999999995</v>
      </c>
      <c r="Y5623">
        <v>-5.8138969999999998E-2</v>
      </c>
      <c r="Z5623">
        <v>4.0966800000000001E-3</v>
      </c>
      <c r="AA5623">
        <v>0.99830010000000002</v>
      </c>
      <c r="AB5623">
        <v>33</v>
      </c>
      <c r="AC5623">
        <v>13.759099999999901</v>
      </c>
      <c r="AD5623">
        <v>-1.1105468694442999</v>
      </c>
      <c r="AE5623">
        <v>0.50525999999999904</v>
      </c>
      <c r="AF5623">
        <v>-0.807261689861553</v>
      </c>
      <c r="AG5623">
        <v>-1.1105468694442999</v>
      </c>
      <c r="AH5623">
        <v>13.6555367795889</v>
      </c>
      <c r="AI5623">
        <v>94.641323032479207</v>
      </c>
      <c r="AJ5623">
        <v>93.383164010608894</v>
      </c>
      <c r="AK5623">
        <v>13.7243823366976</v>
      </c>
      <c r="AL5623">
        <v>89.136783543232596</v>
      </c>
      <c r="AM5623">
        <v>89.235737969316204</v>
      </c>
      <c r="AN5623">
        <v>1.00000004113921</v>
      </c>
    </row>
    <row r="5624" spans="1:40" x14ac:dyDescent="0.25">
      <c r="A5624" t="str">
        <f>"20190312154715224"</f>
        <v>20190312154715224</v>
      </c>
      <c r="B5624" t="str">
        <f>"1552376835213794"</f>
        <v>1552376835213794</v>
      </c>
      <c r="C5624" t="s">
        <v>40</v>
      </c>
      <c r="D5624">
        <v>5.107729</v>
      </c>
      <c r="E5624">
        <v>0.47414319999999999</v>
      </c>
      <c r="F5624" t="s">
        <v>89</v>
      </c>
      <c r="G5624">
        <v>-212.01140000000001</v>
      </c>
      <c r="H5624" s="1">
        <v>1.55690399999999E-7</v>
      </c>
      <c r="I5624">
        <v>-60.31391</v>
      </c>
      <c r="J5624">
        <v>-225.65799999999999</v>
      </c>
      <c r="K5624">
        <v>1.1105339999999999</v>
      </c>
      <c r="L5624">
        <v>-60.809049999999999</v>
      </c>
      <c r="M5624">
        <v>0.99965519999999997</v>
      </c>
      <c r="N5624">
        <v>0</v>
      </c>
      <c r="O5624">
        <v>-2.1901070000000002E-2</v>
      </c>
      <c r="P5624">
        <v>0.99937109999999996</v>
      </c>
      <c r="Q5624">
        <v>5.5492669999999999E-4</v>
      </c>
      <c r="R5624">
        <v>-3.5459339999999999E-2</v>
      </c>
      <c r="S5624">
        <v>3.0058750000000001</v>
      </c>
      <c r="T5624">
        <v>-0.2416826</v>
      </c>
      <c r="U5624">
        <v>0.1070251</v>
      </c>
      <c r="V5624">
        <v>1.3532890000000001E-2</v>
      </c>
      <c r="W5624">
        <v>1.5072550000000001E-2</v>
      </c>
      <c r="X5624">
        <v>0.99979479999999998</v>
      </c>
      <c r="Y5624">
        <v>-5.7208710000000003E-2</v>
      </c>
      <c r="Z5624">
        <v>4.0532399999999996E-3</v>
      </c>
      <c r="AA5624">
        <v>0.99835399999999996</v>
      </c>
      <c r="AB5624">
        <v>33</v>
      </c>
      <c r="AC5624">
        <v>13.6465999999999</v>
      </c>
      <c r="AD5624">
        <v>-1.1105338443096</v>
      </c>
      <c r="AE5624">
        <v>0.49513999999999903</v>
      </c>
      <c r="AF5624">
        <v>-0.78871142791679905</v>
      </c>
      <c r="AG5624">
        <v>-1.1105338443096</v>
      </c>
      <c r="AH5624">
        <v>13.542912326671599</v>
      </c>
      <c r="AI5624">
        <v>94.679934683856104</v>
      </c>
      <c r="AJ5624">
        <v>93.333023887417099</v>
      </c>
      <c r="AK5624">
        <v>13.6112389378704</v>
      </c>
      <c r="AL5624">
        <v>89.136373780388396</v>
      </c>
      <c r="AM5624">
        <v>89.224510736196393</v>
      </c>
      <c r="AN5624">
        <v>0.99999998149114699</v>
      </c>
    </row>
    <row r="5625" spans="1:40" x14ac:dyDescent="0.25">
      <c r="A5625" t="str">
        <f>"20190312154715235"</f>
        <v>20190312154715235</v>
      </c>
      <c r="B5625" t="str">
        <f>"1552376835223553"</f>
        <v>1552376835223553</v>
      </c>
      <c r="C5625" t="s">
        <v>40</v>
      </c>
      <c r="D5625">
        <v>5.1000420000000002</v>
      </c>
      <c r="E5625">
        <v>0.47434969999999999</v>
      </c>
      <c r="F5625" t="s">
        <v>89</v>
      </c>
      <c r="G5625">
        <v>-211.88149999999999</v>
      </c>
      <c r="H5625" s="1">
        <v>2.129948E-7</v>
      </c>
      <c r="I5625">
        <v>-60.322800000000001</v>
      </c>
      <c r="J5625">
        <v>-225.49170000000001</v>
      </c>
      <c r="K5625">
        <v>1.110522</v>
      </c>
      <c r="L5625">
        <v>-60.812260000000002</v>
      </c>
      <c r="M5625">
        <v>0.99966429999999995</v>
      </c>
      <c r="N5625">
        <v>0</v>
      </c>
      <c r="O5625">
        <v>-2.14787E-2</v>
      </c>
      <c r="P5625">
        <v>0.9993805</v>
      </c>
      <c r="Q5625">
        <v>4.8076549999999998E-4</v>
      </c>
      <c r="R5625">
        <v>-3.5194969999999999E-2</v>
      </c>
      <c r="S5625">
        <v>3.0057830000000001</v>
      </c>
      <c r="T5625">
        <v>-0.24229909999999999</v>
      </c>
      <c r="U5625">
        <v>0.1060791</v>
      </c>
      <c r="V5625">
        <v>1.369152E-2</v>
      </c>
      <c r="W5625">
        <v>1.499579E-2</v>
      </c>
      <c r="X5625">
        <v>0.99979379999999995</v>
      </c>
      <c r="Y5625">
        <v>-5.6476569999999997E-2</v>
      </c>
      <c r="Z5625">
        <v>4.0002500000000003E-3</v>
      </c>
      <c r="AA5625">
        <v>0.9983959</v>
      </c>
      <c r="AB5625">
        <v>33</v>
      </c>
      <c r="AC5625">
        <v>13.610200000000001</v>
      </c>
      <c r="AD5625">
        <v>-1.1105217870052</v>
      </c>
      <c r="AE5625">
        <v>0.48945999999999301</v>
      </c>
      <c r="AF5625">
        <v>-0.77654382702279401</v>
      </c>
      <c r="AG5625">
        <v>-1.1105217870052</v>
      </c>
      <c r="AH5625">
        <v>13.506737632667599</v>
      </c>
      <c r="AI5625">
        <v>94.692562880049493</v>
      </c>
      <c r="AJ5625">
        <v>93.290487997338801</v>
      </c>
      <c r="AK5625">
        <v>13.5745438388337</v>
      </c>
      <c r="AL5625">
        <v>89.140772306339898</v>
      </c>
      <c r="AM5625">
        <v>89.215420941472004</v>
      </c>
      <c r="AN5625">
        <v>0.99999998697803705</v>
      </c>
    </row>
    <row r="5626" spans="1:40" x14ac:dyDescent="0.25">
      <c r="A5626" t="str">
        <f>"20190312154715246"</f>
        <v>20190312154715246</v>
      </c>
      <c r="B5626" t="str">
        <f>"1552376835244050"</f>
        <v>1552376835244050</v>
      </c>
      <c r="C5626" t="s">
        <v>40</v>
      </c>
      <c r="D5626">
        <v>5.0924300000000002</v>
      </c>
      <c r="E5626">
        <v>0.47467999999999999</v>
      </c>
      <c r="F5626" t="s">
        <v>89</v>
      </c>
      <c r="G5626">
        <v>-211.75640000000001</v>
      </c>
      <c r="H5626" s="1">
        <v>2.6826499999999997E-7</v>
      </c>
      <c r="I5626">
        <v>-60.331760000000003</v>
      </c>
      <c r="J5626">
        <v>-225.3321</v>
      </c>
      <c r="K5626">
        <v>1.1105050000000001</v>
      </c>
      <c r="L5626">
        <v>-60.815309999999997</v>
      </c>
      <c r="M5626">
        <v>0.99967300000000003</v>
      </c>
      <c r="N5626">
        <v>0</v>
      </c>
      <c r="O5626">
        <v>-2.1078019999999999E-2</v>
      </c>
      <c r="P5626">
        <v>0.99938190000000005</v>
      </c>
      <c r="Q5626">
        <v>3.0840650000000001E-4</v>
      </c>
      <c r="R5626">
        <v>-3.5154079999999997E-2</v>
      </c>
      <c r="S5626">
        <v>3.0056759999999998</v>
      </c>
      <c r="T5626">
        <v>-0.24301429999999999</v>
      </c>
      <c r="U5626">
        <v>0.10513309999999999</v>
      </c>
      <c r="V5626">
        <v>1.405232E-2</v>
      </c>
      <c r="W5626">
        <v>1.482177E-2</v>
      </c>
      <c r="X5626">
        <v>0.9997914</v>
      </c>
      <c r="Y5626">
        <v>-5.5765879999999997E-2</v>
      </c>
      <c r="Z5626">
        <v>3.9511720000000002E-3</v>
      </c>
      <c r="AA5626">
        <v>0.99843599999999999</v>
      </c>
      <c r="AB5626">
        <v>33</v>
      </c>
      <c r="AC5626">
        <v>13.5756999999999</v>
      </c>
      <c r="AD5626">
        <v>-1.1105047317350001</v>
      </c>
      <c r="AE5626">
        <v>0.48355000000000098</v>
      </c>
      <c r="AF5626">
        <v>-0.76451225184742599</v>
      </c>
      <c r="AG5626">
        <v>-1.1105047317350001</v>
      </c>
      <c r="AH5626">
        <v>13.4724547363836</v>
      </c>
      <c r="AI5626">
        <v>94.704577544604703</v>
      </c>
      <c r="AJ5626">
        <v>93.247841556712203</v>
      </c>
      <c r="AK5626">
        <v>13.539746539959101</v>
      </c>
      <c r="AL5626">
        <v>89.150744035704506</v>
      </c>
      <c r="AM5626">
        <v>89.194746407857295</v>
      </c>
      <c r="AN5626">
        <v>0.99999999803863704</v>
      </c>
    </row>
    <row r="5627" spans="1:40" x14ac:dyDescent="0.25">
      <c r="A5627" t="str">
        <f>"20190312154715260"</f>
        <v>20190312154715260</v>
      </c>
      <c r="B5627" t="str">
        <f>"1552376835253810"</f>
        <v>1552376835253810</v>
      </c>
      <c r="C5627" t="s">
        <v>40</v>
      </c>
      <c r="D5627">
        <v>5.0727719999999996</v>
      </c>
      <c r="E5627">
        <v>0.47481030000000002</v>
      </c>
      <c r="F5627" t="s">
        <v>89</v>
      </c>
      <c r="G5627">
        <v>-211.73830000000001</v>
      </c>
      <c r="H5627" s="1">
        <v>2.7954809999999998E-7</v>
      </c>
      <c r="I5627">
        <v>-60.3514699999999</v>
      </c>
      <c r="J5627">
        <v>-225.1354</v>
      </c>
      <c r="K5627">
        <v>1.1104879999999999</v>
      </c>
      <c r="L5627">
        <v>-60.818969999999901</v>
      </c>
      <c r="M5627">
        <v>0.99968299999999999</v>
      </c>
      <c r="N5627">
        <v>0</v>
      </c>
      <c r="O5627">
        <v>-2.0596920000000001E-2</v>
      </c>
      <c r="P5627">
        <v>0.99940309999999999</v>
      </c>
      <c r="Q5627">
        <v>5.2168869999999999E-4</v>
      </c>
      <c r="R5627">
        <v>-3.4544940000000003E-2</v>
      </c>
      <c r="S5627">
        <v>3.0055540000000001</v>
      </c>
      <c r="T5627">
        <v>-0.24552940000000001</v>
      </c>
      <c r="U5627">
        <v>0.10253909999999999</v>
      </c>
      <c r="V5627">
        <v>1.3924270000000001E-2</v>
      </c>
      <c r="W5627">
        <v>1.503203E-2</v>
      </c>
      <c r="X5627">
        <v>0.99979010000000001</v>
      </c>
      <c r="Y5627">
        <v>-5.4426879999999997E-2</v>
      </c>
      <c r="Z5627">
        <v>3.8983300000000002E-3</v>
      </c>
      <c r="AA5627">
        <v>0.99851009999999996</v>
      </c>
      <c r="AB5627">
        <v>33</v>
      </c>
      <c r="AC5627">
        <v>13.397099999999901</v>
      </c>
      <c r="AD5627">
        <v>-1.1104877204518999</v>
      </c>
      <c r="AE5627">
        <v>0.46750000000000103</v>
      </c>
      <c r="AF5627">
        <v>-0.738302192248523</v>
      </c>
      <c r="AG5627">
        <v>-1.1104877204518999</v>
      </c>
      <c r="AH5627">
        <v>13.2934023531721</v>
      </c>
      <c r="AI5627">
        <v>94.767902551236205</v>
      </c>
      <c r="AJ5627">
        <v>93.178884125959001</v>
      </c>
      <c r="AK5627">
        <v>13.3601204795344</v>
      </c>
      <c r="AL5627">
        <v>89.138695723724396</v>
      </c>
      <c r="AM5627">
        <v>89.202082189586406</v>
      </c>
      <c r="AN5627">
        <v>1.00000004563948</v>
      </c>
    </row>
    <row r="5628" spans="1:40" x14ac:dyDescent="0.25">
      <c r="A5628" t="str">
        <f>"20190312154715273"</f>
        <v>20190312154715273</v>
      </c>
      <c r="B5628" t="str">
        <f>"1552376835263570"</f>
        <v>1552376835263570</v>
      </c>
      <c r="C5628" t="s">
        <v>40</v>
      </c>
      <c r="D5628">
        <v>5.0750000000000002</v>
      </c>
      <c r="E5628">
        <v>0.47494920000000002</v>
      </c>
      <c r="F5628" t="s">
        <v>89</v>
      </c>
      <c r="G5628">
        <v>-211.5966</v>
      </c>
      <c r="H5628" s="1">
        <v>3.4063229999999998E-7</v>
      </c>
      <c r="I5628">
        <v>-60.353290000000001</v>
      </c>
      <c r="J5628">
        <v>-224.95570000000001</v>
      </c>
      <c r="K5628">
        <v>1.110473</v>
      </c>
      <c r="L5628">
        <v>-60.822200000000002</v>
      </c>
      <c r="M5628">
        <v>0.99969169999999996</v>
      </c>
      <c r="N5628">
        <v>0</v>
      </c>
      <c r="O5628">
        <v>-2.0170170000000001E-2</v>
      </c>
      <c r="P5628">
        <v>0.99941029999999997</v>
      </c>
      <c r="Q5628">
        <v>7.4829629999999996E-4</v>
      </c>
      <c r="R5628">
        <v>-3.4331540000000001E-2</v>
      </c>
      <c r="S5628">
        <v>3.005493</v>
      </c>
      <c r="T5628">
        <v>-0.24651870000000001</v>
      </c>
      <c r="U5628">
        <v>0.103363</v>
      </c>
      <c r="V5628">
        <v>1.4137749999999999E-2</v>
      </c>
      <c r="W5628">
        <v>1.525612E-2</v>
      </c>
      <c r="X5628">
        <v>0.99978359999999999</v>
      </c>
      <c r="Y5628">
        <v>-5.4274679999999999E-2</v>
      </c>
      <c r="Z5628">
        <v>3.8728790000000001E-3</v>
      </c>
      <c r="AA5628">
        <v>0.99851849999999998</v>
      </c>
      <c r="AB5628">
        <v>33</v>
      </c>
      <c r="AC5628">
        <v>13.3591</v>
      </c>
      <c r="AD5628">
        <v>-1.1104726593676999</v>
      </c>
      <c r="AE5628">
        <v>0.46891000000000099</v>
      </c>
      <c r="AF5628">
        <v>-0.73323791171322195</v>
      </c>
      <c r="AG5628">
        <v>-1.1104726593676999</v>
      </c>
      <c r="AH5628">
        <v>13.255443800378</v>
      </c>
      <c r="AI5628">
        <v>94.781486898226007</v>
      </c>
      <c r="AJ5628">
        <v>93.166145711189898</v>
      </c>
      <c r="AK5628">
        <v>13.3220710742496</v>
      </c>
      <c r="AL5628">
        <v>89.125854744637095</v>
      </c>
      <c r="AM5628">
        <v>89.189845261330802</v>
      </c>
      <c r="AN5628">
        <v>0.999999936000736</v>
      </c>
    </row>
    <row r="5629" spans="1:40" x14ac:dyDescent="0.25">
      <c r="A5629" t="str">
        <f>"20190312154715286"</f>
        <v>20190312154715286</v>
      </c>
      <c r="B5629" t="str">
        <f>"1552376835273330"</f>
        <v>1552376835273330</v>
      </c>
      <c r="C5629" t="s">
        <v>40</v>
      </c>
      <c r="D5629">
        <v>5.0935350000000001</v>
      </c>
      <c r="E5629">
        <v>0.47511769999999998</v>
      </c>
      <c r="F5629" t="s">
        <v>89</v>
      </c>
      <c r="G5629">
        <v>-211.4607</v>
      </c>
      <c r="H5629" s="1">
        <v>4.001864E-7</v>
      </c>
      <c r="I5629">
        <v>-60.36036</v>
      </c>
      <c r="J5629">
        <v>-224.76759999999999</v>
      </c>
      <c r="K5629">
        <v>1.1104579999999999</v>
      </c>
      <c r="L5629">
        <v>-60.825589999999998</v>
      </c>
      <c r="M5629">
        <v>0.99970040000000004</v>
      </c>
      <c r="N5629">
        <v>0</v>
      </c>
      <c r="O5629">
        <v>-1.9731269999999999E-2</v>
      </c>
      <c r="P5629">
        <v>0.99942799999999998</v>
      </c>
      <c r="Q5629">
        <v>9.1003809999999998E-4</v>
      </c>
      <c r="R5629">
        <v>-3.3807990000000003E-2</v>
      </c>
      <c r="S5629">
        <v>3.0055079999999998</v>
      </c>
      <c r="T5629">
        <v>-0.24731710000000001</v>
      </c>
      <c r="U5629">
        <v>0.1028442</v>
      </c>
      <c r="V5629">
        <v>1.405321E-2</v>
      </c>
      <c r="W5629">
        <v>1.5414880000000001E-2</v>
      </c>
      <c r="X5629">
        <v>0.99978239999999996</v>
      </c>
      <c r="Y5629">
        <v>-5.3665869999999997E-2</v>
      </c>
      <c r="Z5629">
        <v>3.8243219999999998E-3</v>
      </c>
      <c r="AA5629">
        <v>0.99855159999999998</v>
      </c>
      <c r="AB5629">
        <v>33</v>
      </c>
      <c r="AC5629">
        <v>13.306899999999899</v>
      </c>
      <c r="AD5629">
        <v>-1.1104575998135999</v>
      </c>
      <c r="AE5629">
        <v>0.46523000000000497</v>
      </c>
      <c r="AF5629">
        <v>-0.72270233656119398</v>
      </c>
      <c r="AG5629">
        <v>-1.1104575998135999</v>
      </c>
      <c r="AH5629">
        <v>13.2032946446854</v>
      </c>
      <c r="AI5629">
        <v>94.800371389004098</v>
      </c>
      <c r="AJ5629">
        <v>93.133044838568395</v>
      </c>
      <c r="AK5629">
        <v>13.2696045239726</v>
      </c>
      <c r="AL5629">
        <v>89.116757434521602</v>
      </c>
      <c r="AM5629">
        <v>89.194688165684596</v>
      </c>
      <c r="AN5629">
        <v>0.99999997929323903</v>
      </c>
    </row>
    <row r="5630" spans="1:40" x14ac:dyDescent="0.25">
      <c r="A5630" t="str">
        <f>"20190312154715302"</f>
        <v>20190312154715302</v>
      </c>
      <c r="B5630" t="str">
        <f>"1552376835293825"</f>
        <v>1552376835293825</v>
      </c>
      <c r="C5630" t="s">
        <v>40</v>
      </c>
      <c r="D5630">
        <v>5.095701</v>
      </c>
      <c r="E5630">
        <v>0.47538320000000001</v>
      </c>
      <c r="F5630" t="s">
        <v>89</v>
      </c>
      <c r="G5630">
        <v>-211.30269999999999</v>
      </c>
      <c r="H5630" s="1">
        <v>4.6856829999999999E-7</v>
      </c>
      <c r="I5630">
        <v>-60.363810000000001</v>
      </c>
      <c r="J5630">
        <v>-224.5206</v>
      </c>
      <c r="K5630">
        <v>1.11043799999999</v>
      </c>
      <c r="L5630">
        <v>-60.829859999999996</v>
      </c>
      <c r="M5630">
        <v>0.99971129999999997</v>
      </c>
      <c r="N5630">
        <v>0</v>
      </c>
      <c r="O5630">
        <v>-1.9175890000000001E-2</v>
      </c>
      <c r="P5630">
        <v>0.99945499999999998</v>
      </c>
      <c r="Q5630">
        <v>1.2832200000000001E-3</v>
      </c>
      <c r="R5630">
        <v>-3.2987959999999997E-2</v>
      </c>
      <c r="S5630">
        <v>3.005417</v>
      </c>
      <c r="T5630">
        <v>-0.2478592</v>
      </c>
      <c r="U5630">
        <v>0.10305789999999999</v>
      </c>
      <c r="V5630">
        <v>1.378864E-2</v>
      </c>
      <c r="W5630">
        <v>1.5783910000000002E-2</v>
      </c>
      <c r="X5630">
        <v>0.99978040000000001</v>
      </c>
      <c r="Y5630">
        <v>-5.3185490000000002E-2</v>
      </c>
      <c r="Z5630">
        <v>3.7673020000000002E-3</v>
      </c>
      <c r="AA5630">
        <v>0.99857750000000001</v>
      </c>
      <c r="AB5630">
        <v>33</v>
      </c>
      <c r="AC5630">
        <v>13.2179</v>
      </c>
      <c r="AD5630">
        <v>-1.1104375314317001</v>
      </c>
      <c r="AE5630">
        <v>0.46604999999999502</v>
      </c>
      <c r="AF5630">
        <v>-0.71441994865443703</v>
      </c>
      <c r="AG5630">
        <v>-1.1104375314317001</v>
      </c>
      <c r="AH5630">
        <v>13.1140907703619</v>
      </c>
      <c r="AI5630">
        <v>94.8328510050099</v>
      </c>
      <c r="AJ5630">
        <v>93.118235719779804</v>
      </c>
      <c r="AK5630">
        <v>13.1803962044978</v>
      </c>
      <c r="AL5630">
        <v>89.095611066345597</v>
      </c>
      <c r="AM5630">
        <v>89.209845689796097</v>
      </c>
      <c r="AN5630">
        <v>1.00000005331604</v>
      </c>
    </row>
    <row r="5631" spans="1:40" x14ac:dyDescent="0.25">
      <c r="A5631" t="str">
        <f>"20190312154715314"</f>
        <v>20190312154715314</v>
      </c>
      <c r="B5631" t="str">
        <f>"1552376835303586"</f>
        <v>1552376835303586</v>
      </c>
      <c r="C5631" t="s">
        <v>40</v>
      </c>
      <c r="D5631">
        <v>5.1081440000000002</v>
      </c>
      <c r="E5631">
        <v>0.47552539999999999</v>
      </c>
      <c r="F5631" t="s">
        <v>89</v>
      </c>
      <c r="G5631">
        <v>-211.1199</v>
      </c>
      <c r="H5631" s="1">
        <v>5.4787229999999997E-7</v>
      </c>
      <c r="I5631">
        <v>-60.368639999999999</v>
      </c>
      <c r="J5631">
        <v>-224.3519</v>
      </c>
      <c r="K5631">
        <v>1.110425</v>
      </c>
      <c r="L5631">
        <v>-60.832700000000003</v>
      </c>
      <c r="M5631">
        <v>0.99971840000000001</v>
      </c>
      <c r="N5631">
        <v>0</v>
      </c>
      <c r="O5631">
        <v>-1.8811129999999999E-2</v>
      </c>
      <c r="P5631">
        <v>0.99947090000000005</v>
      </c>
      <c r="Q5631">
        <v>1.1735370000000001E-3</v>
      </c>
      <c r="R5631">
        <v>-3.2515530000000001E-2</v>
      </c>
      <c r="S5631">
        <v>3.0053860000000001</v>
      </c>
      <c r="T5631">
        <v>-0.2490377</v>
      </c>
      <c r="U5631">
        <v>0.1034241</v>
      </c>
      <c r="V5631">
        <v>1.3681499999999999E-2</v>
      </c>
      <c r="W5631">
        <v>1.5670920000000001E-2</v>
      </c>
      <c r="X5631">
        <v>0.99978359999999999</v>
      </c>
      <c r="Y5631">
        <v>-5.2942749999999997E-2</v>
      </c>
      <c r="Z5631">
        <v>3.7449779999999999E-3</v>
      </c>
      <c r="AA5631">
        <v>0.99859050000000005</v>
      </c>
      <c r="AB5631">
        <v>33</v>
      </c>
      <c r="AC5631">
        <v>13.231999999999999</v>
      </c>
      <c r="AD5631">
        <v>-1.1104244521277</v>
      </c>
      <c r="AE5631">
        <v>0.46406000000000303</v>
      </c>
      <c r="AF5631">
        <v>-0.70793329182378195</v>
      </c>
      <c r="AG5631">
        <v>-1.1104244521277</v>
      </c>
      <c r="AH5631">
        <v>13.128583260640101</v>
      </c>
      <c r="AI5631">
        <v>94.827628618345003</v>
      </c>
      <c r="AJ5631">
        <v>93.086574069171206</v>
      </c>
      <c r="AK5631">
        <v>13.194465144184999</v>
      </c>
      <c r="AL5631">
        <v>89.102085672655093</v>
      </c>
      <c r="AM5631">
        <v>89.215987058416601</v>
      </c>
      <c r="AN5631">
        <v>1.00000000400242</v>
      </c>
    </row>
    <row r="5632" spans="1:40" x14ac:dyDescent="0.25">
      <c r="A5632" t="str">
        <f>"20190312154715326"</f>
        <v>20190312154715326</v>
      </c>
      <c r="B5632" t="str">
        <f>"1552376835313346"</f>
        <v>1552376835313346</v>
      </c>
      <c r="C5632" t="s">
        <v>40</v>
      </c>
      <c r="D5632">
        <v>5.0963379999999896</v>
      </c>
      <c r="E5632">
        <v>0.47561179999999997</v>
      </c>
      <c r="F5632" t="s">
        <v>89</v>
      </c>
      <c r="G5632">
        <v>-211.03960000000001</v>
      </c>
      <c r="H5632" s="1">
        <v>5.8312259999999905E-7</v>
      </c>
      <c r="I5632">
        <v>-60.373159999999999</v>
      </c>
      <c r="J5632">
        <v>-224.18989999999999</v>
      </c>
      <c r="K5632">
        <v>1.1104099999999999</v>
      </c>
      <c r="L5632">
        <v>-60.8354199999999</v>
      </c>
      <c r="M5632">
        <v>0.99972470000000002</v>
      </c>
      <c r="N5632">
        <v>0</v>
      </c>
      <c r="O5632">
        <v>-1.846424E-2</v>
      </c>
      <c r="P5632">
        <v>0.99948269999999995</v>
      </c>
      <c r="Q5632">
        <v>1.4059369999999999E-3</v>
      </c>
      <c r="R5632">
        <v>-3.2132889999999997E-2</v>
      </c>
      <c r="S5632">
        <v>3.0052639999999999</v>
      </c>
      <c r="T5632">
        <v>-0.25067879999999998</v>
      </c>
      <c r="U5632">
        <v>0.10372919999999999</v>
      </c>
      <c r="V5632">
        <v>1.3645920000000001E-2</v>
      </c>
      <c r="W5632">
        <v>1.5901200000000001E-2</v>
      </c>
      <c r="X5632">
        <v>0.99978040000000001</v>
      </c>
      <c r="Y5632">
        <v>-5.2697729999999998E-2</v>
      </c>
      <c r="Z5632">
        <v>3.730639E-3</v>
      </c>
      <c r="AA5632">
        <v>0.99860349999999998</v>
      </c>
      <c r="AB5632">
        <v>33</v>
      </c>
      <c r="AC5632">
        <v>13.1502999999999</v>
      </c>
      <c r="AD5632">
        <v>-1.1104094168773999</v>
      </c>
      <c r="AE5632">
        <v>0.46225999999999301</v>
      </c>
      <c r="AF5632">
        <v>-0.70003179430484896</v>
      </c>
      <c r="AG5632">
        <v>-1.1104094168773999</v>
      </c>
      <c r="AH5632">
        <v>13.046612804568699</v>
      </c>
      <c r="AI5632">
        <v>94.857819118282094</v>
      </c>
      <c r="AJ5632">
        <v>93.071329186933596</v>
      </c>
      <c r="AK5632">
        <v>13.112481048926799</v>
      </c>
      <c r="AL5632">
        <v>89.088889910504705</v>
      </c>
      <c r="AM5632">
        <v>89.2180232001664</v>
      </c>
      <c r="AN5632">
        <v>0.99999995375912198</v>
      </c>
    </row>
    <row r="5633" spans="1:40" x14ac:dyDescent="0.25">
      <c r="A5633" t="str">
        <f>"20190312154715336"</f>
        <v>20190312154715336</v>
      </c>
      <c r="B5633" t="str">
        <f>"1552376835324082"</f>
        <v>1552376835324082</v>
      </c>
      <c r="C5633" t="s">
        <v>40</v>
      </c>
      <c r="D5633">
        <v>5.0773289999999998</v>
      </c>
      <c r="E5633">
        <v>0.47572559999999903</v>
      </c>
      <c r="F5633" t="s">
        <v>89</v>
      </c>
      <c r="G5633">
        <v>-210.93950000000001</v>
      </c>
      <c r="H5633" s="1">
        <v>6.2657579999999995E-7</v>
      </c>
      <c r="I5633">
        <v>-60.376119999999901</v>
      </c>
      <c r="J5633">
        <v>-224.0275</v>
      </c>
      <c r="K5633">
        <v>1.110395</v>
      </c>
      <c r="L5633">
        <v>-60.838070000000002</v>
      </c>
      <c r="M5633">
        <v>0.99973089999999998</v>
      </c>
      <c r="N5633">
        <v>0</v>
      </c>
      <c r="O5633">
        <v>-1.8129389999999999E-2</v>
      </c>
      <c r="P5633">
        <v>0.99950119999999998</v>
      </c>
      <c r="Q5633">
        <v>1.6536319999999999E-3</v>
      </c>
      <c r="R5633">
        <v>-3.1542729999999998E-2</v>
      </c>
      <c r="S5633">
        <v>3.0052490000000001</v>
      </c>
      <c r="T5633">
        <v>-0.25184509999999999</v>
      </c>
      <c r="U5633">
        <v>0.1041565</v>
      </c>
      <c r="V5633">
        <v>1.3390839999999999E-2</v>
      </c>
      <c r="W5633">
        <v>1.6146259999999999E-2</v>
      </c>
      <c r="X5633">
        <v>0.99977990000000005</v>
      </c>
      <c r="Y5633">
        <v>-5.2504780000000001E-2</v>
      </c>
      <c r="Z5633">
        <v>3.7118699999999999E-3</v>
      </c>
      <c r="AA5633">
        <v>0.9986138</v>
      </c>
      <c r="AB5633">
        <v>33</v>
      </c>
      <c r="AC5633">
        <v>13.0879999999999</v>
      </c>
      <c r="AD5633">
        <v>-1.1103943734241899</v>
      </c>
      <c r="AE5633">
        <v>0.46195000000000103</v>
      </c>
      <c r="AF5633">
        <v>-0.69418588370962897</v>
      </c>
      <c r="AG5633">
        <v>-1.1103943734241899</v>
      </c>
      <c r="AH5633">
        <v>12.984130133547501</v>
      </c>
      <c r="AI5633">
        <v>94.881067415688605</v>
      </c>
      <c r="AJ5633">
        <v>93.060358217955894</v>
      </c>
      <c r="AK5633">
        <v>13.0500001927422</v>
      </c>
      <c r="AL5633">
        <v>89.074847183390204</v>
      </c>
      <c r="AM5633">
        <v>89.232638361852096</v>
      </c>
      <c r="AN5633">
        <v>0.99999993237594897</v>
      </c>
    </row>
    <row r="5634" spans="1:40" x14ac:dyDescent="0.25">
      <c r="A5634" t="str">
        <f>"20190312154715346"</f>
        <v>20190312154715346</v>
      </c>
      <c r="B5634" t="str">
        <f>"1552376835343602"</f>
        <v>1552376835343602</v>
      </c>
      <c r="C5634" t="s">
        <v>40</v>
      </c>
      <c r="D5634">
        <v>5.0281359999999999</v>
      </c>
      <c r="E5634">
        <v>0.47583249999999999</v>
      </c>
      <c r="F5634" t="s">
        <v>89</v>
      </c>
      <c r="G5634">
        <v>-210.8107</v>
      </c>
      <c r="H5634" s="1">
        <v>6.8181029999999997E-7</v>
      </c>
      <c r="I5634">
        <v>-60.376049999999999</v>
      </c>
      <c r="J5634">
        <v>-223.8801</v>
      </c>
      <c r="K5634">
        <v>1.1103860000000001</v>
      </c>
      <c r="L5634">
        <v>-60.840449999999997</v>
      </c>
      <c r="M5634">
        <v>0.99973639999999997</v>
      </c>
      <c r="N5634">
        <v>0</v>
      </c>
      <c r="O5634">
        <v>-1.7829210000000002E-2</v>
      </c>
      <c r="P5634">
        <v>0.99952479999999999</v>
      </c>
      <c r="Q5634">
        <v>1.7694259999999999E-3</v>
      </c>
      <c r="R5634">
        <v>-3.0775629999999998E-2</v>
      </c>
      <c r="S5634">
        <v>3.0052340000000002</v>
      </c>
      <c r="T5634">
        <v>-0.2524825</v>
      </c>
      <c r="U5634">
        <v>0.1050415</v>
      </c>
      <c r="V5634">
        <v>1.292398E-2</v>
      </c>
      <c r="W5634">
        <v>1.625878E-2</v>
      </c>
      <c r="X5634">
        <v>0.99978429999999996</v>
      </c>
      <c r="Y5634">
        <v>-5.2498669999999997E-2</v>
      </c>
      <c r="Z5634">
        <v>3.6958059999999998E-3</v>
      </c>
      <c r="AA5634">
        <v>0.99861409999999995</v>
      </c>
      <c r="AB5634">
        <v>33</v>
      </c>
      <c r="AC5634">
        <v>13.0694</v>
      </c>
      <c r="AD5634">
        <v>-1.1103853181896901</v>
      </c>
      <c r="AE5634">
        <v>0.46439999999999698</v>
      </c>
      <c r="AF5634">
        <v>-0.692376137120849</v>
      </c>
      <c r="AG5634">
        <v>-1.1103853181896901</v>
      </c>
      <c r="AH5634">
        <v>12.9655697830071</v>
      </c>
      <c r="AI5634">
        <v>94.887997557059506</v>
      </c>
      <c r="AJ5634">
        <v>93.056756208577596</v>
      </c>
      <c r="AK5634">
        <v>13.0314366079928</v>
      </c>
      <c r="AL5634">
        <v>89.068399489495505</v>
      </c>
      <c r="AM5634">
        <v>89.259391983800597</v>
      </c>
      <c r="AN5634">
        <v>1.0000000118562999</v>
      </c>
    </row>
    <row r="5635" spans="1:40" x14ac:dyDescent="0.25">
      <c r="A5635" t="str">
        <f>"20190312154715358"</f>
        <v>20190312154715358</v>
      </c>
      <c r="B5635" t="str">
        <f>"1552376835353362"</f>
        <v>1552376835353362</v>
      </c>
      <c r="C5635" t="s">
        <v>40</v>
      </c>
      <c r="D5635">
        <v>5.0804980000000004</v>
      </c>
      <c r="E5635">
        <v>0.47594140000000001</v>
      </c>
      <c r="F5635" t="s">
        <v>89</v>
      </c>
      <c r="G5635">
        <v>-210.69049999999999</v>
      </c>
      <c r="H5635" s="1">
        <v>7.3282009999999996E-7</v>
      </c>
      <c r="I5635">
        <v>-60.372799999999998</v>
      </c>
      <c r="J5635">
        <v>-223.70949999999999</v>
      </c>
      <c r="K5635">
        <v>1.1103730000000001</v>
      </c>
      <c r="L5635">
        <v>-60.843139999999998</v>
      </c>
      <c r="M5635">
        <v>0.99974240000000003</v>
      </c>
      <c r="N5635">
        <v>0</v>
      </c>
      <c r="O5635">
        <v>-1.7491380000000001E-2</v>
      </c>
      <c r="P5635">
        <v>0.99954209999999999</v>
      </c>
      <c r="Q5635">
        <v>2.139976E-3</v>
      </c>
      <c r="R5635">
        <v>-3.0182480000000001E-2</v>
      </c>
      <c r="S5635">
        <v>3.0051570000000001</v>
      </c>
      <c r="T5635">
        <v>-0.25299319999999997</v>
      </c>
      <c r="U5635">
        <v>0.1065369</v>
      </c>
      <c r="V5635">
        <v>1.266863E-2</v>
      </c>
      <c r="W5635">
        <v>1.6626370000000001E-2</v>
      </c>
      <c r="X5635">
        <v>0.99978149999999999</v>
      </c>
      <c r="Y5635">
        <v>-5.2658009999999998E-2</v>
      </c>
      <c r="Z5635">
        <v>3.681625E-3</v>
      </c>
      <c r="AA5635">
        <v>0.99860579999999999</v>
      </c>
      <c r="AB5635">
        <v>32</v>
      </c>
      <c r="AC5635">
        <v>13.019</v>
      </c>
      <c r="AD5635">
        <v>-1.1103722671798999</v>
      </c>
      <c r="AE5635">
        <v>0.47034000000000697</v>
      </c>
      <c r="AF5635">
        <v>-0.69297787634932795</v>
      </c>
      <c r="AG5635">
        <v>-1.1103722671798999</v>
      </c>
      <c r="AH5635">
        <v>12.914957285851299</v>
      </c>
      <c r="AI5635">
        <v>94.906935723741796</v>
      </c>
      <c r="AJ5635">
        <v>93.071374388635107</v>
      </c>
      <c r="AK5635">
        <v>12.9811119170969</v>
      </c>
      <c r="AL5635">
        <v>89.047335264677002</v>
      </c>
      <c r="AM5635">
        <v>89.274021187701095</v>
      </c>
      <c r="AN5635">
        <v>0.99999998905385101</v>
      </c>
    </row>
    <row r="5636" spans="1:40" x14ac:dyDescent="0.25">
      <c r="A5636" t="str">
        <f>"20190312154715369"</f>
        <v>20190312154715369</v>
      </c>
      <c r="B5636" t="str">
        <f>"1552376835364098"</f>
        <v>1552376835364098</v>
      </c>
      <c r="C5636" t="s">
        <v>40</v>
      </c>
      <c r="D5636">
        <v>5.0914089999999996</v>
      </c>
      <c r="E5636">
        <v>0.47603810000000002</v>
      </c>
      <c r="F5636" t="s">
        <v>89</v>
      </c>
      <c r="G5636">
        <v>-210.51679999999999</v>
      </c>
      <c r="H5636" s="1">
        <v>8.0716770000000002E-7</v>
      </c>
      <c r="I5636">
        <v>-60.371760000000002</v>
      </c>
      <c r="J5636">
        <v>-223.54769999999999</v>
      </c>
      <c r="K5636">
        <v>1.11036</v>
      </c>
      <c r="L5636">
        <v>-60.845669999999998</v>
      </c>
      <c r="M5636">
        <v>0.99974779999999996</v>
      </c>
      <c r="N5636">
        <v>0</v>
      </c>
      <c r="O5636">
        <v>-1.7177250000000002E-2</v>
      </c>
      <c r="P5636">
        <v>0.99956739999999999</v>
      </c>
      <c r="Q5636">
        <v>2.6793429999999998E-3</v>
      </c>
      <c r="R5636">
        <v>-2.92947E-2</v>
      </c>
      <c r="S5636">
        <v>3.0051570000000001</v>
      </c>
      <c r="T5636">
        <v>-0.25292930000000002</v>
      </c>
      <c r="U5636">
        <v>0.10736080000000001</v>
      </c>
      <c r="V5636">
        <v>1.2094529999999999E-2</v>
      </c>
      <c r="W5636">
        <v>1.7162739999999999E-2</v>
      </c>
      <c r="X5636">
        <v>0.99977959999999999</v>
      </c>
      <c r="Y5636">
        <v>-5.261909E-2</v>
      </c>
      <c r="Z5636">
        <v>3.6526610000000002E-3</v>
      </c>
      <c r="AA5636">
        <v>0.99860800000000005</v>
      </c>
      <c r="AB5636">
        <v>32</v>
      </c>
      <c r="AC5636">
        <v>13.030900000000001</v>
      </c>
      <c r="AD5636">
        <v>-1.1103591928323</v>
      </c>
      <c r="AE5636">
        <v>0.473910000000003</v>
      </c>
      <c r="AF5636">
        <v>-0.69267585285852096</v>
      </c>
      <c r="AG5636">
        <v>-1.1103591928323</v>
      </c>
      <c r="AH5636">
        <v>12.927099954173601</v>
      </c>
      <c r="AI5636">
        <v>94.902310817210704</v>
      </c>
      <c r="AJ5636">
        <v>93.067160103612196</v>
      </c>
      <c r="AK5636">
        <v>12.993175539468201</v>
      </c>
      <c r="AL5636">
        <v>89.016599192952</v>
      </c>
      <c r="AM5636">
        <v>89.306915520374901</v>
      </c>
      <c r="AN5636">
        <v>1.0000000429381899</v>
      </c>
    </row>
    <row r="5637" spans="1:40" x14ac:dyDescent="0.25">
      <c r="A5637" t="str">
        <f>"20190312154715380"</f>
        <v>20190312154715380</v>
      </c>
      <c r="B5637" t="str">
        <f>"1552376835373857"</f>
        <v>1552376835373857</v>
      </c>
      <c r="C5637" t="s">
        <v>40</v>
      </c>
      <c r="D5637">
        <v>5.0686210000000003</v>
      </c>
      <c r="E5637">
        <v>0.4761146</v>
      </c>
      <c r="F5637" t="s">
        <v>89</v>
      </c>
      <c r="G5637">
        <v>-210.309</v>
      </c>
      <c r="H5637" s="1">
        <v>8.9492819999999896E-7</v>
      </c>
      <c r="I5637">
        <v>-60.364049999999999</v>
      </c>
      <c r="J5637">
        <v>-223.3776</v>
      </c>
      <c r="K5637">
        <v>1.1103400000000001</v>
      </c>
      <c r="L5637">
        <v>-60.848239999999997</v>
      </c>
      <c r="M5637">
        <v>0.99975340000000001</v>
      </c>
      <c r="N5637">
        <v>0</v>
      </c>
      <c r="O5637">
        <v>-1.685275E-2</v>
      </c>
      <c r="P5637">
        <v>0.99958809999999998</v>
      </c>
      <c r="Q5637">
        <v>2.6948990000000002E-3</v>
      </c>
      <c r="R5637">
        <v>-2.8574499999999999E-2</v>
      </c>
      <c r="S5637">
        <v>3.0051570000000001</v>
      </c>
      <c r="T5637">
        <v>-0.25204969999999999</v>
      </c>
      <c r="U5637">
        <v>0.10931399999999999</v>
      </c>
      <c r="V5637">
        <v>1.16992E-2</v>
      </c>
      <c r="W5637">
        <v>1.7175610000000001E-2</v>
      </c>
      <c r="X5637">
        <v>0.99978409999999995</v>
      </c>
      <c r="Y5637">
        <v>-5.294484E-2</v>
      </c>
      <c r="Z5637">
        <v>3.626429E-3</v>
      </c>
      <c r="AA5637">
        <v>0.9985908</v>
      </c>
      <c r="AB5637">
        <v>32</v>
      </c>
      <c r="AC5637">
        <v>13.068599999999901</v>
      </c>
      <c r="AD5637">
        <v>-1.1103391050717999</v>
      </c>
      <c r="AE5637">
        <v>0.48419000000000501</v>
      </c>
      <c r="AF5637">
        <v>-0.69934473174961997</v>
      </c>
      <c r="AG5637">
        <v>-1.1103391050717999</v>
      </c>
      <c r="AH5637">
        <v>12.9651210892913</v>
      </c>
      <c r="AI5637">
        <v>94.887823047242094</v>
      </c>
      <c r="AJ5637">
        <v>93.0875691209378</v>
      </c>
      <c r="AK5637">
        <v>13.0313583651921</v>
      </c>
      <c r="AL5637">
        <v>89.0158617041253</v>
      </c>
      <c r="AM5637">
        <v>89.329571063690395</v>
      </c>
      <c r="AN5637">
        <v>1.00000005973615</v>
      </c>
    </row>
    <row r="5638" spans="1:40" x14ac:dyDescent="0.25">
      <c r="A5638" t="str">
        <f>"20190312154715391"</f>
        <v>20190312154715391</v>
      </c>
      <c r="B5638" t="str">
        <f>"1552376835383618"</f>
        <v>1552376835383618</v>
      </c>
      <c r="C5638" t="s">
        <v>40</v>
      </c>
      <c r="D5638">
        <v>5.0634069999999998</v>
      </c>
      <c r="E5638">
        <v>0.47622439999999999</v>
      </c>
      <c r="F5638" t="s">
        <v>89</v>
      </c>
      <c r="G5638">
        <v>-210.21610000000001</v>
      </c>
      <c r="H5638" s="1">
        <v>9.345535E-7</v>
      </c>
      <c r="I5638">
        <v>-60.362720000000003</v>
      </c>
      <c r="J5638">
        <v>-223.2296</v>
      </c>
      <c r="K5638">
        <v>1.110331</v>
      </c>
      <c r="L5638">
        <v>-60.850430000000003</v>
      </c>
      <c r="M5638">
        <v>0.99975800000000004</v>
      </c>
      <c r="N5638">
        <v>0</v>
      </c>
      <c r="O5638">
        <v>-1.657755E-2</v>
      </c>
      <c r="P5638">
        <v>0.99960510000000002</v>
      </c>
      <c r="Q5638">
        <v>2.572347E-3</v>
      </c>
      <c r="R5638">
        <v>-2.798639E-2</v>
      </c>
      <c r="S5638">
        <v>3.0050810000000001</v>
      </c>
      <c r="T5638">
        <v>-0.2535152</v>
      </c>
      <c r="U5638">
        <v>0.1108398</v>
      </c>
      <c r="V5638">
        <v>1.1386780000000001E-2</v>
      </c>
      <c r="W5638">
        <v>1.7050220000000001E-2</v>
      </c>
      <c r="X5638">
        <v>0.99978979999999995</v>
      </c>
      <c r="Y5638">
        <v>-5.3174550000000001E-2</v>
      </c>
      <c r="Z5638">
        <v>3.6339990000000002E-3</v>
      </c>
      <c r="AA5638">
        <v>0.99857859999999998</v>
      </c>
      <c r="AB5638">
        <v>32</v>
      </c>
      <c r="AC5638">
        <v>13.013499999999899</v>
      </c>
      <c r="AD5638">
        <v>-1.1103300654465</v>
      </c>
      <c r="AE5638">
        <v>0.48771000000000703</v>
      </c>
      <c r="AF5638">
        <v>-0.69832100798844798</v>
      </c>
      <c r="AG5638">
        <v>-1.1103300654465</v>
      </c>
      <c r="AH5638">
        <v>12.909777436208101</v>
      </c>
      <c r="AI5638">
        <v>94.9085950262795</v>
      </c>
      <c r="AJ5638">
        <v>93.0962494357954</v>
      </c>
      <c r="AK5638">
        <v>12.976241310058199</v>
      </c>
      <c r="AL5638">
        <v>89.023047021654094</v>
      </c>
      <c r="AM5638">
        <v>89.347476610084001</v>
      </c>
      <c r="AN5638">
        <v>1.0000000064724199</v>
      </c>
    </row>
    <row r="5639" spans="1:40" x14ac:dyDescent="0.25">
      <c r="A5639" t="str">
        <f>"20190312154715403"</f>
        <v>20190312154715403</v>
      </c>
      <c r="B5639" t="str">
        <f>"1552376835393378"</f>
        <v>1552376835393378</v>
      </c>
      <c r="C5639" t="s">
        <v>40</v>
      </c>
      <c r="D5639">
        <v>5.0802310000000004</v>
      </c>
      <c r="E5639">
        <v>0.47633740000000002</v>
      </c>
      <c r="F5639" t="s">
        <v>89</v>
      </c>
      <c r="G5639">
        <v>-210.1583</v>
      </c>
      <c r="H5639" s="1">
        <v>9.5962870000000002E-7</v>
      </c>
      <c r="I5639">
        <v>-60.36439</v>
      </c>
      <c r="J5639">
        <v>-223.06299999999999</v>
      </c>
      <c r="K5639">
        <v>1.1103160000000001</v>
      </c>
      <c r="L5639">
        <v>-60.852939999999997</v>
      </c>
      <c r="M5639">
        <v>0.99976319999999996</v>
      </c>
      <c r="N5639">
        <v>0</v>
      </c>
      <c r="O5639">
        <v>-1.6269949999999998E-2</v>
      </c>
      <c r="P5639">
        <v>0.99961949999999999</v>
      </c>
      <c r="Q5639">
        <v>2.9308279999999999E-3</v>
      </c>
      <c r="R5639">
        <v>-2.7429559999999999E-2</v>
      </c>
      <c r="S5639">
        <v>3.0049899999999998</v>
      </c>
      <c r="T5639">
        <v>-0.2552565</v>
      </c>
      <c r="U5639">
        <v>0.1117249</v>
      </c>
      <c r="V5639">
        <v>1.1137660000000001E-2</v>
      </c>
      <c r="W5639">
        <v>1.740589E-2</v>
      </c>
      <c r="X5639">
        <v>0.99978650000000002</v>
      </c>
      <c r="Y5639">
        <v>-5.3159860000000003E-2</v>
      </c>
      <c r="Z5639">
        <v>3.6322619999999998E-3</v>
      </c>
      <c r="AA5639">
        <v>0.99857940000000001</v>
      </c>
      <c r="AB5639">
        <v>32</v>
      </c>
      <c r="AC5639">
        <v>12.904699999999901</v>
      </c>
      <c r="AD5639">
        <v>-1.1103150403713</v>
      </c>
      <c r="AE5639">
        <v>0.48855000000000298</v>
      </c>
      <c r="AF5639">
        <v>-0.69334074605907303</v>
      </c>
      <c r="AG5639">
        <v>-1.1103150403713</v>
      </c>
      <c r="AH5639">
        <v>12.800418555115201</v>
      </c>
      <c r="AI5639">
        <v>94.950237445763406</v>
      </c>
      <c r="AJ5639">
        <v>93.100423348967297</v>
      </c>
      <c r="AK5639">
        <v>12.8671766936324</v>
      </c>
      <c r="AL5639">
        <v>89.002665629392098</v>
      </c>
      <c r="AM5639">
        <v>89.361749217700094</v>
      </c>
      <c r="AN5639">
        <v>1.0000000290296001</v>
      </c>
    </row>
    <row r="5640" spans="1:40" x14ac:dyDescent="0.25">
      <c r="A5640" t="str">
        <f>"20190312154715413"</f>
        <v>20190312154715413</v>
      </c>
      <c r="B5640" t="str">
        <f>"1552376835404117"</f>
        <v>1552376835404117</v>
      </c>
      <c r="C5640" t="s">
        <v>40</v>
      </c>
      <c r="D5640">
        <v>5.0494529999999997</v>
      </c>
      <c r="E5640">
        <v>0.47643020000000003</v>
      </c>
      <c r="F5640" t="s">
        <v>43</v>
      </c>
      <c r="G5640">
        <v>-209.40190000000001</v>
      </c>
      <c r="H5640">
        <v>-0.05</v>
      </c>
      <c r="I5640">
        <v>-60.341140000000003</v>
      </c>
      <c r="J5640">
        <v>-222.90260000000001</v>
      </c>
      <c r="K5640">
        <v>1.1103069999999999</v>
      </c>
      <c r="L5640">
        <v>-60.855220000000003</v>
      </c>
      <c r="M5640">
        <v>0.99976779999999998</v>
      </c>
      <c r="N5640">
        <v>0</v>
      </c>
      <c r="O5640">
        <v>-1.598078E-2</v>
      </c>
      <c r="P5640">
        <v>0.99963900000000006</v>
      </c>
      <c r="Q5640">
        <v>2.985438E-3</v>
      </c>
      <c r="R5640">
        <v>-2.6701889999999999E-2</v>
      </c>
      <c r="S5640">
        <v>3.0049899999999998</v>
      </c>
      <c r="T5640">
        <v>-0.25523050000000003</v>
      </c>
      <c r="U5640">
        <v>0.11257929999999999</v>
      </c>
      <c r="V5640">
        <v>1.069911E-2</v>
      </c>
      <c r="W5640">
        <v>1.7458330000000001E-2</v>
      </c>
      <c r="X5640">
        <v>0.99979039999999997</v>
      </c>
      <c r="Y5640">
        <v>-5.3155719999999997E-2</v>
      </c>
      <c r="Z5640">
        <v>3.6071889999999998E-3</v>
      </c>
      <c r="AA5640">
        <v>0.99857969999999896</v>
      </c>
      <c r="AB5640">
        <v>32</v>
      </c>
      <c r="AC5640">
        <v>13.500699999999901</v>
      </c>
      <c r="AD5640">
        <v>-1.160307</v>
      </c>
      <c r="AE5640">
        <v>0.51407999999999199</v>
      </c>
      <c r="AF5640">
        <v>-0.72444529915104705</v>
      </c>
      <c r="AG5640">
        <v>-1.160307</v>
      </c>
      <c r="AH5640">
        <v>13.391983901950001</v>
      </c>
      <c r="AI5640">
        <v>94.944655716424606</v>
      </c>
      <c r="AJ5640">
        <v>93.096422545454402</v>
      </c>
      <c r="AK5640">
        <v>13.461662830267301</v>
      </c>
      <c r="AL5640">
        <v>88.999660607250206</v>
      </c>
      <c r="AM5640">
        <v>89.386881041680994</v>
      </c>
      <c r="AN5640">
        <v>1.00000005408666</v>
      </c>
    </row>
    <row r="5641" spans="1:40" x14ac:dyDescent="0.25">
      <c r="A5641" t="str">
        <f>"20190312154715426"</f>
        <v>20190312154715426</v>
      </c>
      <c r="B5641" t="str">
        <f>"1552376835413874"</f>
        <v>1552376835413874</v>
      </c>
      <c r="C5641" t="s">
        <v>40</v>
      </c>
      <c r="D5641">
        <v>5.0903359999999997</v>
      </c>
      <c r="E5641">
        <v>0.47653210000000001</v>
      </c>
      <c r="F5641" t="s">
        <v>71</v>
      </c>
      <c r="G5641">
        <v>-209.87260000000001</v>
      </c>
      <c r="H5641" s="1">
        <v>-5.8837780000000003E-8</v>
      </c>
      <c r="I5641">
        <v>-60.360030000000002</v>
      </c>
      <c r="J5641">
        <v>-222.73179999999999</v>
      </c>
      <c r="K5641">
        <v>1.110298</v>
      </c>
      <c r="L5641">
        <v>-60.857669999999999</v>
      </c>
      <c r="M5641">
        <v>0.99977269999999896</v>
      </c>
      <c r="N5641">
        <v>0</v>
      </c>
      <c r="O5641">
        <v>-1.5674090000000002E-2</v>
      </c>
      <c r="P5641">
        <v>0.99964980000000003</v>
      </c>
      <c r="Q5641">
        <v>2.8786689999999999E-3</v>
      </c>
      <c r="R5641">
        <v>-2.6305700000000001E-2</v>
      </c>
      <c r="S5641">
        <v>3.004883</v>
      </c>
      <c r="T5641">
        <v>-0.2560501</v>
      </c>
      <c r="U5641">
        <v>0.1141968</v>
      </c>
      <c r="V5641">
        <v>1.061018E-2</v>
      </c>
      <c r="W5641">
        <v>1.7349150000000001E-2</v>
      </c>
      <c r="X5641">
        <v>0.99979320000000005</v>
      </c>
      <c r="Y5641">
        <v>-5.3386129999999997E-2</v>
      </c>
      <c r="Z5641">
        <v>3.6025369999999998E-3</v>
      </c>
      <c r="AA5641">
        <v>0.99856750000000005</v>
      </c>
      <c r="AB5641">
        <v>32</v>
      </c>
      <c r="AC5641">
        <v>12.8591999999999</v>
      </c>
      <c r="AD5641">
        <v>-1.11029805883778</v>
      </c>
      <c r="AE5641">
        <v>0.49763999999999697</v>
      </c>
      <c r="AF5641">
        <v>-0.69399016222302701</v>
      </c>
      <c r="AG5641">
        <v>-1.11029805883778</v>
      </c>
      <c r="AH5641">
        <v>12.754872923875199</v>
      </c>
      <c r="AI5641">
        <v>94.967684687603906</v>
      </c>
      <c r="AJ5641">
        <v>93.114381374766296</v>
      </c>
      <c r="AK5641">
        <v>12.8219018647362</v>
      </c>
      <c r="AL5641">
        <v>89.005917059749805</v>
      </c>
      <c r="AM5641">
        <v>89.391978547514896</v>
      </c>
      <c r="AN5641">
        <v>1.0000000058457901</v>
      </c>
    </row>
    <row r="5642" spans="1:40" x14ac:dyDescent="0.25">
      <c r="A5642" t="str">
        <f>"20190312154715436"</f>
        <v>20190312154715436</v>
      </c>
      <c r="B5642" t="str">
        <f>"1552376835423634"</f>
        <v>1552376835423634</v>
      </c>
      <c r="C5642" t="s">
        <v>40</v>
      </c>
      <c r="D5642">
        <v>5.0673009999999996</v>
      </c>
      <c r="E5642">
        <v>0.47653210000000001</v>
      </c>
      <c r="F5642" t="s">
        <v>71</v>
      </c>
      <c r="G5642">
        <v>-209.77930000000001</v>
      </c>
      <c r="H5642" s="1">
        <v>-1.170858E-7</v>
      </c>
      <c r="I5642">
        <v>-60.363970000000002</v>
      </c>
      <c r="J5642">
        <v>-222.58090000000001</v>
      </c>
      <c r="K5642">
        <v>1.1102920000000001</v>
      </c>
      <c r="L5642">
        <v>-60.859740000000002</v>
      </c>
      <c r="M5642">
        <v>0.99977680000000002</v>
      </c>
      <c r="N5642">
        <v>0</v>
      </c>
      <c r="O5642">
        <v>-1.540706E-2</v>
      </c>
      <c r="P5642">
        <v>0.9996621</v>
      </c>
      <c r="Q5642">
        <v>2.9664090000000001E-3</v>
      </c>
      <c r="R5642">
        <v>-2.5820329999999999E-2</v>
      </c>
      <c r="S5642">
        <v>3.004807</v>
      </c>
      <c r="T5642">
        <v>-0.25757580000000002</v>
      </c>
      <c r="U5642">
        <v>0.1145325</v>
      </c>
      <c r="V5642">
        <v>1.0391930000000001E-2</v>
      </c>
      <c r="W5642">
        <v>1.7434970000000001E-2</v>
      </c>
      <c r="X5642">
        <v>0.99979399999999996</v>
      </c>
      <c r="Y5642">
        <v>-5.3230340000000001E-2</v>
      </c>
      <c r="Z5642">
        <v>3.5945019999999999E-3</v>
      </c>
      <c r="AA5642">
        <v>0.99857580000000001</v>
      </c>
      <c r="AB5642">
        <v>32</v>
      </c>
      <c r="AC5642">
        <v>12.801600000000001</v>
      </c>
      <c r="AD5642">
        <v>-1.1102921170858</v>
      </c>
      <c r="AE5642">
        <v>0.49577000000000698</v>
      </c>
      <c r="AF5642">
        <v>-0.68780073264303099</v>
      </c>
      <c r="AG5642">
        <v>-1.1102921170858</v>
      </c>
      <c r="AH5642">
        <v>12.697073883377801</v>
      </c>
      <c r="AI5642">
        <v>94.990222301276802</v>
      </c>
      <c r="AJ5642">
        <v>93.100682958533994</v>
      </c>
      <c r="AK5642">
        <v>12.7640708096219</v>
      </c>
      <c r="AL5642">
        <v>89.000999192701201</v>
      </c>
      <c r="AM5642">
        <v>89.404485034713204</v>
      </c>
      <c r="AN5642">
        <v>1.00000000641201</v>
      </c>
    </row>
    <row r="5643" spans="1:40" x14ac:dyDescent="0.25">
      <c r="A5643" t="str">
        <f>"20190312154715447"</f>
        <v>20190312154715447</v>
      </c>
      <c r="B5643" t="str">
        <f>"1552376835444130"</f>
        <v>1552376835444130</v>
      </c>
      <c r="C5643" t="s">
        <v>40</v>
      </c>
      <c r="D5643">
        <v>5.0627329999999997</v>
      </c>
      <c r="E5643">
        <v>0.4798461</v>
      </c>
      <c r="F5643" t="s">
        <v>71</v>
      </c>
      <c r="G5643">
        <v>-209.61600000000001</v>
      </c>
      <c r="H5643" s="1">
        <v>-2.221519E-7</v>
      </c>
      <c r="I5643">
        <v>-60.359250000000003</v>
      </c>
      <c r="J5643">
        <v>-222.43039999999999</v>
      </c>
      <c r="K5643">
        <v>1.1102890000000001</v>
      </c>
      <c r="L5643">
        <v>-60.861820000000002</v>
      </c>
      <c r="M5643">
        <v>0.99978089999999997</v>
      </c>
      <c r="N5643">
        <v>0</v>
      </c>
      <c r="O5643">
        <v>-1.514133E-2</v>
      </c>
      <c r="P5643">
        <v>0.99967269999999997</v>
      </c>
      <c r="Q5643">
        <v>2.9700070000000002E-3</v>
      </c>
      <c r="R5643">
        <v>-2.541328E-2</v>
      </c>
      <c r="S5643">
        <v>3.004791</v>
      </c>
      <c r="T5643">
        <v>-0.25732539999999998</v>
      </c>
      <c r="U5643">
        <v>0.1159973</v>
      </c>
      <c r="V5643">
        <v>1.0250860000000001E-2</v>
      </c>
      <c r="W5643">
        <v>1.7436400000000001E-2</v>
      </c>
      <c r="X5643">
        <v>0.9997954</v>
      </c>
      <c r="Y5643">
        <v>-5.345188E-2</v>
      </c>
      <c r="Z5643">
        <v>3.577762E-3</v>
      </c>
      <c r="AA5643">
        <v>0.99856400000000001</v>
      </c>
      <c r="AB5643">
        <v>32</v>
      </c>
      <c r="AC5643">
        <v>12.814399999999999</v>
      </c>
      <c r="AD5643">
        <v>-1.1102892221518901</v>
      </c>
      <c r="AE5643">
        <v>0.50256999999999097</v>
      </c>
      <c r="AF5643">
        <v>-0.69137739292447797</v>
      </c>
      <c r="AG5643">
        <v>-1.1102892221518901</v>
      </c>
      <c r="AH5643">
        <v>12.710050472821701</v>
      </c>
      <c r="AI5643">
        <v>94.985079488386503</v>
      </c>
      <c r="AJ5643">
        <v>93.113599364869799</v>
      </c>
      <c r="AK5643">
        <v>12.7771721393252</v>
      </c>
      <c r="AL5643">
        <v>89.000917215912295</v>
      </c>
      <c r="AM5643">
        <v>89.412569376711005</v>
      </c>
      <c r="AN5643">
        <v>0.99999997501842897</v>
      </c>
    </row>
    <row r="5644" spans="1:40" x14ac:dyDescent="0.25">
      <c r="A5644" t="str">
        <f>"20190312154715471"</f>
        <v>20190312154715471</v>
      </c>
      <c r="B5644" t="str">
        <f>"1552376835463650"</f>
        <v>1552376835463650</v>
      </c>
      <c r="C5644" t="s">
        <v>40</v>
      </c>
      <c r="D5644">
        <v>5.0326120000000003</v>
      </c>
      <c r="E5644">
        <v>0.47997499999999998</v>
      </c>
      <c r="F5644" t="s">
        <v>41</v>
      </c>
      <c r="G5644">
        <v>-221.4606</v>
      </c>
      <c r="H5644">
        <v>1.018543</v>
      </c>
      <c r="I5644">
        <v>-60.832279999999997</v>
      </c>
      <c r="J5644">
        <v>-222.0839</v>
      </c>
      <c r="K5644">
        <v>1.110282</v>
      </c>
      <c r="L5644">
        <v>-60.86636</v>
      </c>
      <c r="M5644">
        <v>0.99978999999999996</v>
      </c>
      <c r="N5644">
        <v>0</v>
      </c>
      <c r="O5644">
        <v>-1.453521E-2</v>
      </c>
      <c r="P5644">
        <v>0.99969249999999998</v>
      </c>
      <c r="Q5644">
        <v>3.0456519999999998E-3</v>
      </c>
      <c r="R5644">
        <v>-2.461445E-2</v>
      </c>
      <c r="S5644">
        <v>3.0041660000000001</v>
      </c>
      <c r="T5644">
        <v>-0.28419650000000002</v>
      </c>
      <c r="U5644">
        <v>9.1430659999999997E-2</v>
      </c>
      <c r="V5644">
        <v>1.0058350000000001E-2</v>
      </c>
      <c r="W5644">
        <v>1.7507439999999999E-2</v>
      </c>
      <c r="X5644">
        <v>0.99979620000000002</v>
      </c>
      <c r="Y5644">
        <v>-4.4683149999999998E-2</v>
      </c>
      <c r="Z5644">
        <v>3.4801860000000001E-3</v>
      </c>
      <c r="AA5644">
        <v>0.99899510000000002</v>
      </c>
      <c r="AB5644">
        <v>32</v>
      </c>
      <c r="AC5644">
        <v>0.62329999999999997</v>
      </c>
      <c r="AD5644">
        <v>-9.1739000000000001E-2</v>
      </c>
      <c r="AE5644">
        <v>3.4079999999995801E-2</v>
      </c>
      <c r="AF5644">
        <v>-4.2225153963433501E-2</v>
      </c>
      <c r="AG5644">
        <v>-9.1739000000000001E-2</v>
      </c>
      <c r="AH5644">
        <v>0.60957305386329097</v>
      </c>
      <c r="AI5644">
        <v>98.538462647475995</v>
      </c>
      <c r="AJ5644">
        <v>93.962551528132394</v>
      </c>
      <c r="AK5644">
        <v>0.61788212123709696</v>
      </c>
      <c r="AL5644">
        <v>88.996846388685299</v>
      </c>
      <c r="AM5644">
        <v>89.423600967623798</v>
      </c>
      <c r="AN5644">
        <v>1.0000000611972499</v>
      </c>
    </row>
    <row r="5645" spans="1:40" x14ac:dyDescent="0.25">
      <c r="A5645" t="str">
        <f>"20190312154715485"</f>
        <v>20190312154715485</v>
      </c>
      <c r="B5645" t="str">
        <f>"1552376835473410"</f>
        <v>1552376835473410</v>
      </c>
      <c r="C5645" t="s">
        <v>40</v>
      </c>
      <c r="D5645">
        <v>4.9941300000000002</v>
      </c>
      <c r="E5645">
        <v>0.47659240000000003</v>
      </c>
      <c r="F5645" t="s">
        <v>89</v>
      </c>
      <c r="G5645">
        <v>-210.32509999999999</v>
      </c>
      <c r="H5645" s="1">
        <v>8.5957299999999999E-7</v>
      </c>
      <c r="I5645">
        <v>-60.503639999999997</v>
      </c>
      <c r="J5645">
        <v>-221.89150000000001</v>
      </c>
      <c r="K5645">
        <v>1.110279</v>
      </c>
      <c r="L5645">
        <v>-60.868839999999999</v>
      </c>
      <c r="M5645">
        <v>0.99979490000000004</v>
      </c>
      <c r="N5645">
        <v>0</v>
      </c>
      <c r="O5645">
        <v>-1.4199949999999999E-2</v>
      </c>
      <c r="P5645">
        <v>0.99970380000000003</v>
      </c>
      <c r="Q5645">
        <v>2.9012579999999999E-3</v>
      </c>
      <c r="R5645">
        <v>-2.4173340000000001E-2</v>
      </c>
      <c r="S5645">
        <v>3.0040740000000001</v>
      </c>
      <c r="T5645">
        <v>-0.28364919999999999</v>
      </c>
      <c r="U5645">
        <v>9.2651369999999997E-2</v>
      </c>
      <c r="V5645">
        <v>9.9527160000000003E-3</v>
      </c>
      <c r="W5645">
        <v>1.736012E-2</v>
      </c>
      <c r="X5645">
        <v>0.99979980000000002</v>
      </c>
      <c r="Y5645">
        <v>-4.4756810000000001E-2</v>
      </c>
      <c r="Z5645">
        <v>3.445484E-3</v>
      </c>
      <c r="AA5645">
        <v>0.99899199999999999</v>
      </c>
      <c r="AB5645">
        <v>32</v>
      </c>
      <c r="AC5645">
        <v>11.5664</v>
      </c>
      <c r="AD5645">
        <v>-1.1102781404269999</v>
      </c>
      <c r="AE5645">
        <v>0.36520000000000102</v>
      </c>
      <c r="AF5645">
        <v>-0.52459359726347898</v>
      </c>
      <c r="AG5645">
        <v>-1.1102781404269999</v>
      </c>
      <c r="AH5645">
        <v>11.4546050005899</v>
      </c>
      <c r="AI5645">
        <v>95.530540474386797</v>
      </c>
      <c r="AJ5645">
        <v>92.622177842058406</v>
      </c>
      <c r="AK5645">
        <v>11.5202383530437</v>
      </c>
      <c r="AL5645">
        <v>89.005288459581806</v>
      </c>
      <c r="AM5645">
        <v>89.429656031021295</v>
      </c>
      <c r="AN5645">
        <v>1.00000003520111</v>
      </c>
    </row>
    <row r="5646" spans="1:40" x14ac:dyDescent="0.25">
      <c r="A5646" t="str">
        <f>"20190312154715496"</f>
        <v>20190312154715496</v>
      </c>
      <c r="B5646" t="str">
        <f>"1552376835493906"</f>
        <v>1552376835493906</v>
      </c>
      <c r="C5646" t="s">
        <v>40</v>
      </c>
      <c r="D5646">
        <v>4.973516</v>
      </c>
      <c r="E5646">
        <v>0.43628410000000001</v>
      </c>
      <c r="F5646" t="s">
        <v>71</v>
      </c>
      <c r="G5646">
        <v>-209.7559</v>
      </c>
      <c r="H5646" s="1">
        <v>-1.2729630000000001E-7</v>
      </c>
      <c r="I5646">
        <v>-60.38158</v>
      </c>
      <c r="J5646">
        <v>-221.7011</v>
      </c>
      <c r="K5646">
        <v>1.1102749999999999</v>
      </c>
      <c r="L5646">
        <v>-60.871189999999999</v>
      </c>
      <c r="M5646">
        <v>0.99979949999999995</v>
      </c>
      <c r="N5646">
        <v>0</v>
      </c>
      <c r="O5646">
        <v>-1.386825E-2</v>
      </c>
      <c r="P5646">
        <v>0.99970720000000002</v>
      </c>
      <c r="Q5646">
        <v>3.2224630000000001E-3</v>
      </c>
      <c r="R5646">
        <v>-2.3986199999999999E-2</v>
      </c>
      <c r="S5646">
        <v>3.0046080000000002</v>
      </c>
      <c r="T5646">
        <v>-0.2748893</v>
      </c>
      <c r="U5646">
        <v>0.12063599999999999</v>
      </c>
      <c r="V5646">
        <v>1.009723E-2</v>
      </c>
      <c r="W5646">
        <v>1.7679549999999999E-2</v>
      </c>
      <c r="X5646">
        <v>0.99979269999999998</v>
      </c>
      <c r="Y5646">
        <v>-5.3690920000000003E-2</v>
      </c>
      <c r="Z5646">
        <v>3.7158069999999998E-3</v>
      </c>
      <c r="AA5646">
        <v>0.99855070000000001</v>
      </c>
      <c r="AB5646">
        <v>32</v>
      </c>
      <c r="AC5646">
        <v>11.9452</v>
      </c>
      <c r="AD5646">
        <v>-1.1102751272962901</v>
      </c>
      <c r="AE5646">
        <v>0.48960999999999799</v>
      </c>
      <c r="AF5646">
        <v>-0.64963627286734704</v>
      </c>
      <c r="AG5646">
        <v>-1.1102751272962901</v>
      </c>
      <c r="AH5646">
        <v>11.8351850218338</v>
      </c>
      <c r="AI5646">
        <v>95.351302975603005</v>
      </c>
      <c r="AJ5646">
        <v>93.141826854217797</v>
      </c>
      <c r="AK5646">
        <v>11.9048873428671</v>
      </c>
      <c r="AL5646">
        <v>88.986983605658196</v>
      </c>
      <c r="AM5646">
        <v>89.421371054511198</v>
      </c>
      <c r="AN5646">
        <v>0.99999998175758198</v>
      </c>
    </row>
    <row r="5647" spans="1:40" x14ac:dyDescent="0.25">
      <c r="A5647" t="str">
        <f>"20190312154715509"</f>
        <v>20190312154715509</v>
      </c>
      <c r="B5647" t="str">
        <f>"1552376835503666"</f>
        <v>1552376835503666</v>
      </c>
      <c r="C5647" t="s">
        <v>40</v>
      </c>
      <c r="D5647">
        <v>5.0636320000000001</v>
      </c>
      <c r="E5647">
        <v>0.42809839999999999</v>
      </c>
      <c r="F5647" t="s">
        <v>71</v>
      </c>
      <c r="G5647">
        <v>-205.5386</v>
      </c>
      <c r="H5647" s="1">
        <v>-3.275368E-6</v>
      </c>
      <c r="I5647">
        <v>-58.505330000000001</v>
      </c>
      <c r="J5647">
        <v>-221.53059999999999</v>
      </c>
      <c r="K5647">
        <v>1.110274</v>
      </c>
      <c r="L5647">
        <v>-60.87323</v>
      </c>
      <c r="M5647">
        <v>0.99980369999999996</v>
      </c>
      <c r="N5647">
        <v>0</v>
      </c>
      <c r="O5647">
        <v>-1.357123E-2</v>
      </c>
      <c r="P5647">
        <v>0.99972589999999995</v>
      </c>
      <c r="Q5647">
        <v>3.258885E-3</v>
      </c>
      <c r="R5647">
        <v>-2.3194079999999999E-2</v>
      </c>
      <c r="S5647">
        <v>3.0121609999999999</v>
      </c>
      <c r="T5647">
        <v>-0.20691970000000001</v>
      </c>
      <c r="U5647">
        <v>0.44091799999999998</v>
      </c>
      <c r="V5647">
        <v>9.6018860000000004E-3</v>
      </c>
      <c r="W5647">
        <v>1.7713400000000001E-2</v>
      </c>
      <c r="X5647">
        <v>0.99979700000000005</v>
      </c>
      <c r="Y5647">
        <v>-0.15785629999999901</v>
      </c>
      <c r="Z5647">
        <v>6.3135229999999997E-3</v>
      </c>
      <c r="AA5647">
        <v>0.98744189999999998</v>
      </c>
      <c r="AB5647">
        <v>32</v>
      </c>
      <c r="AC5647">
        <v>15.9919999999999</v>
      </c>
      <c r="AD5647">
        <v>-1.1102772753679999</v>
      </c>
      <c r="AE5647">
        <v>2.3678999999999899</v>
      </c>
      <c r="AF5647">
        <v>-2.5726014112792401</v>
      </c>
      <c r="AG5647">
        <v>-1.1102772753679999</v>
      </c>
      <c r="AH5647">
        <v>15.8834706265599</v>
      </c>
      <c r="AI5647">
        <v>93.9472784175085</v>
      </c>
      <c r="AJ5647">
        <v>99.200142434901593</v>
      </c>
      <c r="AK5647">
        <v>16.128720742647499</v>
      </c>
      <c r="AL5647">
        <v>88.985043859242396</v>
      </c>
      <c r="AM5647">
        <v>89.449757670745498</v>
      </c>
      <c r="AN5647">
        <v>1.0000000009816501</v>
      </c>
    </row>
    <row r="5648" spans="1:40" x14ac:dyDescent="0.25">
      <c r="A5648" t="str">
        <f>"20190312154715520"</f>
        <v>20190312154715520</v>
      </c>
      <c r="B5648" t="str">
        <f>"1552376835513426"</f>
        <v>1552376835513426</v>
      </c>
      <c r="C5648" t="s">
        <v>40</v>
      </c>
      <c r="D5648">
        <v>5.0564819999999999</v>
      </c>
      <c r="E5648">
        <v>0.4194639</v>
      </c>
      <c r="F5648" t="s">
        <v>71</v>
      </c>
      <c r="G5648">
        <v>-207.42320000000001</v>
      </c>
      <c r="H5648" s="1">
        <v>-2.1132919999999999E-6</v>
      </c>
      <c r="I5648">
        <v>-58.4901699999999</v>
      </c>
      <c r="J5648">
        <v>-221.3707</v>
      </c>
      <c r="K5648">
        <v>1.110268</v>
      </c>
      <c r="L5648">
        <v>-60.875149999999998</v>
      </c>
      <c r="M5648">
        <v>0.99980740000000001</v>
      </c>
      <c r="N5648">
        <v>0</v>
      </c>
      <c r="O5648">
        <v>-1.329232E-2</v>
      </c>
      <c r="P5648">
        <v>0.99973330000000005</v>
      </c>
      <c r="Q5648">
        <v>3.4614480000000002E-3</v>
      </c>
      <c r="R5648">
        <v>-2.2838239999999999E-2</v>
      </c>
      <c r="S5648">
        <v>3.0134120000000002</v>
      </c>
      <c r="T5648">
        <v>-0.23716019999999999</v>
      </c>
      <c r="U5648">
        <v>0.50903319999999996</v>
      </c>
      <c r="V5648">
        <v>9.5248079999999992E-3</v>
      </c>
      <c r="W5648">
        <v>1.7913640000000002E-2</v>
      </c>
      <c r="X5648">
        <v>0.99979419999999997</v>
      </c>
      <c r="Y5648">
        <v>-0.1790774</v>
      </c>
      <c r="Z5648">
        <v>8.0242639999999997E-3</v>
      </c>
      <c r="AA5648">
        <v>0.98380230000000002</v>
      </c>
      <c r="AB5648">
        <v>32</v>
      </c>
      <c r="AC5648">
        <v>13.9474999999999</v>
      </c>
      <c r="AD5648">
        <v>-1.1102701132920001</v>
      </c>
      <c r="AE5648">
        <v>2.3849800000000001</v>
      </c>
      <c r="AF5648">
        <v>-2.5544561943758399</v>
      </c>
      <c r="AG5648">
        <v>-1.1102701132920001</v>
      </c>
      <c r="AH5648">
        <v>13.829418735509799</v>
      </c>
      <c r="AI5648">
        <v>94.5140083851757</v>
      </c>
      <c r="AJ5648">
        <v>100.465248584083</v>
      </c>
      <c r="AK5648">
        <v>14.107117662213099</v>
      </c>
      <c r="AL5648">
        <v>88.9735691628469</v>
      </c>
      <c r="AM5648">
        <v>89.454172878874203</v>
      </c>
      <c r="AN5648">
        <v>1.0000000314095601</v>
      </c>
    </row>
    <row r="5649" spans="1:40" x14ac:dyDescent="0.25">
      <c r="A5649" t="str">
        <f>"20190312154715530"</f>
        <v>20190312154715530</v>
      </c>
      <c r="B5649" t="str">
        <f>"1552376835524162"</f>
        <v>1552376835524162</v>
      </c>
      <c r="C5649" t="s">
        <v>40</v>
      </c>
      <c r="D5649">
        <v>5.0814069999999996</v>
      </c>
      <c r="E5649">
        <v>0.41215109999999999</v>
      </c>
      <c r="F5649" t="s">
        <v>71</v>
      </c>
      <c r="G5649">
        <v>-208.24619999999999</v>
      </c>
      <c r="H5649" s="1">
        <v>-1.6265100000000001E-6</v>
      </c>
      <c r="I5649">
        <v>-58.353560000000002</v>
      </c>
      <c r="J5649">
        <v>-221.22040000000001</v>
      </c>
      <c r="K5649">
        <v>1.1102669999999999</v>
      </c>
      <c r="L5649">
        <v>-60.876860000000001</v>
      </c>
      <c r="M5649">
        <v>0.99981089999999995</v>
      </c>
      <c r="N5649">
        <v>0</v>
      </c>
      <c r="O5649">
        <v>-1.302997E-2</v>
      </c>
      <c r="P5649">
        <v>0.99974110000000005</v>
      </c>
      <c r="Q5649">
        <v>3.3937590000000001E-3</v>
      </c>
      <c r="R5649">
        <v>-2.250591E-2</v>
      </c>
      <c r="S5649">
        <v>3.014923</v>
      </c>
      <c r="T5649">
        <v>-0.2550482</v>
      </c>
      <c r="U5649">
        <v>0.57925419999999905</v>
      </c>
      <c r="V5649">
        <v>9.4548930000000007E-3</v>
      </c>
      <c r="W5649">
        <v>1.7844510000000001E-2</v>
      </c>
      <c r="X5649">
        <v>0.99979609999999997</v>
      </c>
      <c r="Y5649">
        <v>-0.2007226</v>
      </c>
      <c r="Z5649">
        <v>9.4893749999999995E-3</v>
      </c>
      <c r="AA5649">
        <v>0.97960219999999998</v>
      </c>
      <c r="AB5649">
        <v>32</v>
      </c>
      <c r="AC5649">
        <v>12.9742</v>
      </c>
      <c r="AD5649">
        <v>-1.1102686265099999</v>
      </c>
      <c r="AE5649">
        <v>2.5232999999999999</v>
      </c>
      <c r="AF5649">
        <v>-2.67329350163382</v>
      </c>
      <c r="AG5649">
        <v>-1.1102686265099999</v>
      </c>
      <c r="AH5649">
        <v>12.8495474099758</v>
      </c>
      <c r="AI5649">
        <v>94.835362527563603</v>
      </c>
      <c r="AJ5649">
        <v>101.75249515882599</v>
      </c>
      <c r="AK5649">
        <v>13.171562671532399</v>
      </c>
      <c r="AL5649">
        <v>88.977530653330007</v>
      </c>
      <c r="AM5649">
        <v>89.458180206530997</v>
      </c>
      <c r="AN5649">
        <v>1.0000000315569899</v>
      </c>
    </row>
    <row r="5650" spans="1:40" x14ac:dyDescent="0.25">
      <c r="A5650" t="str">
        <f>"20190312154715542"</f>
        <v>20190312154715542</v>
      </c>
      <c r="B5650" t="str">
        <f>"1552376835533921"</f>
        <v>1552376835533921</v>
      </c>
      <c r="C5650" t="s">
        <v>40</v>
      </c>
      <c r="D5650">
        <v>5.1271300000000002</v>
      </c>
      <c r="E5650">
        <v>0.4070339</v>
      </c>
      <c r="F5650" t="s">
        <v>71</v>
      </c>
      <c r="G5650">
        <v>-209.13290000000001</v>
      </c>
      <c r="H5650" s="1">
        <v>-1.0728510000000001E-6</v>
      </c>
      <c r="I5650">
        <v>-58.31606</v>
      </c>
      <c r="J5650">
        <v>-221.05189999999999</v>
      </c>
      <c r="K5650">
        <v>1.110263</v>
      </c>
      <c r="L5650">
        <v>-60.878779999999999</v>
      </c>
      <c r="M5650">
        <v>0.9998148</v>
      </c>
      <c r="N5650">
        <v>0</v>
      </c>
      <c r="O5650">
        <v>-1.2735430000000001E-2</v>
      </c>
      <c r="P5650">
        <v>0.99975530000000001</v>
      </c>
      <c r="Q5650">
        <v>3.678794E-3</v>
      </c>
      <c r="R5650">
        <v>-2.1823100000000002E-2</v>
      </c>
      <c r="S5650">
        <v>3.0160830000000001</v>
      </c>
      <c r="T5650">
        <v>-0.27703620000000001</v>
      </c>
      <c r="U5650">
        <v>0.63897709999999996</v>
      </c>
      <c r="V5650">
        <v>9.0663540000000004E-3</v>
      </c>
      <c r="W5650">
        <v>1.8126750000000001E-2</v>
      </c>
      <c r="X5650">
        <v>0.99979459999999998</v>
      </c>
      <c r="Y5650">
        <v>-0.2187665</v>
      </c>
      <c r="Z5650">
        <v>1.107178E-2</v>
      </c>
      <c r="AA5650">
        <v>0.97571439999999998</v>
      </c>
      <c r="AB5650">
        <v>32</v>
      </c>
      <c r="AC5650">
        <v>11.918999999999899</v>
      </c>
      <c r="AD5650">
        <v>-1.110264072851</v>
      </c>
      <c r="AE5650">
        <v>2.5627200000000001</v>
      </c>
      <c r="AF5650">
        <v>-2.6919950448222201</v>
      </c>
      <c r="AG5650">
        <v>-1.110264072851</v>
      </c>
      <c r="AH5650">
        <v>11.787629939494799</v>
      </c>
      <c r="AI5650">
        <v>95.246460226329006</v>
      </c>
      <c r="AJ5650">
        <v>102.864282539074</v>
      </c>
      <c r="AK5650">
        <v>12.141982672664501</v>
      </c>
      <c r="AL5650">
        <v>88.961356854418298</v>
      </c>
      <c r="AM5650">
        <v>89.480443701607498</v>
      </c>
      <c r="AN5650">
        <v>1.0000000100147799</v>
      </c>
    </row>
    <row r="5651" spans="1:40" x14ac:dyDescent="0.25">
      <c r="A5651" t="str">
        <f>"20190312154715555"</f>
        <v>20190312154715555</v>
      </c>
      <c r="B5651" t="str">
        <f>"1552376835543684"</f>
        <v>1552376835543684</v>
      </c>
      <c r="C5651" t="s">
        <v>40</v>
      </c>
      <c r="D5651">
        <v>5.1217540000000001</v>
      </c>
      <c r="E5651">
        <v>0.40365440000000002</v>
      </c>
      <c r="F5651" t="s">
        <v>71</v>
      </c>
      <c r="G5651">
        <v>-209.1755</v>
      </c>
      <c r="H5651" s="1">
        <v>-1.078496E-6</v>
      </c>
      <c r="I5651">
        <v>-58.193269999999998</v>
      </c>
      <c r="J5651">
        <v>-220.875</v>
      </c>
      <c r="K5651">
        <v>1.110263</v>
      </c>
      <c r="L5651">
        <v>-60.880740000000003</v>
      </c>
      <c r="M5651">
        <v>0.9998186</v>
      </c>
      <c r="N5651">
        <v>0</v>
      </c>
      <c r="O5651">
        <v>-1.24254E-2</v>
      </c>
      <c r="P5651">
        <v>0.99976350000000003</v>
      </c>
      <c r="Q5651">
        <v>3.6824119999999999E-3</v>
      </c>
      <c r="R5651">
        <v>-2.1445229999999999E-2</v>
      </c>
      <c r="S5651">
        <v>3.0166469999999999</v>
      </c>
      <c r="T5651">
        <v>-0.2820106</v>
      </c>
      <c r="U5651">
        <v>0.68212890000000004</v>
      </c>
      <c r="V5651">
        <v>8.998397E-3</v>
      </c>
      <c r="W5651">
        <v>1.8128180000000001E-2</v>
      </c>
      <c r="X5651">
        <v>0.9997952</v>
      </c>
      <c r="Y5651">
        <v>-0.23164370000000001</v>
      </c>
      <c r="Z5651">
        <v>1.181539E-2</v>
      </c>
      <c r="AA5651">
        <v>0.97272899999999995</v>
      </c>
      <c r="AB5651">
        <v>32</v>
      </c>
      <c r="AC5651">
        <v>11.6995</v>
      </c>
      <c r="AD5651">
        <v>-1.1102640784960001</v>
      </c>
      <c r="AE5651">
        <v>2.6874699999999998</v>
      </c>
      <c r="AF5651">
        <v>-2.8086227077981101</v>
      </c>
      <c r="AG5651">
        <v>-1.1102640784960001</v>
      </c>
      <c r="AH5651">
        <v>11.5662586225263</v>
      </c>
      <c r="AI5651">
        <v>95.329176606007593</v>
      </c>
      <c r="AJ5651">
        <v>103.648895026636</v>
      </c>
      <c r="AK5651">
        <v>11.954053135314499</v>
      </c>
      <c r="AL5651">
        <v>88.9612749204409</v>
      </c>
      <c r="AM5651">
        <v>89.484338142429607</v>
      </c>
      <c r="AN5651">
        <v>1.00000002200086</v>
      </c>
    </row>
    <row r="5652" spans="1:40" x14ac:dyDescent="0.25">
      <c r="A5652" t="str">
        <f>"20190312154715568"</f>
        <v>20190312154715568</v>
      </c>
      <c r="B5652" t="str">
        <f>"1552376835564178"</f>
        <v>1552376835564178</v>
      </c>
      <c r="C5652" t="s">
        <v>40</v>
      </c>
      <c r="D5652">
        <v>5.0872109999999999</v>
      </c>
      <c r="E5652">
        <v>0.39862170000000002</v>
      </c>
      <c r="F5652" t="s">
        <v>71</v>
      </c>
      <c r="G5652">
        <v>-209.2296</v>
      </c>
      <c r="H5652" s="1">
        <v>-1.0584450000000001E-6</v>
      </c>
      <c r="I5652">
        <v>-58.139189999999999</v>
      </c>
      <c r="J5652">
        <v>-220.696</v>
      </c>
      <c r="K5652">
        <v>1.11026</v>
      </c>
      <c r="L5652">
        <v>-60.882629999999999</v>
      </c>
      <c r="M5652">
        <v>0.99982260000000001</v>
      </c>
      <c r="N5652">
        <v>0</v>
      </c>
      <c r="O5652">
        <v>-1.211167E-2</v>
      </c>
      <c r="P5652">
        <v>0.99977579999999999</v>
      </c>
      <c r="Q5652">
        <v>3.477927E-3</v>
      </c>
      <c r="R5652">
        <v>-2.0895940000000002E-2</v>
      </c>
      <c r="S5652">
        <v>3.017029</v>
      </c>
      <c r="T5652">
        <v>-0.28764200000000001</v>
      </c>
      <c r="U5652">
        <v>0.71026610000000001</v>
      </c>
      <c r="V5652">
        <v>8.7632319999999993E-3</v>
      </c>
      <c r="W5652">
        <v>1.792175E-2</v>
      </c>
      <c r="X5652">
        <v>0.99980100000000005</v>
      </c>
      <c r="Y5652">
        <v>-0.239845</v>
      </c>
      <c r="Z5652">
        <v>1.2391839999999999E-2</v>
      </c>
      <c r="AA5652">
        <v>0.97073209999999999</v>
      </c>
      <c r="AB5652">
        <v>32</v>
      </c>
      <c r="AC5652">
        <v>11.466399999999901</v>
      </c>
      <c r="AD5652">
        <v>-1.1102610584449999</v>
      </c>
      <c r="AE5652">
        <v>2.7434400000000001</v>
      </c>
      <c r="AF5652">
        <v>-2.8567966662106299</v>
      </c>
      <c r="AG5652">
        <v>-1.1102610584449999</v>
      </c>
      <c r="AH5652">
        <v>11.3318381510681</v>
      </c>
      <c r="AI5652">
        <v>95.427072317603205</v>
      </c>
      <c r="AJ5652">
        <v>104.14962225273599</v>
      </c>
      <c r="AK5652">
        <v>11.739017109280301</v>
      </c>
      <c r="AL5652">
        <v>88.973104399014005</v>
      </c>
      <c r="AM5652">
        <v>89.497816714254498</v>
      </c>
      <c r="AN5652">
        <v>1.00000001147957</v>
      </c>
    </row>
    <row r="5653" spans="1:40" x14ac:dyDescent="0.25">
      <c r="A5653" t="str">
        <f>"20190312154715581"</f>
        <v>20190312154715581</v>
      </c>
      <c r="B5653" t="str">
        <f>"1552376835573939"</f>
        <v>1552376835573939</v>
      </c>
      <c r="C5653" t="s">
        <v>40</v>
      </c>
      <c r="D5653">
        <v>5.0884710000000002</v>
      </c>
      <c r="E5653">
        <v>0.39690950000000003</v>
      </c>
      <c r="F5653" t="s">
        <v>71</v>
      </c>
      <c r="G5653">
        <v>-209.55240000000001</v>
      </c>
      <c r="H5653" s="1">
        <v>-8.6261709999999904E-7</v>
      </c>
      <c r="I5653">
        <v>-58.104179999999999</v>
      </c>
      <c r="J5653">
        <v>-220.48650000000001</v>
      </c>
      <c r="K5653">
        <v>1.1102559999999999</v>
      </c>
      <c r="L5653">
        <v>-60.884799999999998</v>
      </c>
      <c r="M5653">
        <v>0.99982689999999996</v>
      </c>
      <c r="N5653">
        <v>0</v>
      </c>
      <c r="O5653">
        <v>-1.1744050000000001E-2</v>
      </c>
      <c r="P5653">
        <v>0.99979989999999996</v>
      </c>
      <c r="Q5653">
        <v>2.5762739999999999E-3</v>
      </c>
      <c r="R5653">
        <v>-1.9840259999999998E-2</v>
      </c>
      <c r="S5653">
        <v>3.0174560000000001</v>
      </c>
      <c r="T5653">
        <v>-0.30063649999999997</v>
      </c>
      <c r="U5653">
        <v>0.75234990000000002</v>
      </c>
      <c r="V5653">
        <v>8.076214E-3</v>
      </c>
      <c r="W5653">
        <v>1.7016839999999998E-2</v>
      </c>
      <c r="X5653">
        <v>0.99982260000000001</v>
      </c>
      <c r="Y5653">
        <v>-0.25207489999999999</v>
      </c>
      <c r="Z5653">
        <v>1.348914E-2</v>
      </c>
      <c r="AA5653">
        <v>0.96761370000000002</v>
      </c>
      <c r="AB5653">
        <v>32</v>
      </c>
      <c r="AC5653">
        <v>10.934100000000001</v>
      </c>
      <c r="AD5653">
        <v>-1.1102568626171001</v>
      </c>
      <c r="AE5653">
        <v>2.7806199999999901</v>
      </c>
      <c r="AF5653">
        <v>-2.88095239091396</v>
      </c>
      <c r="AG5653">
        <v>-1.1102568626171001</v>
      </c>
      <c r="AH5653">
        <v>10.796134428764899</v>
      </c>
      <c r="AI5653">
        <v>95.674368586699202</v>
      </c>
      <c r="AJ5653">
        <v>104.941242994487</v>
      </c>
      <c r="AK5653">
        <v>11.2289392011741</v>
      </c>
      <c r="AL5653">
        <v>89.024959840369206</v>
      </c>
      <c r="AM5653">
        <v>89.537194985544403</v>
      </c>
      <c r="AN5653">
        <v>1.00000001477345</v>
      </c>
    </row>
    <row r="5654" spans="1:40" x14ac:dyDescent="0.25">
      <c r="A5654" t="str">
        <f>"20190312154715597"</f>
        <v>20190312154715597</v>
      </c>
      <c r="B5654" t="str">
        <f>"1552376835593458"</f>
        <v>1552376835593458</v>
      </c>
      <c r="C5654" t="s">
        <v>40</v>
      </c>
      <c r="D5654">
        <v>5.0105149999999998</v>
      </c>
      <c r="E5654">
        <v>0.3942638</v>
      </c>
      <c r="F5654" t="s">
        <v>71</v>
      </c>
      <c r="G5654">
        <v>-209.59639999999999</v>
      </c>
      <c r="H5654" s="1">
        <v>-8.3343310000000004E-7</v>
      </c>
      <c r="I5654">
        <v>-58.108669999999996</v>
      </c>
      <c r="J5654">
        <v>-220.27809999999999</v>
      </c>
      <c r="K5654">
        <v>1.1102540000000001</v>
      </c>
      <c r="L5654">
        <v>-60.886839999999999</v>
      </c>
      <c r="M5654">
        <v>0.99983120000000003</v>
      </c>
      <c r="N5654">
        <v>0</v>
      </c>
      <c r="O5654">
        <v>-1.1377989999999999E-2</v>
      </c>
      <c r="P5654">
        <v>0.99981390000000003</v>
      </c>
      <c r="Q5654">
        <v>2.1481019999999998E-3</v>
      </c>
      <c r="R5654">
        <v>-1.917046E-2</v>
      </c>
      <c r="S5654">
        <v>3.0166469999999999</v>
      </c>
      <c r="T5654">
        <v>-0.3075505</v>
      </c>
      <c r="U5654">
        <v>0.76901249999999999</v>
      </c>
      <c r="V5654">
        <v>7.7730999999999998E-3</v>
      </c>
      <c r="W5654">
        <v>1.6586320000000002E-2</v>
      </c>
      <c r="X5654">
        <v>0.99983219999999995</v>
      </c>
      <c r="Y5654">
        <v>-0.25672719999999999</v>
      </c>
      <c r="Z5654">
        <v>1.3988499999999999E-2</v>
      </c>
      <c r="AA5654">
        <v>0.96638270000000004</v>
      </c>
      <c r="AB5654">
        <v>32</v>
      </c>
      <c r="AC5654">
        <v>10.681699999999999</v>
      </c>
      <c r="AD5654">
        <v>-1.1102548334330999</v>
      </c>
      <c r="AE5654">
        <v>2.7781699999999998</v>
      </c>
      <c r="AF5654">
        <v>-2.8704925346908299</v>
      </c>
      <c r="AG5654">
        <v>-1.1102548334330999</v>
      </c>
      <c r="AH5654">
        <v>10.542713404759899</v>
      </c>
      <c r="AI5654">
        <v>95.801976562729607</v>
      </c>
      <c r="AJ5654">
        <v>105.23087135324801</v>
      </c>
      <c r="AK5654">
        <v>10.9827682813479</v>
      </c>
      <c r="AL5654">
        <v>89.049630266280303</v>
      </c>
      <c r="AM5654">
        <v>89.554568405359404</v>
      </c>
      <c r="AN5654">
        <v>0.99999997762579496</v>
      </c>
    </row>
    <row r="5655" spans="1:40" x14ac:dyDescent="0.25">
      <c r="A5655" t="str">
        <f>"20190312154715611"</f>
        <v>20190312154715611</v>
      </c>
      <c r="B5655" t="str">
        <f>"1552376835604194"</f>
        <v>1552376835604194</v>
      </c>
      <c r="C5655" t="s">
        <v>40</v>
      </c>
      <c r="D5655">
        <v>6.484254</v>
      </c>
      <c r="E5655">
        <v>0.39333469999999998</v>
      </c>
      <c r="F5655" t="s">
        <v>71</v>
      </c>
      <c r="G5655">
        <v>-209.49029999999999</v>
      </c>
      <c r="H5655" s="1">
        <v>-9.1545449999999997E-7</v>
      </c>
      <c r="I5655">
        <v>-58.05386</v>
      </c>
      <c r="J5655">
        <v>-220.07419999999999</v>
      </c>
      <c r="K5655">
        <v>1.1102540000000001</v>
      </c>
      <c r="L5655">
        <v>-60.888820000000003</v>
      </c>
      <c r="M5655">
        <v>0.99983540000000004</v>
      </c>
      <c r="N5655">
        <v>0</v>
      </c>
      <c r="O5655">
        <v>-1.1017030000000001E-2</v>
      </c>
      <c r="P5655">
        <v>0.99982740000000003</v>
      </c>
      <c r="Q5655">
        <v>1.879145E-3</v>
      </c>
      <c r="R5655">
        <v>-1.849642E-2</v>
      </c>
      <c r="S5655">
        <v>3.0164339999999998</v>
      </c>
      <c r="T5655">
        <v>-0.31044379999999999</v>
      </c>
      <c r="U5655">
        <v>0.79214479999999998</v>
      </c>
      <c r="V5655">
        <v>7.4599899999999997E-3</v>
      </c>
      <c r="W5655">
        <v>1.6315039999999999E-2</v>
      </c>
      <c r="X5655">
        <v>0.99983909999999998</v>
      </c>
      <c r="Y5655">
        <v>-0.26328220000000002</v>
      </c>
      <c r="Z5655">
        <v>1.4401570000000001E-2</v>
      </c>
      <c r="AA5655">
        <v>0.96461140000000001</v>
      </c>
      <c r="AB5655">
        <v>32</v>
      </c>
      <c r="AC5655">
        <v>10.5839</v>
      </c>
      <c r="AD5655">
        <v>-1.1102549154545001</v>
      </c>
      <c r="AE5655">
        <v>2.8349599999999899</v>
      </c>
      <c r="AF5655">
        <v>-2.9214078217297201</v>
      </c>
      <c r="AG5655">
        <v>-1.1102549154545001</v>
      </c>
      <c r="AH5655">
        <v>10.4447803965007</v>
      </c>
      <c r="AI5655">
        <v>95.844934799218706</v>
      </c>
      <c r="AJ5655">
        <v>105.6263200727</v>
      </c>
      <c r="AK5655">
        <v>10.902326686046401</v>
      </c>
      <c r="AL5655">
        <v>89.065175617326602</v>
      </c>
      <c r="AM5655">
        <v>89.572513206410207</v>
      </c>
      <c r="AN5655">
        <v>1.0000000289349</v>
      </c>
    </row>
    <row r="5656" spans="1:40" x14ac:dyDescent="0.25">
      <c r="A5656" t="str">
        <f>"20190312154715627"</f>
        <v>20190312154715627</v>
      </c>
      <c r="B5656" t="str">
        <f>"1552376835623714"</f>
        <v>1552376835623714</v>
      </c>
      <c r="C5656" t="s">
        <v>40</v>
      </c>
      <c r="D5656">
        <v>5.1963990000000004</v>
      </c>
      <c r="E5656">
        <v>0.39160790000000001</v>
      </c>
      <c r="F5656" t="s">
        <v>71</v>
      </c>
      <c r="G5656">
        <v>-209.1653</v>
      </c>
      <c r="H5656" s="1">
        <v>-1.1389940000000001E-6</v>
      </c>
      <c r="I5656">
        <v>-57.990119999999997</v>
      </c>
      <c r="J5656">
        <v>-219.84809999999999</v>
      </c>
      <c r="K5656">
        <v>1.110252</v>
      </c>
      <c r="L5656">
        <v>-60.8908699999999</v>
      </c>
      <c r="M5656">
        <v>0.9998397</v>
      </c>
      <c r="N5656">
        <v>0</v>
      </c>
      <c r="O5656">
        <v>-1.061313E-2</v>
      </c>
      <c r="P5656">
        <v>0.9998418</v>
      </c>
      <c r="Q5656">
        <v>1.4377229999999999E-3</v>
      </c>
      <c r="R5656">
        <v>-1.774469E-2</v>
      </c>
      <c r="S5656">
        <v>3.0159150000000001</v>
      </c>
      <c r="T5656">
        <v>-0.30694680000000002</v>
      </c>
      <c r="U5656">
        <v>0.80139159999999998</v>
      </c>
      <c r="V5656">
        <v>7.112475E-3</v>
      </c>
      <c r="W5656">
        <v>1.5871159999999999E-2</v>
      </c>
      <c r="X5656">
        <v>0.99984870000000003</v>
      </c>
      <c r="Y5656">
        <v>-0.26571840000000002</v>
      </c>
      <c r="Z5656">
        <v>1.4318279999999999E-2</v>
      </c>
      <c r="AA5656">
        <v>0.96394440000000003</v>
      </c>
      <c r="AB5656">
        <v>32</v>
      </c>
      <c r="AC5656">
        <v>10.682799999999901</v>
      </c>
      <c r="AD5656">
        <v>-1.110253138994</v>
      </c>
      <c r="AE5656">
        <v>2.9007499999999902</v>
      </c>
      <c r="AF5656">
        <v>-2.98395905928222</v>
      </c>
      <c r="AG5656">
        <v>-1.110253138994</v>
      </c>
      <c r="AH5656">
        <v>10.5453277791734</v>
      </c>
      <c r="AI5656">
        <v>95.784683701098999</v>
      </c>
      <c r="AJ5656">
        <v>105.799658328147</v>
      </c>
      <c r="AK5656">
        <v>11.0154714683632</v>
      </c>
      <c r="AL5656">
        <v>89.0906112913881</v>
      </c>
      <c r="AM5656">
        <v>89.592430408890905</v>
      </c>
      <c r="AN5656">
        <v>0.99999995195602898</v>
      </c>
    </row>
    <row r="5657" spans="1:40" x14ac:dyDescent="0.25">
      <c r="A5657" t="str">
        <f>"20190312154715639"</f>
        <v>20190312154715639</v>
      </c>
      <c r="B5657" t="str">
        <f>"1552376835633474"</f>
        <v>1552376835633474</v>
      </c>
      <c r="C5657" t="s">
        <v>40</v>
      </c>
      <c r="D5657">
        <v>5.0429329999999997</v>
      </c>
      <c r="E5657">
        <v>0.39100020000000002</v>
      </c>
      <c r="F5657" t="s">
        <v>71</v>
      </c>
      <c r="G5657">
        <v>-208.8486</v>
      </c>
      <c r="H5657" s="1">
        <v>-1.36173E-6</v>
      </c>
      <c r="I5657">
        <v>-57.909599999999998</v>
      </c>
      <c r="J5657">
        <v>-219.66460000000001</v>
      </c>
      <c r="K5657">
        <v>1.110255</v>
      </c>
      <c r="L5657">
        <v>-60.892519999999998</v>
      </c>
      <c r="M5657">
        <v>0.99984320000000004</v>
      </c>
      <c r="N5657">
        <v>0</v>
      </c>
      <c r="O5657">
        <v>-1.028037E-2</v>
      </c>
      <c r="P5657">
        <v>0.99985369999999996</v>
      </c>
      <c r="Q5657">
        <v>1.653952E-3</v>
      </c>
      <c r="R5657">
        <v>-1.7029019999999999E-2</v>
      </c>
      <c r="S5657">
        <v>3.0154109999999998</v>
      </c>
      <c r="T5657">
        <v>-0.30436619999999998</v>
      </c>
      <c r="U5657">
        <v>0.81729130000000005</v>
      </c>
      <c r="V5657">
        <v>6.7292439999999997E-3</v>
      </c>
      <c r="W5657">
        <v>1.608476E-2</v>
      </c>
      <c r="X5657">
        <v>0.99984799999999996</v>
      </c>
      <c r="Y5657">
        <v>-0.27018049999999999</v>
      </c>
      <c r="Z5657">
        <v>1.4379039999999999E-2</v>
      </c>
      <c r="AA5657">
        <v>0.96270230000000001</v>
      </c>
      <c r="AB5657">
        <v>32</v>
      </c>
      <c r="AC5657">
        <v>10.816000000000001</v>
      </c>
      <c r="AD5657">
        <v>-1.1102563617299901</v>
      </c>
      <c r="AE5657">
        <v>2.98292</v>
      </c>
      <c r="AF5657">
        <v>-3.0639636490591302</v>
      </c>
      <c r="AG5657">
        <v>-1.1102563617299901</v>
      </c>
      <c r="AH5657">
        <v>10.680177920487401</v>
      </c>
      <c r="AI5657">
        <v>95.706291491072804</v>
      </c>
      <c r="AJ5657">
        <v>106.007296140533</v>
      </c>
      <c r="AK5657">
        <v>11.166321813595699</v>
      </c>
      <c r="AL5657">
        <v>89.078371405731104</v>
      </c>
      <c r="AM5657">
        <v>89.614389928061399</v>
      </c>
      <c r="AN5657">
        <v>1.00000001266653</v>
      </c>
    </row>
    <row r="5658" spans="1:40" x14ac:dyDescent="0.25">
      <c r="A5658" t="str">
        <f>"20190312154715650"</f>
        <v>20190312154715650</v>
      </c>
      <c r="B5658" t="str">
        <f>"1552376835644211"</f>
        <v>1552376835644211</v>
      </c>
      <c r="C5658" t="s">
        <v>40</v>
      </c>
      <c r="D5658">
        <v>5.0774790000000003</v>
      </c>
      <c r="E5658">
        <v>0.39043060000000002</v>
      </c>
      <c r="F5658" t="s">
        <v>71</v>
      </c>
      <c r="G5658">
        <v>-208.5908</v>
      </c>
      <c r="H5658" s="1">
        <v>-1.5374230000000001E-6</v>
      </c>
      <c r="I5658">
        <v>-57.865229999999997</v>
      </c>
      <c r="J5658">
        <v>-219.51949999999999</v>
      </c>
      <c r="K5658">
        <v>1.110263</v>
      </c>
      <c r="L5658">
        <v>-60.893740000000001</v>
      </c>
      <c r="M5658">
        <v>0.99984589999999995</v>
      </c>
      <c r="N5658">
        <v>0</v>
      </c>
      <c r="O5658">
        <v>-1.0012689999999999E-2</v>
      </c>
      <c r="P5658">
        <v>0.99986540000000002</v>
      </c>
      <c r="Q5658">
        <v>1.6120469999999999E-3</v>
      </c>
      <c r="R5658">
        <v>-1.6342160000000001E-2</v>
      </c>
      <c r="S5658">
        <v>3.014999</v>
      </c>
      <c r="T5658">
        <v>-0.30228129999999998</v>
      </c>
      <c r="U5658">
        <v>0.82421880000000003</v>
      </c>
      <c r="V5658">
        <v>6.3099339999999997E-3</v>
      </c>
      <c r="W5658">
        <v>1.6041369999999999E-2</v>
      </c>
      <c r="X5658">
        <v>0.99985139999999995</v>
      </c>
      <c r="Y5658">
        <v>-0.2720262</v>
      </c>
      <c r="Z5658">
        <v>1.434302E-2</v>
      </c>
      <c r="AA5658">
        <v>0.96218289999999995</v>
      </c>
      <c r="AB5658">
        <v>32</v>
      </c>
      <c r="AC5658">
        <v>10.9286999999999</v>
      </c>
      <c r="AD5658">
        <v>-1.110264537423</v>
      </c>
      <c r="AE5658">
        <v>3.02850999999999</v>
      </c>
      <c r="AF5658">
        <v>-3.1080055583323198</v>
      </c>
      <c r="AG5658">
        <v>-1.110264537423</v>
      </c>
      <c r="AH5658">
        <v>10.7943633855295</v>
      </c>
      <c r="AI5658">
        <v>95.644805701893006</v>
      </c>
      <c r="AJ5658">
        <v>106.0626210148</v>
      </c>
      <c r="AK5658">
        <v>11.2876333565785</v>
      </c>
      <c r="AL5658">
        <v>89.080857761669904</v>
      </c>
      <c r="AM5658">
        <v>89.638418481263997</v>
      </c>
      <c r="AN5658">
        <v>0.99999998145026003</v>
      </c>
    </row>
    <row r="5659" spans="1:40" x14ac:dyDescent="0.25">
      <c r="A5659" t="str">
        <f>"20190312154715661"</f>
        <v>20190312154715661</v>
      </c>
      <c r="B5659" t="str">
        <f>"1552376835653970"</f>
        <v>1552376835653970</v>
      </c>
      <c r="C5659" t="s">
        <v>40</v>
      </c>
      <c r="D5659">
        <v>5.045223</v>
      </c>
      <c r="E5659">
        <v>0.38987080000000002</v>
      </c>
      <c r="F5659" t="s">
        <v>71</v>
      </c>
      <c r="G5659">
        <v>-208.3809</v>
      </c>
      <c r="H5659" s="1">
        <v>-1.6817079999999999E-6</v>
      </c>
      <c r="I5659">
        <v>-57.824300000000001</v>
      </c>
      <c r="J5659">
        <v>-219.35550000000001</v>
      </c>
      <c r="K5659">
        <v>1.1102700000000001</v>
      </c>
      <c r="L5659">
        <v>-60.89508</v>
      </c>
      <c r="M5659">
        <v>0.99984899999999999</v>
      </c>
      <c r="N5659">
        <v>0</v>
      </c>
      <c r="O5659">
        <v>-9.7070699999999999E-3</v>
      </c>
      <c r="P5659">
        <v>0.99987239999999999</v>
      </c>
      <c r="Q5659">
        <v>1.591872E-3</v>
      </c>
      <c r="R5659">
        <v>-1.5901149999999999E-2</v>
      </c>
      <c r="S5659">
        <v>3.0144500000000001</v>
      </c>
      <c r="T5659">
        <v>-0.30047289999999999</v>
      </c>
      <c r="U5659">
        <v>0.83068850000000005</v>
      </c>
      <c r="V5659">
        <v>6.1743409999999999E-3</v>
      </c>
      <c r="W5659">
        <v>1.6019439999999999E-2</v>
      </c>
      <c r="X5659">
        <v>0.99985259999999998</v>
      </c>
      <c r="Y5659">
        <v>-0.27370650000000002</v>
      </c>
      <c r="Z5659">
        <v>1.4308319999999999E-2</v>
      </c>
      <c r="AA5659">
        <v>0.96170679999999997</v>
      </c>
      <c r="AB5659">
        <v>32</v>
      </c>
      <c r="AC5659">
        <v>10.974600000000001</v>
      </c>
      <c r="AD5659">
        <v>-1.1102716817080001</v>
      </c>
      <c r="AE5659">
        <v>3.0707800000000001</v>
      </c>
      <c r="AF5659">
        <v>-3.14730426343856</v>
      </c>
      <c r="AG5659">
        <v>-1.1102716817080001</v>
      </c>
      <c r="AH5659">
        <v>10.8413683084902</v>
      </c>
      <c r="AI5659">
        <v>95.616984516250994</v>
      </c>
      <c r="AJ5659">
        <v>106.188281336139</v>
      </c>
      <c r="AK5659">
        <v>11.343433965699999</v>
      </c>
      <c r="AL5659">
        <v>89.082114421343306</v>
      </c>
      <c r="AM5659">
        <v>89.646188664307601</v>
      </c>
      <c r="AN5659">
        <v>0.99999998333572804</v>
      </c>
    </row>
    <row r="5660" spans="1:40" x14ac:dyDescent="0.25">
      <c r="A5660" t="str">
        <f>"20190312154715674"</f>
        <v>20190312154715674</v>
      </c>
      <c r="B5660" t="str">
        <f>"1552376835663731"</f>
        <v>1552376835663731</v>
      </c>
      <c r="C5660" t="s">
        <v>40</v>
      </c>
      <c r="D5660">
        <v>5.0418729999999998</v>
      </c>
      <c r="E5660">
        <v>0.3893296</v>
      </c>
      <c r="F5660" t="s">
        <v>71</v>
      </c>
      <c r="G5660">
        <v>-208.19649999999999</v>
      </c>
      <c r="H5660" s="1">
        <v>-1.8057600000000001E-6</v>
      </c>
      <c r="I5660">
        <v>-57.798479999999998</v>
      </c>
      <c r="J5660">
        <v>-219.17580000000001</v>
      </c>
      <c r="K5660">
        <v>1.1102829999999999</v>
      </c>
      <c r="L5660">
        <v>-60.896450000000002</v>
      </c>
      <c r="M5660">
        <v>0.99985239999999997</v>
      </c>
      <c r="N5660">
        <v>0</v>
      </c>
      <c r="O5660">
        <v>-9.3566650000000001E-3</v>
      </c>
      <c r="P5660">
        <v>0.99988460000000001</v>
      </c>
      <c r="Q5660">
        <v>1.42324799999999E-3</v>
      </c>
      <c r="R5660">
        <v>-1.5131220000000001E-2</v>
      </c>
      <c r="S5660">
        <v>3.01416</v>
      </c>
      <c r="T5660">
        <v>-0.29989739999999998</v>
      </c>
      <c r="U5660">
        <v>0.8364258</v>
      </c>
      <c r="V5660">
        <v>5.7545799999999996E-3</v>
      </c>
      <c r="W5660">
        <v>1.5848279999999999E-2</v>
      </c>
      <c r="X5660">
        <v>0.99985780000000002</v>
      </c>
      <c r="Y5660">
        <v>-0.27509430000000001</v>
      </c>
      <c r="Z5660">
        <v>1.431228E-2</v>
      </c>
      <c r="AA5660">
        <v>0.96131069999999996</v>
      </c>
      <c r="AB5660">
        <v>32</v>
      </c>
      <c r="AC5660">
        <v>10.9793</v>
      </c>
      <c r="AD5660">
        <v>-1.1102848057600001</v>
      </c>
      <c r="AE5660">
        <v>3.0979699999999899</v>
      </c>
      <c r="AF5660">
        <v>-3.1705427149714902</v>
      </c>
      <c r="AG5660">
        <v>-1.1102848057600001</v>
      </c>
      <c r="AH5660">
        <v>10.847084103490999</v>
      </c>
      <c r="AI5660">
        <v>95.611130522155506</v>
      </c>
      <c r="AJ5660">
        <v>106.29334958429401</v>
      </c>
      <c r="AK5660">
        <v>11.355364679549799</v>
      </c>
      <c r="AL5660">
        <v>89.091922383549999</v>
      </c>
      <c r="AM5660">
        <v>89.670243602237406</v>
      </c>
      <c r="AN5660">
        <v>0.99999995169538602</v>
      </c>
    </row>
    <row r="5661" spans="1:40" x14ac:dyDescent="0.25">
      <c r="A5661" t="str">
        <f>"20190312154715687"</f>
        <v>20190312154715687</v>
      </c>
      <c r="B5661" t="str">
        <f>"1552376835683251"</f>
        <v>1552376835683251</v>
      </c>
      <c r="C5661" t="s">
        <v>40</v>
      </c>
      <c r="D5661">
        <v>4.863861</v>
      </c>
      <c r="E5661">
        <v>0.38808969999999998</v>
      </c>
      <c r="F5661" t="s">
        <v>71</v>
      </c>
      <c r="G5661">
        <v>-208.21600000000001</v>
      </c>
      <c r="H5661" s="1">
        <v>-1.785012E-6</v>
      </c>
      <c r="I5661">
        <v>-57.829970000000003</v>
      </c>
      <c r="J5661">
        <v>-218.99629999999999</v>
      </c>
      <c r="K5661">
        <v>1.1102989999999999</v>
      </c>
      <c r="L5661">
        <v>-60.897799999999997</v>
      </c>
      <c r="M5661">
        <v>0.99985559999999996</v>
      </c>
      <c r="N5661">
        <v>0</v>
      </c>
      <c r="O5661">
        <v>-8.9967999999999992E-3</v>
      </c>
      <c r="P5661">
        <v>0.9998937</v>
      </c>
      <c r="Q5661">
        <v>1.274397E-3</v>
      </c>
      <c r="R5661">
        <v>-1.45354E-2</v>
      </c>
      <c r="S5661">
        <v>3.01355</v>
      </c>
      <c r="T5661">
        <v>-0.30528749999999999</v>
      </c>
      <c r="U5661">
        <v>0.84317019999999998</v>
      </c>
      <c r="V5661">
        <v>5.5184659999999996E-3</v>
      </c>
      <c r="W5661">
        <v>1.5697619999999999E-2</v>
      </c>
      <c r="X5661">
        <v>0.99986149999999996</v>
      </c>
      <c r="Y5661">
        <v>-0.27674169999999998</v>
      </c>
      <c r="Z5661">
        <v>1.461282E-2</v>
      </c>
      <c r="AA5661">
        <v>0.9608333</v>
      </c>
      <c r="AB5661">
        <v>32</v>
      </c>
      <c r="AC5661">
        <v>10.7803</v>
      </c>
      <c r="AD5661">
        <v>-1.1103007850119999</v>
      </c>
      <c r="AE5661">
        <v>3.0678299999999998</v>
      </c>
      <c r="AF5661">
        <v>-3.1339507501845199</v>
      </c>
      <c r="AG5661">
        <v>-1.1103007850119999</v>
      </c>
      <c r="AH5661">
        <v>10.647773864526</v>
      </c>
      <c r="AI5661">
        <v>95.712435814604106</v>
      </c>
      <c r="AJ5661">
        <v>106.400695665653</v>
      </c>
      <c r="AK5661">
        <v>11.1547973270635</v>
      </c>
      <c r="AL5661">
        <v>89.100555633143202</v>
      </c>
      <c r="AM5661">
        <v>89.6837746020677</v>
      </c>
      <c r="AN5661">
        <v>0.99999994396145198</v>
      </c>
    </row>
    <row r="5662" spans="1:40" x14ac:dyDescent="0.25">
      <c r="A5662" t="str">
        <f>"20190312154715805"</f>
        <v>20190312154715805</v>
      </c>
      <c r="B5662" t="str">
        <f>"1552376835793538"</f>
        <v>1552376835793538</v>
      </c>
      <c r="C5662" t="s">
        <v>40</v>
      </c>
      <c r="D5662">
        <v>4.2084260000000002</v>
      </c>
      <c r="E5662">
        <v>0.4169023</v>
      </c>
      <c r="F5662" t="s">
        <v>71</v>
      </c>
      <c r="G5662">
        <v>-207.83779999999999</v>
      </c>
      <c r="H5662" s="1">
        <v>-2.05128E-6</v>
      </c>
      <c r="I5662">
        <v>-57.732680000000002</v>
      </c>
      <c r="J5662">
        <v>-217.32419999999999</v>
      </c>
      <c r="K5662">
        <v>1.1106590000000001</v>
      </c>
      <c r="L5662">
        <v>-60.905329999999999</v>
      </c>
      <c r="M5662">
        <v>0.99988679999999996</v>
      </c>
      <c r="N5662">
        <v>0</v>
      </c>
      <c r="O5662">
        <v>-4.3898139999999997E-3</v>
      </c>
      <c r="P5662">
        <v>0.99999289999999996</v>
      </c>
      <c r="Q5662">
        <v>1.751718E-3</v>
      </c>
      <c r="R5662">
        <v>-3.3619460000000002E-3</v>
      </c>
      <c r="S5662">
        <v>3.0131230000000002</v>
      </c>
      <c r="T5662">
        <v>-0.29981360000000001</v>
      </c>
      <c r="U5662">
        <v>0.85467530000000003</v>
      </c>
      <c r="V5662">
        <v>-1.0625560000000001E-3</v>
      </c>
      <c r="W5662">
        <v>1.615246E-2</v>
      </c>
      <c r="X5662">
        <v>0.99986900000000001</v>
      </c>
      <c r="Y5662">
        <v>-0.27582519999999999</v>
      </c>
      <c r="Z5662">
        <v>1.3853399999999899E-2</v>
      </c>
      <c r="AA5662">
        <v>0.96110799999999996</v>
      </c>
      <c r="AB5662">
        <v>32</v>
      </c>
      <c r="AC5662">
        <v>9.4863999999999997</v>
      </c>
      <c r="AD5662">
        <v>-1.1106610512799999</v>
      </c>
      <c r="AE5662">
        <v>3.17265</v>
      </c>
      <c r="AF5662">
        <v>-3.1751224805831502</v>
      </c>
      <c r="AG5662">
        <v>-1.1106610512799999</v>
      </c>
      <c r="AH5662">
        <v>9.3570209014435299</v>
      </c>
      <c r="AI5662">
        <v>96.413303334140807</v>
      </c>
      <c r="AJ5662">
        <v>108.743640999902</v>
      </c>
      <c r="AK5662">
        <v>9.9432796846707507</v>
      </c>
      <c r="AL5662">
        <v>89.074491988077099</v>
      </c>
      <c r="AM5662">
        <v>90.060887927697095</v>
      </c>
      <c r="AN5662">
        <v>1.0000000240751501</v>
      </c>
    </row>
    <row r="5663" spans="1:40" x14ac:dyDescent="0.25">
      <c r="A5663" t="str">
        <f>"20190312154715815"</f>
        <v>20190312154715815</v>
      </c>
      <c r="B5663" t="str">
        <f>"1552376835814034"</f>
        <v>1552376835814034</v>
      </c>
      <c r="C5663" t="s">
        <v>40</v>
      </c>
      <c r="D5663">
        <v>4.3029270000000004</v>
      </c>
      <c r="E5663">
        <v>0.47890529999999998</v>
      </c>
      <c r="F5663" t="s">
        <v>89</v>
      </c>
      <c r="G5663">
        <v>-214.53100000000001</v>
      </c>
      <c r="H5663" s="1">
        <v>-9.306607E-7</v>
      </c>
      <c r="I5663">
        <v>-60.28304</v>
      </c>
      <c r="J5663">
        <v>-217.16300000000001</v>
      </c>
      <c r="K5663">
        <v>1.110727</v>
      </c>
      <c r="L5663">
        <v>-60.905430000000003</v>
      </c>
      <c r="M5663">
        <v>0.99988929999999998</v>
      </c>
      <c r="N5663">
        <v>0</v>
      </c>
      <c r="O5663">
        <v>-3.7318780000000001E-3</v>
      </c>
      <c r="P5663">
        <v>0.99999819999999995</v>
      </c>
      <c r="Q5663">
        <v>1.225336E-3</v>
      </c>
      <c r="R5663">
        <v>-1.4986750000000001E-3</v>
      </c>
      <c r="S5663">
        <v>3.0043489999999999</v>
      </c>
      <c r="T5663">
        <v>-1.1945859999999999</v>
      </c>
      <c r="U5663">
        <v>0.66925049999999997</v>
      </c>
      <c r="V5663">
        <v>-2.269292E-3</v>
      </c>
      <c r="W5663">
        <v>1.5622759999999999E-2</v>
      </c>
      <c r="X5663">
        <v>0.99987539999999997</v>
      </c>
      <c r="Y5663">
        <v>-0.2058393</v>
      </c>
      <c r="Z5663">
        <v>4.0407489999999997E-2</v>
      </c>
      <c r="AA5663">
        <v>0.97775120000000004</v>
      </c>
      <c r="AB5663">
        <v>32</v>
      </c>
      <c r="AC5663">
        <v>2.6320000000000001</v>
      </c>
      <c r="AD5663">
        <v>-1.1107279306606901</v>
      </c>
      <c r="AE5663">
        <v>0.622390000000002</v>
      </c>
      <c r="AF5663">
        <v>-0.54096891181584505</v>
      </c>
      <c r="AG5663">
        <v>-1.1107279306606901</v>
      </c>
      <c r="AH5663">
        <v>2.25014774903884</v>
      </c>
      <c r="AI5663">
        <v>115.638627236487</v>
      </c>
      <c r="AJ5663">
        <v>103.518205256792</v>
      </c>
      <c r="AK5663">
        <v>2.56700775067111</v>
      </c>
      <c r="AL5663">
        <v>89.104845387686495</v>
      </c>
      <c r="AM5663">
        <v>90.130036833428406</v>
      </c>
      <c r="AN5663">
        <v>1.0000000179206701</v>
      </c>
    </row>
    <row r="5664" spans="1:40" x14ac:dyDescent="0.25">
      <c r="A5664" t="str">
        <f>"20190312154715826"</f>
        <v>20190312154715826</v>
      </c>
      <c r="B5664" t="str">
        <f>"1552376835823795"</f>
        <v>1552376835823795</v>
      </c>
      <c r="C5664" t="s">
        <v>40</v>
      </c>
      <c r="D5664">
        <v>4.8558389999999996</v>
      </c>
      <c r="E5664">
        <v>0.47475240000000002</v>
      </c>
      <c r="F5664" t="s">
        <v>41</v>
      </c>
      <c r="G5664">
        <v>-216.40860000000001</v>
      </c>
      <c r="H5664">
        <v>0.8714944</v>
      </c>
      <c r="I5664">
        <v>-60.86103</v>
      </c>
      <c r="J5664">
        <v>-217.01130000000001</v>
      </c>
      <c r="K5664">
        <v>1.1107899999999999</v>
      </c>
      <c r="L5664">
        <v>-60.905430000000003</v>
      </c>
      <c r="M5664">
        <v>0.99989159999999999</v>
      </c>
      <c r="N5664">
        <v>0</v>
      </c>
      <c r="O5664">
        <v>-3.0916490000000001E-3</v>
      </c>
      <c r="P5664">
        <v>0.99999959999999999</v>
      </c>
      <c r="Q5664">
        <v>9.4195460000000004E-4</v>
      </c>
      <c r="R5664" s="1">
        <v>-8.8295019999999995E-6</v>
      </c>
      <c r="S5664">
        <v>3.0014340000000002</v>
      </c>
      <c r="T5664">
        <v>-0.9518759</v>
      </c>
      <c r="U5664">
        <v>0.17678829999999901</v>
      </c>
      <c r="V5664">
        <v>-3.1203530000000002E-3</v>
      </c>
      <c r="W5664">
        <v>1.533669E-2</v>
      </c>
      <c r="X5664">
        <v>0.99987749999999997</v>
      </c>
      <c r="Y5664">
        <v>-5.8855209999999998E-2</v>
      </c>
      <c r="Z5664">
        <v>1.005813E-2</v>
      </c>
      <c r="AA5664">
        <v>0.99821590000000004</v>
      </c>
      <c r="AB5664">
        <v>32</v>
      </c>
      <c r="AC5664">
        <v>0.60269999999999802</v>
      </c>
      <c r="AD5664">
        <v>-0.239295599999999</v>
      </c>
      <c r="AE5664">
        <v>4.4399999999995998E-2</v>
      </c>
      <c r="AF5664">
        <v>-3.9992863756820901E-2</v>
      </c>
      <c r="AG5664">
        <v>-0.239295599999999</v>
      </c>
      <c r="AH5664">
        <v>0.52088986696441597</v>
      </c>
      <c r="AI5664">
        <v>114.610128922062</v>
      </c>
      <c r="AJ5664">
        <v>94.390439846414793</v>
      </c>
      <c r="AK5664">
        <v>0.57461993250933996</v>
      </c>
      <c r="AL5664">
        <v>89.121237924385895</v>
      </c>
      <c r="AM5664">
        <v>90.178804380642205</v>
      </c>
      <c r="AN5664">
        <v>0.99999998283462499</v>
      </c>
    </row>
    <row r="5665" spans="1:40" x14ac:dyDescent="0.25">
      <c r="A5665" t="str">
        <f>"20190312154715838"</f>
        <v>20190312154715838</v>
      </c>
      <c r="B5665" t="str">
        <f>"1552376835833554"</f>
        <v>1552376835833554</v>
      </c>
      <c r="C5665" t="s">
        <v>40</v>
      </c>
      <c r="D5665">
        <v>5.0475099999999999</v>
      </c>
      <c r="E5665">
        <v>0.47325020000000001</v>
      </c>
      <c r="F5665" t="s">
        <v>41</v>
      </c>
      <c r="G5665">
        <v>-216.13380000000001</v>
      </c>
      <c r="H5665">
        <v>0.85352749999999999</v>
      </c>
      <c r="I5665">
        <v>-60.843040000000002</v>
      </c>
      <c r="J5665">
        <v>-216.8553</v>
      </c>
      <c r="K5665">
        <v>1.11086</v>
      </c>
      <c r="L5665">
        <v>-60.905180000000001</v>
      </c>
      <c r="M5665">
        <v>0.99989349999999999</v>
      </c>
      <c r="N5665">
        <v>0</v>
      </c>
      <c r="O5665">
        <v>-2.3861860000000002E-3</v>
      </c>
      <c r="P5665">
        <v>0.99999830000000001</v>
      </c>
      <c r="Q5665">
        <v>5.9448420000000001E-4</v>
      </c>
      <c r="R5665">
        <v>1.8186159999999999E-3</v>
      </c>
      <c r="S5665">
        <v>3.0008240000000002</v>
      </c>
      <c r="T5665">
        <v>-0.87982419999999995</v>
      </c>
      <c r="U5665">
        <v>0.21368409999999999</v>
      </c>
      <c r="V5665">
        <v>-4.2441409999999999E-3</v>
      </c>
      <c r="W5665">
        <v>1.4985299999999899E-2</v>
      </c>
      <c r="X5665">
        <v>0.99987870000000001</v>
      </c>
      <c r="Y5665">
        <v>-7.0361480000000004E-2</v>
      </c>
      <c r="Z5665">
        <v>1.077462E-2</v>
      </c>
      <c r="AA5665">
        <v>0.99746330000000005</v>
      </c>
      <c r="AB5665">
        <v>32</v>
      </c>
      <c r="AC5665">
        <v>0.72149999999999104</v>
      </c>
      <c r="AD5665">
        <v>-0.25733250000000002</v>
      </c>
      <c r="AE5665">
        <v>6.2139999999999397E-2</v>
      </c>
      <c r="AF5665">
        <v>-5.6701787192000398E-2</v>
      </c>
      <c r="AG5665">
        <v>-0.25733250000000002</v>
      </c>
      <c r="AH5665">
        <v>0.64047553223453102</v>
      </c>
      <c r="AI5665">
        <v>111.812184503178</v>
      </c>
      <c r="AJ5665">
        <v>95.059248939258893</v>
      </c>
      <c r="AK5665">
        <v>0.69256336577826805</v>
      </c>
      <c r="AL5665">
        <v>89.141373412072696</v>
      </c>
      <c r="AM5665">
        <v>90.243199406647605</v>
      </c>
      <c r="AN5665">
        <v>0.99999999333130396</v>
      </c>
    </row>
    <row r="5666" spans="1:40" x14ac:dyDescent="0.25">
      <c r="A5666" t="str">
        <f>"20190312154715850"</f>
        <v>20190312154715850</v>
      </c>
      <c r="B5666" t="str">
        <f>"1552376835843314"</f>
        <v>1552376835843314</v>
      </c>
      <c r="C5666" t="s">
        <v>40</v>
      </c>
      <c r="D5666">
        <v>5.1720249999999997</v>
      </c>
      <c r="E5666">
        <v>0.4716127</v>
      </c>
      <c r="F5666" t="s">
        <v>41</v>
      </c>
      <c r="G5666">
        <v>-216.11019999999999</v>
      </c>
      <c r="H5666">
        <v>0.90966999999999998</v>
      </c>
      <c r="I5666">
        <v>-60.848089999999999</v>
      </c>
      <c r="J5666">
        <v>-216.6884</v>
      </c>
      <c r="K5666">
        <v>1.11093</v>
      </c>
      <c r="L5666">
        <v>-60.904850000000003</v>
      </c>
      <c r="M5666">
        <v>0.99989519999999998</v>
      </c>
      <c r="N5666">
        <v>0</v>
      </c>
      <c r="O5666">
        <v>-1.5731829999999999E-3</v>
      </c>
      <c r="P5666">
        <v>0.99999289999999996</v>
      </c>
      <c r="Q5666">
        <v>1.707221E-4</v>
      </c>
      <c r="R5666">
        <v>3.78248E-3</v>
      </c>
      <c r="S5666">
        <v>3.000076</v>
      </c>
      <c r="T5666">
        <v>-0.81013480000000004</v>
      </c>
      <c r="U5666">
        <v>0.23025509999999999</v>
      </c>
      <c r="V5666">
        <v>-5.3960700000000002E-3</v>
      </c>
      <c r="W5666">
        <v>1.455763E-2</v>
      </c>
      <c r="X5666">
        <v>0.99987950000000003</v>
      </c>
      <c r="Y5666">
        <v>-7.5353680000000006E-2</v>
      </c>
      <c r="Z5666">
        <v>1.0398060000000001E-2</v>
      </c>
      <c r="AA5666">
        <v>0.99710270000000001</v>
      </c>
      <c r="AB5666">
        <v>32</v>
      </c>
      <c r="AC5666">
        <v>0.57820000000000904</v>
      </c>
      <c r="AD5666">
        <v>-0.201259999999999</v>
      </c>
      <c r="AE5666">
        <v>5.6760000000004099E-2</v>
      </c>
      <c r="AF5666">
        <v>-5.1490591217368403E-2</v>
      </c>
      <c r="AG5666">
        <v>-0.201259999999999</v>
      </c>
      <c r="AH5666">
        <v>0.51616804898020197</v>
      </c>
      <c r="AI5666">
        <v>111.20556084276301</v>
      </c>
      <c r="AJ5666">
        <v>95.696721520849295</v>
      </c>
      <c r="AK5666">
        <v>0.556404819687916</v>
      </c>
      <c r="AL5666">
        <v>89.165879801394993</v>
      </c>
      <c r="AM5666">
        <v>90.309206294865106</v>
      </c>
      <c r="AN5666">
        <v>1.0000000283414501</v>
      </c>
    </row>
    <row r="5667" spans="1:40" x14ac:dyDescent="0.25">
      <c r="A5667" t="str">
        <f>"20190312154715861"</f>
        <v>20190312154715861</v>
      </c>
      <c r="B5667" t="str">
        <f>"1552376835854051"</f>
        <v>1552376835854051</v>
      </c>
      <c r="C5667" t="s">
        <v>40</v>
      </c>
      <c r="D5667">
        <v>4.8471029999999997</v>
      </c>
      <c r="E5667">
        <v>0.4716127</v>
      </c>
      <c r="F5667" t="s">
        <v>41</v>
      </c>
      <c r="G5667">
        <v>-215.83349999999999</v>
      </c>
      <c r="H5667">
        <v>0.89801119999999901</v>
      </c>
      <c r="I5667">
        <v>-60.834060000000001</v>
      </c>
      <c r="J5667">
        <v>-216.52500000000001</v>
      </c>
      <c r="K5667">
        <v>1.1110120000000001</v>
      </c>
      <c r="L5667">
        <v>-60.904299999999999</v>
      </c>
      <c r="M5667">
        <v>0.99989600000000001</v>
      </c>
      <c r="N5667">
        <v>0</v>
      </c>
      <c r="O5667">
        <v>-7.2927799999999998E-4</v>
      </c>
      <c r="P5667">
        <v>0.99998399999999998</v>
      </c>
      <c r="Q5667">
        <v>1.363019E-4</v>
      </c>
      <c r="R5667">
        <v>5.7008149999999997E-3</v>
      </c>
      <c r="S5667">
        <v>2.9992070000000002</v>
      </c>
      <c r="T5667">
        <v>-0.74706600000000001</v>
      </c>
      <c r="U5667">
        <v>0.24853520000000001</v>
      </c>
      <c r="V5667">
        <v>-6.4735919999999898E-3</v>
      </c>
      <c r="W5667">
        <v>1.451853E-2</v>
      </c>
      <c r="X5667">
        <v>0.99987360000000003</v>
      </c>
      <c r="Y5667">
        <v>-8.0835199999999996E-2</v>
      </c>
      <c r="Z5667">
        <v>1.0078470000000001E-2</v>
      </c>
      <c r="AA5667">
        <v>0.99667649999999997</v>
      </c>
      <c r="AB5667">
        <v>32</v>
      </c>
      <c r="AC5667">
        <v>0.69150000000001899</v>
      </c>
      <c r="AD5667">
        <v>-0.21300079999999999</v>
      </c>
      <c r="AE5667">
        <v>7.0239999999998304E-2</v>
      </c>
      <c r="AF5667">
        <v>-6.4670963403874404E-2</v>
      </c>
      <c r="AG5667">
        <v>-0.21300079999999999</v>
      </c>
      <c r="AH5667">
        <v>0.63208806437394105</v>
      </c>
      <c r="AI5667">
        <v>108.532676598533</v>
      </c>
      <c r="AJ5667">
        <v>95.841788188302104</v>
      </c>
      <c r="AK5667">
        <v>0.67013953430029805</v>
      </c>
      <c r="AL5667">
        <v>89.168120242529895</v>
      </c>
      <c r="AM5667">
        <v>90.370951205658798</v>
      </c>
      <c r="AN5667">
        <v>0.99999995554184995</v>
      </c>
    </row>
    <row r="5668" spans="1:40" x14ac:dyDescent="0.25">
      <c r="A5668" t="str">
        <f>"20190312154715873"</f>
        <v>20190312154715873</v>
      </c>
      <c r="B5668" t="str">
        <f>"1552376835863810"</f>
        <v>1552376835863810</v>
      </c>
      <c r="C5668" t="s">
        <v>40</v>
      </c>
      <c r="D5668">
        <v>4.9739779999999998</v>
      </c>
      <c r="E5668">
        <v>0.46542050000000001</v>
      </c>
      <c r="F5668" t="s">
        <v>41</v>
      </c>
      <c r="G5668">
        <v>-215.81829999999999</v>
      </c>
      <c r="H5668">
        <v>0.9349442</v>
      </c>
      <c r="I5668">
        <v>-60.8444199999999</v>
      </c>
      <c r="J5668">
        <v>-216.36150000000001</v>
      </c>
      <c r="K5668">
        <v>1.1111070000000001</v>
      </c>
      <c r="L5668">
        <v>-60.903500000000001</v>
      </c>
      <c r="M5668">
        <v>0.99989640000000002</v>
      </c>
      <c r="N5668">
        <v>0</v>
      </c>
      <c r="O5668">
        <v>2.2374839999999999E-4</v>
      </c>
      <c r="P5668">
        <v>0.99996949999999996</v>
      </c>
      <c r="Q5668">
        <v>1.302911E-4</v>
      </c>
      <c r="R5668">
        <v>7.8125409999999992E-3</v>
      </c>
      <c r="S5668">
        <v>2.9987029999999999</v>
      </c>
      <c r="T5668">
        <v>-0.74718399999999996</v>
      </c>
      <c r="U5668">
        <v>0.254303</v>
      </c>
      <c r="V5668">
        <v>-7.6354939999999996E-3</v>
      </c>
      <c r="W5668">
        <v>1.4507559999999999E-2</v>
      </c>
      <c r="X5668">
        <v>0.99986560000000002</v>
      </c>
      <c r="Y5668">
        <v>-8.1801349999999995E-2</v>
      </c>
      <c r="Z5668">
        <v>9.9657189999999996E-3</v>
      </c>
      <c r="AA5668">
        <v>0.99659880000000001</v>
      </c>
      <c r="AB5668">
        <v>32</v>
      </c>
      <c r="AC5668">
        <v>0.54320000000001301</v>
      </c>
      <c r="AD5668">
        <v>-0.17616280000000001</v>
      </c>
      <c r="AE5668">
        <v>5.9080000000008598E-2</v>
      </c>
      <c r="AF5668">
        <v>-5.3407073106421801E-2</v>
      </c>
      <c r="AG5668">
        <v>-0.17616280000000001</v>
      </c>
      <c r="AH5668">
        <v>0.49206567533364698</v>
      </c>
      <c r="AI5668">
        <v>109.591480415319</v>
      </c>
      <c r="AJ5668">
        <v>96.1944339739849</v>
      </c>
      <c r="AK5668">
        <v>0.52537060862137397</v>
      </c>
      <c r="AL5668">
        <v>89.168748875487495</v>
      </c>
      <c r="AM5668">
        <v>90.437531881156602</v>
      </c>
      <c r="AN5668">
        <v>0.99999999406456797</v>
      </c>
    </row>
    <row r="5669" spans="1:40" x14ac:dyDescent="0.25">
      <c r="A5669" t="str">
        <f>"20190312154715885"</f>
        <v>20190312154715885</v>
      </c>
      <c r="B5669" t="str">
        <f>"1552376835873570"</f>
        <v>1552376835873570</v>
      </c>
      <c r="C5669" t="s">
        <v>40</v>
      </c>
      <c r="D5669">
        <v>4.8648059999999997</v>
      </c>
      <c r="E5669">
        <v>0.46575630000000001</v>
      </c>
      <c r="F5669" t="s">
        <v>71</v>
      </c>
      <c r="G5669">
        <v>-203.82419999999999</v>
      </c>
      <c r="H5669" s="1">
        <v>-3.9199740000000003E-6</v>
      </c>
      <c r="I5669">
        <v>-59.635860000000001</v>
      </c>
      <c r="J5669">
        <v>-216.19309999999999</v>
      </c>
      <c r="K5669">
        <v>1.111208</v>
      </c>
      <c r="L5669">
        <v>-60.902560000000001</v>
      </c>
      <c r="M5669">
        <v>0.9998956</v>
      </c>
      <c r="N5669">
        <v>0</v>
      </c>
      <c r="O5669">
        <v>1.2491589999999999E-3</v>
      </c>
      <c r="P5669">
        <v>0.99994959999999999</v>
      </c>
      <c r="Q5669">
        <v>1.4529659999999999E-4</v>
      </c>
      <c r="R5669">
        <v>1.0048400000000001E-2</v>
      </c>
      <c r="S5669">
        <v>2.997757</v>
      </c>
      <c r="T5669">
        <v>-0.2656732</v>
      </c>
      <c r="U5669">
        <v>0.3031006</v>
      </c>
      <c r="V5669">
        <v>-8.8493519999999996E-3</v>
      </c>
      <c r="W5669">
        <v>1.45171E-2</v>
      </c>
      <c r="X5669">
        <v>0.99985550000000001</v>
      </c>
      <c r="Y5669">
        <v>-9.8974069999999997E-2</v>
      </c>
      <c r="Z5669">
        <v>4.2558750000000001E-3</v>
      </c>
      <c r="AA5669">
        <v>0.99508090000000005</v>
      </c>
      <c r="AB5669">
        <v>32</v>
      </c>
      <c r="AC5669">
        <v>12.368899999999901</v>
      </c>
      <c r="AD5669">
        <v>-1.111211919974</v>
      </c>
      <c r="AE5669">
        <v>1.2666999999999999</v>
      </c>
      <c r="AF5669">
        <v>-1.24133178578681</v>
      </c>
      <c r="AG5669">
        <v>-1.111211919974</v>
      </c>
      <c r="AH5669">
        <v>12.2724489668846</v>
      </c>
      <c r="AI5669">
        <v>95.147629159294695</v>
      </c>
      <c r="AJ5669">
        <v>95.775701320942701</v>
      </c>
      <c r="AK5669">
        <v>12.385019183605801</v>
      </c>
      <c r="AL5669">
        <v>89.168202253602203</v>
      </c>
      <c r="AM5669">
        <v>90.507090557046595</v>
      </c>
      <c r="AN5669">
        <v>1.0000000390517301</v>
      </c>
    </row>
    <row r="5670" spans="1:40" x14ac:dyDescent="0.25">
      <c r="A5670" t="str">
        <f>"20190312154715897"</f>
        <v>20190312154715897</v>
      </c>
      <c r="B5670" t="str">
        <f>"1552376835894066"</f>
        <v>1552376835894066</v>
      </c>
      <c r="C5670" t="s">
        <v>40</v>
      </c>
      <c r="D5670">
        <v>4.9345819999999998</v>
      </c>
      <c r="E5670">
        <v>0.46691329999999998</v>
      </c>
      <c r="F5670" t="s">
        <v>71</v>
      </c>
      <c r="G5670">
        <v>-202.78749999999999</v>
      </c>
      <c r="H5670" s="1">
        <v>-4.4717809999999998E-6</v>
      </c>
      <c r="I5670">
        <v>-59.52948</v>
      </c>
      <c r="J5670">
        <v>-216.00579999999999</v>
      </c>
      <c r="K5670">
        <v>1.1113440000000001</v>
      </c>
      <c r="L5670">
        <v>-60.901090000000003</v>
      </c>
      <c r="M5670">
        <v>0.99989309999999998</v>
      </c>
      <c r="N5670">
        <v>0</v>
      </c>
      <c r="O5670">
        <v>2.5339609999999999E-3</v>
      </c>
      <c r="P5670">
        <v>0.99992490000000001</v>
      </c>
      <c r="Q5670">
        <v>1.7046180000000001E-4</v>
      </c>
      <c r="R5670">
        <v>1.2260419999999999E-2</v>
      </c>
      <c r="S5670">
        <v>2.9970859999999999</v>
      </c>
      <c r="T5670">
        <v>-0.24843309999999999</v>
      </c>
      <c r="U5670">
        <v>0.30697629999999998</v>
      </c>
      <c r="V5670">
        <v>-9.7809509999999995E-3</v>
      </c>
      <c r="W5670">
        <v>1.4537130000000001E-2</v>
      </c>
      <c r="X5670">
        <v>0.99984649999999997</v>
      </c>
      <c r="Y5670">
        <v>-9.9042969999999994E-2</v>
      </c>
      <c r="Z5670">
        <v>3.8780939999999999E-3</v>
      </c>
      <c r="AA5670">
        <v>0.99507559999999995</v>
      </c>
      <c r="AB5670">
        <v>31</v>
      </c>
      <c r="AC5670">
        <v>13.218299999999999</v>
      </c>
      <c r="AD5670">
        <v>-1.111348471781</v>
      </c>
      <c r="AE5670">
        <v>1.37160999999999</v>
      </c>
      <c r="AF5670">
        <v>-1.3288143274245701</v>
      </c>
      <c r="AG5670">
        <v>-1.111348471781</v>
      </c>
      <c r="AH5670">
        <v>13.129908762220801</v>
      </c>
      <c r="AI5670">
        <v>94.813654074830495</v>
      </c>
      <c r="AJ5670">
        <v>95.778951041661699</v>
      </c>
      <c r="AK5670">
        <v>13.2436908392918</v>
      </c>
      <c r="AL5670">
        <v>89.167054473331305</v>
      </c>
      <c r="AM5670">
        <v>90.560475369606195</v>
      </c>
      <c r="AN5670">
        <v>1.0000000093566701</v>
      </c>
    </row>
    <row r="5671" spans="1:40" x14ac:dyDescent="0.25">
      <c r="A5671" t="str">
        <f>"20190312154715911"</f>
        <v>20190312154715911</v>
      </c>
      <c r="B5671" t="str">
        <f>"1552376835903826"</f>
        <v>1552376835903826</v>
      </c>
      <c r="C5671" t="s">
        <v>40</v>
      </c>
      <c r="D5671">
        <v>4.9540649999999999</v>
      </c>
      <c r="E5671">
        <v>0.4674585</v>
      </c>
      <c r="F5671" t="s">
        <v>71</v>
      </c>
      <c r="G5671">
        <v>-201.8673</v>
      </c>
      <c r="H5671" s="1">
        <v>-4.9549209999999997E-6</v>
      </c>
      <c r="I5671">
        <v>-59.46508</v>
      </c>
      <c r="J5671">
        <v>-215.8278</v>
      </c>
      <c r="K5671">
        <v>1.1114820000000001</v>
      </c>
      <c r="L5671">
        <v>-60.899380000000001</v>
      </c>
      <c r="M5671">
        <v>0.99988889999999997</v>
      </c>
      <c r="N5671">
        <v>0</v>
      </c>
      <c r="O5671">
        <v>3.8501220000000001E-3</v>
      </c>
      <c r="P5671">
        <v>0.99989519999999998</v>
      </c>
      <c r="Q5671">
        <v>3.5014470000000001E-4</v>
      </c>
      <c r="R5671">
        <v>1.4490279999999999E-2</v>
      </c>
      <c r="S5671">
        <v>2.9965359999999999</v>
      </c>
      <c r="T5671">
        <v>-0.235541</v>
      </c>
      <c r="U5671">
        <v>0.30435180000000001</v>
      </c>
      <c r="V5671">
        <v>-1.070107E-2</v>
      </c>
      <c r="W5671">
        <v>1.4712579999999999E-2</v>
      </c>
      <c r="X5671">
        <v>0.99983449999999996</v>
      </c>
      <c r="Y5671">
        <v>-9.6932270000000001E-2</v>
      </c>
      <c r="Z5671">
        <v>3.4926559999999998E-3</v>
      </c>
      <c r="AA5671">
        <v>0.99528490000000003</v>
      </c>
      <c r="AB5671">
        <v>31</v>
      </c>
      <c r="AC5671">
        <v>13.9604999999999</v>
      </c>
      <c r="AD5671">
        <v>-1.111486954921</v>
      </c>
      <c r="AE5671">
        <v>1.4342999999999999</v>
      </c>
      <c r="AF5671">
        <v>-1.37192862477302</v>
      </c>
      <c r="AG5671">
        <v>-1.111486954921</v>
      </c>
      <c r="AH5671">
        <v>13.878862946584</v>
      </c>
      <c r="AI5671">
        <v>94.556639109017596</v>
      </c>
      <c r="AJ5671">
        <v>95.645360325024001</v>
      </c>
      <c r="AK5671">
        <v>13.990726503384099</v>
      </c>
      <c r="AL5671">
        <v>89.157000845911298</v>
      </c>
      <c r="AM5671">
        <v>90.613204222815796</v>
      </c>
      <c r="AN5671">
        <v>1.0000000001498199</v>
      </c>
    </row>
    <row r="5672" spans="1:40" x14ac:dyDescent="0.25">
      <c r="A5672" t="str">
        <f>"20190312154715924"</f>
        <v>20190312154715924</v>
      </c>
      <c r="B5672" t="str">
        <f>"1552376835913587"</f>
        <v>1552376835913587</v>
      </c>
      <c r="C5672" t="s">
        <v>40</v>
      </c>
      <c r="D5672">
        <v>4.9311910000000001</v>
      </c>
      <c r="E5672">
        <v>0.46794730000000001</v>
      </c>
      <c r="F5672" t="s">
        <v>71</v>
      </c>
      <c r="G5672">
        <v>-201.0532</v>
      </c>
      <c r="H5672" s="1">
        <v>-5.3870770000000001E-6</v>
      </c>
      <c r="I5672">
        <v>-59.386870000000002</v>
      </c>
      <c r="J5672">
        <v>-215.6463</v>
      </c>
      <c r="K5672">
        <v>1.111626</v>
      </c>
      <c r="L5672">
        <v>-60.89743</v>
      </c>
      <c r="M5672">
        <v>0.99988239999999995</v>
      </c>
      <c r="N5672">
        <v>0</v>
      </c>
      <c r="O5672">
        <v>5.2645499999999998E-3</v>
      </c>
      <c r="P5672">
        <v>0.99985650000000004</v>
      </c>
      <c r="Q5672">
        <v>8.180412E-4</v>
      </c>
      <c r="R5672">
        <v>1.6935349999999998E-2</v>
      </c>
      <c r="S5672">
        <v>2.9959259999999999</v>
      </c>
      <c r="T5672">
        <v>-0.22538269999999999</v>
      </c>
      <c r="U5672">
        <v>0.30670170000000002</v>
      </c>
      <c r="V5672">
        <v>-1.173889E-2</v>
      </c>
      <c r="W5672">
        <v>1.517459E-2</v>
      </c>
      <c r="X5672">
        <v>0.99981589999999998</v>
      </c>
      <c r="Y5672">
        <v>-9.6346849999999998E-2</v>
      </c>
      <c r="Z5672">
        <v>3.215089E-3</v>
      </c>
      <c r="AA5672">
        <v>0.99534259999999997</v>
      </c>
      <c r="AB5672">
        <v>31</v>
      </c>
      <c r="AC5672">
        <v>14.5930999999999</v>
      </c>
      <c r="AD5672">
        <v>-1.111631387077</v>
      </c>
      <c r="AE5672">
        <v>1.5105600000000099</v>
      </c>
      <c r="AF5672">
        <v>-1.4255208768046299</v>
      </c>
      <c r="AG5672">
        <v>-1.111631387077</v>
      </c>
      <c r="AH5672">
        <v>14.517503996877499</v>
      </c>
      <c r="AI5672">
        <v>94.357819279869304</v>
      </c>
      <c r="AJ5672">
        <v>95.608080613157199</v>
      </c>
      <c r="AK5672">
        <v>14.629619147821201</v>
      </c>
      <c r="AL5672">
        <v>89.130526624401099</v>
      </c>
      <c r="AM5672">
        <v>90.672681790470506</v>
      </c>
      <c r="AN5672">
        <v>0.99999995180645396</v>
      </c>
    </row>
    <row r="5673" spans="1:40" x14ac:dyDescent="0.25">
      <c r="A5673" t="str">
        <f>"20190312154715938"</f>
        <v>20190312154715938</v>
      </c>
      <c r="B5673" t="str">
        <f>"1552376835934085"</f>
        <v>1552376835934085</v>
      </c>
      <c r="C5673" t="s">
        <v>40</v>
      </c>
      <c r="D5673">
        <v>4.9668859999999997</v>
      </c>
      <c r="E5673">
        <v>0.46906100000000001</v>
      </c>
      <c r="F5673" t="s">
        <v>71</v>
      </c>
      <c r="G5673">
        <v>-200.5942</v>
      </c>
      <c r="H5673" s="1">
        <v>-5.6318029999999999E-6</v>
      </c>
      <c r="I5673">
        <v>-59.337969999999999</v>
      </c>
      <c r="J5673">
        <v>-215.43559999999999</v>
      </c>
      <c r="K5673">
        <v>1.1118059999999901</v>
      </c>
      <c r="L5673">
        <v>-60.894530000000003</v>
      </c>
      <c r="M5673">
        <v>0.99987090000000001</v>
      </c>
      <c r="N5673">
        <v>0</v>
      </c>
      <c r="O5673">
        <v>7.1042989999999997E-3</v>
      </c>
      <c r="P5673">
        <v>0.99979470000000004</v>
      </c>
      <c r="Q5673">
        <v>1.7048600000000001E-3</v>
      </c>
      <c r="R5673">
        <v>2.019253E-2</v>
      </c>
      <c r="S5673">
        <v>2.9953609999999999</v>
      </c>
      <c r="T5673">
        <v>-0.22121440000000001</v>
      </c>
      <c r="U5673">
        <v>0.31033329999999998</v>
      </c>
      <c r="V5673">
        <v>-1.316751E-2</v>
      </c>
      <c r="W5673">
        <v>1.6053290000000001E-2</v>
      </c>
      <c r="X5673">
        <v>0.99978440000000002</v>
      </c>
      <c r="Y5673">
        <v>-9.5744399999999993E-2</v>
      </c>
      <c r="Z5673">
        <v>2.9987149999999999E-3</v>
      </c>
      <c r="AA5673">
        <v>0.99540139999999999</v>
      </c>
      <c r="AB5673">
        <v>31</v>
      </c>
      <c r="AC5673">
        <v>14.841399999999901</v>
      </c>
      <c r="AD5673">
        <v>-1.11181163180299</v>
      </c>
      <c r="AE5673">
        <v>1.5565599999999999</v>
      </c>
      <c r="AF5673">
        <v>-1.4430617563764301</v>
      </c>
      <c r="AG5673">
        <v>-1.11181163180299</v>
      </c>
      <c r="AH5673">
        <v>14.7700977988603</v>
      </c>
      <c r="AI5673">
        <v>94.284468528090997</v>
      </c>
      <c r="AJ5673">
        <v>95.580177258053894</v>
      </c>
      <c r="AK5673">
        <v>14.8820140211339</v>
      </c>
      <c r="AL5673">
        <v>89.080174696522306</v>
      </c>
      <c r="AM5673">
        <v>90.754561816359598</v>
      </c>
      <c r="AN5673">
        <v>0.99999996896139098</v>
      </c>
    </row>
    <row r="5674" spans="1:40" x14ac:dyDescent="0.25">
      <c r="A5674" t="str">
        <f>"20190312154715950"</f>
        <v>20190312154715950</v>
      </c>
      <c r="B5674" t="str">
        <f>"1552376835943842"</f>
        <v>1552376835943842</v>
      </c>
      <c r="C5674" t="s">
        <v>40</v>
      </c>
      <c r="D5674">
        <v>4.9562350000000004</v>
      </c>
      <c r="E5674">
        <v>0.4695474</v>
      </c>
      <c r="F5674" t="s">
        <v>71</v>
      </c>
      <c r="G5674">
        <v>-199.8237</v>
      </c>
      <c r="H5674" s="1">
        <v>-7.6622200000000006E-6</v>
      </c>
      <c r="I5674">
        <v>-59.271450000000002</v>
      </c>
      <c r="J5674">
        <v>-215.28270000000001</v>
      </c>
      <c r="K5674">
        <v>1.1119380000000001</v>
      </c>
      <c r="L5674">
        <v>-60.892090000000003</v>
      </c>
      <c r="M5674">
        <v>0.99985979999999997</v>
      </c>
      <c r="N5674">
        <v>0</v>
      </c>
      <c r="O5674">
        <v>8.5324140000000003E-3</v>
      </c>
      <c r="P5674">
        <v>0.99974410000000002</v>
      </c>
      <c r="Q5674">
        <v>1.922733E-3</v>
      </c>
      <c r="R5674">
        <v>2.254426E-2</v>
      </c>
      <c r="S5674">
        <v>2.9946899999999999</v>
      </c>
      <c r="T5674">
        <v>-0.21326890000000001</v>
      </c>
      <c r="U5674">
        <v>0.31134030000000001</v>
      </c>
      <c r="V5674">
        <v>-1.409757E-2</v>
      </c>
      <c r="W5674">
        <v>1.6265459999999999E-2</v>
      </c>
      <c r="X5674">
        <v>0.99976830000000005</v>
      </c>
      <c r="Y5674">
        <v>-9.4699640000000002E-2</v>
      </c>
      <c r="Z5674">
        <v>2.7535289999999998E-3</v>
      </c>
      <c r="AA5674">
        <v>0.99550209999999995</v>
      </c>
      <c r="AB5674">
        <v>31</v>
      </c>
      <c r="AC5674">
        <v>15.459</v>
      </c>
      <c r="AD5674">
        <v>-1.1119456622199999</v>
      </c>
      <c r="AE5674">
        <v>1.6206400000000001</v>
      </c>
      <c r="AF5674">
        <v>-1.4810852685652001</v>
      </c>
      <c r="AG5674">
        <v>-1.1119456622199999</v>
      </c>
      <c r="AH5674">
        <v>15.3934904616028</v>
      </c>
      <c r="AI5674">
        <v>94.112646390747798</v>
      </c>
      <c r="AJ5674">
        <v>95.495798448844496</v>
      </c>
      <c r="AK5674">
        <v>15.504502098421201</v>
      </c>
      <c r="AL5674">
        <v>89.068016673547106</v>
      </c>
      <c r="AM5674">
        <v>90.807864916369894</v>
      </c>
      <c r="AN5674">
        <v>0.99999998017690295</v>
      </c>
    </row>
    <row r="5675" spans="1:40" x14ac:dyDescent="0.25">
      <c r="A5675" t="str">
        <f>"20190312154715973"</f>
        <v>20190312154715973</v>
      </c>
      <c r="B5675" t="str">
        <f>"1552376835963366"</f>
        <v>1552376835963366</v>
      </c>
      <c r="C5675" t="s">
        <v>40</v>
      </c>
      <c r="D5675">
        <v>4.9350889999999996</v>
      </c>
      <c r="E5675">
        <v>0.4699412</v>
      </c>
      <c r="F5675" t="s">
        <v>71</v>
      </c>
      <c r="G5675">
        <v>-199.524</v>
      </c>
      <c r="H5675" s="1">
        <v>-7.6407119999999906E-6</v>
      </c>
      <c r="I5675">
        <v>-59.236710000000002</v>
      </c>
      <c r="J5675">
        <v>-214.9648</v>
      </c>
      <c r="K5675">
        <v>1.112215</v>
      </c>
      <c r="L5675">
        <v>-60.88608</v>
      </c>
      <c r="M5675">
        <v>0.99982669999999996</v>
      </c>
      <c r="N5675">
        <v>0</v>
      </c>
      <c r="O5675">
        <v>1.1770259999999999E-2</v>
      </c>
      <c r="P5675">
        <v>0.99960830000000001</v>
      </c>
      <c r="Q5675">
        <v>1.6249019999999999E-3</v>
      </c>
      <c r="R5675">
        <v>2.7945009999999999E-2</v>
      </c>
      <c r="S5675">
        <v>2.9940799999999999</v>
      </c>
      <c r="T5675">
        <v>-0.21126449999999999</v>
      </c>
      <c r="U5675">
        <v>0.31451420000000002</v>
      </c>
      <c r="V5675">
        <v>-1.627054E-2</v>
      </c>
      <c r="W5675">
        <v>1.5953640000000002E-2</v>
      </c>
      <c r="X5675">
        <v>0.99974039999999997</v>
      </c>
      <c r="Y5675">
        <v>-9.2557619999999993E-2</v>
      </c>
      <c r="Z5675">
        <v>2.4253339999999999E-3</v>
      </c>
      <c r="AA5675">
        <v>0.99570440000000004</v>
      </c>
      <c r="AB5675">
        <v>31</v>
      </c>
      <c r="AC5675">
        <v>15.4407999999999</v>
      </c>
      <c r="AD5675">
        <v>-1.1122226407119999</v>
      </c>
      <c r="AE5675">
        <v>1.64937000000001</v>
      </c>
      <c r="AF5675">
        <v>-1.46000477406998</v>
      </c>
      <c r="AG5675">
        <v>-1.1122226407119999</v>
      </c>
      <c r="AH5675">
        <v>15.380245196266999</v>
      </c>
      <c r="AI5675">
        <v>94.117698199248807</v>
      </c>
      <c r="AJ5675">
        <v>95.422682936403604</v>
      </c>
      <c r="AK5675">
        <v>15.4893704016695</v>
      </c>
      <c r="AL5675">
        <v>89.085885034030596</v>
      </c>
      <c r="AM5675">
        <v>90.932393028460694</v>
      </c>
      <c r="AN5675">
        <v>1.00000005824664</v>
      </c>
    </row>
    <row r="5676" spans="1:40" x14ac:dyDescent="0.25">
      <c r="A5676" t="str">
        <f>"20190312154715986"</f>
        <v>20190312154715986</v>
      </c>
      <c r="B5676" t="str">
        <f>"1552376835974099"</f>
        <v>1552376835974099</v>
      </c>
      <c r="C5676" t="s">
        <v>40</v>
      </c>
      <c r="D5676">
        <v>4.9571670000000001</v>
      </c>
      <c r="E5676">
        <v>0.46997899999999998</v>
      </c>
      <c r="F5676" t="s">
        <v>71</v>
      </c>
      <c r="G5676">
        <v>-199.30850000000001</v>
      </c>
      <c r="H5676" s="1">
        <v>-7.6388409999999993E-6</v>
      </c>
      <c r="I5676">
        <v>-59.173000000000002</v>
      </c>
      <c r="J5676">
        <v>-214.78389999999999</v>
      </c>
      <c r="K5676">
        <v>1.1123809999999901</v>
      </c>
      <c r="L5676">
        <v>-60.882109999999997</v>
      </c>
      <c r="M5676">
        <v>0.99980119999999895</v>
      </c>
      <c r="N5676">
        <v>0</v>
      </c>
      <c r="O5676">
        <v>1.376585E-2</v>
      </c>
      <c r="P5676">
        <v>0.99951959999999995</v>
      </c>
      <c r="Q5676">
        <v>1.075473E-3</v>
      </c>
      <c r="R5676">
        <v>3.0979610000000001E-2</v>
      </c>
      <c r="S5676">
        <v>2.9923860000000002</v>
      </c>
      <c r="T5676">
        <v>-0.21257999999999999</v>
      </c>
      <c r="U5676">
        <v>0.32742310000000002</v>
      </c>
      <c r="V5676">
        <v>-1.7313729999999999E-2</v>
      </c>
      <c r="W5676">
        <v>1.539629E-2</v>
      </c>
      <c r="X5676">
        <v>0.9997315</v>
      </c>
      <c r="Y5676">
        <v>-9.4871739999999996E-2</v>
      </c>
      <c r="Z5676">
        <v>2.3819409999999998E-3</v>
      </c>
      <c r="AA5676">
        <v>0.99548669999999995</v>
      </c>
      <c r="AB5676">
        <v>31</v>
      </c>
      <c r="AC5676">
        <v>15.475399999999899</v>
      </c>
      <c r="AD5676">
        <v>-1.11238863884099</v>
      </c>
      <c r="AE5676">
        <v>1.7091099999999899</v>
      </c>
      <c r="AF5676">
        <v>-1.4882966181261501</v>
      </c>
      <c r="AG5676">
        <v>-1.11238863884099</v>
      </c>
      <c r="AH5676">
        <v>15.4187561022647</v>
      </c>
      <c r="AI5676">
        <v>94.1074392926011</v>
      </c>
      <c r="AJ5676">
        <v>95.513398913333404</v>
      </c>
      <c r="AK5676">
        <v>15.530308272808799</v>
      </c>
      <c r="AL5676">
        <v>89.117822656196196</v>
      </c>
      <c r="AM5676">
        <v>90.992170896367597</v>
      </c>
      <c r="AN5676">
        <v>0.99999994154226102</v>
      </c>
    </row>
    <row r="5677" spans="1:40" x14ac:dyDescent="0.25">
      <c r="A5677" t="str">
        <f>"20190312154716000"</f>
        <v>20190312154716000</v>
      </c>
      <c r="B5677" t="str">
        <f>"1552376835993618"</f>
        <v>1552376835993618</v>
      </c>
      <c r="C5677" t="s">
        <v>40</v>
      </c>
      <c r="D5677">
        <v>4.9523469999999996</v>
      </c>
      <c r="E5677">
        <v>0.47034939999999997</v>
      </c>
      <c r="F5677" t="s">
        <v>71</v>
      </c>
      <c r="G5677">
        <v>-199.31630000000001</v>
      </c>
      <c r="H5677" s="1">
        <v>-7.6499249999999994E-6</v>
      </c>
      <c r="I5677">
        <v>-59.143900000000002</v>
      </c>
      <c r="J5677">
        <v>-214.59020000000001</v>
      </c>
      <c r="K5677">
        <v>1.112557</v>
      </c>
      <c r="L5677">
        <v>-60.877229999999997</v>
      </c>
      <c r="M5677">
        <v>0.99976659999999995</v>
      </c>
      <c r="N5677">
        <v>0</v>
      </c>
      <c r="O5677">
        <v>1.6067120000000001E-2</v>
      </c>
      <c r="P5677">
        <v>0.99942050000000004</v>
      </c>
      <c r="Q5677">
        <v>8.0901289999999902E-4</v>
      </c>
      <c r="R5677">
        <v>3.4030329999999998E-2</v>
      </c>
      <c r="S5677">
        <v>2.9912719999999999</v>
      </c>
      <c r="T5677">
        <v>-0.21512439999999999</v>
      </c>
      <c r="U5677">
        <v>0.33615109999999998</v>
      </c>
      <c r="V5677">
        <v>-1.8068899999999999E-2</v>
      </c>
      <c r="W5677">
        <v>1.5124520000000001E-2</v>
      </c>
      <c r="X5677">
        <v>0.99972240000000001</v>
      </c>
      <c r="Y5677">
        <v>-9.5489229999999994E-2</v>
      </c>
      <c r="Z5677">
        <v>2.2682879999999998E-3</v>
      </c>
      <c r="AA5677">
        <v>0.99542790000000003</v>
      </c>
      <c r="AB5677">
        <v>31</v>
      </c>
      <c r="AC5677">
        <v>15.2738999999999</v>
      </c>
      <c r="AD5677">
        <v>-1.1125646499249999</v>
      </c>
      <c r="AE5677">
        <v>1.73333</v>
      </c>
      <c r="AF5677">
        <v>-1.47992070279404</v>
      </c>
      <c r="AG5677">
        <v>-1.1125646499249999</v>
      </c>
      <c r="AH5677">
        <v>15.2200527486177</v>
      </c>
      <c r="AI5677">
        <v>94.161249816369505</v>
      </c>
      <c r="AJ5677">
        <v>95.553692089702196</v>
      </c>
      <c r="AK5677">
        <v>15.3322526413286</v>
      </c>
      <c r="AL5677">
        <v>89.133395844355206</v>
      </c>
      <c r="AM5677">
        <v>91.035446442941904</v>
      </c>
      <c r="AN5677">
        <v>1.0000000566570899</v>
      </c>
    </row>
    <row r="5678" spans="1:40" x14ac:dyDescent="0.25">
      <c r="A5678" t="str">
        <f>"20190312154716012"</f>
        <v>20190312154716012</v>
      </c>
      <c r="B5678" t="str">
        <f>"1552376836003379"</f>
        <v>1552376836003379</v>
      </c>
      <c r="C5678" t="s">
        <v>40</v>
      </c>
      <c r="D5678">
        <v>4.9687380000000001</v>
      </c>
      <c r="E5678">
        <v>0.47058610000000001</v>
      </c>
      <c r="F5678" t="s">
        <v>71</v>
      </c>
      <c r="G5678">
        <v>-199.23830000000001</v>
      </c>
      <c r="H5678" s="1">
        <v>-7.6497249999999905E-6</v>
      </c>
      <c r="I5678">
        <v>-59.1194699999999</v>
      </c>
      <c r="J5678">
        <v>-214.4171</v>
      </c>
      <c r="K5678">
        <v>1.1127180000000001</v>
      </c>
      <c r="L5678">
        <v>-60.87238</v>
      </c>
      <c r="M5678">
        <v>0.99972899999999998</v>
      </c>
      <c r="N5678">
        <v>0</v>
      </c>
      <c r="O5678">
        <v>1.8255609999999999E-2</v>
      </c>
      <c r="P5678">
        <v>0.99931250000000005</v>
      </c>
      <c r="Q5678">
        <v>3.208164E-4</v>
      </c>
      <c r="R5678">
        <v>3.7074019999999999E-2</v>
      </c>
      <c r="S5678">
        <v>2.9902500000000001</v>
      </c>
      <c r="T5678">
        <v>-0.2167056</v>
      </c>
      <c r="U5678">
        <v>0.34237669999999998</v>
      </c>
      <c r="V5678">
        <v>-1.8927579999999999E-2</v>
      </c>
      <c r="W5678">
        <v>1.46301E-2</v>
      </c>
      <c r="X5678">
        <v>0.99971379999999999</v>
      </c>
      <c r="Y5678">
        <v>-9.539694E-2</v>
      </c>
      <c r="Z5678">
        <v>2.1242990000000001E-3</v>
      </c>
      <c r="AA5678">
        <v>0.99543700000000002</v>
      </c>
      <c r="AB5678">
        <v>31</v>
      </c>
      <c r="AC5678">
        <v>15.178799999999899</v>
      </c>
      <c r="AD5678">
        <v>-1.112725649725</v>
      </c>
      <c r="AE5678">
        <v>1.75291000000001</v>
      </c>
      <c r="AF5678">
        <v>-1.46770693832404</v>
      </c>
      <c r="AG5678">
        <v>-1.112725649725</v>
      </c>
      <c r="AH5678">
        <v>15.1280449223211</v>
      </c>
      <c r="AI5678">
        <v>94.187158942956202</v>
      </c>
      <c r="AJ5678">
        <v>95.541432863324005</v>
      </c>
      <c r="AK5678">
        <v>15.2397527932747</v>
      </c>
      <c r="AL5678">
        <v>89.161727099897703</v>
      </c>
      <c r="AM5678">
        <v>91.084651326273701</v>
      </c>
      <c r="AN5678">
        <v>0.99999998751055297</v>
      </c>
    </row>
    <row r="5679" spans="1:40" x14ac:dyDescent="0.25">
      <c r="A5679" t="str">
        <f>"20190312154716022"</f>
        <v>20190312154716022</v>
      </c>
      <c r="B5679" t="str">
        <f>"1552376836014115"</f>
        <v>1552376836014115</v>
      </c>
      <c r="C5679" t="s">
        <v>40</v>
      </c>
      <c r="D5679">
        <v>4.9772049999999997</v>
      </c>
      <c r="E5679">
        <v>0.47081139999999999</v>
      </c>
      <c r="F5679" t="s">
        <v>71</v>
      </c>
      <c r="G5679">
        <v>-199.16839999999999</v>
      </c>
      <c r="H5679" s="1">
        <v>-7.6525879999999906E-6</v>
      </c>
      <c r="I5679">
        <v>-59.088909999999998</v>
      </c>
      <c r="J5679">
        <v>-214.26840000000001</v>
      </c>
      <c r="K5679">
        <v>1.1128549999999999</v>
      </c>
      <c r="L5679">
        <v>-60.867980000000003</v>
      </c>
      <c r="M5679">
        <v>0.99969200000000003</v>
      </c>
      <c r="N5679">
        <v>0</v>
      </c>
      <c r="O5679">
        <v>2.018089E-2</v>
      </c>
      <c r="P5679">
        <v>0.99920370000000003</v>
      </c>
      <c r="Q5679">
        <v>1.057638E-4</v>
      </c>
      <c r="R5679">
        <v>3.9899850000000001E-2</v>
      </c>
      <c r="S5679">
        <v>2.989182</v>
      </c>
      <c r="T5679">
        <v>-0.2181255</v>
      </c>
      <c r="U5679">
        <v>0.34960940000000001</v>
      </c>
      <c r="V5679">
        <v>-1.983242E-2</v>
      </c>
      <c r="W5679">
        <v>1.4407440000000001E-2</v>
      </c>
      <c r="X5679">
        <v>0.99969949999999996</v>
      </c>
      <c r="Y5679">
        <v>-9.5897880000000005E-2</v>
      </c>
      <c r="Z5679">
        <v>2.0170959999999999E-3</v>
      </c>
      <c r="AA5679">
        <v>0.99538910000000003</v>
      </c>
      <c r="AB5679">
        <v>31</v>
      </c>
      <c r="AC5679">
        <v>15.1</v>
      </c>
      <c r="AD5679">
        <v>-1.1128626525880001</v>
      </c>
      <c r="AE5679">
        <v>1.7790699999999999</v>
      </c>
      <c r="AF5679">
        <v>-1.46609016010475</v>
      </c>
      <c r="AG5679">
        <v>-1.1128626525880001</v>
      </c>
      <c r="AH5679">
        <v>15.0521927369668</v>
      </c>
      <c r="AI5679">
        <v>94.208545795378996</v>
      </c>
      <c r="AJ5679">
        <v>95.563086238719094</v>
      </c>
      <c r="AK5679">
        <v>15.1643130352772</v>
      </c>
      <c r="AL5679">
        <v>89.174485929147806</v>
      </c>
      <c r="AM5679">
        <v>91.136506449146694</v>
      </c>
      <c r="AN5679">
        <v>0.99999999475532997</v>
      </c>
    </row>
    <row r="5680" spans="1:40" x14ac:dyDescent="0.25">
      <c r="A5680" t="str">
        <f>"20190312154716033"</f>
        <v>20190312154716033</v>
      </c>
      <c r="B5680" t="str">
        <f>"1552376836023874"</f>
        <v>1552376836023874</v>
      </c>
      <c r="C5680" t="s">
        <v>40</v>
      </c>
      <c r="D5680">
        <v>4.9685889999999997</v>
      </c>
      <c r="E5680">
        <v>0.47117559999999897</v>
      </c>
      <c r="F5680" t="s">
        <v>71</v>
      </c>
      <c r="G5680">
        <v>-199.12639999999999</v>
      </c>
      <c r="H5680" s="1">
        <v>-7.6570699999999995E-6</v>
      </c>
      <c r="I5680">
        <v>-59.0627</v>
      </c>
      <c r="J5680">
        <v>-214.11529999999999</v>
      </c>
      <c r="K5680">
        <v>1.113005</v>
      </c>
      <c r="L5680">
        <v>-60.862760000000002</v>
      </c>
      <c r="M5680">
        <v>0.99964609999999998</v>
      </c>
      <c r="N5680">
        <v>0</v>
      </c>
      <c r="O5680">
        <v>2.2332390000000001E-2</v>
      </c>
      <c r="P5680">
        <v>0.99908560000000002</v>
      </c>
      <c r="Q5680">
        <v>1.9730630000000001E-4</v>
      </c>
      <c r="R5680">
        <v>4.2756379999999997E-2</v>
      </c>
      <c r="S5680">
        <v>2.9881739999999999</v>
      </c>
      <c r="T5680">
        <v>-0.2196169</v>
      </c>
      <c r="U5680">
        <v>0.35626219999999997</v>
      </c>
      <c r="V5680">
        <v>-2.0545520000000001E-2</v>
      </c>
      <c r="W5680">
        <v>1.449374E-2</v>
      </c>
      <c r="X5680">
        <v>0.99968389999999996</v>
      </c>
      <c r="Y5680">
        <v>-9.5982689999999996E-2</v>
      </c>
      <c r="Z5680">
        <v>1.8771269999999999E-3</v>
      </c>
      <c r="AA5680">
        <v>0.99538119999999997</v>
      </c>
      <c r="AB5680">
        <v>31</v>
      </c>
      <c r="AC5680">
        <v>14.988899999999999</v>
      </c>
      <c r="AD5680">
        <v>-1.1130126570700001</v>
      </c>
      <c r="AE5680">
        <v>1.80005999999999</v>
      </c>
      <c r="AF5680">
        <v>-1.45691891085115</v>
      </c>
      <c r="AG5680">
        <v>-1.1130126570700001</v>
      </c>
      <c r="AH5680">
        <v>14.944135548636901</v>
      </c>
      <c r="AI5680">
        <v>94.239398531544296</v>
      </c>
      <c r="AJ5680">
        <v>95.568227000864994</v>
      </c>
      <c r="AK5680">
        <v>15.0561813612757</v>
      </c>
      <c r="AL5680">
        <v>89.169540827404802</v>
      </c>
      <c r="AM5680">
        <v>91.177378055072793</v>
      </c>
      <c r="AN5680">
        <v>1.0000000434052301</v>
      </c>
    </row>
    <row r="5681" spans="1:40" x14ac:dyDescent="0.25">
      <c r="A5681" t="str">
        <f>"20190312154716045"</f>
        <v>20190312154716045</v>
      </c>
      <c r="B5681" t="str">
        <f>"1552376836033634"</f>
        <v>1552376836033634</v>
      </c>
      <c r="C5681" t="s">
        <v>40</v>
      </c>
      <c r="D5681">
        <v>4.9631379999999998</v>
      </c>
      <c r="E5681">
        <v>0.47154940000000001</v>
      </c>
      <c r="F5681" t="s">
        <v>71</v>
      </c>
      <c r="G5681">
        <v>-198.92789999999999</v>
      </c>
      <c r="H5681" s="1">
        <v>-7.6486270000000005E-6</v>
      </c>
      <c r="I5681">
        <v>-59.023119999999999</v>
      </c>
      <c r="J5681">
        <v>-213.96170000000001</v>
      </c>
      <c r="K5681">
        <v>1.113156</v>
      </c>
      <c r="L5681">
        <v>-60.857390000000002</v>
      </c>
      <c r="M5681">
        <v>0.99959450000000005</v>
      </c>
      <c r="N5681">
        <v>0</v>
      </c>
      <c r="O5681">
        <v>2.4526470000000002E-2</v>
      </c>
      <c r="P5681">
        <v>0.99895040000000002</v>
      </c>
      <c r="Q5681">
        <v>3.321264E-4</v>
      </c>
      <c r="R5681">
        <v>4.58082E-2</v>
      </c>
      <c r="S5681">
        <v>2.9872890000000001</v>
      </c>
      <c r="T5681">
        <v>-0.21892329999999999</v>
      </c>
      <c r="U5681">
        <v>0.36184690000000003</v>
      </c>
      <c r="V5681">
        <v>-2.1411610000000001E-2</v>
      </c>
      <c r="W5681">
        <v>1.4620090000000001E-2</v>
      </c>
      <c r="X5681">
        <v>0.99966379999999999</v>
      </c>
      <c r="Y5681">
        <v>-9.5674770000000006E-2</v>
      </c>
      <c r="Z5681">
        <v>1.700472E-3</v>
      </c>
      <c r="AA5681">
        <v>0.99541120000000005</v>
      </c>
      <c r="AB5681">
        <v>31</v>
      </c>
      <c r="AC5681">
        <v>15.033799999999999</v>
      </c>
      <c r="AD5681">
        <v>-1.113163648627</v>
      </c>
      <c r="AE5681">
        <v>1.8342700000000001</v>
      </c>
      <c r="AF5681">
        <v>-1.45708215361812</v>
      </c>
      <c r="AG5681">
        <v>-1.113163648627</v>
      </c>
      <c r="AH5681">
        <v>14.993274224315501</v>
      </c>
      <c r="AI5681">
        <v>94.226251288045603</v>
      </c>
      <c r="AJ5681">
        <v>95.550709913218299</v>
      </c>
      <c r="AK5681">
        <v>15.1049824123214</v>
      </c>
      <c r="AL5681">
        <v>89.162300667744901</v>
      </c>
      <c r="AM5681">
        <v>91.227019857570298</v>
      </c>
      <c r="AN5681">
        <v>0.99999995855241897</v>
      </c>
    </row>
    <row r="5682" spans="1:40" x14ac:dyDescent="0.25">
      <c r="A5682" t="str">
        <f>"20190312154716057"</f>
        <v>20190312154716057</v>
      </c>
      <c r="B5682" t="str">
        <f>"1552376836043395"</f>
        <v>1552376836043395</v>
      </c>
      <c r="C5682" t="s">
        <v>40</v>
      </c>
      <c r="D5682">
        <v>4.9665619999999997</v>
      </c>
      <c r="E5682">
        <v>0.4719334</v>
      </c>
      <c r="F5682" t="s">
        <v>71</v>
      </c>
      <c r="G5682">
        <v>-198.73060000000001</v>
      </c>
      <c r="H5682" s="1">
        <v>-7.6414219999999996E-6</v>
      </c>
      <c r="I5682">
        <v>-58.980449999999998</v>
      </c>
      <c r="J5682">
        <v>-213.80029999999999</v>
      </c>
      <c r="K5682">
        <v>1.113321</v>
      </c>
      <c r="L5682">
        <v>-60.851039999999998</v>
      </c>
      <c r="M5682">
        <v>0.9995309</v>
      </c>
      <c r="N5682">
        <v>0</v>
      </c>
      <c r="O5682">
        <v>2.698915E-2</v>
      </c>
      <c r="P5682">
        <v>0.99878820000000001</v>
      </c>
      <c r="Q5682">
        <v>3.5805070000000002E-4</v>
      </c>
      <c r="R5682">
        <v>4.9213180000000002E-2</v>
      </c>
      <c r="S5682">
        <v>2.9863430000000002</v>
      </c>
      <c r="T5682">
        <v>-0.21825729999999999</v>
      </c>
      <c r="U5682">
        <v>0.36801149999999999</v>
      </c>
      <c r="V5682">
        <v>-2.2362569999999998E-2</v>
      </c>
      <c r="W5682">
        <v>1.4638200000000001E-2</v>
      </c>
      <c r="X5682">
        <v>0.9996427</v>
      </c>
      <c r="Y5682">
        <v>-9.5293089999999997E-2</v>
      </c>
      <c r="Z5682">
        <v>1.502864E-3</v>
      </c>
      <c r="AA5682">
        <v>0.99544809999999995</v>
      </c>
      <c r="AB5682">
        <v>31</v>
      </c>
      <c r="AC5682">
        <v>15.0696999999999</v>
      </c>
      <c r="AD5682">
        <v>-1.1133286414219901</v>
      </c>
      <c r="AE5682">
        <v>1.87059</v>
      </c>
      <c r="AF5682">
        <v>-1.4553247300954599</v>
      </c>
      <c r="AG5682">
        <v>-1.1133286414219901</v>
      </c>
      <c r="AH5682">
        <v>15.0338896877445</v>
      </c>
      <c r="AI5682">
        <v>94.2156504989712</v>
      </c>
      <c r="AJ5682">
        <v>95.529171948397604</v>
      </c>
      <c r="AK5682">
        <v>15.1451414611125</v>
      </c>
      <c r="AL5682">
        <v>89.161262918339503</v>
      </c>
      <c r="AM5682">
        <v>91.281525097510894</v>
      </c>
      <c r="AN5682">
        <v>0.99999994454976504</v>
      </c>
    </row>
    <row r="5683" spans="1:40" x14ac:dyDescent="0.25">
      <c r="A5683" t="str">
        <f>"20190312154716069"</f>
        <v>20190312154716069</v>
      </c>
      <c r="B5683" t="str">
        <f>"1552376836063421"</f>
        <v>1552376836063421</v>
      </c>
      <c r="C5683" t="s">
        <v>40</v>
      </c>
      <c r="D5683">
        <v>4.9809919999999996</v>
      </c>
      <c r="E5683">
        <v>0.4725779</v>
      </c>
      <c r="F5683" t="s">
        <v>71</v>
      </c>
      <c r="G5683">
        <v>-198.54769999999999</v>
      </c>
      <c r="H5683" s="1">
        <v>-7.6370550000000004E-6</v>
      </c>
      <c r="I5683">
        <v>-58.934260000000002</v>
      </c>
      <c r="J5683">
        <v>-213.63570000000001</v>
      </c>
      <c r="K5683">
        <v>1.1134869999999999</v>
      </c>
      <c r="L5683">
        <v>-60.844209999999997</v>
      </c>
      <c r="M5683">
        <v>0.9994575</v>
      </c>
      <c r="N5683">
        <v>0</v>
      </c>
      <c r="O5683">
        <v>2.9583209999999999E-2</v>
      </c>
      <c r="P5683">
        <v>0.9986121</v>
      </c>
      <c r="Q5683">
        <v>7.7553469999999995E-4</v>
      </c>
      <c r="R5683">
        <v>5.2665179999999999E-2</v>
      </c>
      <c r="S5683">
        <v>2.9852449999999999</v>
      </c>
      <c r="T5683">
        <v>-0.21790039999999999</v>
      </c>
      <c r="U5683">
        <v>0.3751526</v>
      </c>
      <c r="V5683">
        <v>-2.323281E-2</v>
      </c>
      <c r="W5683">
        <v>1.5048239999999999E-2</v>
      </c>
      <c r="X5683">
        <v>0.99961679999999997</v>
      </c>
      <c r="Y5683">
        <v>-9.5106750000000004E-2</v>
      </c>
      <c r="Z5683">
        <v>1.3058360000000001E-3</v>
      </c>
      <c r="AA5683">
        <v>0.99546619999999997</v>
      </c>
      <c r="AB5683">
        <v>31</v>
      </c>
      <c r="AC5683">
        <v>15.087999999999999</v>
      </c>
      <c r="AD5683">
        <v>-1.1134946370550001</v>
      </c>
      <c r="AE5683">
        <v>1.90995</v>
      </c>
      <c r="AF5683">
        <v>-1.45491649343039</v>
      </c>
      <c r="AG5683">
        <v>-1.1134946370550001</v>
      </c>
      <c r="AH5683">
        <v>15.057188580763601</v>
      </c>
      <c r="AI5683">
        <v>94.209847255440707</v>
      </c>
      <c r="AJ5683">
        <v>95.519130171436004</v>
      </c>
      <c r="AK5683">
        <v>15.1682424910167</v>
      </c>
      <c r="AL5683">
        <v>89.137766797443007</v>
      </c>
      <c r="AM5683">
        <v>91.331412549916095</v>
      </c>
      <c r="AN5683">
        <v>0.99999997991491596</v>
      </c>
    </row>
    <row r="5684" spans="1:40" x14ac:dyDescent="0.25">
      <c r="A5684" t="str">
        <f>"20190312154716080"</f>
        <v>20190312154716080</v>
      </c>
      <c r="B5684" t="str">
        <f>"1552376836074158"</f>
        <v>1552376836074158</v>
      </c>
      <c r="C5684" t="s">
        <v>40</v>
      </c>
      <c r="D5684">
        <v>4.9916910000000003</v>
      </c>
      <c r="E5684">
        <v>0.47286739999999999</v>
      </c>
      <c r="F5684" t="s">
        <v>71</v>
      </c>
      <c r="G5684">
        <v>-198.351</v>
      </c>
      <c r="H5684" s="1">
        <v>-7.6282869999999997E-6</v>
      </c>
      <c r="I5684">
        <v>-58.8962</v>
      </c>
      <c r="J5684">
        <v>-213.4648</v>
      </c>
      <c r="K5684">
        <v>1.1136619999999999</v>
      </c>
      <c r="L5684">
        <v>-60.836579999999998</v>
      </c>
      <c r="M5684">
        <v>0.99937069999999995</v>
      </c>
      <c r="N5684">
        <v>0</v>
      </c>
      <c r="O5684">
        <v>3.2376790000000003E-2</v>
      </c>
      <c r="P5684">
        <v>0.99841780000000002</v>
      </c>
      <c r="Q5684">
        <v>1.2126560000000001E-3</v>
      </c>
      <c r="R5684">
        <v>5.6218509999999999E-2</v>
      </c>
      <c r="S5684">
        <v>2.984283</v>
      </c>
      <c r="T5684">
        <v>-0.21740519999999999</v>
      </c>
      <c r="U5684">
        <v>0.38034059999999997</v>
      </c>
      <c r="V5684">
        <v>-2.400625E-2</v>
      </c>
      <c r="W5684">
        <v>1.547925E-2</v>
      </c>
      <c r="X5684">
        <v>0.99959189999999998</v>
      </c>
      <c r="Y5684">
        <v>-9.4077830000000001E-2</v>
      </c>
      <c r="Z5684">
        <v>1.063708E-3</v>
      </c>
      <c r="AA5684">
        <v>0.99556429999999996</v>
      </c>
      <c r="AB5684">
        <v>31</v>
      </c>
      <c r="AC5684">
        <v>15.1137999999999</v>
      </c>
      <c r="AD5684">
        <v>-1.113669628287</v>
      </c>
      <c r="AE5684">
        <v>1.94038</v>
      </c>
      <c r="AF5684">
        <v>-1.4422708781373601</v>
      </c>
      <c r="AG5684">
        <v>-1.113669628287</v>
      </c>
      <c r="AH5684">
        <v>15.088111003577101</v>
      </c>
      <c r="AI5684">
        <v>94.202321305537495</v>
      </c>
      <c r="AJ5684">
        <v>95.460306567704706</v>
      </c>
      <c r="AK5684">
        <v>15.1977465100309</v>
      </c>
      <c r="AL5684">
        <v>89.113068827404604</v>
      </c>
      <c r="AM5684">
        <v>91.375753902515697</v>
      </c>
      <c r="AN5684">
        <v>0.99999993688261501</v>
      </c>
    </row>
    <row r="5685" spans="1:40" x14ac:dyDescent="0.25">
      <c r="A5685" t="str">
        <f>"20190312154716096"</f>
        <v>20190312154716096</v>
      </c>
      <c r="B5685" t="str">
        <f>"1552376836083917"</f>
        <v>1552376836083917</v>
      </c>
      <c r="C5685" t="s">
        <v>40</v>
      </c>
      <c r="D5685">
        <v>4.9890160000000003</v>
      </c>
      <c r="E5685">
        <v>0.47315879999999999</v>
      </c>
      <c r="F5685" t="s">
        <v>71</v>
      </c>
      <c r="G5685">
        <v>-198.1352</v>
      </c>
      <c r="H5685" s="1">
        <v>-7.624063E-6</v>
      </c>
      <c r="I5685">
        <v>-58.839109999999998</v>
      </c>
      <c r="J5685">
        <v>-213.26329999999999</v>
      </c>
      <c r="K5685">
        <v>1.113872</v>
      </c>
      <c r="L5685">
        <v>-60.826630000000002</v>
      </c>
      <c r="M5685">
        <v>0.99925140000000001</v>
      </c>
      <c r="N5685">
        <v>0</v>
      </c>
      <c r="O5685">
        <v>3.5861629999999999E-2</v>
      </c>
      <c r="P5685">
        <v>0.99815149999999997</v>
      </c>
      <c r="Q5685">
        <v>3.2215379999999999E-3</v>
      </c>
      <c r="R5685">
        <v>6.0688020000000002E-2</v>
      </c>
      <c r="S5685">
        <v>2.9830930000000002</v>
      </c>
      <c r="T5685">
        <v>-0.21671750000000001</v>
      </c>
      <c r="U5685">
        <v>0.3887024</v>
      </c>
      <c r="V5685">
        <v>-2.5024000000000001E-2</v>
      </c>
      <c r="W5685">
        <v>1.7479789999999999E-2</v>
      </c>
      <c r="X5685">
        <v>0.99953400000000003</v>
      </c>
      <c r="Y5685">
        <v>-9.3412640000000005E-2</v>
      </c>
      <c r="Z5685">
        <v>7.8516359999999995E-4</v>
      </c>
      <c r="AA5685">
        <v>0.99562720000000005</v>
      </c>
      <c r="AB5685">
        <v>31</v>
      </c>
      <c r="AC5685">
        <v>15.1280999999999</v>
      </c>
      <c r="AD5685">
        <v>-1.113879624063</v>
      </c>
      <c r="AE5685">
        <v>1.98752</v>
      </c>
      <c r="AF5685">
        <v>-1.4360127937249101</v>
      </c>
      <c r="AG5685">
        <v>-1.113879624063</v>
      </c>
      <c r="AH5685">
        <v>15.109128162691899</v>
      </c>
      <c r="AI5685">
        <v>94.197501307214907</v>
      </c>
      <c r="AJ5685">
        <v>95.429238859280503</v>
      </c>
      <c r="AK5685">
        <v>15.218035825864501</v>
      </c>
      <c r="AL5685">
        <v>88.998430778418495</v>
      </c>
      <c r="AM5685">
        <v>91.434138452757296</v>
      </c>
      <c r="AN5685">
        <v>0.99999998039522098</v>
      </c>
    </row>
    <row r="5686" spans="1:40" x14ac:dyDescent="0.25">
      <c r="A5686" t="str">
        <f>"20190312154716110"</f>
        <v>20190312154716110</v>
      </c>
      <c r="B5686" t="str">
        <f>"1552376836103437"</f>
        <v>1552376836103437</v>
      </c>
      <c r="C5686" t="s">
        <v>40</v>
      </c>
      <c r="D5686">
        <v>5.0430710000000003</v>
      </c>
      <c r="E5686">
        <v>0.4737942</v>
      </c>
      <c r="F5686" t="s">
        <v>71</v>
      </c>
      <c r="G5686">
        <v>-197.4829</v>
      </c>
      <c r="H5686" s="1">
        <v>-7.5960569999999999E-6</v>
      </c>
      <c r="I5686">
        <v>-58.70984</v>
      </c>
      <c r="J5686">
        <v>-213.07859999999999</v>
      </c>
      <c r="K5686">
        <v>1.1140639999999999</v>
      </c>
      <c r="L5686">
        <v>-60.816830000000003</v>
      </c>
      <c r="M5686">
        <v>0.99912659999999998</v>
      </c>
      <c r="N5686">
        <v>0</v>
      </c>
      <c r="O5686">
        <v>3.9185009999999999E-2</v>
      </c>
      <c r="P5686">
        <v>0.99790889999999999</v>
      </c>
      <c r="Q5686">
        <v>4.1553830000000003E-3</v>
      </c>
      <c r="R5686">
        <v>6.4505969999999996E-2</v>
      </c>
      <c r="S5686">
        <v>2.9819179999999998</v>
      </c>
      <c r="T5686">
        <v>-0.2104818</v>
      </c>
      <c r="U5686">
        <v>0.39999390000000001</v>
      </c>
      <c r="V5686">
        <v>-2.554118E-2</v>
      </c>
      <c r="W5686">
        <v>1.840899E-2</v>
      </c>
      <c r="X5686">
        <v>0.99950430000000001</v>
      </c>
      <c r="Y5686">
        <v>-9.3872140000000007E-2</v>
      </c>
      <c r="Z5686">
        <v>5.4604350000000002E-4</v>
      </c>
      <c r="AA5686">
        <v>0.99558409999999997</v>
      </c>
      <c r="AB5686">
        <v>31</v>
      </c>
      <c r="AC5686">
        <v>15.5956999999999</v>
      </c>
      <c r="AD5686">
        <v>-1.114071596057</v>
      </c>
      <c r="AE5686">
        <v>2.1069900000000001</v>
      </c>
      <c r="AF5686">
        <v>-1.48673874269429</v>
      </c>
      <c r="AG5686">
        <v>-1.114071596057</v>
      </c>
      <c r="AH5686">
        <v>15.588171739480201</v>
      </c>
      <c r="AI5686">
        <v>94.069518399257902</v>
      </c>
      <c r="AJ5686">
        <v>95.448166910064998</v>
      </c>
      <c r="AK5686">
        <v>15.6984918316919</v>
      </c>
      <c r="AL5686">
        <v>88.945183030880898</v>
      </c>
      <c r="AM5686">
        <v>91.463809019301806</v>
      </c>
      <c r="AN5686">
        <v>1.0000000442535499</v>
      </c>
    </row>
    <row r="5687" spans="1:40" x14ac:dyDescent="0.25">
      <c r="A5687" t="str">
        <f>"20190312154716121"</f>
        <v>20190312154716121</v>
      </c>
      <c r="B5687" t="str">
        <f>"1552376836114174"</f>
        <v>1552376836114174</v>
      </c>
      <c r="C5687" t="s">
        <v>40</v>
      </c>
      <c r="D5687">
        <v>5.0415919999999996</v>
      </c>
      <c r="E5687">
        <v>0.47412199999999999</v>
      </c>
      <c r="F5687" t="s">
        <v>71</v>
      </c>
      <c r="G5687">
        <v>-197.1977</v>
      </c>
      <c r="H5687" s="1">
        <v>-7.5846740000000001E-6</v>
      </c>
      <c r="I5687">
        <v>-58.650880000000001</v>
      </c>
      <c r="J5687">
        <v>-212.89789999999999</v>
      </c>
      <c r="K5687">
        <v>1.114252</v>
      </c>
      <c r="L5687">
        <v>-60.806669999999997</v>
      </c>
      <c r="M5687">
        <v>0.99898830000000005</v>
      </c>
      <c r="N5687">
        <v>0</v>
      </c>
      <c r="O5687">
        <v>4.2557530000000003E-2</v>
      </c>
      <c r="P5687">
        <v>0.99768559999999995</v>
      </c>
      <c r="Q5687">
        <v>5.2184759999999997E-3</v>
      </c>
      <c r="R5687">
        <v>6.7794759999999996E-2</v>
      </c>
      <c r="S5687">
        <v>2.980896</v>
      </c>
      <c r="T5687">
        <v>-0.20911440000000001</v>
      </c>
      <c r="U5687">
        <v>0.40655520000000001</v>
      </c>
      <c r="V5687">
        <v>-2.5481569999999999E-2</v>
      </c>
      <c r="W5687">
        <v>1.9473580000000001E-2</v>
      </c>
      <c r="X5687">
        <v>0.99948559999999997</v>
      </c>
      <c r="Y5687">
        <v>-9.2720899999999995E-2</v>
      </c>
      <c r="Z5687">
        <v>2.6772869999999998E-4</v>
      </c>
      <c r="AA5687">
        <v>0.99569209999999997</v>
      </c>
      <c r="AB5687">
        <v>31</v>
      </c>
      <c r="AC5687">
        <v>15.700199999999899</v>
      </c>
      <c r="AD5687">
        <v>-1.114259584674</v>
      </c>
      <c r="AE5687">
        <v>2.1557899999999801</v>
      </c>
      <c r="AF5687">
        <v>-1.4782959436704799</v>
      </c>
      <c r="AG5687">
        <v>-1.114259584674</v>
      </c>
      <c r="AH5687">
        <v>15.700111338346099</v>
      </c>
      <c r="AI5687">
        <v>94.041740029466794</v>
      </c>
      <c r="AJ5687">
        <v>95.379014753148198</v>
      </c>
      <c r="AK5687">
        <v>15.808871855878101</v>
      </c>
      <c r="AL5687">
        <v>88.884175519922096</v>
      </c>
      <c r="AM5687">
        <v>91.460421460330807</v>
      </c>
      <c r="AN5687">
        <v>0.99999999766752001</v>
      </c>
    </row>
    <row r="5688" spans="1:40" x14ac:dyDescent="0.25">
      <c r="A5688" t="str">
        <f>"20190312154716141"</f>
        <v>20190312154716141</v>
      </c>
      <c r="B5688" t="str">
        <f>"1552376836133693"</f>
        <v>1552376836133693</v>
      </c>
      <c r="C5688" t="s">
        <v>40</v>
      </c>
      <c r="D5688">
        <v>5.0420579999999999</v>
      </c>
      <c r="E5688">
        <v>0.47474749999999999</v>
      </c>
      <c r="F5688" t="s">
        <v>71</v>
      </c>
      <c r="G5688">
        <v>-196.81970000000001</v>
      </c>
      <c r="H5688" s="1">
        <v>-7.5694769999999997E-6</v>
      </c>
      <c r="I5688">
        <v>-58.573050000000002</v>
      </c>
      <c r="J5688">
        <v>-212.6482</v>
      </c>
      <c r="K5688">
        <v>1.1145160000000001</v>
      </c>
      <c r="L5688">
        <v>-60.791139999999999</v>
      </c>
      <c r="M5688">
        <v>0.99876509999999996</v>
      </c>
      <c r="N5688">
        <v>0</v>
      </c>
      <c r="O5688">
        <v>4.7503459999999997E-2</v>
      </c>
      <c r="P5688">
        <v>0.99728410000000001</v>
      </c>
      <c r="Q5688">
        <v>6.3650360000000001E-3</v>
      </c>
      <c r="R5688">
        <v>7.3376549999999999E-2</v>
      </c>
      <c r="S5688">
        <v>2.979889</v>
      </c>
      <c r="T5688">
        <v>-0.2065128</v>
      </c>
      <c r="U5688">
        <v>0.41397089999999998</v>
      </c>
      <c r="V5688">
        <v>-2.6151049999999999E-2</v>
      </c>
      <c r="W5688">
        <v>2.0616800000000001E-2</v>
      </c>
      <c r="X5688">
        <v>0.99944540000000004</v>
      </c>
      <c r="Y5688">
        <v>-9.0287649999999997E-2</v>
      </c>
      <c r="Z5688">
        <v>-1.5929529999999999E-4</v>
      </c>
      <c r="AA5688">
        <v>0.99591569999999996</v>
      </c>
      <c r="AB5688">
        <v>31</v>
      </c>
      <c r="AC5688">
        <v>15.828499999999901</v>
      </c>
      <c r="AD5688">
        <v>-1.1145235694769999</v>
      </c>
      <c r="AE5688">
        <v>2.2180900000000001</v>
      </c>
      <c r="AF5688">
        <v>-1.4565150890827701</v>
      </c>
      <c r="AG5688">
        <v>-1.1145235694769999</v>
      </c>
      <c r="AH5688">
        <v>15.8389891325865</v>
      </c>
      <c r="AI5688">
        <v>94.008174735383705</v>
      </c>
      <c r="AJ5688">
        <v>95.254004768105702</v>
      </c>
      <c r="AK5688">
        <v>15.944816578871</v>
      </c>
      <c r="AL5688">
        <v>88.818660696443601</v>
      </c>
      <c r="AM5688">
        <v>91.498834248139701</v>
      </c>
      <c r="AN5688">
        <v>1.00000001871975</v>
      </c>
    </row>
    <row r="5689" spans="1:40" x14ac:dyDescent="0.25">
      <c r="A5689" t="str">
        <f>"20190312154716153"</f>
        <v>20190312154716153</v>
      </c>
      <c r="B5689" t="str">
        <f>"1552376836143453"</f>
        <v>1552376836143453</v>
      </c>
      <c r="C5689" t="s">
        <v>40</v>
      </c>
      <c r="D5689">
        <v>5.0525129999999896</v>
      </c>
      <c r="E5689">
        <v>0.47506019999999999</v>
      </c>
      <c r="F5689" t="s">
        <v>71</v>
      </c>
      <c r="G5689">
        <v>-196.4752</v>
      </c>
      <c r="H5689" s="1">
        <v>-7.564248E-6</v>
      </c>
      <c r="I5689">
        <v>-58.477569999999901</v>
      </c>
      <c r="J5689">
        <v>-212.48650000000001</v>
      </c>
      <c r="K5689">
        <v>1.1146940000000001</v>
      </c>
      <c r="L5689">
        <v>-60.780180000000001</v>
      </c>
      <c r="M5689">
        <v>0.9985986</v>
      </c>
      <c r="N5689">
        <v>0</v>
      </c>
      <c r="O5689">
        <v>5.0877360000000003E-2</v>
      </c>
      <c r="P5689">
        <v>0.99703350000000002</v>
      </c>
      <c r="Q5689">
        <v>6.4835140000000001E-3</v>
      </c>
      <c r="R5689">
        <v>7.6697100000000004E-2</v>
      </c>
      <c r="S5689">
        <v>2.9781339999999998</v>
      </c>
      <c r="T5689">
        <v>-0.2052312</v>
      </c>
      <c r="U5689">
        <v>0.4260254</v>
      </c>
      <c r="V5689">
        <v>-2.6113330000000001E-2</v>
      </c>
      <c r="W5689">
        <v>2.073933E-2</v>
      </c>
      <c r="X5689">
        <v>0.99944379999999999</v>
      </c>
      <c r="Y5689">
        <v>-9.0963039999999995E-2</v>
      </c>
      <c r="Z5689">
        <v>-3.6562070000000001E-4</v>
      </c>
      <c r="AA5689">
        <v>0.99585420000000002</v>
      </c>
      <c r="AB5689">
        <v>31</v>
      </c>
      <c r="AC5689">
        <v>16.011299999999999</v>
      </c>
      <c r="AD5689">
        <v>-1.114701564248</v>
      </c>
      <c r="AE5689">
        <v>2.30261</v>
      </c>
      <c r="AF5689">
        <v>-1.47790997019757</v>
      </c>
      <c r="AG5689">
        <v>-1.114701564248</v>
      </c>
      <c r="AH5689">
        <v>16.031593608706501</v>
      </c>
      <c r="AI5689">
        <v>93.9607220686528</v>
      </c>
      <c r="AJ5689">
        <v>95.267058460500493</v>
      </c>
      <c r="AK5689">
        <v>16.1381154752364</v>
      </c>
      <c r="AL5689">
        <v>88.811638682540107</v>
      </c>
      <c r="AM5689">
        <v>91.496675724303003</v>
      </c>
      <c r="AN5689">
        <v>0.99999996758548804</v>
      </c>
    </row>
    <row r="5690" spans="1:40" x14ac:dyDescent="0.25">
      <c r="A5690" t="str">
        <f>"20190312154716163"</f>
        <v>20190312154716163</v>
      </c>
      <c r="B5690" t="str">
        <f>"1552376836154190"</f>
        <v>1552376836154190</v>
      </c>
      <c r="C5690" t="s">
        <v>40</v>
      </c>
      <c r="D5690">
        <v>5.0443639999999998</v>
      </c>
      <c r="E5690">
        <v>0.47536529999999999</v>
      </c>
      <c r="F5690" t="s">
        <v>71</v>
      </c>
      <c r="G5690">
        <v>-196.36160000000001</v>
      </c>
      <c r="H5690" s="1">
        <v>-7.5675580000000003E-6</v>
      </c>
      <c r="I5690">
        <v>-58.431719999999999</v>
      </c>
      <c r="J5690">
        <v>-212.33879999999999</v>
      </c>
      <c r="K5690">
        <v>1.1148579999999999</v>
      </c>
      <c r="L5690">
        <v>-60.769959999999998</v>
      </c>
      <c r="M5690">
        <v>0.9984345</v>
      </c>
      <c r="N5690">
        <v>0</v>
      </c>
      <c r="O5690">
        <v>5.3999850000000002E-2</v>
      </c>
      <c r="P5690">
        <v>0.99677530000000003</v>
      </c>
      <c r="Q5690">
        <v>6.7664600000000002E-3</v>
      </c>
      <c r="R5690">
        <v>7.9958779999999993E-2</v>
      </c>
      <c r="S5690">
        <v>2.9769130000000001</v>
      </c>
      <c r="T5690">
        <v>-0.20579220000000001</v>
      </c>
      <c r="U5690">
        <v>0.43356319999999998</v>
      </c>
      <c r="V5690">
        <v>-2.626949E-2</v>
      </c>
      <c r="W5690">
        <v>2.102298E-2</v>
      </c>
      <c r="X5690">
        <v>0.99943380000000004</v>
      </c>
      <c r="Y5690">
        <v>-9.0384329999999999E-2</v>
      </c>
      <c r="Z5690">
        <v>-6.0038639999999998E-4</v>
      </c>
      <c r="AA5690">
        <v>0.99590679999999998</v>
      </c>
      <c r="AB5690">
        <v>31</v>
      </c>
      <c r="AC5690">
        <v>15.9771999999999</v>
      </c>
      <c r="AD5690">
        <v>-1.1148655675579999</v>
      </c>
      <c r="AE5690">
        <v>2.3382399999999901</v>
      </c>
      <c r="AF5690">
        <v>-1.4649860263416801</v>
      </c>
      <c r="AG5690">
        <v>-1.1148655675579999</v>
      </c>
      <c r="AH5690">
        <v>16.003871849567201</v>
      </c>
      <c r="AI5690">
        <v>93.968376222168899</v>
      </c>
      <c r="AJ5690">
        <v>95.230249160359307</v>
      </c>
      <c r="AK5690">
        <v>16.109407917998499</v>
      </c>
      <c r="AL5690">
        <v>88.795383212243706</v>
      </c>
      <c r="AM5690">
        <v>91.505636926492699</v>
      </c>
      <c r="AN5690">
        <v>0.99999998618769004</v>
      </c>
    </row>
    <row r="5691" spans="1:40" x14ac:dyDescent="0.25">
      <c r="A5691" t="str">
        <f>"20190312154716176"</f>
        <v>20190312154716176</v>
      </c>
      <c r="B5691" t="str">
        <f>"1552376836163481"</f>
        <v>1552376836163481</v>
      </c>
      <c r="C5691" t="s">
        <v>40</v>
      </c>
      <c r="D5691">
        <v>5.1627289999999997</v>
      </c>
      <c r="E5691">
        <v>0.4751744</v>
      </c>
      <c r="F5691" t="s">
        <v>71</v>
      </c>
      <c r="G5691">
        <v>-196.24520000000001</v>
      </c>
      <c r="H5691" s="1">
        <v>-7.5707460000000002E-6</v>
      </c>
      <c r="I5691">
        <v>-58.385359999999999</v>
      </c>
      <c r="J5691">
        <v>-212.18010000000001</v>
      </c>
      <c r="K5691">
        <v>1.1150359999999999</v>
      </c>
      <c r="L5691">
        <v>-60.757809999999999</v>
      </c>
      <c r="M5691">
        <v>0.99823530000000005</v>
      </c>
      <c r="N5691">
        <v>0</v>
      </c>
      <c r="O5691">
        <v>5.7559649999999997E-2</v>
      </c>
      <c r="P5691">
        <v>0.9964537</v>
      </c>
      <c r="Q5691">
        <v>7.3816119999999897E-3</v>
      </c>
      <c r="R5691">
        <v>8.3819959999999999E-2</v>
      </c>
      <c r="S5691">
        <v>2.9757389999999999</v>
      </c>
      <c r="T5691">
        <v>-0.20614099999999999</v>
      </c>
      <c r="U5691">
        <v>0.44091799999999998</v>
      </c>
      <c r="V5691">
        <v>-2.6595589999999999E-2</v>
      </c>
      <c r="W5691">
        <v>2.1640340000000001E-2</v>
      </c>
      <c r="X5691">
        <v>0.99941199999999997</v>
      </c>
      <c r="Y5691">
        <v>-8.9309180000000002E-2</v>
      </c>
      <c r="Z5691">
        <v>-8.8267399999999996E-4</v>
      </c>
      <c r="AA5691">
        <v>0.99600359999999999</v>
      </c>
      <c r="AB5691">
        <v>31</v>
      </c>
      <c r="AC5691">
        <v>15.934900000000001</v>
      </c>
      <c r="AD5691">
        <v>-1.115043570746</v>
      </c>
      <c r="AE5691">
        <v>2.3724500000000002</v>
      </c>
      <c r="AF5691">
        <v>-1.4442921546735099</v>
      </c>
      <c r="AG5691">
        <v>-1.115043570746</v>
      </c>
      <c r="AH5691">
        <v>15.968553068403001</v>
      </c>
      <c r="AI5691">
        <v>93.978149468388196</v>
      </c>
      <c r="AJ5691">
        <v>95.1681135782718</v>
      </c>
      <c r="AK5691">
        <v>16.072460579858799</v>
      </c>
      <c r="AL5691">
        <v>88.760003040060695</v>
      </c>
      <c r="AM5691">
        <v>91.5243518317086</v>
      </c>
      <c r="AN5691">
        <v>0.99999998773338095</v>
      </c>
    </row>
    <row r="5692" spans="1:40" x14ac:dyDescent="0.25">
      <c r="A5692" t="str">
        <f>"20190312154716187"</f>
        <v>20190312154716187</v>
      </c>
      <c r="B5692" t="str">
        <f>"1552376836183977"</f>
        <v>1552376836183977</v>
      </c>
      <c r="C5692" t="s">
        <v>40</v>
      </c>
      <c r="D5692">
        <v>5.2217859999999998</v>
      </c>
      <c r="E5692">
        <v>0.43275400000000003</v>
      </c>
      <c r="F5692" t="s">
        <v>71</v>
      </c>
      <c r="G5692">
        <v>-195.89940000000001</v>
      </c>
      <c r="H5692" s="1">
        <v>-7.571428E-6</v>
      </c>
      <c r="I5692">
        <v>-58.272590000000001</v>
      </c>
      <c r="J5692">
        <v>-212.0147</v>
      </c>
      <c r="K5692">
        <v>1.115221</v>
      </c>
      <c r="L5692">
        <v>-60.744810000000001</v>
      </c>
      <c r="M5692">
        <v>0.99801039999999996</v>
      </c>
      <c r="N5692">
        <v>0</v>
      </c>
      <c r="O5692">
        <v>6.1332680000000001E-2</v>
      </c>
      <c r="P5692">
        <v>0.99613119999999999</v>
      </c>
      <c r="Q5692">
        <v>7.8822340000000001E-3</v>
      </c>
      <c r="R5692">
        <v>8.7525889999999995E-2</v>
      </c>
      <c r="S5692">
        <v>2.9740139999999999</v>
      </c>
      <c r="T5692">
        <v>-0.20368720000000001</v>
      </c>
      <c r="U5692">
        <v>0.45397949999999998</v>
      </c>
      <c r="V5692">
        <v>-2.6551930000000001E-2</v>
      </c>
      <c r="W5692">
        <v>2.2147099999999999E-2</v>
      </c>
      <c r="X5692">
        <v>0.99940200000000001</v>
      </c>
      <c r="Y5692">
        <v>-8.9914369999999993E-2</v>
      </c>
      <c r="Z5692">
        <v>-1.1074399999999999E-3</v>
      </c>
      <c r="AA5692">
        <v>0.99594890000000003</v>
      </c>
      <c r="AB5692">
        <v>31</v>
      </c>
      <c r="AC5692">
        <v>16.115299999999898</v>
      </c>
      <c r="AD5692">
        <v>-1.1152285714279999</v>
      </c>
      <c r="AE5692">
        <v>2.4722200000000001</v>
      </c>
      <c r="AF5692">
        <v>-1.4721764199876901</v>
      </c>
      <c r="AG5692">
        <v>-1.1152285714279999</v>
      </c>
      <c r="AH5692">
        <v>16.160982108832599</v>
      </c>
      <c r="AI5692">
        <v>93.931352326789394</v>
      </c>
      <c r="AJ5692">
        <v>95.204964235611598</v>
      </c>
      <c r="AK5692">
        <v>16.2661729026869</v>
      </c>
      <c r="AL5692">
        <v>88.730960793451402</v>
      </c>
      <c r="AM5692">
        <v>91.521865815023503</v>
      </c>
      <c r="AN5692">
        <v>0.99999992831456397</v>
      </c>
    </row>
    <row r="5693" spans="1:40" x14ac:dyDescent="0.25">
      <c r="A5693" t="str">
        <f>"20190312154716198"</f>
        <v>20190312154716198</v>
      </c>
      <c r="B5693" t="str">
        <f>"1552376836193737"</f>
        <v>1552376836193737</v>
      </c>
      <c r="C5693" t="s">
        <v>40</v>
      </c>
      <c r="D5693">
        <v>5.1535419999999998</v>
      </c>
      <c r="E5693">
        <v>0.4237958</v>
      </c>
      <c r="F5693" t="s">
        <v>71</v>
      </c>
      <c r="G5693">
        <v>-200.01589999999999</v>
      </c>
      <c r="H5693" s="1">
        <v>-6.15756099999999E-6</v>
      </c>
      <c r="I5693">
        <v>-57.468490000000003</v>
      </c>
      <c r="J5693">
        <v>-211.86</v>
      </c>
      <c r="K5693">
        <v>1.1153979999999999</v>
      </c>
      <c r="L5693">
        <v>-60.731839999999998</v>
      </c>
      <c r="M5693">
        <v>0.99777760000000004</v>
      </c>
      <c r="N5693">
        <v>0</v>
      </c>
      <c r="O5693">
        <v>6.5006140000000004E-2</v>
      </c>
      <c r="P5693">
        <v>0.99580139999999995</v>
      </c>
      <c r="Q5693">
        <v>8.3467939999999994E-3</v>
      </c>
      <c r="R5693">
        <v>9.1160959999999999E-2</v>
      </c>
      <c r="S5693">
        <v>2.9432070000000001</v>
      </c>
      <c r="T5693">
        <v>-0.27355459999999998</v>
      </c>
      <c r="U5693">
        <v>0.80364990000000003</v>
      </c>
      <c r="V5693">
        <v>-2.6536400000000002E-2</v>
      </c>
      <c r="W5693">
        <v>2.2618579999999999E-2</v>
      </c>
      <c r="X5693">
        <v>0.9993919</v>
      </c>
      <c r="Y5693">
        <v>-0.1995972</v>
      </c>
      <c r="Z5693">
        <v>3.1844960000000002E-3</v>
      </c>
      <c r="AA5693">
        <v>0.97987279999999999</v>
      </c>
      <c r="AB5693">
        <v>31</v>
      </c>
      <c r="AC5693">
        <v>11.844099999999999</v>
      </c>
      <c r="AD5693">
        <v>-1.1154041575610001</v>
      </c>
      <c r="AE5693">
        <v>3.26335</v>
      </c>
      <c r="AF5693">
        <v>-2.4660965340588499</v>
      </c>
      <c r="AG5693">
        <v>-1.1154041575610001</v>
      </c>
      <c r="AH5693">
        <v>11.9328414128323</v>
      </c>
      <c r="AI5693">
        <v>95.230226950943901</v>
      </c>
      <c r="AJ5693">
        <v>101.676627201446</v>
      </c>
      <c r="AK5693">
        <v>12.235949604906301</v>
      </c>
      <c r="AL5693">
        <v>88.703940268571401</v>
      </c>
      <c r="AM5693">
        <v>91.520991470764699</v>
      </c>
      <c r="AN5693">
        <v>0.99999997523589201</v>
      </c>
    </row>
    <row r="5694" spans="1:40" x14ac:dyDescent="0.25">
      <c r="A5694" t="str">
        <f>"20190312154716210"</f>
        <v>20190312154716210</v>
      </c>
      <c r="B5694" t="str">
        <f>"1552376836203498"</f>
        <v>1552376836203498</v>
      </c>
      <c r="C5694" t="s">
        <v>40</v>
      </c>
      <c r="D5694">
        <v>5.0313150000000002</v>
      </c>
      <c r="E5694">
        <v>0.41524840000000002</v>
      </c>
      <c r="F5694" t="s">
        <v>71</v>
      </c>
      <c r="G5694">
        <v>-200.40520000000001</v>
      </c>
      <c r="H5694" s="1">
        <v>-6.0407980000000002E-6</v>
      </c>
      <c r="I5694">
        <v>-57.272709999999996</v>
      </c>
      <c r="J5694">
        <v>-211.71190000000001</v>
      </c>
      <c r="K5694">
        <v>1.1155630000000001</v>
      </c>
      <c r="L5694">
        <v>-60.718809999999998</v>
      </c>
      <c r="M5694">
        <v>0.99753519999999896</v>
      </c>
      <c r="N5694">
        <v>0</v>
      </c>
      <c r="O5694">
        <v>6.8622530000000001E-2</v>
      </c>
      <c r="P5694">
        <v>0.99546659999999998</v>
      </c>
      <c r="Q5694">
        <v>8.5288159999999998E-3</v>
      </c>
      <c r="R5694">
        <v>9.4728129999999994E-2</v>
      </c>
      <c r="S5694">
        <v>2.933929</v>
      </c>
      <c r="T5694">
        <v>-0.28568850000000001</v>
      </c>
      <c r="U5694">
        <v>0.8859863</v>
      </c>
      <c r="V5694">
        <v>-2.6506740000000001E-2</v>
      </c>
      <c r="W5694">
        <v>2.2807830000000001E-2</v>
      </c>
      <c r="X5694">
        <v>0.99938839999999995</v>
      </c>
      <c r="Y5694">
        <v>-0.22204260000000001</v>
      </c>
      <c r="Z5694">
        <v>4.049123E-3</v>
      </c>
      <c r="AA5694">
        <v>0.97502860000000002</v>
      </c>
      <c r="AB5694">
        <v>31</v>
      </c>
      <c r="AC5694">
        <v>11.306699999999999</v>
      </c>
      <c r="AD5694">
        <v>-1.1155690407979999</v>
      </c>
      <c r="AE5694">
        <v>3.4460999999999999</v>
      </c>
      <c r="AF5694">
        <v>-2.6384954440764599</v>
      </c>
      <c r="AG5694">
        <v>-1.1155690407979999</v>
      </c>
      <c r="AH5694">
        <v>11.4148713428775</v>
      </c>
      <c r="AI5694">
        <v>95.4392396110254</v>
      </c>
      <c r="AJ5694">
        <v>103.015080364138</v>
      </c>
      <c r="AK5694">
        <v>11.7688334284943</v>
      </c>
      <c r="AL5694">
        <v>88.693094262248707</v>
      </c>
      <c r="AM5694">
        <v>91.519297558880794</v>
      </c>
      <c r="AN5694">
        <v>0.99999998921464806</v>
      </c>
    </row>
    <row r="5695" spans="1:40" x14ac:dyDescent="0.25">
      <c r="A5695" t="str">
        <f>"20190312154716222"</f>
        <v>20190312154716222</v>
      </c>
      <c r="B5695" t="str">
        <f>"1552376836214233"</f>
        <v>1552376836214233</v>
      </c>
      <c r="C5695" t="s">
        <v>40</v>
      </c>
      <c r="D5695">
        <v>5.1095129999999997</v>
      </c>
      <c r="E5695">
        <v>0.40805239999999998</v>
      </c>
      <c r="F5695" t="s">
        <v>71</v>
      </c>
      <c r="G5695">
        <v>-200.9915</v>
      </c>
      <c r="H5695" s="1">
        <v>-5.8331039999999901E-6</v>
      </c>
      <c r="I5695">
        <v>-57.181789999999999</v>
      </c>
      <c r="J5695">
        <v>-211.53489999999999</v>
      </c>
      <c r="K5695">
        <v>1.1157520000000001</v>
      </c>
      <c r="L5695">
        <v>-60.702579999999998</v>
      </c>
      <c r="M5695">
        <v>0.99722069999999996</v>
      </c>
      <c r="N5695">
        <v>0</v>
      </c>
      <c r="O5695">
        <v>7.3044460000000005E-2</v>
      </c>
      <c r="P5695">
        <v>0.99504300000000001</v>
      </c>
      <c r="Q5695">
        <v>8.1989780000000009E-3</v>
      </c>
      <c r="R5695">
        <v>9.9108409999999994E-2</v>
      </c>
      <c r="S5695">
        <v>2.9244539999999999</v>
      </c>
      <c r="T5695">
        <v>-0.30431989999999998</v>
      </c>
      <c r="U5695">
        <v>0.96487429999999996</v>
      </c>
      <c r="V5695">
        <v>-2.6480719999999999E-2</v>
      </c>
      <c r="W5695">
        <v>2.2487960000000001E-2</v>
      </c>
      <c r="X5695">
        <v>0.99939630000000002</v>
      </c>
      <c r="Y5695">
        <v>-0.24228920000000001</v>
      </c>
      <c r="Z5695">
        <v>4.8895600000000003E-3</v>
      </c>
      <c r="AA5695">
        <v>0.97019169999999999</v>
      </c>
      <c r="AB5695">
        <v>31</v>
      </c>
      <c r="AC5695">
        <v>10.543399999999901</v>
      </c>
      <c r="AD5695">
        <v>-1.1157578331039999</v>
      </c>
      <c r="AE5695">
        <v>3.5207899999999999</v>
      </c>
      <c r="AF5695">
        <v>-2.7138199546438102</v>
      </c>
      <c r="AG5695">
        <v>-1.1157578331039999</v>
      </c>
      <c r="AH5695">
        <v>10.664976605879501</v>
      </c>
      <c r="AI5695">
        <v>95.789315878243599</v>
      </c>
      <c r="AJ5695">
        <v>104.276547887519</v>
      </c>
      <c r="AK5695">
        <v>11.061259435177901</v>
      </c>
      <c r="AL5695">
        <v>88.711426115903905</v>
      </c>
      <c r="AM5695">
        <v>91.517794865669899</v>
      </c>
      <c r="AN5695">
        <v>0.99999995066518299</v>
      </c>
    </row>
    <row r="5696" spans="1:40" x14ac:dyDescent="0.25">
      <c r="A5696" t="str">
        <f>"20190312154716232"</f>
        <v>20190312154716232</v>
      </c>
      <c r="B5696" t="str">
        <f>"1552376836223994"</f>
        <v>1552376836223994</v>
      </c>
      <c r="C5696" t="s">
        <v>40</v>
      </c>
      <c r="D5696">
        <v>5.2329829999999999</v>
      </c>
      <c r="E5696">
        <v>0.40388210000000002</v>
      </c>
      <c r="F5696" t="s">
        <v>71</v>
      </c>
      <c r="G5696">
        <v>-201.084</v>
      </c>
      <c r="H5696" s="1">
        <v>-5.8279349999999996E-6</v>
      </c>
      <c r="I5696">
        <v>-56.990690000000001</v>
      </c>
      <c r="J5696">
        <v>-211.39750000000001</v>
      </c>
      <c r="K5696">
        <v>1.1157840000000001</v>
      </c>
      <c r="L5696">
        <v>-60.68909</v>
      </c>
      <c r="M5696">
        <v>0.99691350000000001</v>
      </c>
      <c r="N5696">
        <v>0</v>
      </c>
      <c r="O5696">
        <v>7.7167429999999995E-2</v>
      </c>
      <c r="P5696">
        <v>0.99463809999999997</v>
      </c>
      <c r="Q5696">
        <v>7.6586040000000003E-3</v>
      </c>
      <c r="R5696">
        <v>0.1031345</v>
      </c>
      <c r="S5696">
        <v>2.9143979999999998</v>
      </c>
      <c r="T5696">
        <v>-0.31114849999999999</v>
      </c>
      <c r="U5696">
        <v>1.035126</v>
      </c>
      <c r="V5696">
        <v>-2.638681E-2</v>
      </c>
      <c r="W5696">
        <v>2.172139E-2</v>
      </c>
      <c r="X5696">
        <v>0.99941579999999997</v>
      </c>
      <c r="Y5696">
        <v>-0.26005230000000001</v>
      </c>
      <c r="Z5696">
        <v>5.4929749999999998E-3</v>
      </c>
      <c r="AA5696">
        <v>0.96557890000000002</v>
      </c>
      <c r="AB5696">
        <v>31</v>
      </c>
      <c r="AC5696">
        <v>10.313499999999999</v>
      </c>
      <c r="AD5696">
        <v>-1.115789827935</v>
      </c>
      <c r="AE5696">
        <v>3.6983999999999999</v>
      </c>
      <c r="AF5696">
        <v>-2.86174150871003</v>
      </c>
      <c r="AG5696">
        <v>-1.115789827935</v>
      </c>
      <c r="AH5696">
        <v>10.4596898867314</v>
      </c>
      <c r="AI5696">
        <v>95.874697982121504</v>
      </c>
      <c r="AJ5696">
        <v>105.301499111032</v>
      </c>
      <c r="AK5696">
        <v>10.901360645781301</v>
      </c>
      <c r="AL5696">
        <v>88.755358155343401</v>
      </c>
      <c r="AM5696">
        <v>91.512385237018407</v>
      </c>
      <c r="AN5696">
        <v>1.00000001190757</v>
      </c>
    </row>
    <row r="5697" spans="1:40" x14ac:dyDescent="0.25">
      <c r="A5697" t="str">
        <f>"20190312154716245"</f>
        <v>20190312154716245</v>
      </c>
      <c r="B5697" t="str">
        <f>"1552376836233754"</f>
        <v>1552376836233754</v>
      </c>
      <c r="C5697" t="s">
        <v>40</v>
      </c>
      <c r="D5697">
        <v>5.113855</v>
      </c>
      <c r="E5697">
        <v>0.40072429999999998</v>
      </c>
      <c r="F5697" t="s">
        <v>71</v>
      </c>
      <c r="G5697">
        <v>-200.96350000000001</v>
      </c>
      <c r="H5697" s="1">
        <v>-5.9013469999999898E-6</v>
      </c>
      <c r="I5697">
        <v>-56.812669999999997</v>
      </c>
      <c r="J5697">
        <v>-211.2244</v>
      </c>
      <c r="K5697">
        <v>1.115837</v>
      </c>
      <c r="L5697">
        <v>-60.671779999999998</v>
      </c>
      <c r="M5697">
        <v>0.99650070000000002</v>
      </c>
      <c r="N5697">
        <v>0</v>
      </c>
      <c r="O5697">
        <v>8.2368449999999996E-2</v>
      </c>
      <c r="P5697">
        <v>0.99407679999999998</v>
      </c>
      <c r="Q5697">
        <v>7.0539740000000002E-3</v>
      </c>
      <c r="R5697">
        <v>0.1084508</v>
      </c>
      <c r="S5697">
        <v>2.9066160000000001</v>
      </c>
      <c r="T5697">
        <v>-0.31082870000000001</v>
      </c>
      <c r="U5697">
        <v>1.0798650000000001</v>
      </c>
      <c r="V5697">
        <v>-2.6509290000000001E-2</v>
      </c>
      <c r="W5697">
        <v>2.0861850000000001E-2</v>
      </c>
      <c r="X5697">
        <v>0.99943079999999995</v>
      </c>
      <c r="Y5697">
        <v>-0.26892939999999999</v>
      </c>
      <c r="Z5697">
        <v>5.4147219999999899E-3</v>
      </c>
      <c r="AA5697">
        <v>0.96314469999999996</v>
      </c>
      <c r="AB5697">
        <v>31</v>
      </c>
      <c r="AC5697">
        <v>10.2608999999999</v>
      </c>
      <c r="AD5697">
        <v>-1.1158429013469999</v>
      </c>
      <c r="AE5697">
        <v>3.8591099999999998</v>
      </c>
      <c r="AF5697">
        <v>-2.9699640293963001</v>
      </c>
      <c r="AG5697">
        <v>-1.1158429013469999</v>
      </c>
      <c r="AH5697">
        <v>10.435807274694399</v>
      </c>
      <c r="AI5697">
        <v>95.871701880110507</v>
      </c>
      <c r="AJ5697">
        <v>105.886014208139</v>
      </c>
      <c r="AK5697">
        <v>10.907422481547099</v>
      </c>
      <c r="AL5697">
        <v>88.804617253233801</v>
      </c>
      <c r="AM5697">
        <v>91.519379218864799</v>
      </c>
      <c r="AN5697">
        <v>0.99999994161518102</v>
      </c>
    </row>
    <row r="5698" spans="1:40" x14ac:dyDescent="0.25">
      <c r="A5698" t="str">
        <f>"20190312154716257"</f>
        <v>20190312154716257</v>
      </c>
      <c r="B5698" t="str">
        <f>"1552376836254249"</f>
        <v>1552376836254249</v>
      </c>
      <c r="C5698" t="s">
        <v>40</v>
      </c>
      <c r="D5698">
        <v>5.0453340000000004</v>
      </c>
      <c r="E5698">
        <v>0.39671149999999999</v>
      </c>
      <c r="F5698" t="s">
        <v>71</v>
      </c>
      <c r="G5698">
        <v>-200.93430000000001</v>
      </c>
      <c r="H5698" s="1">
        <v>-5.9310240000000003E-6</v>
      </c>
      <c r="I5698">
        <v>-56.6935</v>
      </c>
      <c r="J5698">
        <v>-211.05699999999999</v>
      </c>
      <c r="K5698">
        <v>1.116039</v>
      </c>
      <c r="L5698">
        <v>-60.653869999999998</v>
      </c>
      <c r="M5698">
        <v>0.99611859999999997</v>
      </c>
      <c r="N5698">
        <v>0</v>
      </c>
      <c r="O5698">
        <v>8.6837699999999907E-2</v>
      </c>
      <c r="P5698">
        <v>0.99358170000000001</v>
      </c>
      <c r="Q5698">
        <v>5.6344409999999996E-3</v>
      </c>
      <c r="R5698">
        <v>0.11297790000000001</v>
      </c>
      <c r="S5698">
        <v>2.8978730000000001</v>
      </c>
      <c r="T5698">
        <v>-0.31424239999999998</v>
      </c>
      <c r="U5698">
        <v>1.1203609999999999</v>
      </c>
      <c r="V5698">
        <v>-2.6569059999999999E-2</v>
      </c>
      <c r="W5698">
        <v>1.960754E-2</v>
      </c>
      <c r="X5698">
        <v>0.99945470000000003</v>
      </c>
      <c r="Y5698">
        <v>-0.27727289999999999</v>
      </c>
      <c r="Z5698">
        <v>5.451193E-3</v>
      </c>
      <c r="AA5698">
        <v>0.96077570000000001</v>
      </c>
      <c r="AB5698">
        <v>31</v>
      </c>
      <c r="AC5698">
        <v>10.1227</v>
      </c>
      <c r="AD5698">
        <v>-1.1160449310239999</v>
      </c>
      <c r="AE5698">
        <v>3.96036999999999</v>
      </c>
      <c r="AF5698">
        <v>-3.0342964618929198</v>
      </c>
      <c r="AG5698">
        <v>-1.1160449310239999</v>
      </c>
      <c r="AH5698">
        <v>10.319610609338399</v>
      </c>
      <c r="AI5698">
        <v>95.923575767493503</v>
      </c>
      <c r="AJ5698">
        <v>106.385027371097</v>
      </c>
      <c r="AK5698">
        <v>10.8141978174569</v>
      </c>
      <c r="AL5698">
        <v>88.876498752287105</v>
      </c>
      <c r="AM5698">
        <v>91.522766925829202</v>
      </c>
      <c r="AN5698">
        <v>1.0000000339631101</v>
      </c>
    </row>
    <row r="5699" spans="1:40" x14ac:dyDescent="0.25">
      <c r="A5699" t="str">
        <f>"20190312154716268"</f>
        <v>20190312154716268</v>
      </c>
      <c r="B5699" t="str">
        <f>"1552376836263539"</f>
        <v>1552376836263539</v>
      </c>
      <c r="C5699" t="s">
        <v>40</v>
      </c>
      <c r="D5699">
        <v>5.0498289999999999</v>
      </c>
      <c r="E5699">
        <v>0.3954608</v>
      </c>
      <c r="F5699" t="s">
        <v>71</v>
      </c>
      <c r="G5699">
        <v>-200.93960000000001</v>
      </c>
      <c r="H5699" s="1">
        <v>-5.9479670000000002E-6</v>
      </c>
      <c r="I5699">
        <v>-56.572110000000002</v>
      </c>
      <c r="J5699">
        <v>-210.91059999999999</v>
      </c>
      <c r="K5699">
        <v>1.1162399999999999</v>
      </c>
      <c r="L5699">
        <v>-60.637659999999997</v>
      </c>
      <c r="M5699">
        <v>0.99577510000000002</v>
      </c>
      <c r="N5699">
        <v>0</v>
      </c>
      <c r="O5699">
        <v>9.0658249999999996E-2</v>
      </c>
      <c r="P5699">
        <v>0.9931297</v>
      </c>
      <c r="Q5699">
        <v>4.4814290000000003E-3</v>
      </c>
      <c r="R5699">
        <v>0.11693439999999999</v>
      </c>
      <c r="S5699">
        <v>2.8886569999999998</v>
      </c>
      <c r="T5699">
        <v>-0.31864789999999998</v>
      </c>
      <c r="U5699">
        <v>1.165405</v>
      </c>
      <c r="V5699">
        <v>-2.6709190000000001E-2</v>
      </c>
      <c r="W5699">
        <v>1.865404E-2</v>
      </c>
      <c r="X5699">
        <v>0.99946919999999995</v>
      </c>
      <c r="Y5699">
        <v>-0.28749789999999997</v>
      </c>
      <c r="Z5699">
        <v>5.6711979999999997E-3</v>
      </c>
      <c r="AA5699">
        <v>0.95776439999999996</v>
      </c>
      <c r="AB5699">
        <v>31</v>
      </c>
      <c r="AC5699">
        <v>9.9709999999999699</v>
      </c>
      <c r="AD5699">
        <v>-1.1162459479669999</v>
      </c>
      <c r="AE5699">
        <v>4.06555</v>
      </c>
      <c r="AF5699">
        <v>-3.1113204788778899</v>
      </c>
      <c r="AG5699">
        <v>-1.1162459479669999</v>
      </c>
      <c r="AH5699">
        <v>10.189053626609899</v>
      </c>
      <c r="AI5699">
        <v>95.981475511626599</v>
      </c>
      <c r="AJ5699">
        <v>106.98052902924</v>
      </c>
      <c r="AK5699">
        <v>10.711822157997601</v>
      </c>
      <c r="AL5699">
        <v>88.931140261053898</v>
      </c>
      <c r="AM5699">
        <v>91.530772263280994</v>
      </c>
      <c r="AN5699">
        <v>1.0000000178937001</v>
      </c>
    </row>
    <row r="5700" spans="1:40" x14ac:dyDescent="0.25">
      <c r="A5700" t="str">
        <f>"20190312154716281"</f>
        <v>20190312154716281</v>
      </c>
      <c r="B5700" t="str">
        <f>"1552376836274277"</f>
        <v>1552376836274277</v>
      </c>
      <c r="C5700" t="s">
        <v>40</v>
      </c>
      <c r="D5700">
        <v>5.0398800000000001</v>
      </c>
      <c r="E5700">
        <v>0.39438580000000001</v>
      </c>
      <c r="F5700" t="s">
        <v>71</v>
      </c>
      <c r="G5700">
        <v>-200.93889999999999</v>
      </c>
      <c r="H5700" s="1">
        <v>-5.9544449999999999E-6</v>
      </c>
      <c r="I5700">
        <v>-56.532350000000001</v>
      </c>
      <c r="J5700">
        <v>-210.74440000000001</v>
      </c>
      <c r="K5700">
        <v>1.116498</v>
      </c>
      <c r="L5700">
        <v>-60.618470000000002</v>
      </c>
      <c r="M5700">
        <v>0.99537659999999994</v>
      </c>
      <c r="N5700">
        <v>0</v>
      </c>
      <c r="O5700">
        <v>9.4883200000000001E-2</v>
      </c>
      <c r="P5700">
        <v>0.99260769999999998</v>
      </c>
      <c r="Q5700">
        <v>3.3050919999999999E-3</v>
      </c>
      <c r="R5700">
        <v>0.1213235</v>
      </c>
      <c r="S5700">
        <v>2.8824770000000002</v>
      </c>
      <c r="T5700">
        <v>-0.32266830000000002</v>
      </c>
      <c r="U5700">
        <v>1.186707</v>
      </c>
      <c r="V5700">
        <v>-2.6881660000000002E-2</v>
      </c>
      <c r="W5700">
        <v>1.7777290000000001E-2</v>
      </c>
      <c r="X5700">
        <v>0.99948049999999999</v>
      </c>
      <c r="Y5700">
        <v>-0.29019529999999999</v>
      </c>
      <c r="Z5700">
        <v>5.443804E-3</v>
      </c>
      <c r="AA5700">
        <v>0.95695200000000002</v>
      </c>
      <c r="AB5700">
        <v>31</v>
      </c>
      <c r="AC5700">
        <v>9.8055000000000199</v>
      </c>
      <c r="AD5700">
        <v>-1.1165039544449999</v>
      </c>
      <c r="AE5700">
        <v>4.0861199999999904</v>
      </c>
      <c r="AF5700">
        <v>-3.1029224684638699</v>
      </c>
      <c r="AG5700">
        <v>-1.1165039544449999</v>
      </c>
      <c r="AH5700">
        <v>10.038108852628501</v>
      </c>
      <c r="AI5700">
        <v>96.065795796319094</v>
      </c>
      <c r="AJ5700">
        <v>107.17712421080699</v>
      </c>
      <c r="AK5700">
        <v>10.565904517021099</v>
      </c>
      <c r="AL5700">
        <v>88.981382616480602</v>
      </c>
      <c r="AM5700">
        <v>91.540634803082497</v>
      </c>
      <c r="AN5700">
        <v>0.99999996278217396</v>
      </c>
    </row>
    <row r="5701" spans="1:40" x14ac:dyDescent="0.25">
      <c r="A5701" t="str">
        <f>"20190312154716292"</f>
        <v>20190312154716292</v>
      </c>
      <c r="B5701" t="str">
        <f>"1552376836284035"</f>
        <v>1552376836284035</v>
      </c>
      <c r="C5701" t="s">
        <v>40</v>
      </c>
      <c r="D5701">
        <v>5.032813</v>
      </c>
      <c r="E5701">
        <v>0.3937638</v>
      </c>
      <c r="F5701" t="s">
        <v>71</v>
      </c>
      <c r="G5701">
        <v>-200.9151</v>
      </c>
      <c r="H5701" s="1">
        <v>-5.9700509999999999E-6</v>
      </c>
      <c r="I5701">
        <v>-56.490090000000002</v>
      </c>
      <c r="J5701">
        <v>-210.58080000000001</v>
      </c>
      <c r="K5701">
        <v>1.116743</v>
      </c>
      <c r="L5701">
        <v>-60.598419999999997</v>
      </c>
      <c r="M5701">
        <v>0.99494870000000002</v>
      </c>
      <c r="N5701">
        <v>0</v>
      </c>
      <c r="O5701">
        <v>9.9238409999999999E-2</v>
      </c>
      <c r="P5701">
        <v>0.99204990000000004</v>
      </c>
      <c r="Q5701">
        <v>2.2391669999999998E-3</v>
      </c>
      <c r="R5701">
        <v>0.12582550000000001</v>
      </c>
      <c r="S5701">
        <v>2.8757779999999999</v>
      </c>
      <c r="T5701">
        <v>-0.32665939999999999</v>
      </c>
      <c r="U5701">
        <v>1.2078549999999999</v>
      </c>
      <c r="V5701">
        <v>-2.7037439999999999E-2</v>
      </c>
      <c r="W5701">
        <v>1.6897180000000001E-2</v>
      </c>
      <c r="X5701">
        <v>0.99949160000000004</v>
      </c>
      <c r="Y5701">
        <v>-0.29277320000000001</v>
      </c>
      <c r="Z5701">
        <v>5.1889589999999999E-3</v>
      </c>
      <c r="AA5701">
        <v>0.95616780000000001</v>
      </c>
      <c r="AB5701">
        <v>31</v>
      </c>
      <c r="AC5701">
        <v>9.66570000000001</v>
      </c>
      <c r="AD5701">
        <v>-1.116748970051</v>
      </c>
      <c r="AE5701">
        <v>4.1083299999999898</v>
      </c>
      <c r="AF5701">
        <v>-3.09374812430719</v>
      </c>
      <c r="AG5701">
        <v>-1.116748970051</v>
      </c>
      <c r="AH5701">
        <v>9.9136406130554207</v>
      </c>
      <c r="AI5701">
        <v>96.137611016815796</v>
      </c>
      <c r="AJ5701">
        <v>107.331567661797</v>
      </c>
      <c r="AK5701">
        <v>10.445031159531601</v>
      </c>
      <c r="AL5701">
        <v>89.031816823066507</v>
      </c>
      <c r="AM5701">
        <v>91.549541285733497</v>
      </c>
      <c r="AN5701">
        <v>0.99999999816213203</v>
      </c>
    </row>
    <row r="5702" spans="1:40" x14ac:dyDescent="0.25">
      <c r="A5702" t="str">
        <f>"20190312154716308"</f>
        <v>20190312154716308</v>
      </c>
      <c r="B5702" t="str">
        <f>"1552376836303556"</f>
        <v>1552376836303556</v>
      </c>
      <c r="C5702" t="s">
        <v>40</v>
      </c>
      <c r="D5702">
        <v>5.0008549999999996</v>
      </c>
      <c r="E5702">
        <v>0.3927215</v>
      </c>
      <c r="F5702" t="s">
        <v>71</v>
      </c>
      <c r="G5702">
        <v>-200.8364</v>
      </c>
      <c r="H5702" s="1">
        <v>-6.0084470000000002E-6</v>
      </c>
      <c r="I5702">
        <v>-56.434959999999997</v>
      </c>
      <c r="J5702">
        <v>-210.37690000000001</v>
      </c>
      <c r="K5702">
        <v>1.1170249999999999</v>
      </c>
      <c r="L5702">
        <v>-60.572360000000003</v>
      </c>
      <c r="M5702">
        <v>0.99436659999999999</v>
      </c>
      <c r="N5702">
        <v>0</v>
      </c>
      <c r="O5702">
        <v>0.1048882</v>
      </c>
      <c r="P5702">
        <v>0.99129849999999997</v>
      </c>
      <c r="Q5702">
        <v>8.9354349999999996E-4</v>
      </c>
      <c r="R5702">
        <v>0.13163139999999901</v>
      </c>
      <c r="S5702">
        <v>2.8692929999999999</v>
      </c>
      <c r="T5702">
        <v>-0.32883250000000003</v>
      </c>
      <c r="U5702">
        <v>1.2259519999999999</v>
      </c>
      <c r="V5702">
        <v>-2.7203350000000001E-2</v>
      </c>
      <c r="W5702">
        <v>1.5692370000000001E-2</v>
      </c>
      <c r="X5702">
        <v>0.99950680000000003</v>
      </c>
      <c r="Y5702">
        <v>-0.2932399</v>
      </c>
      <c r="Z5702">
        <v>4.6444809999999998E-3</v>
      </c>
      <c r="AA5702">
        <v>0.95602759999999998</v>
      </c>
      <c r="AB5702">
        <v>31</v>
      </c>
      <c r="AC5702">
        <v>9.5404999999999998</v>
      </c>
      <c r="AD5702">
        <v>-1.1170310084470001</v>
      </c>
      <c r="AE5702">
        <v>4.1374000000000004</v>
      </c>
      <c r="AF5702">
        <v>-3.07825186444675</v>
      </c>
      <c r="AG5702">
        <v>-1.1170310084470001</v>
      </c>
      <c r="AH5702">
        <v>9.8087004467949299</v>
      </c>
      <c r="AI5702">
        <v>96.201235025520404</v>
      </c>
      <c r="AJ5702">
        <v>107.42335506658701</v>
      </c>
      <c r="AK5702">
        <v>10.3408895782595</v>
      </c>
      <c r="AL5702">
        <v>89.100856575591806</v>
      </c>
      <c r="AM5702">
        <v>91.5590213689987</v>
      </c>
      <c r="AN5702">
        <v>1.00000005798683</v>
      </c>
    </row>
    <row r="5703" spans="1:40" x14ac:dyDescent="0.25">
      <c r="A5703" t="str">
        <f>"20190312154716321"</f>
        <v>20190312154716321</v>
      </c>
      <c r="B5703" t="str">
        <f>"1552376836313315"</f>
        <v>1552376836313315</v>
      </c>
      <c r="C5703" t="s">
        <v>40</v>
      </c>
      <c r="D5703">
        <v>4.9802080000000002</v>
      </c>
      <c r="E5703">
        <v>0.39230150000000003</v>
      </c>
      <c r="F5703" t="s">
        <v>71</v>
      </c>
      <c r="G5703">
        <v>-200.7851</v>
      </c>
      <c r="H5703" s="1">
        <v>-6.0368129999999899E-6</v>
      </c>
      <c r="I5703">
        <v>-56.377719999999997</v>
      </c>
      <c r="J5703">
        <v>-210.2056</v>
      </c>
      <c r="K5703">
        <v>1.1172299999999999</v>
      </c>
      <c r="L5703">
        <v>-60.549320000000002</v>
      </c>
      <c r="M5703">
        <v>0.99382280000000001</v>
      </c>
      <c r="N5703">
        <v>0</v>
      </c>
      <c r="O5703">
        <v>0.10991570000000001</v>
      </c>
      <c r="P5703">
        <v>0.99062660000000002</v>
      </c>
      <c r="Q5703">
        <v>1.0206830000000001E-4</v>
      </c>
      <c r="R5703">
        <v>0.13659839999999901</v>
      </c>
      <c r="S5703">
        <v>2.860519</v>
      </c>
      <c r="T5703">
        <v>-0.33312649999999999</v>
      </c>
      <c r="U5703">
        <v>1.2509459999999999</v>
      </c>
      <c r="V5703">
        <v>-2.7154109999999999E-2</v>
      </c>
      <c r="W5703">
        <v>1.4923799999999999E-2</v>
      </c>
      <c r="X5703">
        <v>0.99951979999999996</v>
      </c>
      <c r="Y5703">
        <v>-0.29648059999999998</v>
      </c>
      <c r="Z5703">
        <v>4.3417259999999997E-3</v>
      </c>
      <c r="AA5703">
        <v>0.95502900000000002</v>
      </c>
      <c r="AB5703">
        <v>31</v>
      </c>
      <c r="AC5703">
        <v>9.4205000000000005</v>
      </c>
      <c r="AD5703">
        <v>-1.1172360368130001</v>
      </c>
      <c r="AE5703">
        <v>4.17159999999999</v>
      </c>
      <c r="AF5703">
        <v>-3.0745809206233901</v>
      </c>
      <c r="AG5703">
        <v>-1.1172360368130001</v>
      </c>
      <c r="AH5703">
        <v>9.7078287956850904</v>
      </c>
      <c r="AI5703">
        <v>96.261164570070207</v>
      </c>
      <c r="AJ5703">
        <v>107.573592864673</v>
      </c>
      <c r="AK5703">
        <v>10.244179036201301</v>
      </c>
      <c r="AL5703">
        <v>89.144897457891403</v>
      </c>
      <c r="AM5703">
        <v>91.5561805878651</v>
      </c>
      <c r="AN5703">
        <v>0.99999994804418402</v>
      </c>
    </row>
    <row r="5704" spans="1:40" x14ac:dyDescent="0.25">
      <c r="A5704" t="str">
        <f>"20190312154716331"</f>
        <v>20190312154716331</v>
      </c>
      <c r="B5704" t="str">
        <f>"1552376836324052"</f>
        <v>1552376836324052</v>
      </c>
      <c r="C5704" t="s">
        <v>40</v>
      </c>
      <c r="D5704">
        <v>4.9880599999999999</v>
      </c>
      <c r="E5704">
        <v>0.39202209999999899</v>
      </c>
      <c r="F5704" t="s">
        <v>71</v>
      </c>
      <c r="G5704">
        <v>-200.70939999999999</v>
      </c>
      <c r="H5704" s="1">
        <v>-6.0733620000000004E-6</v>
      </c>
      <c r="I5704">
        <v>-56.32714</v>
      </c>
      <c r="J5704">
        <v>-210.06620000000001</v>
      </c>
      <c r="K5704">
        <v>1.117362</v>
      </c>
      <c r="L5704">
        <v>-60.529449999999997</v>
      </c>
      <c r="M5704">
        <v>0.99333610000000006</v>
      </c>
      <c r="N5704">
        <v>0</v>
      </c>
      <c r="O5704">
        <v>0.1142275</v>
      </c>
      <c r="P5704">
        <v>0.98997809999999997</v>
      </c>
      <c r="Q5704">
        <v>-3.7657469999999998E-4</v>
      </c>
      <c r="R5704">
        <v>0.14122029999999999</v>
      </c>
      <c r="S5704">
        <v>2.853485</v>
      </c>
      <c r="T5704">
        <v>-0.33571400000000001</v>
      </c>
      <c r="U5704">
        <v>1.268707</v>
      </c>
      <c r="V5704">
        <v>-2.747935E-2</v>
      </c>
      <c r="W5704">
        <v>1.444368E-2</v>
      </c>
      <c r="X5704">
        <v>0.99951800000000002</v>
      </c>
      <c r="Y5704">
        <v>-0.29817320000000003</v>
      </c>
      <c r="Z5704">
        <v>4.0005989999999996E-3</v>
      </c>
      <c r="AA5704">
        <v>0.9545034</v>
      </c>
      <c r="AB5704">
        <v>31</v>
      </c>
      <c r="AC5704">
        <v>9.3568000000000193</v>
      </c>
      <c r="AD5704">
        <v>-1.1173680733619999</v>
      </c>
      <c r="AE5704">
        <v>4.20230999999999</v>
      </c>
      <c r="AF5704">
        <v>-3.0694431155328901</v>
      </c>
      <c r="AG5704">
        <v>-1.1173680733619999</v>
      </c>
      <c r="AH5704">
        <v>9.6609713169266005</v>
      </c>
      <c r="AI5704">
        <v>96.290220616952993</v>
      </c>
      <c r="AJ5704">
        <v>107.62587413775501</v>
      </c>
      <c r="AK5704">
        <v>10.1982527541407</v>
      </c>
      <c r="AL5704">
        <v>89.172409304647601</v>
      </c>
      <c r="AM5704">
        <v>91.574813339321494</v>
      </c>
      <c r="AN5704">
        <v>0.99999998344618202</v>
      </c>
    </row>
    <row r="5705" spans="1:40" x14ac:dyDescent="0.25">
      <c r="A5705" t="str">
        <f>"20190312154716341"</f>
        <v>20190312154716341</v>
      </c>
      <c r="B5705" t="str">
        <f>"1552376836333811"</f>
        <v>1552376836333811</v>
      </c>
      <c r="C5705" t="s">
        <v>40</v>
      </c>
      <c r="D5705">
        <v>4.9543939999999997</v>
      </c>
      <c r="E5705">
        <v>0.39176870000000003</v>
      </c>
      <c r="F5705" t="s">
        <v>71</v>
      </c>
      <c r="G5705">
        <v>-200.65260000000001</v>
      </c>
      <c r="H5705" s="1">
        <v>-6.1017899999999999E-6</v>
      </c>
      <c r="I5705">
        <v>-56.282649999999997</v>
      </c>
      <c r="J5705">
        <v>-209.92580000000001</v>
      </c>
      <c r="K5705">
        <v>1.1174900000000001</v>
      </c>
      <c r="L5705">
        <v>-60.509120000000003</v>
      </c>
      <c r="M5705">
        <v>0.99281889999999995</v>
      </c>
      <c r="N5705">
        <v>0</v>
      </c>
      <c r="O5705">
        <v>0.1186373</v>
      </c>
      <c r="P5705">
        <v>0.98929290000000003</v>
      </c>
      <c r="Q5705">
        <v>-1.364266E-3</v>
      </c>
      <c r="R5705">
        <v>0.14593739999999999</v>
      </c>
      <c r="S5705">
        <v>2.8470149999999999</v>
      </c>
      <c r="T5705">
        <v>-0.33793489999999998</v>
      </c>
      <c r="U5705">
        <v>1.2843929999999999</v>
      </c>
      <c r="V5705">
        <v>-2.779191E-2</v>
      </c>
      <c r="W5705">
        <v>1.344909E-2</v>
      </c>
      <c r="X5705">
        <v>0.99952319999999995</v>
      </c>
      <c r="Y5705">
        <v>-0.29912470000000002</v>
      </c>
      <c r="Z5705">
        <v>3.596541E-3</v>
      </c>
      <c r="AA5705">
        <v>0.95420720000000003</v>
      </c>
      <c r="AB5705">
        <v>31</v>
      </c>
      <c r="AC5705">
        <v>9.2731999999999992</v>
      </c>
      <c r="AD5705">
        <v>-1.11749610178999</v>
      </c>
      <c r="AE5705">
        <v>4.2264699999999902</v>
      </c>
      <c r="AF5705">
        <v>-3.0595477739499302</v>
      </c>
      <c r="AG5705">
        <v>-1.11749610178999</v>
      </c>
      <c r="AH5705">
        <v>9.5938102876055904</v>
      </c>
      <c r="AI5705">
        <v>96.332452592212604</v>
      </c>
      <c r="AJ5705">
        <v>107.687925079775</v>
      </c>
      <c r="AK5705">
        <v>10.1316743904038</v>
      </c>
      <c r="AL5705">
        <v>89.229400632551304</v>
      </c>
      <c r="AM5705">
        <v>91.592708375750703</v>
      </c>
      <c r="AN5705">
        <v>0.99999994781075596</v>
      </c>
    </row>
    <row r="5706" spans="1:40" x14ac:dyDescent="0.25">
      <c r="A5706" t="str">
        <f>"20190312154716353"</f>
        <v>20190312154716353</v>
      </c>
      <c r="B5706" t="str">
        <f>"1552376836343571"</f>
        <v>1552376836343571</v>
      </c>
      <c r="C5706" t="s">
        <v>40</v>
      </c>
      <c r="D5706">
        <v>4.9269309999999997</v>
      </c>
      <c r="E5706">
        <v>0.39148640000000001</v>
      </c>
      <c r="F5706" t="s">
        <v>71</v>
      </c>
      <c r="G5706">
        <v>-200.601</v>
      </c>
      <c r="H5706" s="1">
        <v>-6.1277139999999998E-6</v>
      </c>
      <c r="I5706">
        <v>-56.241700000000002</v>
      </c>
      <c r="J5706">
        <v>-209.7749</v>
      </c>
      <c r="K5706">
        <v>1.1175980000000001</v>
      </c>
      <c r="L5706">
        <v>-60.485930000000003</v>
      </c>
      <c r="M5706">
        <v>0.9922088</v>
      </c>
      <c r="N5706">
        <v>0</v>
      </c>
      <c r="O5706">
        <v>0.12363440000000001</v>
      </c>
      <c r="P5706">
        <v>0.98847180000000001</v>
      </c>
      <c r="Q5706">
        <v>-2.2649900000000001E-3</v>
      </c>
      <c r="R5706">
        <v>0.15138859999999901</v>
      </c>
      <c r="S5706">
        <v>2.8402560000000001</v>
      </c>
      <c r="T5706">
        <v>-0.3403834</v>
      </c>
      <c r="U5706">
        <v>1.2998350000000001</v>
      </c>
      <c r="V5706">
        <v>-2.8256449999999999E-2</v>
      </c>
      <c r="W5706">
        <v>1.255033E-2</v>
      </c>
      <c r="X5706">
        <v>0.99952189999999996</v>
      </c>
      <c r="Y5706">
        <v>-0.29948209999999997</v>
      </c>
      <c r="Z5706">
        <v>3.089619E-3</v>
      </c>
      <c r="AA5706">
        <v>0.95409690000000003</v>
      </c>
      <c r="AB5706">
        <v>31</v>
      </c>
      <c r="AC5706">
        <v>9.1738999999999997</v>
      </c>
      <c r="AD5706">
        <v>-1.1176041277140001</v>
      </c>
      <c r="AE5706">
        <v>4.2442299999999999</v>
      </c>
      <c r="AF5706">
        <v>-3.0401514932399101</v>
      </c>
      <c r="AG5706">
        <v>-1.1176041277140001</v>
      </c>
      <c r="AH5706">
        <v>9.5120135710277207</v>
      </c>
      <c r="AI5706">
        <v>96.385781014856406</v>
      </c>
      <c r="AJ5706">
        <v>107.724491609301</v>
      </c>
      <c r="AK5706">
        <v>10.048381076748001</v>
      </c>
      <c r="AL5706">
        <v>89.280900168891506</v>
      </c>
      <c r="AM5706">
        <v>91.619318441706596</v>
      </c>
      <c r="AN5706">
        <v>0.99999998316465999</v>
      </c>
    </row>
    <row r="5707" spans="1:40" x14ac:dyDescent="0.25">
      <c r="A5707" t="str">
        <f>"20190312154716364"</f>
        <v>20190312154716364</v>
      </c>
      <c r="B5707" t="str">
        <f>"1552376836353333"</f>
        <v>1552376836353333</v>
      </c>
      <c r="C5707" t="s">
        <v>40</v>
      </c>
      <c r="D5707">
        <v>4.9216800000000003</v>
      </c>
      <c r="E5707">
        <v>0.39132090000000003</v>
      </c>
      <c r="F5707" t="s">
        <v>71</v>
      </c>
      <c r="G5707">
        <v>-200.52940000000001</v>
      </c>
      <c r="H5707" s="1">
        <v>-6.1636389999999998E-6</v>
      </c>
      <c r="I5707">
        <v>-56.185189999999999</v>
      </c>
      <c r="J5707">
        <v>-209.63050000000001</v>
      </c>
      <c r="K5707">
        <v>1.117696</v>
      </c>
      <c r="L5707">
        <v>-60.463439999999999</v>
      </c>
      <c r="M5707">
        <v>0.99159390000000003</v>
      </c>
      <c r="N5707">
        <v>0</v>
      </c>
      <c r="O5707">
        <v>0.1284701</v>
      </c>
      <c r="P5707">
        <v>0.98762450000000002</v>
      </c>
      <c r="Q5707">
        <v>-2.8822349999999999E-3</v>
      </c>
      <c r="R5707">
        <v>0.15681059999999999</v>
      </c>
      <c r="S5707">
        <v>2.8324129999999998</v>
      </c>
      <c r="T5707">
        <v>-0.3423872</v>
      </c>
      <c r="U5707">
        <v>1.317566</v>
      </c>
      <c r="V5707">
        <v>-2.8861009999999999E-2</v>
      </c>
      <c r="W5707">
        <v>1.1932389999999999E-2</v>
      </c>
      <c r="X5707">
        <v>0.99951219999999996</v>
      </c>
      <c r="Y5707">
        <v>-0.30076049999999999</v>
      </c>
      <c r="Z5707">
        <v>2.6428850000000002E-3</v>
      </c>
      <c r="AA5707">
        <v>0.95369599999999999</v>
      </c>
      <c r="AB5707">
        <v>31</v>
      </c>
      <c r="AC5707">
        <v>9.1011000000000006</v>
      </c>
      <c r="AD5707">
        <v>-1.1177021636390001</v>
      </c>
      <c r="AE5707">
        <v>4.2782499999999999</v>
      </c>
      <c r="AF5707">
        <v>-3.0359300107616898</v>
      </c>
      <c r="AG5707">
        <v>-1.1177021636390001</v>
      </c>
      <c r="AH5707">
        <v>9.4585200092186597</v>
      </c>
      <c r="AI5707">
        <v>96.419636281981695</v>
      </c>
      <c r="AJ5707">
        <v>107.795230288198</v>
      </c>
      <c r="AK5707">
        <v>9.9964858786293807</v>
      </c>
      <c r="AL5707">
        <v>89.316308181017803</v>
      </c>
      <c r="AM5707">
        <v>91.653961519132693</v>
      </c>
      <c r="AN5707">
        <v>0.99999998888908503</v>
      </c>
    </row>
    <row r="5708" spans="1:40" x14ac:dyDescent="0.25">
      <c r="A5708" t="str">
        <f>"20190312154716376"</f>
        <v>20190312154716376</v>
      </c>
      <c r="B5708" t="str">
        <f>"1552376836363600"</f>
        <v>1552376836363600</v>
      </c>
      <c r="C5708" t="s">
        <v>40</v>
      </c>
      <c r="D5708">
        <v>4.9271900000000004</v>
      </c>
      <c r="E5708">
        <v>0.39114690000000002</v>
      </c>
      <c r="F5708" t="s">
        <v>71</v>
      </c>
      <c r="G5708">
        <v>-200.43440000000001</v>
      </c>
      <c r="H5708" s="1">
        <v>-6.2098820000000004E-6</v>
      </c>
      <c r="I5708">
        <v>-56.119289999999999</v>
      </c>
      <c r="J5708">
        <v>-209.47370000000001</v>
      </c>
      <c r="K5708">
        <v>1.117796</v>
      </c>
      <c r="L5708">
        <v>-60.4375</v>
      </c>
      <c r="M5708">
        <v>0.99086229999999997</v>
      </c>
      <c r="N5708">
        <v>0</v>
      </c>
      <c r="O5708">
        <v>0.133993899999999</v>
      </c>
      <c r="P5708">
        <v>0.98660199999999998</v>
      </c>
      <c r="Q5708">
        <v>-3.8427829999999998E-3</v>
      </c>
      <c r="R5708">
        <v>0.16310079999999999</v>
      </c>
      <c r="S5708">
        <v>2.824722</v>
      </c>
      <c r="T5708">
        <v>-0.3433216</v>
      </c>
      <c r="U5708">
        <v>1.334381</v>
      </c>
      <c r="V5708">
        <v>-2.9644380000000001E-2</v>
      </c>
      <c r="W5708">
        <v>1.097163E-2</v>
      </c>
      <c r="X5708">
        <v>0.99950030000000001</v>
      </c>
      <c r="Y5708">
        <v>-0.30111599999999999</v>
      </c>
      <c r="Z5708">
        <v>2.0529089999999999E-3</v>
      </c>
      <c r="AA5708">
        <v>0.95358529999999997</v>
      </c>
      <c r="AB5708">
        <v>30</v>
      </c>
      <c r="AC5708">
        <v>9.0392999999999901</v>
      </c>
      <c r="AD5708">
        <v>-1.117802209882</v>
      </c>
      <c r="AE5708">
        <v>4.3182099999999997</v>
      </c>
      <c r="AF5708">
        <v>-3.03017757246942</v>
      </c>
      <c r="AG5708">
        <v>-1.117802209882</v>
      </c>
      <c r="AH5708">
        <v>9.4191745704886003</v>
      </c>
      <c r="AI5708">
        <v>96.445439923505901</v>
      </c>
      <c r="AJ5708">
        <v>107.833143707128</v>
      </c>
      <c r="AK5708">
        <v>9.9575251689590498</v>
      </c>
      <c r="AL5708">
        <v>89.371359298825197</v>
      </c>
      <c r="AM5708">
        <v>91.698848999649698</v>
      </c>
      <c r="AN5708">
        <v>1.00000000781526</v>
      </c>
    </row>
    <row r="5709" spans="1:40" x14ac:dyDescent="0.25">
      <c r="A5709" t="str">
        <f>"20190312154716388"</f>
        <v>20190312154716388</v>
      </c>
      <c r="B5709" t="str">
        <f>"1552376836384096"</f>
        <v>1552376836384096</v>
      </c>
      <c r="C5709" t="s">
        <v>40</v>
      </c>
      <c r="D5709">
        <v>4.8635210000000004</v>
      </c>
      <c r="E5709">
        <v>0.39091740000000003</v>
      </c>
      <c r="F5709" t="s">
        <v>71</v>
      </c>
      <c r="G5709">
        <v>-200.3492</v>
      </c>
      <c r="H5709" s="1">
        <v>-6.2528689999999899E-6</v>
      </c>
      <c r="I5709">
        <v>-56.050510000000003</v>
      </c>
      <c r="J5709">
        <v>-209.3262</v>
      </c>
      <c r="K5709">
        <v>1.1178920000000001</v>
      </c>
      <c r="L5709">
        <v>-60.412570000000002</v>
      </c>
      <c r="M5709">
        <v>0.99013569999999995</v>
      </c>
      <c r="N5709">
        <v>0</v>
      </c>
      <c r="O5709">
        <v>0.13925870000000001</v>
      </c>
      <c r="P5709">
        <v>0.98556509999999997</v>
      </c>
      <c r="Q5709">
        <v>-4.3950289999999999E-3</v>
      </c>
      <c r="R5709">
        <v>0.16924069999999999</v>
      </c>
      <c r="S5709">
        <v>2.815598</v>
      </c>
      <c r="T5709">
        <v>-0.34492970000000001</v>
      </c>
      <c r="U5709">
        <v>1.353729</v>
      </c>
      <c r="V5709">
        <v>-3.0547709999999999E-2</v>
      </c>
      <c r="W5709">
        <v>1.041329E-2</v>
      </c>
      <c r="X5709">
        <v>0.99947909999999995</v>
      </c>
      <c r="Y5709">
        <v>-0.30258990000000002</v>
      </c>
      <c r="Z5709">
        <v>1.5567139999999901E-3</v>
      </c>
      <c r="AA5709">
        <v>0.95311959999999996</v>
      </c>
      <c r="AB5709">
        <v>30</v>
      </c>
      <c r="AC5709">
        <v>8.9770000000000003</v>
      </c>
      <c r="AD5709">
        <v>-1.117898252869</v>
      </c>
      <c r="AE5709">
        <v>4.3620599999999996</v>
      </c>
      <c r="AF5709">
        <v>-3.0312436252119501</v>
      </c>
      <c r="AG5709">
        <v>-1.117898252869</v>
      </c>
      <c r="AH5709">
        <v>9.3793669657943308</v>
      </c>
      <c r="AI5709">
        <v>96.470343225939402</v>
      </c>
      <c r="AJ5709">
        <v>107.909904597896</v>
      </c>
      <c r="AK5709">
        <v>9.9202146699650395</v>
      </c>
      <c r="AL5709">
        <v>89.403351669777607</v>
      </c>
      <c r="AM5709">
        <v>91.750622069338704</v>
      </c>
      <c r="AN5709">
        <v>1.00000003526583</v>
      </c>
    </row>
    <row r="5710" spans="1:40" x14ac:dyDescent="0.25">
      <c r="A5710" t="str">
        <f>"20190312154716398"</f>
        <v>20190312154716398</v>
      </c>
      <c r="B5710" t="str">
        <f>"1552376836393856"</f>
        <v>1552376836393856</v>
      </c>
      <c r="C5710" t="s">
        <v>40</v>
      </c>
      <c r="D5710">
        <v>4.902876</v>
      </c>
      <c r="E5710">
        <v>0.39092199999999999</v>
      </c>
      <c r="F5710" t="s">
        <v>71</v>
      </c>
      <c r="G5710">
        <v>-200.22069999999999</v>
      </c>
      <c r="H5710" s="1">
        <v>-6.3159069999999999E-6</v>
      </c>
      <c r="I5710">
        <v>-55.958489999999998</v>
      </c>
      <c r="J5710">
        <v>-209.1704</v>
      </c>
      <c r="K5710">
        <v>1.1179939999999999</v>
      </c>
      <c r="L5710">
        <v>-60.385159999999999</v>
      </c>
      <c r="M5710">
        <v>0.9893149</v>
      </c>
      <c r="N5710">
        <v>0</v>
      </c>
      <c r="O5710">
        <v>0.14497270000000001</v>
      </c>
      <c r="P5710">
        <v>0.98442960000000002</v>
      </c>
      <c r="Q5710">
        <v>-4.4829420000000002E-3</v>
      </c>
      <c r="R5710">
        <v>0.17572279999999901</v>
      </c>
      <c r="S5710">
        <v>2.8066249999999999</v>
      </c>
      <c r="T5710">
        <v>-0.34457290000000002</v>
      </c>
      <c r="U5710">
        <v>1.3728940000000001</v>
      </c>
      <c r="V5710">
        <v>-3.1355550000000003E-2</v>
      </c>
      <c r="W5710">
        <v>1.0318880000000001E-2</v>
      </c>
      <c r="X5710">
        <v>0.99945499999999998</v>
      </c>
      <c r="Y5710">
        <v>-0.30357250000000002</v>
      </c>
      <c r="Z5710">
        <v>9.7002459999999998E-4</v>
      </c>
      <c r="AA5710">
        <v>0.95280779999999998</v>
      </c>
      <c r="AB5710">
        <v>30</v>
      </c>
      <c r="AC5710">
        <v>8.9497</v>
      </c>
      <c r="AD5710">
        <v>-1.118000315907</v>
      </c>
      <c r="AE5710">
        <v>4.4266699999999899</v>
      </c>
      <c r="AF5710">
        <v>-3.0441102506993198</v>
      </c>
      <c r="AG5710">
        <v>-1.118000315907</v>
      </c>
      <c r="AH5710">
        <v>9.3793561000462695</v>
      </c>
      <c r="AI5710">
        <v>96.468356253950006</v>
      </c>
      <c r="AJ5710">
        <v>107.981060914623</v>
      </c>
      <c r="AK5710">
        <v>9.9241550157308591</v>
      </c>
      <c r="AL5710">
        <v>89.408761218214593</v>
      </c>
      <c r="AM5710">
        <v>91.796930943613702</v>
      </c>
      <c r="AN5710">
        <v>0.99999997341262803</v>
      </c>
    </row>
    <row r="5711" spans="1:40" x14ac:dyDescent="0.25">
      <c r="A5711" t="str">
        <f>"20190312154716410"</f>
        <v>20190312154716410</v>
      </c>
      <c r="B5711" t="str">
        <f>"1552376836403616"</f>
        <v>1552376836403616</v>
      </c>
      <c r="C5711" t="s">
        <v>40</v>
      </c>
      <c r="D5711">
        <v>4.8889259999999997</v>
      </c>
      <c r="E5711">
        <v>0.39096419999999998</v>
      </c>
      <c r="F5711" t="s">
        <v>71</v>
      </c>
      <c r="G5711">
        <v>-200.066</v>
      </c>
      <c r="H5711" s="1">
        <v>-6.3901619999999996E-6</v>
      </c>
      <c r="I5711">
        <v>-55.857750000000003</v>
      </c>
      <c r="J5711">
        <v>-209.03139999999999</v>
      </c>
      <c r="K5711">
        <v>1.1180939999999999</v>
      </c>
      <c r="L5711">
        <v>-60.3598</v>
      </c>
      <c r="M5711">
        <v>0.98854030000000004</v>
      </c>
      <c r="N5711">
        <v>0</v>
      </c>
      <c r="O5711">
        <v>0.15016189999999999</v>
      </c>
      <c r="P5711">
        <v>0.98334889999999997</v>
      </c>
      <c r="Q5711">
        <v>-4.3009800000000003E-3</v>
      </c>
      <c r="R5711">
        <v>0.18167710000000001</v>
      </c>
      <c r="S5711">
        <v>2.7975620000000001</v>
      </c>
      <c r="T5711">
        <v>-0.34353719999999999</v>
      </c>
      <c r="U5711">
        <v>1.3911739999999999</v>
      </c>
      <c r="V5711">
        <v>-3.216662E-2</v>
      </c>
      <c r="W5711">
        <v>1.049053E-2</v>
      </c>
      <c r="X5711">
        <v>0.99942739999999997</v>
      </c>
      <c r="Y5711">
        <v>-0.30482379999999998</v>
      </c>
      <c r="Z5711">
        <v>4.5787920000000003E-4</v>
      </c>
      <c r="AA5711">
        <v>0.9524087</v>
      </c>
      <c r="AB5711">
        <v>30</v>
      </c>
      <c r="AC5711">
        <v>8.9654000000000096</v>
      </c>
      <c r="AD5711">
        <v>-1.1181003901619999</v>
      </c>
      <c r="AE5711">
        <v>4.5020499999999899</v>
      </c>
      <c r="AF5711">
        <v>-3.0664789611990502</v>
      </c>
      <c r="AG5711">
        <v>-1.1181003901619999</v>
      </c>
      <c r="AH5711">
        <v>9.4227960960803401</v>
      </c>
      <c r="AI5711">
        <v>96.437711905056204</v>
      </c>
      <c r="AJ5711">
        <v>108.026543599874</v>
      </c>
      <c r="AK5711">
        <v>9.9720874429711905</v>
      </c>
      <c r="AL5711">
        <v>89.398925842066305</v>
      </c>
      <c r="AM5711">
        <v>91.843431133097596</v>
      </c>
      <c r="AN5711">
        <v>0.99999993526633002</v>
      </c>
    </row>
    <row r="5712" spans="1:40" x14ac:dyDescent="0.25">
      <c r="A5712" t="str">
        <f>"20190312154716421"</f>
        <v>20190312154716421</v>
      </c>
      <c r="B5712" t="str">
        <f>"1552376836413376"</f>
        <v>1552376836413376</v>
      </c>
      <c r="C5712" t="s">
        <v>40</v>
      </c>
      <c r="D5712">
        <v>4.8661899999999996</v>
      </c>
      <c r="E5712">
        <v>0.39092339999999998</v>
      </c>
      <c r="F5712" t="s">
        <v>71</v>
      </c>
      <c r="G5712">
        <v>-199.91079999999999</v>
      </c>
      <c r="H5712" s="1">
        <v>-8.9056470000000002E-6</v>
      </c>
      <c r="I5712">
        <v>-55.756920000000001</v>
      </c>
      <c r="J5712">
        <v>-208.87960000000001</v>
      </c>
      <c r="K5712">
        <v>1.1182110000000001</v>
      </c>
      <c r="L5712">
        <v>-60.331389999999999</v>
      </c>
      <c r="M5712">
        <v>0.98765020000000003</v>
      </c>
      <c r="N5712">
        <v>0</v>
      </c>
      <c r="O5712">
        <v>0.155907399999999</v>
      </c>
      <c r="P5712">
        <v>0.98213379999999995</v>
      </c>
      <c r="Q5712">
        <v>-4.093668E-3</v>
      </c>
      <c r="R5712">
        <v>0.1881399</v>
      </c>
      <c r="S5712">
        <v>2.789215</v>
      </c>
      <c r="T5712">
        <v>-0.3419315</v>
      </c>
      <c r="U5712">
        <v>1.4076229999999901</v>
      </c>
      <c r="V5712">
        <v>-3.293476E-2</v>
      </c>
      <c r="W5712">
        <v>1.06865E-2</v>
      </c>
      <c r="X5712">
        <v>0.99940039999999997</v>
      </c>
      <c r="Y5712">
        <v>-0.3049501</v>
      </c>
      <c r="Z5712">
        <v>-1.791362E-4</v>
      </c>
      <c r="AA5712">
        <v>0.95236829999999995</v>
      </c>
      <c r="AB5712">
        <v>30</v>
      </c>
      <c r="AC5712">
        <v>8.9688000000000105</v>
      </c>
      <c r="AD5712">
        <v>-1.1182199056469999</v>
      </c>
      <c r="AE5712">
        <v>4.5744699999999998</v>
      </c>
      <c r="AF5712">
        <v>-3.0820291353376499</v>
      </c>
      <c r="AG5712">
        <v>-1.1182199056469999</v>
      </c>
      <c r="AH5712">
        <v>9.4557357748505897</v>
      </c>
      <c r="AI5712">
        <v>96.415196023817501</v>
      </c>
      <c r="AJ5712">
        <v>108.053006679314</v>
      </c>
      <c r="AK5712">
        <v>10.008009711838</v>
      </c>
      <c r="AL5712">
        <v>89.3876970156889</v>
      </c>
      <c r="AM5712">
        <v>91.887471817683505</v>
      </c>
      <c r="AN5712">
        <v>1.0000000296093301</v>
      </c>
    </row>
    <row r="5713" spans="1:40" x14ac:dyDescent="0.25">
      <c r="A5713" t="str">
        <f>"20190312154716432"</f>
        <v>20190312154716432</v>
      </c>
      <c r="B5713" t="str">
        <f>"1552376836424112"</f>
        <v>1552376836424112</v>
      </c>
      <c r="C5713" t="s">
        <v>40</v>
      </c>
      <c r="D5713">
        <v>4.8950300000000002</v>
      </c>
      <c r="E5713">
        <v>0.39099699999999998</v>
      </c>
      <c r="F5713" t="s">
        <v>71</v>
      </c>
      <c r="G5713">
        <v>-199.73140000000001</v>
      </c>
      <c r="H5713" s="1">
        <v>-8.9268829999999993E-6</v>
      </c>
      <c r="I5713">
        <v>-55.638939999999998</v>
      </c>
      <c r="J5713">
        <v>-208.72389999999999</v>
      </c>
      <c r="K5713">
        <v>1.1183419999999999</v>
      </c>
      <c r="L5713">
        <v>-60.300870000000003</v>
      </c>
      <c r="M5713">
        <v>0.98668020000000001</v>
      </c>
      <c r="N5713">
        <v>0</v>
      </c>
      <c r="O5713">
        <v>0.1619322</v>
      </c>
      <c r="P5713">
        <v>0.98082040000000004</v>
      </c>
      <c r="Q5713">
        <v>-3.884977E-3</v>
      </c>
      <c r="R5713">
        <v>0.1948761</v>
      </c>
      <c r="S5713">
        <v>2.7799990000000001</v>
      </c>
      <c r="T5713">
        <v>-0.33980949999999999</v>
      </c>
      <c r="U5713">
        <v>1.425964</v>
      </c>
      <c r="V5713">
        <v>-3.3702410000000002E-2</v>
      </c>
      <c r="W5713">
        <v>1.088151E-2</v>
      </c>
      <c r="X5713">
        <v>0.9993727</v>
      </c>
      <c r="Y5713">
        <v>-0.30543749999999997</v>
      </c>
      <c r="Z5713">
        <v>-8.1985629999999999E-4</v>
      </c>
      <c r="AA5713">
        <v>0.95221180000000005</v>
      </c>
      <c r="AB5713">
        <v>30</v>
      </c>
      <c r="AC5713">
        <v>8.9924999999999695</v>
      </c>
      <c r="AD5713">
        <v>-1.1183509268830001</v>
      </c>
      <c r="AE5713">
        <v>4.6619299999999901</v>
      </c>
      <c r="AF5713">
        <v>-3.1061710795678801</v>
      </c>
      <c r="AG5713">
        <v>-1.1183509268830001</v>
      </c>
      <c r="AH5713">
        <v>9.5128302044529001</v>
      </c>
      <c r="AI5713">
        <v>96.376667698896298</v>
      </c>
      <c r="AJ5713">
        <v>108.083123222781</v>
      </c>
      <c r="AK5713">
        <v>10.0694064407965</v>
      </c>
      <c r="AL5713">
        <v>89.376523114412507</v>
      </c>
      <c r="AM5713">
        <v>91.931485941971999</v>
      </c>
      <c r="AN5713">
        <v>1.00000002660248</v>
      </c>
    </row>
    <row r="5714" spans="1:40" x14ac:dyDescent="0.25">
      <c r="A5714" t="str">
        <f>"20190312154716445"</f>
        <v>20190312154716445</v>
      </c>
      <c r="B5714" t="str">
        <f>"1552376836433872"</f>
        <v>1552376836433872</v>
      </c>
      <c r="C5714" t="s">
        <v>40</v>
      </c>
      <c r="D5714">
        <v>4.8069480000000002</v>
      </c>
      <c r="E5714">
        <v>0.39109969999999999</v>
      </c>
      <c r="F5714" t="s">
        <v>71</v>
      </c>
      <c r="G5714">
        <v>-199.54689999999999</v>
      </c>
      <c r="H5714" s="1">
        <v>-8.9491699999999901E-6</v>
      </c>
      <c r="I5714">
        <v>-55.516300000000001</v>
      </c>
      <c r="J5714">
        <v>-208.56229999999999</v>
      </c>
      <c r="K5714">
        <v>1.1184780000000001</v>
      </c>
      <c r="L5714">
        <v>-60.26849</v>
      </c>
      <c r="M5714">
        <v>0.98562430000000001</v>
      </c>
      <c r="N5714">
        <v>0</v>
      </c>
      <c r="O5714">
        <v>0.168238</v>
      </c>
      <c r="P5714">
        <v>0.97938320000000001</v>
      </c>
      <c r="Q5714">
        <v>-3.7236159999999999E-3</v>
      </c>
      <c r="R5714">
        <v>0.20197699999999999</v>
      </c>
      <c r="S5714">
        <v>2.7703549999999999</v>
      </c>
      <c r="T5714">
        <v>-0.33760790000000002</v>
      </c>
      <c r="U5714">
        <v>1.444366</v>
      </c>
      <c r="V5714">
        <v>-3.4560100000000003E-2</v>
      </c>
      <c r="W5714">
        <v>1.1024549999999999E-2</v>
      </c>
      <c r="X5714">
        <v>0.99934179999999995</v>
      </c>
      <c r="Y5714">
        <v>-0.30572559999999999</v>
      </c>
      <c r="Z5714">
        <v>-1.495484E-3</v>
      </c>
      <c r="AA5714">
        <v>0.95211849999999998</v>
      </c>
      <c r="AB5714">
        <v>30</v>
      </c>
      <c r="AC5714">
        <v>9.0153999999999996</v>
      </c>
      <c r="AD5714">
        <v>-1.11848694917</v>
      </c>
      <c r="AE5714">
        <v>4.7521899999999899</v>
      </c>
      <c r="AF5714">
        <v>-3.1298233006030798</v>
      </c>
      <c r="AG5714">
        <v>-1.11848694917</v>
      </c>
      <c r="AH5714">
        <v>9.5711763879083893</v>
      </c>
      <c r="AI5714">
        <v>96.337985031933201</v>
      </c>
      <c r="AJ5714">
        <v>108.10800768886899</v>
      </c>
      <c r="AK5714">
        <v>10.1318421028417</v>
      </c>
      <c r="AL5714">
        <v>89.368327009792793</v>
      </c>
      <c r="AM5714">
        <v>91.980662705685603</v>
      </c>
      <c r="AN5714">
        <v>0.99999998722097605</v>
      </c>
    </row>
    <row r="5715" spans="1:40" x14ac:dyDescent="0.25">
      <c r="A5715" t="str">
        <f>"20190312154716464"</f>
        <v>20190312154716464</v>
      </c>
      <c r="B5715" t="str">
        <f>"1552376836453392"</f>
        <v>1552376836453392</v>
      </c>
      <c r="C5715" t="s">
        <v>40</v>
      </c>
      <c r="D5715">
        <v>4.7939980000000002</v>
      </c>
      <c r="E5715">
        <v>0.39139279999999999</v>
      </c>
      <c r="F5715" t="s">
        <v>71</v>
      </c>
      <c r="G5715">
        <v>-199.38409999999999</v>
      </c>
      <c r="H5715" s="1">
        <v>-8.9709670000000007E-6</v>
      </c>
      <c r="I5715">
        <v>-55.402050000000003</v>
      </c>
      <c r="J5715">
        <v>-208.31870000000001</v>
      </c>
      <c r="K5715">
        <v>1.1186910000000001</v>
      </c>
      <c r="L5715">
        <v>-60.217190000000002</v>
      </c>
      <c r="M5715">
        <v>0.98391499999999998</v>
      </c>
      <c r="N5715">
        <v>0</v>
      </c>
      <c r="O5715">
        <v>0.1779606</v>
      </c>
      <c r="P5715">
        <v>0.9769023</v>
      </c>
      <c r="Q5715">
        <v>-4.2934590000000003E-3</v>
      </c>
      <c r="R5715">
        <v>0.21364330000000001</v>
      </c>
      <c r="S5715">
        <v>2.7600709999999999</v>
      </c>
      <c r="T5715">
        <v>-0.33635199999999998</v>
      </c>
      <c r="U5715">
        <v>1.4634400000000001</v>
      </c>
      <c r="V5715">
        <v>-3.6605029999999997E-2</v>
      </c>
      <c r="W5715">
        <v>1.0408519999999999E-2</v>
      </c>
      <c r="X5715">
        <v>0.99927560000000004</v>
      </c>
      <c r="Y5715">
        <v>-0.30300440000000001</v>
      </c>
      <c r="Z5715">
        <v>-2.7172730000000001E-3</v>
      </c>
      <c r="AA5715">
        <v>0.95298530000000004</v>
      </c>
      <c r="AB5715">
        <v>30</v>
      </c>
      <c r="AC5715">
        <v>8.9346000000000103</v>
      </c>
      <c r="AD5715">
        <v>-1.11869997096699</v>
      </c>
      <c r="AE5715">
        <v>4.8151400000000004</v>
      </c>
      <c r="AF5715">
        <v>-3.11027513064339</v>
      </c>
      <c r="AG5715">
        <v>-1.11869997096699</v>
      </c>
      <c r="AH5715">
        <v>9.5331392826287402</v>
      </c>
      <c r="AI5715">
        <v>96.365657988510193</v>
      </c>
      <c r="AJ5715">
        <v>108.069395778998</v>
      </c>
      <c r="AK5715">
        <v>10.089898195489299</v>
      </c>
      <c r="AL5715">
        <v>89.403624961513302</v>
      </c>
      <c r="AM5715">
        <v>92.097896089856405</v>
      </c>
      <c r="AN5715">
        <v>0.99999999513262505</v>
      </c>
    </row>
    <row r="5716" spans="1:40" x14ac:dyDescent="0.25">
      <c r="A5716" t="str">
        <f>"20190312154716476"</f>
        <v>20190312154716476</v>
      </c>
      <c r="B5716" t="str">
        <f>"1552376836463658"</f>
        <v>1552376836463658</v>
      </c>
      <c r="C5716" t="s">
        <v>40</v>
      </c>
      <c r="D5716">
        <v>4.932563</v>
      </c>
      <c r="E5716">
        <v>0.3915111</v>
      </c>
      <c r="F5716" t="s">
        <v>71</v>
      </c>
      <c r="G5716">
        <v>-199.19569999999999</v>
      </c>
      <c r="H5716" s="1">
        <v>-9.0031899999999998E-6</v>
      </c>
      <c r="I5716">
        <v>-55.249879999999997</v>
      </c>
      <c r="J5716">
        <v>-208.1602</v>
      </c>
      <c r="K5716">
        <v>1.1188260000000001</v>
      </c>
      <c r="L5716">
        <v>-60.182009999999998</v>
      </c>
      <c r="M5716">
        <v>0.98272300000000001</v>
      </c>
      <c r="N5716">
        <v>0</v>
      </c>
      <c r="O5716">
        <v>0.18442829999999999</v>
      </c>
      <c r="P5716">
        <v>0.9752594</v>
      </c>
      <c r="Q5716">
        <v>-4.6594509999999898E-3</v>
      </c>
      <c r="R5716">
        <v>0.2210144</v>
      </c>
      <c r="S5716">
        <v>2.7428439999999998</v>
      </c>
      <c r="T5716">
        <v>-0.33634049999999999</v>
      </c>
      <c r="U5716">
        <v>1.493439</v>
      </c>
      <c r="V5716">
        <v>-3.7573870000000002E-2</v>
      </c>
      <c r="W5716">
        <v>1.0020390000000001E-2</v>
      </c>
      <c r="X5716">
        <v>0.99924360000000001</v>
      </c>
      <c r="Y5716">
        <v>-0.30729430000000002</v>
      </c>
      <c r="Z5716">
        <v>-3.1889829999999998E-3</v>
      </c>
      <c r="AA5716">
        <v>0.95160919999999904</v>
      </c>
      <c r="AB5716">
        <v>30</v>
      </c>
      <c r="AC5716">
        <v>8.9645000000000099</v>
      </c>
      <c r="AD5716">
        <v>-1.1188350031899901</v>
      </c>
      <c r="AE5716">
        <v>4.9321299999999901</v>
      </c>
      <c r="AF5716">
        <v>-3.15625570878872</v>
      </c>
      <c r="AG5716">
        <v>-1.1188350031899901</v>
      </c>
      <c r="AH5716">
        <v>9.6055625490832792</v>
      </c>
      <c r="AI5716">
        <v>96.314497191093906</v>
      </c>
      <c r="AJ5716">
        <v>108.1898117873</v>
      </c>
      <c r="AK5716">
        <v>10.172540181684001</v>
      </c>
      <c r="AL5716">
        <v>89.425864328790297</v>
      </c>
      <c r="AM5716">
        <v>92.153439241979996</v>
      </c>
      <c r="AN5716">
        <v>0.99999998803174395</v>
      </c>
    </row>
    <row r="5717" spans="1:40" x14ac:dyDescent="0.25">
      <c r="A5717" t="str">
        <f>"20190312154716490"</f>
        <v>20190312154716490</v>
      </c>
      <c r="B5717" t="str">
        <f>"1552376836484154"</f>
        <v>1552376836484154</v>
      </c>
      <c r="C5717" t="s">
        <v>40</v>
      </c>
      <c r="D5717">
        <v>4.8520440000000002</v>
      </c>
      <c r="E5717">
        <v>0.39194519999999999</v>
      </c>
      <c r="F5717" t="s">
        <v>71</v>
      </c>
      <c r="G5717">
        <v>-199.04750000000001</v>
      </c>
      <c r="H5717" s="1">
        <v>-9.0270009999999995E-6</v>
      </c>
      <c r="I5717">
        <v>-55.13456</v>
      </c>
      <c r="J5717">
        <v>-207.9923</v>
      </c>
      <c r="K5717">
        <v>1.1189639999999901</v>
      </c>
      <c r="L5717">
        <v>-60.143799999999999</v>
      </c>
      <c r="M5717">
        <v>0.9814001</v>
      </c>
      <c r="N5717">
        <v>0</v>
      </c>
      <c r="O5717">
        <v>0.19134219999999999</v>
      </c>
      <c r="P5717">
        <v>0.97342640000000002</v>
      </c>
      <c r="Q5717">
        <v>-5.3905189999999999E-3</v>
      </c>
      <c r="R5717">
        <v>0.2289369</v>
      </c>
      <c r="S5717">
        <v>2.7316129999999998</v>
      </c>
      <c r="T5717">
        <v>-0.33538379999999901</v>
      </c>
      <c r="U5717">
        <v>1.513031</v>
      </c>
      <c r="V5717">
        <v>-3.8651459999999999E-2</v>
      </c>
      <c r="W5717">
        <v>9.2636860000000001E-3</v>
      </c>
      <c r="X5717">
        <v>0.99920980000000004</v>
      </c>
      <c r="Y5717">
        <v>-0.30751610000000001</v>
      </c>
      <c r="Z5717">
        <v>-3.930645E-3</v>
      </c>
      <c r="AA5717">
        <v>0.95153469999999996</v>
      </c>
      <c r="AB5717">
        <v>30</v>
      </c>
      <c r="AC5717">
        <v>8.9447999999999794</v>
      </c>
      <c r="AD5717">
        <v>-1.1189730270010001</v>
      </c>
      <c r="AE5717">
        <v>5.0092399999999904</v>
      </c>
      <c r="AF5717">
        <v>-3.1672071760003901</v>
      </c>
      <c r="AG5717">
        <v>-1.1189730270010001</v>
      </c>
      <c r="AH5717">
        <v>9.6234390453341696</v>
      </c>
      <c r="AI5717">
        <v>96.302654188952403</v>
      </c>
      <c r="AJ5717">
        <v>108.217091915203</v>
      </c>
      <c r="AK5717">
        <v>10.1928347867571</v>
      </c>
      <c r="AL5717">
        <v>89.469222291293903</v>
      </c>
      <c r="AM5717">
        <v>92.215212430605803</v>
      </c>
      <c r="AN5717">
        <v>0.99999998782723898</v>
      </c>
    </row>
    <row r="5718" spans="1:40" x14ac:dyDescent="0.25">
      <c r="A5718" t="str">
        <f>"20190312154716502"</f>
        <v>20190312154716502</v>
      </c>
      <c r="B5718" t="str">
        <f>"1552376836493915"</f>
        <v>1552376836493915</v>
      </c>
      <c r="C5718" t="s">
        <v>40</v>
      </c>
      <c r="D5718">
        <v>4.8539640000000004</v>
      </c>
      <c r="E5718">
        <v>0.39218059999999899</v>
      </c>
      <c r="F5718" t="s">
        <v>71</v>
      </c>
      <c r="G5718">
        <v>-198.88560000000001</v>
      </c>
      <c r="H5718" s="1">
        <v>-9.0502709999999994E-6</v>
      </c>
      <c r="I5718">
        <v>-55.016379999999998</v>
      </c>
      <c r="J5718">
        <v>-207.81899999999999</v>
      </c>
      <c r="K5718">
        <v>1.1191009999999999</v>
      </c>
      <c r="L5718">
        <v>-60.103209999999997</v>
      </c>
      <c r="M5718">
        <v>0.97996559999999999</v>
      </c>
      <c r="N5718">
        <v>0</v>
      </c>
      <c r="O5718">
        <v>0.19855709999999999</v>
      </c>
      <c r="P5718">
        <v>0.97141060000000001</v>
      </c>
      <c r="Q5718">
        <v>-5.6915230000000004E-3</v>
      </c>
      <c r="R5718">
        <v>0.2373373</v>
      </c>
      <c r="S5718">
        <v>2.7198790000000002</v>
      </c>
      <c r="T5718">
        <v>-0.33420290000000002</v>
      </c>
      <c r="U5718">
        <v>1.5314030000000001</v>
      </c>
      <c r="V5718">
        <v>-3.992797E-2</v>
      </c>
      <c r="W5718">
        <v>8.9313429999999996E-3</v>
      </c>
      <c r="X5718">
        <v>0.99916260000000001</v>
      </c>
      <c r="Y5718">
        <v>-0.30719390000000002</v>
      </c>
      <c r="Z5718">
        <v>-4.7311280000000002E-3</v>
      </c>
      <c r="AA5718">
        <v>0.95163520000000001</v>
      </c>
      <c r="AB5718">
        <v>30</v>
      </c>
      <c r="AC5718">
        <v>8.9334000000000007</v>
      </c>
      <c r="AD5718">
        <v>-1.1191100502710001</v>
      </c>
      <c r="AE5718">
        <v>5.0868299999999902</v>
      </c>
      <c r="AF5718">
        <v>-3.1739046103461601</v>
      </c>
      <c r="AG5718">
        <v>-1.1191100502710001</v>
      </c>
      <c r="AH5718">
        <v>9.6512601577305102</v>
      </c>
      <c r="AI5718">
        <v>96.285866493077407</v>
      </c>
      <c r="AJ5718">
        <v>108.203920115906</v>
      </c>
      <c r="AK5718">
        <v>10.2211985800291</v>
      </c>
      <c r="AL5718">
        <v>89.488264914856799</v>
      </c>
      <c r="AM5718">
        <v>92.288403883132702</v>
      </c>
      <c r="AN5718">
        <v>0.99999995645743101</v>
      </c>
    </row>
    <row r="5719" spans="1:40" x14ac:dyDescent="0.25">
      <c r="A5719" t="str">
        <f>"20190312154716514"</f>
        <v>20190312154716514</v>
      </c>
      <c r="B5719" t="str">
        <f>"1552376836503674"</f>
        <v>1552376836503674</v>
      </c>
      <c r="C5719" t="s">
        <v>40</v>
      </c>
      <c r="D5719">
        <v>4.8247999999999998</v>
      </c>
      <c r="E5719">
        <v>0.39243280000000003</v>
      </c>
      <c r="F5719" t="s">
        <v>71</v>
      </c>
      <c r="G5719">
        <v>-198.73679999999999</v>
      </c>
      <c r="H5719" s="1">
        <v>-9.0766239999999994E-6</v>
      </c>
      <c r="I5719">
        <v>-54.893610000000002</v>
      </c>
      <c r="J5719">
        <v>-207.6686</v>
      </c>
      <c r="K5719">
        <v>1.1192150000000001</v>
      </c>
      <c r="L5719">
        <v>-60.066249999999997</v>
      </c>
      <c r="M5719">
        <v>0.97864870000000004</v>
      </c>
      <c r="N5719">
        <v>0</v>
      </c>
      <c r="O5719">
        <v>0.20494899999999999</v>
      </c>
      <c r="P5719">
        <v>0.96959169999999995</v>
      </c>
      <c r="Q5719">
        <v>-6.5135109999999996E-3</v>
      </c>
      <c r="R5719">
        <v>0.24464250000000001</v>
      </c>
      <c r="S5719">
        <v>2.7069700000000001</v>
      </c>
      <c r="T5719">
        <v>-0.3335534</v>
      </c>
      <c r="U5719">
        <v>1.5527340000000001</v>
      </c>
      <c r="V5719">
        <v>-4.0911129999999997E-2</v>
      </c>
      <c r="W5719">
        <v>8.085465E-3</v>
      </c>
      <c r="X5719">
        <v>0.99913010000000002</v>
      </c>
      <c r="Y5719">
        <v>-0.30861100000000002</v>
      </c>
      <c r="Z5719">
        <v>-5.3467769999999996E-3</v>
      </c>
      <c r="AA5719">
        <v>0.9511733</v>
      </c>
      <c r="AB5719">
        <v>30</v>
      </c>
      <c r="AC5719">
        <v>8.9318000000000097</v>
      </c>
      <c r="AD5719">
        <v>-1.119224076624</v>
      </c>
      <c r="AE5719">
        <v>5.1726400000000003</v>
      </c>
      <c r="AF5719">
        <v>-3.1944642045710299</v>
      </c>
      <c r="AG5719">
        <v>-1.119224076624</v>
      </c>
      <c r="AH5719">
        <v>9.6884897916316302</v>
      </c>
      <c r="AI5719">
        <v>96.260953146314804</v>
      </c>
      <c r="AJ5719">
        <v>108.248289931779</v>
      </c>
      <c r="AK5719">
        <v>10.262752970355001</v>
      </c>
      <c r="AL5719">
        <v>89.536731944385593</v>
      </c>
      <c r="AM5719">
        <v>92.3447660809788</v>
      </c>
      <c r="AN5719">
        <v>1.00000002601407</v>
      </c>
    </row>
    <row r="5720" spans="1:40" x14ac:dyDescent="0.25">
      <c r="A5720" t="str">
        <f>"20190312154716527"</f>
        <v>20190312154716527</v>
      </c>
      <c r="B5720" t="str">
        <f>"1552376836524170"</f>
        <v>1552376836524170</v>
      </c>
      <c r="C5720" t="s">
        <v>40</v>
      </c>
      <c r="D5720">
        <v>4.9071939999999996</v>
      </c>
      <c r="E5720">
        <v>0.39294800000000002</v>
      </c>
      <c r="F5720" t="s">
        <v>71</v>
      </c>
      <c r="G5720">
        <v>-198.65539999999999</v>
      </c>
      <c r="H5720" s="1">
        <v>-9.0956359999999999E-6</v>
      </c>
      <c r="I5720">
        <v>-54.8133699999999</v>
      </c>
      <c r="J5720">
        <v>-207.51140000000001</v>
      </c>
      <c r="K5720">
        <v>1.1193379999999999</v>
      </c>
      <c r="L5720">
        <v>-60.026949999999999</v>
      </c>
      <c r="M5720">
        <v>0.97721610000000003</v>
      </c>
      <c r="N5720">
        <v>0</v>
      </c>
      <c r="O5720">
        <v>0.2116738</v>
      </c>
      <c r="P5720">
        <v>0.9676053</v>
      </c>
      <c r="Q5720">
        <v>-6.7604419999999898E-3</v>
      </c>
      <c r="R5720">
        <v>0.25237769999999998</v>
      </c>
      <c r="S5720">
        <v>2.6954799999999999</v>
      </c>
      <c r="T5720">
        <v>-0.33471420000000002</v>
      </c>
      <c r="U5720">
        <v>1.5709229999999901</v>
      </c>
      <c r="V5720">
        <v>-4.2016030000000003E-2</v>
      </c>
      <c r="W5720">
        <v>7.8108149999999996E-3</v>
      </c>
      <c r="X5720">
        <v>0.99908640000000004</v>
      </c>
      <c r="Y5720">
        <v>-0.30865559999999997</v>
      </c>
      <c r="Z5720">
        <v>-6.1078699999999996E-3</v>
      </c>
      <c r="AA5720">
        <v>0.95115419999999995</v>
      </c>
      <c r="AB5720">
        <v>30</v>
      </c>
      <c r="AC5720">
        <v>8.8560000000000194</v>
      </c>
      <c r="AD5720">
        <v>-1.1193470956360001</v>
      </c>
      <c r="AE5720">
        <v>5.2135800000000003</v>
      </c>
      <c r="AF5720">
        <v>-3.1828416985761598</v>
      </c>
      <c r="AG5720">
        <v>-1.1193470956360001</v>
      </c>
      <c r="AH5720">
        <v>9.6445681100734895</v>
      </c>
      <c r="AI5720">
        <v>96.289373228751401</v>
      </c>
      <c r="AJ5720">
        <v>108.26360901056501</v>
      </c>
      <c r="AK5720">
        <v>10.2176862952701</v>
      </c>
      <c r="AL5720">
        <v>89.552468713127098</v>
      </c>
      <c r="AM5720">
        <v>92.408123567357904</v>
      </c>
      <c r="AN5720">
        <v>0.999999995136442</v>
      </c>
    </row>
    <row r="5721" spans="1:40" x14ac:dyDescent="0.25">
      <c r="A5721" t="str">
        <f>"20190312154716538"</f>
        <v>20190312154716538</v>
      </c>
      <c r="B5721" t="str">
        <f>"1552376836533931"</f>
        <v>1552376836533931</v>
      </c>
      <c r="C5721" t="s">
        <v>40</v>
      </c>
      <c r="D5721">
        <v>4.8907420000000004</v>
      </c>
      <c r="E5721">
        <v>0.39294800000000002</v>
      </c>
      <c r="F5721" t="s">
        <v>71</v>
      </c>
      <c r="G5721">
        <v>-198.44450000000001</v>
      </c>
      <c r="H5721" s="1">
        <v>-9.1251479999999997E-6</v>
      </c>
      <c r="I5721">
        <v>-54.66169</v>
      </c>
      <c r="J5721">
        <v>-207.36259999999999</v>
      </c>
      <c r="K5721">
        <v>1.119448</v>
      </c>
      <c r="L5721">
        <v>-59.988340000000001</v>
      </c>
      <c r="M5721">
        <v>0.97579289999999996</v>
      </c>
      <c r="N5721">
        <v>0</v>
      </c>
      <c r="O5721">
        <v>0.21813930000000001</v>
      </c>
      <c r="P5721">
        <v>0.9656399</v>
      </c>
      <c r="Q5721">
        <v>-7.0816209999999997E-3</v>
      </c>
      <c r="R5721">
        <v>0.25978780000000001</v>
      </c>
      <c r="S5721">
        <v>2.6838989999999998</v>
      </c>
      <c r="T5721">
        <v>-0.33133689999999999</v>
      </c>
      <c r="U5721">
        <v>1.588165</v>
      </c>
      <c r="V5721">
        <v>-4.3054679999999998E-2</v>
      </c>
      <c r="W5721">
        <v>7.4646419999999996E-3</v>
      </c>
      <c r="X5721">
        <v>0.99904479999999996</v>
      </c>
      <c r="Y5721">
        <v>-0.30872509999999997</v>
      </c>
      <c r="Z5721">
        <v>-6.7539979999999998E-3</v>
      </c>
      <c r="AA5721">
        <v>0.95112739999999996</v>
      </c>
      <c r="AB5721">
        <v>30</v>
      </c>
      <c r="AC5721">
        <v>8.9180999999999795</v>
      </c>
      <c r="AD5721">
        <v>-1.1194571251479899</v>
      </c>
      <c r="AE5721">
        <v>5.3266499999999999</v>
      </c>
      <c r="AF5721">
        <v>-3.2153727730878101</v>
      </c>
      <c r="AG5721">
        <v>-1.1194571251479899</v>
      </c>
      <c r="AH5721">
        <v>9.7521132650122802</v>
      </c>
      <c r="AI5721">
        <v>96.221725605972097</v>
      </c>
      <c r="AJ5721">
        <v>108.24792322460399</v>
      </c>
      <c r="AK5721">
        <v>10.329352325222899</v>
      </c>
      <c r="AL5721">
        <v>89.572303532727105</v>
      </c>
      <c r="AM5721">
        <v>92.467683094590697</v>
      </c>
      <c r="AN5721">
        <v>0.99999996937856395</v>
      </c>
    </row>
    <row r="5722" spans="1:40" x14ac:dyDescent="0.25">
      <c r="A5722" t="str">
        <f>"20190312154716554"</f>
        <v>20190312154716554</v>
      </c>
      <c r="B5722" t="str">
        <f>"1552376836543691"</f>
        <v>1552376836543691</v>
      </c>
      <c r="C5722" t="s">
        <v>40</v>
      </c>
      <c r="D5722">
        <v>4.885758</v>
      </c>
      <c r="E5722">
        <v>0.40590949999999998</v>
      </c>
      <c r="F5722" t="s">
        <v>71</v>
      </c>
      <c r="G5722">
        <v>-198.3614</v>
      </c>
      <c r="H5722" s="1">
        <v>-9.1486939999999996E-6</v>
      </c>
      <c r="I5722">
        <v>-54.567990000000002</v>
      </c>
      <c r="J5722">
        <v>-207.15819999999999</v>
      </c>
      <c r="K5722">
        <v>1.1195930000000001</v>
      </c>
      <c r="L5722">
        <v>-59.933500000000002</v>
      </c>
      <c r="M5722">
        <v>0.97373770000000004</v>
      </c>
      <c r="N5722">
        <v>0</v>
      </c>
      <c r="O5722">
        <v>0.22713620000000001</v>
      </c>
      <c r="P5722">
        <v>0.96257380000000003</v>
      </c>
      <c r="Q5722">
        <v>-7.0734609999999996E-3</v>
      </c>
      <c r="R5722">
        <v>0.27092749999999999</v>
      </c>
      <c r="S5722">
        <v>2.6715239999999998</v>
      </c>
      <c r="T5722">
        <v>-0.33224930000000003</v>
      </c>
      <c r="U5722">
        <v>1.6087340000000001</v>
      </c>
      <c r="V5722">
        <v>-4.5378849999999998E-2</v>
      </c>
      <c r="W5722">
        <v>7.4174369999999998E-3</v>
      </c>
      <c r="X5722">
        <v>0.99894229999999995</v>
      </c>
      <c r="Y5722">
        <v>-0.30732029999999999</v>
      </c>
      <c r="Z5722">
        <v>-7.8412959999999993E-3</v>
      </c>
      <c r="AA5722">
        <v>0.95157380000000003</v>
      </c>
      <c r="AB5722">
        <v>30</v>
      </c>
      <c r="AC5722">
        <v>8.7967999999999904</v>
      </c>
      <c r="AD5722">
        <v>-1.119602148694</v>
      </c>
      <c r="AE5722">
        <v>5.3655099999999996</v>
      </c>
      <c r="AF5722">
        <v>-3.1892677829841398</v>
      </c>
      <c r="AG5722">
        <v>-1.119602148694</v>
      </c>
      <c r="AH5722">
        <v>9.6714864549175594</v>
      </c>
      <c r="AI5722">
        <v>96.273896107851797</v>
      </c>
      <c r="AJ5722">
        <v>108.250479993426</v>
      </c>
      <c r="AK5722">
        <v>10.245125094921701</v>
      </c>
      <c r="AL5722">
        <v>89.575008263115905</v>
      </c>
      <c r="AM5722">
        <v>92.600981385925294</v>
      </c>
      <c r="AN5722">
        <v>0.99999998856412997</v>
      </c>
    </row>
    <row r="5723" spans="1:40" x14ac:dyDescent="0.25">
      <c r="A5723" t="str">
        <f>"20190312154716566"</f>
        <v>20190312154716566</v>
      </c>
      <c r="B5723" t="str">
        <f>"1552376836553451"</f>
        <v>1552376836553451</v>
      </c>
      <c r="C5723" t="s">
        <v>40</v>
      </c>
      <c r="D5723">
        <v>4.8687069999999997</v>
      </c>
      <c r="E5723">
        <v>0.40628320000000001</v>
      </c>
      <c r="F5723" t="s">
        <v>71</v>
      </c>
      <c r="G5723">
        <v>-196.01159999999999</v>
      </c>
      <c r="H5723" s="1">
        <v>-9.2563509999999993E-6</v>
      </c>
      <c r="I5723">
        <v>-53.536709999999999</v>
      </c>
      <c r="J5723">
        <v>-207.00899999999999</v>
      </c>
      <c r="K5723">
        <v>1.1196980000000001</v>
      </c>
      <c r="L5723">
        <v>-59.89246</v>
      </c>
      <c r="M5723">
        <v>0.97216840000000004</v>
      </c>
      <c r="N5723">
        <v>0</v>
      </c>
      <c r="O5723">
        <v>0.23376089999999999</v>
      </c>
      <c r="P5723">
        <v>0.96035230000000005</v>
      </c>
      <c r="Q5723">
        <v>-7.1096639999999999E-3</v>
      </c>
      <c r="R5723">
        <v>0.27869890000000003</v>
      </c>
      <c r="S5723">
        <v>2.6815340000000001</v>
      </c>
      <c r="T5723">
        <v>-0.26934340000000001</v>
      </c>
      <c r="U5723">
        <v>1.5388790000000001</v>
      </c>
      <c r="V5723">
        <v>-4.6652069999999997E-2</v>
      </c>
      <c r="W5723">
        <v>7.35068099999999E-3</v>
      </c>
      <c r="X5723">
        <v>0.99888410000000005</v>
      </c>
      <c r="Y5723">
        <v>-0.28099010000000002</v>
      </c>
      <c r="Z5723">
        <v>-8.2061129999999993E-3</v>
      </c>
      <c r="AA5723">
        <v>0.95967559999999996</v>
      </c>
      <c r="AB5723">
        <v>30</v>
      </c>
      <c r="AC5723">
        <v>10.997400000000001</v>
      </c>
      <c r="AD5723">
        <v>-1.11970725635099</v>
      </c>
      <c r="AE5723">
        <v>6.3557499999999996</v>
      </c>
      <c r="AF5723">
        <v>-3.5807128930433998</v>
      </c>
      <c r="AG5723">
        <v>-1.11970725635099</v>
      </c>
      <c r="AH5723">
        <v>12.084630716842501</v>
      </c>
      <c r="AI5723">
        <v>95.076699964184897</v>
      </c>
      <c r="AJ5723">
        <v>106.50471690726999</v>
      </c>
      <c r="AK5723">
        <v>12.6535982520699</v>
      </c>
      <c r="AL5723">
        <v>89.578833186858702</v>
      </c>
      <c r="AM5723">
        <v>92.674009686327906</v>
      </c>
      <c r="AN5723">
        <v>0.99999994668962799</v>
      </c>
    </row>
    <row r="5724" spans="1:40" x14ac:dyDescent="0.25">
      <c r="A5724" t="str">
        <f>"20190312154716578"</f>
        <v>20190312154716578</v>
      </c>
      <c r="B5724" t="str">
        <f>"1552376836573947"</f>
        <v>1552376836573947</v>
      </c>
      <c r="C5724" t="s">
        <v>40</v>
      </c>
      <c r="D5724">
        <v>4.871213</v>
      </c>
      <c r="E5724">
        <v>0.40752899999999997</v>
      </c>
      <c r="F5724" t="s">
        <v>71</v>
      </c>
      <c r="G5724">
        <v>-195.8116</v>
      </c>
      <c r="H5724" s="1">
        <v>-9.3007340000000003E-6</v>
      </c>
      <c r="I5724">
        <v>-53.359679999999997</v>
      </c>
      <c r="J5724">
        <v>-206.84469999999999</v>
      </c>
      <c r="K5724">
        <v>1.1198109999999999</v>
      </c>
      <c r="L5724">
        <v>-59.845489999999998</v>
      </c>
      <c r="M5724">
        <v>0.97035680000000002</v>
      </c>
      <c r="N5724">
        <v>0</v>
      </c>
      <c r="O5724">
        <v>0.24117</v>
      </c>
      <c r="P5724">
        <v>0.95792129999999998</v>
      </c>
      <c r="Q5724">
        <v>-6.922793E-3</v>
      </c>
      <c r="R5724">
        <v>0.28694809999999998</v>
      </c>
      <c r="S5724">
        <v>2.6698300000000001</v>
      </c>
      <c r="T5724">
        <v>-0.26697310000000002</v>
      </c>
      <c r="U5724">
        <v>1.557617</v>
      </c>
      <c r="V5724">
        <v>-4.762984E-2</v>
      </c>
      <c r="W5724">
        <v>7.5170929999999999E-3</v>
      </c>
      <c r="X5724">
        <v>0.99883679999999997</v>
      </c>
      <c r="Y5724">
        <v>-0.28055429999999998</v>
      </c>
      <c r="Z5724">
        <v>-8.8166169999999901E-3</v>
      </c>
      <c r="AA5724">
        <v>0.95979769999999998</v>
      </c>
      <c r="AB5724">
        <v>30</v>
      </c>
      <c r="AC5724">
        <v>11.0330999999999</v>
      </c>
      <c r="AD5724">
        <v>-1.119820300734</v>
      </c>
      <c r="AE5724">
        <v>6.4858099999999999</v>
      </c>
      <c r="AF5724">
        <v>-3.6055380532460699</v>
      </c>
      <c r="AG5724">
        <v>-1.119820300734</v>
      </c>
      <c r="AH5724">
        <v>12.1784907729613</v>
      </c>
      <c r="AI5724">
        <v>95.038616402835004</v>
      </c>
      <c r="AJ5724">
        <v>106.491802324145</v>
      </c>
      <c r="AK5724">
        <v>12.750276062362101</v>
      </c>
      <c r="AL5724">
        <v>89.569298253791203</v>
      </c>
      <c r="AM5724">
        <v>92.730098807183097</v>
      </c>
      <c r="AN5724">
        <v>1.0000000306899099</v>
      </c>
    </row>
    <row r="5725" spans="1:40" x14ac:dyDescent="0.25">
      <c r="A5725" t="str">
        <f>"20190312154716593"</f>
        <v>20190312154716593</v>
      </c>
      <c r="B5725" t="str">
        <f>"1552376836583706"</f>
        <v>1552376836583706</v>
      </c>
      <c r="C5725" t="s">
        <v>40</v>
      </c>
      <c r="D5725">
        <v>4.7804460000000004</v>
      </c>
      <c r="E5725">
        <v>0.40752899999999997</v>
      </c>
      <c r="F5725" t="s">
        <v>71</v>
      </c>
      <c r="G5725">
        <v>-195.4734</v>
      </c>
      <c r="H5725" s="1">
        <v>-9.3508890000000005E-6</v>
      </c>
      <c r="I5725">
        <v>-53.128819999999997</v>
      </c>
      <c r="J5725">
        <v>-206.6662</v>
      </c>
      <c r="K5725">
        <v>1.1199330000000001</v>
      </c>
      <c r="L5725">
        <v>-59.792879999999997</v>
      </c>
      <c r="M5725">
        <v>0.96829829999999995</v>
      </c>
      <c r="N5725">
        <v>0</v>
      </c>
      <c r="O5725">
        <v>0.24930550000000001</v>
      </c>
      <c r="P5725">
        <v>0.95510379999999995</v>
      </c>
      <c r="Q5725">
        <v>-6.8624790000000003E-3</v>
      </c>
      <c r="R5725">
        <v>0.29619230000000002</v>
      </c>
      <c r="S5725">
        <v>2.6593629999999999</v>
      </c>
      <c r="T5725">
        <v>-0.261887799999999</v>
      </c>
      <c r="U5725">
        <v>1.5708009999999999</v>
      </c>
      <c r="V5725">
        <v>-4.890336E-2</v>
      </c>
      <c r="W5725">
        <v>7.54951699999999E-3</v>
      </c>
      <c r="X5725">
        <v>0.99877499999999997</v>
      </c>
      <c r="Y5725">
        <v>-0.27771780000000001</v>
      </c>
      <c r="Z5725">
        <v>-9.4928370000000005E-3</v>
      </c>
      <c r="AA5725">
        <v>0.96061580000000002</v>
      </c>
      <c r="AB5725">
        <v>30</v>
      </c>
      <c r="AC5725">
        <v>11.1928</v>
      </c>
      <c r="AD5725">
        <v>-1.1199423508890001</v>
      </c>
      <c r="AE5725">
        <v>6.6640600000000001</v>
      </c>
      <c r="AF5725">
        <v>-3.6359449182676</v>
      </c>
      <c r="AG5725">
        <v>-1.1199423508890001</v>
      </c>
      <c r="AH5725">
        <v>12.409164837927801</v>
      </c>
      <c r="AI5725">
        <v>94.950032579309493</v>
      </c>
      <c r="AJ5725">
        <v>106.330838019918</v>
      </c>
      <c r="AK5725">
        <v>12.979281116181101</v>
      </c>
      <c r="AL5725">
        <v>89.567440436952197</v>
      </c>
      <c r="AM5725">
        <v>92.803154066477902</v>
      </c>
      <c r="AN5725">
        <v>1.00000001722561</v>
      </c>
    </row>
    <row r="5726" spans="1:40" x14ac:dyDescent="0.25">
      <c r="A5726" t="str">
        <f>"20190312154716607"</f>
        <v>20190312154716607</v>
      </c>
      <c r="B5726" t="str">
        <f>"1552376836604203"</f>
        <v>1552376836604203</v>
      </c>
      <c r="C5726" t="s">
        <v>40</v>
      </c>
      <c r="D5726">
        <v>4.8174739999999998</v>
      </c>
      <c r="E5726">
        <v>0.40215380000000001</v>
      </c>
      <c r="F5726" t="s">
        <v>71</v>
      </c>
      <c r="G5726">
        <v>-195.34309999999999</v>
      </c>
      <c r="H5726" s="1">
        <v>-9.4004939999999994E-6</v>
      </c>
      <c r="I5726">
        <v>-52.956600000000002</v>
      </c>
      <c r="J5726">
        <v>-206.49619999999999</v>
      </c>
      <c r="K5726">
        <v>1.120044</v>
      </c>
      <c r="L5726">
        <v>-59.741459999999996</v>
      </c>
      <c r="M5726">
        <v>0.96625050000000001</v>
      </c>
      <c r="N5726">
        <v>0</v>
      </c>
      <c r="O5726">
        <v>0.25712620000000003</v>
      </c>
      <c r="P5726">
        <v>0.95243710000000004</v>
      </c>
      <c r="Q5726">
        <v>-6.7443989999999999E-3</v>
      </c>
      <c r="R5726">
        <v>0.3046606</v>
      </c>
      <c r="S5726">
        <v>2.6440730000000001</v>
      </c>
      <c r="T5726">
        <v>-0.26151849999999999</v>
      </c>
      <c r="U5726">
        <v>1.596344</v>
      </c>
      <c r="V5726">
        <v>-4.9700550000000003E-2</v>
      </c>
      <c r="W5726">
        <v>7.6515559999999899E-3</v>
      </c>
      <c r="X5726">
        <v>0.99873480000000003</v>
      </c>
      <c r="Y5726">
        <v>-0.27923019999999998</v>
      </c>
      <c r="Z5726">
        <v>-1.0099469999999999E-2</v>
      </c>
      <c r="AA5726">
        <v>0.960171</v>
      </c>
      <c r="AB5726">
        <v>30</v>
      </c>
      <c r="AC5726">
        <v>11.153099999999901</v>
      </c>
      <c r="AD5726">
        <v>-1.1200534004939999</v>
      </c>
      <c r="AE5726">
        <v>6.7848599999999903</v>
      </c>
      <c r="AF5726">
        <v>-3.6616205404196598</v>
      </c>
      <c r="AG5726">
        <v>-1.1200534004939999</v>
      </c>
      <c r="AH5726">
        <v>12.431286942564</v>
      </c>
      <c r="AI5726">
        <v>94.939702137469695</v>
      </c>
      <c r="AJ5726">
        <v>106.41227363396</v>
      </c>
      <c r="AK5726">
        <v>13.0076469682392</v>
      </c>
      <c r="AL5726">
        <v>89.561593832839506</v>
      </c>
      <c r="AM5726">
        <v>92.848889023634996</v>
      </c>
      <c r="AN5726">
        <v>0.99999994585527996</v>
      </c>
    </row>
    <row r="5727" spans="1:40" x14ac:dyDescent="0.25">
      <c r="A5727" t="str">
        <f>"20190312154716620"</f>
        <v>20190312154716620</v>
      </c>
      <c r="B5727" t="str">
        <f>"1552376836613963"</f>
        <v>1552376836613963</v>
      </c>
      <c r="C5727" t="s">
        <v>40</v>
      </c>
      <c r="D5727">
        <v>4.7886470000000001</v>
      </c>
      <c r="E5727">
        <v>0.4028506</v>
      </c>
      <c r="F5727" t="s">
        <v>71</v>
      </c>
      <c r="G5727">
        <v>-184.8492</v>
      </c>
      <c r="H5727" s="1">
        <v>-4.8178209999999998E-6</v>
      </c>
      <c r="I5727">
        <v>-46.024990000000003</v>
      </c>
      <c r="J5727">
        <v>-206.31569999999999</v>
      </c>
      <c r="K5727">
        <v>1.1201589999999999</v>
      </c>
      <c r="L5727">
        <v>-59.6849699999999</v>
      </c>
      <c r="M5727">
        <v>0.96397319999999997</v>
      </c>
      <c r="N5727">
        <v>0</v>
      </c>
      <c r="O5727">
        <v>0.26553529999999997</v>
      </c>
      <c r="P5727">
        <v>0.94928710000000005</v>
      </c>
      <c r="Q5727">
        <v>-6.4417930000000003E-3</v>
      </c>
      <c r="R5727">
        <v>0.31434489999999998</v>
      </c>
      <c r="S5727">
        <v>2.6181950000000001</v>
      </c>
      <c r="T5727">
        <v>-0.13546920000000001</v>
      </c>
      <c r="U5727">
        <v>1.6589970000000001</v>
      </c>
      <c r="V5727">
        <v>-5.1179589999999997E-2</v>
      </c>
      <c r="W5727">
        <v>7.9219159999999993E-3</v>
      </c>
      <c r="X5727">
        <v>0.99865809999999999</v>
      </c>
      <c r="Y5727">
        <v>-0.29166429999999999</v>
      </c>
      <c r="Z5727">
        <v>-5.3228379999999999E-3</v>
      </c>
      <c r="AA5727">
        <v>0.95650599999999997</v>
      </c>
      <c r="AB5727">
        <v>30</v>
      </c>
      <c r="AC5727">
        <v>21.4665</v>
      </c>
      <c r="AD5727">
        <v>-1.1201638178209901</v>
      </c>
      <c r="AE5727">
        <v>13.6599799999999</v>
      </c>
      <c r="AF5727">
        <v>-7.45421497490854</v>
      </c>
      <c r="AG5727">
        <v>-1.1201638178209901</v>
      </c>
      <c r="AH5727">
        <v>24.276286741569901</v>
      </c>
      <c r="AI5727">
        <v>92.525663025309598</v>
      </c>
      <c r="AJ5727">
        <v>107.06949488078401</v>
      </c>
      <c r="AK5727">
        <v>25.419641732916499</v>
      </c>
      <c r="AL5727">
        <v>89.546102924424403</v>
      </c>
      <c r="AM5727">
        <v>92.933748148070194</v>
      </c>
      <c r="AN5727">
        <v>1.00000005394064</v>
      </c>
    </row>
    <row r="5728" spans="1:40" x14ac:dyDescent="0.25">
      <c r="A5728" t="str">
        <f>"20190312154716632"</f>
        <v>20190312154716632</v>
      </c>
      <c r="B5728" t="str">
        <f>"1552376836623722"</f>
        <v>1552376836623722</v>
      </c>
      <c r="C5728" t="s">
        <v>40</v>
      </c>
      <c r="D5728">
        <v>4.9810220000000003</v>
      </c>
      <c r="E5728">
        <v>0.4028506</v>
      </c>
      <c r="F5728" t="s">
        <v>71</v>
      </c>
      <c r="G5728">
        <v>-185.5523</v>
      </c>
      <c r="H5728" s="1">
        <v>-4.8144519999999998E-6</v>
      </c>
      <c r="I5728">
        <v>-46.280419999999999</v>
      </c>
      <c r="J5728">
        <v>-206.18020000000001</v>
      </c>
      <c r="K5728">
        <v>1.1202449999999999</v>
      </c>
      <c r="L5728">
        <v>-59.641109999999998</v>
      </c>
      <c r="M5728">
        <v>0.96218999999999999</v>
      </c>
      <c r="N5728">
        <v>0</v>
      </c>
      <c r="O5728">
        <v>0.27192539999999998</v>
      </c>
      <c r="P5728">
        <v>0.94699639999999996</v>
      </c>
      <c r="Q5728">
        <v>-6.3217550000000001E-3</v>
      </c>
      <c r="R5728">
        <v>0.32118219999999997</v>
      </c>
      <c r="S5728">
        <v>2.6028899999999999</v>
      </c>
      <c r="T5728">
        <v>-0.1404234</v>
      </c>
      <c r="U5728">
        <v>1.6803889999999999</v>
      </c>
      <c r="V5728">
        <v>-5.1759529999999998E-2</v>
      </c>
      <c r="W5728">
        <v>8.0315839999999996E-3</v>
      </c>
      <c r="X5728">
        <v>0.9986273</v>
      </c>
      <c r="Y5728">
        <v>-0.293427299999999</v>
      </c>
      <c r="Z5728">
        <v>-5.7801789999999999E-3</v>
      </c>
      <c r="AA5728">
        <v>0.95596389999999998</v>
      </c>
      <c r="AB5728">
        <v>30</v>
      </c>
      <c r="AC5728">
        <v>20.6279</v>
      </c>
      <c r="AD5728">
        <v>-1.1202498144519999</v>
      </c>
      <c r="AE5728">
        <v>13.3606899999999</v>
      </c>
      <c r="AF5728">
        <v>-7.23214125293521</v>
      </c>
      <c r="AG5728">
        <v>-1.1202498144519999</v>
      </c>
      <c r="AH5728">
        <v>23.435279172832601</v>
      </c>
      <c r="AI5728">
        <v>92.615243330031404</v>
      </c>
      <c r="AJ5728">
        <v>107.150257356361</v>
      </c>
      <c r="AK5728">
        <v>24.551397855474299</v>
      </c>
      <c r="AL5728">
        <v>89.539819195584698</v>
      </c>
      <c r="AM5728">
        <v>92.967024107586695</v>
      </c>
      <c r="AN5728">
        <v>1.0000000197963299</v>
      </c>
    </row>
    <row r="5729" spans="1:40" x14ac:dyDescent="0.25">
      <c r="A5729" t="str">
        <f>"20190312154716643"</f>
        <v>20190312154716643</v>
      </c>
      <c r="B5729" t="str">
        <f>"1552376836633483"</f>
        <v>1552376836633483</v>
      </c>
      <c r="C5729" t="s">
        <v>40</v>
      </c>
      <c r="D5729">
        <v>5.1500170000000001</v>
      </c>
      <c r="E5729">
        <v>0.39905259999999998</v>
      </c>
      <c r="F5729" t="s">
        <v>71</v>
      </c>
      <c r="G5729">
        <v>-185.45509999999999</v>
      </c>
      <c r="H5729" s="1">
        <v>-4.913707E-6</v>
      </c>
      <c r="I5729">
        <v>-46.0488</v>
      </c>
      <c r="J5729">
        <v>-206.03700000000001</v>
      </c>
      <c r="K5729">
        <v>1.120331</v>
      </c>
      <c r="L5729">
        <v>-59.594299999999997</v>
      </c>
      <c r="M5729">
        <v>0.96025039999999995</v>
      </c>
      <c r="N5729">
        <v>0</v>
      </c>
      <c r="O5729">
        <v>0.27869620000000001</v>
      </c>
      <c r="P5729">
        <v>0.94452849999999999</v>
      </c>
      <c r="Q5729">
        <v>-6.2102659999999999E-3</v>
      </c>
      <c r="R5729">
        <v>0.32837139999999998</v>
      </c>
      <c r="S5729">
        <v>2.5907290000000001</v>
      </c>
      <c r="T5729">
        <v>-0.14003599999999999</v>
      </c>
      <c r="U5729">
        <v>1.6990970000000001</v>
      </c>
      <c r="V5729">
        <v>-5.2320899999999997E-2</v>
      </c>
      <c r="W5729">
        <v>8.1336250000000002E-3</v>
      </c>
      <c r="X5729">
        <v>0.99859719999999996</v>
      </c>
      <c r="Y5729">
        <v>-0.29358459999999997</v>
      </c>
      <c r="Z5729">
        <v>-6.0796239999999996E-3</v>
      </c>
      <c r="AA5729">
        <v>0.95591380000000004</v>
      </c>
      <c r="AB5729">
        <v>30</v>
      </c>
      <c r="AC5729">
        <v>20.581900000000001</v>
      </c>
      <c r="AD5729">
        <v>-1.1203359137069999</v>
      </c>
      <c r="AE5729">
        <v>13.545499999999899</v>
      </c>
      <c r="AF5729">
        <v>-7.2568713970716301</v>
      </c>
      <c r="AG5729">
        <v>-1.1203359137069999</v>
      </c>
      <c r="AH5729">
        <v>23.493200161798601</v>
      </c>
      <c r="AI5729">
        <v>92.608790459922503</v>
      </c>
      <c r="AJ5729">
        <v>107.16552208156401</v>
      </c>
      <c r="AK5729">
        <v>24.6139754788923</v>
      </c>
      <c r="AL5729">
        <v>89.533972476918606</v>
      </c>
      <c r="AM5729">
        <v>92.999235457724595</v>
      </c>
      <c r="AN5729">
        <v>1.0000000001401399</v>
      </c>
    </row>
    <row r="5730" spans="1:40" x14ac:dyDescent="0.25">
      <c r="A5730" t="str">
        <f>"20190312154716654"</f>
        <v>20190312154716654</v>
      </c>
      <c r="B5730" t="str">
        <f>"1552376836644218"</f>
        <v>1552376836644218</v>
      </c>
      <c r="C5730" t="s">
        <v>40</v>
      </c>
      <c r="D5730">
        <v>5.1658299999999997</v>
      </c>
      <c r="E5730">
        <v>0.39293139999999999</v>
      </c>
      <c r="F5730" t="s">
        <v>71</v>
      </c>
      <c r="G5730">
        <v>-196.15520000000001</v>
      </c>
      <c r="H5730" s="1">
        <v>-9.5178429999999999E-6</v>
      </c>
      <c r="I5730">
        <v>-52.856969999999997</v>
      </c>
      <c r="J5730">
        <v>-205.89959999999999</v>
      </c>
      <c r="K5730">
        <v>1.120411</v>
      </c>
      <c r="L5730">
        <v>-59.547359999999998</v>
      </c>
      <c r="M5730">
        <v>0.95830680000000001</v>
      </c>
      <c r="N5730">
        <v>0</v>
      </c>
      <c r="O5730">
        <v>0.28530699999999998</v>
      </c>
      <c r="P5730">
        <v>0.94216029999999995</v>
      </c>
      <c r="Q5730">
        <v>-6.402133E-3</v>
      </c>
      <c r="R5730">
        <v>0.3351015</v>
      </c>
      <c r="S5730">
        <v>2.566055</v>
      </c>
      <c r="T5730">
        <v>-0.2909236</v>
      </c>
      <c r="U5730">
        <v>1.749512</v>
      </c>
      <c r="V5730">
        <v>-5.2560490000000001E-2</v>
      </c>
      <c r="W5730">
        <v>7.94194199999999E-3</v>
      </c>
      <c r="X5730">
        <v>0.99858619999999998</v>
      </c>
      <c r="Y5730">
        <v>-0.30403590000000003</v>
      </c>
      <c r="Z5730">
        <v>-1.272068E-2</v>
      </c>
      <c r="AA5730">
        <v>0.95257559999999997</v>
      </c>
      <c r="AB5730">
        <v>30</v>
      </c>
      <c r="AC5730">
        <v>9.7443999999999793</v>
      </c>
      <c r="AD5730">
        <v>-1.120420517843</v>
      </c>
      <c r="AE5730">
        <v>6.6903899999999998</v>
      </c>
      <c r="AF5730">
        <v>-3.5994101974409798</v>
      </c>
      <c r="AG5730">
        <v>-1.120420517843</v>
      </c>
      <c r="AH5730">
        <v>11.1481679527444</v>
      </c>
      <c r="AI5730">
        <v>95.463217154093698</v>
      </c>
      <c r="AJ5730">
        <v>107.89371720666701</v>
      </c>
      <c r="AK5730">
        <v>11.768294039870099</v>
      </c>
      <c r="AL5730">
        <v>89.544955476397405</v>
      </c>
      <c r="AM5730">
        <v>93.012977559580506</v>
      </c>
      <c r="AN5730">
        <v>1.0000000391910999</v>
      </c>
    </row>
    <row r="5731" spans="1:40" x14ac:dyDescent="0.25">
      <c r="A5731" t="str">
        <f>"20190312154716665"</f>
        <v>20190312154716665</v>
      </c>
      <c r="B5731" t="str">
        <f>"1552376836653978"</f>
        <v>1552376836653978</v>
      </c>
      <c r="C5731" t="s">
        <v>40</v>
      </c>
      <c r="D5731">
        <v>4.9847609999999998</v>
      </c>
      <c r="E5731">
        <v>0.38791799999999999</v>
      </c>
      <c r="F5731" t="s">
        <v>71</v>
      </c>
      <c r="G5731">
        <v>-196.13499999999999</v>
      </c>
      <c r="H5731" s="1">
        <v>-9.6217749999999999E-6</v>
      </c>
      <c r="I5731">
        <v>-52.565579999999997</v>
      </c>
      <c r="J5731">
        <v>-205.7655</v>
      </c>
      <c r="K5731">
        <v>1.1204909999999999</v>
      </c>
      <c r="L5731">
        <v>-59.501249999999999</v>
      </c>
      <c r="M5731">
        <v>0.95635999999999999</v>
      </c>
      <c r="N5731">
        <v>0</v>
      </c>
      <c r="O5731">
        <v>0.29176530000000001</v>
      </c>
      <c r="P5731">
        <v>0.93984109999999998</v>
      </c>
      <c r="Q5731">
        <v>-6.4379679999999996E-3</v>
      </c>
      <c r="R5731">
        <v>0.34155150000000001</v>
      </c>
      <c r="S5731">
        <v>2.5370029999999999</v>
      </c>
      <c r="T5731">
        <v>-0.29110570000000002</v>
      </c>
      <c r="U5731">
        <v>1.813995</v>
      </c>
      <c r="V5731">
        <v>-5.2669069999999998E-2</v>
      </c>
      <c r="W5731">
        <v>7.9095169999999996E-3</v>
      </c>
      <c r="X5731">
        <v>0.99858069999999999</v>
      </c>
      <c r="Y5731">
        <v>-0.31881090000000001</v>
      </c>
      <c r="Z5731">
        <v>-1.259501E-2</v>
      </c>
      <c r="AA5731">
        <v>0.94773470000000004</v>
      </c>
      <c r="AB5731">
        <v>30</v>
      </c>
      <c r="AC5731">
        <v>9.6305000000000103</v>
      </c>
      <c r="AD5731">
        <v>-1.120500621775</v>
      </c>
      <c r="AE5731">
        <v>6.9356699999999902</v>
      </c>
      <c r="AF5731">
        <v>-3.7898446169014699</v>
      </c>
      <c r="AG5731">
        <v>-1.120500621775</v>
      </c>
      <c r="AH5731">
        <v>11.135944647369101</v>
      </c>
      <c r="AI5731">
        <v>95.441290904004305</v>
      </c>
      <c r="AJ5731">
        <v>108.794742769436</v>
      </c>
      <c r="AK5731">
        <v>11.8164168449206</v>
      </c>
      <c r="AL5731">
        <v>89.546813333883904</v>
      </c>
      <c r="AM5731">
        <v>93.019206894101103</v>
      </c>
      <c r="AN5731">
        <v>1.0000000029031599</v>
      </c>
    </row>
    <row r="5732" spans="1:40" x14ac:dyDescent="0.25">
      <c r="A5732" t="str">
        <f>"20190312154716676"</f>
        <v>20190312154716676</v>
      </c>
      <c r="B5732" t="str">
        <f>"1552376836673499"</f>
        <v>1552376836673499</v>
      </c>
      <c r="C5732" t="s">
        <v>40</v>
      </c>
      <c r="D5732">
        <v>5.1752779999999996</v>
      </c>
      <c r="E5732">
        <v>0.38160100000000002</v>
      </c>
      <c r="F5732" t="s">
        <v>71</v>
      </c>
      <c r="G5732">
        <v>-196.32769999999999</v>
      </c>
      <c r="H5732" s="1">
        <v>-9.6739469999999992E-6</v>
      </c>
      <c r="I5732">
        <v>-52.475020000000001</v>
      </c>
      <c r="J5732">
        <v>-205.62450000000001</v>
      </c>
      <c r="K5732">
        <v>1.120573</v>
      </c>
      <c r="L5732">
        <v>-59.451079999999997</v>
      </c>
      <c r="M5732">
        <v>0.95423309999999995</v>
      </c>
      <c r="N5732">
        <v>0</v>
      </c>
      <c r="O5732">
        <v>0.298647099999999</v>
      </c>
      <c r="P5732">
        <v>0.93745959999999995</v>
      </c>
      <c r="Q5732">
        <v>-6.5437339999999998E-3</v>
      </c>
      <c r="R5732">
        <v>0.34803289999999998</v>
      </c>
      <c r="S5732">
        <v>2.5107119999999998</v>
      </c>
      <c r="T5732">
        <v>-0.29808379999999901</v>
      </c>
      <c r="U5732">
        <v>1.8691709999999999</v>
      </c>
      <c r="V5732">
        <v>-5.2370079999999999E-2</v>
      </c>
      <c r="W5732">
        <v>7.8198750000000004E-3</v>
      </c>
      <c r="X5732">
        <v>0.99859710000000002</v>
      </c>
      <c r="Y5732">
        <v>-0.33015470000000002</v>
      </c>
      <c r="Z5732">
        <v>-1.297734E-2</v>
      </c>
      <c r="AA5732">
        <v>0.94383760000000005</v>
      </c>
      <c r="AB5732">
        <v>30</v>
      </c>
      <c r="AC5732">
        <v>9.2968000000000099</v>
      </c>
      <c r="AD5732">
        <v>-1.120582673947</v>
      </c>
      <c r="AE5732">
        <v>6.9760600000000101</v>
      </c>
      <c r="AF5732">
        <v>-3.8450687818120599</v>
      </c>
      <c r="AG5732">
        <v>-1.120582673947</v>
      </c>
      <c r="AH5732">
        <v>10.855161189512</v>
      </c>
      <c r="AI5732">
        <v>95.55774244298</v>
      </c>
      <c r="AJ5732">
        <v>109.50494598309299</v>
      </c>
      <c r="AK5732">
        <v>11.570427127652</v>
      </c>
      <c r="AL5732">
        <v>89.551949587108695</v>
      </c>
      <c r="AM5732">
        <v>93.002049790339697</v>
      </c>
      <c r="AN5732">
        <v>0.99999997192631496</v>
      </c>
    </row>
    <row r="5733" spans="1:40" x14ac:dyDescent="0.25">
      <c r="A5733" t="str">
        <f>"20190312154716689"</f>
        <v>20190312154716689</v>
      </c>
      <c r="B5733" t="str">
        <f>"1552376836683258"</f>
        <v>1552376836683258</v>
      </c>
      <c r="C5733" t="s">
        <v>40</v>
      </c>
      <c r="D5733">
        <v>4.9863869999999997</v>
      </c>
      <c r="E5733">
        <v>0.38024289999999999</v>
      </c>
      <c r="F5733" t="s">
        <v>71</v>
      </c>
      <c r="G5733">
        <v>-196.1592</v>
      </c>
      <c r="H5733" s="1">
        <v>-9.8042580000000004E-6</v>
      </c>
      <c r="I5733">
        <v>-52.070329999999998</v>
      </c>
      <c r="J5733">
        <v>-205.48269999999999</v>
      </c>
      <c r="K5733">
        <v>1.120652</v>
      </c>
      <c r="L5733">
        <v>-59.39969</v>
      </c>
      <c r="M5733">
        <v>0.95202450000000005</v>
      </c>
      <c r="N5733">
        <v>0</v>
      </c>
      <c r="O5733">
        <v>0.30561339999999998</v>
      </c>
      <c r="P5733">
        <v>0.93500950000000005</v>
      </c>
      <c r="Q5733">
        <v>-6.2288029999999998E-3</v>
      </c>
      <c r="R5733">
        <v>0.3545682</v>
      </c>
      <c r="S5733">
        <v>2.4801329999999999</v>
      </c>
      <c r="T5733">
        <v>-0.29361900000000002</v>
      </c>
      <c r="U5733">
        <v>1.933929</v>
      </c>
      <c r="V5733">
        <v>-5.2051849999999997E-2</v>
      </c>
      <c r="W5733">
        <v>8.15222E-3</v>
      </c>
      <c r="X5733">
        <v>0.99861109999999997</v>
      </c>
      <c r="Y5733">
        <v>-0.34426469999999998</v>
      </c>
      <c r="Z5733">
        <v>-1.272268E-2</v>
      </c>
      <c r="AA5733">
        <v>0.93878640000000002</v>
      </c>
      <c r="AB5733">
        <v>30</v>
      </c>
      <c r="AC5733">
        <v>9.3234999999999904</v>
      </c>
      <c r="AD5733">
        <v>-1.1206618042580001</v>
      </c>
      <c r="AE5733">
        <v>7.3293600000000003</v>
      </c>
      <c r="AF5733">
        <v>-4.0923178882491298</v>
      </c>
      <c r="AG5733">
        <v>-1.1206618042580001</v>
      </c>
      <c r="AH5733">
        <v>11.0191463011924</v>
      </c>
      <c r="AI5733">
        <v>95.446051692435802</v>
      </c>
      <c r="AJ5733">
        <v>110.37411452829301</v>
      </c>
      <c r="AK5733">
        <v>11.8078166392051</v>
      </c>
      <c r="AL5733">
        <v>89.532907022497298</v>
      </c>
      <c r="AM5733">
        <v>92.983798960184004</v>
      </c>
      <c r="AN5733">
        <v>0.99999999141128004</v>
      </c>
    </row>
    <row r="5734" spans="1:40" x14ac:dyDescent="0.25">
      <c r="A5734" t="str">
        <f>"20190312154716700"</f>
        <v>20190312154716700</v>
      </c>
      <c r="B5734" t="str">
        <f>"1552376836693996"</f>
        <v>1552376836693996</v>
      </c>
      <c r="C5734" t="s">
        <v>40</v>
      </c>
      <c r="D5734">
        <v>5.1506210000000001</v>
      </c>
      <c r="E5734">
        <v>0.37941960000000002</v>
      </c>
      <c r="F5734" t="s">
        <v>71</v>
      </c>
      <c r="G5734">
        <v>-196.14169999999999</v>
      </c>
      <c r="H5734" s="1">
        <v>-9.8429750000000004E-6</v>
      </c>
      <c r="I5734">
        <v>-51.959029999999998</v>
      </c>
      <c r="J5734">
        <v>-205.33619999999999</v>
      </c>
      <c r="K5734">
        <v>1.120736</v>
      </c>
      <c r="L5734">
        <v>-59.345370000000003</v>
      </c>
      <c r="M5734">
        <v>0.94966519999999999</v>
      </c>
      <c r="N5734">
        <v>0</v>
      </c>
      <c r="O5734">
        <v>0.31286649999999999</v>
      </c>
      <c r="P5734">
        <v>0.93239859999999997</v>
      </c>
      <c r="Q5734">
        <v>-6.1586549999999999E-3</v>
      </c>
      <c r="R5734">
        <v>0.36137940000000002</v>
      </c>
      <c r="S5734">
        <v>2.4626769999999998</v>
      </c>
      <c r="T5734">
        <v>-0.29545369999999999</v>
      </c>
      <c r="U5734">
        <v>1.96167</v>
      </c>
      <c r="V5734">
        <v>-5.1723249999999998E-2</v>
      </c>
      <c r="W5734">
        <v>8.2413859999999999E-3</v>
      </c>
      <c r="X5734">
        <v>0.99862740000000005</v>
      </c>
      <c r="Y5734">
        <v>-0.34684100000000001</v>
      </c>
      <c r="Z5734">
        <v>-1.3380070000000001E-2</v>
      </c>
      <c r="AA5734">
        <v>0.93782849999999995</v>
      </c>
      <c r="AB5734">
        <v>30</v>
      </c>
      <c r="AC5734">
        <v>9.1944999999999997</v>
      </c>
      <c r="AD5734">
        <v>-1.1207458429749999</v>
      </c>
      <c r="AE5734">
        <v>7.3863399999999899</v>
      </c>
      <c r="AF5734">
        <v>-4.1013812548075901</v>
      </c>
      <c r="AG5734">
        <v>-1.1207458429749999</v>
      </c>
      <c r="AH5734">
        <v>10.9451816213996</v>
      </c>
      <c r="AI5734">
        <v>95.477086342747995</v>
      </c>
      <c r="AJ5734">
        <v>110.541991830303</v>
      </c>
      <c r="AK5734">
        <v>11.7419930236419</v>
      </c>
      <c r="AL5734">
        <v>89.527797995566104</v>
      </c>
      <c r="AM5734">
        <v>92.964947836023597</v>
      </c>
      <c r="AN5734">
        <v>0.99999994953226001</v>
      </c>
    </row>
    <row r="5735" spans="1:40" x14ac:dyDescent="0.25">
      <c r="A5735" t="str">
        <f>"20190312154716713"</f>
        <v>20190312154716713</v>
      </c>
      <c r="B5735" t="str">
        <f>"1552376836703755"</f>
        <v>1552376836703755</v>
      </c>
      <c r="C5735" t="s">
        <v>40</v>
      </c>
      <c r="D5735">
        <v>5.1048410000000004</v>
      </c>
      <c r="E5735">
        <v>0.3790326</v>
      </c>
      <c r="F5735" t="s">
        <v>71</v>
      </c>
      <c r="G5735">
        <v>-196.0891</v>
      </c>
      <c r="H5735" s="1">
        <v>-9.8818030000000007E-6</v>
      </c>
      <c r="I5735">
        <v>-51.837809999999998</v>
      </c>
      <c r="J5735">
        <v>-205.18950000000001</v>
      </c>
      <c r="K5735">
        <v>1.120817</v>
      </c>
      <c r="L5735">
        <v>-59.289279999999998</v>
      </c>
      <c r="M5735">
        <v>0.94721339999999998</v>
      </c>
      <c r="N5735">
        <v>0</v>
      </c>
      <c r="O5735">
        <v>0.32021230000000001</v>
      </c>
      <c r="P5735">
        <v>0.92969369999999996</v>
      </c>
      <c r="Q5735">
        <v>-6.2588510000000002E-3</v>
      </c>
      <c r="R5735">
        <v>0.36828070000000002</v>
      </c>
      <c r="S5735">
        <v>2.4458769999999999</v>
      </c>
      <c r="T5735">
        <v>-0.29644169999999997</v>
      </c>
      <c r="U5735">
        <v>1.985779</v>
      </c>
      <c r="V5735">
        <v>-5.1390909999999998E-2</v>
      </c>
      <c r="W5735">
        <v>8.1608029999999995E-3</v>
      </c>
      <c r="X5735">
        <v>0.99864520000000001</v>
      </c>
      <c r="Y5735">
        <v>-0.34832750000000001</v>
      </c>
      <c r="Z5735">
        <v>-1.407396E-2</v>
      </c>
      <c r="AA5735">
        <v>0.93726719999999997</v>
      </c>
      <c r="AB5735">
        <v>30</v>
      </c>
      <c r="AC5735">
        <v>9.1004000000000005</v>
      </c>
      <c r="AD5735">
        <v>-1.1208268818030001</v>
      </c>
      <c r="AE5735">
        <v>7.4514699999999996</v>
      </c>
      <c r="AF5735">
        <v>-4.1072945904994898</v>
      </c>
      <c r="AG5735">
        <v>-1.1208268818030001</v>
      </c>
      <c r="AH5735">
        <v>10.908396962526499</v>
      </c>
      <c r="AI5735">
        <v>95.492592145936499</v>
      </c>
      <c r="AJ5735">
        <v>110.63265841278999</v>
      </c>
      <c r="AK5735">
        <v>11.7097927412989</v>
      </c>
      <c r="AL5735">
        <v>89.532415207700495</v>
      </c>
      <c r="AM5735">
        <v>92.945878257280597</v>
      </c>
      <c r="AN5735">
        <v>0.99999992990963305</v>
      </c>
    </row>
    <row r="5736" spans="1:40" x14ac:dyDescent="0.25">
      <c r="A5736" t="str">
        <f>"20190312154716726"</f>
        <v>20190312154716726</v>
      </c>
      <c r="B5736" t="str">
        <f>"1552376836713515"</f>
        <v>1552376836713515</v>
      </c>
      <c r="C5736" t="s">
        <v>40</v>
      </c>
      <c r="D5736">
        <v>4.966469</v>
      </c>
      <c r="E5736">
        <v>0.37914569999999997</v>
      </c>
      <c r="F5736" t="s">
        <v>71</v>
      </c>
      <c r="G5736">
        <v>-195.9332</v>
      </c>
      <c r="H5736" s="1">
        <v>-9.9365860000000008E-6</v>
      </c>
      <c r="I5736">
        <v>-51.644280000000002</v>
      </c>
      <c r="J5736">
        <v>-205.03370000000001</v>
      </c>
      <c r="K5736">
        <v>1.1208910000000001</v>
      </c>
      <c r="L5736">
        <v>-59.228760000000001</v>
      </c>
      <c r="M5736">
        <v>0.94452519999999995</v>
      </c>
      <c r="N5736">
        <v>0</v>
      </c>
      <c r="O5736">
        <v>0.3280554</v>
      </c>
      <c r="P5736">
        <v>0.92678050000000001</v>
      </c>
      <c r="Q5736">
        <v>-6.6309589999999996E-3</v>
      </c>
      <c r="R5736">
        <v>0.37554470000000001</v>
      </c>
      <c r="S5736">
        <v>2.4299010000000001</v>
      </c>
      <c r="T5736">
        <v>-0.29422969999999998</v>
      </c>
      <c r="U5736">
        <v>2.0068969999999999</v>
      </c>
      <c r="V5736">
        <v>-5.0917230000000001E-2</v>
      </c>
      <c r="W5736">
        <v>7.8132010000000005E-3</v>
      </c>
      <c r="X5736">
        <v>0.99867229999999996</v>
      </c>
      <c r="Y5736">
        <v>-0.34845769999999998</v>
      </c>
      <c r="Z5736">
        <v>-1.473408E-2</v>
      </c>
      <c r="AA5736">
        <v>0.93720870000000001</v>
      </c>
      <c r="AB5736">
        <v>30</v>
      </c>
      <c r="AC5736">
        <v>9.1005000000000091</v>
      </c>
      <c r="AD5736">
        <v>-1.1209009365860001</v>
      </c>
      <c r="AE5736">
        <v>7.5844799999999903</v>
      </c>
      <c r="AF5736">
        <v>-4.1417119585634499</v>
      </c>
      <c r="AG5736">
        <v>-1.1209009365860001</v>
      </c>
      <c r="AH5736">
        <v>10.986817880531801</v>
      </c>
      <c r="AI5736">
        <v>95.453186925922907</v>
      </c>
      <c r="AJ5736">
        <v>110.654989187667</v>
      </c>
      <c r="AK5736">
        <v>11.7949295884851</v>
      </c>
      <c r="AL5736">
        <v>89.552331997405105</v>
      </c>
      <c r="AM5736">
        <v>92.918693627782801</v>
      </c>
      <c r="AN5736">
        <v>0.99999998660401401</v>
      </c>
    </row>
    <row r="5737" spans="1:40" x14ac:dyDescent="0.25">
      <c r="A5737" t="str">
        <f>"20190312154716737"</f>
        <v>20190312154716737</v>
      </c>
      <c r="B5737" t="str">
        <f>"1552376836734010"</f>
        <v>1552376836734010</v>
      </c>
      <c r="C5737" t="s">
        <v>40</v>
      </c>
      <c r="D5737">
        <v>4.9785259999999996</v>
      </c>
      <c r="E5737">
        <v>0.37978919999999999</v>
      </c>
      <c r="F5737" t="s">
        <v>71</v>
      </c>
      <c r="G5737">
        <v>-195.91589999999999</v>
      </c>
      <c r="H5737" s="1">
        <v>-9.9578169999999996E-6</v>
      </c>
      <c r="I5737">
        <v>-51.581130000000002</v>
      </c>
      <c r="J5737">
        <v>-204.87430000000001</v>
      </c>
      <c r="K5737">
        <v>1.1209769999999999</v>
      </c>
      <c r="L5737">
        <v>-59.164670000000001</v>
      </c>
      <c r="M5737">
        <v>0.94166179999999999</v>
      </c>
      <c r="N5737">
        <v>0</v>
      </c>
      <c r="O5737">
        <v>0.33618550000000003</v>
      </c>
      <c r="P5737">
        <v>0.92370209999999997</v>
      </c>
      <c r="Q5737">
        <v>-7.4283099999999996E-3</v>
      </c>
      <c r="R5737">
        <v>0.38303979999999999</v>
      </c>
      <c r="S5737">
        <v>2.4143219999999999</v>
      </c>
      <c r="T5737">
        <v>-0.29680489999999998</v>
      </c>
      <c r="U5737">
        <v>2.0250240000000002</v>
      </c>
      <c r="V5737">
        <v>-5.0380349999999997E-2</v>
      </c>
      <c r="W5737">
        <v>7.043606E-3</v>
      </c>
      <c r="X5737">
        <v>0.99870530000000002</v>
      </c>
      <c r="Y5737">
        <v>-0.347518099999999</v>
      </c>
      <c r="Z5737">
        <v>-1.5722159999999999E-2</v>
      </c>
      <c r="AA5737">
        <v>0.93754139999999997</v>
      </c>
      <c r="AB5737">
        <v>30</v>
      </c>
      <c r="AC5737">
        <v>8.9584000000000099</v>
      </c>
      <c r="AD5737">
        <v>-1.120986957817</v>
      </c>
      <c r="AE5737">
        <v>7.5835399999999904</v>
      </c>
      <c r="AF5737">
        <v>-4.0926357349384901</v>
      </c>
      <c r="AG5737">
        <v>-1.120986957817</v>
      </c>
      <c r="AH5737">
        <v>10.887336310882301</v>
      </c>
      <c r="AI5737">
        <v>95.505047416734399</v>
      </c>
      <c r="AJ5737">
        <v>110.601637184501</v>
      </c>
      <c r="AK5737">
        <v>11.685049035615901</v>
      </c>
      <c r="AL5737">
        <v>89.596427780352002</v>
      </c>
      <c r="AM5737">
        <v>92.887875532714304</v>
      </c>
      <c r="AN5737">
        <v>1.0000000341498401</v>
      </c>
    </row>
    <row r="5738" spans="1:40" x14ac:dyDescent="0.25">
      <c r="A5738" t="str">
        <f>"20190312154716755"</f>
        <v>20190312154716755</v>
      </c>
      <c r="B5738" t="str">
        <f>"1552376836743770"</f>
        <v>1552376836743770</v>
      </c>
      <c r="C5738" t="s">
        <v>40</v>
      </c>
      <c r="D5738">
        <v>4.900658</v>
      </c>
      <c r="E5738">
        <v>0.3801136</v>
      </c>
      <c r="F5738" t="s">
        <v>71</v>
      </c>
      <c r="G5738">
        <v>-195.79750000000001</v>
      </c>
      <c r="H5738" s="1">
        <v>-9.9944300000000008E-6</v>
      </c>
      <c r="I5738">
        <v>-51.447899999999997</v>
      </c>
      <c r="J5738">
        <v>-204.68010000000001</v>
      </c>
      <c r="K5738">
        <v>1.1210739999999999</v>
      </c>
      <c r="L5738">
        <v>-59.084440000000001</v>
      </c>
      <c r="M5738">
        <v>0.93802949999999996</v>
      </c>
      <c r="N5738">
        <v>0</v>
      </c>
      <c r="O5738">
        <v>0.3461901</v>
      </c>
      <c r="P5738">
        <v>0.91996840000000002</v>
      </c>
      <c r="Q5738">
        <v>-9.4512069999999997E-3</v>
      </c>
      <c r="R5738">
        <v>0.39187880000000003</v>
      </c>
      <c r="S5738">
        <v>2.3994900000000001</v>
      </c>
      <c r="T5738">
        <v>-0.29633569999999998</v>
      </c>
      <c r="U5738">
        <v>2.0399479999999999</v>
      </c>
      <c r="V5738">
        <v>-4.9277990000000001E-2</v>
      </c>
      <c r="W5738">
        <v>5.0681060000000002E-3</v>
      </c>
      <c r="X5738">
        <v>0.99877229999999995</v>
      </c>
      <c r="Y5738">
        <v>-0.34382859999999998</v>
      </c>
      <c r="Z5738">
        <v>-1.68845E-2</v>
      </c>
      <c r="AA5738">
        <v>0.93888059999999995</v>
      </c>
      <c r="AB5738">
        <v>30</v>
      </c>
      <c r="AC5738">
        <v>8.8825999999999894</v>
      </c>
      <c r="AD5738">
        <v>-1.12108399443</v>
      </c>
      <c r="AE5738">
        <v>7.6365400000000001</v>
      </c>
      <c r="AF5738">
        <v>-4.0516384170358801</v>
      </c>
      <c r="AG5738">
        <v>-1.12108399443</v>
      </c>
      <c r="AH5738">
        <v>10.8775921907619</v>
      </c>
      <c r="AI5738">
        <v>95.516595588598904</v>
      </c>
      <c r="AJ5738">
        <v>110.429138068718</v>
      </c>
      <c r="AK5738">
        <v>11.6616729097284</v>
      </c>
      <c r="AL5738">
        <v>89.709617689395998</v>
      </c>
      <c r="AM5738">
        <v>92.824600940902101</v>
      </c>
      <c r="AN5738">
        <v>1.0000000566220699</v>
      </c>
    </row>
    <row r="5739" spans="1:40" x14ac:dyDescent="0.25">
      <c r="A5739" t="str">
        <f>"20190312154716767"</f>
        <v>20190312154716767</v>
      </c>
      <c r="B5739" t="str">
        <f>"1552376836763291"</f>
        <v>1552376836763291</v>
      </c>
      <c r="C5739" t="s">
        <v>40</v>
      </c>
      <c r="D5739">
        <v>5.0397230000000004</v>
      </c>
      <c r="E5739">
        <v>0.38113360000000002</v>
      </c>
      <c r="F5739" t="s">
        <v>71</v>
      </c>
      <c r="G5739">
        <v>-195.81970000000001</v>
      </c>
      <c r="H5739" s="1">
        <v>-1.000938E-5</v>
      </c>
      <c r="I5739">
        <v>-51.4129</v>
      </c>
      <c r="J5739">
        <v>-204.536</v>
      </c>
      <c r="K5739">
        <v>1.121146</v>
      </c>
      <c r="L5739">
        <v>-59.023620000000001</v>
      </c>
      <c r="M5739">
        <v>0.93523590000000001</v>
      </c>
      <c r="N5739">
        <v>0</v>
      </c>
      <c r="O5739">
        <v>0.35366649999999999</v>
      </c>
      <c r="P5739">
        <v>0.91692759999999995</v>
      </c>
      <c r="Q5739">
        <v>-1.014869E-2</v>
      </c>
      <c r="R5739">
        <v>0.39892480000000002</v>
      </c>
      <c r="S5739">
        <v>2.3800659999999998</v>
      </c>
      <c r="T5739">
        <v>-0.30114580000000002</v>
      </c>
      <c r="U5739">
        <v>2.06073</v>
      </c>
      <c r="V5739">
        <v>-4.8951910000000001E-2</v>
      </c>
      <c r="W5739">
        <v>4.3919579999999996E-3</v>
      </c>
      <c r="X5739">
        <v>0.99879150000000005</v>
      </c>
      <c r="Y5739">
        <v>-0.344831</v>
      </c>
      <c r="Z5739">
        <v>-1.7875099999999901E-2</v>
      </c>
      <c r="AA5739">
        <v>0.93849459999999996</v>
      </c>
      <c r="AB5739">
        <v>30</v>
      </c>
      <c r="AC5739">
        <v>8.7162999999999595</v>
      </c>
      <c r="AD5739">
        <v>-1.1211560093799999</v>
      </c>
      <c r="AE5739">
        <v>7.6107199999999899</v>
      </c>
      <c r="AF5739">
        <v>-3.9981339752527099</v>
      </c>
      <c r="AG5739">
        <v>-1.1211560093799999</v>
      </c>
      <c r="AH5739">
        <v>10.7439681076019</v>
      </c>
      <c r="AI5739">
        <v>95.585762048200607</v>
      </c>
      <c r="AJ5739">
        <v>110.41165534603699</v>
      </c>
      <c r="AK5739">
        <v>11.518459826669799</v>
      </c>
      <c r="AL5739">
        <v>89.748358538738799</v>
      </c>
      <c r="AM5739">
        <v>92.805886240814303</v>
      </c>
      <c r="AN5739">
        <v>1.0000000196299801</v>
      </c>
    </row>
    <row r="5740" spans="1:40" x14ac:dyDescent="0.25">
      <c r="A5740" t="str">
        <f>"20190312154716776"</f>
        <v>20190312154716776</v>
      </c>
      <c r="B5740" t="str">
        <f>"1552376836774028"</f>
        <v>1552376836774028</v>
      </c>
      <c r="C5740" t="s">
        <v>40</v>
      </c>
      <c r="D5740">
        <v>4.9902439999999997</v>
      </c>
      <c r="E5740">
        <v>0.38165519999999997</v>
      </c>
      <c r="F5740" t="s">
        <v>71</v>
      </c>
      <c r="G5740">
        <v>-195.8699</v>
      </c>
      <c r="H5740" s="1">
        <v>-1.0004890000000001E-5</v>
      </c>
      <c r="I5740">
        <v>-51.439039999999999</v>
      </c>
      <c r="J5740">
        <v>-204.41149999999999</v>
      </c>
      <c r="K5740">
        <v>1.12121</v>
      </c>
      <c r="L5740">
        <v>-58.969540000000002</v>
      </c>
      <c r="M5740">
        <v>0.93273910000000004</v>
      </c>
      <c r="N5740">
        <v>0</v>
      </c>
      <c r="O5740">
        <v>0.36019869999999998</v>
      </c>
      <c r="P5740">
        <v>0.91432880000000005</v>
      </c>
      <c r="Q5740">
        <v>-1.0678719999999999E-2</v>
      </c>
      <c r="R5740">
        <v>0.40483190000000002</v>
      </c>
      <c r="S5740">
        <v>2.3670810000000002</v>
      </c>
      <c r="T5740">
        <v>-0.3062376</v>
      </c>
      <c r="U5740">
        <v>2.0716860000000001</v>
      </c>
      <c r="V5740">
        <v>-4.8398589999999998E-2</v>
      </c>
      <c r="W5740">
        <v>3.8893759999999999E-3</v>
      </c>
      <c r="X5740">
        <v>0.9988205</v>
      </c>
      <c r="Y5740">
        <v>-0.34330509999999997</v>
      </c>
      <c r="Z5740">
        <v>-1.8943850000000002E-2</v>
      </c>
      <c r="AA5740">
        <v>0.93903289999999995</v>
      </c>
      <c r="AB5740">
        <v>30</v>
      </c>
      <c r="AC5740">
        <v>8.5415999999999794</v>
      </c>
      <c r="AD5740">
        <v>-1.1212200048899901</v>
      </c>
      <c r="AE5740">
        <v>7.5304999999999902</v>
      </c>
      <c r="AF5740">
        <v>-3.90991440158946</v>
      </c>
      <c r="AG5740">
        <v>-1.1212200048899901</v>
      </c>
      <c r="AH5740">
        <v>10.5783627566371</v>
      </c>
      <c r="AI5740">
        <v>95.677584557102094</v>
      </c>
      <c r="AJ5740">
        <v>110.285034561492</v>
      </c>
      <c r="AK5740">
        <v>11.333416234222099</v>
      </c>
      <c r="AL5740">
        <v>89.777154601953796</v>
      </c>
      <c r="AM5740">
        <v>92.774139767428096</v>
      </c>
      <c r="AN5740">
        <v>0.99999997098995297</v>
      </c>
    </row>
    <row r="5741" spans="1:40" x14ac:dyDescent="0.25">
      <c r="A5741" t="str">
        <f>"20190312154716788"</f>
        <v>20190312154716788</v>
      </c>
      <c r="B5741" t="str">
        <f>"1552376836783787"</f>
        <v>1552376836783787</v>
      </c>
      <c r="C5741" t="s">
        <v>40</v>
      </c>
      <c r="D5741">
        <v>5.0301070000000001</v>
      </c>
      <c r="E5741">
        <v>0.38212109999999999</v>
      </c>
      <c r="F5741" t="s">
        <v>71</v>
      </c>
      <c r="G5741">
        <v>-195.8569</v>
      </c>
      <c r="H5741" s="1">
        <v>-1.0016809999999999E-5</v>
      </c>
      <c r="I5741">
        <v>-51.402679999999997</v>
      </c>
      <c r="J5741">
        <v>-204.27969999999999</v>
      </c>
      <c r="K5741">
        <v>1.1212839999999999</v>
      </c>
      <c r="L5741">
        <v>-58.911380000000001</v>
      </c>
      <c r="M5741">
        <v>0.93002419999999997</v>
      </c>
      <c r="N5741">
        <v>0</v>
      </c>
      <c r="O5741">
        <v>0.36715100000000001</v>
      </c>
      <c r="P5741">
        <v>0.91149550000000001</v>
      </c>
      <c r="Q5741">
        <v>-1.0651849999999999E-2</v>
      </c>
      <c r="R5741">
        <v>0.41117229999999999</v>
      </c>
      <c r="S5741">
        <v>2.355118</v>
      </c>
      <c r="T5741">
        <v>-0.30867699999999998</v>
      </c>
      <c r="U5741">
        <v>2.0831909999999998</v>
      </c>
      <c r="V5741">
        <v>-4.7881819999999999E-2</v>
      </c>
      <c r="W5741">
        <v>3.9437350000000003E-3</v>
      </c>
      <c r="X5741">
        <v>0.99884519999999999</v>
      </c>
      <c r="Y5741">
        <v>-0.34126960000000001</v>
      </c>
      <c r="Z5741">
        <v>-1.9931529999999999E-2</v>
      </c>
      <c r="AA5741">
        <v>0.93975410000000004</v>
      </c>
      <c r="AB5741">
        <v>30</v>
      </c>
      <c r="AC5741">
        <v>8.4227999999999899</v>
      </c>
      <c r="AD5741">
        <v>-1.1212940168099901</v>
      </c>
      <c r="AE5741">
        <v>7.5087000000000002</v>
      </c>
      <c r="AF5741">
        <v>-3.8532793383305002</v>
      </c>
      <c r="AG5741">
        <v>-1.1212940168099901</v>
      </c>
      <c r="AH5741">
        <v>10.4880186721025</v>
      </c>
      <c r="AI5741">
        <v>95.730634784993399</v>
      </c>
      <c r="AJ5741">
        <v>110.173241961882</v>
      </c>
      <c r="AK5741">
        <v>11.229585815946599</v>
      </c>
      <c r="AL5741">
        <v>89.774040038200994</v>
      </c>
      <c r="AM5741">
        <v>92.744496999425607</v>
      </c>
      <c r="AN5741">
        <v>0.99999997764765103</v>
      </c>
    </row>
    <row r="5742" spans="1:40" x14ac:dyDescent="0.25">
      <c r="A5742" t="str">
        <f>"20190312154716799"</f>
        <v>20190312154716799</v>
      </c>
      <c r="B5742" t="str">
        <f>"1552376836793547"</f>
        <v>1552376836793547</v>
      </c>
      <c r="C5742" t="s">
        <v>40</v>
      </c>
      <c r="D5742">
        <v>4.9543990000000004</v>
      </c>
      <c r="E5742">
        <v>0.38256380000000001</v>
      </c>
      <c r="F5742" t="s">
        <v>71</v>
      </c>
      <c r="G5742">
        <v>-195.74299999999999</v>
      </c>
      <c r="H5742" s="1">
        <v>-1.005407E-5</v>
      </c>
      <c r="I5742">
        <v>-51.268900000000002</v>
      </c>
      <c r="J5742">
        <v>-204.1472</v>
      </c>
      <c r="K5742">
        <v>1.121354</v>
      </c>
      <c r="L5742">
        <v>-58.851649999999999</v>
      </c>
      <c r="M5742">
        <v>0.92721189999999998</v>
      </c>
      <c r="N5742">
        <v>0</v>
      </c>
      <c r="O5742">
        <v>0.37419540000000001</v>
      </c>
      <c r="P5742">
        <v>0.90872609999999998</v>
      </c>
      <c r="Q5742">
        <v>-1.027264E-2</v>
      </c>
      <c r="R5742">
        <v>0.41726679999999999</v>
      </c>
      <c r="S5742">
        <v>2.3419490000000001</v>
      </c>
      <c r="T5742">
        <v>-0.30761309999999997</v>
      </c>
      <c r="U5742">
        <v>2.096619</v>
      </c>
      <c r="V5742">
        <v>-4.7003919999999998E-2</v>
      </c>
      <c r="W5742">
        <v>4.3623949999999998E-3</v>
      </c>
      <c r="X5742">
        <v>0.99888520000000003</v>
      </c>
      <c r="Y5742">
        <v>-0.33978849999999999</v>
      </c>
      <c r="Z5742">
        <v>-2.067799E-2</v>
      </c>
      <c r="AA5742">
        <v>0.94027450000000001</v>
      </c>
      <c r="AB5742">
        <v>30</v>
      </c>
      <c r="AC5742">
        <v>8.4041999999999994</v>
      </c>
      <c r="AD5742">
        <v>-1.1213640540700001</v>
      </c>
      <c r="AE5742">
        <v>7.5827499999999901</v>
      </c>
      <c r="AF5742">
        <v>-3.8487288533308899</v>
      </c>
      <c r="AG5742">
        <v>-1.1213640540700001</v>
      </c>
      <c r="AH5742">
        <v>10.527943307774599</v>
      </c>
      <c r="AI5742">
        <v>95.712746955579902</v>
      </c>
      <c r="AJ5742">
        <v>110.081033402643</v>
      </c>
      <c r="AK5742">
        <v>11.265334501023</v>
      </c>
      <c r="AL5742">
        <v>89.750052390375302</v>
      </c>
      <c r="AM5742">
        <v>92.694144506703395</v>
      </c>
      <c r="AN5742">
        <v>1.0000000208822699</v>
      </c>
    </row>
    <row r="5743" spans="1:40" x14ac:dyDescent="0.25">
      <c r="A5743" t="str">
        <f>"20190312154716812"</f>
        <v>20190312154716812</v>
      </c>
      <c r="B5743" t="str">
        <f>"1552376836803307"</f>
        <v>1552376836803307</v>
      </c>
      <c r="C5743" t="s">
        <v>40</v>
      </c>
      <c r="D5743">
        <v>5.0205349999999997</v>
      </c>
      <c r="E5743">
        <v>0.38304759999999999</v>
      </c>
      <c r="F5743" t="s">
        <v>71</v>
      </c>
      <c r="G5743">
        <v>-195.58359999999999</v>
      </c>
      <c r="H5743" s="1">
        <v>-1.0100719999999999E-5</v>
      </c>
      <c r="I5743">
        <v>-51.096809999999998</v>
      </c>
      <c r="J5743">
        <v>-204.01329999999999</v>
      </c>
      <c r="K5743">
        <v>1.121424</v>
      </c>
      <c r="L5743">
        <v>-58.789729999999999</v>
      </c>
      <c r="M5743">
        <v>0.92427720000000002</v>
      </c>
      <c r="N5743">
        <v>0</v>
      </c>
      <c r="O5743">
        <v>0.38138539999999999</v>
      </c>
      <c r="P5743">
        <v>0.90568729999999997</v>
      </c>
      <c r="Q5743">
        <v>-9.3646189999999994E-3</v>
      </c>
      <c r="R5743">
        <v>0.42384300000000003</v>
      </c>
      <c r="S5743">
        <v>2.3293300000000001</v>
      </c>
      <c r="T5743">
        <v>-0.30501479999999997</v>
      </c>
      <c r="U5743">
        <v>2.1093440000000001</v>
      </c>
      <c r="V5743">
        <v>-4.651073E-2</v>
      </c>
      <c r="W5743">
        <v>5.2993679999999996E-3</v>
      </c>
      <c r="X5743">
        <v>0.99890380000000001</v>
      </c>
      <c r="Y5743">
        <v>-0.3378737</v>
      </c>
      <c r="Z5743">
        <v>-2.1349199999999999E-2</v>
      </c>
      <c r="AA5743">
        <v>0.94094929999999999</v>
      </c>
      <c r="AB5743">
        <v>30</v>
      </c>
      <c r="AC5743">
        <v>8.4296999999999898</v>
      </c>
      <c r="AD5743">
        <v>-1.1214341007199999</v>
      </c>
      <c r="AE5743">
        <v>7.69292</v>
      </c>
      <c r="AF5743">
        <v>-3.8586668421272901</v>
      </c>
      <c r="AG5743">
        <v>-1.1214341007199999</v>
      </c>
      <c r="AH5743">
        <v>10.6241370905539</v>
      </c>
      <c r="AI5743">
        <v>95.666009243401206</v>
      </c>
      <c r="AJ5743">
        <v>109.960927456276</v>
      </c>
      <c r="AK5743">
        <v>11.358662472301599</v>
      </c>
      <c r="AL5743">
        <v>89.696367178518997</v>
      </c>
      <c r="AM5743">
        <v>92.665867545952196</v>
      </c>
      <c r="AN5743">
        <v>1.0000000664803801</v>
      </c>
    </row>
    <row r="5744" spans="1:40" x14ac:dyDescent="0.25">
      <c r="A5744" t="str">
        <f>"20190312154716822"</f>
        <v>20190312154716822</v>
      </c>
      <c r="B5744" t="str">
        <f>"1552376836814044"</f>
        <v>1552376836814044</v>
      </c>
      <c r="C5744" t="s">
        <v>40</v>
      </c>
      <c r="D5744">
        <v>5.0068820000000001</v>
      </c>
      <c r="E5744">
        <v>0.38355149999999999</v>
      </c>
      <c r="F5744" t="s">
        <v>71</v>
      </c>
      <c r="G5744">
        <v>-195.3828</v>
      </c>
      <c r="H5744" s="1">
        <v>-1.016061E-5</v>
      </c>
      <c r="I5744">
        <v>-50.876939999999998</v>
      </c>
      <c r="J5744">
        <v>-203.8783</v>
      </c>
      <c r="K5744">
        <v>1.1214959999999901</v>
      </c>
      <c r="L5744">
        <v>-58.726590000000002</v>
      </c>
      <c r="M5744">
        <v>0.92124490000000003</v>
      </c>
      <c r="N5744">
        <v>0</v>
      </c>
      <c r="O5744">
        <v>0.38865240000000001</v>
      </c>
      <c r="P5744">
        <v>0.90259619999999996</v>
      </c>
      <c r="Q5744">
        <v>-8.5032140000000003E-3</v>
      </c>
      <c r="R5744">
        <v>0.43040459999999903</v>
      </c>
      <c r="S5744">
        <v>2.3157040000000002</v>
      </c>
      <c r="T5744">
        <v>-0.300900099999999</v>
      </c>
      <c r="U5744">
        <v>2.123138</v>
      </c>
      <c r="V5744">
        <v>-4.5916989999999998E-2</v>
      </c>
      <c r="W5744">
        <v>6.1924700000000003E-3</v>
      </c>
      <c r="X5744">
        <v>0.99892599999999998</v>
      </c>
      <c r="Y5744">
        <v>-0.33629369999999997</v>
      </c>
      <c r="Z5744">
        <v>-2.1888330000000001E-2</v>
      </c>
      <c r="AA5744">
        <v>0.94150270000000003</v>
      </c>
      <c r="AB5744">
        <v>29</v>
      </c>
      <c r="AC5744">
        <v>8.4954999999999892</v>
      </c>
      <c r="AD5744">
        <v>-1.1215061606100001</v>
      </c>
      <c r="AE5744">
        <v>7.8496499999999898</v>
      </c>
      <c r="AF5744">
        <v>-3.8935552672242002</v>
      </c>
      <c r="AG5744">
        <v>-1.1215061606100001</v>
      </c>
      <c r="AH5744">
        <v>10.7773018196216</v>
      </c>
      <c r="AI5744">
        <v>95.589776585816495</v>
      </c>
      <c r="AJ5744">
        <v>109.86345290362701</v>
      </c>
      <c r="AK5744">
        <v>11.5138083707535</v>
      </c>
      <c r="AL5744">
        <v>89.645195313577503</v>
      </c>
      <c r="AM5744">
        <v>92.6318257484984</v>
      </c>
      <c r="AN5744">
        <v>0.99999993506567797</v>
      </c>
    </row>
    <row r="5745" spans="1:40" x14ac:dyDescent="0.25">
      <c r="A5745" t="str">
        <f>"20190312154716833"</f>
        <v>20190312154716833</v>
      </c>
      <c r="B5745" t="str">
        <f>"1552376836823802"</f>
        <v>1552376836823802</v>
      </c>
      <c r="C5745" t="s">
        <v>40</v>
      </c>
      <c r="D5745">
        <v>5.0155760000000003</v>
      </c>
      <c r="E5745">
        <v>0.38425569999999998</v>
      </c>
      <c r="F5745" t="s">
        <v>71</v>
      </c>
      <c r="G5745">
        <v>-195.21270000000001</v>
      </c>
      <c r="H5745" s="1">
        <v>-1.0213589999999999E-5</v>
      </c>
      <c r="I5745">
        <v>-50.684480000000001</v>
      </c>
      <c r="J5745">
        <v>-203.75649999999999</v>
      </c>
      <c r="K5745">
        <v>1.1215599999999999</v>
      </c>
      <c r="L5745">
        <v>-58.667569999999998</v>
      </c>
      <c r="M5745">
        <v>0.91840540000000004</v>
      </c>
      <c r="N5745">
        <v>0</v>
      </c>
      <c r="O5745">
        <v>0.39531450000000001</v>
      </c>
      <c r="P5745">
        <v>0.89976420000000001</v>
      </c>
      <c r="Q5745">
        <v>-7.4863100000000004E-3</v>
      </c>
      <c r="R5745">
        <v>0.43631219999999998</v>
      </c>
      <c r="S5745">
        <v>2.302155</v>
      </c>
      <c r="T5745">
        <v>-0.29794480000000001</v>
      </c>
      <c r="U5745">
        <v>2.1365050000000001</v>
      </c>
      <c r="V5745">
        <v>-4.5258380000000001E-2</v>
      </c>
      <c r="W5745">
        <v>7.243396E-3</v>
      </c>
      <c r="X5745">
        <v>0.99894910000000003</v>
      </c>
      <c r="Y5745">
        <v>-0.33519729999999998</v>
      </c>
      <c r="Z5745">
        <v>-2.2409350000000001E-2</v>
      </c>
      <c r="AA5745">
        <v>0.94188139999999998</v>
      </c>
      <c r="AB5745">
        <v>29</v>
      </c>
      <c r="AC5745">
        <v>8.5437999999999708</v>
      </c>
      <c r="AD5745">
        <v>-1.1215702135899901</v>
      </c>
      <c r="AE5745">
        <v>7.98308999999999</v>
      </c>
      <c r="AF5745">
        <v>-3.9186820958662101</v>
      </c>
      <c r="AG5745">
        <v>-1.1215702135899901</v>
      </c>
      <c r="AH5745">
        <v>10.9036064726712</v>
      </c>
      <c r="AI5745">
        <v>95.529037034615499</v>
      </c>
      <c r="AJ5745">
        <v>109.768092527672</v>
      </c>
      <c r="AK5745">
        <v>11.6405594033686</v>
      </c>
      <c r="AL5745">
        <v>89.584980369799197</v>
      </c>
      <c r="AM5745">
        <v>92.594068212637794</v>
      </c>
      <c r="AN5745">
        <v>1.00000004606832</v>
      </c>
    </row>
    <row r="5746" spans="1:40" x14ac:dyDescent="0.25">
      <c r="A5746" t="str">
        <f>"20190312154716846"</f>
        <v>20190312154716846</v>
      </c>
      <c r="B5746" t="str">
        <f>"1552376836833563"</f>
        <v>1552376836833563</v>
      </c>
      <c r="C5746" t="s">
        <v>40</v>
      </c>
      <c r="D5746">
        <v>5.0342969999999996</v>
      </c>
      <c r="E5746">
        <v>0.38476840000000001</v>
      </c>
      <c r="F5746" t="s">
        <v>71</v>
      </c>
      <c r="G5746">
        <v>-195.09530000000001</v>
      </c>
      <c r="H5746" s="1">
        <v>-1.025068E-5</v>
      </c>
      <c r="I5746">
        <v>-50.550190000000001</v>
      </c>
      <c r="J5746">
        <v>-203.61590000000001</v>
      </c>
      <c r="K5746">
        <v>1.121632</v>
      </c>
      <c r="L5746">
        <v>-58.598939999999999</v>
      </c>
      <c r="M5746">
        <v>0.91505460000000005</v>
      </c>
      <c r="N5746">
        <v>0</v>
      </c>
      <c r="O5746">
        <v>0.40300920000000001</v>
      </c>
      <c r="P5746">
        <v>0.89616689999999999</v>
      </c>
      <c r="Q5746">
        <v>-6.7441949999999997E-3</v>
      </c>
      <c r="R5746">
        <v>0.4436659</v>
      </c>
      <c r="S5746">
        <v>2.29068</v>
      </c>
      <c r="T5746">
        <v>-0.29662810000000001</v>
      </c>
      <c r="U5746">
        <v>2.1468509999999998</v>
      </c>
      <c r="V5746">
        <v>-4.5075209999999998E-2</v>
      </c>
      <c r="W5746">
        <v>8.0067890000000003E-3</v>
      </c>
      <c r="X5746">
        <v>0.99895149999999999</v>
      </c>
      <c r="Y5746">
        <v>-0.3319434</v>
      </c>
      <c r="Z5746">
        <v>-2.325286E-2</v>
      </c>
      <c r="AA5746">
        <v>0.94301270000000004</v>
      </c>
      <c r="AB5746">
        <v>29</v>
      </c>
      <c r="AC5746">
        <v>8.5206</v>
      </c>
      <c r="AD5746">
        <v>-1.1216422506799999</v>
      </c>
      <c r="AE5746">
        <v>8.0487499999999894</v>
      </c>
      <c r="AF5746">
        <v>-3.8959965564367001</v>
      </c>
      <c r="AG5746">
        <v>-1.1216422506799999</v>
      </c>
      <c r="AH5746">
        <v>10.9417637697029</v>
      </c>
      <c r="AI5746">
        <v>95.5160067425889</v>
      </c>
      <c r="AJ5746">
        <v>109.599115799251</v>
      </c>
      <c r="AK5746">
        <v>11.6687216479895</v>
      </c>
      <c r="AL5746">
        <v>89.541239877012799</v>
      </c>
      <c r="AM5746">
        <v>92.583577539142695</v>
      </c>
      <c r="AN5746">
        <v>0.99999999128944195</v>
      </c>
    </row>
    <row r="5747" spans="1:40" x14ac:dyDescent="0.25">
      <c r="A5747" t="str">
        <f>"20190312154716856"</f>
        <v>20190312154716856</v>
      </c>
      <c r="B5747" t="str">
        <f>"1552376836854059"</f>
        <v>1552376836854059</v>
      </c>
      <c r="C5747" t="s">
        <v>40</v>
      </c>
      <c r="D5747">
        <v>4.8575439999999999</v>
      </c>
      <c r="E5747">
        <v>0.38582919999999998</v>
      </c>
      <c r="F5747" t="s">
        <v>71</v>
      </c>
      <c r="G5747">
        <v>-194.96010000000001</v>
      </c>
      <c r="H5747" s="1">
        <v>-1.9922749999999999E-6</v>
      </c>
      <c r="I5747">
        <v>-50.372160000000001</v>
      </c>
      <c r="J5747">
        <v>-203.48419999999999</v>
      </c>
      <c r="K5747">
        <v>1.121694</v>
      </c>
      <c r="L5747">
        <v>-58.532649999999997</v>
      </c>
      <c r="M5747">
        <v>0.91180490000000003</v>
      </c>
      <c r="N5747">
        <v>0</v>
      </c>
      <c r="O5747">
        <v>0.4103077</v>
      </c>
      <c r="P5747">
        <v>0.89272669999999998</v>
      </c>
      <c r="Q5747">
        <v>-6.5584299999999996E-3</v>
      </c>
      <c r="R5747">
        <v>0.45055099999999998</v>
      </c>
      <c r="S5747">
        <v>2.2749480000000002</v>
      </c>
      <c r="T5747">
        <v>-0.29479339999999998</v>
      </c>
      <c r="U5747">
        <v>2.162201</v>
      </c>
      <c r="V5747">
        <v>-4.4789809999999999E-2</v>
      </c>
      <c r="W5747">
        <v>8.2170679999999992E-3</v>
      </c>
      <c r="X5747">
        <v>0.99896260000000003</v>
      </c>
      <c r="Y5747">
        <v>-0.33103080000000001</v>
      </c>
      <c r="Z5747">
        <v>-2.38944E-2</v>
      </c>
      <c r="AA5747">
        <v>0.94331739999999997</v>
      </c>
      <c r="AB5747">
        <v>29</v>
      </c>
      <c r="AC5747">
        <v>8.5240999999999705</v>
      </c>
      <c r="AD5747">
        <v>-1.1216959922750001</v>
      </c>
      <c r="AE5747">
        <v>8.1604899999999905</v>
      </c>
      <c r="AF5747">
        <v>-3.90846825473586</v>
      </c>
      <c r="AG5747">
        <v>-1.1216959922750001</v>
      </c>
      <c r="AH5747">
        <v>11.0224792316827</v>
      </c>
      <c r="AI5747">
        <v>95.478656305384305</v>
      </c>
      <c r="AJ5747">
        <v>109.52403142058</v>
      </c>
      <c r="AK5747">
        <v>11.748590315873701</v>
      </c>
      <c r="AL5747">
        <v>89.529191367331805</v>
      </c>
      <c r="AM5747">
        <v>92.567212723861203</v>
      </c>
      <c r="AN5747">
        <v>0.99999996174255501</v>
      </c>
    </row>
    <row r="5748" spans="1:40" x14ac:dyDescent="0.25">
      <c r="A5748" t="str">
        <f>"20190312154716867"</f>
        <v>20190312154716867</v>
      </c>
      <c r="B5748" t="str">
        <f>"1552376836863819"</f>
        <v>1552376836863819</v>
      </c>
      <c r="C5748" t="s">
        <v>40</v>
      </c>
      <c r="D5748">
        <v>5.7343349999999997</v>
      </c>
      <c r="E5748">
        <v>0.38631779999999999</v>
      </c>
      <c r="F5748" t="s">
        <v>71</v>
      </c>
      <c r="G5748">
        <v>-194.8664</v>
      </c>
      <c r="H5748" s="1">
        <v>-2.0394139999999999E-6</v>
      </c>
      <c r="I5748">
        <v>-50.257300000000001</v>
      </c>
      <c r="J5748">
        <v>-203.36369999999999</v>
      </c>
      <c r="K5748">
        <v>1.1217520000000001</v>
      </c>
      <c r="L5748">
        <v>-58.471159999999998</v>
      </c>
      <c r="M5748">
        <v>0.90875669999999997</v>
      </c>
      <c r="N5748">
        <v>0</v>
      </c>
      <c r="O5748">
        <v>0.41701460000000001</v>
      </c>
      <c r="P5748">
        <v>0.88949730000000005</v>
      </c>
      <c r="Q5748">
        <v>-6.5866579999999996E-3</v>
      </c>
      <c r="R5748">
        <v>0.45689299999999999</v>
      </c>
      <c r="S5748">
        <v>2.262054</v>
      </c>
      <c r="T5748">
        <v>-0.29442760000000001</v>
      </c>
      <c r="U5748">
        <v>2.1721499999999998</v>
      </c>
      <c r="V5748">
        <v>-4.4540200000000002E-2</v>
      </c>
      <c r="W5748">
        <v>8.2108700000000003E-3</v>
      </c>
      <c r="X5748">
        <v>0.99897380000000002</v>
      </c>
      <c r="Y5748">
        <v>-0.32895000000000002</v>
      </c>
      <c r="Z5748">
        <v>-2.4656330000000001E-2</v>
      </c>
      <c r="AA5748">
        <v>0.94402540000000001</v>
      </c>
      <c r="AB5748">
        <v>29</v>
      </c>
      <c r="AC5748">
        <v>8.4972999999999903</v>
      </c>
      <c r="AD5748">
        <v>-1.121754039414</v>
      </c>
      <c r="AE5748">
        <v>8.2138599999999897</v>
      </c>
      <c r="AF5748">
        <v>-3.8863987091047401</v>
      </c>
      <c r="AG5748">
        <v>-1.121754039414</v>
      </c>
      <c r="AH5748">
        <v>11.0491832277556</v>
      </c>
      <c r="AI5748">
        <v>95.470648026699195</v>
      </c>
      <c r="AJ5748">
        <v>109.378623631284</v>
      </c>
      <c r="AK5748">
        <v>11.766345101669801</v>
      </c>
      <c r="AL5748">
        <v>89.5295464932518</v>
      </c>
      <c r="AM5748">
        <v>92.552896251296502</v>
      </c>
      <c r="AN5748">
        <v>0.999999950444317</v>
      </c>
    </row>
    <row r="5749" spans="1:40" x14ac:dyDescent="0.25">
      <c r="A5749" t="str">
        <f>"20190312154716877"</f>
        <v>20190312154716877</v>
      </c>
      <c r="B5749" t="str">
        <f>"1552376836873579"</f>
        <v>1552376836873579</v>
      </c>
      <c r="C5749" t="s">
        <v>40</v>
      </c>
      <c r="D5749">
        <v>5.2146790000000003</v>
      </c>
      <c r="E5749">
        <v>0.38679439999999998</v>
      </c>
      <c r="F5749" t="s">
        <v>71</v>
      </c>
      <c r="G5749">
        <v>-194.78739999999999</v>
      </c>
      <c r="H5749" s="1">
        <v>-2.093141E-6</v>
      </c>
      <c r="I5749">
        <v>-50.136859999999999</v>
      </c>
      <c r="J5749">
        <v>-203.24690000000001</v>
      </c>
      <c r="K5749">
        <v>1.121804</v>
      </c>
      <c r="L5749">
        <v>-58.41019</v>
      </c>
      <c r="M5749">
        <v>0.90571959999999996</v>
      </c>
      <c r="N5749">
        <v>0</v>
      </c>
      <c r="O5749">
        <v>0.42356959999999999</v>
      </c>
      <c r="P5749">
        <v>0.88606260000000003</v>
      </c>
      <c r="Q5749">
        <v>-6.7486400000000002E-3</v>
      </c>
      <c r="R5749">
        <v>0.46351680000000001</v>
      </c>
      <c r="S5749">
        <v>2.2482600000000001</v>
      </c>
      <c r="T5749">
        <v>-0.29406490000000002</v>
      </c>
      <c r="U5749">
        <v>2.1848139999999998</v>
      </c>
      <c r="V5749">
        <v>-4.4772720000000002E-2</v>
      </c>
      <c r="W5749">
        <v>8.0563800000000001E-3</v>
      </c>
      <c r="X5749">
        <v>0.99896470000000004</v>
      </c>
      <c r="Y5749">
        <v>-0.3277814</v>
      </c>
      <c r="Z5749">
        <v>-2.534987E-2</v>
      </c>
      <c r="AA5749">
        <v>0.94441339999999996</v>
      </c>
      <c r="AB5749">
        <v>29</v>
      </c>
      <c r="AC5749">
        <v>8.4595000000000198</v>
      </c>
      <c r="AD5749">
        <v>-1.1218060931409899</v>
      </c>
      <c r="AE5749">
        <v>8.2733299999999996</v>
      </c>
      <c r="AF5749">
        <v>-3.8758035661804202</v>
      </c>
      <c r="AG5749">
        <v>-1.1218060931409899</v>
      </c>
      <c r="AH5749">
        <v>11.068238788529801</v>
      </c>
      <c r="AI5749">
        <v>95.464189958888696</v>
      </c>
      <c r="AJ5749">
        <v>109.298900092031</v>
      </c>
      <c r="AK5749">
        <v>11.780756006052499</v>
      </c>
      <c r="AL5749">
        <v>89.538398428257395</v>
      </c>
      <c r="AM5749">
        <v>92.566229100455701</v>
      </c>
      <c r="AN5749">
        <v>0.99999998678049595</v>
      </c>
    </row>
    <row r="5750" spans="1:40" x14ac:dyDescent="0.25">
      <c r="A5750" t="str">
        <f>"20190312154716890"</f>
        <v>20190312154716890</v>
      </c>
      <c r="B5750" t="str">
        <f>"1552376836883339"</f>
        <v>1552376836883339</v>
      </c>
      <c r="C5750" t="s">
        <v>40</v>
      </c>
      <c r="D5750">
        <v>5.0846600000000004</v>
      </c>
      <c r="E5750">
        <v>0.387216</v>
      </c>
      <c r="F5750" t="s">
        <v>71</v>
      </c>
      <c r="G5750">
        <v>-194.76009999999999</v>
      </c>
      <c r="H5750" s="1">
        <v>-2.1337809999999999E-6</v>
      </c>
      <c r="I5750">
        <v>-50.057929999999999</v>
      </c>
      <c r="J5750">
        <v>-203.1097</v>
      </c>
      <c r="K5750">
        <v>1.1218629999999901</v>
      </c>
      <c r="L5750">
        <v>-58.33728</v>
      </c>
      <c r="M5750">
        <v>0.90205809999999997</v>
      </c>
      <c r="N5750">
        <v>0</v>
      </c>
      <c r="O5750">
        <v>0.43131160000000002</v>
      </c>
      <c r="P5750">
        <v>0.88199620000000001</v>
      </c>
      <c r="Q5750">
        <v>-7.3639019999999899E-3</v>
      </c>
      <c r="R5750">
        <v>0.47119909999999998</v>
      </c>
      <c r="S5750">
        <v>2.2335970000000001</v>
      </c>
      <c r="T5750">
        <v>-0.295241799999999</v>
      </c>
      <c r="U5750">
        <v>2.1981809999999999</v>
      </c>
      <c r="V5750">
        <v>-4.488296E-2</v>
      </c>
      <c r="W5750">
        <v>7.454151E-3</v>
      </c>
      <c r="X5750">
        <v>0.99896439999999997</v>
      </c>
      <c r="Y5750">
        <v>-0.32569480000000001</v>
      </c>
      <c r="Z5750">
        <v>-2.6341300000000002E-2</v>
      </c>
      <c r="AA5750">
        <v>0.9451079</v>
      </c>
      <c r="AB5750">
        <v>29</v>
      </c>
      <c r="AC5750">
        <v>8.3496000000000095</v>
      </c>
      <c r="AD5750">
        <v>-1.12186513378099</v>
      </c>
      <c r="AE5750">
        <v>8.2793500000000009</v>
      </c>
      <c r="AF5750">
        <v>-3.8327920534945901</v>
      </c>
      <c r="AG5750">
        <v>-1.12186513378099</v>
      </c>
      <c r="AH5750">
        <v>11.004088158705301</v>
      </c>
      <c r="AI5750">
        <v>95.499313486802194</v>
      </c>
      <c r="AJ5750">
        <v>109.203543588589</v>
      </c>
      <c r="AK5750">
        <v>11.706358635728</v>
      </c>
      <c r="AL5750">
        <v>89.572904634831602</v>
      </c>
      <c r="AM5750">
        <v>92.572539998018101</v>
      </c>
      <c r="AN5750">
        <v>0.99999995846642498</v>
      </c>
    </row>
    <row r="5751" spans="1:40" x14ac:dyDescent="0.25">
      <c r="A5751" t="str">
        <f>"20190312154716901"</f>
        <v>20190312154716901</v>
      </c>
      <c r="B5751" t="str">
        <f>"1552376836894076"</f>
        <v>1552376836894076</v>
      </c>
      <c r="C5751" t="s">
        <v>40</v>
      </c>
      <c r="D5751">
        <v>5.0994449999999896</v>
      </c>
      <c r="E5751">
        <v>0.38772990000000002</v>
      </c>
      <c r="F5751" t="s">
        <v>71</v>
      </c>
      <c r="G5751">
        <v>-194.76859999999999</v>
      </c>
      <c r="H5751" s="1">
        <v>-2.1680989999999998E-6</v>
      </c>
      <c r="I5751">
        <v>-50.003160000000001</v>
      </c>
      <c r="J5751">
        <v>-202.97149999999999</v>
      </c>
      <c r="K5751">
        <v>1.1219220000000001</v>
      </c>
      <c r="L5751">
        <v>-58.262599999999999</v>
      </c>
      <c r="M5751">
        <v>0.89827099999999904</v>
      </c>
      <c r="N5751">
        <v>0</v>
      </c>
      <c r="O5751">
        <v>0.43914330000000001</v>
      </c>
      <c r="P5751">
        <v>0.87789569999999995</v>
      </c>
      <c r="Q5751">
        <v>-8.1550919999999992E-3</v>
      </c>
      <c r="R5751">
        <v>0.4787825</v>
      </c>
      <c r="S5751">
        <v>2.2160030000000002</v>
      </c>
      <c r="T5751">
        <v>-0.29804809999999998</v>
      </c>
      <c r="U5751">
        <v>2.2141419999999998</v>
      </c>
      <c r="V5751">
        <v>-4.478174E-2</v>
      </c>
      <c r="W5751">
        <v>6.6831249999999998E-3</v>
      </c>
      <c r="X5751">
        <v>0.99897440000000004</v>
      </c>
      <c r="Y5751">
        <v>-0.32466250000000002</v>
      </c>
      <c r="Z5751">
        <v>-2.7451670000000001E-2</v>
      </c>
      <c r="AA5751">
        <v>0.94543149999999998</v>
      </c>
      <c r="AB5751">
        <v>29</v>
      </c>
      <c r="AC5751">
        <v>8.2028999999999996</v>
      </c>
      <c r="AD5751">
        <v>-1.121924168099</v>
      </c>
      <c r="AE5751">
        <v>8.2594399999999908</v>
      </c>
      <c r="AF5751">
        <v>-3.7823336057213899</v>
      </c>
      <c r="AG5751">
        <v>-1.121924168099</v>
      </c>
      <c r="AH5751">
        <v>10.895737214881001</v>
      </c>
      <c r="AI5751">
        <v>95.555949757017899</v>
      </c>
      <c r="AJ5751">
        <v>109.143874043539</v>
      </c>
      <c r="AK5751">
        <v>11.588004608200601</v>
      </c>
      <c r="AL5751">
        <v>89.617082277787304</v>
      </c>
      <c r="AM5751">
        <v>92.566720516991396</v>
      </c>
      <c r="AN5751">
        <v>0.99999996012627501</v>
      </c>
    </row>
    <row r="5752" spans="1:40" x14ac:dyDescent="0.25">
      <c r="A5752" t="str">
        <f>"20190312154716914"</f>
        <v>20190312154716914</v>
      </c>
      <c r="B5752" t="str">
        <f>"1552376836903835"</f>
        <v>1552376836903835</v>
      </c>
      <c r="C5752" t="s">
        <v>40</v>
      </c>
      <c r="D5752">
        <v>5.0472989999999998</v>
      </c>
      <c r="E5752">
        <v>0.3882158</v>
      </c>
      <c r="F5752" t="s">
        <v>71</v>
      </c>
      <c r="G5752">
        <v>-194.77500000000001</v>
      </c>
      <c r="H5752" s="1">
        <v>-2.200688E-6</v>
      </c>
      <c r="I5752">
        <v>-49.950499999999998</v>
      </c>
      <c r="J5752">
        <v>-202.84399999999999</v>
      </c>
      <c r="K5752">
        <v>1.1219699999999999</v>
      </c>
      <c r="L5752">
        <v>-58.19153</v>
      </c>
      <c r="M5752">
        <v>0.8946596</v>
      </c>
      <c r="N5752">
        <v>0</v>
      </c>
      <c r="O5752">
        <v>0.44645400000000002</v>
      </c>
      <c r="P5752">
        <v>0.87399669999999896</v>
      </c>
      <c r="Q5752">
        <v>-8.7352939999999994E-3</v>
      </c>
      <c r="R5752">
        <v>0.48585339999999999</v>
      </c>
      <c r="S5752">
        <v>2.1985320000000002</v>
      </c>
      <c r="T5752">
        <v>-0.30092940000000001</v>
      </c>
      <c r="U5752">
        <v>2.2295229999999999</v>
      </c>
      <c r="V5752">
        <v>-4.4685679999999998E-2</v>
      </c>
      <c r="W5752">
        <v>6.1209460000000004E-3</v>
      </c>
      <c r="X5752">
        <v>0.99898240000000005</v>
      </c>
      <c r="Y5752">
        <v>-0.323999599999999</v>
      </c>
      <c r="Z5752">
        <v>-2.8516840000000002E-2</v>
      </c>
      <c r="AA5752">
        <v>0.94562729999999995</v>
      </c>
      <c r="AB5752">
        <v>29</v>
      </c>
      <c r="AC5752">
        <v>8.0690000000000097</v>
      </c>
      <c r="AD5752">
        <v>-1.121972200688</v>
      </c>
      <c r="AE5752">
        <v>8.2410300000000092</v>
      </c>
      <c r="AF5752">
        <v>-3.7356244166278301</v>
      </c>
      <c r="AG5752">
        <v>-1.121972200688</v>
      </c>
      <c r="AH5752">
        <v>10.7975041145015</v>
      </c>
      <c r="AI5752">
        <v>95.608427391834695</v>
      </c>
      <c r="AJ5752">
        <v>109.084141448992</v>
      </c>
      <c r="AK5752">
        <v>11.480409683626201</v>
      </c>
      <c r="AL5752">
        <v>89.649293457171495</v>
      </c>
      <c r="AM5752">
        <v>92.561201576147795</v>
      </c>
      <c r="AN5752">
        <v>1.0000000557433699</v>
      </c>
    </row>
    <row r="5753" spans="1:40" x14ac:dyDescent="0.25">
      <c r="A5753" t="str">
        <f>"20190312154716927"</f>
        <v>20190312154716927</v>
      </c>
      <c r="B5753" t="str">
        <f>"1552376836923355"</f>
        <v>1552376836923355</v>
      </c>
      <c r="C5753" t="s">
        <v>40</v>
      </c>
      <c r="D5753">
        <v>5.0858449999999999</v>
      </c>
      <c r="E5753">
        <v>0.38879279999999999</v>
      </c>
      <c r="F5753" t="s">
        <v>71</v>
      </c>
      <c r="G5753">
        <v>-194.77760000000001</v>
      </c>
      <c r="H5753" s="1">
        <v>-2.2326259999999999E-6</v>
      </c>
      <c r="I5753">
        <v>-49.897550000000003</v>
      </c>
      <c r="J5753">
        <v>-202.70150000000001</v>
      </c>
      <c r="K5753">
        <v>1.122018</v>
      </c>
      <c r="L5753">
        <v>-58.111109999999996</v>
      </c>
      <c r="M5753">
        <v>0.89052629999999999</v>
      </c>
      <c r="N5753">
        <v>0</v>
      </c>
      <c r="O5753">
        <v>0.45464179999999998</v>
      </c>
      <c r="P5753">
        <v>0.86943239999999999</v>
      </c>
      <c r="Q5753">
        <v>-9.3992940000000007E-3</v>
      </c>
      <c r="R5753">
        <v>0.49396259999999997</v>
      </c>
      <c r="S5753">
        <v>2.182175</v>
      </c>
      <c r="T5753">
        <v>-0.30352380000000001</v>
      </c>
      <c r="U5753">
        <v>2.243744</v>
      </c>
      <c r="V5753">
        <v>-4.4799230000000002E-2</v>
      </c>
      <c r="W5753">
        <v>5.4700740000000001E-3</v>
      </c>
      <c r="X5753">
        <v>0.99898109999999996</v>
      </c>
      <c r="Y5753">
        <v>-0.32190150000000001</v>
      </c>
      <c r="Z5753">
        <v>-2.9728950000000001E-2</v>
      </c>
      <c r="AA5753">
        <v>0.94630630000000004</v>
      </c>
      <c r="AB5753">
        <v>29</v>
      </c>
      <c r="AC5753">
        <v>7.9238999999999997</v>
      </c>
      <c r="AD5753">
        <v>-1.122020232626</v>
      </c>
      <c r="AE5753">
        <v>8.2135599999999904</v>
      </c>
      <c r="AF5753">
        <v>-3.67680670933591</v>
      </c>
      <c r="AG5753">
        <v>-1.122020232626</v>
      </c>
      <c r="AH5753">
        <v>10.6887806674416</v>
      </c>
      <c r="AI5753">
        <v>95.668789573828406</v>
      </c>
      <c r="AJ5753">
        <v>108.982575538608</v>
      </c>
      <c r="AK5753">
        <v>11.3590434956871</v>
      </c>
      <c r="AL5753">
        <v>89.686586303692707</v>
      </c>
      <c r="AM5753">
        <v>92.567704438194795</v>
      </c>
      <c r="AN5753">
        <v>1.0000000654376799</v>
      </c>
    </row>
    <row r="5754" spans="1:40" x14ac:dyDescent="0.25">
      <c r="A5754" t="str">
        <f>"20190312154716939"</f>
        <v>20190312154716939</v>
      </c>
      <c r="B5754" t="str">
        <f>"1552376836934091"</f>
        <v>1552376836934091</v>
      </c>
      <c r="C5754" t="s">
        <v>40</v>
      </c>
      <c r="D5754">
        <v>5.1778959999999996</v>
      </c>
      <c r="E5754">
        <v>0.38879279999999999</v>
      </c>
      <c r="F5754" t="s">
        <v>71</v>
      </c>
      <c r="G5754">
        <v>-194.8742</v>
      </c>
      <c r="H5754" s="1">
        <v>-2.2327799999999999E-6</v>
      </c>
      <c r="I5754">
        <v>-49.933549999999997</v>
      </c>
      <c r="J5754">
        <v>-202.554</v>
      </c>
      <c r="K5754">
        <v>1.122066</v>
      </c>
      <c r="L5754">
        <v>-58.025730000000003</v>
      </c>
      <c r="M5754">
        <v>0.88611640000000003</v>
      </c>
      <c r="N5754">
        <v>0</v>
      </c>
      <c r="O5754">
        <v>0.46317720000000001</v>
      </c>
      <c r="P5754">
        <v>0.86472420000000005</v>
      </c>
      <c r="Q5754">
        <v>-1.0644229999999999E-2</v>
      </c>
      <c r="R5754">
        <v>0.50213430000000003</v>
      </c>
      <c r="S5754">
        <v>2.1631770000000001</v>
      </c>
      <c r="T5754">
        <v>-0.31008540000000001</v>
      </c>
      <c r="U5754">
        <v>2.259979</v>
      </c>
      <c r="V5754">
        <v>-4.4584650000000003E-2</v>
      </c>
      <c r="W5754">
        <v>4.2484319999999999E-3</v>
      </c>
      <c r="X5754">
        <v>0.99899660000000001</v>
      </c>
      <c r="Y5754">
        <v>-0.32040540000000001</v>
      </c>
      <c r="Z5754">
        <v>-3.1368460000000001E-2</v>
      </c>
      <c r="AA5754">
        <v>0.94676099999999996</v>
      </c>
      <c r="AB5754">
        <v>29</v>
      </c>
      <c r="AC5754">
        <v>7.6798000000000002</v>
      </c>
      <c r="AD5754">
        <v>-1.12206823278</v>
      </c>
      <c r="AE5754">
        <v>8.0921800000000008</v>
      </c>
      <c r="AF5754">
        <v>-3.5777911815482999</v>
      </c>
      <c r="AG5754">
        <v>-1.12206823278</v>
      </c>
      <c r="AH5754">
        <v>10.4490066863136</v>
      </c>
      <c r="AI5754">
        <v>95.801040417576701</v>
      </c>
      <c r="AJ5754">
        <v>108.901455589753</v>
      </c>
      <c r="AK5754">
        <v>11.101412864514399</v>
      </c>
      <c r="AL5754">
        <v>89.756582050319594</v>
      </c>
      <c r="AM5754">
        <v>92.555382356666499</v>
      </c>
      <c r="AN5754">
        <v>1.00000002350082</v>
      </c>
    </row>
    <row r="5755" spans="1:40" x14ac:dyDescent="0.25">
      <c r="A5755" t="str">
        <f>"20190312154716956"</f>
        <v>20190312154716956</v>
      </c>
      <c r="B5755" t="str">
        <f>"1552376836943851"</f>
        <v>1552376836943851</v>
      </c>
      <c r="C5755" t="s">
        <v>40</v>
      </c>
      <c r="D5755">
        <v>5.0104129999999998</v>
      </c>
      <c r="E5755">
        <v>0.36751299999999998</v>
      </c>
      <c r="F5755" t="s">
        <v>71</v>
      </c>
      <c r="G5755">
        <v>-194.89400000000001</v>
      </c>
      <c r="H5755" s="1">
        <v>-2.2750720000000001E-6</v>
      </c>
      <c r="I5755">
        <v>-49.869570000000003</v>
      </c>
      <c r="J5755">
        <v>-202.3766</v>
      </c>
      <c r="K5755">
        <v>1.1221080000000001</v>
      </c>
      <c r="L5755">
        <v>-57.920259999999999</v>
      </c>
      <c r="M5755">
        <v>0.88063709999999995</v>
      </c>
      <c r="N5755">
        <v>0</v>
      </c>
      <c r="O5755">
        <v>0.47351140000000003</v>
      </c>
      <c r="P5755">
        <v>0.85884889999999903</v>
      </c>
      <c r="Q5755">
        <v>-1.296142E-2</v>
      </c>
      <c r="R5755">
        <v>0.5120652</v>
      </c>
      <c r="S5755">
        <v>2.1414029999999999</v>
      </c>
      <c r="T5755">
        <v>-0.3136833</v>
      </c>
      <c r="U5755">
        <v>2.2801209999999998</v>
      </c>
      <c r="V5755">
        <v>-4.4355360000000003E-2</v>
      </c>
      <c r="W5755">
        <v>1.9572410000000002E-3</v>
      </c>
      <c r="X5755">
        <v>0.99901390000000001</v>
      </c>
      <c r="Y5755">
        <v>-0.31835869999999999</v>
      </c>
      <c r="Z5755">
        <v>-3.2954020000000001E-2</v>
      </c>
      <c r="AA5755">
        <v>0.94739739999999995</v>
      </c>
      <c r="AB5755">
        <v>29</v>
      </c>
      <c r="AC5755">
        <v>7.4825999999999899</v>
      </c>
      <c r="AD5755">
        <v>-1.12211027507199</v>
      </c>
      <c r="AE5755">
        <v>8.0506899999999906</v>
      </c>
      <c r="AF5755">
        <v>-3.5105201332742899</v>
      </c>
      <c r="AG5755">
        <v>-1.12211027507199</v>
      </c>
      <c r="AH5755">
        <v>10.2956170011132</v>
      </c>
      <c r="AI5755">
        <v>95.8896468534696</v>
      </c>
      <c r="AJ5755">
        <v>108.82795411636501</v>
      </c>
      <c r="AK5755">
        <v>10.935383509925799</v>
      </c>
      <c r="AL5755">
        <v>89.887858279675598</v>
      </c>
      <c r="AM5755">
        <v>92.542213852473395</v>
      </c>
      <c r="AN5755">
        <v>1.00000000057313</v>
      </c>
    </row>
    <row r="5756" spans="1:40" x14ac:dyDescent="0.25">
      <c r="A5756" t="str">
        <f>"20190312154716967"</f>
        <v>20190312154716967</v>
      </c>
      <c r="B5756" t="str">
        <f>"1552376836963372"</f>
        <v>1552376836963372</v>
      </c>
      <c r="C5756" t="s">
        <v>40</v>
      </c>
      <c r="D5756">
        <v>5.0494750000000002</v>
      </c>
      <c r="E5756">
        <v>0.3648034</v>
      </c>
      <c r="F5756" t="s">
        <v>71</v>
      </c>
      <c r="G5756">
        <v>-197.26259999999999</v>
      </c>
      <c r="H5756" s="1">
        <v>-1.004081E-5</v>
      </c>
      <c r="I5756">
        <v>-51.722880000000004</v>
      </c>
      <c r="J5756">
        <v>-202.2569</v>
      </c>
      <c r="K5756">
        <v>1.1221299999999901</v>
      </c>
      <c r="L5756">
        <v>-57.84778</v>
      </c>
      <c r="M5756">
        <v>0.87683899999999904</v>
      </c>
      <c r="N5756">
        <v>0</v>
      </c>
      <c r="O5756">
        <v>0.48050759999999998</v>
      </c>
      <c r="P5756">
        <v>0.85474099999999997</v>
      </c>
      <c r="Q5756">
        <v>-1.393549E-2</v>
      </c>
      <c r="R5756">
        <v>0.51886769999999904</v>
      </c>
      <c r="S5756">
        <v>2.023987</v>
      </c>
      <c r="T5756">
        <v>-0.44409880000000002</v>
      </c>
      <c r="U5756">
        <v>2.452728</v>
      </c>
      <c r="V5756">
        <v>-4.4311120000000002E-2</v>
      </c>
      <c r="W5756">
        <v>9.9641479999999999E-4</v>
      </c>
      <c r="X5756">
        <v>0.9990173</v>
      </c>
      <c r="Y5756">
        <v>-0.37116120000000002</v>
      </c>
      <c r="Z5756">
        <v>-4.3285049999999999E-2</v>
      </c>
      <c r="AA5756">
        <v>0.92755900000000002</v>
      </c>
      <c r="AB5756">
        <v>29</v>
      </c>
      <c r="AC5756">
        <v>4.9943000000000097</v>
      </c>
      <c r="AD5756">
        <v>-1.12214004080999</v>
      </c>
      <c r="AE5756">
        <v>6.12490000000001</v>
      </c>
      <c r="AF5756">
        <v>-2.912429781667</v>
      </c>
      <c r="AG5756">
        <v>-1.12214004080999</v>
      </c>
      <c r="AH5756">
        <v>7.1785062205046097</v>
      </c>
      <c r="AI5756">
        <v>98.242066461621405</v>
      </c>
      <c r="AJ5756">
        <v>112.083147123437</v>
      </c>
      <c r="AK5756">
        <v>7.8276686862790301</v>
      </c>
      <c r="AL5756">
        <v>89.942909628836205</v>
      </c>
      <c r="AM5756">
        <v>92.539672939960496</v>
      </c>
      <c r="AN5756">
        <v>1.00000001694869</v>
      </c>
    </row>
    <row r="5757" spans="1:40" x14ac:dyDescent="0.25">
      <c r="A5757" t="str">
        <f>"20190312154716978"</f>
        <v>20190312154716978</v>
      </c>
      <c r="B5757" t="str">
        <f>"1552376836974108"</f>
        <v>1552376836974108</v>
      </c>
      <c r="C5757" t="s">
        <v>40</v>
      </c>
      <c r="D5757">
        <v>5.1446059999999996</v>
      </c>
      <c r="E5757">
        <v>0.36290929999999999</v>
      </c>
      <c r="F5757" t="s">
        <v>71</v>
      </c>
      <c r="G5757">
        <v>-196.83840000000001</v>
      </c>
      <c r="H5757" s="1">
        <v>-1.0228679999999999E-5</v>
      </c>
      <c r="I5757">
        <v>-51.089619999999996</v>
      </c>
      <c r="J5757">
        <v>-202.13380000000001</v>
      </c>
      <c r="K5757">
        <v>1.1221479999999999</v>
      </c>
      <c r="L5757">
        <v>-57.771509999999999</v>
      </c>
      <c r="M5757">
        <v>0.87283469999999996</v>
      </c>
      <c r="N5757">
        <v>0</v>
      </c>
      <c r="O5757">
        <v>0.48774299999999998</v>
      </c>
      <c r="P5757">
        <v>0.85039089999999995</v>
      </c>
      <c r="Q5757">
        <v>-1.524465E-2</v>
      </c>
      <c r="R5757">
        <v>0.52593059999999903</v>
      </c>
      <c r="S5757">
        <v>1.9936370000000001</v>
      </c>
      <c r="T5757">
        <v>-0.41287109999999999</v>
      </c>
      <c r="U5757">
        <v>2.486542</v>
      </c>
      <c r="V5757">
        <v>-4.4295889999999997E-2</v>
      </c>
      <c r="W5757">
        <v>-2.9995389999999997E-4</v>
      </c>
      <c r="X5757">
        <v>0.99901839999999997</v>
      </c>
      <c r="Y5757">
        <v>-0.37647659999999999</v>
      </c>
      <c r="Z5757">
        <v>-4.0881319999999999E-2</v>
      </c>
      <c r="AA5757">
        <v>0.9255236</v>
      </c>
      <c r="AB5757">
        <v>29</v>
      </c>
      <c r="AC5757">
        <v>5.2953999999999999</v>
      </c>
      <c r="AD5757">
        <v>-1.12215822867999</v>
      </c>
      <c r="AE5757">
        <v>6.6818899999999903</v>
      </c>
      <c r="AF5757">
        <v>-3.1944838025429201</v>
      </c>
      <c r="AG5757">
        <v>-1.12215822867999</v>
      </c>
      <c r="AH5757">
        <v>7.7478819401223804</v>
      </c>
      <c r="AI5757">
        <v>97.626516826035996</v>
      </c>
      <c r="AJ5757">
        <v>112.40655670171201</v>
      </c>
      <c r="AK5757">
        <v>8.4553912040175803</v>
      </c>
      <c r="AL5757">
        <v>90.017186092953295</v>
      </c>
      <c r="AM5757">
        <v>92.538798389565102</v>
      </c>
      <c r="AN5757">
        <v>0.99999998969089698</v>
      </c>
    </row>
    <row r="5758" spans="1:40" x14ac:dyDescent="0.25">
      <c r="A5758" t="str">
        <f>"20190312154716992"</f>
        <v>20190312154716992</v>
      </c>
      <c r="B5758" t="str">
        <f>"1552376836983867"</f>
        <v>1552376836983867</v>
      </c>
      <c r="C5758" t="s">
        <v>40</v>
      </c>
      <c r="D5758">
        <v>5.0061159999999996</v>
      </c>
      <c r="E5758">
        <v>0.36252659999999998</v>
      </c>
      <c r="F5758" t="s">
        <v>71</v>
      </c>
      <c r="G5758">
        <v>-196.9539</v>
      </c>
      <c r="H5758" s="1">
        <v>-1.022297E-5</v>
      </c>
      <c r="I5758">
        <v>-51.137090000000001</v>
      </c>
      <c r="J5758">
        <v>-201.9837</v>
      </c>
      <c r="K5758">
        <v>1.1221669999999999</v>
      </c>
      <c r="L5758">
        <v>-57.676569999999998</v>
      </c>
      <c r="M5758">
        <v>0.8678285</v>
      </c>
      <c r="N5758">
        <v>0</v>
      </c>
      <c r="O5758">
        <v>0.49659530000000002</v>
      </c>
      <c r="P5758">
        <v>0.84489629999999905</v>
      </c>
      <c r="Q5758">
        <v>-1.6496130000000001E-2</v>
      </c>
      <c r="R5758">
        <v>0.53467609999999999</v>
      </c>
      <c r="S5758">
        <v>1.9642329999999999</v>
      </c>
      <c r="T5758">
        <v>-0.42552839999999997</v>
      </c>
      <c r="U5758">
        <v>2.5158079999999998</v>
      </c>
      <c r="V5758">
        <v>-4.4415419999999997E-2</v>
      </c>
      <c r="W5758">
        <v>-1.5415310000000001E-3</v>
      </c>
      <c r="X5758">
        <v>0.99901189999999995</v>
      </c>
      <c r="Y5758">
        <v>-0.3790849</v>
      </c>
      <c r="Z5758">
        <v>-4.3193090000000003E-2</v>
      </c>
      <c r="AA5758">
        <v>0.92435330000000004</v>
      </c>
      <c r="AB5758">
        <v>29</v>
      </c>
      <c r="AC5758">
        <v>5.0297999999999901</v>
      </c>
      <c r="AD5758">
        <v>-1.12217722297</v>
      </c>
      <c r="AE5758">
        <v>6.5394799999999904</v>
      </c>
      <c r="AF5758">
        <v>-3.1200699896396999</v>
      </c>
      <c r="AG5758">
        <v>-1.12217722297</v>
      </c>
      <c r="AH5758">
        <v>7.4751921166791302</v>
      </c>
      <c r="AI5758">
        <v>97.8873747175967</v>
      </c>
      <c r="AJ5758">
        <v>112.655166139096</v>
      </c>
      <c r="AK5758">
        <v>8.1775678316517109</v>
      </c>
      <c r="AL5758">
        <v>90.088323260471796</v>
      </c>
      <c r="AM5758">
        <v>92.545656737276801</v>
      </c>
      <c r="AN5758">
        <v>0.99999994109660295</v>
      </c>
    </row>
    <row r="5759" spans="1:40" x14ac:dyDescent="0.25">
      <c r="A5759" t="str">
        <f>"20190312154717004"</f>
        <v>20190312154717004</v>
      </c>
      <c r="B5759" t="str">
        <f>"1552376836993627"</f>
        <v>1552376836993627</v>
      </c>
      <c r="C5759" t="s">
        <v>40</v>
      </c>
      <c r="D5759">
        <v>4.9990629999999996</v>
      </c>
      <c r="E5759">
        <v>0.36259330000000001</v>
      </c>
      <c r="F5759" t="s">
        <v>71</v>
      </c>
      <c r="G5759">
        <v>-196.84030000000001</v>
      </c>
      <c r="H5759" s="1">
        <v>-1.028513E-5</v>
      </c>
      <c r="I5759">
        <v>-50.93488</v>
      </c>
      <c r="J5759">
        <v>-201.8595</v>
      </c>
      <c r="K5759">
        <v>1.1221749999999999</v>
      </c>
      <c r="L5759">
        <v>-57.596919999999997</v>
      </c>
      <c r="M5759">
        <v>0.86359159999999902</v>
      </c>
      <c r="N5759">
        <v>0</v>
      </c>
      <c r="O5759">
        <v>0.50392680000000001</v>
      </c>
      <c r="P5759">
        <v>0.84038009999999996</v>
      </c>
      <c r="Q5759">
        <v>-1.7618080000000001E-2</v>
      </c>
      <c r="R5759">
        <v>0.54171119999999995</v>
      </c>
      <c r="S5759">
        <v>1.9363250000000001</v>
      </c>
      <c r="T5759">
        <v>-0.42246260000000002</v>
      </c>
      <c r="U5759">
        <v>2.5380250000000002</v>
      </c>
      <c r="V5759">
        <v>-4.4272880000000001E-2</v>
      </c>
      <c r="W5759">
        <v>-2.6484120000000002E-3</v>
      </c>
      <c r="X5759">
        <v>0.99901600000000002</v>
      </c>
      <c r="Y5759">
        <v>-0.38159710000000002</v>
      </c>
      <c r="Z5759">
        <v>-4.3790999999999997E-2</v>
      </c>
      <c r="AA5759">
        <v>0.92329079999999997</v>
      </c>
      <c r="AB5759">
        <v>29</v>
      </c>
      <c r="AC5759">
        <v>5.0191999999999801</v>
      </c>
      <c r="AD5759">
        <v>-1.1221852851299901</v>
      </c>
      <c r="AE5759">
        <v>6.6620399999999904</v>
      </c>
      <c r="AF5759">
        <v>-3.1670797315031201</v>
      </c>
      <c r="AG5759">
        <v>-1.1221852851299901</v>
      </c>
      <c r="AH5759">
        <v>7.5559855544325201</v>
      </c>
      <c r="AI5759">
        <v>97.799314119474502</v>
      </c>
      <c r="AJ5759">
        <v>112.740919581491</v>
      </c>
      <c r="AK5759">
        <v>8.2693779414568507</v>
      </c>
      <c r="AL5759">
        <v>90.151743002072195</v>
      </c>
      <c r="AM5759">
        <v>92.537487394294104</v>
      </c>
      <c r="AN5759">
        <v>1.0000000351228</v>
      </c>
    </row>
    <row r="5760" spans="1:40" x14ac:dyDescent="0.25">
      <c r="A5760" t="str">
        <f>"20190312154717015"</f>
        <v>20190312154717015</v>
      </c>
      <c r="B5760" t="str">
        <f>"1552376837003387"</f>
        <v>1552376837003387</v>
      </c>
      <c r="C5760" t="s">
        <v>40</v>
      </c>
      <c r="D5760">
        <v>5.0283379999999998</v>
      </c>
      <c r="E5760">
        <v>0.36275089999999999</v>
      </c>
      <c r="F5760" t="s">
        <v>71</v>
      </c>
      <c r="G5760">
        <v>-196.7482</v>
      </c>
      <c r="H5760" s="1">
        <v>-1.033177E-5</v>
      </c>
      <c r="I5760">
        <v>-50.781329999999997</v>
      </c>
      <c r="J5760">
        <v>-201.744</v>
      </c>
      <c r="K5760">
        <v>1.12218</v>
      </c>
      <c r="L5760">
        <v>-57.5205699999999</v>
      </c>
      <c r="M5760">
        <v>0.85954549999999996</v>
      </c>
      <c r="N5760">
        <v>0</v>
      </c>
      <c r="O5760">
        <v>0.51079730000000001</v>
      </c>
      <c r="P5760">
        <v>0.83580849999999995</v>
      </c>
      <c r="Q5760">
        <v>-1.8856210000000002E-2</v>
      </c>
      <c r="R5760">
        <v>0.5486974</v>
      </c>
      <c r="S5760">
        <v>1.9149780000000001</v>
      </c>
      <c r="T5760">
        <v>-0.42043730000000001</v>
      </c>
      <c r="U5760">
        <v>2.553528</v>
      </c>
      <c r="V5760">
        <v>-4.4609009999999998E-2</v>
      </c>
      <c r="W5760">
        <v>-3.8884100000000001E-3</v>
      </c>
      <c r="X5760">
        <v>0.99899700000000002</v>
      </c>
      <c r="Y5760">
        <v>-0.38189089999999998</v>
      </c>
      <c r="Z5760">
        <v>-4.4575400000000001E-2</v>
      </c>
      <c r="AA5760">
        <v>0.92313179999999995</v>
      </c>
      <c r="AB5760">
        <v>29</v>
      </c>
      <c r="AC5760">
        <v>4.9958000000000302</v>
      </c>
      <c r="AD5760">
        <v>-1.1221903317699999</v>
      </c>
      <c r="AE5760">
        <v>6.7392399999999899</v>
      </c>
      <c r="AF5760">
        <v>-3.1842956307748702</v>
      </c>
      <c r="AG5760">
        <v>-1.1221903317699999</v>
      </c>
      <c r="AH5760">
        <v>7.6015155039145101</v>
      </c>
      <c r="AI5760">
        <v>97.7538745915151</v>
      </c>
      <c r="AJ5760">
        <v>112.728943214849</v>
      </c>
      <c r="AK5760">
        <v>8.3175770366821808</v>
      </c>
      <c r="AL5760">
        <v>90.2227900334683</v>
      </c>
      <c r="AM5760">
        <v>92.556775682592402</v>
      </c>
      <c r="AN5760">
        <v>1.0000000447572499</v>
      </c>
    </row>
    <row r="5761" spans="1:40" x14ac:dyDescent="0.25">
      <c r="A5761" t="str">
        <f>"20190312154717025"</f>
        <v>20190312154717025</v>
      </c>
      <c r="B5761" t="str">
        <f>"1552376837014123"</f>
        <v>1552376837014123</v>
      </c>
      <c r="C5761" t="s">
        <v>40</v>
      </c>
      <c r="D5761">
        <v>5.0042260000000001</v>
      </c>
      <c r="E5761">
        <v>0.36333559999999998</v>
      </c>
      <c r="F5761" t="s">
        <v>71</v>
      </c>
      <c r="G5761">
        <v>-196.67259999999999</v>
      </c>
      <c r="H5761" s="1">
        <v>-1.0374700000000001E-5</v>
      </c>
      <c r="I5761">
        <v>-50.642479999999999</v>
      </c>
      <c r="J5761">
        <v>-201.6335</v>
      </c>
      <c r="K5761">
        <v>1.12218</v>
      </c>
      <c r="L5761">
        <v>-57.44708</v>
      </c>
      <c r="M5761">
        <v>0.85561609999999999</v>
      </c>
      <c r="N5761">
        <v>0</v>
      </c>
      <c r="O5761">
        <v>0.51735200000000003</v>
      </c>
      <c r="P5761">
        <v>0.83131809999999995</v>
      </c>
      <c r="Q5761">
        <v>-1.9947670000000001E-2</v>
      </c>
      <c r="R5761">
        <v>0.55543880000000001</v>
      </c>
      <c r="S5761">
        <v>1.8937379999999999</v>
      </c>
      <c r="T5761">
        <v>-0.419049</v>
      </c>
      <c r="U5761">
        <v>2.5684200000000001</v>
      </c>
      <c r="V5761">
        <v>-4.5032280000000001E-2</v>
      </c>
      <c r="W5761">
        <v>-4.9852389999999998E-3</v>
      </c>
      <c r="X5761">
        <v>0.99897309999999995</v>
      </c>
      <c r="Y5761">
        <v>-0.3823608</v>
      </c>
      <c r="Z5761">
        <v>-4.5366700000000003E-2</v>
      </c>
      <c r="AA5761">
        <v>0.92289869999999996</v>
      </c>
      <c r="AB5761">
        <v>29</v>
      </c>
      <c r="AC5761">
        <v>4.9608999999999996</v>
      </c>
      <c r="AD5761">
        <v>-1.1221903746999999</v>
      </c>
      <c r="AE5761">
        <v>6.8045999999999998</v>
      </c>
      <c r="AF5761">
        <v>-3.1992167843200798</v>
      </c>
      <c r="AG5761">
        <v>-1.1221903746999999</v>
      </c>
      <c r="AH5761">
        <v>7.6305331332480097</v>
      </c>
      <c r="AI5761">
        <v>97.723758971577098</v>
      </c>
      <c r="AJ5761">
        <v>112.74660702008499</v>
      </c>
      <c r="AK5761">
        <v>8.34981048693564</v>
      </c>
      <c r="AL5761">
        <v>90.2856343357887</v>
      </c>
      <c r="AM5761">
        <v>92.581064513967803</v>
      </c>
      <c r="AN5761">
        <v>1.0000000066867401</v>
      </c>
    </row>
    <row r="5762" spans="1:40" x14ac:dyDescent="0.25">
      <c r="A5762" t="str">
        <f>"20190312154717035"</f>
        <v>20190312154717035</v>
      </c>
      <c r="B5762" t="str">
        <f>"1552376837033643"</f>
        <v>1552376837033643</v>
      </c>
      <c r="C5762" t="s">
        <v>40</v>
      </c>
      <c r="D5762">
        <v>5.0753849999999998</v>
      </c>
      <c r="E5762">
        <v>0.3643749</v>
      </c>
      <c r="F5762" t="s">
        <v>71</v>
      </c>
      <c r="G5762">
        <v>-196.62690000000001</v>
      </c>
      <c r="H5762" s="1">
        <v>-1.040031E-5</v>
      </c>
      <c r="I5762">
        <v>-50.559489999999997</v>
      </c>
      <c r="J5762">
        <v>-201.5222</v>
      </c>
      <c r="K5762">
        <v>1.1221840000000001</v>
      </c>
      <c r="L5762">
        <v>-57.37115</v>
      </c>
      <c r="M5762">
        <v>0.85156379999999998</v>
      </c>
      <c r="N5762">
        <v>0</v>
      </c>
      <c r="O5762">
        <v>0.52399510000000005</v>
      </c>
      <c r="P5762">
        <v>0.82672040000000002</v>
      </c>
      <c r="Q5762">
        <v>-2.0499900000000001E-2</v>
      </c>
      <c r="R5762">
        <v>0.56223959999999995</v>
      </c>
      <c r="S5762">
        <v>1.8751070000000001</v>
      </c>
      <c r="T5762">
        <v>-0.42029539999999999</v>
      </c>
      <c r="U5762">
        <v>2.5796199999999998</v>
      </c>
      <c r="V5762">
        <v>-4.5442259999999998E-2</v>
      </c>
      <c r="W5762">
        <v>-5.5428400000000003E-3</v>
      </c>
      <c r="X5762">
        <v>0.99895160000000005</v>
      </c>
      <c r="Y5762">
        <v>-0.38148349999999998</v>
      </c>
      <c r="Z5762">
        <v>-4.6557660000000001E-2</v>
      </c>
      <c r="AA5762">
        <v>0.92320250000000004</v>
      </c>
      <c r="AB5762">
        <v>29</v>
      </c>
      <c r="AC5762">
        <v>4.89529999999999</v>
      </c>
      <c r="AD5762">
        <v>-1.12219440031</v>
      </c>
      <c r="AE5762">
        <v>6.8116599999999901</v>
      </c>
      <c r="AF5762">
        <v>-3.1789877420808699</v>
      </c>
      <c r="AG5762">
        <v>-1.12219440031</v>
      </c>
      <c r="AH5762">
        <v>7.6029013215949002</v>
      </c>
      <c r="AI5762">
        <v>97.754618827952399</v>
      </c>
      <c r="AJ5762">
        <v>112.69118197958301</v>
      </c>
      <c r="AK5762">
        <v>8.3168138035125594</v>
      </c>
      <c r="AL5762">
        <v>90.3175829613497</v>
      </c>
      <c r="AM5762">
        <v>92.604586642958907</v>
      </c>
      <c r="AN5762">
        <v>1.00000001060586</v>
      </c>
    </row>
    <row r="5763" spans="1:40" x14ac:dyDescent="0.25">
      <c r="A5763" t="str">
        <f>"20190312154717046"</f>
        <v>20190312154717046</v>
      </c>
      <c r="B5763" t="str">
        <f>"1552376837044381"</f>
        <v>1552376837044381</v>
      </c>
      <c r="C5763" t="s">
        <v>40</v>
      </c>
      <c r="D5763">
        <v>5.159586</v>
      </c>
      <c r="E5763">
        <v>0.3654346</v>
      </c>
      <c r="F5763" t="s">
        <v>71</v>
      </c>
      <c r="G5763">
        <v>-196.5943</v>
      </c>
      <c r="H5763" s="1">
        <v>-1.0415869999999999E-5</v>
      </c>
      <c r="I5763">
        <v>-50.507730000000002</v>
      </c>
      <c r="J5763">
        <v>-201.41569999999999</v>
      </c>
      <c r="K5763">
        <v>1.1221890000000001</v>
      </c>
      <c r="L5763">
        <v>-57.297820000000002</v>
      </c>
      <c r="M5763">
        <v>0.84762499999999996</v>
      </c>
      <c r="N5763">
        <v>0</v>
      </c>
      <c r="O5763">
        <v>0.5303428</v>
      </c>
      <c r="P5763">
        <v>0.82222229999999996</v>
      </c>
      <c r="Q5763">
        <v>-2.067306E-2</v>
      </c>
      <c r="R5763">
        <v>0.56879089999999999</v>
      </c>
      <c r="S5763">
        <v>1.8582000000000001</v>
      </c>
      <c r="T5763">
        <v>-0.42315940000000002</v>
      </c>
      <c r="U5763">
        <v>2.5880740000000002</v>
      </c>
      <c r="V5763">
        <v>-4.5913309999999999E-2</v>
      </c>
      <c r="W5763">
        <v>-5.7237429999999999E-3</v>
      </c>
      <c r="X5763">
        <v>0.99892899999999996</v>
      </c>
      <c r="Y5763">
        <v>-0.3800386</v>
      </c>
      <c r="Z5763">
        <v>-4.7946450000000002E-2</v>
      </c>
      <c r="AA5763">
        <v>0.92372710000000002</v>
      </c>
      <c r="AB5763">
        <v>29</v>
      </c>
      <c r="AC5763">
        <v>4.8213999999999801</v>
      </c>
      <c r="AD5763">
        <v>-1.1221994158699999</v>
      </c>
      <c r="AE5763">
        <v>6.7900899999999904</v>
      </c>
      <c r="AF5763">
        <v>-3.1418327789524798</v>
      </c>
      <c r="AG5763">
        <v>-1.1221994158699999</v>
      </c>
      <c r="AH5763">
        <v>7.5517165896521004</v>
      </c>
      <c r="AI5763">
        <v>97.8122837118744</v>
      </c>
      <c r="AJ5763">
        <v>112.58937165157</v>
      </c>
      <c r="AK5763">
        <v>8.2558384304869996</v>
      </c>
      <c r="AL5763">
        <v>90.327948117385901</v>
      </c>
      <c r="AM5763">
        <v>92.631607226141796</v>
      </c>
      <c r="AN5763">
        <v>0.99999997015504205</v>
      </c>
    </row>
    <row r="5764" spans="1:40" x14ac:dyDescent="0.25">
      <c r="A5764" t="str">
        <f>"20190312154717057"</f>
        <v>20190312154717057</v>
      </c>
      <c r="B5764" t="str">
        <f>"1552376837054139"</f>
        <v>1552376837054139</v>
      </c>
      <c r="C5764" t="s">
        <v>40</v>
      </c>
      <c r="D5764">
        <v>5.0577589999999999</v>
      </c>
      <c r="E5764">
        <v>0.3663749</v>
      </c>
      <c r="F5764" t="s">
        <v>71</v>
      </c>
      <c r="G5764">
        <v>-196.50659999999999</v>
      </c>
      <c r="H5764" s="1">
        <v>-2.3301770000000002E-6</v>
      </c>
      <c r="I5764">
        <v>-50.382269999999998</v>
      </c>
      <c r="J5764">
        <v>-201.2987</v>
      </c>
      <c r="K5764">
        <v>1.12219</v>
      </c>
      <c r="L5764">
        <v>-57.215449999999997</v>
      </c>
      <c r="M5764">
        <v>0.84320319999999904</v>
      </c>
      <c r="N5764">
        <v>0</v>
      </c>
      <c r="O5764">
        <v>0.53734490000000001</v>
      </c>
      <c r="P5764">
        <v>0.81724140000000001</v>
      </c>
      <c r="Q5764">
        <v>-2.0384380000000001E-2</v>
      </c>
      <c r="R5764">
        <v>0.57593479999999997</v>
      </c>
      <c r="S5764">
        <v>1.8424990000000001</v>
      </c>
      <c r="T5764">
        <v>-0.42118679999999997</v>
      </c>
      <c r="U5764">
        <v>2.5955810000000001</v>
      </c>
      <c r="V5764">
        <v>-4.6350170000000003E-2</v>
      </c>
      <c r="W5764">
        <v>-5.441431E-3</v>
      </c>
      <c r="X5764">
        <v>0.99891039999999998</v>
      </c>
      <c r="Y5764">
        <v>-0.37740079999999998</v>
      </c>
      <c r="Z5764">
        <v>-4.8968680000000001E-2</v>
      </c>
      <c r="AA5764">
        <v>0.92475439999999998</v>
      </c>
      <c r="AB5764">
        <v>29</v>
      </c>
      <c r="AC5764">
        <v>4.7920999999999996</v>
      </c>
      <c r="AD5764">
        <v>-1.122192330177</v>
      </c>
      <c r="AE5764">
        <v>6.8331799999999898</v>
      </c>
      <c r="AF5764">
        <v>-3.1305796658985101</v>
      </c>
      <c r="AG5764">
        <v>-1.122192330177</v>
      </c>
      <c r="AH5764">
        <v>7.5765494935452198</v>
      </c>
      <c r="AI5764">
        <v>97.794700366941299</v>
      </c>
      <c r="AJ5764">
        <v>112.450087219528</v>
      </c>
      <c r="AK5764">
        <v>8.2742943444493005</v>
      </c>
      <c r="AL5764">
        <v>90.311772579565002</v>
      </c>
      <c r="AM5764">
        <v>92.656660366534098</v>
      </c>
      <c r="AN5764">
        <v>0.999999967329257</v>
      </c>
    </row>
    <row r="5765" spans="1:40" x14ac:dyDescent="0.25">
      <c r="A5765" t="str">
        <f>"20190312154717068"</f>
        <v>20190312154717068</v>
      </c>
      <c r="B5765" t="str">
        <f>"1552376837063899"</f>
        <v>1552376837063899</v>
      </c>
      <c r="C5765" t="s">
        <v>40</v>
      </c>
      <c r="D5765">
        <v>5.1318339999999996</v>
      </c>
      <c r="E5765">
        <v>0.36734139999999998</v>
      </c>
      <c r="F5765" t="s">
        <v>71</v>
      </c>
      <c r="G5765">
        <v>-196.43289999999999</v>
      </c>
      <c r="H5765" s="1">
        <v>-2.382843E-6</v>
      </c>
      <c r="I5765">
        <v>-50.265610000000002</v>
      </c>
      <c r="J5765">
        <v>-201.18520000000001</v>
      </c>
      <c r="K5765">
        <v>1.12219</v>
      </c>
      <c r="L5765">
        <v>-57.134250000000002</v>
      </c>
      <c r="M5765">
        <v>0.83883109999999905</v>
      </c>
      <c r="N5765">
        <v>0</v>
      </c>
      <c r="O5765">
        <v>0.54414469999999904</v>
      </c>
      <c r="P5765">
        <v>0.81249459999999996</v>
      </c>
      <c r="Q5765">
        <v>-2.0199370000000001E-2</v>
      </c>
      <c r="R5765">
        <v>0.58261870000000004</v>
      </c>
      <c r="S5765">
        <v>1.824203</v>
      </c>
      <c r="T5765">
        <v>-0.42071550000000002</v>
      </c>
      <c r="U5765">
        <v>2.6055299999999999</v>
      </c>
      <c r="V5765">
        <v>-4.6470249999999998E-2</v>
      </c>
      <c r="W5765">
        <v>-5.2535300000000002E-3</v>
      </c>
      <c r="X5765">
        <v>0.99890579999999995</v>
      </c>
      <c r="Y5765">
        <v>-0.37597380000000002</v>
      </c>
      <c r="Z5765">
        <v>-5.0044579999999998E-2</v>
      </c>
      <c r="AA5765">
        <v>0.92527789999999999</v>
      </c>
      <c r="AB5765">
        <v>29</v>
      </c>
      <c r="AC5765">
        <v>4.7523000000000204</v>
      </c>
      <c r="AD5765">
        <v>-1.122192382843</v>
      </c>
      <c r="AE5765">
        <v>6.8686400000000001</v>
      </c>
      <c r="AF5765">
        <v>-3.1198001708626601</v>
      </c>
      <c r="AG5765">
        <v>-1.122192382843</v>
      </c>
      <c r="AH5765">
        <v>7.58797591032027</v>
      </c>
      <c r="AI5765">
        <v>97.788641897961</v>
      </c>
      <c r="AJ5765">
        <v>112.35003937974</v>
      </c>
      <c r="AK5765">
        <v>8.2806912311609793</v>
      </c>
      <c r="AL5765">
        <v>90.301006499076905</v>
      </c>
      <c r="AM5765">
        <v>92.6635453608761</v>
      </c>
      <c r="AN5765">
        <v>0.99999994049307905</v>
      </c>
    </row>
    <row r="5766" spans="1:40" x14ac:dyDescent="0.25">
      <c r="A5766" t="str">
        <f>"20190312154717081"</f>
        <v>20190312154717081</v>
      </c>
      <c r="B5766" t="str">
        <f>"1552376837073660"</f>
        <v>1552376837073660</v>
      </c>
      <c r="C5766" t="s">
        <v>40</v>
      </c>
      <c r="D5766">
        <v>5.1125559999999997</v>
      </c>
      <c r="E5766">
        <v>0.36829410000000001</v>
      </c>
      <c r="F5766" t="s">
        <v>71</v>
      </c>
      <c r="G5766">
        <v>-196.3622</v>
      </c>
      <c r="H5766" s="1">
        <v>-2.4306640000000001E-6</v>
      </c>
      <c r="I5766">
        <v>-50.158250000000002</v>
      </c>
      <c r="J5766">
        <v>-201.05439999999999</v>
      </c>
      <c r="K5766">
        <v>1.1221890000000001</v>
      </c>
      <c r="L5766">
        <v>-57.039279999999998</v>
      </c>
      <c r="M5766">
        <v>0.83369519999999997</v>
      </c>
      <c r="N5766">
        <v>0</v>
      </c>
      <c r="O5766">
        <v>0.55198100000000005</v>
      </c>
      <c r="P5766">
        <v>0.80674829999999997</v>
      </c>
      <c r="Q5766">
        <v>-2.0152489999999999E-2</v>
      </c>
      <c r="R5766">
        <v>0.59055159999999995</v>
      </c>
      <c r="S5766">
        <v>1.8073429999999999</v>
      </c>
      <c r="T5766">
        <v>-0.42052709999999999</v>
      </c>
      <c r="U5766">
        <v>2.614166</v>
      </c>
      <c r="V5766">
        <v>-4.6897990000000001E-2</v>
      </c>
      <c r="W5766">
        <v>-5.2131180000000001E-3</v>
      </c>
      <c r="X5766">
        <v>0.9988861</v>
      </c>
      <c r="Y5766">
        <v>-0.37281779999999998</v>
      </c>
      <c r="Z5766">
        <v>-5.141627E-2</v>
      </c>
      <c r="AA5766">
        <v>0.92647889999999999</v>
      </c>
      <c r="AB5766">
        <v>29</v>
      </c>
      <c r="AC5766">
        <v>4.6921999999999802</v>
      </c>
      <c r="AD5766">
        <v>-1.122191430664</v>
      </c>
      <c r="AE5766">
        <v>6.88103</v>
      </c>
      <c r="AF5766">
        <v>-3.09098399751268</v>
      </c>
      <c r="AG5766">
        <v>-1.122191430664</v>
      </c>
      <c r="AH5766">
        <v>7.5736034880700798</v>
      </c>
      <c r="AI5766">
        <v>97.811414957211994</v>
      </c>
      <c r="AJ5766">
        <v>112.20164503492001</v>
      </c>
      <c r="AK5766">
        <v>8.2566921629937493</v>
      </c>
      <c r="AL5766">
        <v>90.298691006614604</v>
      </c>
      <c r="AM5766">
        <v>92.688079367175206</v>
      </c>
      <c r="AN5766">
        <v>1.00000001941926</v>
      </c>
    </row>
    <row r="5767" spans="1:40" x14ac:dyDescent="0.25">
      <c r="A5767" t="str">
        <f>"20190312154717094"</f>
        <v>20190312154717094</v>
      </c>
      <c r="B5767" t="str">
        <f>"1552376837083419"</f>
        <v>1552376837083419</v>
      </c>
      <c r="C5767" t="s">
        <v>40</v>
      </c>
      <c r="D5767">
        <v>5.1573949999999904</v>
      </c>
      <c r="E5767">
        <v>0.36934800000000001</v>
      </c>
      <c r="F5767" t="s">
        <v>71</v>
      </c>
      <c r="G5767">
        <v>-196.28380000000001</v>
      </c>
      <c r="H5767" s="1">
        <v>-2.4917159999999998E-6</v>
      </c>
      <c r="I5767">
        <v>-50.025669999999998</v>
      </c>
      <c r="J5767">
        <v>-200.93190000000001</v>
      </c>
      <c r="K5767">
        <v>1.122185</v>
      </c>
      <c r="L5767">
        <v>-56.947879999999998</v>
      </c>
      <c r="M5767">
        <v>0.82876629999999996</v>
      </c>
      <c r="N5767">
        <v>0</v>
      </c>
      <c r="O5767">
        <v>0.55935409999999997</v>
      </c>
      <c r="P5767">
        <v>0.80138140000000002</v>
      </c>
      <c r="Q5767">
        <v>-2.0033840000000001E-2</v>
      </c>
      <c r="R5767">
        <v>0.59781830000000002</v>
      </c>
      <c r="S5767">
        <v>1.7860259999999999</v>
      </c>
      <c r="T5767">
        <v>-0.42013230000000001</v>
      </c>
      <c r="U5767">
        <v>2.6257929999999998</v>
      </c>
      <c r="V5767">
        <v>-4.7067110000000002E-2</v>
      </c>
      <c r="W5767">
        <v>-5.0940250000000003E-3</v>
      </c>
      <c r="X5767">
        <v>0.99887870000000001</v>
      </c>
      <c r="Y5767">
        <v>-0.37168109999999999</v>
      </c>
      <c r="Z5767">
        <v>-5.2570369999999998E-2</v>
      </c>
      <c r="AA5767">
        <v>0.92687079999999999</v>
      </c>
      <c r="AB5767">
        <v>29</v>
      </c>
      <c r="AC5767">
        <v>4.6481000000000003</v>
      </c>
      <c r="AD5767">
        <v>-1.122187491716</v>
      </c>
      <c r="AE5767">
        <v>6.9222099999999998</v>
      </c>
      <c r="AF5767">
        <v>-3.08156437266685</v>
      </c>
      <c r="AG5767">
        <v>-1.122187491716</v>
      </c>
      <c r="AH5767">
        <v>7.5877528059636301</v>
      </c>
      <c r="AI5767">
        <v>97.802388384049905</v>
      </c>
      <c r="AJ5767">
        <v>112.103224595935</v>
      </c>
      <c r="AK5767">
        <v>8.2661560833232794</v>
      </c>
      <c r="AL5767">
        <v>90.291867407310093</v>
      </c>
      <c r="AM5767">
        <v>92.697778577978198</v>
      </c>
      <c r="AN5767">
        <v>0.99999995962406996</v>
      </c>
    </row>
    <row r="5768" spans="1:40" x14ac:dyDescent="0.25">
      <c r="A5768" t="str">
        <f>"20190312154717107"</f>
        <v>20190312154717107</v>
      </c>
      <c r="B5768" t="str">
        <f>"1552376837103915"</f>
        <v>1552376837103915</v>
      </c>
      <c r="C5768" t="s">
        <v>40</v>
      </c>
      <c r="D5768">
        <v>5.1067470000000004</v>
      </c>
      <c r="E5768">
        <v>0.37114439999999999</v>
      </c>
      <c r="F5768" t="s">
        <v>71</v>
      </c>
      <c r="G5768">
        <v>-196.21299999999999</v>
      </c>
      <c r="H5768" s="1">
        <v>-2.5424669999999999E-6</v>
      </c>
      <c r="I5768">
        <v>-49.913310000000003</v>
      </c>
      <c r="J5768">
        <v>-200.7988</v>
      </c>
      <c r="K5768">
        <v>1.122179</v>
      </c>
      <c r="L5768">
        <v>-56.847320000000003</v>
      </c>
      <c r="M5768">
        <v>0.8233087</v>
      </c>
      <c r="N5768">
        <v>0</v>
      </c>
      <c r="O5768">
        <v>0.56735639999999998</v>
      </c>
      <c r="P5768">
        <v>0.79547199999999996</v>
      </c>
      <c r="Q5768">
        <v>-1.9885050000000001E-2</v>
      </c>
      <c r="R5768">
        <v>0.60566409999999904</v>
      </c>
      <c r="S5768">
        <v>1.76748699999999</v>
      </c>
      <c r="T5768">
        <v>-0.42032059999999999</v>
      </c>
      <c r="U5768">
        <v>2.634827</v>
      </c>
      <c r="V5768">
        <v>-4.7208600000000003E-2</v>
      </c>
      <c r="W5768">
        <v>-4.9438199999999998E-3</v>
      </c>
      <c r="X5768">
        <v>0.99887280000000001</v>
      </c>
      <c r="Y5768">
        <v>-0.36871429999999999</v>
      </c>
      <c r="Z5768">
        <v>-5.4010700000000002E-2</v>
      </c>
      <c r="AA5768">
        <v>0.92797229999999997</v>
      </c>
      <c r="AB5768">
        <v>29</v>
      </c>
      <c r="AC5768">
        <v>4.5857999999999999</v>
      </c>
      <c r="AD5768">
        <v>-1.1221815424670001</v>
      </c>
      <c r="AE5768">
        <v>6.9340099999999998</v>
      </c>
      <c r="AF5768">
        <v>-3.0518570149056998</v>
      </c>
      <c r="AG5768">
        <v>-1.1221815424670001</v>
      </c>
      <c r="AH5768">
        <v>7.5726379645180204</v>
      </c>
      <c r="AI5768">
        <v>97.826087460846907</v>
      </c>
      <c r="AJ5768">
        <v>111.94998097193201</v>
      </c>
      <c r="AK5768">
        <v>8.2412358536412693</v>
      </c>
      <c r="AL5768">
        <v>90.283261179681503</v>
      </c>
      <c r="AM5768">
        <v>92.705892383425606</v>
      </c>
      <c r="AN5768">
        <v>0.99999998192499595</v>
      </c>
    </row>
    <row r="5769" spans="1:40" x14ac:dyDescent="0.25">
      <c r="A5769" t="str">
        <f>"20190312154717120"</f>
        <v>20190312154717120</v>
      </c>
      <c r="B5769" t="str">
        <f>"1552376837113675"</f>
        <v>1552376837113675</v>
      </c>
      <c r="C5769" t="s">
        <v>40</v>
      </c>
      <c r="D5769">
        <v>5.1707650000000003</v>
      </c>
      <c r="E5769">
        <v>0.37114439999999999</v>
      </c>
      <c r="F5769" t="s">
        <v>71</v>
      </c>
      <c r="G5769">
        <v>-196.15209999999999</v>
      </c>
      <c r="H5769" s="1">
        <v>-2.5745909999999998E-6</v>
      </c>
      <c r="I5769">
        <v>-49.836179999999999</v>
      </c>
      <c r="J5769">
        <v>-200.6661</v>
      </c>
      <c r="K5769">
        <v>1.1221760000000001</v>
      </c>
      <c r="L5769">
        <v>-56.744840000000003</v>
      </c>
      <c r="M5769">
        <v>0.81774080000000005</v>
      </c>
      <c r="N5769">
        <v>0</v>
      </c>
      <c r="O5769">
        <v>0.57535230000000004</v>
      </c>
      <c r="P5769">
        <v>0.78951190000000004</v>
      </c>
      <c r="Q5769">
        <v>-2.0282209999999998E-2</v>
      </c>
      <c r="R5769">
        <v>0.61339999999999995</v>
      </c>
      <c r="S5769">
        <v>1.7501529999999901</v>
      </c>
      <c r="T5769">
        <v>-0.42266520000000002</v>
      </c>
      <c r="U5769">
        <v>2.640717</v>
      </c>
      <c r="V5769">
        <v>-4.7218990000000002E-2</v>
      </c>
      <c r="W5769">
        <v>-5.3365219999999998E-3</v>
      </c>
      <c r="X5769">
        <v>0.99887029999999999</v>
      </c>
      <c r="Y5769">
        <v>-0.3649133</v>
      </c>
      <c r="Z5769">
        <v>-5.5816919999999999E-2</v>
      </c>
      <c r="AA5769">
        <v>0.92936680000000005</v>
      </c>
      <c r="AB5769">
        <v>29</v>
      </c>
      <c r="AC5769">
        <v>4.5140000000000002</v>
      </c>
      <c r="AD5769">
        <v>-1.122178574591</v>
      </c>
      <c r="AE5769">
        <v>6.9086600000000002</v>
      </c>
      <c r="AF5769">
        <v>-2.9973433192913599</v>
      </c>
      <c r="AG5769">
        <v>-1.122178574591</v>
      </c>
      <c r="AH5769">
        <v>7.5280350922858501</v>
      </c>
      <c r="AI5769">
        <v>97.884889947322506</v>
      </c>
      <c r="AJ5769">
        <v>111.710343206874</v>
      </c>
      <c r="AK5769">
        <v>8.1801383898843003</v>
      </c>
      <c r="AL5769">
        <v>90.305761641040405</v>
      </c>
      <c r="AM5769">
        <v>92.706493793610704</v>
      </c>
      <c r="AN5769">
        <v>0.99999999385288296</v>
      </c>
    </row>
    <row r="5770" spans="1:40" x14ac:dyDescent="0.25">
      <c r="A5770" t="str">
        <f>"20190312154717136"</f>
        <v>20190312154717136</v>
      </c>
      <c r="B5770" t="str">
        <f>"1552376837134170"</f>
        <v>1552376837134170</v>
      </c>
      <c r="C5770" t="s">
        <v>40</v>
      </c>
      <c r="D5770">
        <v>5.0793330000000001</v>
      </c>
      <c r="E5770">
        <v>0.3919803</v>
      </c>
      <c r="F5770" t="s">
        <v>71</v>
      </c>
      <c r="G5770">
        <v>-196.0984</v>
      </c>
      <c r="H5770" s="1">
        <v>-2.6402160000000002E-6</v>
      </c>
      <c r="I5770">
        <v>-49.70514</v>
      </c>
      <c r="J5770">
        <v>-200.5145</v>
      </c>
      <c r="K5770">
        <v>1.1221620000000001</v>
      </c>
      <c r="L5770">
        <v>-56.624789999999997</v>
      </c>
      <c r="M5770">
        <v>0.81121560000000004</v>
      </c>
      <c r="N5770">
        <v>0</v>
      </c>
      <c r="O5770">
        <v>0.58451629999999999</v>
      </c>
      <c r="P5770">
        <v>0.78281299999999998</v>
      </c>
      <c r="Q5770">
        <v>-2.1453E-2</v>
      </c>
      <c r="R5770">
        <v>0.62188710000000003</v>
      </c>
      <c r="S5770">
        <v>1.7242740000000001</v>
      </c>
      <c r="T5770">
        <v>-0.42361500000000002</v>
      </c>
      <c r="U5770">
        <v>2.6574399999999998</v>
      </c>
      <c r="V5770">
        <v>-4.6746169999999997E-2</v>
      </c>
      <c r="W5770">
        <v>-6.4883179999999999E-3</v>
      </c>
      <c r="X5770">
        <v>0.99888580000000005</v>
      </c>
      <c r="Y5770">
        <v>-0.36354209999999998</v>
      </c>
      <c r="Z5770">
        <v>-5.7405650000000003E-2</v>
      </c>
      <c r="AA5770">
        <v>0.92980739999999995</v>
      </c>
      <c r="AB5770">
        <v>29</v>
      </c>
      <c r="AC5770">
        <v>4.4161000000000001</v>
      </c>
      <c r="AD5770">
        <v>-1.1221646402159999</v>
      </c>
      <c r="AE5770">
        <v>6.9196499999999999</v>
      </c>
      <c r="AF5770">
        <v>-2.9768244352546098</v>
      </c>
      <c r="AG5770">
        <v>-1.1221646402159999</v>
      </c>
      <c r="AH5770">
        <v>7.48814957145321</v>
      </c>
      <c r="AI5770">
        <v>97.927924172345996</v>
      </c>
      <c r="AJ5770">
        <v>111.679703837434</v>
      </c>
      <c r="AK5770">
        <v>8.1359155110248604</v>
      </c>
      <c r="AL5770">
        <v>90.3717558191601</v>
      </c>
      <c r="AM5770">
        <v>92.6793909172832</v>
      </c>
      <c r="AN5770">
        <v>1.0000000720608799</v>
      </c>
    </row>
    <row r="5771" spans="1:40" x14ac:dyDescent="0.25">
      <c r="A5771" t="str">
        <f>"20190312154717148"</f>
        <v>20190312154717148</v>
      </c>
      <c r="B5771" t="str">
        <f>"1552376837143930"</f>
        <v>1552376837143930</v>
      </c>
      <c r="C5771" t="s">
        <v>40</v>
      </c>
      <c r="D5771">
        <v>5.0508030000000002</v>
      </c>
      <c r="E5771">
        <v>0.3919803</v>
      </c>
      <c r="F5771" t="s">
        <v>71</v>
      </c>
      <c r="G5771">
        <v>-196.0427</v>
      </c>
      <c r="H5771" s="1">
        <v>-2.281988E-6</v>
      </c>
      <c r="I5771">
        <v>-50.289409999999997</v>
      </c>
      <c r="J5771">
        <v>-200.3895</v>
      </c>
      <c r="K5771">
        <v>1.12215</v>
      </c>
      <c r="L5771">
        <v>-56.524019999999901</v>
      </c>
      <c r="M5771">
        <v>0.8057204</v>
      </c>
      <c r="N5771">
        <v>0</v>
      </c>
      <c r="O5771">
        <v>0.59206809999999999</v>
      </c>
      <c r="P5771">
        <v>0.77694890000000005</v>
      </c>
      <c r="Q5771">
        <v>-2.1904690000000001E-2</v>
      </c>
      <c r="R5771">
        <v>0.62918249999999998</v>
      </c>
      <c r="S5771">
        <v>1.79722599999999</v>
      </c>
      <c r="T5771">
        <v>-0.45100620000000002</v>
      </c>
      <c r="U5771">
        <v>2.5462340000000001</v>
      </c>
      <c r="V5771">
        <v>-4.6753179999999998E-2</v>
      </c>
      <c r="W5771">
        <v>-6.9370059999999999E-3</v>
      </c>
      <c r="X5771">
        <v>0.99888239999999995</v>
      </c>
      <c r="Y5771">
        <v>-0.31866529999999998</v>
      </c>
      <c r="Z5771">
        <v>-6.6136840000000002E-2</v>
      </c>
      <c r="AA5771">
        <v>0.94555719999999999</v>
      </c>
      <c r="AB5771">
        <v>29</v>
      </c>
      <c r="AC5771">
        <v>4.3468</v>
      </c>
      <c r="AD5771">
        <v>-1.1221522819880001</v>
      </c>
      <c r="AE5771">
        <v>6.2346099999999902</v>
      </c>
      <c r="AF5771">
        <v>-2.3978114977610199</v>
      </c>
      <c r="AG5771">
        <v>-1.1221522819880001</v>
      </c>
      <c r="AH5771">
        <v>7.0411008094265304</v>
      </c>
      <c r="AI5771">
        <v>98.579157839077396</v>
      </c>
      <c r="AJ5771">
        <v>108.806017776597</v>
      </c>
      <c r="AK5771">
        <v>7.5223551053691198</v>
      </c>
      <c r="AL5771">
        <v>90.397464347955093</v>
      </c>
      <c r="AM5771">
        <v>92.679801238078298</v>
      </c>
      <c r="AN5771">
        <v>1.00000001546105</v>
      </c>
    </row>
    <row r="5772" spans="1:40" x14ac:dyDescent="0.25">
      <c r="A5772" t="str">
        <f>"20190312154717159"</f>
        <v>20190312154717159</v>
      </c>
      <c r="B5772" t="str">
        <f>"1552376837153691"</f>
        <v>1552376837153691</v>
      </c>
      <c r="C5772" t="s">
        <v>40</v>
      </c>
      <c r="D5772">
        <v>5.1177720000000004</v>
      </c>
      <c r="E5772">
        <v>0.3935147</v>
      </c>
      <c r="F5772" t="s">
        <v>71</v>
      </c>
      <c r="G5772">
        <v>-195.9896</v>
      </c>
      <c r="H5772" s="1">
        <v>-2.344193E-6</v>
      </c>
      <c r="I5772">
        <v>-50.164380000000001</v>
      </c>
      <c r="J5772">
        <v>-200.27850000000001</v>
      </c>
      <c r="K5772">
        <v>1.1221410000000001</v>
      </c>
      <c r="L5772">
        <v>-56.432980000000001</v>
      </c>
      <c r="M5772">
        <v>0.8007455</v>
      </c>
      <c r="N5772">
        <v>0</v>
      </c>
      <c r="O5772">
        <v>0.59877930000000001</v>
      </c>
      <c r="P5772">
        <v>0.77172169999999995</v>
      </c>
      <c r="Q5772">
        <v>-2.202337E-2</v>
      </c>
      <c r="R5772">
        <v>0.63557900000000001</v>
      </c>
      <c r="S5772">
        <v>1.7730709999999901</v>
      </c>
      <c r="T5772">
        <v>-0.4522099</v>
      </c>
      <c r="U5772">
        <v>2.5628359999999999</v>
      </c>
      <c r="V5772">
        <v>-4.6657410000000003E-2</v>
      </c>
      <c r="W5772">
        <v>-7.0499650000000001E-3</v>
      </c>
      <c r="X5772">
        <v>0.99888600000000005</v>
      </c>
      <c r="Y5772">
        <v>-0.31968639999999998</v>
      </c>
      <c r="Z5772">
        <v>-6.7332890000000006E-2</v>
      </c>
      <c r="AA5772">
        <v>0.94512799999999997</v>
      </c>
      <c r="AB5772">
        <v>29</v>
      </c>
      <c r="AC5772">
        <v>4.2889000000000097</v>
      </c>
      <c r="AD5772">
        <v>-1.122143344193</v>
      </c>
      <c r="AE5772">
        <v>6.2686000000000002</v>
      </c>
      <c r="AF5772">
        <v>-2.39940759386853</v>
      </c>
      <c r="AG5772">
        <v>-1.122143344193</v>
      </c>
      <c r="AH5772">
        <v>7.0352369948804201</v>
      </c>
      <c r="AI5772">
        <v>98.584815732672595</v>
      </c>
      <c r="AJ5772">
        <v>108.832234546294</v>
      </c>
      <c r="AK5772">
        <v>7.5173746787402296</v>
      </c>
      <c r="AL5772">
        <v>90.403936615238507</v>
      </c>
      <c r="AM5772">
        <v>92.674310241360004</v>
      </c>
      <c r="AN5772">
        <v>0.99999992845520203</v>
      </c>
    </row>
    <row r="5773" spans="1:40" x14ac:dyDescent="0.25">
      <c r="A5773" t="str">
        <f>"20190312154717171"</f>
        <v>20190312154717171</v>
      </c>
      <c r="B5773" t="str">
        <f>"1552376837163452"</f>
        <v>1552376837163452</v>
      </c>
      <c r="C5773" t="s">
        <v>40</v>
      </c>
      <c r="D5773">
        <v>5.1174350000000004</v>
      </c>
      <c r="E5773">
        <v>0.39475440000000001</v>
      </c>
      <c r="F5773" t="s">
        <v>71</v>
      </c>
      <c r="G5773">
        <v>-195.97829999999999</v>
      </c>
      <c r="H5773" s="1">
        <v>-2.345738E-6</v>
      </c>
      <c r="I5773">
        <v>-50.157519999999998</v>
      </c>
      <c r="J5773">
        <v>-200.17779999999999</v>
      </c>
      <c r="K5773">
        <v>1.122131</v>
      </c>
      <c r="L5773">
        <v>-56.348660000000002</v>
      </c>
      <c r="M5773">
        <v>0.79614259999999903</v>
      </c>
      <c r="N5773">
        <v>0</v>
      </c>
      <c r="O5773">
        <v>0.60488580000000003</v>
      </c>
      <c r="P5773">
        <v>0.76700140000000006</v>
      </c>
      <c r="Q5773">
        <v>-2.221573E-2</v>
      </c>
      <c r="R5773">
        <v>0.64126070000000002</v>
      </c>
      <c r="S5773">
        <v>1.7595369999999999</v>
      </c>
      <c r="T5773">
        <v>-0.45915630000000002</v>
      </c>
      <c r="U5773">
        <v>2.56778</v>
      </c>
      <c r="V5773">
        <v>-4.639252E-2</v>
      </c>
      <c r="W5773">
        <v>-7.2319159999999997E-3</v>
      </c>
      <c r="X5773">
        <v>0.99889709999999998</v>
      </c>
      <c r="Y5773">
        <v>-0.31679239999999997</v>
      </c>
      <c r="Z5773">
        <v>-6.9614280000000001E-2</v>
      </c>
      <c r="AA5773">
        <v>0.94593680000000002</v>
      </c>
      <c r="AB5773">
        <v>29</v>
      </c>
      <c r="AC5773">
        <v>4.1994999999999996</v>
      </c>
      <c r="AD5773">
        <v>-1.1221333457380001</v>
      </c>
      <c r="AE5773">
        <v>6.1911399999999901</v>
      </c>
      <c r="AF5773">
        <v>-2.33656456106264</v>
      </c>
      <c r="AG5773">
        <v>-1.1221333457380001</v>
      </c>
      <c r="AH5773">
        <v>6.9332983382885001</v>
      </c>
      <c r="AI5773">
        <v>98.719604050078402</v>
      </c>
      <c r="AJ5773">
        <v>108.624135717104</v>
      </c>
      <c r="AK5773">
        <v>7.4019823724016698</v>
      </c>
      <c r="AL5773">
        <v>90.414361880083902</v>
      </c>
      <c r="AM5773">
        <v>92.659119620127996</v>
      </c>
      <c r="AN5773">
        <v>0.99999999145469498</v>
      </c>
    </row>
    <row r="5774" spans="1:40" x14ac:dyDescent="0.25">
      <c r="A5774" t="str">
        <f>"20190312154717181"</f>
        <v>20190312154717181</v>
      </c>
      <c r="B5774" t="str">
        <f>"1552376837174187"</f>
        <v>1552376837174187</v>
      </c>
      <c r="C5774" t="s">
        <v>40</v>
      </c>
      <c r="D5774">
        <v>5.1078460000000003</v>
      </c>
      <c r="E5774">
        <v>0.39417350000000001</v>
      </c>
      <c r="F5774" t="s">
        <v>71</v>
      </c>
      <c r="G5774">
        <v>-195.93260000000001</v>
      </c>
      <c r="H5774" s="1">
        <v>-2.3726240000000002E-6</v>
      </c>
      <c r="I5774">
        <v>-50.094920000000002</v>
      </c>
      <c r="J5774">
        <v>-200.06639999999999</v>
      </c>
      <c r="K5774">
        <v>1.1221179999999999</v>
      </c>
      <c r="L5774">
        <v>-56.254429999999999</v>
      </c>
      <c r="M5774">
        <v>0.79097220000000001</v>
      </c>
      <c r="N5774">
        <v>0</v>
      </c>
      <c r="O5774">
        <v>0.61163140000000005</v>
      </c>
      <c r="P5774">
        <v>0.76146630000000004</v>
      </c>
      <c r="Q5774">
        <v>-2.1970880000000002E-2</v>
      </c>
      <c r="R5774">
        <v>0.64783219999999997</v>
      </c>
      <c r="S5774">
        <v>1.7466889999999999</v>
      </c>
      <c r="T5774">
        <v>-0.46169959999999999</v>
      </c>
      <c r="U5774">
        <v>2.5730900000000001</v>
      </c>
      <c r="V5774">
        <v>-4.6494059999999997E-2</v>
      </c>
      <c r="W5774">
        <v>-6.9877359999999996E-3</v>
      </c>
      <c r="X5774">
        <v>0.99889419999999995</v>
      </c>
      <c r="Y5774">
        <v>-0.31296030000000002</v>
      </c>
      <c r="Z5774">
        <v>-7.1412920000000005E-2</v>
      </c>
      <c r="AA5774">
        <v>0.94707759999999996</v>
      </c>
      <c r="AB5774">
        <v>29</v>
      </c>
      <c r="AC5774">
        <v>4.1337999999999804</v>
      </c>
      <c r="AD5774">
        <v>-1.1221203726240001</v>
      </c>
      <c r="AE5774">
        <v>6.15951</v>
      </c>
      <c r="AF5774">
        <v>-2.2915209084098098</v>
      </c>
      <c r="AG5774">
        <v>-1.1221203726240001</v>
      </c>
      <c r="AH5774">
        <v>6.8805786216588096</v>
      </c>
      <c r="AI5774">
        <v>98.795608967137795</v>
      </c>
      <c r="AJ5774">
        <v>108.419918883175</v>
      </c>
      <c r="AK5774">
        <v>7.3384320105295897</v>
      </c>
      <c r="AL5774">
        <v>90.400371009645795</v>
      </c>
      <c r="AM5774">
        <v>92.664939019472399</v>
      </c>
      <c r="AN5774">
        <v>1.0000000744316599</v>
      </c>
    </row>
    <row r="5775" spans="1:40" x14ac:dyDescent="0.25">
      <c r="A5775" t="str">
        <f>"20190312154717193"</f>
        <v>20190312154717193</v>
      </c>
      <c r="B5775" t="str">
        <f>"1552376837183947"</f>
        <v>1552376837183947</v>
      </c>
      <c r="C5775" t="s">
        <v>40</v>
      </c>
      <c r="D5775">
        <v>5.118525</v>
      </c>
      <c r="E5775">
        <v>0.39432450000000002</v>
      </c>
      <c r="F5775" t="s">
        <v>71</v>
      </c>
      <c r="G5775">
        <v>-195.7807</v>
      </c>
      <c r="H5775" s="1">
        <v>-2.5108679999999999E-6</v>
      </c>
      <c r="I5775">
        <v>-49.804319999999997</v>
      </c>
      <c r="J5775">
        <v>-199.96180000000001</v>
      </c>
      <c r="K5775">
        <v>1.122106</v>
      </c>
      <c r="L5775">
        <v>-56.163569999999901</v>
      </c>
      <c r="M5775">
        <v>0.78600789999999998</v>
      </c>
      <c r="N5775">
        <v>0</v>
      </c>
      <c r="O5775">
        <v>0.61799789999999999</v>
      </c>
      <c r="P5775">
        <v>0.75620030000000005</v>
      </c>
      <c r="Q5775">
        <v>-2.2097479999999999E-2</v>
      </c>
      <c r="R5775">
        <v>0.65396699999999996</v>
      </c>
      <c r="S5775">
        <v>1.721924</v>
      </c>
      <c r="T5775">
        <v>-0.45085609999999998</v>
      </c>
      <c r="U5775">
        <v>2.591583</v>
      </c>
      <c r="V5775">
        <v>-4.6502580000000002E-2</v>
      </c>
      <c r="W5775">
        <v>-7.1130589999999997E-3</v>
      </c>
      <c r="X5775">
        <v>0.99889280000000003</v>
      </c>
      <c r="Y5775">
        <v>-0.31462800000000002</v>
      </c>
      <c r="Z5775">
        <v>-7.0651679999999994E-2</v>
      </c>
      <c r="AA5775">
        <v>0.94658200000000003</v>
      </c>
      <c r="AB5775">
        <v>29</v>
      </c>
      <c r="AC5775">
        <v>4.1811000000000096</v>
      </c>
      <c r="AD5775">
        <v>-1.122108510868</v>
      </c>
      <c r="AE5775">
        <v>6.3592499999999799</v>
      </c>
      <c r="AF5775">
        <v>-2.3634580242680001</v>
      </c>
      <c r="AG5775">
        <v>-1.122108510868</v>
      </c>
      <c r="AH5775">
        <v>7.0637997113737097</v>
      </c>
      <c r="AI5775">
        <v>98.566892771329407</v>
      </c>
      <c r="AJ5775">
        <v>108.499589338335</v>
      </c>
      <c r="AK5775">
        <v>7.5327503413456203</v>
      </c>
      <c r="AL5775">
        <v>90.407551714943096</v>
      </c>
      <c r="AM5775">
        <v>92.665430393597603</v>
      </c>
      <c r="AN5775">
        <v>0.99999995572341605</v>
      </c>
    </row>
    <row r="5776" spans="1:40" x14ac:dyDescent="0.25">
      <c r="A5776" t="str">
        <f>"20190312154717205"</f>
        <v>20190312154717205</v>
      </c>
      <c r="B5776" t="str">
        <f>"1552376837193707"</f>
        <v>1552376837193707</v>
      </c>
      <c r="C5776" t="s">
        <v>40</v>
      </c>
      <c r="D5776">
        <v>5.128781</v>
      </c>
      <c r="E5776">
        <v>0.39434520000000001</v>
      </c>
      <c r="F5776" t="s">
        <v>71</v>
      </c>
      <c r="G5776">
        <v>-195.66669999999999</v>
      </c>
      <c r="H5776" s="1">
        <v>-2.6119930000000002E-6</v>
      </c>
      <c r="I5776">
        <v>-49.590620000000001</v>
      </c>
      <c r="J5776">
        <v>-199.85050000000001</v>
      </c>
      <c r="K5776">
        <v>1.122093</v>
      </c>
      <c r="L5776">
        <v>-56.066220000000001</v>
      </c>
      <c r="M5776">
        <v>0.7806535</v>
      </c>
      <c r="N5776">
        <v>0</v>
      </c>
      <c r="O5776">
        <v>0.62474790000000002</v>
      </c>
      <c r="P5776">
        <v>0.75061480000000003</v>
      </c>
      <c r="Q5776">
        <v>-2.1921679999999999E-2</v>
      </c>
      <c r="R5776">
        <v>0.66037630000000003</v>
      </c>
      <c r="S5776">
        <v>1.7018740000000001</v>
      </c>
      <c r="T5776">
        <v>-0.44461820000000002</v>
      </c>
      <c r="U5776">
        <v>2.6044309999999999</v>
      </c>
      <c r="V5776">
        <v>-4.6395949999999998E-2</v>
      </c>
      <c r="W5776">
        <v>-6.9319799999999999E-3</v>
      </c>
      <c r="X5776">
        <v>0.99889910000000004</v>
      </c>
      <c r="Y5776">
        <v>-0.31368950000000001</v>
      </c>
      <c r="Z5776">
        <v>-7.0828199999999994E-2</v>
      </c>
      <c r="AA5776">
        <v>0.94688030000000001</v>
      </c>
      <c r="AB5776">
        <v>29</v>
      </c>
      <c r="AC5776">
        <v>4.1838000000000104</v>
      </c>
      <c r="AD5776">
        <v>-1.1220956119929999</v>
      </c>
      <c r="AE5776">
        <v>6.4755999999999903</v>
      </c>
      <c r="AF5776">
        <v>-2.3910583167499402</v>
      </c>
      <c r="AG5776">
        <v>-1.1220956119929999</v>
      </c>
      <c r="AH5776">
        <v>7.1610080035744899</v>
      </c>
      <c r="AI5776">
        <v>98.4539178761963</v>
      </c>
      <c r="AJ5776">
        <v>108.464148463944</v>
      </c>
      <c r="AK5776">
        <v>7.6325810879289602</v>
      </c>
      <c r="AL5776">
        <v>90.397176368956096</v>
      </c>
      <c r="AM5776">
        <v>92.659310621294395</v>
      </c>
      <c r="AN5776">
        <v>1.00000002425196</v>
      </c>
    </row>
    <row r="5777" spans="1:40" x14ac:dyDescent="0.25">
      <c r="A5777" t="str">
        <f>"20190312154717216"</f>
        <v>20190312154717216</v>
      </c>
      <c r="B5777" t="str">
        <f>"1552376837214203"</f>
        <v>1552376837214203</v>
      </c>
      <c r="C5777" t="s">
        <v>40</v>
      </c>
      <c r="D5777">
        <v>5.166887</v>
      </c>
      <c r="E5777">
        <v>0.3950282</v>
      </c>
      <c r="F5777" t="s">
        <v>71</v>
      </c>
      <c r="G5777">
        <v>-195.53989999999999</v>
      </c>
      <c r="H5777" s="1">
        <v>-2.728354E-6</v>
      </c>
      <c r="I5777">
        <v>-49.346429999999998</v>
      </c>
      <c r="J5777">
        <v>-199.745</v>
      </c>
      <c r="K5777">
        <v>1.12208</v>
      </c>
      <c r="L5777">
        <v>-55.971589999999999</v>
      </c>
      <c r="M5777">
        <v>0.77546349999999997</v>
      </c>
      <c r="N5777">
        <v>0</v>
      </c>
      <c r="O5777">
        <v>0.63117840000000003</v>
      </c>
      <c r="P5777">
        <v>0.7452723</v>
      </c>
      <c r="Q5777">
        <v>-2.2411E-2</v>
      </c>
      <c r="R5777">
        <v>0.66638359999999996</v>
      </c>
      <c r="S5777">
        <v>1.679932</v>
      </c>
      <c r="T5777">
        <v>-0.43730780000000002</v>
      </c>
      <c r="U5777">
        <v>2.6188660000000001</v>
      </c>
      <c r="V5777">
        <v>-4.6157160000000003E-2</v>
      </c>
      <c r="W5777">
        <v>-7.4129249999999999E-3</v>
      </c>
      <c r="X5777">
        <v>0.99890670000000004</v>
      </c>
      <c r="Y5777">
        <v>-0.31381229999999999</v>
      </c>
      <c r="Z5777">
        <v>-7.0679610000000004E-2</v>
      </c>
      <c r="AA5777">
        <v>0.94685070000000005</v>
      </c>
      <c r="AB5777">
        <v>29</v>
      </c>
      <c r="AC5777">
        <v>4.2051000000000096</v>
      </c>
      <c r="AD5777">
        <v>-1.122082728354</v>
      </c>
      <c r="AE5777">
        <v>6.6251600000000002</v>
      </c>
      <c r="AF5777">
        <v>-2.4339683710225</v>
      </c>
      <c r="AG5777">
        <v>-1.122082728354</v>
      </c>
      <c r="AH5777">
        <v>7.2944123260528899</v>
      </c>
      <c r="AI5777">
        <v>98.301938782960306</v>
      </c>
      <c r="AJ5777">
        <v>108.45260319779599</v>
      </c>
      <c r="AK5777">
        <v>7.77121115804227</v>
      </c>
      <c r="AL5777">
        <v>90.424733199949401</v>
      </c>
      <c r="AM5777">
        <v>92.645623116698701</v>
      </c>
      <c r="AN5777">
        <v>1.0000000150906001</v>
      </c>
    </row>
    <row r="5778" spans="1:40" x14ac:dyDescent="0.25">
      <c r="A5778" t="str">
        <f>"20190312154717237"</f>
        <v>20190312154717237</v>
      </c>
      <c r="B5778" t="str">
        <f>"1552376837233722"</f>
        <v>1552376837233722</v>
      </c>
      <c r="C5778" t="s">
        <v>40</v>
      </c>
      <c r="D5778">
        <v>5.1502879999999998</v>
      </c>
      <c r="E5778">
        <v>0.39610089999999998</v>
      </c>
      <c r="F5778" t="s">
        <v>71</v>
      </c>
      <c r="G5778">
        <v>-195.43870000000001</v>
      </c>
      <c r="H5778" s="1">
        <v>-2.8142399999999999E-6</v>
      </c>
      <c r="I5778">
        <v>-49.1633</v>
      </c>
      <c r="J5778">
        <v>-199.55670000000001</v>
      </c>
      <c r="K5778">
        <v>1.12205</v>
      </c>
      <c r="L5778">
        <v>-55.799219999999998</v>
      </c>
      <c r="M5778">
        <v>0.76597769999999898</v>
      </c>
      <c r="N5778">
        <v>0</v>
      </c>
      <c r="O5778">
        <v>0.64265709999999998</v>
      </c>
      <c r="P5778">
        <v>0.73540000000000005</v>
      </c>
      <c r="Q5778">
        <v>-2.3010610000000001E-2</v>
      </c>
      <c r="R5778">
        <v>0.67724259999999903</v>
      </c>
      <c r="S5778">
        <v>1.66236899999999</v>
      </c>
      <c r="T5778">
        <v>-0.43315759999999998</v>
      </c>
      <c r="U5778">
        <v>2.6282040000000002</v>
      </c>
      <c r="V5778">
        <v>-4.592545E-2</v>
      </c>
      <c r="W5778">
        <v>-8.0038809999999991E-3</v>
      </c>
      <c r="X5778">
        <v>0.99891280000000005</v>
      </c>
      <c r="Y5778">
        <v>-0.30577399999999999</v>
      </c>
      <c r="Z5778">
        <v>-7.2305599999999998E-2</v>
      </c>
      <c r="AA5778">
        <v>0.94935460000000005</v>
      </c>
      <c r="AB5778">
        <v>29</v>
      </c>
      <c r="AC5778">
        <v>4.1179999999999897</v>
      </c>
      <c r="AD5778">
        <v>-1.1220528142399999</v>
      </c>
      <c r="AE5778">
        <v>6.6359199999999898</v>
      </c>
      <c r="AF5778">
        <v>-2.38755086534823</v>
      </c>
      <c r="AG5778">
        <v>-1.1220528142399999</v>
      </c>
      <c r="AH5778">
        <v>7.2698573560061899</v>
      </c>
      <c r="AI5778">
        <v>98.342260532001902</v>
      </c>
      <c r="AJ5778">
        <v>108.181102937315</v>
      </c>
      <c r="AK5778">
        <v>7.7337072371047402</v>
      </c>
      <c r="AL5778">
        <v>90.458593499572103</v>
      </c>
      <c r="AM5778">
        <v>92.632344704026707</v>
      </c>
      <c r="AN5778">
        <v>0.99999999553630203</v>
      </c>
    </row>
    <row r="5779" spans="1:40" x14ac:dyDescent="0.25">
      <c r="A5779" t="str">
        <f>"20190312154717250"</f>
        <v>20190312154717250</v>
      </c>
      <c r="B5779" t="str">
        <f>"1552376837243483"</f>
        <v>1552376837243483</v>
      </c>
      <c r="C5779" t="s">
        <v>40</v>
      </c>
      <c r="D5779">
        <v>5.1823940000000004</v>
      </c>
      <c r="E5779">
        <v>0.3967406</v>
      </c>
      <c r="F5779" t="s">
        <v>71</v>
      </c>
      <c r="G5779">
        <v>-195.29920000000001</v>
      </c>
      <c r="H5779" s="1">
        <v>-2.9492359999999998E-6</v>
      </c>
      <c r="I5779">
        <v>-48.882809999999999</v>
      </c>
      <c r="J5779">
        <v>-199.44399999999999</v>
      </c>
      <c r="K5779">
        <v>1.1220300000000001</v>
      </c>
      <c r="L5779">
        <v>-55.693539999999999</v>
      </c>
      <c r="M5779">
        <v>0.76015259999999996</v>
      </c>
      <c r="N5779">
        <v>0</v>
      </c>
      <c r="O5779">
        <v>0.64953680000000003</v>
      </c>
      <c r="P5779">
        <v>0.72931389999999996</v>
      </c>
      <c r="Q5779">
        <v>-2.3151229999999998E-2</v>
      </c>
      <c r="R5779">
        <v>0.68378749999999999</v>
      </c>
      <c r="S5779">
        <v>1.6289670000000001</v>
      </c>
      <c r="T5779">
        <v>-0.4293109</v>
      </c>
      <c r="U5779">
        <v>2.6463009999999998</v>
      </c>
      <c r="V5779">
        <v>-4.5845860000000002E-2</v>
      </c>
      <c r="W5779">
        <v>-8.1413130000000007E-3</v>
      </c>
      <c r="X5779">
        <v>0.99891540000000001</v>
      </c>
      <c r="Y5779">
        <v>-0.30876110000000001</v>
      </c>
      <c r="Z5779">
        <v>-7.2623389999999996E-2</v>
      </c>
      <c r="AA5779">
        <v>0.94836299999999996</v>
      </c>
      <c r="AB5779">
        <v>28</v>
      </c>
      <c r="AC5779">
        <v>4.1448</v>
      </c>
      <c r="AD5779">
        <v>-1.1220329492359999</v>
      </c>
      <c r="AE5779">
        <v>6.8107300000000004</v>
      </c>
      <c r="AF5779">
        <v>-2.43706176071418</v>
      </c>
      <c r="AG5779">
        <v>-1.1220329492359999</v>
      </c>
      <c r="AH5779">
        <v>7.4283982332095801</v>
      </c>
      <c r="AI5779">
        <v>98.167321874312805</v>
      </c>
      <c r="AJ5779">
        <v>108.163300598151</v>
      </c>
      <c r="AK5779">
        <v>7.89805851306875</v>
      </c>
      <c r="AL5779">
        <v>90.466468004310798</v>
      </c>
      <c r="AM5779">
        <v>92.627782352151598</v>
      </c>
      <c r="AN5779">
        <v>1.00000005010683</v>
      </c>
    </row>
    <row r="5780" spans="1:40" x14ac:dyDescent="0.25">
      <c r="A5780" t="str">
        <f>"20190312154717262"</f>
        <v>20190312154717262</v>
      </c>
      <c r="B5780" t="str">
        <f>"1552376837253243"</f>
        <v>1552376837253243</v>
      </c>
      <c r="C5780" t="s">
        <v>40</v>
      </c>
      <c r="D5780">
        <v>5.1712790000000002</v>
      </c>
      <c r="E5780">
        <v>0.39741900000000002</v>
      </c>
      <c r="F5780" t="s">
        <v>71</v>
      </c>
      <c r="G5780">
        <v>-195.22579999999999</v>
      </c>
      <c r="H5780" s="1">
        <v>-3.0248779999999999E-6</v>
      </c>
      <c r="I5780">
        <v>-48.727469999999997</v>
      </c>
      <c r="J5780">
        <v>-199.32900000000001</v>
      </c>
      <c r="K5780">
        <v>1.1220139999999901</v>
      </c>
      <c r="L5780">
        <v>-55.584229999999998</v>
      </c>
      <c r="M5780">
        <v>0.75410669999999902</v>
      </c>
      <c r="N5780">
        <v>0</v>
      </c>
      <c r="O5780">
        <v>0.65654639999999997</v>
      </c>
      <c r="P5780">
        <v>0.72298839999999998</v>
      </c>
      <c r="Q5780">
        <v>-2.326601E-2</v>
      </c>
      <c r="R5780">
        <v>0.69046839999999998</v>
      </c>
      <c r="S5780">
        <v>1.6088260000000001</v>
      </c>
      <c r="T5780">
        <v>-0.42795319999999998</v>
      </c>
      <c r="U5780">
        <v>2.6569210000000001</v>
      </c>
      <c r="V5780">
        <v>-4.5787229999999998E-2</v>
      </c>
      <c r="W5780">
        <v>-8.2536280000000007E-3</v>
      </c>
      <c r="X5780">
        <v>0.9989171</v>
      </c>
      <c r="Y5780">
        <v>-0.30692999999999998</v>
      </c>
      <c r="Z5780">
        <v>-7.3618299999999998E-2</v>
      </c>
      <c r="AA5780">
        <v>0.94888059999999996</v>
      </c>
      <c r="AB5780">
        <v>28</v>
      </c>
      <c r="AC5780">
        <v>4.10320000000001</v>
      </c>
      <c r="AD5780">
        <v>-1.1220170248779999</v>
      </c>
      <c r="AE5780">
        <v>6.8567600000000004</v>
      </c>
      <c r="AF5780">
        <v>-2.4292261085972799</v>
      </c>
      <c r="AG5780">
        <v>-1.1220170248779999</v>
      </c>
      <c r="AH5780">
        <v>7.4501663059820302</v>
      </c>
      <c r="AI5780">
        <v>98.1484385127293</v>
      </c>
      <c r="AJ5780">
        <v>108.059248848679</v>
      </c>
      <c r="AK5780">
        <v>7.9161252944604596</v>
      </c>
      <c r="AL5780">
        <v>90.472903427554797</v>
      </c>
      <c r="AM5780">
        <v>92.624422052817394</v>
      </c>
      <c r="AN5780">
        <v>0.999999982739322</v>
      </c>
    </row>
    <row r="5781" spans="1:40" x14ac:dyDescent="0.25">
      <c r="A5781" t="str">
        <f>"20190312154717282"</f>
        <v>20190312154717282</v>
      </c>
      <c r="B5781" t="str">
        <f>"1552376837273740"</f>
        <v>1552376837273740</v>
      </c>
      <c r="C5781" t="s">
        <v>40</v>
      </c>
      <c r="D5781">
        <v>5.1472740000000003</v>
      </c>
      <c r="E5781">
        <v>0.39808789999999999</v>
      </c>
      <c r="F5781" t="s">
        <v>71</v>
      </c>
      <c r="G5781">
        <v>-195.16489999999999</v>
      </c>
      <c r="H5781" s="1">
        <v>-3.0925999999999998E-6</v>
      </c>
      <c r="I5781">
        <v>-48.590150000000001</v>
      </c>
      <c r="J5781">
        <v>-199.1559</v>
      </c>
      <c r="K5781">
        <v>1.121991</v>
      </c>
      <c r="L5781">
        <v>-55.414830000000002</v>
      </c>
      <c r="M5781">
        <v>0.74474390000000001</v>
      </c>
      <c r="N5781">
        <v>0</v>
      </c>
      <c r="O5781">
        <v>0.66714799999999996</v>
      </c>
      <c r="P5781">
        <v>0.71372349999999996</v>
      </c>
      <c r="Q5781">
        <v>-2.2940769999999999E-2</v>
      </c>
      <c r="R5781">
        <v>0.7000518</v>
      </c>
      <c r="S5781">
        <v>1.5881809999999901</v>
      </c>
      <c r="T5781">
        <v>-0.42792760000000002</v>
      </c>
      <c r="U5781">
        <v>2.6674799999999999</v>
      </c>
      <c r="V5781">
        <v>-4.4986650000000003E-2</v>
      </c>
      <c r="W5781">
        <v>-7.9026080000000002E-3</v>
      </c>
      <c r="X5781">
        <v>0.99895630000000002</v>
      </c>
      <c r="Y5781">
        <v>-0.30061979999999999</v>
      </c>
      <c r="Z5781">
        <v>-7.5644249999999996E-2</v>
      </c>
      <c r="AA5781">
        <v>0.95073960000000002</v>
      </c>
      <c r="AB5781">
        <v>28</v>
      </c>
      <c r="AC5781">
        <v>3.9910000000000099</v>
      </c>
      <c r="AD5781">
        <v>-1.1219940926</v>
      </c>
      <c r="AE5781">
        <v>6.8246799999999999</v>
      </c>
      <c r="AF5781">
        <v>-2.37259270474022</v>
      </c>
      <c r="AG5781">
        <v>-1.1219940926</v>
      </c>
      <c r="AH5781">
        <v>7.3777687053495304</v>
      </c>
      <c r="AI5781">
        <v>98.237796667075301</v>
      </c>
      <c r="AJ5781">
        <v>107.827103143279</v>
      </c>
      <c r="AK5781">
        <v>7.8306792780735703</v>
      </c>
      <c r="AL5781">
        <v>90.452790812283695</v>
      </c>
      <c r="AM5781">
        <v>92.578496026782005</v>
      </c>
      <c r="AN5781">
        <v>0.99999996960055604</v>
      </c>
    </row>
    <row r="5782" spans="1:40" x14ac:dyDescent="0.25">
      <c r="A5782" t="str">
        <f>"20190312154717295"</f>
        <v>20190312154717295</v>
      </c>
      <c r="B5782" t="str">
        <f>"1552376837283499"</f>
        <v>1552376837283499</v>
      </c>
      <c r="C5782" t="s">
        <v>40</v>
      </c>
      <c r="D5782">
        <v>5.1762839999999999</v>
      </c>
      <c r="E5782">
        <v>0.39875430000000001</v>
      </c>
      <c r="F5782" t="s">
        <v>71</v>
      </c>
      <c r="G5782">
        <v>-195.05099999999999</v>
      </c>
      <c r="H5782" s="1">
        <v>-3.2198129999999998E-6</v>
      </c>
      <c r="I5782">
        <v>-48.332459999999998</v>
      </c>
      <c r="J5782">
        <v>-199.04150000000001</v>
      </c>
      <c r="K5782">
        <v>1.121974</v>
      </c>
      <c r="L5782">
        <v>-55.299799999999998</v>
      </c>
      <c r="M5782">
        <v>0.7383866</v>
      </c>
      <c r="N5782">
        <v>0</v>
      </c>
      <c r="O5782">
        <v>0.67417749999999999</v>
      </c>
      <c r="P5782">
        <v>0.70749830000000002</v>
      </c>
      <c r="Q5782">
        <v>-2.2860559999999999E-2</v>
      </c>
      <c r="R5782">
        <v>0.70634529999999995</v>
      </c>
      <c r="S5782">
        <v>1.556152</v>
      </c>
      <c r="T5782">
        <v>-0.42534519999999998</v>
      </c>
      <c r="U5782">
        <v>2.6849059999999998</v>
      </c>
      <c r="V5782">
        <v>-4.436648E-2</v>
      </c>
      <c r="W5782">
        <v>-7.8030599999999997E-3</v>
      </c>
      <c r="X5782">
        <v>0.99898489999999995</v>
      </c>
      <c r="Y5782">
        <v>-0.30274630000000002</v>
      </c>
      <c r="Z5782">
        <v>-7.6194390000000001E-2</v>
      </c>
      <c r="AA5782">
        <v>0.95002059999999999</v>
      </c>
      <c r="AB5782">
        <v>28</v>
      </c>
      <c r="AC5782">
        <v>3.9905000000000199</v>
      </c>
      <c r="AD5782">
        <v>-1.121977219813</v>
      </c>
      <c r="AE5782">
        <v>6.9673399999999903</v>
      </c>
      <c r="AF5782">
        <v>-2.4076043953845199</v>
      </c>
      <c r="AG5782">
        <v>-1.121977219813</v>
      </c>
      <c r="AH5782">
        <v>7.4983704855705504</v>
      </c>
      <c r="AI5782">
        <v>98.108129488231199</v>
      </c>
      <c r="AJ5782">
        <v>107.800976768257</v>
      </c>
      <c r="AK5782">
        <v>7.9549325418465804</v>
      </c>
      <c r="AL5782">
        <v>90.447086919421807</v>
      </c>
      <c r="AM5782">
        <v>92.542924076087203</v>
      </c>
      <c r="AN5782">
        <v>1.0000000513604801</v>
      </c>
    </row>
    <row r="5783" spans="1:40" x14ac:dyDescent="0.25">
      <c r="A5783" t="str">
        <f>"20190312154717316"</f>
        <v>20190312154717316</v>
      </c>
      <c r="B5783" t="str">
        <f>"1552376837313755"</f>
        <v>1552376837313755</v>
      </c>
      <c r="C5783" t="s">
        <v>40</v>
      </c>
      <c r="D5783">
        <v>5.0891320000000002</v>
      </c>
      <c r="E5783">
        <v>0.3996593</v>
      </c>
      <c r="F5783" t="s">
        <v>71</v>
      </c>
      <c r="G5783">
        <v>-194.88829999999999</v>
      </c>
      <c r="H5783" s="1">
        <v>-3.3709120000000001E-6</v>
      </c>
      <c r="I5783">
        <v>-48.016069999999999</v>
      </c>
      <c r="J5783">
        <v>-198.85570000000001</v>
      </c>
      <c r="K5783">
        <v>1.12195</v>
      </c>
      <c r="L5783">
        <v>-55.108980000000003</v>
      </c>
      <c r="M5783">
        <v>0.72780359999999999</v>
      </c>
      <c r="N5783">
        <v>0</v>
      </c>
      <c r="O5783">
        <v>0.685589</v>
      </c>
      <c r="P5783">
        <v>0.69723570000000001</v>
      </c>
      <c r="Q5783">
        <v>-2.2739309999999999E-2</v>
      </c>
      <c r="R5783">
        <v>0.71648109999999998</v>
      </c>
      <c r="S5783">
        <v>1.536545</v>
      </c>
      <c r="T5783">
        <v>-0.41509819999999997</v>
      </c>
      <c r="U5783">
        <v>2.694763</v>
      </c>
      <c r="V5783">
        <v>-4.3234689999999999E-2</v>
      </c>
      <c r="W5783">
        <v>-7.6468409999999997E-3</v>
      </c>
      <c r="X5783">
        <v>0.99903569999999997</v>
      </c>
      <c r="Y5783">
        <v>-0.29461300000000001</v>
      </c>
      <c r="Z5783">
        <v>-7.6563839999999994E-2</v>
      </c>
      <c r="AA5783">
        <v>0.95254459999999996</v>
      </c>
      <c r="AB5783">
        <v>28</v>
      </c>
      <c r="AC5783">
        <v>3.96740000000002</v>
      </c>
      <c r="AD5783">
        <v>-1.121953370912</v>
      </c>
      <c r="AE5783">
        <v>7.0929099999999998</v>
      </c>
      <c r="AF5783">
        <v>-2.3968888620767999</v>
      </c>
      <c r="AG5783">
        <v>-1.121953370912</v>
      </c>
      <c r="AH5783">
        <v>7.6063909723490202</v>
      </c>
      <c r="AI5783">
        <v>98.007931370139602</v>
      </c>
      <c r="AJ5783">
        <v>107.490428014457</v>
      </c>
      <c r="AK5783">
        <v>8.0536351548776608</v>
      </c>
      <c r="AL5783">
        <v>90.438135976614305</v>
      </c>
      <c r="AM5783">
        <v>92.478010094253605</v>
      </c>
      <c r="AN5783">
        <v>1.00000002123558</v>
      </c>
    </row>
    <row r="5784" spans="1:40" x14ac:dyDescent="0.25">
      <c r="A5784" t="str">
        <f>"20190312154717339"</f>
        <v>20190312154717339</v>
      </c>
      <c r="B5784" t="str">
        <f>"1552376837334251"</f>
        <v>1552376837334251</v>
      </c>
      <c r="C5784" t="s">
        <v>40</v>
      </c>
      <c r="D5784">
        <v>5.0900119999999998</v>
      </c>
      <c r="E5784">
        <v>0.40069690000000002</v>
      </c>
      <c r="F5784" t="s">
        <v>71</v>
      </c>
      <c r="G5784">
        <v>-194.56549999999999</v>
      </c>
      <c r="H5784" s="1">
        <v>-3.6540559999999999E-6</v>
      </c>
      <c r="I5784">
        <v>-47.368670000000002</v>
      </c>
      <c r="J5784">
        <v>-198.66839999999999</v>
      </c>
      <c r="K5784">
        <v>1.1219220000000001</v>
      </c>
      <c r="L5784">
        <v>-54.910490000000003</v>
      </c>
      <c r="M5784">
        <v>0.71677019999999902</v>
      </c>
      <c r="N5784">
        <v>0</v>
      </c>
      <c r="O5784">
        <v>0.69711610000000002</v>
      </c>
      <c r="P5784">
        <v>0.6863863</v>
      </c>
      <c r="Q5784">
        <v>-2.2533419999999998E-2</v>
      </c>
      <c r="R5784">
        <v>0.72688790000000003</v>
      </c>
      <c r="S5784">
        <v>1.5031129999999999</v>
      </c>
      <c r="T5784">
        <v>-0.39309060000000001</v>
      </c>
      <c r="U5784">
        <v>2.7119140000000002</v>
      </c>
      <c r="V5784">
        <v>-4.2321530000000003E-2</v>
      </c>
      <c r="W5784">
        <v>-7.4134179999999997E-3</v>
      </c>
      <c r="X5784">
        <v>0.99907650000000003</v>
      </c>
      <c r="Y5784">
        <v>-0.29076580000000002</v>
      </c>
      <c r="Z5784">
        <v>-7.4430750000000004E-2</v>
      </c>
      <c r="AA5784">
        <v>0.95389480000000004</v>
      </c>
      <c r="AB5784">
        <v>28</v>
      </c>
      <c r="AC5784">
        <v>4.1029</v>
      </c>
      <c r="AD5784">
        <v>-1.1219256540560001</v>
      </c>
      <c r="AE5784">
        <v>7.5418200000000004</v>
      </c>
      <c r="AF5784">
        <v>-2.5031536807809198</v>
      </c>
      <c r="AG5784">
        <v>-1.1219256540560001</v>
      </c>
      <c r="AH5784">
        <v>8.0618030627338193</v>
      </c>
      <c r="AI5784">
        <v>97.570607955327304</v>
      </c>
      <c r="AJ5784">
        <v>107.249334234744</v>
      </c>
      <c r="AK5784">
        <v>8.5157010366229091</v>
      </c>
      <c r="AL5784">
        <v>90.424761470197595</v>
      </c>
      <c r="AM5784">
        <v>92.425636285631398</v>
      </c>
      <c r="AN5784">
        <v>0.99999996176011596</v>
      </c>
    </row>
    <row r="5785" spans="1:40" x14ac:dyDescent="0.25">
      <c r="A5785" t="str">
        <f>"20190312154717351"</f>
        <v>20190312154717351</v>
      </c>
      <c r="B5785" t="str">
        <f>"1552376837344012"</f>
        <v>1552376837344012</v>
      </c>
      <c r="C5785" t="s">
        <v>40</v>
      </c>
      <c r="D5785">
        <v>5.2361360000000001</v>
      </c>
      <c r="E5785">
        <v>0.40124759999999998</v>
      </c>
      <c r="F5785" t="s">
        <v>71</v>
      </c>
      <c r="G5785">
        <v>-194.37479999999999</v>
      </c>
      <c r="H5785" s="1">
        <v>-3.8389359999999999E-6</v>
      </c>
      <c r="I5785">
        <v>-46.933810000000001</v>
      </c>
      <c r="J5785">
        <v>-198.56059999999999</v>
      </c>
      <c r="K5785">
        <v>1.121904</v>
      </c>
      <c r="L5785">
        <v>-54.793120000000002</v>
      </c>
      <c r="M5785">
        <v>0.7102406</v>
      </c>
      <c r="N5785">
        <v>0</v>
      </c>
      <c r="O5785">
        <v>0.70376749999999999</v>
      </c>
      <c r="P5785">
        <v>0.67949300000000001</v>
      </c>
      <c r="Q5785">
        <v>-2.2388330000000001E-2</v>
      </c>
      <c r="R5785">
        <v>0.7333404</v>
      </c>
      <c r="S5785">
        <v>1.468658</v>
      </c>
      <c r="T5785">
        <v>-0.38376359999999998</v>
      </c>
      <c r="U5785">
        <v>2.728485</v>
      </c>
      <c r="V5785">
        <v>-4.2448769999999997E-2</v>
      </c>
      <c r="W5785">
        <v>-7.2729969999999998E-3</v>
      </c>
      <c r="X5785">
        <v>0.99907219999999997</v>
      </c>
      <c r="Y5785">
        <v>-0.29353449999999998</v>
      </c>
      <c r="Z5785">
        <v>-7.3537420000000006E-2</v>
      </c>
      <c r="AA5785">
        <v>0.95311579999999996</v>
      </c>
      <c r="AB5785">
        <v>28</v>
      </c>
      <c r="AC5785">
        <v>4.1858000000000004</v>
      </c>
      <c r="AD5785">
        <v>-1.121907838936</v>
      </c>
      <c r="AE5785">
        <v>7.85930999999999</v>
      </c>
      <c r="AF5785">
        <v>-2.5953271708369701</v>
      </c>
      <c r="AG5785">
        <v>-1.121907838936</v>
      </c>
      <c r="AH5785">
        <v>8.3722933572111202</v>
      </c>
      <c r="AI5785">
        <v>97.293846009728099</v>
      </c>
      <c r="AJ5785">
        <v>107.22291317240899</v>
      </c>
      <c r="AK5785">
        <v>8.8368374649504595</v>
      </c>
      <c r="AL5785">
        <v>90.416715694828198</v>
      </c>
      <c r="AM5785">
        <v>92.432930688311004</v>
      </c>
      <c r="AN5785">
        <v>1.0000000276863501</v>
      </c>
    </row>
    <row r="5786" spans="1:40" x14ac:dyDescent="0.25">
      <c r="A5786" t="str">
        <f>"20190312154717364"</f>
        <v>20190312154717364</v>
      </c>
      <c r="B5786" t="str">
        <f>"1552376837353771"</f>
        <v>1552376837353771</v>
      </c>
      <c r="C5786" t="s">
        <v>40</v>
      </c>
      <c r="D5786">
        <v>5.0814899999999996</v>
      </c>
      <c r="E5786">
        <v>0.40186050000000001</v>
      </c>
      <c r="F5786" t="s">
        <v>71</v>
      </c>
      <c r="G5786">
        <v>-194.29929999999999</v>
      </c>
      <c r="H5786" s="1">
        <v>-3.932351E-6</v>
      </c>
      <c r="I5786">
        <v>-46.721490000000003</v>
      </c>
      <c r="J5786">
        <v>-198.45240000000001</v>
      </c>
      <c r="K5786">
        <v>1.1218870000000001</v>
      </c>
      <c r="L5786">
        <v>-54.673740000000002</v>
      </c>
      <c r="M5786">
        <v>0.70357559999999997</v>
      </c>
      <c r="N5786">
        <v>0</v>
      </c>
      <c r="O5786">
        <v>0.71043089999999998</v>
      </c>
      <c r="P5786">
        <v>0.67269089999999998</v>
      </c>
      <c r="Q5786">
        <v>-2.2033649999999998E-2</v>
      </c>
      <c r="R5786">
        <v>0.73959549999999996</v>
      </c>
      <c r="S5786">
        <v>1.4461360000000001</v>
      </c>
      <c r="T5786">
        <v>-0.38074039999999998</v>
      </c>
      <c r="U5786">
        <v>2.739258</v>
      </c>
      <c r="V5786">
        <v>-4.2277380000000003E-2</v>
      </c>
      <c r="W5786">
        <v>-6.9136249999999996E-3</v>
      </c>
      <c r="X5786">
        <v>0.99908200000000003</v>
      </c>
      <c r="Y5786">
        <v>-0.2922033</v>
      </c>
      <c r="Z5786">
        <v>-7.3985259999999997E-2</v>
      </c>
      <c r="AA5786">
        <v>0.95349010000000001</v>
      </c>
      <c r="AB5786">
        <v>28</v>
      </c>
      <c r="AC5786">
        <v>4.1531000000000198</v>
      </c>
      <c r="AD5786">
        <v>-1.121890932351</v>
      </c>
      <c r="AE5786">
        <v>7.9522499999999896</v>
      </c>
      <c r="AF5786">
        <v>-2.6041512376489799</v>
      </c>
      <c r="AG5786">
        <v>-1.121890932351</v>
      </c>
      <c r="AH5786">
        <v>8.4407036029731994</v>
      </c>
      <c r="AI5786">
        <v>97.238216699900804</v>
      </c>
      <c r="AJ5786">
        <v>107.146197883591</v>
      </c>
      <c r="AK5786">
        <v>8.9042529302510793</v>
      </c>
      <c r="AL5786">
        <v>90.396124685829605</v>
      </c>
      <c r="AM5786">
        <v>92.423095545796997</v>
      </c>
      <c r="AN5786">
        <v>1.0000000088971499</v>
      </c>
    </row>
    <row r="5787" spans="1:40" x14ac:dyDescent="0.25">
      <c r="A5787" t="str">
        <f>"20190312154717384"</f>
        <v>20190312154717384</v>
      </c>
      <c r="B5787" t="str">
        <f>"1552376837374266"</f>
        <v>1552376837374266</v>
      </c>
      <c r="C5787" t="s">
        <v>40</v>
      </c>
      <c r="D5787">
        <v>5.1076829999999998</v>
      </c>
      <c r="E5787">
        <v>0.40250059999999999</v>
      </c>
      <c r="F5787" t="s">
        <v>71</v>
      </c>
      <c r="G5787">
        <v>-194.19659999999999</v>
      </c>
      <c r="H5787" s="1">
        <v>-4.0449540000000002E-6</v>
      </c>
      <c r="I5787">
        <v>-46.461379999999998</v>
      </c>
      <c r="J5787">
        <v>-198.29900000000001</v>
      </c>
      <c r="K5787">
        <v>1.121866</v>
      </c>
      <c r="L5787">
        <v>-54.4998199999999</v>
      </c>
      <c r="M5787">
        <v>0.69386749999999997</v>
      </c>
      <c r="N5787">
        <v>0</v>
      </c>
      <c r="O5787">
        <v>0.71991569999999905</v>
      </c>
      <c r="P5787">
        <v>0.66256169999999903</v>
      </c>
      <c r="Q5787">
        <v>-2.1461190000000002E-2</v>
      </c>
      <c r="R5787">
        <v>0.74869989999999997</v>
      </c>
      <c r="S5787">
        <v>1.424728</v>
      </c>
      <c r="T5787">
        <v>-0.37557380000000001</v>
      </c>
      <c r="U5787">
        <v>2.7492369999999999</v>
      </c>
      <c r="V5787">
        <v>-4.2344229999999997E-2</v>
      </c>
      <c r="W5787">
        <v>-6.3444749999999996E-3</v>
      </c>
      <c r="X5787">
        <v>0.9990829</v>
      </c>
      <c r="Y5787">
        <v>-0.28649269999999999</v>
      </c>
      <c r="Z5787">
        <v>-7.4588109999999999E-2</v>
      </c>
      <c r="AA5787">
        <v>0.95517459999999998</v>
      </c>
      <c r="AB5787">
        <v>28</v>
      </c>
      <c r="AC5787">
        <v>4.10240000000001</v>
      </c>
      <c r="AD5787">
        <v>-1.121870044954</v>
      </c>
      <c r="AE5787">
        <v>8.0384399999999907</v>
      </c>
      <c r="AF5787">
        <v>-2.5846428731059601</v>
      </c>
      <c r="AG5787">
        <v>-1.121870044954</v>
      </c>
      <c r="AH5787">
        <v>8.5032821724641501</v>
      </c>
      <c r="AI5787">
        <v>97.194467480672998</v>
      </c>
      <c r="AJ5787">
        <v>106.907082698479</v>
      </c>
      <c r="AK5787">
        <v>8.9579450145560298</v>
      </c>
      <c r="AL5787">
        <v>90.363514092693904</v>
      </c>
      <c r="AM5787">
        <v>92.426920240920197</v>
      </c>
      <c r="AN5787">
        <v>0.99999996362486299</v>
      </c>
    </row>
    <row r="5788" spans="1:40" x14ac:dyDescent="0.25">
      <c r="A5788" t="str">
        <f>"20190312154717405"</f>
        <v>20190312154717405</v>
      </c>
      <c r="B5788" t="str">
        <f>"1552376837393787"</f>
        <v>1552376837393787</v>
      </c>
      <c r="C5788" t="s">
        <v>40</v>
      </c>
      <c r="D5788">
        <v>5.1227710000000002</v>
      </c>
      <c r="E5788">
        <v>0.42529640000000002</v>
      </c>
      <c r="F5788" t="s">
        <v>71</v>
      </c>
      <c r="G5788">
        <v>-194.11920000000001</v>
      </c>
      <c r="H5788" s="1">
        <v>-4.1676340000000002E-6</v>
      </c>
      <c r="I5788">
        <v>-46.190219999999997</v>
      </c>
      <c r="J5788">
        <v>-198.12459999999999</v>
      </c>
      <c r="K5788">
        <v>1.121834</v>
      </c>
      <c r="L5788">
        <v>-54.295650000000002</v>
      </c>
      <c r="M5788">
        <v>0.68245979999999995</v>
      </c>
      <c r="N5788">
        <v>0</v>
      </c>
      <c r="O5788">
        <v>0.73073909999999997</v>
      </c>
      <c r="P5788">
        <v>0.65088939999999995</v>
      </c>
      <c r="Q5788">
        <v>-2.065765E-2</v>
      </c>
      <c r="R5788">
        <v>0.75889149999999905</v>
      </c>
      <c r="S5788">
        <v>1.390976</v>
      </c>
      <c r="T5788">
        <v>-0.37333919999999998</v>
      </c>
      <c r="U5788">
        <v>2.7652890000000001</v>
      </c>
      <c r="V5788">
        <v>-4.214101E-2</v>
      </c>
      <c r="W5788">
        <v>-5.5364339999999998E-3</v>
      </c>
      <c r="X5788">
        <v>0.99909630000000005</v>
      </c>
      <c r="Y5788">
        <v>-0.2829815</v>
      </c>
      <c r="Z5788">
        <v>-7.582129E-2</v>
      </c>
      <c r="AA5788">
        <v>0.95612370000000002</v>
      </c>
      <c r="AB5788">
        <v>28</v>
      </c>
      <c r="AC5788">
        <v>4.0053999999999697</v>
      </c>
      <c r="AD5788">
        <v>-1.1218381676339999</v>
      </c>
      <c r="AE5788">
        <v>8.1054299999999895</v>
      </c>
      <c r="AF5788">
        <v>-2.5655774720890099</v>
      </c>
      <c r="AG5788">
        <v>-1.1218381676339999</v>
      </c>
      <c r="AH5788">
        <v>8.5263681858106608</v>
      </c>
      <c r="AI5788">
        <v>97.181010000793904</v>
      </c>
      <c r="AJ5788">
        <v>106.746499571859</v>
      </c>
      <c r="AK5788">
        <v>8.9743892872805109</v>
      </c>
      <c r="AL5788">
        <v>90.317215932870198</v>
      </c>
      <c r="AM5788">
        <v>92.415254346170499</v>
      </c>
      <c r="AN5788">
        <v>0.999999966749472</v>
      </c>
    </row>
    <row r="5789" spans="1:40" x14ac:dyDescent="0.25">
      <c r="A5789" t="str">
        <f>"20190312154717428"</f>
        <v>20190312154717428</v>
      </c>
      <c r="B5789" t="str">
        <f>"1552376837424043"</f>
        <v>1552376837424043</v>
      </c>
      <c r="C5789" t="s">
        <v>40</v>
      </c>
      <c r="D5789">
        <v>5.1183820000000004</v>
      </c>
      <c r="E5789">
        <v>0.42825790000000002</v>
      </c>
      <c r="F5789" t="s">
        <v>71</v>
      </c>
      <c r="G5789">
        <v>-192.66</v>
      </c>
      <c r="H5789" s="1">
        <v>-4.722121E-6</v>
      </c>
      <c r="I5789">
        <v>-44.506990000000002</v>
      </c>
      <c r="J5789">
        <v>-197.9486</v>
      </c>
      <c r="K5789">
        <v>1.1218049999999999</v>
      </c>
      <c r="L5789">
        <v>-54.082729999999998</v>
      </c>
      <c r="M5789">
        <v>0.67054279999999999</v>
      </c>
      <c r="N5789">
        <v>0</v>
      </c>
      <c r="O5789">
        <v>0.74168959999999995</v>
      </c>
      <c r="P5789">
        <v>0.63878429999999997</v>
      </c>
      <c r="Q5789">
        <v>-2.0212259999999999E-2</v>
      </c>
      <c r="R5789">
        <v>0.76912029999999998</v>
      </c>
      <c r="S5789">
        <v>1.489182</v>
      </c>
      <c r="T5789">
        <v>-0.30571579999999998</v>
      </c>
      <c r="U5789">
        <v>2.6675420000000001</v>
      </c>
      <c r="V5789">
        <v>-4.1820959999999997E-2</v>
      </c>
      <c r="W5789">
        <v>-5.0836010000000001E-3</v>
      </c>
      <c r="X5789">
        <v>0.99911220000000001</v>
      </c>
      <c r="Y5789">
        <v>-0.22537360000000001</v>
      </c>
      <c r="Z5789">
        <v>-6.6305390000000006E-2</v>
      </c>
      <c r="AA5789">
        <v>0.97201349999999997</v>
      </c>
      <c r="AB5789">
        <v>28</v>
      </c>
      <c r="AC5789">
        <v>5.2885999999999997</v>
      </c>
      <c r="AD5789">
        <v>-1.1218097221209999</v>
      </c>
      <c r="AE5789">
        <v>9.5757399999999997</v>
      </c>
      <c r="AF5789">
        <v>-2.47277472931835</v>
      </c>
      <c r="AG5789">
        <v>-1.1218097221209999</v>
      </c>
      <c r="AH5789">
        <v>10.539056505705799</v>
      </c>
      <c r="AI5789">
        <v>95.916378187600301</v>
      </c>
      <c r="AJ5789">
        <v>103.20443844811599</v>
      </c>
      <c r="AK5789">
        <v>10.883234075634901</v>
      </c>
      <c r="AL5789">
        <v>90.291270133108299</v>
      </c>
      <c r="AM5789">
        <v>92.396894493640502</v>
      </c>
      <c r="AN5789">
        <v>1.0000000119416399</v>
      </c>
    </row>
    <row r="5790" spans="1:40" x14ac:dyDescent="0.25">
      <c r="A5790" t="str">
        <f>"20190312154717442"</f>
        <v>20190312154717442</v>
      </c>
      <c r="B5790" t="str">
        <f>"1552376837433803"</f>
        <v>1552376837433803</v>
      </c>
      <c r="C5790" t="s">
        <v>40</v>
      </c>
      <c r="D5790">
        <v>5.0774730000000003</v>
      </c>
      <c r="E5790">
        <v>0.42928690000000003</v>
      </c>
      <c r="F5790" t="s">
        <v>71</v>
      </c>
      <c r="G5790">
        <v>-192.68340000000001</v>
      </c>
      <c r="H5790" s="1">
        <v>-4.7475369999999901E-6</v>
      </c>
      <c r="I5790">
        <v>-44.461379999999998</v>
      </c>
      <c r="J5790">
        <v>-197.83029999999999</v>
      </c>
      <c r="K5790">
        <v>1.121783</v>
      </c>
      <c r="L5790">
        <v>-53.936250000000001</v>
      </c>
      <c r="M5790">
        <v>0.66231499999999999</v>
      </c>
      <c r="N5790">
        <v>0</v>
      </c>
      <c r="O5790">
        <v>0.74904609999999905</v>
      </c>
      <c r="P5790">
        <v>0.63026800000000005</v>
      </c>
      <c r="Q5790">
        <v>-1.9750520000000001E-2</v>
      </c>
      <c r="R5790">
        <v>0.77612639999999999</v>
      </c>
      <c r="S5790">
        <v>1.4644619999999999</v>
      </c>
      <c r="T5790">
        <v>-0.31202069999999998</v>
      </c>
      <c r="U5790">
        <v>2.6760860000000002</v>
      </c>
      <c r="V5790">
        <v>-4.1826769999999999E-2</v>
      </c>
      <c r="W5790">
        <v>-4.6236070000000001E-3</v>
      </c>
      <c r="X5790">
        <v>0.99911419999999995</v>
      </c>
      <c r="Y5790">
        <v>-0.22290860000000001</v>
      </c>
      <c r="Z5790">
        <v>-6.8689819999999999E-2</v>
      </c>
      <c r="AA5790">
        <v>0.97241630000000001</v>
      </c>
      <c r="AB5790">
        <v>28</v>
      </c>
      <c r="AC5790">
        <v>5.14689999999998</v>
      </c>
      <c r="AD5790">
        <v>-1.1217877475369999</v>
      </c>
      <c r="AE5790">
        <v>9.4748699999999992</v>
      </c>
      <c r="AF5790">
        <v>-2.39449111977454</v>
      </c>
      <c r="AG5790">
        <v>-1.1217877475369999</v>
      </c>
      <c r="AH5790">
        <v>10.394884226567999</v>
      </c>
      <c r="AI5790">
        <v>96.003344008260299</v>
      </c>
      <c r="AJ5790">
        <v>102.971963654918</v>
      </c>
      <c r="AK5790">
        <v>10.7259318269769</v>
      </c>
      <c r="AL5790">
        <v>90.264914105670101</v>
      </c>
      <c r="AM5790">
        <v>92.397222301981103</v>
      </c>
      <c r="AN5790">
        <v>1.00000002053598</v>
      </c>
    </row>
    <row r="5791" spans="1:40" x14ac:dyDescent="0.25">
      <c r="A5791" t="str">
        <f>"20190312154717462"</f>
        <v>20190312154717462</v>
      </c>
      <c r="B5791" t="str">
        <f>"1552376837454300"</f>
        <v>1552376837454300</v>
      </c>
      <c r="C5791" t="s">
        <v>40</v>
      </c>
      <c r="D5791">
        <v>5.1348399999999996</v>
      </c>
      <c r="E5791">
        <v>0.43082920000000002</v>
      </c>
      <c r="F5791" t="s">
        <v>71</v>
      </c>
      <c r="G5791">
        <v>-192.57919999999999</v>
      </c>
      <c r="H5791" s="1">
        <v>-4.8759990000000002E-6</v>
      </c>
      <c r="I5791">
        <v>-44.145780000000002</v>
      </c>
      <c r="J5791">
        <v>-197.6885</v>
      </c>
      <c r="K5791">
        <v>1.121764</v>
      </c>
      <c r="L5791">
        <v>-53.7553699999999</v>
      </c>
      <c r="M5791">
        <v>0.65215840000000003</v>
      </c>
      <c r="N5791">
        <v>0</v>
      </c>
      <c r="O5791">
        <v>0.75790559999999996</v>
      </c>
      <c r="P5791">
        <v>0.62012040000000002</v>
      </c>
      <c r="Q5791">
        <v>-1.942021E-2</v>
      </c>
      <c r="R5791">
        <v>0.78426629999999997</v>
      </c>
      <c r="S5791">
        <v>1.441238</v>
      </c>
      <c r="T5791">
        <v>-0.30789070000000002</v>
      </c>
      <c r="U5791">
        <v>2.6871339999999999</v>
      </c>
      <c r="V5791">
        <v>-4.1369469999999998E-2</v>
      </c>
      <c r="W5791">
        <v>-4.2817699999999998E-3</v>
      </c>
      <c r="X5791">
        <v>0.99913470000000004</v>
      </c>
      <c r="Y5791">
        <v>-0.2179499</v>
      </c>
      <c r="Z5791">
        <v>-6.8990659999999995E-2</v>
      </c>
      <c r="AA5791">
        <v>0.97351840000000001</v>
      </c>
      <c r="AB5791">
        <v>28</v>
      </c>
      <c r="AC5791">
        <v>5.1093000000000099</v>
      </c>
      <c r="AD5791">
        <v>-1.1217688759990001</v>
      </c>
      <c r="AE5791">
        <v>9.6095899999999901</v>
      </c>
      <c r="AF5791">
        <v>-2.3697538313386399</v>
      </c>
      <c r="AG5791">
        <v>-1.1217688759990001</v>
      </c>
      <c r="AH5791">
        <v>10.505058170664</v>
      </c>
      <c r="AI5791">
        <v>95.946836985015395</v>
      </c>
      <c r="AJ5791">
        <v>102.71212820994199</v>
      </c>
      <c r="AK5791">
        <v>10.8272963292476</v>
      </c>
      <c r="AL5791">
        <v>90.245328109856302</v>
      </c>
      <c r="AM5791">
        <v>92.3709945007204</v>
      </c>
      <c r="AN5791">
        <v>0.99999995767325101</v>
      </c>
    </row>
    <row r="5792" spans="1:40" x14ac:dyDescent="0.25">
      <c r="A5792" t="str">
        <f>"20190312154717484"</f>
        <v>20190312154717484</v>
      </c>
      <c r="B5792" t="str">
        <f>"1552376837473820"</f>
        <v>1552376837473820</v>
      </c>
      <c r="C5792" t="s">
        <v>40</v>
      </c>
      <c r="D5792">
        <v>5.158709</v>
      </c>
      <c r="E5792">
        <v>0.43260330000000002</v>
      </c>
      <c r="F5792" t="s">
        <v>71</v>
      </c>
      <c r="G5792">
        <v>-192.56790000000001</v>
      </c>
      <c r="H5792" s="1">
        <v>-4.9440749999999998E-6</v>
      </c>
      <c r="I5792">
        <v>-43.9953</v>
      </c>
      <c r="J5792">
        <v>-197.52189999999999</v>
      </c>
      <c r="K5792">
        <v>1.1217360000000001</v>
      </c>
      <c r="L5792">
        <v>-53.536439999999999</v>
      </c>
      <c r="M5792">
        <v>0.63983999999999996</v>
      </c>
      <c r="N5792">
        <v>0</v>
      </c>
      <c r="O5792">
        <v>0.76833359999999995</v>
      </c>
      <c r="P5792">
        <v>0.60809530000000001</v>
      </c>
      <c r="Q5792">
        <v>-1.964101E-2</v>
      </c>
      <c r="R5792">
        <v>0.79362100000000002</v>
      </c>
      <c r="S5792">
        <v>1.415619</v>
      </c>
      <c r="T5792">
        <v>-0.31011759999999999</v>
      </c>
      <c r="U5792">
        <v>2.6982119999999998</v>
      </c>
      <c r="V5792">
        <v>-4.0460879999999998E-2</v>
      </c>
      <c r="W5792">
        <v>-4.4785609999999998E-3</v>
      </c>
      <c r="X5792">
        <v>0.99917109999999998</v>
      </c>
      <c r="Y5792">
        <v>-0.2111394</v>
      </c>
      <c r="Z5792">
        <v>-7.0956569999999997E-2</v>
      </c>
      <c r="AA5792">
        <v>0.97487710000000005</v>
      </c>
      <c r="AB5792">
        <v>28</v>
      </c>
      <c r="AC5792">
        <v>4.9539999999999704</v>
      </c>
      <c r="AD5792">
        <v>-1.1217409440749999</v>
      </c>
      <c r="AE5792">
        <v>9.5411400000000004</v>
      </c>
      <c r="AF5792">
        <v>-2.27402872018448</v>
      </c>
      <c r="AG5792">
        <v>-1.1217409440749999</v>
      </c>
      <c r="AH5792">
        <v>10.388848169688799</v>
      </c>
      <c r="AI5792">
        <v>96.021188413438296</v>
      </c>
      <c r="AJ5792">
        <v>102.34681449095601</v>
      </c>
      <c r="AK5792">
        <v>10.6938148318869</v>
      </c>
      <c r="AL5792">
        <v>90.256603497886502</v>
      </c>
      <c r="AM5792">
        <v>92.318893886975999</v>
      </c>
      <c r="AN5792">
        <v>1.0000000136970999</v>
      </c>
    </row>
    <row r="5793" spans="1:40" x14ac:dyDescent="0.25">
      <c r="A5793" t="str">
        <f>"20190312154717507"</f>
        <v>20190312154717507</v>
      </c>
      <c r="B5793" t="str">
        <f>"1552376837504075"</f>
        <v>1552376837504075</v>
      </c>
      <c r="C5793" t="s">
        <v>40</v>
      </c>
      <c r="D5793">
        <v>5.077261</v>
      </c>
      <c r="E5793">
        <v>0.44883580000000001</v>
      </c>
      <c r="F5793" t="s">
        <v>71</v>
      </c>
      <c r="G5793">
        <v>-192.54320000000001</v>
      </c>
      <c r="H5793" s="1">
        <v>-5.0340179999999996E-6</v>
      </c>
      <c r="I5793">
        <v>-43.792789999999997</v>
      </c>
      <c r="J5793">
        <v>-197.35429999999999</v>
      </c>
      <c r="K5793">
        <v>1.1217060000000001</v>
      </c>
      <c r="L5793">
        <v>-53.308070000000001</v>
      </c>
      <c r="M5793">
        <v>0.62697599999999998</v>
      </c>
      <c r="N5793">
        <v>0</v>
      </c>
      <c r="O5793">
        <v>0.77886659999999996</v>
      </c>
      <c r="P5793">
        <v>0.59594829999999999</v>
      </c>
      <c r="Q5793">
        <v>-1.9712110000000001E-2</v>
      </c>
      <c r="R5793">
        <v>0.80278079999999996</v>
      </c>
      <c r="S5793">
        <v>1.3852390000000001</v>
      </c>
      <c r="T5793">
        <v>-0.31210480000000002</v>
      </c>
      <c r="U5793">
        <v>2.7109990000000002</v>
      </c>
      <c r="V5793">
        <v>-3.9048659999999999E-2</v>
      </c>
      <c r="W5793">
        <v>-4.5110330000000002E-3</v>
      </c>
      <c r="X5793">
        <v>0.99922710000000003</v>
      </c>
      <c r="Y5793">
        <v>-0.20545769999999999</v>
      </c>
      <c r="Z5793">
        <v>-7.2868790000000003E-2</v>
      </c>
      <c r="AA5793">
        <v>0.97594939999999997</v>
      </c>
      <c r="AB5793">
        <v>28</v>
      </c>
      <c r="AC5793">
        <v>4.8110999999999802</v>
      </c>
      <c r="AD5793">
        <v>-1.1217110340180001</v>
      </c>
      <c r="AE5793">
        <v>9.51527999999999</v>
      </c>
      <c r="AF5793">
        <v>-2.1946549725328501</v>
      </c>
      <c r="AG5793">
        <v>-1.1217110340180001</v>
      </c>
      <c r="AH5793">
        <v>10.3148157290633</v>
      </c>
      <c r="AI5793">
        <v>96.071528726517599</v>
      </c>
      <c r="AJ5793">
        <v>102.011549213469</v>
      </c>
      <c r="AK5793">
        <v>10.605195406819901</v>
      </c>
      <c r="AL5793">
        <v>90.258464035902193</v>
      </c>
      <c r="AM5793">
        <v>92.237915225600602</v>
      </c>
      <c r="AN5793">
        <v>0.999999972320466</v>
      </c>
    </row>
    <row r="5794" spans="1:40" x14ac:dyDescent="0.25">
      <c r="A5794" t="str">
        <f>"20190312154717530"</f>
        <v>20190312154717530</v>
      </c>
      <c r="B5794" t="str">
        <f>"1552376837523595"</f>
        <v>1552376837523595</v>
      </c>
      <c r="C5794" t="s">
        <v>40</v>
      </c>
      <c r="D5794">
        <v>5.1421089999999996</v>
      </c>
      <c r="E5794">
        <v>0.4495651</v>
      </c>
      <c r="F5794" t="s">
        <v>71</v>
      </c>
      <c r="G5794">
        <v>-192.59559999999999</v>
      </c>
      <c r="H5794" s="1">
        <v>-4.6795739999999998E-6</v>
      </c>
      <c r="I5794">
        <v>-44.573709999999998</v>
      </c>
      <c r="J5794">
        <v>-197.1986</v>
      </c>
      <c r="K5794">
        <v>1.121677</v>
      </c>
      <c r="L5794">
        <v>-53.088590000000003</v>
      </c>
      <c r="M5794">
        <v>0.61458729999999995</v>
      </c>
      <c r="N5794">
        <v>0</v>
      </c>
      <c r="O5794">
        <v>0.78867909999999997</v>
      </c>
      <c r="P5794">
        <v>0.58413760000000003</v>
      </c>
      <c r="Q5794">
        <v>-1.9115739999999999E-2</v>
      </c>
      <c r="R5794">
        <v>0.81142950000000003</v>
      </c>
      <c r="S5794">
        <v>1.4464570000000001</v>
      </c>
      <c r="T5794">
        <v>-0.34095249999999999</v>
      </c>
      <c r="U5794">
        <v>2.6548769999999999</v>
      </c>
      <c r="V5794">
        <v>-3.7904739999999999E-2</v>
      </c>
      <c r="W5794">
        <v>-3.8839780000000002E-3</v>
      </c>
      <c r="X5794">
        <v>0.99927379999999999</v>
      </c>
      <c r="Y5794">
        <v>-0.16443099999999999</v>
      </c>
      <c r="Z5794">
        <v>-8.2781610000000005E-2</v>
      </c>
      <c r="AA5794">
        <v>0.98290880000000003</v>
      </c>
      <c r="AB5794">
        <v>28</v>
      </c>
      <c r="AC5794">
        <v>4.6029999999999998</v>
      </c>
      <c r="AD5794">
        <v>-1.1216816795739999</v>
      </c>
      <c r="AE5794">
        <v>8.5148799999999998</v>
      </c>
      <c r="AF5794">
        <v>-1.5818196272375</v>
      </c>
      <c r="AG5794">
        <v>-1.1216816795739999</v>
      </c>
      <c r="AH5794">
        <v>9.4192405557812897</v>
      </c>
      <c r="AI5794">
        <v>96.698111092643103</v>
      </c>
      <c r="AJ5794">
        <v>99.5330105536069</v>
      </c>
      <c r="AK5794">
        <v>9.6167778268545199</v>
      </c>
      <c r="AL5794">
        <v>90.222536108634102</v>
      </c>
      <c r="AM5794">
        <v>92.172318432805795</v>
      </c>
      <c r="AN5794">
        <v>0.99999999098300596</v>
      </c>
    </row>
    <row r="5795" spans="1:40" x14ac:dyDescent="0.25">
      <c r="A5795" t="str">
        <f>"20190312154717552"</f>
        <v>20190312154717552</v>
      </c>
      <c r="B5795" t="str">
        <f>"1552376837544092"</f>
        <v>1552376837544092</v>
      </c>
      <c r="C5795" t="s">
        <v>40</v>
      </c>
      <c r="D5795">
        <v>5.0779959999999997</v>
      </c>
      <c r="E5795">
        <v>0.43296089999999998</v>
      </c>
      <c r="F5795" t="s">
        <v>71</v>
      </c>
      <c r="G5795">
        <v>-192.50399999999999</v>
      </c>
      <c r="H5795" s="1">
        <v>-4.8350279999999901E-6</v>
      </c>
      <c r="I5795">
        <v>-44.204990000000002</v>
      </c>
      <c r="J5795">
        <v>-197.0438</v>
      </c>
      <c r="K5795">
        <v>1.1216549999999901</v>
      </c>
      <c r="L5795">
        <v>-52.863039999999998</v>
      </c>
      <c r="M5795">
        <v>0.60183509999999996</v>
      </c>
      <c r="N5795">
        <v>0</v>
      </c>
      <c r="O5795">
        <v>0.79845290000000002</v>
      </c>
      <c r="P5795">
        <v>0.57203470000000001</v>
      </c>
      <c r="Q5795">
        <v>-1.8131029999999999E-2</v>
      </c>
      <c r="R5795">
        <v>0.82002909999999996</v>
      </c>
      <c r="S5795">
        <v>1.4123079999999999</v>
      </c>
      <c r="T5795">
        <v>-0.33744750000000001</v>
      </c>
      <c r="U5795">
        <v>2.6725460000000001</v>
      </c>
      <c r="V5795">
        <v>-3.6715989999999997E-2</v>
      </c>
      <c r="W5795">
        <v>-2.8675319999999999E-3</v>
      </c>
      <c r="X5795">
        <v>0.99932160000000003</v>
      </c>
      <c r="Y5795">
        <v>-0.16107560000000001</v>
      </c>
      <c r="Z5795">
        <v>-8.3268339999999996E-2</v>
      </c>
      <c r="AA5795">
        <v>0.98342309999999999</v>
      </c>
      <c r="AB5795">
        <v>28</v>
      </c>
      <c r="AC5795">
        <v>4.5397999999999801</v>
      </c>
      <c r="AD5795">
        <v>-1.12165983502799</v>
      </c>
      <c r="AE5795">
        <v>8.6580499999999994</v>
      </c>
      <c r="AF5795">
        <v>-1.5655054751747</v>
      </c>
      <c r="AG5795">
        <v>-1.12165983502799</v>
      </c>
      <c r="AH5795">
        <v>9.5212075516003392</v>
      </c>
      <c r="AI5795">
        <v>96.630622626257306</v>
      </c>
      <c r="AJ5795">
        <v>99.337198447266402</v>
      </c>
      <c r="AK5795">
        <v>9.7140270443811492</v>
      </c>
      <c r="AL5795">
        <v>90.164297710745203</v>
      </c>
      <c r="AM5795">
        <v>92.104152912582506</v>
      </c>
      <c r="AN5795">
        <v>0.99999997344400504</v>
      </c>
    </row>
    <row r="5796" spans="1:40" x14ac:dyDescent="0.25">
      <c r="A5796" t="str">
        <f>"20190312154717575"</f>
        <v>20190312154717575</v>
      </c>
      <c r="B5796" t="str">
        <f>"1552376837563611"</f>
        <v>1552376837563611</v>
      </c>
      <c r="C5796" t="s">
        <v>40</v>
      </c>
      <c r="D5796">
        <v>5.0872029999999997</v>
      </c>
      <c r="E5796">
        <v>0.4301488</v>
      </c>
      <c r="F5796" t="s">
        <v>71</v>
      </c>
      <c r="G5796">
        <v>-191.9068</v>
      </c>
      <c r="H5796" s="1">
        <v>-5.9264429999999998E-6</v>
      </c>
      <c r="I5796">
        <v>-41.633769999999998</v>
      </c>
      <c r="J5796">
        <v>-196.89099999999999</v>
      </c>
      <c r="K5796">
        <v>1.1216219999999999</v>
      </c>
      <c r="L5796">
        <v>-52.632390000000001</v>
      </c>
      <c r="M5796">
        <v>0.58877760000000001</v>
      </c>
      <c r="N5796">
        <v>0</v>
      </c>
      <c r="O5796">
        <v>0.80812980000000001</v>
      </c>
      <c r="P5796">
        <v>0.56006809999999996</v>
      </c>
      <c r="Q5796">
        <v>-1.7569310000000001E-2</v>
      </c>
      <c r="R5796">
        <v>0.828260199999999</v>
      </c>
      <c r="S5796">
        <v>1.266602</v>
      </c>
      <c r="T5796">
        <v>-0.27656170000000002</v>
      </c>
      <c r="U5796">
        <v>2.7687379999999999</v>
      </c>
      <c r="V5796">
        <v>-3.5007209999999997E-2</v>
      </c>
      <c r="W5796">
        <v>-2.2593880000000002E-3</v>
      </c>
      <c r="X5796">
        <v>0.99938450000000001</v>
      </c>
      <c r="Y5796">
        <v>-0.2004098</v>
      </c>
      <c r="Z5796">
        <v>-6.7764679999999994E-2</v>
      </c>
      <c r="AA5796">
        <v>0.97736579999999995</v>
      </c>
      <c r="AB5796">
        <v>28</v>
      </c>
      <c r="AC5796">
        <v>4.98419999999998</v>
      </c>
      <c r="AD5796">
        <v>-1.12162792644299</v>
      </c>
      <c r="AE5796">
        <v>10.998620000000001</v>
      </c>
      <c r="AF5796">
        <v>-2.4272455815537</v>
      </c>
      <c r="AG5796">
        <v>-1.12162792644299</v>
      </c>
      <c r="AH5796">
        <v>11.723329917585099</v>
      </c>
      <c r="AI5796">
        <v>95.3522956396762</v>
      </c>
      <c r="AJ5796">
        <v>101.69747247894399</v>
      </c>
      <c r="AK5796">
        <v>12.024393318379699</v>
      </c>
      <c r="AL5796">
        <v>90.129453507571498</v>
      </c>
      <c r="AM5796">
        <v>92.006180425113897</v>
      </c>
      <c r="AN5796">
        <v>0.99999999421318397</v>
      </c>
    </row>
    <row r="5797" spans="1:40" x14ac:dyDescent="0.25">
      <c r="A5797" t="str">
        <f>"20190312154717598"</f>
        <v>20190312154717598</v>
      </c>
      <c r="B5797" t="str">
        <f>"1552376837593867"</f>
        <v>1552376837593867</v>
      </c>
      <c r="C5797" t="s">
        <v>40</v>
      </c>
      <c r="D5797">
        <v>5.0936309999999896</v>
      </c>
      <c r="E5797">
        <v>0.43066539999999998</v>
      </c>
      <c r="F5797" t="s">
        <v>42</v>
      </c>
      <c r="G5797">
        <v>-191.4297</v>
      </c>
      <c r="H5797" s="1">
        <v>-5.6257210000000004E-7</v>
      </c>
      <c r="I5797">
        <v>-39.986240000000002</v>
      </c>
      <c r="J5797">
        <v>-196.74340000000001</v>
      </c>
      <c r="K5797">
        <v>1.121578</v>
      </c>
      <c r="L5797">
        <v>-52.401859999999999</v>
      </c>
      <c r="M5797">
        <v>0.57571930000000004</v>
      </c>
      <c r="N5797">
        <v>0</v>
      </c>
      <c r="O5797">
        <v>0.81748419999999999</v>
      </c>
      <c r="P5797">
        <v>0.54786550000000001</v>
      </c>
      <c r="Q5797">
        <v>-1.7497140000000001E-2</v>
      </c>
      <c r="R5797">
        <v>0.83638349999999995</v>
      </c>
      <c r="S5797">
        <v>1.208893</v>
      </c>
      <c r="T5797">
        <v>-0.24827929999999901</v>
      </c>
      <c r="U5797">
        <v>2.7993160000000001</v>
      </c>
      <c r="V5797">
        <v>-3.3607099999999897E-2</v>
      </c>
      <c r="W5797">
        <v>-2.1514139999999999E-3</v>
      </c>
      <c r="X5797">
        <v>0.99943280000000001</v>
      </c>
      <c r="Y5797">
        <v>-0.20535970000000001</v>
      </c>
      <c r="Z5797">
        <v>-6.1532370000000003E-2</v>
      </c>
      <c r="AA5797">
        <v>0.97675029999999996</v>
      </c>
      <c r="AB5797">
        <v>28</v>
      </c>
      <c r="AC5797">
        <v>5.3137000000000096</v>
      </c>
      <c r="AD5797">
        <v>-1.1215785625721</v>
      </c>
      <c r="AE5797">
        <v>12.415619999999899</v>
      </c>
      <c r="AF5797">
        <v>-2.78521024762702</v>
      </c>
      <c r="AG5797">
        <v>-1.1215785625721</v>
      </c>
      <c r="AH5797">
        <v>13.120043680298901</v>
      </c>
      <c r="AI5797">
        <v>94.780089476781299</v>
      </c>
      <c r="AJ5797">
        <v>101.985203419851</v>
      </c>
      <c r="AK5797">
        <v>13.459230318575401</v>
      </c>
      <c r="AL5797">
        <v>90.123267038049704</v>
      </c>
      <c r="AM5797">
        <v>91.925912110577897</v>
      </c>
      <c r="AN5797">
        <v>0.99999999373422399</v>
      </c>
    </row>
    <row r="5798" spans="1:40" x14ac:dyDescent="0.25">
      <c r="A5798" t="str">
        <f>"20190312154717619"</f>
        <v>20190312154717619</v>
      </c>
      <c r="B5798" t="str">
        <f>"1552376837613388"</f>
        <v>1552376837613388</v>
      </c>
      <c r="C5798" t="s">
        <v>40</v>
      </c>
      <c r="D5798">
        <v>5.0679790000000002</v>
      </c>
      <c r="E5798">
        <v>0.43166789999999999</v>
      </c>
      <c r="F5798" t="s">
        <v>42</v>
      </c>
      <c r="G5798">
        <v>-191.66040000000001</v>
      </c>
      <c r="H5798" s="1">
        <v>-5.4113290000000001E-7</v>
      </c>
      <c r="I5798">
        <v>-40.179290000000002</v>
      </c>
      <c r="J5798">
        <v>-196.6088</v>
      </c>
      <c r="K5798">
        <v>1.121526</v>
      </c>
      <c r="L5798">
        <v>-52.183990000000001</v>
      </c>
      <c r="M5798">
        <v>0.5633842</v>
      </c>
      <c r="N5798">
        <v>0</v>
      </c>
      <c r="O5798">
        <v>0.82603379999999904</v>
      </c>
      <c r="P5798">
        <v>0.53623609999999999</v>
      </c>
      <c r="Q5798">
        <v>-1.770331E-2</v>
      </c>
      <c r="R5798">
        <v>0.84388240000000003</v>
      </c>
      <c r="S5798">
        <v>1.170563</v>
      </c>
      <c r="T5798">
        <v>-0.25828469999999998</v>
      </c>
      <c r="U5798">
        <v>2.8146969999999998</v>
      </c>
      <c r="V5798">
        <v>-3.2430899999999999E-2</v>
      </c>
      <c r="W5798">
        <v>-2.3298870000000001E-3</v>
      </c>
      <c r="X5798">
        <v>0.9994712</v>
      </c>
      <c r="Y5798">
        <v>-0.20398369999999999</v>
      </c>
      <c r="Z5798">
        <v>-6.4876519999999993E-2</v>
      </c>
      <c r="AA5798">
        <v>0.97682230000000003</v>
      </c>
      <c r="AB5798">
        <v>28</v>
      </c>
      <c r="AC5798">
        <v>4.9483999999999897</v>
      </c>
      <c r="AD5798">
        <v>-1.1215265411329001</v>
      </c>
      <c r="AE5798">
        <v>12.0047</v>
      </c>
      <c r="AF5798">
        <v>-2.6562523921187302</v>
      </c>
      <c r="AG5798">
        <v>-1.1215265411329001</v>
      </c>
      <c r="AH5798">
        <v>12.611742087528199</v>
      </c>
      <c r="AI5798">
        <v>94.973240445105205</v>
      </c>
      <c r="AJ5798">
        <v>101.893655482836</v>
      </c>
      <c r="AK5798">
        <v>12.9371378996837</v>
      </c>
      <c r="AL5798">
        <v>90.133492821209103</v>
      </c>
      <c r="AM5798">
        <v>91.858484738747094</v>
      </c>
      <c r="AN5798">
        <v>0.99999993563883904</v>
      </c>
    </row>
    <row r="5799" spans="1:40" x14ac:dyDescent="0.25">
      <c r="A5799" t="str">
        <f>"20190312154717641"</f>
        <v>20190312154717641</v>
      </c>
      <c r="B5799" t="str">
        <f>"1552376837633884"</f>
        <v>1552376837633884</v>
      </c>
      <c r="C5799" t="s">
        <v>40</v>
      </c>
      <c r="D5799">
        <v>5.0851709999999999</v>
      </c>
      <c r="E5799">
        <v>0.4324847</v>
      </c>
      <c r="F5799" t="s">
        <v>42</v>
      </c>
      <c r="G5799">
        <v>-191.73099999999999</v>
      </c>
      <c r="H5799" s="1">
        <v>-6.0566669999999999E-7</v>
      </c>
      <c r="I5799">
        <v>-40.072650000000003</v>
      </c>
      <c r="J5799">
        <v>-196.47130000000001</v>
      </c>
      <c r="K5799">
        <v>1.1214649999999999</v>
      </c>
      <c r="L5799">
        <v>-51.953949999999999</v>
      </c>
      <c r="M5799">
        <v>0.55038009999999904</v>
      </c>
      <c r="N5799">
        <v>0</v>
      </c>
      <c r="O5799">
        <v>0.83475489999999997</v>
      </c>
      <c r="P5799">
        <v>0.52372659999999904</v>
      </c>
      <c r="Q5799">
        <v>-1.783707E-2</v>
      </c>
      <c r="R5799">
        <v>0.85169969999999995</v>
      </c>
      <c r="S5799">
        <v>1.138245</v>
      </c>
      <c r="T5799">
        <v>-0.2617102</v>
      </c>
      <c r="U5799">
        <v>2.8262019999999999</v>
      </c>
      <c r="V5799">
        <v>-3.1521550000000002E-2</v>
      </c>
      <c r="W5799">
        <v>-2.4461970000000002E-3</v>
      </c>
      <c r="X5799">
        <v>0.9995001</v>
      </c>
      <c r="Y5799">
        <v>-0.19967750000000001</v>
      </c>
      <c r="Z5799">
        <v>-6.6730360000000002E-2</v>
      </c>
      <c r="AA5799">
        <v>0.97758679999999998</v>
      </c>
      <c r="AB5799">
        <v>28</v>
      </c>
      <c r="AC5799">
        <v>4.7403000000000102</v>
      </c>
      <c r="AD5799">
        <v>-1.1214656056666901</v>
      </c>
      <c r="AE5799">
        <v>11.8812999999999</v>
      </c>
      <c r="AF5799">
        <v>-2.56288788318269</v>
      </c>
      <c r="AG5799">
        <v>-1.1214656056666901</v>
      </c>
      <c r="AH5799">
        <v>12.433047662566601</v>
      </c>
      <c r="AI5799">
        <v>95.0485734565775</v>
      </c>
      <c r="AJ5799">
        <v>101.647527368369</v>
      </c>
      <c r="AK5799">
        <v>12.7438908338902</v>
      </c>
      <c r="AL5799">
        <v>90.140156900802197</v>
      </c>
      <c r="AM5799">
        <v>91.806356365593004</v>
      </c>
      <c r="AN5799">
        <v>1.0000000209470801</v>
      </c>
    </row>
    <row r="5800" spans="1:40" x14ac:dyDescent="0.25">
      <c r="A5800" t="str">
        <f>"20190312154717665"</f>
        <v>20190312154717665</v>
      </c>
      <c r="B5800" t="str">
        <f>"1552376837653403"</f>
        <v>1552376837653403</v>
      </c>
      <c r="C5800" t="s">
        <v>40</v>
      </c>
      <c r="D5800">
        <v>5.1043960000000004</v>
      </c>
      <c r="E5800">
        <v>0.433724</v>
      </c>
      <c r="F5800" t="s">
        <v>42</v>
      </c>
      <c r="G5800">
        <v>-191.8022</v>
      </c>
      <c r="H5800" s="1">
        <v>-6.8995980000000003E-7</v>
      </c>
      <c r="I5800">
        <v>-39.920310000000001</v>
      </c>
      <c r="J5800">
        <v>-196.33279999999999</v>
      </c>
      <c r="K5800">
        <v>1.1213900000000001</v>
      </c>
      <c r="L5800">
        <v>-51.713410000000003</v>
      </c>
      <c r="M5800">
        <v>0.53682719999999995</v>
      </c>
      <c r="N5800">
        <v>0</v>
      </c>
      <c r="O5800">
        <v>0.84353489999999998</v>
      </c>
      <c r="P5800">
        <v>0.51097929999999903</v>
      </c>
      <c r="Q5800">
        <v>-1.7561449999999999E-2</v>
      </c>
      <c r="R5800">
        <v>0.8594136</v>
      </c>
      <c r="S5800">
        <v>1.101715</v>
      </c>
      <c r="T5800">
        <v>-0.26461449999999997</v>
      </c>
      <c r="U5800">
        <v>2.8393860000000002</v>
      </c>
      <c r="V5800">
        <v>-3.028287E-2</v>
      </c>
      <c r="W5800">
        <v>-2.1466620000000001E-3</v>
      </c>
      <c r="X5800">
        <v>0.99953910000000001</v>
      </c>
      <c r="Y5800">
        <v>-0.19634599999999999</v>
      </c>
      <c r="Z5800">
        <v>-6.8448700000000001E-2</v>
      </c>
      <c r="AA5800">
        <v>0.97814259999999997</v>
      </c>
      <c r="AB5800">
        <v>28</v>
      </c>
      <c r="AC5800">
        <v>4.53059999999999</v>
      </c>
      <c r="AD5800">
        <v>-1.1213906899597901</v>
      </c>
      <c r="AE5800">
        <v>11.7930999999999</v>
      </c>
      <c r="AF5800">
        <v>-2.48985313600225</v>
      </c>
      <c r="AG5800">
        <v>-1.1213906899597901</v>
      </c>
      <c r="AH5800">
        <v>12.2848913673485</v>
      </c>
      <c r="AI5800">
        <v>95.112249762480999</v>
      </c>
      <c r="AJ5800">
        <v>101.457284977962</v>
      </c>
      <c r="AK5800">
        <v>12.584730494767999</v>
      </c>
      <c r="AL5800">
        <v>90.1229947626273</v>
      </c>
      <c r="AM5800">
        <v>91.735349881721902</v>
      </c>
      <c r="AN5800">
        <v>1.00000003640099</v>
      </c>
    </row>
    <row r="5801" spans="1:40" x14ac:dyDescent="0.25">
      <c r="A5801" t="str">
        <f>"20190312154717686"</f>
        <v>20190312154717686</v>
      </c>
      <c r="B5801" t="str">
        <f>"1552376837683660"</f>
        <v>1552376837683660</v>
      </c>
      <c r="C5801" t="s">
        <v>40</v>
      </c>
      <c r="D5801">
        <v>5.0477359999999996</v>
      </c>
      <c r="E5801">
        <v>0.435338</v>
      </c>
      <c r="F5801" t="s">
        <v>42</v>
      </c>
      <c r="G5801">
        <v>-191.84180000000001</v>
      </c>
      <c r="H5801" s="1">
        <v>-7.8611029999999997E-7</v>
      </c>
      <c r="I5801">
        <v>-39.720799999999997</v>
      </c>
      <c r="J5801">
        <v>-196.2045</v>
      </c>
      <c r="K5801">
        <v>1.1213</v>
      </c>
      <c r="L5801">
        <v>-51.482059999999997</v>
      </c>
      <c r="M5801">
        <v>0.52386790000000005</v>
      </c>
      <c r="N5801">
        <v>0</v>
      </c>
      <c r="O5801">
        <v>0.85164409999999902</v>
      </c>
      <c r="P5801">
        <v>0.49831239999999999</v>
      </c>
      <c r="Q5801">
        <v>-1.6505289999999999E-2</v>
      </c>
      <c r="R5801">
        <v>0.86684039999999996</v>
      </c>
      <c r="S5801">
        <v>1.06749</v>
      </c>
      <c r="T5801">
        <v>-0.26655200000000001</v>
      </c>
      <c r="U5801">
        <v>2.850616</v>
      </c>
      <c r="V5801">
        <v>-2.971002E-2</v>
      </c>
      <c r="W5801">
        <v>-1.088852E-3</v>
      </c>
      <c r="X5801">
        <v>0.99955799999999995</v>
      </c>
      <c r="Y5801">
        <v>-0.19294169999999999</v>
      </c>
      <c r="Z5801">
        <v>-6.9883120000000007E-2</v>
      </c>
      <c r="AA5801">
        <v>0.97871850000000005</v>
      </c>
      <c r="AB5801">
        <v>28</v>
      </c>
      <c r="AC5801">
        <v>4.3626999999999896</v>
      </c>
      <c r="AD5801">
        <v>-1.1213007861102999</v>
      </c>
      <c r="AE5801">
        <v>11.76126</v>
      </c>
      <c r="AF5801">
        <v>-2.4268123776580399</v>
      </c>
      <c r="AG5801">
        <v>-1.1213007861102999</v>
      </c>
      <c r="AH5801">
        <v>12.205988651236</v>
      </c>
      <c r="AI5801">
        <v>95.148517221801001</v>
      </c>
      <c r="AJ5801">
        <v>101.24498906264</v>
      </c>
      <c r="AK5801">
        <v>12.4953148309031</v>
      </c>
      <c r="AL5801">
        <v>90.062386634375301</v>
      </c>
      <c r="AM5801">
        <v>91.702510234364198</v>
      </c>
      <c r="AN5801">
        <v>1.0000000331255301</v>
      </c>
    </row>
    <row r="5802" spans="1:40" x14ac:dyDescent="0.25">
      <c r="A5802" t="str">
        <f>"20190312154717710"</f>
        <v>20190312154717710</v>
      </c>
      <c r="B5802" t="str">
        <f>"1552376837704155"</f>
        <v>1552376837704155</v>
      </c>
      <c r="C5802" t="s">
        <v>40</v>
      </c>
      <c r="D5802">
        <v>5.0082380000000004</v>
      </c>
      <c r="E5802">
        <v>0.45252619999999999</v>
      </c>
      <c r="F5802" t="s">
        <v>42</v>
      </c>
      <c r="G5802">
        <v>-191.85489999999999</v>
      </c>
      <c r="H5802" s="1">
        <v>-8.9128780000000005E-7</v>
      </c>
      <c r="I5802">
        <v>-39.483759999999997</v>
      </c>
      <c r="J5802">
        <v>-196.07</v>
      </c>
      <c r="K5802">
        <v>1.121192</v>
      </c>
      <c r="L5802">
        <v>-51.23019</v>
      </c>
      <c r="M5802">
        <v>0.50983369999999995</v>
      </c>
      <c r="N5802">
        <v>0</v>
      </c>
      <c r="O5802">
        <v>0.86011970000000004</v>
      </c>
      <c r="P5802">
        <v>0.48372939999999998</v>
      </c>
      <c r="Q5802">
        <v>-1.525191E-2</v>
      </c>
      <c r="R5802">
        <v>0.87508469999999905</v>
      </c>
      <c r="S5802">
        <v>1.0367280000000001</v>
      </c>
      <c r="T5802">
        <v>-0.26726270000000002</v>
      </c>
      <c r="U5802">
        <v>2.8598020000000002</v>
      </c>
      <c r="V5802">
        <v>-3.0101820000000001E-2</v>
      </c>
      <c r="W5802">
        <v>1.3381639999999901E-4</v>
      </c>
      <c r="X5802">
        <v>0.99954679999999996</v>
      </c>
      <c r="Y5802">
        <v>-0.18717790000000001</v>
      </c>
      <c r="Z5802">
        <v>-7.110669E-2</v>
      </c>
      <c r="AA5802">
        <v>0.97974910000000004</v>
      </c>
      <c r="AB5802">
        <v>28</v>
      </c>
      <c r="AC5802">
        <v>4.2150999999999996</v>
      </c>
      <c r="AD5802">
        <v>-1.1211928912878</v>
      </c>
      <c r="AE5802">
        <v>11.74643</v>
      </c>
      <c r="AF5802">
        <v>-2.34462277131008</v>
      </c>
      <c r="AG5802">
        <v>-1.1211928912878</v>
      </c>
      <c r="AH5802">
        <v>12.1558379903679</v>
      </c>
      <c r="AI5802">
        <v>95.174912761151901</v>
      </c>
      <c r="AJ5802">
        <v>100.917166620212</v>
      </c>
      <c r="AK5802">
        <v>12.430556169668799</v>
      </c>
      <c r="AL5802">
        <v>89.992332884808405</v>
      </c>
      <c r="AM5802">
        <v>91.724967877831205</v>
      </c>
      <c r="AN5802">
        <v>0.99999997143218999</v>
      </c>
    </row>
    <row r="5803" spans="1:40" x14ac:dyDescent="0.25">
      <c r="A5803" t="str">
        <f>"20190312154717733"</f>
        <v>20190312154717733</v>
      </c>
      <c r="B5803" t="str">
        <f>"1552376837723676"</f>
        <v>1552376837723676</v>
      </c>
      <c r="C5803" t="s">
        <v>40</v>
      </c>
      <c r="D5803">
        <v>5.035946</v>
      </c>
      <c r="E5803">
        <v>0.45411669999999998</v>
      </c>
      <c r="F5803" t="s">
        <v>71</v>
      </c>
      <c r="G5803">
        <v>-191.82230000000001</v>
      </c>
      <c r="H5803" s="1">
        <v>-6.3491779999999999E-6</v>
      </c>
      <c r="I5803">
        <v>-40.45046</v>
      </c>
      <c r="J5803">
        <v>-195.94229999999999</v>
      </c>
      <c r="K5803">
        <v>1.1210639999999901</v>
      </c>
      <c r="L5803">
        <v>-50.981900000000003</v>
      </c>
      <c r="M5803">
        <v>0.49610219999999999</v>
      </c>
      <c r="N5803">
        <v>0</v>
      </c>
      <c r="O5803">
        <v>0.86811280000000002</v>
      </c>
      <c r="P5803">
        <v>0.46939150000000002</v>
      </c>
      <c r="Q5803">
        <v>-1.4814300000000001E-2</v>
      </c>
      <c r="R5803">
        <v>0.88286589999999998</v>
      </c>
      <c r="S5803">
        <v>1.10762</v>
      </c>
      <c r="T5803">
        <v>-0.29235949999999999</v>
      </c>
      <c r="U5803">
        <v>2.810883</v>
      </c>
      <c r="V5803">
        <v>-3.0537930000000001E-2</v>
      </c>
      <c r="W5803">
        <v>5.3674379999999995E-4</v>
      </c>
      <c r="X5803">
        <v>0.99953349999999996</v>
      </c>
      <c r="Y5803">
        <v>-0.1446664</v>
      </c>
      <c r="Z5803">
        <v>-8.0191709999999999E-2</v>
      </c>
      <c r="AA5803">
        <v>0.98622560000000004</v>
      </c>
      <c r="AB5803">
        <v>27</v>
      </c>
      <c r="AC5803">
        <v>4.1199999999999699</v>
      </c>
      <c r="AD5803">
        <v>-1.1210703491780001</v>
      </c>
      <c r="AE5803">
        <v>10.53144</v>
      </c>
      <c r="AF5803">
        <v>-1.63222169796772</v>
      </c>
      <c r="AG5803">
        <v>-1.1210703491780001</v>
      </c>
      <c r="AH5803">
        <v>11.0790097645364</v>
      </c>
      <c r="AI5803">
        <v>95.716725146361</v>
      </c>
      <c r="AJ5803">
        <v>98.380846832075207</v>
      </c>
      <c r="AK5803">
        <v>11.254572571262599</v>
      </c>
      <c r="AL5803">
        <v>89.969246845193496</v>
      </c>
      <c r="AM5803">
        <v>91.749966759059802</v>
      </c>
      <c r="AN5803">
        <v>1.0000000354424201</v>
      </c>
    </row>
    <row r="5804" spans="1:40" x14ac:dyDescent="0.25">
      <c r="A5804" t="str">
        <f>"20190312154717755"</f>
        <v>20190312154717755</v>
      </c>
      <c r="B5804" t="str">
        <f>"1552376837744173"</f>
        <v>1552376837744173</v>
      </c>
      <c r="C5804" t="s">
        <v>40</v>
      </c>
      <c r="D5804">
        <v>5.0794360000000003</v>
      </c>
      <c r="E5804">
        <v>0.45451819999999998</v>
      </c>
      <c r="F5804" t="s">
        <v>42</v>
      </c>
      <c r="G5804">
        <v>-191.84030000000001</v>
      </c>
      <c r="H5804" s="1">
        <v>-5.8519049999999998E-7</v>
      </c>
      <c r="I5804">
        <v>-40.18817</v>
      </c>
      <c r="J5804">
        <v>-195.8254</v>
      </c>
      <c r="K5804">
        <v>1.1209290000000001</v>
      </c>
      <c r="L5804">
        <v>-50.74615</v>
      </c>
      <c r="M5804">
        <v>0.48319839999999997</v>
      </c>
      <c r="N5804">
        <v>0</v>
      </c>
      <c r="O5804">
        <v>0.87536139999999996</v>
      </c>
      <c r="P5804">
        <v>0.45577410000000002</v>
      </c>
      <c r="Q5804">
        <v>-1.450716E-2</v>
      </c>
      <c r="R5804">
        <v>0.88997719999999902</v>
      </c>
      <c r="S5804">
        <v>1.072754</v>
      </c>
      <c r="T5804">
        <v>-0.29317510000000002</v>
      </c>
      <c r="U5804">
        <v>2.8227229999999999</v>
      </c>
      <c r="V5804">
        <v>-3.110651E-2</v>
      </c>
      <c r="W5804">
        <v>8.0472619999999895E-4</v>
      </c>
      <c r="X5804">
        <v>0.99951579999999995</v>
      </c>
      <c r="Y5804">
        <v>-0.1420553</v>
      </c>
      <c r="Z5804">
        <v>-8.1305589999999997E-2</v>
      </c>
      <c r="AA5804">
        <v>0.98651390000000005</v>
      </c>
      <c r="AB5804">
        <v>27</v>
      </c>
      <c r="AC5804">
        <v>3.9850999999999801</v>
      </c>
      <c r="AD5804">
        <v>-1.1209295851904999</v>
      </c>
      <c r="AE5804">
        <v>10.557980000000001</v>
      </c>
      <c r="AF5804">
        <v>-1.5976447542476</v>
      </c>
      <c r="AG5804">
        <v>-1.1209295851904999</v>
      </c>
      <c r="AH5804">
        <v>11.059983527229001</v>
      </c>
      <c r="AI5804">
        <v>95.728114571563694</v>
      </c>
      <c r="AJ5804">
        <v>98.219673968791199</v>
      </c>
      <c r="AK5804">
        <v>11.2308587168706</v>
      </c>
      <c r="AL5804">
        <v>89.953892582336096</v>
      </c>
      <c r="AM5804">
        <v>91.782559779958405</v>
      </c>
      <c r="AN5804">
        <v>1.00000004849913</v>
      </c>
    </row>
    <row r="5805" spans="1:40" x14ac:dyDescent="0.25">
      <c r="A5805" t="str">
        <f>"20190312154717777"</f>
        <v>20190312154717777</v>
      </c>
      <c r="B5805" t="str">
        <f>"1552376837773452"</f>
        <v>1552376837773452</v>
      </c>
      <c r="C5805" t="s">
        <v>40</v>
      </c>
      <c r="D5805">
        <v>5.0639390000000004</v>
      </c>
      <c r="E5805">
        <v>0.4254714</v>
      </c>
      <c r="F5805" t="s">
        <v>42</v>
      </c>
      <c r="G5805">
        <v>-191.86080000000001</v>
      </c>
      <c r="H5805" s="1">
        <v>-7.3708799999999999E-7</v>
      </c>
      <c r="I5805">
        <v>-39.846809999999998</v>
      </c>
      <c r="J5805">
        <v>-195.71619999999999</v>
      </c>
      <c r="K5805">
        <v>1.1207670000000001</v>
      </c>
      <c r="L5805">
        <v>-50.518039999999999</v>
      </c>
      <c r="M5805">
        <v>0.47088160000000001</v>
      </c>
      <c r="N5805">
        <v>0</v>
      </c>
      <c r="O5805">
        <v>0.88204879999999997</v>
      </c>
      <c r="P5805">
        <v>0.44264340000000002</v>
      </c>
      <c r="Q5805">
        <v>-1.304467E-2</v>
      </c>
      <c r="R5805">
        <v>0.89660280000000003</v>
      </c>
      <c r="S5805">
        <v>1.0321499999999999</v>
      </c>
      <c r="T5805">
        <v>-0.29182170000000002</v>
      </c>
      <c r="U5805">
        <v>2.8375240000000002</v>
      </c>
      <c r="V5805">
        <v>-3.1837070000000002E-2</v>
      </c>
      <c r="W5805">
        <v>2.2204540000000002E-3</v>
      </c>
      <c r="X5805">
        <v>0.99949060000000001</v>
      </c>
      <c r="Y5805">
        <v>-0.1422986</v>
      </c>
      <c r="Z5805">
        <v>-8.1661360000000002E-2</v>
      </c>
      <c r="AA5805">
        <v>0.98644949999999998</v>
      </c>
      <c r="AB5805">
        <v>27</v>
      </c>
      <c r="AC5805">
        <v>3.8553999999999702</v>
      </c>
      <c r="AD5805">
        <v>-1.120767737088</v>
      </c>
      <c r="AE5805">
        <v>10.67123</v>
      </c>
      <c r="AF5805">
        <v>-1.60874974316994</v>
      </c>
      <c r="AG5805">
        <v>-1.120767737088</v>
      </c>
      <c r="AH5805">
        <v>11.1209369280839</v>
      </c>
      <c r="AI5805">
        <v>95.695943216972296</v>
      </c>
      <c r="AJ5805">
        <v>98.231281691896896</v>
      </c>
      <c r="AK5805">
        <v>11.292450319353501</v>
      </c>
      <c r="AL5805">
        <v>89.872777251949202</v>
      </c>
      <c r="AM5805">
        <v>91.8244425489831</v>
      </c>
      <c r="AN5805">
        <v>0.999999994465255</v>
      </c>
    </row>
    <row r="5806" spans="1:40" x14ac:dyDescent="0.25">
      <c r="A5806" t="str">
        <f>"20190312154717799"</f>
        <v>20190312154717799</v>
      </c>
      <c r="B5806" t="str">
        <f>"1552376837793948"</f>
        <v>1552376837793948</v>
      </c>
      <c r="C5806" t="s">
        <v>40</v>
      </c>
      <c r="D5806">
        <v>5.0468400000000004</v>
      </c>
      <c r="E5806">
        <v>0.4274502</v>
      </c>
      <c r="F5806" t="s">
        <v>42</v>
      </c>
      <c r="G5806">
        <v>-191.64169999999999</v>
      </c>
      <c r="H5806" s="1">
        <v>-2.6721319999999998E-6</v>
      </c>
      <c r="I5806">
        <v>-35.200330000000001</v>
      </c>
      <c r="J5806">
        <v>-195.60050000000001</v>
      </c>
      <c r="K5806">
        <v>1.1205560000000001</v>
      </c>
      <c r="L5806">
        <v>-50.267760000000003</v>
      </c>
      <c r="M5806">
        <v>0.45759729999999998</v>
      </c>
      <c r="N5806">
        <v>0</v>
      </c>
      <c r="O5806">
        <v>0.88901409999999903</v>
      </c>
      <c r="P5806">
        <v>0.42862440000000002</v>
      </c>
      <c r="Q5806">
        <v>-1.174469E-2</v>
      </c>
      <c r="R5806">
        <v>0.90340640000000005</v>
      </c>
      <c r="S5806">
        <v>0.78596499999999903</v>
      </c>
      <c r="T5806">
        <v>-0.21619769999999999</v>
      </c>
      <c r="U5806">
        <v>2.9548030000000001</v>
      </c>
      <c r="V5806">
        <v>-3.2451290000000001E-2</v>
      </c>
      <c r="W5806">
        <v>3.4683320000000002E-3</v>
      </c>
      <c r="X5806">
        <v>0.99946729999999995</v>
      </c>
      <c r="Y5806">
        <v>-0.2142135</v>
      </c>
      <c r="Z5806">
        <v>-5.9227920000000003E-2</v>
      </c>
      <c r="AA5806">
        <v>0.97498949999999995</v>
      </c>
      <c r="AB5806">
        <v>27</v>
      </c>
      <c r="AC5806">
        <v>3.9588000000000201</v>
      </c>
      <c r="AD5806">
        <v>-1.12055867213199</v>
      </c>
      <c r="AE5806">
        <v>15.0674299999999</v>
      </c>
      <c r="AF5806">
        <v>-3.3584472995065502</v>
      </c>
      <c r="AG5806">
        <v>-1.12055867213199</v>
      </c>
      <c r="AH5806">
        <v>15.130380959543899</v>
      </c>
      <c r="AI5806">
        <v>94.135317273519505</v>
      </c>
      <c r="AJ5806">
        <v>102.51487927145</v>
      </c>
      <c r="AK5806">
        <v>15.5390877461382</v>
      </c>
      <c r="AL5806">
        <v>89.801278815967095</v>
      </c>
      <c r="AM5806">
        <v>91.859659639046001</v>
      </c>
      <c r="AN5806">
        <v>0.999999999659408</v>
      </c>
    </row>
    <row r="5807" spans="1:40" x14ac:dyDescent="0.25">
      <c r="A5807" t="str">
        <f>"20190312154717821"</f>
        <v>20190312154717821</v>
      </c>
      <c r="B5807" t="str">
        <f>"1552376837813468"</f>
        <v>1552376837813468</v>
      </c>
      <c r="C5807" t="s">
        <v>40</v>
      </c>
      <c r="D5807">
        <v>5.0653230000000002</v>
      </c>
      <c r="E5807">
        <v>0.42936410000000003</v>
      </c>
      <c r="F5807" t="s">
        <v>42</v>
      </c>
      <c r="G5807">
        <v>-192.04239999999999</v>
      </c>
      <c r="H5807" s="1">
        <v>-2.3115959999999999E-6</v>
      </c>
      <c r="I5807">
        <v>-36.28922</v>
      </c>
      <c r="J5807">
        <v>-195.4957</v>
      </c>
      <c r="K5807">
        <v>1.120317</v>
      </c>
      <c r="L5807">
        <v>-50.032809999999998</v>
      </c>
      <c r="M5807">
        <v>0.44539139999999999</v>
      </c>
      <c r="N5807">
        <v>0</v>
      </c>
      <c r="O5807">
        <v>0.89519259999999901</v>
      </c>
      <c r="P5807">
        <v>0.41577819999999999</v>
      </c>
      <c r="Q5807">
        <v>-1.1217599999999999E-2</v>
      </c>
      <c r="R5807">
        <v>0.90939689999999995</v>
      </c>
      <c r="S5807">
        <v>0.75349429999999995</v>
      </c>
      <c r="T5807">
        <v>-0.23729810000000001</v>
      </c>
      <c r="U5807">
        <v>2.9602050000000002</v>
      </c>
      <c r="V5807">
        <v>-3.2953540000000003E-2</v>
      </c>
      <c r="W5807">
        <v>3.9442119999999999E-3</v>
      </c>
      <c r="X5807">
        <v>0.99944909999999998</v>
      </c>
      <c r="Y5807">
        <v>-0.2114113</v>
      </c>
      <c r="Z5807">
        <v>-6.5670800000000001E-2</v>
      </c>
      <c r="AA5807">
        <v>0.97518850000000001</v>
      </c>
      <c r="AB5807">
        <v>27</v>
      </c>
      <c r="AC5807">
        <v>3.4533000000000098</v>
      </c>
      <c r="AD5807">
        <v>-1.120319311596</v>
      </c>
      <c r="AE5807">
        <v>13.7435899999999</v>
      </c>
      <c r="AF5807">
        <v>-3.0114747986550201</v>
      </c>
      <c r="AG5807">
        <v>-1.120319311596</v>
      </c>
      <c r="AH5807">
        <v>13.7570227670727</v>
      </c>
      <c r="AI5807">
        <v>94.548439741823103</v>
      </c>
      <c r="AJ5807">
        <v>102.347537373891</v>
      </c>
      <c r="AK5807">
        <v>14.127270480762601</v>
      </c>
      <c r="AL5807">
        <v>89.774012712511393</v>
      </c>
      <c r="AM5807">
        <v>91.888455353021399</v>
      </c>
      <c r="AN5807">
        <v>0.999999998048821</v>
      </c>
    </row>
    <row r="5808" spans="1:40" x14ac:dyDescent="0.25">
      <c r="A5808" t="str">
        <f>"20190312154717844"</f>
        <v>20190312154717844</v>
      </c>
      <c r="B5808" t="str">
        <f>"1552376837833963"</f>
        <v>1552376837833963</v>
      </c>
      <c r="C5808" t="s">
        <v>40</v>
      </c>
      <c r="D5808">
        <v>5.0865619999999998</v>
      </c>
      <c r="E5808">
        <v>0.43148300000000001</v>
      </c>
      <c r="F5808" t="s">
        <v>42</v>
      </c>
      <c r="G5808">
        <v>-192.06819999999999</v>
      </c>
      <c r="H5808" s="1">
        <v>-2.4280479999999999E-6</v>
      </c>
      <c r="I5808">
        <v>-36.033799999999999</v>
      </c>
      <c r="J5808">
        <v>-195.38339999999999</v>
      </c>
      <c r="K5808">
        <v>1.120017</v>
      </c>
      <c r="L5808">
        <v>-49.771819999999998</v>
      </c>
      <c r="M5808">
        <v>0.43218240000000002</v>
      </c>
      <c r="N5808">
        <v>0</v>
      </c>
      <c r="O5808">
        <v>0.90164509999999998</v>
      </c>
      <c r="P5808">
        <v>0.40340910000000002</v>
      </c>
      <c r="Q5808">
        <v>-1.1369000000000001E-2</v>
      </c>
      <c r="R5808">
        <v>0.91494909999999996</v>
      </c>
      <c r="S5808">
        <v>0.72573849999999995</v>
      </c>
      <c r="T5808">
        <v>-0.23721829999999999</v>
      </c>
      <c r="U5808">
        <v>2.964172</v>
      </c>
      <c r="V5808">
        <v>-3.1802610000000002E-2</v>
      </c>
      <c r="W5808">
        <v>3.774936E-3</v>
      </c>
      <c r="X5808">
        <v>0.99948700000000001</v>
      </c>
      <c r="Y5808">
        <v>-0.2059542</v>
      </c>
      <c r="Z5808">
        <v>-6.6413509999999995E-2</v>
      </c>
      <c r="AA5808">
        <v>0.97630539999999999</v>
      </c>
      <c r="AB5808">
        <v>27</v>
      </c>
      <c r="AC5808">
        <v>3.3151999999999999</v>
      </c>
      <c r="AD5808">
        <v>-1.120019428048</v>
      </c>
      <c r="AE5808">
        <v>13.738020000000001</v>
      </c>
      <c r="AF5808">
        <v>-2.93016775857259</v>
      </c>
      <c r="AG5808">
        <v>-1.120019428048</v>
      </c>
      <c r="AH5808">
        <v>13.735079726718901</v>
      </c>
      <c r="AI5808">
        <v>94.559680187548295</v>
      </c>
      <c r="AJ5808">
        <v>102.042644634572</v>
      </c>
      <c r="AK5808">
        <v>14.088745214244801</v>
      </c>
      <c r="AL5808">
        <v>89.783711576849996</v>
      </c>
      <c r="AM5808">
        <v>91.822475690100603</v>
      </c>
      <c r="AN5808">
        <v>0.99999995965680699</v>
      </c>
    </row>
    <row r="5809" spans="1:40" x14ac:dyDescent="0.25">
      <c r="A5809" t="str">
        <f>"20190312154717867"</f>
        <v>20190312154717867</v>
      </c>
      <c r="B5809" t="str">
        <f>"1552376837864220"</f>
        <v>1552376837864220</v>
      </c>
      <c r="C5809" t="s">
        <v>40</v>
      </c>
      <c r="D5809">
        <v>5.0464140000000004</v>
      </c>
      <c r="E5809">
        <v>0.4339905</v>
      </c>
      <c r="F5809" t="s">
        <v>42</v>
      </c>
      <c r="G5809">
        <v>-192.19399999999999</v>
      </c>
      <c r="H5809" s="1">
        <v>-2.3630920000000001E-6</v>
      </c>
      <c r="I5809">
        <v>-36.263219999999997</v>
      </c>
      <c r="J5809">
        <v>-195.2824</v>
      </c>
      <c r="K5809">
        <v>1.119702</v>
      </c>
      <c r="L5809">
        <v>-49.528410000000001</v>
      </c>
      <c r="M5809">
        <v>0.42024860000000003</v>
      </c>
      <c r="N5809">
        <v>0</v>
      </c>
      <c r="O5809">
        <v>0.90727009999999997</v>
      </c>
      <c r="P5809">
        <v>0.39274350000000002</v>
      </c>
      <c r="Q5809">
        <v>-1.125956E-2</v>
      </c>
      <c r="R5809">
        <v>0.91957909999999998</v>
      </c>
      <c r="S5809">
        <v>0.70050049999999997</v>
      </c>
      <c r="T5809">
        <v>-0.24599460000000001</v>
      </c>
      <c r="U5809">
        <v>2.9669490000000001</v>
      </c>
      <c r="V5809">
        <v>-3.0235049999999999E-2</v>
      </c>
      <c r="W5809">
        <v>3.8731640000000001E-3</v>
      </c>
      <c r="X5809">
        <v>0.99953530000000002</v>
      </c>
      <c r="Y5809">
        <v>-0.20115150000000001</v>
      </c>
      <c r="Z5809">
        <v>-6.9563310000000003E-2</v>
      </c>
      <c r="AA5809">
        <v>0.97708700000000004</v>
      </c>
      <c r="AB5809">
        <v>27</v>
      </c>
      <c r="AC5809">
        <v>3.0883999999999698</v>
      </c>
      <c r="AD5809">
        <v>-1.1197043630920001</v>
      </c>
      <c r="AE5809">
        <v>13.265189999999899</v>
      </c>
      <c r="AF5809">
        <v>-2.7543982941043201</v>
      </c>
      <c r="AG5809">
        <v>-1.1197043630920001</v>
      </c>
      <c r="AH5809">
        <v>13.245168472875999</v>
      </c>
      <c r="AI5809">
        <v>94.731366219529093</v>
      </c>
      <c r="AJ5809">
        <v>101.747509194138</v>
      </c>
      <c r="AK5809">
        <v>13.574790447670299</v>
      </c>
      <c r="AL5809">
        <v>89.778083491884502</v>
      </c>
      <c r="AM5809">
        <v>91.732617826942501</v>
      </c>
      <c r="AN5809">
        <v>0.99999998779698096</v>
      </c>
    </row>
    <row r="5810" spans="1:40" x14ac:dyDescent="0.25">
      <c r="A5810" t="str">
        <f>"20190312154717889"</f>
        <v>20190312154717889</v>
      </c>
      <c r="B5810" t="str">
        <f>"1552376837883485"</f>
        <v>1552376837883485</v>
      </c>
      <c r="C5810" t="s">
        <v>40</v>
      </c>
      <c r="D5810">
        <v>5.0475839999999996</v>
      </c>
      <c r="E5810">
        <v>0.4348899</v>
      </c>
      <c r="F5810" t="s">
        <v>42</v>
      </c>
      <c r="G5810">
        <v>-192.29689999999999</v>
      </c>
      <c r="H5810" s="1">
        <v>-2.2565520000000001E-6</v>
      </c>
      <c r="I5810">
        <v>-36.575409999999998</v>
      </c>
      <c r="J5810">
        <v>-195.1823</v>
      </c>
      <c r="K5810">
        <v>1.1194</v>
      </c>
      <c r="L5810">
        <v>-49.278840000000002</v>
      </c>
      <c r="M5810">
        <v>0.40834120000000002</v>
      </c>
      <c r="N5810">
        <v>0</v>
      </c>
      <c r="O5810">
        <v>0.91269259999999997</v>
      </c>
      <c r="P5810">
        <v>0.3817101</v>
      </c>
      <c r="Q5810">
        <v>-1.0386889999999999E-2</v>
      </c>
      <c r="R5810">
        <v>0.92422380000000004</v>
      </c>
      <c r="S5810">
        <v>0.68388369999999998</v>
      </c>
      <c r="T5810">
        <v>-0.25648959999999998</v>
      </c>
      <c r="U5810">
        <v>2.967133</v>
      </c>
      <c r="V5810">
        <v>-2.9138710000000002E-2</v>
      </c>
      <c r="W5810">
        <v>4.7185880000000001E-3</v>
      </c>
      <c r="X5810">
        <v>0.99956420000000001</v>
      </c>
      <c r="Y5810">
        <v>-0.19359119999999999</v>
      </c>
      <c r="Z5810">
        <v>-7.3286589999999999E-2</v>
      </c>
      <c r="AA5810">
        <v>0.97834120000000002</v>
      </c>
      <c r="AB5810">
        <v>27</v>
      </c>
      <c r="AC5810">
        <v>2.8854000000000002</v>
      </c>
      <c r="AD5810">
        <v>-1.1194022565520001</v>
      </c>
      <c r="AE5810">
        <v>12.703430000000001</v>
      </c>
      <c r="AF5810">
        <v>-2.5354481036642702</v>
      </c>
      <c r="AG5810">
        <v>-1.1194022565520001</v>
      </c>
      <c r="AH5810">
        <v>12.6805178736887</v>
      </c>
      <c r="AI5810">
        <v>94.947413451236002</v>
      </c>
      <c r="AJ5810">
        <v>101.307084669663</v>
      </c>
      <c r="AK5810">
        <v>12.9798725742315</v>
      </c>
      <c r="AL5810">
        <v>89.729643808189095</v>
      </c>
      <c r="AM5810">
        <v>91.669780111052205</v>
      </c>
      <c r="AN5810">
        <v>0.99999995970740796</v>
      </c>
    </row>
    <row r="5811" spans="1:40" x14ac:dyDescent="0.25">
      <c r="A5811" t="str">
        <f>"20190312154717912"</f>
        <v>20190312154717912</v>
      </c>
      <c r="B5811" t="str">
        <f>"1552376837903981"</f>
        <v>1552376837903981</v>
      </c>
      <c r="C5811" t="s">
        <v>40</v>
      </c>
      <c r="D5811">
        <v>5.066878</v>
      </c>
      <c r="E5811">
        <v>0.45159100000000002</v>
      </c>
      <c r="F5811" t="s">
        <v>42</v>
      </c>
      <c r="G5811">
        <v>-192.32210000000001</v>
      </c>
      <c r="H5811" s="1">
        <v>-2.3797389999999999E-6</v>
      </c>
      <c r="I5811">
        <v>-36.303890000000003</v>
      </c>
      <c r="J5811">
        <v>-195.08369999999999</v>
      </c>
      <c r="K5811">
        <v>1.1190929999999999</v>
      </c>
      <c r="L5811">
        <v>-49.024410000000003</v>
      </c>
      <c r="M5811">
        <v>0.39658300000000002</v>
      </c>
      <c r="N5811">
        <v>0</v>
      </c>
      <c r="O5811">
        <v>0.91786429999999997</v>
      </c>
      <c r="P5811">
        <v>0.37154320000000002</v>
      </c>
      <c r="Q5811">
        <v>-9.2464330000000001E-3</v>
      </c>
      <c r="R5811">
        <v>0.92836960000000002</v>
      </c>
      <c r="S5811">
        <v>0.65525819999999901</v>
      </c>
      <c r="T5811">
        <v>-0.2564476</v>
      </c>
      <c r="U5811">
        <v>2.9724729999999999</v>
      </c>
      <c r="V5811">
        <v>-2.729347E-2</v>
      </c>
      <c r="W5811">
        <v>5.8467700000000003E-3</v>
      </c>
      <c r="X5811">
        <v>0.99961040000000001</v>
      </c>
      <c r="Y5811">
        <v>-0.1903436</v>
      </c>
      <c r="Z5811">
        <v>-7.3885880000000001E-2</v>
      </c>
      <c r="AA5811">
        <v>0.97893319999999995</v>
      </c>
      <c r="AB5811">
        <v>27</v>
      </c>
      <c r="AC5811">
        <v>2.7615999999999801</v>
      </c>
      <c r="AD5811">
        <v>-1.119095379739</v>
      </c>
      <c r="AE5811">
        <v>12.720519999999899</v>
      </c>
      <c r="AF5811">
        <v>-2.4918598493374802</v>
      </c>
      <c r="AG5811">
        <v>-1.119095379739</v>
      </c>
      <c r="AH5811">
        <v>12.678779444057</v>
      </c>
      <c r="AI5811">
        <v>94.949941770673803</v>
      </c>
      <c r="AJ5811">
        <v>101.11906811972899</v>
      </c>
      <c r="AK5811">
        <v>12.969702701632601</v>
      </c>
      <c r="AL5811">
        <v>89.665002858294201</v>
      </c>
      <c r="AM5811">
        <v>91.564021543886298</v>
      </c>
      <c r="AN5811">
        <v>1.00000003500611</v>
      </c>
    </row>
    <row r="5812" spans="1:40" x14ac:dyDescent="0.25">
      <c r="A5812" t="str">
        <f>"20190312154717936"</f>
        <v>20190312154717936</v>
      </c>
      <c r="B5812" t="str">
        <f>"1552376837924477"</f>
        <v>1552376837924477</v>
      </c>
      <c r="C5812" t="s">
        <v>40</v>
      </c>
      <c r="D5812">
        <v>5.061528</v>
      </c>
      <c r="E5812">
        <v>0.45297559999999898</v>
      </c>
      <c r="F5812" t="s">
        <v>42</v>
      </c>
      <c r="G5812">
        <v>-192.0848</v>
      </c>
      <c r="H5812" s="1">
        <v>-1.914438E-6</v>
      </c>
      <c r="I5812">
        <v>-37.241349999999997</v>
      </c>
      <c r="J5812">
        <v>-194.98740000000001</v>
      </c>
      <c r="K5812">
        <v>1.118776</v>
      </c>
      <c r="L5812">
        <v>-48.767580000000002</v>
      </c>
      <c r="M5812">
        <v>0.38515080000000002</v>
      </c>
      <c r="N5812">
        <v>0</v>
      </c>
      <c r="O5812">
        <v>0.92272109999999996</v>
      </c>
      <c r="P5812">
        <v>0.3620101</v>
      </c>
      <c r="Q5812">
        <v>-7.8363649999999997E-3</v>
      </c>
      <c r="R5812">
        <v>0.9321412</v>
      </c>
      <c r="S5812">
        <v>0.74575809999999998</v>
      </c>
      <c r="T5812">
        <v>-0.27829890000000002</v>
      </c>
      <c r="U5812">
        <v>2.930237</v>
      </c>
      <c r="V5812">
        <v>-2.5149680000000001E-2</v>
      </c>
      <c r="W5812">
        <v>7.2457800000000003E-3</v>
      </c>
      <c r="X5812">
        <v>0.99965749999999998</v>
      </c>
      <c r="Y5812">
        <v>-0.1465794</v>
      </c>
      <c r="Z5812">
        <v>-8.2000799999999999E-2</v>
      </c>
      <c r="AA5812">
        <v>0.98579419999999995</v>
      </c>
      <c r="AB5812">
        <v>27</v>
      </c>
      <c r="AC5812">
        <v>2.9026000000000001</v>
      </c>
      <c r="AD5812">
        <v>-1.1187779144379999</v>
      </c>
      <c r="AE5812">
        <v>11.52623</v>
      </c>
      <c r="AF5812">
        <v>-1.74579498784815</v>
      </c>
      <c r="AG5812">
        <v>-1.1187779144379999</v>
      </c>
      <c r="AH5812">
        <v>11.6516443186195</v>
      </c>
      <c r="AI5812">
        <v>95.424478672328107</v>
      </c>
      <c r="AJ5812">
        <v>98.521379472411695</v>
      </c>
      <c r="AK5812">
        <v>11.8347065653969</v>
      </c>
      <c r="AL5812">
        <v>89.584843779912205</v>
      </c>
      <c r="AM5812">
        <v>91.441160216971696</v>
      </c>
      <c r="AN5812">
        <v>1.0000000625190699</v>
      </c>
    </row>
    <row r="5813" spans="1:40" x14ac:dyDescent="0.25">
      <c r="A5813" t="str">
        <f>"20190312154717960"</f>
        <v>20190312154717960</v>
      </c>
      <c r="B5813" t="str">
        <f>"1552376837953757"</f>
        <v>1552376837953757</v>
      </c>
      <c r="C5813" t="s">
        <v>40</v>
      </c>
      <c r="D5813">
        <v>5.0555690000000002</v>
      </c>
      <c r="E5813">
        <v>0.45522859999999998</v>
      </c>
      <c r="F5813" t="s">
        <v>42</v>
      </c>
      <c r="G5813">
        <v>-192.0772</v>
      </c>
      <c r="H5813" s="1">
        <v>-2.0147529999999999E-6</v>
      </c>
      <c r="I5813">
        <v>-37.002789999999997</v>
      </c>
      <c r="J5813">
        <v>-194.88839999999999</v>
      </c>
      <c r="K5813">
        <v>1.1183940000000001</v>
      </c>
      <c r="L5813">
        <v>-48.494840000000003</v>
      </c>
      <c r="M5813">
        <v>0.37353520000000001</v>
      </c>
      <c r="N5813">
        <v>0</v>
      </c>
      <c r="O5813">
        <v>0.92748569999999997</v>
      </c>
      <c r="P5813">
        <v>0.35208869999999998</v>
      </c>
      <c r="Q5813">
        <v>-6.1487249999999999E-3</v>
      </c>
      <c r="R5813">
        <v>0.93594639999999996</v>
      </c>
      <c r="S5813">
        <v>0.72579959999999999</v>
      </c>
      <c r="T5813">
        <v>-0.27902650000000001</v>
      </c>
      <c r="U5813">
        <v>2.9341740000000001</v>
      </c>
      <c r="V5813">
        <v>-2.324787E-2</v>
      </c>
      <c r="W5813">
        <v>8.9055969999999995E-3</v>
      </c>
      <c r="X5813">
        <v>0.99969010000000003</v>
      </c>
      <c r="Y5813">
        <v>-0.14079420000000001</v>
      </c>
      <c r="Z5813">
        <v>-8.2857910000000007E-2</v>
      </c>
      <c r="AA5813">
        <v>0.98656549999999998</v>
      </c>
      <c r="AB5813">
        <v>27</v>
      </c>
      <c r="AC5813">
        <v>2.8111999999999799</v>
      </c>
      <c r="AD5813">
        <v>-1.1183960147530001</v>
      </c>
      <c r="AE5813">
        <v>11.492050000000001</v>
      </c>
      <c r="AF5813">
        <v>-1.6706120973910601</v>
      </c>
      <c r="AG5813">
        <v>-1.1183960147530001</v>
      </c>
      <c r="AH5813">
        <v>11.6064909488633</v>
      </c>
      <c r="AI5813">
        <v>95.448195521557096</v>
      </c>
      <c r="AJ5813">
        <v>98.190768637198204</v>
      </c>
      <c r="AK5813">
        <v>11.7793202932856</v>
      </c>
      <c r="AL5813">
        <v>89.489740150592198</v>
      </c>
      <c r="AM5813">
        <v>91.332177637953805</v>
      </c>
      <c r="AN5813">
        <v>1.00000003457773</v>
      </c>
    </row>
    <row r="5814" spans="1:40" x14ac:dyDescent="0.25">
      <c r="A5814" t="str">
        <f>"20190312154717980"</f>
        <v>20190312154717980</v>
      </c>
      <c r="B5814" t="str">
        <f>"1552376837974252"</f>
        <v>1552376837974252</v>
      </c>
      <c r="C5814" t="s">
        <v>40</v>
      </c>
      <c r="D5814">
        <v>5.0781689999999999</v>
      </c>
      <c r="E5814">
        <v>0.45587650000000002</v>
      </c>
      <c r="F5814" t="s">
        <v>42</v>
      </c>
      <c r="G5814">
        <v>-191.9314</v>
      </c>
      <c r="H5814" s="1">
        <v>-2.2803590000000002E-6</v>
      </c>
      <c r="I5814">
        <v>-36.293239999999997</v>
      </c>
      <c r="J5814">
        <v>-194.8092</v>
      </c>
      <c r="K5814">
        <v>1.1180399999999999</v>
      </c>
      <c r="L5814">
        <v>-48.269500000000001</v>
      </c>
      <c r="M5814">
        <v>0.36440040000000001</v>
      </c>
      <c r="N5814">
        <v>0</v>
      </c>
      <c r="O5814">
        <v>0.931114</v>
      </c>
      <c r="P5814">
        <v>0.34421079999999998</v>
      </c>
      <c r="Q5814">
        <v>-5.2158459999999997E-3</v>
      </c>
      <c r="R5814">
        <v>0.93887790000000004</v>
      </c>
      <c r="S5814">
        <v>0.71148679999999997</v>
      </c>
      <c r="T5814">
        <v>-0.26910230000000002</v>
      </c>
      <c r="U5814">
        <v>2.935883</v>
      </c>
      <c r="V5814">
        <v>-2.18338E-2</v>
      </c>
      <c r="W5814">
        <v>9.8053480000000002E-3</v>
      </c>
      <c r="X5814">
        <v>0.99971350000000003</v>
      </c>
      <c r="Y5814">
        <v>-0.1356782</v>
      </c>
      <c r="Z5814">
        <v>-8.0441299999999993E-2</v>
      </c>
      <c r="AA5814">
        <v>0.98748199999999997</v>
      </c>
      <c r="AB5814">
        <v>27</v>
      </c>
      <c r="AC5814">
        <v>2.8778000000000001</v>
      </c>
      <c r="AD5814">
        <v>-1.118042280359</v>
      </c>
      <c r="AE5814">
        <v>11.9762599999999</v>
      </c>
      <c r="AF5814">
        <v>-1.6710272246106599</v>
      </c>
      <c r="AG5814">
        <v>-1.118042280359</v>
      </c>
      <c r="AH5814">
        <v>12.1016829220343</v>
      </c>
      <c r="AI5814">
        <v>95.229084419527098</v>
      </c>
      <c r="AJ5814">
        <v>97.861813608681501</v>
      </c>
      <c r="AK5814">
        <v>12.2675621079135</v>
      </c>
      <c r="AL5814">
        <v>89.438185923747398</v>
      </c>
      <c r="AM5814">
        <v>91.251144198863898</v>
      </c>
      <c r="AN5814">
        <v>0.99999997087704495</v>
      </c>
    </row>
    <row r="5815" spans="1:40" x14ac:dyDescent="0.25">
      <c r="A5815" t="str">
        <f>"20190312154718014"</f>
        <v>20190312154718014</v>
      </c>
      <c r="B5815" t="str">
        <f>"1552376838003533"</f>
        <v>1552376838003533</v>
      </c>
      <c r="C5815" t="s">
        <v>40</v>
      </c>
      <c r="D5815">
        <v>5.0530099999999996</v>
      </c>
      <c r="E5815">
        <v>0.46623120000000001</v>
      </c>
      <c r="F5815" t="s">
        <v>42</v>
      </c>
      <c r="G5815">
        <v>-191.90819999999999</v>
      </c>
      <c r="H5815" s="1">
        <v>-2.4236139999999999E-6</v>
      </c>
      <c r="I5815">
        <v>-35.94491</v>
      </c>
      <c r="J5815">
        <v>-194.68090000000001</v>
      </c>
      <c r="K5815">
        <v>1.117354</v>
      </c>
      <c r="L5815">
        <v>-47.892180000000003</v>
      </c>
      <c r="M5815">
        <v>0.35013</v>
      </c>
      <c r="N5815">
        <v>0</v>
      </c>
      <c r="O5815">
        <v>0.93657579999999996</v>
      </c>
      <c r="P5815">
        <v>0.33141859999999901</v>
      </c>
      <c r="Q5815">
        <v>-4.1986339999999997E-3</v>
      </c>
      <c r="R5815">
        <v>0.94347449999999999</v>
      </c>
      <c r="S5815">
        <v>0.69203190000000003</v>
      </c>
      <c r="T5815">
        <v>-0.26671479999999997</v>
      </c>
      <c r="U5815">
        <v>2.9400940000000002</v>
      </c>
      <c r="V5815">
        <v>-2.014558E-2</v>
      </c>
      <c r="W5815">
        <v>1.07461E-2</v>
      </c>
      <c r="X5815">
        <v>0.9997393</v>
      </c>
      <c r="Y5815">
        <v>-0.12703349999999999</v>
      </c>
      <c r="Z5815">
        <v>-8.0443539999999994E-2</v>
      </c>
      <c r="AA5815">
        <v>0.98863109999999998</v>
      </c>
      <c r="AB5815">
        <v>27</v>
      </c>
      <c r="AC5815">
        <v>2.7727000000000102</v>
      </c>
      <c r="AD5815">
        <v>-1.1173564236139999</v>
      </c>
      <c r="AE5815">
        <v>11.9472699999999</v>
      </c>
      <c r="AF5815">
        <v>-1.573381531706</v>
      </c>
      <c r="AG5815">
        <v>-1.1173564236139999</v>
      </c>
      <c r="AH5815">
        <v>12.0616487794919</v>
      </c>
      <c r="AI5815">
        <v>95.248397554041205</v>
      </c>
      <c r="AJ5815">
        <v>97.4319824540963</v>
      </c>
      <c r="AK5815">
        <v>12.215047527599801</v>
      </c>
      <c r="AL5815">
        <v>89.384281970240295</v>
      </c>
      <c r="AM5815">
        <v>91.154401469371905</v>
      </c>
      <c r="AN5815">
        <v>0.999999995511618</v>
      </c>
    </row>
    <row r="5816" spans="1:40" x14ac:dyDescent="0.25">
      <c r="A5816" t="str">
        <f>"20190312154718036"</f>
        <v>20190312154718036</v>
      </c>
      <c r="B5816" t="str">
        <f>"1552376838025005"</f>
        <v>1552376838025005</v>
      </c>
      <c r="C5816" t="s">
        <v>40</v>
      </c>
      <c r="D5816">
        <v>5.1285080000000001</v>
      </c>
      <c r="E5816">
        <v>0.46731679999999998</v>
      </c>
      <c r="F5816" t="s">
        <v>42</v>
      </c>
      <c r="G5816">
        <v>-191.77269999999999</v>
      </c>
      <c r="H5816" s="1">
        <v>-2.2598150000000001E-6</v>
      </c>
      <c r="I5816">
        <v>-36.242669999999997</v>
      </c>
      <c r="J5816">
        <v>-194.59639999999999</v>
      </c>
      <c r="K5816">
        <v>1.116892</v>
      </c>
      <c r="L5816">
        <v>-47.635770000000001</v>
      </c>
      <c r="M5816">
        <v>0.34109830000000002</v>
      </c>
      <c r="N5816">
        <v>0</v>
      </c>
      <c r="O5816">
        <v>0.93990439999999997</v>
      </c>
      <c r="P5816">
        <v>0.32406980000000002</v>
      </c>
      <c r="Q5816">
        <v>-3.5221520000000002E-3</v>
      </c>
      <c r="R5816">
        <v>0.94602660000000005</v>
      </c>
      <c r="S5816">
        <v>0.72950740000000003</v>
      </c>
      <c r="T5816">
        <v>-0.28028509999999901</v>
      </c>
      <c r="U5816">
        <v>2.9222410000000001</v>
      </c>
      <c r="V5816">
        <v>-1.829625E-2</v>
      </c>
      <c r="W5816">
        <v>1.1382160000000001E-2</v>
      </c>
      <c r="X5816">
        <v>0.99976779999999998</v>
      </c>
      <c r="Y5816">
        <v>-0.1042418</v>
      </c>
      <c r="Z5816">
        <v>-8.5466440000000005E-2</v>
      </c>
      <c r="AA5816">
        <v>0.99087289999999995</v>
      </c>
      <c r="AB5816">
        <v>27</v>
      </c>
      <c r="AC5816">
        <v>2.8237000000000001</v>
      </c>
      <c r="AD5816">
        <v>-1.116894259815</v>
      </c>
      <c r="AE5816">
        <v>11.393099999999899</v>
      </c>
      <c r="AF5816">
        <v>-1.22124433702123</v>
      </c>
      <c r="AG5816">
        <v>-1.116894259815</v>
      </c>
      <c r="AH5816">
        <v>11.568195434490701</v>
      </c>
      <c r="AI5816">
        <v>95.484450445785001</v>
      </c>
      <c r="AJ5816">
        <v>96.026344241088793</v>
      </c>
      <c r="AK5816">
        <v>11.6859760451957</v>
      </c>
      <c r="AL5816">
        <v>89.347836175085902</v>
      </c>
      <c r="AM5816">
        <v>91.048424345677802</v>
      </c>
      <c r="AN5816">
        <v>0.99999998012358304</v>
      </c>
    </row>
    <row r="5817" spans="1:40" x14ac:dyDescent="0.25">
      <c r="A5817" t="str">
        <f>"20190312154718059"</f>
        <v>20190312154718059</v>
      </c>
      <c r="B5817" t="str">
        <f>"1552376838054286"</f>
        <v>1552376838054286</v>
      </c>
      <c r="C5817" t="s">
        <v>40</v>
      </c>
      <c r="D5817">
        <v>5.1583249999999996</v>
      </c>
      <c r="E5817">
        <v>0.46901660000000001</v>
      </c>
      <c r="F5817" t="s">
        <v>42</v>
      </c>
      <c r="G5817">
        <v>-191.7432</v>
      </c>
      <c r="H5817" s="1">
        <v>-2.3733459999999998E-6</v>
      </c>
      <c r="I5817">
        <v>-35.959719999999997</v>
      </c>
      <c r="J5817">
        <v>-194.51480000000001</v>
      </c>
      <c r="K5817">
        <v>1.1164540000000001</v>
      </c>
      <c r="L5817">
        <v>-47.381770000000003</v>
      </c>
      <c r="M5817">
        <v>0.33267839999999999</v>
      </c>
      <c r="N5817">
        <v>0</v>
      </c>
      <c r="O5817">
        <v>0.9429189</v>
      </c>
      <c r="P5817">
        <v>0.31712420000000002</v>
      </c>
      <c r="Q5817">
        <v>-3.6969619999999998E-3</v>
      </c>
      <c r="R5817">
        <v>0.94837680000000002</v>
      </c>
      <c r="S5817">
        <v>0.71482849999999998</v>
      </c>
      <c r="T5817">
        <v>-0.27981840000000002</v>
      </c>
      <c r="U5817">
        <v>2.9252319999999998</v>
      </c>
      <c r="V5817">
        <v>-1.6668720000000001E-2</v>
      </c>
      <c r="W5817">
        <v>1.1163299999999999E-2</v>
      </c>
      <c r="X5817">
        <v>0.99979879999999999</v>
      </c>
      <c r="Y5817">
        <v>-0.10027220000000001</v>
      </c>
      <c r="Z5817">
        <v>-8.5722969999999996E-2</v>
      </c>
      <c r="AA5817">
        <v>0.99126029999999998</v>
      </c>
      <c r="AB5817">
        <v>27</v>
      </c>
      <c r="AC5817">
        <v>2.7715999999999998</v>
      </c>
      <c r="AD5817">
        <v>-1.116456373346</v>
      </c>
      <c r="AE5817">
        <v>11.42205</v>
      </c>
      <c r="AF5817">
        <v>-1.1760002016406499</v>
      </c>
      <c r="AG5817">
        <v>-1.116456373346</v>
      </c>
      <c r="AH5817">
        <v>11.58889148523</v>
      </c>
      <c r="AI5817">
        <v>95.474862790407897</v>
      </c>
      <c r="AJ5817">
        <v>95.794340725580696</v>
      </c>
      <c r="AK5817">
        <v>11.7017886309863</v>
      </c>
      <c r="AL5817">
        <v>89.360376773088902</v>
      </c>
      <c r="AM5817">
        <v>90.955151009322407</v>
      </c>
      <c r="AN5817">
        <v>1.00000005298738</v>
      </c>
    </row>
    <row r="5818" spans="1:40" x14ac:dyDescent="0.25">
      <c r="A5818" t="str">
        <f>"20190312154718080"</f>
        <v>20190312154718080</v>
      </c>
      <c r="B5818" t="str">
        <f>"1552376838073804"</f>
        <v>1552376838073804</v>
      </c>
      <c r="C5818" t="s">
        <v>40</v>
      </c>
      <c r="D5818">
        <v>5.1392620000000004</v>
      </c>
      <c r="E5818">
        <v>0.46955520000000001</v>
      </c>
      <c r="F5818" t="s">
        <v>42</v>
      </c>
      <c r="G5818">
        <v>-191.74950000000001</v>
      </c>
      <c r="H5818" s="1">
        <v>-2.390046E-6</v>
      </c>
      <c r="I5818">
        <v>-35.924680000000002</v>
      </c>
      <c r="J5818">
        <v>-194.43860000000001</v>
      </c>
      <c r="K5818">
        <v>1.1160410000000001</v>
      </c>
      <c r="L5818">
        <v>-47.139499999999998</v>
      </c>
      <c r="M5818">
        <v>0.32521030000000001</v>
      </c>
      <c r="N5818">
        <v>0</v>
      </c>
      <c r="O5818">
        <v>0.94552199999999997</v>
      </c>
      <c r="P5818">
        <v>0.31135790000000002</v>
      </c>
      <c r="Q5818">
        <v>-3.7692519999999998E-3</v>
      </c>
      <c r="R5818">
        <v>0.9502853</v>
      </c>
      <c r="S5818">
        <v>0.70623780000000003</v>
      </c>
      <c r="T5818">
        <v>-0.28513169999999999</v>
      </c>
      <c r="U5818">
        <v>2.9260250000000001</v>
      </c>
      <c r="V5818">
        <v>-1.4818949999999999E-2</v>
      </c>
      <c r="W5818">
        <v>1.1051729999999999E-2</v>
      </c>
      <c r="X5818">
        <v>0.99982910000000003</v>
      </c>
      <c r="Y5818">
        <v>-9.5251730000000007E-2</v>
      </c>
      <c r="Z5818">
        <v>-8.7730859999999994E-2</v>
      </c>
      <c r="AA5818">
        <v>0.99157980000000001</v>
      </c>
      <c r="AB5818">
        <v>27</v>
      </c>
      <c r="AC5818">
        <v>2.6890999999999901</v>
      </c>
      <c r="AD5818">
        <v>-1.1160433900460001</v>
      </c>
      <c r="AE5818">
        <v>11.2148199999999</v>
      </c>
      <c r="AF5818">
        <v>-1.0944475296765599</v>
      </c>
      <c r="AG5818">
        <v>-1.1160433900460001</v>
      </c>
      <c r="AH5818">
        <v>11.373173989275999</v>
      </c>
      <c r="AI5818">
        <v>95.578852738786495</v>
      </c>
      <c r="AJ5818">
        <v>95.496682772693305</v>
      </c>
      <c r="AK5818">
        <v>11.480089495906499</v>
      </c>
      <c r="AL5818">
        <v>89.366769614586403</v>
      </c>
      <c r="AM5818">
        <v>90.849146246058396</v>
      </c>
      <c r="AN5818">
        <v>0.99999998561095205</v>
      </c>
    </row>
    <row r="5819" spans="1:40" x14ac:dyDescent="0.25">
      <c r="A5819" t="str">
        <f>"20190312154718103"</f>
        <v>20190312154718103</v>
      </c>
      <c r="B5819" t="str">
        <f>"1552376838094301"</f>
        <v>1552376838094301</v>
      </c>
      <c r="C5819" t="s">
        <v>40</v>
      </c>
      <c r="D5819">
        <v>5.1240220000000001</v>
      </c>
      <c r="E5819">
        <v>0.47899900000000001</v>
      </c>
      <c r="F5819" t="s">
        <v>42</v>
      </c>
      <c r="G5819">
        <v>-191.73429999999999</v>
      </c>
      <c r="H5819" s="1">
        <v>-2.4820300000000001E-6</v>
      </c>
      <c r="I5819">
        <v>-35.700859999999999</v>
      </c>
      <c r="J5819">
        <v>-194.35830000000001</v>
      </c>
      <c r="K5819">
        <v>1.1155809999999999</v>
      </c>
      <c r="L5819">
        <v>-46.878660000000004</v>
      </c>
      <c r="M5819">
        <v>0.31779770000000002</v>
      </c>
      <c r="N5819">
        <v>0</v>
      </c>
      <c r="O5819">
        <v>0.94804060000000001</v>
      </c>
      <c r="P5819">
        <v>0.30587330000000001</v>
      </c>
      <c r="Q5819">
        <v>-2.5006410000000001E-3</v>
      </c>
      <c r="R5819">
        <v>0.9520689</v>
      </c>
      <c r="S5819">
        <v>0.69245909999999999</v>
      </c>
      <c r="T5819">
        <v>-0.285769</v>
      </c>
      <c r="U5819">
        <v>2.928925</v>
      </c>
      <c r="V5819">
        <v>-1.2761069999999999E-2</v>
      </c>
      <c r="W5819">
        <v>1.2274739999999999E-2</v>
      </c>
      <c r="X5819">
        <v>0.99984320000000004</v>
      </c>
      <c r="Y5819">
        <v>-9.2102489999999995E-2</v>
      </c>
      <c r="Z5819">
        <v>-8.8254650000000004E-2</v>
      </c>
      <c r="AA5819">
        <v>0.99183080000000001</v>
      </c>
      <c r="AB5819">
        <v>27</v>
      </c>
      <c r="AC5819">
        <v>2.6240000000000201</v>
      </c>
      <c r="AD5819">
        <v>-1.1155834820299999</v>
      </c>
      <c r="AE5819">
        <v>11.1777999999999</v>
      </c>
      <c r="AF5819">
        <v>-1.0547820046916101</v>
      </c>
      <c r="AG5819">
        <v>-1.1155834820299999</v>
      </c>
      <c r="AH5819">
        <v>11.3252717003427</v>
      </c>
      <c r="AI5819">
        <v>95.601622289139499</v>
      </c>
      <c r="AJ5819">
        <v>95.320907315867103</v>
      </c>
      <c r="AK5819">
        <v>11.428861302394999</v>
      </c>
      <c r="AL5819">
        <v>89.296691519921893</v>
      </c>
      <c r="AM5819">
        <v>90.731230413116293</v>
      </c>
      <c r="AN5819">
        <v>0.99999996936792501</v>
      </c>
    </row>
    <row r="5820" spans="1:40" x14ac:dyDescent="0.25">
      <c r="A5820" t="str">
        <f>"20190312154718127"</f>
        <v>20190312154718127</v>
      </c>
      <c r="B5820" t="str">
        <f>"1552376838113821"</f>
        <v>1552376838113821</v>
      </c>
      <c r="C5820" t="s">
        <v>40</v>
      </c>
      <c r="D5820">
        <v>5.1319869999999996</v>
      </c>
      <c r="E5820">
        <v>0.4792438</v>
      </c>
      <c r="F5820" t="s">
        <v>42</v>
      </c>
      <c r="G5820">
        <v>-191.5076</v>
      </c>
      <c r="H5820" s="1">
        <v>-2.3895909999999999E-6</v>
      </c>
      <c r="I5820">
        <v>-35.775709999999997</v>
      </c>
      <c r="J5820">
        <v>-194.2773</v>
      </c>
      <c r="K5820">
        <v>1.1150690000000001</v>
      </c>
      <c r="L5820">
        <v>-46.610439999999997</v>
      </c>
      <c r="M5820">
        <v>0.3109305</v>
      </c>
      <c r="N5820">
        <v>0</v>
      </c>
      <c r="O5820">
        <v>0.95031650000000001</v>
      </c>
      <c r="P5820">
        <v>0.30059170000000002</v>
      </c>
      <c r="Q5820">
        <v>-7.0801839999999996E-4</v>
      </c>
      <c r="R5820">
        <v>0.95375259999999995</v>
      </c>
      <c r="S5820">
        <v>0.74720759999999997</v>
      </c>
      <c r="T5820">
        <v>-0.2924079</v>
      </c>
      <c r="U5820">
        <v>2.9102169999999998</v>
      </c>
      <c r="V5820">
        <v>-1.1075440000000001E-2</v>
      </c>
      <c r="W5820">
        <v>1.400932E-2</v>
      </c>
      <c r="X5820">
        <v>0.99984050000000002</v>
      </c>
      <c r="Y5820">
        <v>-6.5924319999999995E-2</v>
      </c>
      <c r="Z5820">
        <v>-9.1084620000000005E-2</v>
      </c>
      <c r="AA5820">
        <v>0.99365870000000001</v>
      </c>
      <c r="AB5820">
        <v>27</v>
      </c>
      <c r="AC5820">
        <v>2.7696999999999998</v>
      </c>
      <c r="AD5820">
        <v>-1.1150713895909901</v>
      </c>
      <c r="AE5820">
        <v>10.83473</v>
      </c>
      <c r="AF5820">
        <v>-0.72958415402368804</v>
      </c>
      <c r="AG5820">
        <v>-1.1150713895909901</v>
      </c>
      <c r="AH5820">
        <v>11.048988676393</v>
      </c>
      <c r="AI5820">
        <v>95.750378290640796</v>
      </c>
      <c r="AJ5820">
        <v>93.777856727917296</v>
      </c>
      <c r="AK5820">
        <v>11.129053329585</v>
      </c>
      <c r="AL5820">
        <v>89.197298812873299</v>
      </c>
      <c r="AM5820">
        <v>90.634651241922896</v>
      </c>
      <c r="AN5820">
        <v>0.99999997592915202</v>
      </c>
    </row>
    <row r="5821" spans="1:40" x14ac:dyDescent="0.25">
      <c r="A5821" t="str">
        <f>"20190312154718150"</f>
        <v>20190312154718150</v>
      </c>
      <c r="B5821" t="str">
        <f>"1552376838144077"</f>
        <v>1552376838144077</v>
      </c>
      <c r="C5821" t="s">
        <v>40</v>
      </c>
      <c r="D5821">
        <v>5.1319269999999904</v>
      </c>
      <c r="E5821">
        <v>0.46381660000000002</v>
      </c>
      <c r="F5821" t="s">
        <v>42</v>
      </c>
      <c r="G5821">
        <v>-191.4325</v>
      </c>
      <c r="H5821" s="1">
        <v>-2.5700529999999999E-6</v>
      </c>
      <c r="I5821">
        <v>-35.308480000000003</v>
      </c>
      <c r="J5821">
        <v>-194.1962</v>
      </c>
      <c r="K5821">
        <v>1.114541</v>
      </c>
      <c r="L5821">
        <v>-46.33737</v>
      </c>
      <c r="M5821">
        <v>0.30462070000000002</v>
      </c>
      <c r="N5821">
        <v>0</v>
      </c>
      <c r="O5821">
        <v>0.95235930000000002</v>
      </c>
      <c r="P5821">
        <v>0.2960777</v>
      </c>
      <c r="Q5821">
        <v>1.4333449999999999E-3</v>
      </c>
      <c r="R5821">
        <v>0.95516279999999998</v>
      </c>
      <c r="S5821">
        <v>0.73352050000000002</v>
      </c>
      <c r="T5821">
        <v>-0.28750959999999998</v>
      </c>
      <c r="U5821">
        <v>2.9140929999999998</v>
      </c>
      <c r="V5821">
        <v>-9.1771460000000006E-3</v>
      </c>
      <c r="W5821">
        <v>1.6094770000000001E-2</v>
      </c>
      <c r="X5821">
        <v>0.9998283</v>
      </c>
      <c r="Y5821">
        <v>-6.3975749999999998E-2</v>
      </c>
      <c r="Z5821">
        <v>-8.9802789999999993E-2</v>
      </c>
      <c r="AA5821">
        <v>0.99390270000000003</v>
      </c>
      <c r="AB5821">
        <v>27</v>
      </c>
      <c r="AC5821">
        <v>2.7637</v>
      </c>
      <c r="AD5821">
        <v>-1.114543570053</v>
      </c>
      <c r="AE5821">
        <v>11.028890000000001</v>
      </c>
      <c r="AF5821">
        <v>-0.72074640928824096</v>
      </c>
      <c r="AG5821">
        <v>-1.114543570053</v>
      </c>
      <c r="AH5821">
        <v>11.2385905800993</v>
      </c>
      <c r="AI5821">
        <v>95.652032344685495</v>
      </c>
      <c r="AJ5821">
        <v>93.669432762577898</v>
      </c>
      <c r="AK5821">
        <v>11.316695674230401</v>
      </c>
      <c r="AL5821">
        <v>89.077797738837702</v>
      </c>
      <c r="AM5821">
        <v>90.525887263004805</v>
      </c>
      <c r="AN5821">
        <v>0.999999945555472</v>
      </c>
    </row>
    <row r="5822" spans="1:40" x14ac:dyDescent="0.25">
      <c r="A5822" t="str">
        <f>"20190312154718172"</f>
        <v>20190312154718172</v>
      </c>
      <c r="B5822" t="str">
        <f>"1552376838163597"</f>
        <v>1552376838163597</v>
      </c>
      <c r="C5822" t="s">
        <v>40</v>
      </c>
      <c r="D5822">
        <v>5.164777</v>
      </c>
      <c r="E5822">
        <v>0.45343329999999998</v>
      </c>
      <c r="F5822" t="s">
        <v>42</v>
      </c>
      <c r="G5822">
        <v>-191.4324</v>
      </c>
      <c r="H5822" s="1">
        <v>-3.640655E-6</v>
      </c>
      <c r="I5822">
        <v>-32.812849999999997</v>
      </c>
      <c r="J5822">
        <v>-194.12360000000001</v>
      </c>
      <c r="K5822">
        <v>1.1141129999999999</v>
      </c>
      <c r="L5822">
        <v>-46.08954</v>
      </c>
      <c r="M5822">
        <v>0.2993903</v>
      </c>
      <c r="N5822">
        <v>0</v>
      </c>
      <c r="O5822">
        <v>0.95401760000000002</v>
      </c>
      <c r="P5822">
        <v>0.29251969999999999</v>
      </c>
      <c r="Q5822">
        <v>2.2982580000000001E-3</v>
      </c>
      <c r="R5822">
        <v>0.95625669999999996</v>
      </c>
      <c r="S5822">
        <v>0.60368350000000004</v>
      </c>
      <c r="T5822">
        <v>-0.24344250000000001</v>
      </c>
      <c r="U5822">
        <v>2.9540709999999999</v>
      </c>
      <c r="V5822">
        <v>-7.4025489999999996E-3</v>
      </c>
      <c r="W5822">
        <v>1.6912429999999999E-2</v>
      </c>
      <c r="X5822">
        <v>0.99982959999999999</v>
      </c>
      <c r="Y5822">
        <v>-0.1029243</v>
      </c>
      <c r="Z5822">
        <v>-7.5552170000000002E-2</v>
      </c>
      <c r="AA5822">
        <v>0.99181569999999997</v>
      </c>
      <c r="AB5822">
        <v>27</v>
      </c>
      <c r="AC5822">
        <v>2.6911999999999998</v>
      </c>
      <c r="AD5822">
        <v>-1.1141166406549901</v>
      </c>
      <c r="AE5822">
        <v>13.27669</v>
      </c>
      <c r="AF5822">
        <v>-1.39815505423817</v>
      </c>
      <c r="AG5822">
        <v>-1.1141166406549901</v>
      </c>
      <c r="AH5822">
        <v>13.3828497431383</v>
      </c>
      <c r="AI5822">
        <v>94.733233215019297</v>
      </c>
      <c r="AJ5822">
        <v>95.964262101617393</v>
      </c>
      <c r="AK5822">
        <v>13.5017317664103</v>
      </c>
      <c r="AL5822">
        <v>89.030942966981399</v>
      </c>
      <c r="AM5822">
        <v>90.424199349313199</v>
      </c>
      <c r="AN5822">
        <v>1.00000002852818</v>
      </c>
    </row>
    <row r="5823" spans="1:40" x14ac:dyDescent="0.25">
      <c r="A5823" t="str">
        <f>"20190312154718195"</f>
        <v>20190312154718195</v>
      </c>
      <c r="B5823" t="str">
        <f>"1552376838183624"</f>
        <v>1552376838183624</v>
      </c>
      <c r="C5823" t="s">
        <v>40</v>
      </c>
      <c r="D5823">
        <v>5.1639039999999996</v>
      </c>
      <c r="E5823">
        <v>0.4490903</v>
      </c>
      <c r="F5823" t="s">
        <v>42</v>
      </c>
      <c r="G5823">
        <v>-191.7379</v>
      </c>
      <c r="H5823" s="1">
        <v>-3.9666549999999999E-6</v>
      </c>
      <c r="I5823">
        <v>-32.24239</v>
      </c>
      <c r="J5823">
        <v>-194.04929999999999</v>
      </c>
      <c r="K5823">
        <v>1.1136969999999999</v>
      </c>
      <c r="L5823">
        <v>-45.832859999999997</v>
      </c>
      <c r="M5823">
        <v>0.29451270000000002</v>
      </c>
      <c r="N5823">
        <v>0</v>
      </c>
      <c r="O5823">
        <v>0.95553580000000005</v>
      </c>
      <c r="P5823">
        <v>0.28981669999999998</v>
      </c>
      <c r="Q5823">
        <v>3.5127119999999999E-3</v>
      </c>
      <c r="R5823">
        <v>0.95707569999999997</v>
      </c>
      <c r="S5823">
        <v>0.51354979999999995</v>
      </c>
      <c r="T5823">
        <v>-0.23982290000000001</v>
      </c>
      <c r="U5823">
        <v>2.9807130000000002</v>
      </c>
      <c r="V5823">
        <v>-5.1116149999999999E-3</v>
      </c>
      <c r="W5823">
        <v>1.8082890000000001E-2</v>
      </c>
      <c r="X5823">
        <v>0.99982349999999998</v>
      </c>
      <c r="Y5823">
        <v>-0.1284942</v>
      </c>
      <c r="Z5823">
        <v>-7.4041529999999994E-2</v>
      </c>
      <c r="AA5823">
        <v>0.9889424</v>
      </c>
      <c r="AB5823">
        <v>27</v>
      </c>
      <c r="AC5823">
        <v>2.3113999999999901</v>
      </c>
      <c r="AD5823">
        <v>-1.113700966655</v>
      </c>
      <c r="AE5823">
        <v>13.5904699999999</v>
      </c>
      <c r="AF5823">
        <v>-1.7824986102248701</v>
      </c>
      <c r="AG5823">
        <v>-1.113700966655</v>
      </c>
      <c r="AH5823">
        <v>13.5797481359948</v>
      </c>
      <c r="AI5823">
        <v>94.648743278616607</v>
      </c>
      <c r="AJ5823">
        <v>97.477980123777499</v>
      </c>
      <c r="AK5823">
        <v>13.7414406295569</v>
      </c>
      <c r="AL5823">
        <v>88.963870326932195</v>
      </c>
      <c r="AM5823">
        <v>90.292923115268593</v>
      </c>
      <c r="AN5823">
        <v>1.0000000753354501</v>
      </c>
    </row>
    <row r="5824" spans="1:40" x14ac:dyDescent="0.25">
      <c r="A5824" t="str">
        <f>"20190312154718226"</f>
        <v>20190312154718226</v>
      </c>
      <c r="B5824" t="str">
        <f>"1552376838214857"</f>
        <v>1552376838214857</v>
      </c>
      <c r="C5824" t="s">
        <v>40</v>
      </c>
      <c r="D5824">
        <v>5.0927989999999896</v>
      </c>
      <c r="E5824">
        <v>0.44731799999999999</v>
      </c>
      <c r="F5824" t="s">
        <v>42</v>
      </c>
      <c r="G5824">
        <v>-191.72210000000001</v>
      </c>
      <c r="H5824" s="1">
        <v>-4.3645380000000001E-6</v>
      </c>
      <c r="I5824">
        <v>-31.085450000000002</v>
      </c>
      <c r="J5824">
        <v>-193.94810000000001</v>
      </c>
      <c r="K5824">
        <v>1.113127</v>
      </c>
      <c r="L5824">
        <v>-45.478610000000003</v>
      </c>
      <c r="M5824">
        <v>0.28870479999999998</v>
      </c>
      <c r="N5824">
        <v>0</v>
      </c>
      <c r="O5824">
        <v>0.9573081</v>
      </c>
      <c r="P5824">
        <v>0.285159</v>
      </c>
      <c r="Q5824">
        <v>3.2053519999999999E-3</v>
      </c>
      <c r="R5824">
        <v>0.95847490000000002</v>
      </c>
      <c r="S5824">
        <v>0.47221370000000001</v>
      </c>
      <c r="T5824">
        <v>-0.22597919999999999</v>
      </c>
      <c r="U5824">
        <v>2.9923709999999999</v>
      </c>
      <c r="V5824">
        <v>-3.873034E-3</v>
      </c>
      <c r="W5824">
        <v>1.7696710000000001E-2</v>
      </c>
      <c r="X5824">
        <v>0.9998359</v>
      </c>
      <c r="Y5824">
        <v>-0.1363607</v>
      </c>
      <c r="Z5824">
        <v>-6.9755429999999993E-2</v>
      </c>
      <c r="AA5824">
        <v>0.98820039999999998</v>
      </c>
      <c r="AB5824">
        <v>27</v>
      </c>
      <c r="AC5824">
        <v>2.2259999999999902</v>
      </c>
      <c r="AD5824">
        <v>-1.1131313645380001</v>
      </c>
      <c r="AE5824">
        <v>14.3931599999999</v>
      </c>
      <c r="AF5824">
        <v>-2.0128620133547201</v>
      </c>
      <c r="AG5824">
        <v>-1.1131313645380001</v>
      </c>
      <c r="AH5824">
        <v>14.339105272219401</v>
      </c>
      <c r="AI5824">
        <v>94.395986014597</v>
      </c>
      <c r="AJ5824">
        <v>97.990721816661093</v>
      </c>
      <c r="AK5824">
        <v>14.522417668119701</v>
      </c>
      <c r="AL5824">
        <v>88.986000275160293</v>
      </c>
      <c r="AM5824">
        <v>90.2219438131646</v>
      </c>
      <c r="AN5824">
        <v>1.0000000004329901</v>
      </c>
    </row>
    <row r="5825" spans="1:40" x14ac:dyDescent="0.25">
      <c r="A5825" t="str">
        <f>"20190312154718248"</f>
        <v>20190312154718248</v>
      </c>
      <c r="B5825" t="str">
        <f>"1552376838244137"</f>
        <v>1552376838244137</v>
      </c>
      <c r="C5825" t="s">
        <v>40</v>
      </c>
      <c r="D5825">
        <v>5.0723909999999997</v>
      </c>
      <c r="E5825">
        <v>0.44788220000000001</v>
      </c>
      <c r="F5825" t="s">
        <v>42</v>
      </c>
      <c r="G5825">
        <v>-191.70089999999999</v>
      </c>
      <c r="H5825" s="1">
        <v>-4.917148E-7</v>
      </c>
      <c r="I5825">
        <v>-30.319590000000002</v>
      </c>
      <c r="J5825">
        <v>-193.8794</v>
      </c>
      <c r="K5825">
        <v>1.1127389999999999</v>
      </c>
      <c r="L5825">
        <v>-45.235840000000003</v>
      </c>
      <c r="M5825">
        <v>0.28534929999999997</v>
      </c>
      <c r="N5825">
        <v>0</v>
      </c>
      <c r="O5825">
        <v>0.95831449999999996</v>
      </c>
      <c r="P5825">
        <v>0.2820973</v>
      </c>
      <c r="Q5825">
        <v>2.4339909999999999E-3</v>
      </c>
      <c r="R5825">
        <v>0.95938270000000003</v>
      </c>
      <c r="S5825">
        <v>0.4445038</v>
      </c>
      <c r="T5825">
        <v>-0.22017819999999999</v>
      </c>
      <c r="U5825">
        <v>2.9984739999999999</v>
      </c>
      <c r="V5825">
        <v>-3.5403069999999999E-3</v>
      </c>
      <c r="W5825">
        <v>1.687048E-2</v>
      </c>
      <c r="X5825">
        <v>0.99985139999999995</v>
      </c>
      <c r="Y5825">
        <v>-0.14210139999999999</v>
      </c>
      <c r="Z5825">
        <v>-6.7961980000000005E-2</v>
      </c>
      <c r="AA5825">
        <v>0.98751630000000001</v>
      </c>
      <c r="AB5825">
        <v>27</v>
      </c>
      <c r="AC5825">
        <v>2.1785000000000099</v>
      </c>
      <c r="AD5825">
        <v>-1.1127394917147999</v>
      </c>
      <c r="AE5825">
        <v>14.91625</v>
      </c>
      <c r="AF5825">
        <v>-2.1571263545939998</v>
      </c>
      <c r="AG5825">
        <v>-1.1127394917147999</v>
      </c>
      <c r="AH5825">
        <v>14.8368088807965</v>
      </c>
      <c r="AI5825">
        <v>94.244610358399896</v>
      </c>
      <c r="AJ5825">
        <v>98.272281487106298</v>
      </c>
      <c r="AK5825">
        <v>15.0340374168547</v>
      </c>
      <c r="AL5825">
        <v>89.033346825242404</v>
      </c>
      <c r="AM5825">
        <v>90.202873948634206</v>
      </c>
      <c r="AN5825">
        <v>0.99999998447552196</v>
      </c>
    </row>
    <row r="5826" spans="1:40" x14ac:dyDescent="0.25">
      <c r="A5826" t="str">
        <f>"20190312154718270"</f>
        <v>20190312154718270</v>
      </c>
      <c r="B5826" t="str">
        <f>"1552376838263657"</f>
        <v>1552376838263657</v>
      </c>
      <c r="C5826" t="s">
        <v>40</v>
      </c>
      <c r="D5826">
        <v>5.1069979999999999</v>
      </c>
      <c r="E5826">
        <v>0.4485828</v>
      </c>
      <c r="F5826" t="s">
        <v>42</v>
      </c>
      <c r="G5826">
        <v>-191.71170000000001</v>
      </c>
      <c r="H5826" s="1">
        <v>-4.587395E-6</v>
      </c>
      <c r="I5826">
        <v>-30.425160000000002</v>
      </c>
      <c r="J5826">
        <v>-193.8058</v>
      </c>
      <c r="K5826">
        <v>1.1123609999999999</v>
      </c>
      <c r="L5826">
        <v>-44.97437</v>
      </c>
      <c r="M5826">
        <v>0.28216200000000002</v>
      </c>
      <c r="N5826">
        <v>0</v>
      </c>
      <c r="O5826">
        <v>0.95925870000000002</v>
      </c>
      <c r="P5826">
        <v>0.27930719999999998</v>
      </c>
      <c r="Q5826">
        <v>3.514419E-3</v>
      </c>
      <c r="R5826">
        <v>0.96019540000000003</v>
      </c>
      <c r="S5826">
        <v>0.43885800000000003</v>
      </c>
      <c r="T5826">
        <v>-0.22528339999999999</v>
      </c>
      <c r="U5826">
        <v>2.998535</v>
      </c>
      <c r="V5826">
        <v>-3.1116379999999999E-3</v>
      </c>
      <c r="W5826">
        <v>1.7896949999999998E-2</v>
      </c>
      <c r="X5826">
        <v>0.99983500000000003</v>
      </c>
      <c r="Y5826">
        <v>-0.1406502</v>
      </c>
      <c r="Z5826">
        <v>-6.9648979999999999E-2</v>
      </c>
      <c r="AA5826">
        <v>0.98760650000000005</v>
      </c>
      <c r="AB5826">
        <v>27</v>
      </c>
      <c r="AC5826">
        <v>2.0940999999999899</v>
      </c>
      <c r="AD5826">
        <v>-1.112365587395</v>
      </c>
      <c r="AE5826">
        <v>14.54921</v>
      </c>
      <c r="AF5826">
        <v>-2.0847291313799898</v>
      </c>
      <c r="AG5826">
        <v>-1.112365587395</v>
      </c>
      <c r="AH5826">
        <v>14.465996459404501</v>
      </c>
      <c r="AI5826">
        <v>94.352329395037302</v>
      </c>
      <c r="AJ5826">
        <v>98.200571145503602</v>
      </c>
      <c r="AK5826">
        <v>14.657711496504101</v>
      </c>
      <c r="AL5826">
        <v>88.974525555789896</v>
      </c>
      <c r="AM5826">
        <v>90.178312570761804</v>
      </c>
      <c r="AN5826">
        <v>1.0000000051676701</v>
      </c>
    </row>
    <row r="5827" spans="1:40" x14ac:dyDescent="0.25">
      <c r="A5827" t="str">
        <f>"20190312154718292"</f>
        <v>20190312154718292</v>
      </c>
      <c r="B5827" t="str">
        <f>"1552376838284152"</f>
        <v>1552376838284152</v>
      </c>
      <c r="C5827" t="s">
        <v>40</v>
      </c>
      <c r="D5827">
        <v>5.0626720000000001</v>
      </c>
      <c r="E5827">
        <v>0.44928319999999999</v>
      </c>
      <c r="F5827" t="s">
        <v>42</v>
      </c>
      <c r="G5827">
        <v>-191.6403</v>
      </c>
      <c r="H5827" s="1">
        <v>-5.8880519999999999E-7</v>
      </c>
      <c r="I5827">
        <v>-30.055700000000002</v>
      </c>
      <c r="J5827">
        <v>-193.73519999999999</v>
      </c>
      <c r="K5827">
        <v>1.112018</v>
      </c>
      <c r="L5827">
        <v>-44.722259999999999</v>
      </c>
      <c r="M5827">
        <v>0.27952779999999999</v>
      </c>
      <c r="N5827">
        <v>0</v>
      </c>
      <c r="O5827">
        <v>0.96003039999999995</v>
      </c>
      <c r="P5827">
        <v>0.27633649999999998</v>
      </c>
      <c r="Q5827">
        <v>4.5808699999999999E-3</v>
      </c>
      <c r="R5827">
        <v>0.96104999999999996</v>
      </c>
      <c r="S5827">
        <v>0.43525700000000001</v>
      </c>
      <c r="T5827">
        <v>-0.2235782</v>
      </c>
      <c r="U5827">
        <v>2.9985659999999998</v>
      </c>
      <c r="V5827">
        <v>-3.4472109999999999E-3</v>
      </c>
      <c r="W5827">
        <v>1.891292E-2</v>
      </c>
      <c r="X5827">
        <v>0.99981520000000002</v>
      </c>
      <c r="Y5827">
        <v>-0.1390902</v>
      </c>
      <c r="Z5827">
        <v>-6.9222309999999995E-2</v>
      </c>
      <c r="AA5827">
        <v>0.9878574</v>
      </c>
      <c r="AB5827">
        <v>27</v>
      </c>
      <c r="AC5827">
        <v>2.0948999999999902</v>
      </c>
      <c r="AD5827">
        <v>-1.1120185888052001</v>
      </c>
      <c r="AE5827">
        <v>14.666559999999899</v>
      </c>
      <c r="AF5827">
        <v>-2.0770569656374702</v>
      </c>
      <c r="AG5827">
        <v>-1.1120185888052001</v>
      </c>
      <c r="AH5827">
        <v>14.5852663947433</v>
      </c>
      <c r="AI5827">
        <v>94.316560905908105</v>
      </c>
      <c r="AJ5827">
        <v>98.104875102417594</v>
      </c>
      <c r="AK5827">
        <v>14.7743272870875</v>
      </c>
      <c r="AL5827">
        <v>88.9163049018034</v>
      </c>
      <c r="AM5827">
        <v>90.197546365318701</v>
      </c>
      <c r="AN5827">
        <v>1.00000000797882</v>
      </c>
    </row>
    <row r="5828" spans="1:40" x14ac:dyDescent="0.25">
      <c r="A5828" t="str">
        <f>"20190312154718315"</f>
        <v>20190312154718315</v>
      </c>
      <c r="B5828" t="str">
        <f>"1552376838303673"</f>
        <v>1552376838303673</v>
      </c>
      <c r="C5828" t="s">
        <v>40</v>
      </c>
      <c r="D5828">
        <v>5.0567599999999997</v>
      </c>
      <c r="E5828">
        <v>0.4500478</v>
      </c>
      <c r="F5828" t="s">
        <v>42</v>
      </c>
      <c r="G5828">
        <v>-191.57560000000001</v>
      </c>
      <c r="H5828" s="1">
        <v>-7.2342140000000005E-7</v>
      </c>
      <c r="I5828">
        <v>-29.701809999999998</v>
      </c>
      <c r="J5828">
        <v>-193.6636</v>
      </c>
      <c r="K5828">
        <v>1.11168</v>
      </c>
      <c r="L5828">
        <v>-44.466000000000001</v>
      </c>
      <c r="M5828">
        <v>0.27730399999999999</v>
      </c>
      <c r="N5828">
        <v>0</v>
      </c>
      <c r="O5828">
        <v>0.96067579999999997</v>
      </c>
      <c r="P5828">
        <v>0.27381549999999999</v>
      </c>
      <c r="Q5828">
        <v>5.0096389999999998E-3</v>
      </c>
      <c r="R5828">
        <v>0.96176919999999999</v>
      </c>
      <c r="S5828">
        <v>0.4311371</v>
      </c>
      <c r="T5828">
        <v>-0.2220038</v>
      </c>
      <c r="U5828">
        <v>2.998688</v>
      </c>
      <c r="V5828">
        <v>-3.738477E-3</v>
      </c>
      <c r="W5828">
        <v>1.9295280000000001E-2</v>
      </c>
      <c r="X5828">
        <v>0.9998068</v>
      </c>
      <c r="Y5828">
        <v>-0.13812759999999999</v>
      </c>
      <c r="Z5828">
        <v>-6.8816269999999999E-2</v>
      </c>
      <c r="AA5828">
        <v>0.98802080000000003</v>
      </c>
      <c r="AB5828">
        <v>27</v>
      </c>
      <c r="AC5828">
        <v>2.0879999999999899</v>
      </c>
      <c r="AD5828">
        <v>-1.1116807234213999</v>
      </c>
      <c r="AE5828">
        <v>14.764189999999999</v>
      </c>
      <c r="AF5828">
        <v>-2.0769471753789901</v>
      </c>
      <c r="AG5828">
        <v>-1.1116807234213999</v>
      </c>
      <c r="AH5828">
        <v>14.682510970392901</v>
      </c>
      <c r="AI5828">
        <v>94.287345561683196</v>
      </c>
      <c r="AJ5828">
        <v>98.051481481864201</v>
      </c>
      <c r="AK5828">
        <v>14.870294953223</v>
      </c>
      <c r="AL5828">
        <v>88.894393236424605</v>
      </c>
      <c r="AM5828">
        <v>90.214239346674603</v>
      </c>
      <c r="AN5828">
        <v>0.99999996068339803</v>
      </c>
    </row>
    <row r="5829" spans="1:40" x14ac:dyDescent="0.25">
      <c r="A5829" t="str">
        <f>"20190312154718339"</f>
        <v>20190312154718339</v>
      </c>
      <c r="B5829" t="str">
        <f>"1552376838333928"</f>
        <v>1552376838333928</v>
      </c>
      <c r="C5829" t="s">
        <v>40</v>
      </c>
      <c r="D5829">
        <v>5.004893</v>
      </c>
      <c r="E5829">
        <v>0.45119880000000001</v>
      </c>
      <c r="F5829" t="s">
        <v>42</v>
      </c>
      <c r="G5829">
        <v>-191.5247</v>
      </c>
      <c r="H5829" s="1">
        <v>-7.9121199999999995E-7</v>
      </c>
      <c r="I5829">
        <v>-29.512219999999999</v>
      </c>
      <c r="J5829">
        <v>-193.5856</v>
      </c>
      <c r="K5829">
        <v>1.1113200000000001</v>
      </c>
      <c r="L5829">
        <v>-44.186070000000001</v>
      </c>
      <c r="M5829">
        <v>0.27536579999999999</v>
      </c>
      <c r="N5829">
        <v>0</v>
      </c>
      <c r="O5829">
        <v>0.96123389999999997</v>
      </c>
      <c r="P5829">
        <v>0.27196670000000001</v>
      </c>
      <c r="Q5829">
        <v>4.9968180000000001E-3</v>
      </c>
      <c r="R5829">
        <v>0.96229370000000003</v>
      </c>
      <c r="S5829">
        <v>0.42886350000000001</v>
      </c>
      <c r="T5829">
        <v>-0.2228986</v>
      </c>
      <c r="U5829">
        <v>2.9983219999999999</v>
      </c>
      <c r="V5829">
        <v>-3.625016E-3</v>
      </c>
      <c r="W5829">
        <v>1.9238539999999998E-2</v>
      </c>
      <c r="X5829">
        <v>0.99980840000000004</v>
      </c>
      <c r="Y5829">
        <v>-0.1368501</v>
      </c>
      <c r="Z5829">
        <v>-6.9171540000000004E-2</v>
      </c>
      <c r="AA5829">
        <v>0.98817370000000004</v>
      </c>
      <c r="AB5829">
        <v>27</v>
      </c>
      <c r="AC5829">
        <v>2.0609000000000002</v>
      </c>
      <c r="AD5829">
        <v>-1.111320791212</v>
      </c>
      <c r="AE5829">
        <v>14.6738499999999</v>
      </c>
      <c r="AF5829">
        <v>-2.0483570462112302</v>
      </c>
      <c r="AG5829">
        <v>-1.111320791212</v>
      </c>
      <c r="AH5829">
        <v>14.5919167181991</v>
      </c>
      <c r="AI5829">
        <v>94.313113823178895</v>
      </c>
      <c r="AJ5829">
        <v>97.990746645220099</v>
      </c>
      <c r="AK5829">
        <v>14.776834370074001</v>
      </c>
      <c r="AL5829">
        <v>88.897644900501106</v>
      </c>
      <c r="AM5829">
        <v>90.207737009767797</v>
      </c>
      <c r="AN5829">
        <v>1.0000000494364401</v>
      </c>
    </row>
    <row r="5830" spans="1:40" x14ac:dyDescent="0.25">
      <c r="A5830" t="str">
        <f>"20190312154718363"</f>
        <v>20190312154718363</v>
      </c>
      <c r="B5830" t="str">
        <f>"1552376838353449"</f>
        <v>1552376838353449</v>
      </c>
      <c r="C5830" t="s">
        <v>40</v>
      </c>
      <c r="D5830">
        <v>4.9759390000000003</v>
      </c>
      <c r="E5830">
        <v>0.4519666</v>
      </c>
      <c r="F5830" t="s">
        <v>42</v>
      </c>
      <c r="G5830">
        <v>-191.44929999999999</v>
      </c>
      <c r="H5830" s="1">
        <v>-8.3954509999999998E-7</v>
      </c>
      <c r="I5830">
        <v>-29.352789999999999</v>
      </c>
      <c r="J5830">
        <v>-193.51159999999999</v>
      </c>
      <c r="K5830">
        <v>1.1109899999999999</v>
      </c>
      <c r="L5830">
        <v>-43.920679999999997</v>
      </c>
      <c r="M5830">
        <v>0.2739644</v>
      </c>
      <c r="N5830">
        <v>0</v>
      </c>
      <c r="O5830">
        <v>0.96163480000000001</v>
      </c>
      <c r="P5830">
        <v>0.270119</v>
      </c>
      <c r="Q5830">
        <v>4.7559220000000001E-3</v>
      </c>
      <c r="R5830">
        <v>0.96281519999999998</v>
      </c>
      <c r="S5830">
        <v>0.4315948</v>
      </c>
      <c r="T5830">
        <v>-0.22451760000000001</v>
      </c>
      <c r="U5830">
        <v>2.9967350000000001</v>
      </c>
      <c r="V5830">
        <v>-4.0707950000000003E-3</v>
      </c>
      <c r="W5830">
        <v>1.895964E-2</v>
      </c>
      <c r="X5830">
        <v>0.99981189999999998</v>
      </c>
      <c r="Y5830">
        <v>-0.13445579999999999</v>
      </c>
      <c r="Z5830">
        <v>-6.9759680000000004E-2</v>
      </c>
      <c r="AA5830">
        <v>0.98846100000000003</v>
      </c>
      <c r="AB5830">
        <v>27</v>
      </c>
      <c r="AC5830">
        <v>2.0622999999999898</v>
      </c>
      <c r="AD5830">
        <v>-1.1109908395451</v>
      </c>
      <c r="AE5830">
        <v>14.567889999999901</v>
      </c>
      <c r="AF5830">
        <v>-1.99672178158636</v>
      </c>
      <c r="AG5830">
        <v>-1.1109908395451</v>
      </c>
      <c r="AH5830">
        <v>14.4928242563022</v>
      </c>
      <c r="AI5830">
        <v>94.342743424754502</v>
      </c>
      <c r="AJ5830">
        <v>97.844434844670303</v>
      </c>
      <c r="AK5830">
        <v>14.671849012400401</v>
      </c>
      <c r="AL5830">
        <v>88.913627486201804</v>
      </c>
      <c r="AM5830">
        <v>90.2332819642629</v>
      </c>
      <c r="AN5830">
        <v>0.99999993735123305</v>
      </c>
    </row>
    <row r="5831" spans="1:40" x14ac:dyDescent="0.25">
      <c r="A5831" t="str">
        <f>"20190312154718405"</f>
        <v>20190312154718405</v>
      </c>
      <c r="B5831" t="str">
        <f>"1552376838393465"</f>
        <v>1552376838393465</v>
      </c>
      <c r="C5831" t="s">
        <v>40</v>
      </c>
      <c r="D5831">
        <v>4.9859349999999996</v>
      </c>
      <c r="E5831">
        <v>0.46227629999999997</v>
      </c>
      <c r="F5831" t="s">
        <v>42</v>
      </c>
      <c r="G5831">
        <v>-191.3673</v>
      </c>
      <c r="H5831" s="1">
        <v>-9.4989759999999998E-7</v>
      </c>
      <c r="I5831">
        <v>-29.044689999999999</v>
      </c>
      <c r="J5831">
        <v>-193.38050000000001</v>
      </c>
      <c r="K5831">
        <v>1.110465</v>
      </c>
      <c r="L5831">
        <v>-43.451169999999998</v>
      </c>
      <c r="M5831">
        <v>0.27247749999999998</v>
      </c>
      <c r="N5831">
        <v>0</v>
      </c>
      <c r="O5831">
        <v>0.96205799999999997</v>
      </c>
      <c r="P5831">
        <v>0.26990429999999999</v>
      </c>
      <c r="Q5831">
        <v>5.1820700000000004E-3</v>
      </c>
      <c r="R5831">
        <v>0.96287319999999998</v>
      </c>
      <c r="S5831">
        <v>0.43183899999999997</v>
      </c>
      <c r="T5831">
        <v>-0.2237381</v>
      </c>
      <c r="U5831">
        <v>2.995819</v>
      </c>
      <c r="V5831">
        <v>-2.7234830000000001E-3</v>
      </c>
      <c r="W5831">
        <v>1.9333889999999999E-2</v>
      </c>
      <c r="X5831">
        <v>0.99980939999999996</v>
      </c>
      <c r="Y5831">
        <v>-0.13280020000000001</v>
      </c>
      <c r="Z5831">
        <v>-6.9594020000000006E-2</v>
      </c>
      <c r="AA5831">
        <v>0.98869649999999998</v>
      </c>
      <c r="AB5831">
        <v>26</v>
      </c>
      <c r="AC5831">
        <v>2.0132000000000101</v>
      </c>
      <c r="AD5831">
        <v>-1.1104659498975999</v>
      </c>
      <c r="AE5831">
        <v>14.406479999999901</v>
      </c>
      <c r="AF5831">
        <v>-1.97730271141824</v>
      </c>
      <c r="AG5831">
        <v>-1.1104659498975999</v>
      </c>
      <c r="AH5831">
        <v>14.326375591733701</v>
      </c>
      <c r="AI5831">
        <v>94.390790004657305</v>
      </c>
      <c r="AJ5831">
        <v>97.858222616966998</v>
      </c>
      <c r="AK5831">
        <v>14.504754332076301</v>
      </c>
      <c r="AL5831">
        <v>88.892180706459399</v>
      </c>
      <c r="AM5831">
        <v>90.156073443116796</v>
      </c>
      <c r="AN5831">
        <v>1.00000002649527</v>
      </c>
    </row>
    <row r="5832" spans="1:40" x14ac:dyDescent="0.25">
      <c r="A5832" t="str">
        <f>"20190312154718428"</f>
        <v>20190312154718428</v>
      </c>
      <c r="B5832" t="str">
        <f>"1552376838423720"</f>
        <v>1552376838423720</v>
      </c>
      <c r="C5832" t="s">
        <v>40</v>
      </c>
      <c r="D5832">
        <v>4.959473</v>
      </c>
      <c r="E5832">
        <v>0.4629182</v>
      </c>
      <c r="F5832" t="s">
        <v>42</v>
      </c>
      <c r="G5832">
        <v>-190.66679999999999</v>
      </c>
      <c r="H5832" s="1">
        <v>-1.371496E-6</v>
      </c>
      <c r="I5832">
        <v>-27.627469999999999</v>
      </c>
      <c r="J5832">
        <v>-193.30430000000001</v>
      </c>
      <c r="K5832">
        <v>1.1102299999999901</v>
      </c>
      <c r="L5832">
        <v>-43.179319999999997</v>
      </c>
      <c r="M5832">
        <v>0.27207340000000002</v>
      </c>
      <c r="N5832">
        <v>0</v>
      </c>
      <c r="O5832">
        <v>0.96217280000000005</v>
      </c>
      <c r="P5832">
        <v>0.27047199999999999</v>
      </c>
      <c r="Q5832">
        <v>5.2351150000000003E-3</v>
      </c>
      <c r="R5832">
        <v>0.96271359999999995</v>
      </c>
      <c r="S5832">
        <v>0.50999450000000002</v>
      </c>
      <c r="T5832">
        <v>-0.20869679999999999</v>
      </c>
      <c r="U5832">
        <v>2.973846</v>
      </c>
      <c r="V5832">
        <v>-1.7027679999999999E-3</v>
      </c>
      <c r="W5832">
        <v>1.9361070000000001E-2</v>
      </c>
      <c r="X5832">
        <v>0.99981109999999895</v>
      </c>
      <c r="Y5832">
        <v>-0.10591159999999999</v>
      </c>
      <c r="Z5832">
        <v>-6.5406899999999907E-2</v>
      </c>
      <c r="AA5832">
        <v>0.9922221</v>
      </c>
      <c r="AB5832">
        <v>26</v>
      </c>
      <c r="AC5832">
        <v>2.6375000000000099</v>
      </c>
      <c r="AD5832">
        <v>-1.1102313714959999</v>
      </c>
      <c r="AE5832">
        <v>15.55185</v>
      </c>
      <c r="AF5832">
        <v>-1.6853339677424399</v>
      </c>
      <c r="AG5832">
        <v>-1.1102313714959999</v>
      </c>
      <c r="AH5832">
        <v>15.605417815686801</v>
      </c>
      <c r="AI5832">
        <v>94.045945434006498</v>
      </c>
      <c r="AJ5832">
        <v>96.163866786117794</v>
      </c>
      <c r="AK5832">
        <v>15.735375098269399</v>
      </c>
      <c r="AL5832">
        <v>88.890623078574194</v>
      </c>
      <c r="AM5832">
        <v>90.097579758380306</v>
      </c>
      <c r="AN5832">
        <v>0.99999999306680798</v>
      </c>
    </row>
    <row r="5833" spans="1:40" x14ac:dyDescent="0.25">
      <c r="A5833" t="str">
        <f>"20190312154718450"</f>
        <v>20190312154718450</v>
      </c>
      <c r="B5833" t="str">
        <f>"1552376838444217"</f>
        <v>1552376838444217</v>
      </c>
      <c r="C5833" t="s">
        <v>40</v>
      </c>
      <c r="D5833">
        <v>5.0226959999999998</v>
      </c>
      <c r="E5833">
        <v>0.46301619999999999</v>
      </c>
      <c r="F5833" t="s">
        <v>42</v>
      </c>
      <c r="G5833">
        <v>-190.5797</v>
      </c>
      <c r="H5833" s="1">
        <v>-1.40387E-6</v>
      </c>
      <c r="I5833">
        <v>-27.497959999999999</v>
      </c>
      <c r="J5833">
        <v>-193.2372</v>
      </c>
      <c r="K5833">
        <v>1.1100909999999999</v>
      </c>
      <c r="L5833">
        <v>-42.940429999999999</v>
      </c>
      <c r="M5833">
        <v>0.27188610000000002</v>
      </c>
      <c r="N5833">
        <v>0</v>
      </c>
      <c r="O5833">
        <v>0.96222609999999997</v>
      </c>
      <c r="P5833">
        <v>0.271153599999999</v>
      </c>
      <c r="Q5833">
        <v>5.4118229999999996E-3</v>
      </c>
      <c r="R5833">
        <v>0.96252090000000001</v>
      </c>
      <c r="S5833">
        <v>0.5164185</v>
      </c>
      <c r="T5833">
        <v>-0.21043419999999999</v>
      </c>
      <c r="U5833">
        <v>2.9722599999999999</v>
      </c>
      <c r="V5833">
        <v>-7.9265409999999998E-4</v>
      </c>
      <c r="W5833">
        <v>1.9516490000000001E-2</v>
      </c>
      <c r="X5833">
        <v>0.99980919999999895</v>
      </c>
      <c r="Y5833">
        <v>-0.1035537</v>
      </c>
      <c r="Z5833">
        <v>-6.5985989999999994E-2</v>
      </c>
      <c r="AA5833">
        <v>0.9924326</v>
      </c>
      <c r="AB5833">
        <v>26</v>
      </c>
      <c r="AC5833">
        <v>2.6575000000000002</v>
      </c>
      <c r="AD5833">
        <v>-1.11009240387</v>
      </c>
      <c r="AE5833">
        <v>15.44247</v>
      </c>
      <c r="AF5833">
        <v>-1.63344222812894</v>
      </c>
      <c r="AG5833">
        <v>-1.11009240387</v>
      </c>
      <c r="AH5833">
        <v>15.505414320862601</v>
      </c>
      <c r="AI5833">
        <v>94.072578994704003</v>
      </c>
      <c r="AJ5833">
        <v>96.013732751155203</v>
      </c>
      <c r="AK5833">
        <v>15.630684947223999</v>
      </c>
      <c r="AL5833">
        <v>88.881716469858503</v>
      </c>
      <c r="AM5833">
        <v>90.045424392002502</v>
      </c>
      <c r="AN5833">
        <v>0.99999997904353999</v>
      </c>
    </row>
    <row r="5834" spans="1:40" x14ac:dyDescent="0.25">
      <c r="A5834" t="str">
        <f>"20190312154718471"</f>
        <v>20190312154718471</v>
      </c>
      <c r="B5834" t="str">
        <f>"1552376838463737"</f>
        <v>1552376838463737</v>
      </c>
      <c r="C5834" t="s">
        <v>40</v>
      </c>
      <c r="D5834">
        <v>4.9225899999999996</v>
      </c>
      <c r="E5834">
        <v>0.46288289999999999</v>
      </c>
      <c r="F5834" t="s">
        <v>42</v>
      </c>
      <c r="G5834">
        <v>-190.5138</v>
      </c>
      <c r="H5834" s="1">
        <v>-1.4494080000000001E-6</v>
      </c>
      <c r="I5834">
        <v>-27.350919999999999</v>
      </c>
      <c r="J5834">
        <v>-193.1669</v>
      </c>
      <c r="K5834">
        <v>1.109969</v>
      </c>
      <c r="L5834">
        <v>-42.691070000000003</v>
      </c>
      <c r="M5834">
        <v>0.27187230000000001</v>
      </c>
      <c r="N5834">
        <v>0</v>
      </c>
      <c r="O5834">
        <v>0.96223029999999998</v>
      </c>
      <c r="P5834">
        <v>0.27201959999999997</v>
      </c>
      <c r="Q5834">
        <v>5.3633279999999997E-3</v>
      </c>
      <c r="R5834">
        <v>0.96227680000000004</v>
      </c>
      <c r="S5834">
        <v>0.51914979999999999</v>
      </c>
      <c r="T5834">
        <v>-0.21161279999999999</v>
      </c>
      <c r="U5834">
        <v>2.9717709999999999</v>
      </c>
      <c r="V5834">
        <v>1.274526E-4</v>
      </c>
      <c r="W5834">
        <v>1.944688E-2</v>
      </c>
      <c r="X5834">
        <v>0.99981089999999995</v>
      </c>
      <c r="Y5834">
        <v>-0.10263120000000001</v>
      </c>
      <c r="Z5834">
        <v>-6.6363279999999997E-2</v>
      </c>
      <c r="AA5834">
        <v>0.99250329999999998</v>
      </c>
      <c r="AB5834">
        <v>26</v>
      </c>
      <c r="AC5834">
        <v>2.65309999999999</v>
      </c>
      <c r="AD5834">
        <v>-1.109970449408</v>
      </c>
      <c r="AE5834">
        <v>15.34015</v>
      </c>
      <c r="AF5834">
        <v>-1.6096464225509499</v>
      </c>
      <c r="AG5834">
        <v>-1.109970449408</v>
      </c>
      <c r="AH5834">
        <v>15.4052839586779</v>
      </c>
      <c r="AI5834">
        <v>94.098875506613794</v>
      </c>
      <c r="AJ5834">
        <v>95.964999018649806</v>
      </c>
      <c r="AK5834">
        <v>15.5288689173323</v>
      </c>
      <c r="AL5834">
        <v>88.885705628056797</v>
      </c>
      <c r="AM5834">
        <v>89.992696122808397</v>
      </c>
      <c r="AN5834">
        <v>1.0000000165723499</v>
      </c>
    </row>
    <row r="5835" spans="1:40" x14ac:dyDescent="0.25">
      <c r="A5835" t="str">
        <f>"20190312154718493"</f>
        <v>20190312154718493</v>
      </c>
      <c r="B5835" t="str">
        <f>"1552376838484233"</f>
        <v>1552376838484233</v>
      </c>
      <c r="C5835" t="s">
        <v>40</v>
      </c>
      <c r="D5835">
        <v>4.9597129999999998</v>
      </c>
      <c r="E5835">
        <v>0.4627964</v>
      </c>
      <c r="F5835" t="s">
        <v>42</v>
      </c>
      <c r="G5835">
        <v>-190.45930000000001</v>
      </c>
      <c r="H5835" s="1">
        <v>-1.4774719999999999E-6</v>
      </c>
      <c r="I5835">
        <v>-27.251719999999999</v>
      </c>
      <c r="J5835">
        <v>-193.09569999999999</v>
      </c>
      <c r="K5835">
        <v>1.109842</v>
      </c>
      <c r="L5835">
        <v>-42.438999999999901</v>
      </c>
      <c r="M5835">
        <v>0.27204099999999998</v>
      </c>
      <c r="N5835">
        <v>0</v>
      </c>
      <c r="O5835">
        <v>0.96218289999999995</v>
      </c>
      <c r="P5835">
        <v>0.27363029999999999</v>
      </c>
      <c r="Q5835">
        <v>3.6620200000000002E-3</v>
      </c>
      <c r="R5835">
        <v>0.96182800000000002</v>
      </c>
      <c r="S5835">
        <v>0.52111819999999998</v>
      </c>
      <c r="T5835">
        <v>-0.2136276</v>
      </c>
      <c r="U5835">
        <v>2.9714969999999998</v>
      </c>
      <c r="V5835">
        <v>1.629974E-3</v>
      </c>
      <c r="W5835">
        <v>1.7726749999999999E-2</v>
      </c>
      <c r="X5835">
        <v>0.99984150000000005</v>
      </c>
      <c r="Y5835">
        <v>-0.1021595</v>
      </c>
      <c r="Z5835">
        <v>-6.6991149999999999E-2</v>
      </c>
      <c r="AA5835">
        <v>0.9925098</v>
      </c>
      <c r="AB5835">
        <v>26</v>
      </c>
      <c r="AC5835">
        <v>2.6363999999999801</v>
      </c>
      <c r="AD5835">
        <v>-1.1098434774720001</v>
      </c>
      <c r="AE5835">
        <v>15.1872799999999</v>
      </c>
      <c r="AF5835">
        <v>-1.58679553061068</v>
      </c>
      <c r="AG5835">
        <v>-1.1098434774720001</v>
      </c>
      <c r="AH5835">
        <v>15.2525957945976</v>
      </c>
      <c r="AI5835">
        <v>94.139486371681301</v>
      </c>
      <c r="AJ5835">
        <v>95.939369242814905</v>
      </c>
      <c r="AK5835">
        <v>15.375023612139</v>
      </c>
      <c r="AL5835">
        <v>88.984278798636893</v>
      </c>
      <c r="AM5835">
        <v>89.9065946470688</v>
      </c>
      <c r="AN5835">
        <v>0.99999995980152501</v>
      </c>
    </row>
    <row r="5836" spans="1:40" x14ac:dyDescent="0.25">
      <c r="A5836" t="str">
        <f>"20190312154718515"</f>
        <v>20190312154718515</v>
      </c>
      <c r="B5836" t="str">
        <f>"1552376838503753"</f>
        <v>1552376838503753</v>
      </c>
      <c r="C5836" t="s">
        <v>40</v>
      </c>
      <c r="D5836">
        <v>4.9809099999999997</v>
      </c>
      <c r="E5836">
        <v>0.46272269999999999</v>
      </c>
      <c r="F5836" t="s">
        <v>42</v>
      </c>
      <c r="G5836">
        <v>-190.46340000000001</v>
      </c>
      <c r="H5836" s="1">
        <v>-1.3515399999999999E-6</v>
      </c>
      <c r="I5836">
        <v>-27.547840000000001</v>
      </c>
      <c r="J5836">
        <v>-193.0257</v>
      </c>
      <c r="K5836">
        <v>1.1096889999999999</v>
      </c>
      <c r="L5836">
        <v>-42.191929999999999</v>
      </c>
      <c r="M5836">
        <v>0.272364099999999</v>
      </c>
      <c r="N5836">
        <v>0</v>
      </c>
      <c r="O5836">
        <v>0.96209169999999999</v>
      </c>
      <c r="P5836">
        <v>0.27581149999999999</v>
      </c>
      <c r="Q5836">
        <v>8.0078229999999999E-4</v>
      </c>
      <c r="R5836">
        <v>0.96121140000000005</v>
      </c>
      <c r="S5836">
        <v>0.52510069999999998</v>
      </c>
      <c r="T5836">
        <v>-0.2213939</v>
      </c>
      <c r="U5836">
        <v>2.97052</v>
      </c>
      <c r="V5836">
        <v>3.5652470000000001E-3</v>
      </c>
      <c r="W5836">
        <v>1.484894E-2</v>
      </c>
      <c r="X5836">
        <v>0.99988339999999998</v>
      </c>
      <c r="Y5836">
        <v>-0.1011774</v>
      </c>
      <c r="Z5836">
        <v>-6.942239E-2</v>
      </c>
      <c r="AA5836">
        <v>0.99244330000000003</v>
      </c>
      <c r="AB5836">
        <v>26</v>
      </c>
      <c r="AC5836">
        <v>2.5622999999999898</v>
      </c>
      <c r="AD5836">
        <v>-1.1096903515399901</v>
      </c>
      <c r="AE5836">
        <v>14.644089999999901</v>
      </c>
      <c r="AF5836">
        <v>-1.51506578801804</v>
      </c>
      <c r="AG5836">
        <v>-1.1096903515399901</v>
      </c>
      <c r="AH5836">
        <v>14.706356945401099</v>
      </c>
      <c r="AI5836">
        <v>94.292528801493305</v>
      </c>
      <c r="AJ5836">
        <v>95.881926603288505</v>
      </c>
      <c r="AK5836">
        <v>14.8257806412975</v>
      </c>
      <c r="AL5836">
        <v>89.149187146341603</v>
      </c>
      <c r="AM5836">
        <v>89.795703438700798</v>
      </c>
      <c r="AN5836">
        <v>1.0000000078004201</v>
      </c>
    </row>
    <row r="5837" spans="1:40" x14ac:dyDescent="0.25">
      <c r="A5837" t="str">
        <f>"20190312154718541"</f>
        <v>20190312154718541</v>
      </c>
      <c r="B5837" t="str">
        <f>"1552376838534010"</f>
        <v>1552376838534010</v>
      </c>
      <c r="C5837" t="s">
        <v>40</v>
      </c>
      <c r="D5837">
        <v>5.1045059999999998</v>
      </c>
      <c r="E5837">
        <v>0.46400560000000002</v>
      </c>
      <c r="F5837" t="s">
        <v>42</v>
      </c>
      <c r="G5837">
        <v>-190.49359999999999</v>
      </c>
      <c r="H5837" s="1">
        <v>-1.1478710000000001E-6</v>
      </c>
      <c r="I5837">
        <v>-28.041309999999999</v>
      </c>
      <c r="J5837">
        <v>-192.94280000000001</v>
      </c>
      <c r="K5837">
        <v>1.109499</v>
      </c>
      <c r="L5837">
        <v>-41.900820000000003</v>
      </c>
      <c r="M5837">
        <v>0.27292450000000001</v>
      </c>
      <c r="N5837">
        <v>0</v>
      </c>
      <c r="O5837">
        <v>0.96193309999999999</v>
      </c>
      <c r="P5837">
        <v>0.2774432</v>
      </c>
      <c r="Q5837">
        <v>-2.181419E-3</v>
      </c>
      <c r="R5837">
        <v>0.96073960000000003</v>
      </c>
      <c r="S5837">
        <v>0.53123469999999995</v>
      </c>
      <c r="T5837">
        <v>-0.23281399999999999</v>
      </c>
      <c r="U5837">
        <v>2.9688110000000001</v>
      </c>
      <c r="V5837">
        <v>4.684723E-3</v>
      </c>
      <c r="W5837">
        <v>1.1847999999999999E-2</v>
      </c>
      <c r="X5837">
        <v>0.9999188</v>
      </c>
      <c r="Y5837">
        <v>-9.9717829999999993E-2</v>
      </c>
      <c r="Z5837">
        <v>-7.2999019999999998E-2</v>
      </c>
      <c r="AA5837">
        <v>0.99233439999999995</v>
      </c>
      <c r="AB5837">
        <v>26</v>
      </c>
      <c r="AC5837">
        <v>2.44920000000001</v>
      </c>
      <c r="AD5837">
        <v>-1.109500147871</v>
      </c>
      <c r="AE5837">
        <v>13.85951</v>
      </c>
      <c r="AF5837">
        <v>-1.41796190138364</v>
      </c>
      <c r="AG5837">
        <v>-1.109500147871</v>
      </c>
      <c r="AH5837">
        <v>13.9152708249899</v>
      </c>
      <c r="AI5837">
        <v>94.535308372270705</v>
      </c>
      <c r="AJ5837">
        <v>95.818339779614504</v>
      </c>
      <c r="AK5837">
        <v>14.0312639724551</v>
      </c>
      <c r="AL5837">
        <v>89.321143696948099</v>
      </c>
      <c r="AM5837">
        <v>89.731565310908906</v>
      </c>
      <c r="AN5837">
        <v>0.999999964163512</v>
      </c>
    </row>
    <row r="5838" spans="1:40" x14ac:dyDescent="0.25">
      <c r="A5838" t="str">
        <f>"20190312154718565"</f>
        <v>20190312154718565</v>
      </c>
      <c r="B5838" t="str">
        <f>"1552376838553529"</f>
        <v>1552376838553529</v>
      </c>
      <c r="C5838" t="s">
        <v>40</v>
      </c>
      <c r="D5838">
        <v>5.0930819999999999</v>
      </c>
      <c r="E5838">
        <v>0.48840260000000002</v>
      </c>
      <c r="F5838" t="s">
        <v>42</v>
      </c>
      <c r="G5838">
        <v>-190.46619999999999</v>
      </c>
      <c r="H5838" s="1">
        <v>-9.6273309999999991E-7</v>
      </c>
      <c r="I5838">
        <v>-28.455850000000002</v>
      </c>
      <c r="J5838">
        <v>-192.86930000000001</v>
      </c>
      <c r="K5838">
        <v>1.1093459999999999</v>
      </c>
      <c r="L5838">
        <v>-41.644350000000003</v>
      </c>
      <c r="M5838">
        <v>0.273591799999999</v>
      </c>
      <c r="N5838">
        <v>0</v>
      </c>
      <c r="O5838">
        <v>0.96174369999999998</v>
      </c>
      <c r="P5838">
        <v>0.27839560000000002</v>
      </c>
      <c r="Q5838">
        <v>-5.1414149999999999E-3</v>
      </c>
      <c r="R5838">
        <v>0.96045270000000005</v>
      </c>
      <c r="S5838">
        <v>0.54605099999999995</v>
      </c>
      <c r="T5838">
        <v>-0.24462329999999999</v>
      </c>
      <c r="U5838">
        <v>2.9643549999999999</v>
      </c>
      <c r="V5838">
        <v>4.9855719999999997E-3</v>
      </c>
      <c r="W5838">
        <v>8.8746009999999993E-3</v>
      </c>
      <c r="X5838">
        <v>0.99994819999999995</v>
      </c>
      <c r="Y5838">
        <v>-9.5400529999999997E-2</v>
      </c>
      <c r="Z5838">
        <v>-7.6753059999999998E-2</v>
      </c>
      <c r="AA5838">
        <v>0.99247560000000001</v>
      </c>
      <c r="AB5838">
        <v>26</v>
      </c>
      <c r="AC5838">
        <v>2.4031000000000202</v>
      </c>
      <c r="AD5838">
        <v>-1.1093469627331001</v>
      </c>
      <c r="AE5838">
        <v>13.188499999999999</v>
      </c>
      <c r="AF5838">
        <v>-1.28840378614602</v>
      </c>
      <c r="AG5838">
        <v>-1.1093469627331001</v>
      </c>
      <c r="AH5838">
        <v>13.2519881343542</v>
      </c>
      <c r="AI5838">
        <v>94.7628194531747</v>
      </c>
      <c r="AJ5838">
        <v>95.553039780100093</v>
      </c>
      <c r="AK5838">
        <v>13.3606071910278</v>
      </c>
      <c r="AL5838">
        <v>89.491516147475295</v>
      </c>
      <c r="AM5838">
        <v>89.714335335438804</v>
      </c>
      <c r="AN5838">
        <v>1.0000000085771501</v>
      </c>
    </row>
    <row r="5839" spans="1:40" x14ac:dyDescent="0.25">
      <c r="A5839" t="str">
        <f>"20190312154718586"</f>
        <v>20190312154718586</v>
      </c>
      <c r="B5839" t="str">
        <f>"1552376838574025"</f>
        <v>1552376838574025</v>
      </c>
      <c r="C5839" t="s">
        <v>40</v>
      </c>
      <c r="D5839">
        <v>5.0859969999999999</v>
      </c>
      <c r="E5839">
        <v>0.48893300000000001</v>
      </c>
      <c r="F5839" t="s">
        <v>41</v>
      </c>
      <c r="G5839">
        <v>-192.6379</v>
      </c>
      <c r="H5839">
        <v>1.018429</v>
      </c>
      <c r="I5839">
        <v>-40.728110000000001</v>
      </c>
      <c r="J5839">
        <v>-192.79859999999999</v>
      </c>
      <c r="K5839">
        <v>1.1092329999999999</v>
      </c>
      <c r="L5839">
        <v>-41.398960000000002</v>
      </c>
      <c r="M5839">
        <v>0.2743855</v>
      </c>
      <c r="N5839">
        <v>0</v>
      </c>
      <c r="O5839">
        <v>0.96151770000000003</v>
      </c>
      <c r="P5839">
        <v>0.2783544</v>
      </c>
      <c r="Q5839">
        <v>-7.2857190000000004E-3</v>
      </c>
      <c r="R5839">
        <v>0.96045080000000005</v>
      </c>
      <c r="S5839">
        <v>0.73463440000000002</v>
      </c>
      <c r="T5839">
        <v>-0.28861989999999998</v>
      </c>
      <c r="U5839">
        <v>2.9090579999999999</v>
      </c>
      <c r="V5839">
        <v>4.1201190000000002E-3</v>
      </c>
      <c r="W5839">
        <v>6.7207940000000004E-3</v>
      </c>
      <c r="X5839">
        <v>0.99996890000000005</v>
      </c>
      <c r="Y5839">
        <v>-3.1684230000000001E-2</v>
      </c>
      <c r="Z5839">
        <v>-9.167525E-2</v>
      </c>
      <c r="AA5839">
        <v>0.99528470000000002</v>
      </c>
      <c r="AB5839">
        <v>26</v>
      </c>
      <c r="AC5839">
        <v>0.16069999999999099</v>
      </c>
      <c r="AD5839">
        <v>-9.0803999999999802E-2</v>
      </c>
      <c r="AE5839">
        <v>0.67084999999999395</v>
      </c>
      <c r="AF5839">
        <v>-2.9055078298459099E-2</v>
      </c>
      <c r="AG5839">
        <v>-9.0803999999999802E-2</v>
      </c>
      <c r="AH5839">
        <v>0.67745715440518905</v>
      </c>
      <c r="AI5839">
        <v>97.6272966289294</v>
      </c>
      <c r="AJ5839">
        <v>92.455821391262603</v>
      </c>
      <c r="AK5839">
        <v>0.68413285262857104</v>
      </c>
      <c r="AL5839">
        <v>89.614923959355906</v>
      </c>
      <c r="AM5839">
        <v>89.763928564222994</v>
      </c>
      <c r="AN5839">
        <v>0.99999997270988605</v>
      </c>
    </row>
    <row r="5840" spans="1:40" x14ac:dyDescent="0.25">
      <c r="A5840" t="str">
        <f>"20190312154718608"</f>
        <v>20190312154718608</v>
      </c>
      <c r="B5840" t="str">
        <f>"1552376838604281"</f>
        <v>1552376838604281</v>
      </c>
      <c r="C5840" t="s">
        <v>40</v>
      </c>
      <c r="D5840">
        <v>5.0338710000000004</v>
      </c>
      <c r="E5840">
        <v>0.48929929999999999</v>
      </c>
      <c r="F5840" t="s">
        <v>41</v>
      </c>
      <c r="G5840">
        <v>-192.57040000000001</v>
      </c>
      <c r="H5840">
        <v>1.0218670000000001</v>
      </c>
      <c r="I5840">
        <v>-40.502000000000002</v>
      </c>
      <c r="J5840">
        <v>-192.72989999999999</v>
      </c>
      <c r="K5840">
        <v>1.109154</v>
      </c>
      <c r="L5840">
        <v>-41.161900000000003</v>
      </c>
      <c r="M5840">
        <v>0.27525889999999997</v>
      </c>
      <c r="N5840">
        <v>0</v>
      </c>
      <c r="O5840">
        <v>0.96126820000000002</v>
      </c>
      <c r="P5840">
        <v>0.27829809999999999</v>
      </c>
      <c r="Q5840">
        <v>-9.0501309999999995E-3</v>
      </c>
      <c r="R5840">
        <v>0.96045210000000003</v>
      </c>
      <c r="S5840">
        <v>0.73910520000000002</v>
      </c>
      <c r="T5840">
        <v>-0.28310469999999999</v>
      </c>
      <c r="U5840">
        <v>2.9071959999999999</v>
      </c>
      <c r="V5840">
        <v>3.1551230000000001E-3</v>
      </c>
      <c r="W5840">
        <v>4.9460379999999998E-3</v>
      </c>
      <c r="X5840">
        <v>0.99998279999999995</v>
      </c>
      <c r="Y5840">
        <v>-3.0962659999999999E-2</v>
      </c>
      <c r="Z5840">
        <v>-8.9944159999999995E-2</v>
      </c>
      <c r="AA5840">
        <v>0.99546539999999994</v>
      </c>
      <c r="AB5840">
        <v>26</v>
      </c>
      <c r="AC5840">
        <v>0.15949999999997999</v>
      </c>
      <c r="AD5840">
        <v>-8.7287000000000101E-2</v>
      </c>
      <c r="AE5840">
        <v>0.65990000000000704</v>
      </c>
      <c r="AF5840">
        <v>-2.78632537908362E-2</v>
      </c>
      <c r="AG5840">
        <v>-8.7287000000000101E-2</v>
      </c>
      <c r="AH5840">
        <v>0.66728070314639698</v>
      </c>
      <c r="AI5840">
        <v>97.446130838362393</v>
      </c>
      <c r="AJ5840">
        <v>92.391077628153994</v>
      </c>
      <c r="AK5840">
        <v>0.67354206852457499</v>
      </c>
      <c r="AL5840">
        <v>89.716611744451299</v>
      </c>
      <c r="AM5840">
        <v>89.819222258755701</v>
      </c>
      <c r="AN5840">
        <v>1.0000000091944401</v>
      </c>
    </row>
    <row r="5841" spans="1:40" x14ac:dyDescent="0.25">
      <c r="A5841" t="str">
        <f>"20190312154718629"</f>
        <v>20190312154718629</v>
      </c>
      <c r="B5841" t="str">
        <f>"1552376838623802"</f>
        <v>1552376838623802</v>
      </c>
      <c r="C5841" t="s">
        <v>40</v>
      </c>
      <c r="D5841">
        <v>5.0329499999999996</v>
      </c>
      <c r="E5841">
        <v>0.48951509999999998</v>
      </c>
      <c r="F5841" t="s">
        <v>41</v>
      </c>
      <c r="G5841">
        <v>-192.50409999999999</v>
      </c>
      <c r="H5841">
        <v>1.023166</v>
      </c>
      <c r="I5841">
        <v>-40.277279999999998</v>
      </c>
      <c r="J5841">
        <v>-192.6566</v>
      </c>
      <c r="K5841">
        <v>1.1090949999999999</v>
      </c>
      <c r="L5841">
        <v>-40.910159999999998</v>
      </c>
      <c r="M5841">
        <v>0.27627099999999999</v>
      </c>
      <c r="N5841">
        <v>0</v>
      </c>
      <c r="O5841">
        <v>0.96097829999999995</v>
      </c>
      <c r="P5841">
        <v>0.27827200000000002</v>
      </c>
      <c r="Q5841">
        <v>-1.033769E-2</v>
      </c>
      <c r="R5841">
        <v>0.96044669999999999</v>
      </c>
      <c r="S5841">
        <v>0.74160769999999998</v>
      </c>
      <c r="T5841">
        <v>-0.28246090000000001</v>
      </c>
      <c r="U5841">
        <v>2.9060060000000001</v>
      </c>
      <c r="V5841">
        <v>2.0767580000000002E-3</v>
      </c>
      <c r="W5841">
        <v>3.6213959999999998E-3</v>
      </c>
      <c r="X5841">
        <v>0.99999130000000003</v>
      </c>
      <c r="Y5841">
        <v>-3.1107940000000001E-2</v>
      </c>
      <c r="Z5841">
        <v>-8.9726790000000001E-2</v>
      </c>
      <c r="AA5841">
        <v>0.99548049999999999</v>
      </c>
      <c r="AB5841">
        <v>26</v>
      </c>
      <c r="AC5841">
        <v>0.15250000000000299</v>
      </c>
      <c r="AD5841">
        <v>-8.5929000000000103E-2</v>
      </c>
      <c r="AE5841">
        <v>0.63288</v>
      </c>
      <c r="AF5841">
        <v>-2.78153304645413E-2</v>
      </c>
      <c r="AG5841">
        <v>-8.5929000000000103E-2</v>
      </c>
      <c r="AH5841">
        <v>0.63924114135523002</v>
      </c>
      <c r="AI5841">
        <v>97.648850831915595</v>
      </c>
      <c r="AJ5841">
        <v>92.4915423138265</v>
      </c>
      <c r="AK5841">
        <v>0.64559021248078796</v>
      </c>
      <c r="AL5841">
        <v>89.792508842582507</v>
      </c>
      <c r="AM5841">
        <v>89.881009667380695</v>
      </c>
      <c r="AN5841">
        <v>1.00000001375423</v>
      </c>
    </row>
    <row r="5842" spans="1:40" x14ac:dyDescent="0.25">
      <c r="A5842" t="str">
        <f>"20190312154718672"</f>
        <v>20190312154718672</v>
      </c>
      <c r="B5842" t="str">
        <f>"1552376838663817"</f>
        <v>1552376838663817</v>
      </c>
      <c r="C5842" t="s">
        <v>40</v>
      </c>
      <c r="D5842">
        <v>5.0020220000000002</v>
      </c>
      <c r="E5842">
        <v>0.48958800000000002</v>
      </c>
      <c r="F5842" t="s">
        <v>41</v>
      </c>
      <c r="G5842">
        <v>-192.43680000000001</v>
      </c>
      <c r="H5842">
        <v>1.0267029999999999</v>
      </c>
      <c r="I5842">
        <v>-40.051220000000001</v>
      </c>
      <c r="J5842">
        <v>-192.51609999999999</v>
      </c>
      <c r="K5842">
        <v>1.109005</v>
      </c>
      <c r="L5842">
        <v>-40.43036</v>
      </c>
      <c r="M5842">
        <v>0.27829369999999998</v>
      </c>
      <c r="N5842">
        <v>0</v>
      </c>
      <c r="O5842">
        <v>0.96039770000000002</v>
      </c>
      <c r="P5842">
        <v>0.28052690000000002</v>
      </c>
      <c r="Q5842">
        <v>-1.184868E-2</v>
      </c>
      <c r="R5842">
        <v>0.95977310000000005</v>
      </c>
      <c r="S5842">
        <v>0.7431335</v>
      </c>
      <c r="T5842">
        <v>-0.27859099999999998</v>
      </c>
      <c r="U5842">
        <v>2.905243</v>
      </c>
      <c r="V5842">
        <v>2.3225670000000002E-3</v>
      </c>
      <c r="W5842">
        <v>1.887622E-3</v>
      </c>
      <c r="X5842">
        <v>0.99999550000000004</v>
      </c>
      <c r="Y5842">
        <v>-3.2629060000000001E-2</v>
      </c>
      <c r="Z5842">
        <v>-8.8441950000000005E-2</v>
      </c>
      <c r="AA5842">
        <v>0.99554679999999995</v>
      </c>
      <c r="AB5842">
        <v>26</v>
      </c>
      <c r="AC5842">
        <v>7.9299999999989199E-2</v>
      </c>
      <c r="AD5842">
        <v>-8.2301999999999806E-2</v>
      </c>
      <c r="AE5842">
        <v>0.37913999999999898</v>
      </c>
      <c r="AF5842">
        <v>-2.80874513919975E-2</v>
      </c>
      <c r="AG5842">
        <v>-8.2301999999999806E-2</v>
      </c>
      <c r="AH5842">
        <v>0.36954653037145202</v>
      </c>
      <c r="AI5842">
        <v>102.52051190740301</v>
      </c>
      <c r="AJ5842">
        <v>94.346419570567406</v>
      </c>
      <c r="AK5842">
        <v>0.37964083320854197</v>
      </c>
      <c r="AL5842">
        <v>89.891847159556306</v>
      </c>
      <c r="AM5842">
        <v>89.866926353713396</v>
      </c>
      <c r="AN5842">
        <v>0.99999997872726698</v>
      </c>
    </row>
    <row r="5843" spans="1:40" x14ac:dyDescent="0.25">
      <c r="A5843" t="str">
        <f>"20190312154718695"</f>
        <v>20190312154718695</v>
      </c>
      <c r="B5843" t="str">
        <f>"1552376838684313"</f>
        <v>1552376838684313</v>
      </c>
      <c r="C5843" t="s">
        <v>40</v>
      </c>
      <c r="D5843">
        <v>5.0014580000000004</v>
      </c>
      <c r="E5843">
        <v>0.48954710000000001</v>
      </c>
      <c r="F5843" t="s">
        <v>42</v>
      </c>
      <c r="G5843">
        <v>-189.38550000000001</v>
      </c>
      <c r="H5843" s="1">
        <v>-9.8557330000000006E-7</v>
      </c>
      <c r="I5843">
        <v>-28.323899999999998</v>
      </c>
      <c r="J5843">
        <v>-192.44370000000001</v>
      </c>
      <c r="K5843">
        <v>1.1089639999999901</v>
      </c>
      <c r="L5843">
        <v>-40.184809999999999</v>
      </c>
      <c r="M5843">
        <v>0.27932659999999998</v>
      </c>
      <c r="N5843">
        <v>0</v>
      </c>
      <c r="O5843">
        <v>0.96010050000000002</v>
      </c>
      <c r="P5843">
        <v>0.2826321</v>
      </c>
      <c r="Q5843">
        <v>-1.1710460000000001E-2</v>
      </c>
      <c r="R5843">
        <v>0.95915689999999998</v>
      </c>
      <c r="S5843">
        <v>0.75068659999999998</v>
      </c>
      <c r="T5843">
        <v>-0.265932</v>
      </c>
      <c r="U5843">
        <v>2.9030459999999998</v>
      </c>
      <c r="V5843">
        <v>3.441085E-3</v>
      </c>
      <c r="W5843">
        <v>1.836124E-3</v>
      </c>
      <c r="X5843">
        <v>0.9999924</v>
      </c>
      <c r="Y5843">
        <v>-3.100317E-2</v>
      </c>
      <c r="Z5843">
        <v>-8.4453230000000004E-2</v>
      </c>
      <c r="AA5843">
        <v>0.99594499999999997</v>
      </c>
      <c r="AB5843">
        <v>26</v>
      </c>
      <c r="AC5843">
        <v>3.0581999999999998</v>
      </c>
      <c r="AD5843">
        <v>-1.1089649855732999</v>
      </c>
      <c r="AE5843">
        <v>11.860910000000001</v>
      </c>
      <c r="AF5843">
        <v>-0.37385847303444703</v>
      </c>
      <c r="AG5843">
        <v>-1.1089649855732999</v>
      </c>
      <c r="AH5843">
        <v>12.1434884109956</v>
      </c>
      <c r="AI5843">
        <v>95.215422174390397</v>
      </c>
      <c r="AJ5843">
        <v>91.763393527360293</v>
      </c>
      <c r="AK5843">
        <v>12.1997493533708</v>
      </c>
      <c r="AL5843">
        <v>89.894797785681106</v>
      </c>
      <c r="AM5843">
        <v>89.802839632335207</v>
      </c>
      <c r="AN5843">
        <v>1.00000000623754</v>
      </c>
    </row>
    <row r="5844" spans="1:40" x14ac:dyDescent="0.25">
      <c r="A5844" t="str">
        <f>"20190312154718719"</f>
        <v>20190312154718719</v>
      </c>
      <c r="B5844" t="str">
        <f>"1552376838713594"</f>
        <v>1552376838713594</v>
      </c>
      <c r="C5844" t="s">
        <v>40</v>
      </c>
      <c r="D5844">
        <v>4.9509410000000003</v>
      </c>
      <c r="E5844">
        <v>0.48945880000000003</v>
      </c>
      <c r="F5844" t="s">
        <v>42</v>
      </c>
      <c r="G5844">
        <v>-189.20740000000001</v>
      </c>
      <c r="H5844" s="1">
        <v>-1.246865E-6</v>
      </c>
      <c r="I5844">
        <v>-27.78848</v>
      </c>
      <c r="J5844">
        <v>-192.36250000000001</v>
      </c>
      <c r="K5844">
        <v>1.1089340000000001</v>
      </c>
      <c r="L5844">
        <v>-39.910640000000001</v>
      </c>
      <c r="M5844">
        <v>0.28046369999999998</v>
      </c>
      <c r="N5844">
        <v>0</v>
      </c>
      <c r="O5844">
        <v>0.95977230000000002</v>
      </c>
      <c r="P5844">
        <v>0.2843329</v>
      </c>
      <c r="Q5844">
        <v>-1.1106380000000001E-2</v>
      </c>
      <c r="R5844">
        <v>0.95866130000000005</v>
      </c>
      <c r="S5844">
        <v>0.75746150000000001</v>
      </c>
      <c r="T5844">
        <v>-0.259553899999999</v>
      </c>
      <c r="U5844">
        <v>2.901367</v>
      </c>
      <c r="V5844">
        <v>4.0297759999999997E-3</v>
      </c>
      <c r="W5844">
        <v>2.1947049999999999E-3</v>
      </c>
      <c r="X5844">
        <v>0.99998940000000003</v>
      </c>
      <c r="Y5844">
        <v>-2.9823849999999999E-2</v>
      </c>
      <c r="Z5844">
        <v>-8.2424540000000004E-2</v>
      </c>
      <c r="AA5844">
        <v>0.99615100000000001</v>
      </c>
      <c r="AB5844">
        <v>26</v>
      </c>
      <c r="AC5844">
        <v>3.1551</v>
      </c>
      <c r="AD5844">
        <v>-1.108935246865</v>
      </c>
      <c r="AE5844">
        <v>12.122159999999999</v>
      </c>
      <c r="AF5844">
        <v>-0.36879075223527402</v>
      </c>
      <c r="AG5844">
        <v>-1.108935246865</v>
      </c>
      <c r="AH5844">
        <v>12.4231458653161</v>
      </c>
      <c r="AI5844">
        <v>95.098676360441004</v>
      </c>
      <c r="AJ5844">
        <v>91.700370436360203</v>
      </c>
      <c r="AK5844">
        <v>12.4779925144871</v>
      </c>
      <c r="AL5844">
        <v>89.874252556217201</v>
      </c>
      <c r="AM5844">
        <v>89.769109645203699</v>
      </c>
      <c r="AN5844">
        <v>0.99999992796850101</v>
      </c>
    </row>
    <row r="5845" spans="1:40" x14ac:dyDescent="0.25">
      <c r="A5845" t="str">
        <f>"20190312154718738"</f>
        <v>20190312154718738</v>
      </c>
      <c r="B5845" t="str">
        <f>"1552376838734089"</f>
        <v>1552376838734089</v>
      </c>
      <c r="C5845" t="s">
        <v>40</v>
      </c>
      <c r="D5845">
        <v>4.9040889999999999</v>
      </c>
      <c r="E5845">
        <v>0.48931740000000001</v>
      </c>
      <c r="F5845" t="s">
        <v>42</v>
      </c>
      <c r="G5845">
        <v>-188.9898</v>
      </c>
      <c r="H5845" s="1">
        <v>-1.5842089999999901E-6</v>
      </c>
      <c r="I5845">
        <v>-27.092099999999999</v>
      </c>
      <c r="J5845">
        <v>-192.29599999999999</v>
      </c>
      <c r="K5845">
        <v>1.1089180000000001</v>
      </c>
      <c r="L5845">
        <v>-39.686680000000003</v>
      </c>
      <c r="M5845">
        <v>0.28137220000000002</v>
      </c>
      <c r="N5845">
        <v>0</v>
      </c>
      <c r="O5845">
        <v>0.95950959999999996</v>
      </c>
      <c r="P5845">
        <v>0.28558499999999998</v>
      </c>
      <c r="Q5845">
        <v>-1.111088E-2</v>
      </c>
      <c r="R5845">
        <v>0.95828899999999995</v>
      </c>
      <c r="S5845">
        <v>0.76306149999999995</v>
      </c>
      <c r="T5845">
        <v>-0.250889799999999</v>
      </c>
      <c r="U5845">
        <v>2.9001160000000001</v>
      </c>
      <c r="V5845">
        <v>4.3897429999999998E-3</v>
      </c>
      <c r="W5845">
        <v>1.9572410000000002E-3</v>
      </c>
      <c r="X5845">
        <v>0.9999884</v>
      </c>
      <c r="Y5845">
        <v>-2.8805330000000001E-2</v>
      </c>
      <c r="Z5845">
        <v>-7.9675090000000004E-2</v>
      </c>
      <c r="AA5845">
        <v>0.99640459999999997</v>
      </c>
      <c r="AB5845">
        <v>26</v>
      </c>
      <c r="AC5845">
        <v>3.3061999999999898</v>
      </c>
      <c r="AD5845">
        <v>-1.1089195842090001</v>
      </c>
      <c r="AE5845">
        <v>12.594579999999899</v>
      </c>
      <c r="AF5845">
        <v>-0.36879112921699297</v>
      </c>
      <c r="AG5845">
        <v>-1.1089195842090001</v>
      </c>
      <c r="AH5845">
        <v>12.9222865889622</v>
      </c>
      <c r="AI5845">
        <v>94.902805994718705</v>
      </c>
      <c r="AJ5845">
        <v>91.634729361349599</v>
      </c>
      <c r="AK5845">
        <v>12.9750221667828</v>
      </c>
      <c r="AL5845">
        <v>89.887858274047403</v>
      </c>
      <c r="AM5845">
        <v>89.748484950940593</v>
      </c>
      <c r="AN5845">
        <v>0.99999995038524703</v>
      </c>
    </row>
    <row r="5846" spans="1:40" x14ac:dyDescent="0.25">
      <c r="A5846" t="str">
        <f>"20190312154718765"</f>
        <v>20190312154718765</v>
      </c>
      <c r="B5846" t="str">
        <f>"1552376838753609"</f>
        <v>1552376838753609</v>
      </c>
      <c r="C5846" t="s">
        <v>40</v>
      </c>
      <c r="D5846">
        <v>4.8799780000000004</v>
      </c>
      <c r="E5846">
        <v>0.4891104</v>
      </c>
      <c r="F5846" t="s">
        <v>42</v>
      </c>
      <c r="G5846">
        <v>-188.86680000000001</v>
      </c>
      <c r="H5846" s="1">
        <v>-1.77062099999999E-6</v>
      </c>
      <c r="I5846">
        <v>-26.708400000000001</v>
      </c>
      <c r="J5846">
        <v>-192.21299999999999</v>
      </c>
      <c r="K5846">
        <v>1.1088960000000001</v>
      </c>
      <c r="L5846">
        <v>-39.408110000000001</v>
      </c>
      <c r="M5846">
        <v>0.28247139999999998</v>
      </c>
      <c r="N5846">
        <v>0</v>
      </c>
      <c r="O5846">
        <v>0.95919100000000002</v>
      </c>
      <c r="P5846">
        <v>0.28639979999999998</v>
      </c>
      <c r="Q5846">
        <v>-1.114794E-2</v>
      </c>
      <c r="R5846">
        <v>0.95804529999999999</v>
      </c>
      <c r="S5846">
        <v>0.76608279999999995</v>
      </c>
      <c r="T5846">
        <v>-0.2477357</v>
      </c>
      <c r="U5846">
        <v>2.899384</v>
      </c>
      <c r="V5846">
        <v>4.0950309999999998E-3</v>
      </c>
      <c r="W5846">
        <v>1.5986590000000001E-3</v>
      </c>
      <c r="X5846">
        <v>0.9999903</v>
      </c>
      <c r="Y5846">
        <v>-2.8895270000000001E-2</v>
      </c>
      <c r="Z5846">
        <v>-7.86496E-2</v>
      </c>
      <c r="AA5846">
        <v>0.99648340000000002</v>
      </c>
      <c r="AB5846">
        <v>26</v>
      </c>
      <c r="AC5846">
        <v>3.3461999999999801</v>
      </c>
      <c r="AD5846">
        <v>-1.1088977706209999</v>
      </c>
      <c r="AE5846">
        <v>12.69971</v>
      </c>
      <c r="AF5846">
        <v>-0.37501703636994099</v>
      </c>
      <c r="AG5846">
        <v>-1.1088977706209999</v>
      </c>
      <c r="AH5846">
        <v>13.0347916761182</v>
      </c>
      <c r="AI5846">
        <v>94.860565625528096</v>
      </c>
      <c r="AJ5846">
        <v>91.647971704293695</v>
      </c>
      <c r="AK5846">
        <v>13.087248988349501</v>
      </c>
      <c r="AL5846">
        <v>89.908403543972597</v>
      </c>
      <c r="AM5846">
        <v>89.765371042350196</v>
      </c>
      <c r="AN5846">
        <v>0.99999996254178802</v>
      </c>
    </row>
    <row r="5847" spans="1:40" x14ac:dyDescent="0.25">
      <c r="A5847" t="str">
        <f>"20190312154718807"</f>
        <v>20190312154718807</v>
      </c>
      <c r="B5847" t="str">
        <f>"1552376838793625"</f>
        <v>1552376838793625</v>
      </c>
      <c r="C5847" t="s">
        <v>40</v>
      </c>
      <c r="D5847">
        <v>4.8708660000000004</v>
      </c>
      <c r="E5847">
        <v>0.48880780000000001</v>
      </c>
      <c r="F5847" t="s">
        <v>42</v>
      </c>
      <c r="G5847">
        <v>-188.76410000000001</v>
      </c>
      <c r="H5847" s="1">
        <v>-1.92978E-6</v>
      </c>
      <c r="I5847">
        <v>-26.37988</v>
      </c>
      <c r="J5847">
        <v>-192.06960000000001</v>
      </c>
      <c r="K5847">
        <v>1.1088579999999999</v>
      </c>
      <c r="L5847">
        <v>-38.929380000000002</v>
      </c>
      <c r="M5847">
        <v>0.28426279999999998</v>
      </c>
      <c r="N5847">
        <v>0</v>
      </c>
      <c r="O5847">
        <v>0.9586692</v>
      </c>
      <c r="P5847">
        <v>0.28568199999999999</v>
      </c>
      <c r="Q5847">
        <v>-9.0737319999999993E-3</v>
      </c>
      <c r="R5847">
        <v>0.95828150000000001</v>
      </c>
      <c r="S5847">
        <v>0.76745609999999997</v>
      </c>
      <c r="T5847">
        <v>-0.2467549</v>
      </c>
      <c r="U5847">
        <v>2.8990779999999998</v>
      </c>
      <c r="V5847">
        <v>1.4761139999999999E-3</v>
      </c>
      <c r="W5847">
        <v>3.0868639999999999E-3</v>
      </c>
      <c r="X5847">
        <v>0.99999420000000006</v>
      </c>
      <c r="Y5847">
        <v>-3.028608E-2</v>
      </c>
      <c r="Z5847">
        <v>-7.8277159999999998E-2</v>
      </c>
      <c r="AA5847">
        <v>0.99647149999999995</v>
      </c>
      <c r="AB5847">
        <v>26</v>
      </c>
      <c r="AC5847">
        <v>3.3054999999999901</v>
      </c>
      <c r="AD5847">
        <v>-1.1088599297799999</v>
      </c>
      <c r="AE5847">
        <v>12.5495</v>
      </c>
      <c r="AF5847">
        <v>-0.395616156671043</v>
      </c>
      <c r="AG5847">
        <v>-1.1088599297799999</v>
      </c>
      <c r="AH5847">
        <v>12.8773948592005</v>
      </c>
      <c r="AI5847">
        <v>94.919234195304696</v>
      </c>
      <c r="AJ5847">
        <v>91.759673372538899</v>
      </c>
      <c r="AK5847">
        <v>12.9311013006261</v>
      </c>
      <c r="AL5847">
        <v>89.823135449507902</v>
      </c>
      <c r="AM5847">
        <v>89.915424468609601</v>
      </c>
      <c r="AN5847">
        <v>1.00000005383776</v>
      </c>
    </row>
    <row r="5848" spans="1:40" x14ac:dyDescent="0.25">
      <c r="A5848" t="str">
        <f>"20190312154718829"</f>
        <v>20190312154718829</v>
      </c>
      <c r="B5848" t="str">
        <f>"1552376838823881"</f>
        <v>1552376838823881</v>
      </c>
      <c r="C5848" t="s">
        <v>40</v>
      </c>
      <c r="D5848">
        <v>4.837656</v>
      </c>
      <c r="E5848">
        <v>0.48856680000000002</v>
      </c>
      <c r="F5848" t="s">
        <v>42</v>
      </c>
      <c r="G5848">
        <v>-188.45050000000001</v>
      </c>
      <c r="H5848" s="1">
        <v>-2.5016879999999998E-6</v>
      </c>
      <c r="I5848">
        <v>-25.176410000000001</v>
      </c>
      <c r="J5848">
        <v>-191.9923</v>
      </c>
      <c r="K5848">
        <v>1.1088389999999999</v>
      </c>
      <c r="L5848">
        <v>-38.672519999999999</v>
      </c>
      <c r="M5848">
        <v>0.28517900000000002</v>
      </c>
      <c r="N5848">
        <v>0</v>
      </c>
      <c r="O5848">
        <v>0.95840099999999995</v>
      </c>
      <c r="P5848">
        <v>0.28563319999999998</v>
      </c>
      <c r="Q5848">
        <v>-7.8207239999999994E-3</v>
      </c>
      <c r="R5848">
        <v>0.95830709999999997</v>
      </c>
      <c r="S5848">
        <v>0.76335140000000001</v>
      </c>
      <c r="T5848">
        <v>-0.23388419999999999</v>
      </c>
      <c r="U5848">
        <v>2.9008180000000001</v>
      </c>
      <c r="V5848">
        <v>4.6879050000000002E-4</v>
      </c>
      <c r="W5848">
        <v>4.0338570000000001E-3</v>
      </c>
      <c r="X5848">
        <v>0.99999179999999999</v>
      </c>
      <c r="Y5848">
        <v>-3.262284E-2</v>
      </c>
      <c r="Z5848">
        <v>-7.4154910000000004E-2</v>
      </c>
      <c r="AA5848">
        <v>0.99671299999999996</v>
      </c>
      <c r="AB5848">
        <v>26</v>
      </c>
      <c r="AC5848">
        <v>3.5417999999999901</v>
      </c>
      <c r="AD5848">
        <v>-1.108841501688</v>
      </c>
      <c r="AE5848">
        <v>13.4961099999999</v>
      </c>
      <c r="AF5848">
        <v>-0.45152288312120298</v>
      </c>
      <c r="AG5848">
        <v>-1.108841501688</v>
      </c>
      <c r="AH5848">
        <v>13.8581925439118</v>
      </c>
      <c r="AI5848">
        <v>94.572269836610204</v>
      </c>
      <c r="AJ5848">
        <v>91.8661313119498</v>
      </c>
      <c r="AK5848">
        <v>13.9098131897585</v>
      </c>
      <c r="AL5848">
        <v>89.768876402543</v>
      </c>
      <c r="AM5848">
        <v>89.973140064590297</v>
      </c>
      <c r="AN5848">
        <v>1.00000004591703</v>
      </c>
    </row>
    <row r="5849" spans="1:40" x14ac:dyDescent="0.25">
      <c r="A5849" t="str">
        <f>"20190312154718851"</f>
        <v>20190312154718851</v>
      </c>
      <c r="B5849" t="str">
        <f>"1552376838843401"</f>
        <v>1552376838843401</v>
      </c>
      <c r="C5849" t="s">
        <v>40</v>
      </c>
      <c r="D5849">
        <v>4.8241420000000002</v>
      </c>
      <c r="E5849">
        <v>0.48847869999999999</v>
      </c>
      <c r="F5849" t="s">
        <v>42</v>
      </c>
      <c r="G5849">
        <v>-188.25919999999999</v>
      </c>
      <c r="H5849" s="1">
        <v>-2.8488729999999998E-6</v>
      </c>
      <c r="I5849">
        <v>-24.446190000000001</v>
      </c>
      <c r="J5849">
        <v>-191.92</v>
      </c>
      <c r="K5849">
        <v>1.108824</v>
      </c>
      <c r="L5849">
        <v>-38.432769999999998</v>
      </c>
      <c r="M5849">
        <v>0.28600819999999999</v>
      </c>
      <c r="N5849">
        <v>0</v>
      </c>
      <c r="O5849">
        <v>0.95815720000000004</v>
      </c>
      <c r="P5849">
        <v>0.28556559999999998</v>
      </c>
      <c r="Q5849">
        <v>-7.5319899999999997E-3</v>
      </c>
      <c r="R5849">
        <v>0.9583296</v>
      </c>
      <c r="S5849">
        <v>0.76142880000000002</v>
      </c>
      <c r="T5849">
        <v>-0.2261696</v>
      </c>
      <c r="U5849">
        <v>2.9017330000000001</v>
      </c>
      <c r="V5849">
        <v>-4.671217E-4</v>
      </c>
      <c r="W5849">
        <v>4.0438710000000001E-3</v>
      </c>
      <c r="X5849">
        <v>0.99999170000000004</v>
      </c>
      <c r="Y5849">
        <v>-3.4134020000000001E-2</v>
      </c>
      <c r="Z5849">
        <v>-7.1677179999999993E-2</v>
      </c>
      <c r="AA5849">
        <v>0.99684360000000005</v>
      </c>
      <c r="AB5849">
        <v>26</v>
      </c>
      <c r="AC5849">
        <v>3.6607999999999898</v>
      </c>
      <c r="AD5849">
        <v>-1.108826848873</v>
      </c>
      <c r="AE5849">
        <v>13.986579999999901</v>
      </c>
      <c r="AF5849">
        <v>-0.48980666677164703</v>
      </c>
      <c r="AG5849">
        <v>-1.108826848873</v>
      </c>
      <c r="AH5849">
        <v>14.3648355060377</v>
      </c>
      <c r="AI5849">
        <v>94.411375686462193</v>
      </c>
      <c r="AJ5849">
        <v>91.952892967596696</v>
      </c>
      <c r="AK5849">
        <v>14.415890769117199</v>
      </c>
      <c r="AL5849">
        <v>89.768302623973995</v>
      </c>
      <c r="AM5849">
        <v>90.026764322126098</v>
      </c>
      <c r="AN5849">
        <v>0.999999985582118</v>
      </c>
    </row>
    <row r="5850" spans="1:40" x14ac:dyDescent="0.25">
      <c r="A5850" t="str">
        <f>"20190312154718873"</f>
        <v>20190312154718873</v>
      </c>
      <c r="B5850" t="str">
        <f>"1552376838863898"</f>
        <v>1552376838863898</v>
      </c>
      <c r="C5850" t="s">
        <v>40</v>
      </c>
      <c r="D5850">
        <v>4.8284549999999999</v>
      </c>
      <c r="E5850">
        <v>0.48845499999999997</v>
      </c>
      <c r="F5850" t="s">
        <v>42</v>
      </c>
      <c r="G5850">
        <v>-188.14760000000001</v>
      </c>
      <c r="H5850" s="1">
        <v>-3.0424869999999999E-6</v>
      </c>
      <c r="I5850">
        <v>-24.041039999999999</v>
      </c>
      <c r="J5850">
        <v>-191.8425</v>
      </c>
      <c r="K5850">
        <v>1.1088119999999999</v>
      </c>
      <c r="L5850">
        <v>-38.176760000000002</v>
      </c>
      <c r="M5850">
        <v>0.28685490000000002</v>
      </c>
      <c r="N5850">
        <v>0</v>
      </c>
      <c r="O5850">
        <v>0.95790770000000003</v>
      </c>
      <c r="P5850">
        <v>0.28698179999999901</v>
      </c>
      <c r="Q5850">
        <v>-7.3766049999999996E-3</v>
      </c>
      <c r="R5850">
        <v>0.95790770000000003</v>
      </c>
      <c r="S5850">
        <v>0.76068119999999995</v>
      </c>
      <c r="T5850">
        <v>-0.2235886</v>
      </c>
      <c r="U5850">
        <v>2.9020079999999999</v>
      </c>
      <c r="V5850">
        <v>1.2760770000000001E-4</v>
      </c>
      <c r="W5850">
        <v>3.8993890000000001E-3</v>
      </c>
      <c r="X5850">
        <v>0.9999924</v>
      </c>
      <c r="Y5850">
        <v>-3.5263860000000001E-2</v>
      </c>
      <c r="Z5850">
        <v>-7.0829909999999996E-2</v>
      </c>
      <c r="AA5850">
        <v>0.99686490000000005</v>
      </c>
      <c r="AB5850">
        <v>26</v>
      </c>
      <c r="AC5850">
        <v>3.6948999999999899</v>
      </c>
      <c r="AD5850">
        <v>-1.108815042487</v>
      </c>
      <c r="AE5850">
        <v>14.1357199999999</v>
      </c>
      <c r="AF5850">
        <v>-0.512607822812439</v>
      </c>
      <c r="AG5850">
        <v>-1.108815042487</v>
      </c>
      <c r="AH5850">
        <v>14.517928183612</v>
      </c>
      <c r="AI5850">
        <v>94.364809323127204</v>
      </c>
      <c r="AJ5850">
        <v>92.022194094225995</v>
      </c>
      <c r="AK5850">
        <v>14.569230464337201</v>
      </c>
      <c r="AL5850">
        <v>89.776580903838095</v>
      </c>
      <c r="AM5850">
        <v>89.992688561829297</v>
      </c>
      <c r="AN5850">
        <v>1.00000001078802</v>
      </c>
    </row>
    <row r="5851" spans="1:40" x14ac:dyDescent="0.25">
      <c r="A5851" t="str">
        <f>"20190312154718895"</f>
        <v>20190312154718895</v>
      </c>
      <c r="B5851" t="str">
        <f>"1552376838884393"</f>
        <v>1552376838884393</v>
      </c>
      <c r="C5851" t="s">
        <v>40</v>
      </c>
      <c r="D5851">
        <v>4.7874429999999997</v>
      </c>
      <c r="E5851">
        <v>0.48838369999999998</v>
      </c>
      <c r="F5851" t="s">
        <v>42</v>
      </c>
      <c r="G5851">
        <v>-188.01519999999999</v>
      </c>
      <c r="H5851" s="1">
        <v>-3.228512E-6</v>
      </c>
      <c r="I5851">
        <v>-23.662140000000001</v>
      </c>
      <c r="J5851">
        <v>-191.7671</v>
      </c>
      <c r="K5851">
        <v>1.108806</v>
      </c>
      <c r="L5851">
        <v>-37.927889999999998</v>
      </c>
      <c r="M5851">
        <v>0.28763280000000002</v>
      </c>
      <c r="N5851">
        <v>0</v>
      </c>
      <c r="O5851">
        <v>0.95767769999999997</v>
      </c>
      <c r="P5851">
        <v>0.28855639999999999</v>
      </c>
      <c r="Q5851">
        <v>-7.4899719999999897E-3</v>
      </c>
      <c r="R5851">
        <v>0.9574336</v>
      </c>
      <c r="S5851">
        <v>0.76493840000000002</v>
      </c>
      <c r="T5851">
        <v>-0.2216138</v>
      </c>
      <c r="U5851">
        <v>2.90097</v>
      </c>
      <c r="V5851">
        <v>9.5989420000000005E-4</v>
      </c>
      <c r="W5851">
        <v>3.5021869999999999E-3</v>
      </c>
      <c r="X5851">
        <v>0.99999340000000003</v>
      </c>
      <c r="Y5851">
        <v>-3.4607099999999898E-2</v>
      </c>
      <c r="Z5851">
        <v>-7.0194590000000001E-2</v>
      </c>
      <c r="AA5851">
        <v>0.99693279999999995</v>
      </c>
      <c r="AB5851">
        <v>26</v>
      </c>
      <c r="AC5851">
        <v>3.7519</v>
      </c>
      <c r="AD5851">
        <v>-1.1088092285119999</v>
      </c>
      <c r="AE5851">
        <v>14.265750000000001</v>
      </c>
      <c r="AF5851">
        <v>-0.50735074425197002</v>
      </c>
      <c r="AG5851">
        <v>-1.1088092285119999</v>
      </c>
      <c r="AH5851">
        <v>14.659220337495</v>
      </c>
      <c r="AI5851">
        <v>94.322982093320903</v>
      </c>
      <c r="AJ5851">
        <v>91.982196696467597</v>
      </c>
      <c r="AK5851">
        <v>14.7098471639291</v>
      </c>
      <c r="AL5851">
        <v>89.799339054309101</v>
      </c>
      <c r="AM5851">
        <v>89.945001767464404</v>
      </c>
      <c r="AN5851">
        <v>0.99999999337710899</v>
      </c>
    </row>
    <row r="5852" spans="1:40" x14ac:dyDescent="0.25">
      <c r="A5852" t="str">
        <f>"20190312154718917"</f>
        <v>20190312154718917</v>
      </c>
      <c r="B5852" t="str">
        <f>"1552376838903914"</f>
        <v>1552376838903914</v>
      </c>
      <c r="C5852" t="s">
        <v>40</v>
      </c>
      <c r="D5852">
        <v>4.803032</v>
      </c>
      <c r="E5852">
        <v>0.4882708</v>
      </c>
      <c r="F5852" t="s">
        <v>42</v>
      </c>
      <c r="G5852">
        <v>-187.89599999999999</v>
      </c>
      <c r="H5852" s="1">
        <v>-3.3882649999999999E-6</v>
      </c>
      <c r="I5852">
        <v>-23.33905</v>
      </c>
      <c r="J5852">
        <v>-191.68899999999999</v>
      </c>
      <c r="K5852">
        <v>1.108824</v>
      </c>
      <c r="L5852">
        <v>-37.671140000000001</v>
      </c>
      <c r="M5852">
        <v>0.288383099999999</v>
      </c>
      <c r="N5852">
        <v>0</v>
      </c>
      <c r="O5852">
        <v>0.9574551</v>
      </c>
      <c r="P5852">
        <v>0.290134</v>
      </c>
      <c r="Q5852">
        <v>-6.9871409999999997E-3</v>
      </c>
      <c r="R5852">
        <v>0.95696060000000005</v>
      </c>
      <c r="S5852">
        <v>0.76943969999999995</v>
      </c>
      <c r="T5852">
        <v>-0.2203948</v>
      </c>
      <c r="U5852">
        <v>2.8997799999999998</v>
      </c>
      <c r="V5852">
        <v>1.8242390000000001E-3</v>
      </c>
      <c r="W5852">
        <v>3.7305900000000002E-3</v>
      </c>
      <c r="X5852">
        <v>0.99999139999999997</v>
      </c>
      <c r="Y5852">
        <v>-3.3834870000000003E-2</v>
      </c>
      <c r="Z5852">
        <v>-6.9801240000000001E-2</v>
      </c>
      <c r="AA5852">
        <v>0.99698690000000001</v>
      </c>
      <c r="AB5852">
        <v>26</v>
      </c>
      <c r="AC5852">
        <v>3.7930000000000299</v>
      </c>
      <c r="AD5852">
        <v>-1.1088273882649999</v>
      </c>
      <c r="AE5852">
        <v>14.3320899999999</v>
      </c>
      <c r="AF5852">
        <v>-0.49874428045997199</v>
      </c>
      <c r="AG5852">
        <v>-1.1088273882649999</v>
      </c>
      <c r="AH5852">
        <v>14.734598417546501</v>
      </c>
      <c r="AI5852">
        <v>94.301131805638406</v>
      </c>
      <c r="AJ5852">
        <v>91.938636917777401</v>
      </c>
      <c r="AK5852">
        <v>14.7846756663993</v>
      </c>
      <c r="AL5852">
        <v>89.786252446939301</v>
      </c>
      <c r="AM5852">
        <v>89.895478021533094</v>
      </c>
      <c r="AN5852">
        <v>1.00000002261181</v>
      </c>
    </row>
    <row r="5853" spans="1:40" x14ac:dyDescent="0.25">
      <c r="A5853" t="str">
        <f>"20190312154718942"</f>
        <v>20190312154718942</v>
      </c>
      <c r="B5853" t="str">
        <f>"1552376838934170"</f>
        <v>1552376838934170</v>
      </c>
      <c r="C5853" t="s">
        <v>40</v>
      </c>
      <c r="D5853">
        <v>4.8177110000000001</v>
      </c>
      <c r="E5853">
        <v>0.48816169999999998</v>
      </c>
      <c r="F5853" t="s">
        <v>42</v>
      </c>
      <c r="G5853">
        <v>-187.74760000000001</v>
      </c>
      <c r="H5853" s="1">
        <v>-3.599969E-6</v>
      </c>
      <c r="I5853">
        <v>-22.906929999999999</v>
      </c>
      <c r="J5853">
        <v>-191.60419999999999</v>
      </c>
      <c r="K5853">
        <v>1.108857</v>
      </c>
      <c r="L5853">
        <v>-37.392670000000003</v>
      </c>
      <c r="M5853">
        <v>0.2891299</v>
      </c>
      <c r="N5853">
        <v>0</v>
      </c>
      <c r="O5853">
        <v>0.95723279999999999</v>
      </c>
      <c r="P5853">
        <v>0.29182849999999999</v>
      </c>
      <c r="Q5853">
        <v>-6.0042799999999999E-3</v>
      </c>
      <c r="R5853">
        <v>0.95645179999999996</v>
      </c>
      <c r="S5853">
        <v>0.77383419999999903</v>
      </c>
      <c r="T5853">
        <v>-0.21770010000000001</v>
      </c>
      <c r="U5853">
        <v>2.8987120000000002</v>
      </c>
      <c r="V5853">
        <v>2.8148359999999998E-3</v>
      </c>
      <c r="W5853">
        <v>4.4444100000000002E-3</v>
      </c>
      <c r="X5853">
        <v>0.99998620000000005</v>
      </c>
      <c r="Y5853">
        <v>-3.3095159999999998E-2</v>
      </c>
      <c r="Z5853">
        <v>-6.8940459999999995E-2</v>
      </c>
      <c r="AA5853">
        <v>0.99707170000000001</v>
      </c>
      <c r="AB5853">
        <v>26</v>
      </c>
      <c r="AC5853">
        <v>3.8565999999999798</v>
      </c>
      <c r="AD5853">
        <v>-1.108860599969</v>
      </c>
      <c r="AE5853">
        <v>14.48574</v>
      </c>
      <c r="AF5853">
        <v>-0.49392102951511202</v>
      </c>
      <c r="AG5853">
        <v>-1.108860599969</v>
      </c>
      <c r="AH5853">
        <v>14.900569216582801</v>
      </c>
      <c r="AI5853">
        <v>94.253626516235698</v>
      </c>
      <c r="AJ5853">
        <v>91.898533663166205</v>
      </c>
      <c r="AK5853">
        <v>14.949932869138101</v>
      </c>
      <c r="AL5853">
        <v>89.745353235950603</v>
      </c>
      <c r="AM5853">
        <v>89.838719977475904</v>
      </c>
      <c r="AN5853">
        <v>1.00000003813619</v>
      </c>
    </row>
    <row r="5854" spans="1:40" x14ac:dyDescent="0.25">
      <c r="A5854" t="str">
        <f>"20190312154718965"</f>
        <v>20190312154718965</v>
      </c>
      <c r="B5854" t="str">
        <f>"1552376838953691"</f>
        <v>1552376838953691</v>
      </c>
      <c r="C5854" t="s">
        <v>40</v>
      </c>
      <c r="D5854">
        <v>4.817399</v>
      </c>
      <c r="E5854">
        <v>0.48807339999999999</v>
      </c>
      <c r="F5854" t="s">
        <v>42</v>
      </c>
      <c r="G5854">
        <v>-187.58070000000001</v>
      </c>
      <c r="H5854" s="1">
        <v>-3.8405820000000001E-6</v>
      </c>
      <c r="I5854">
        <v>-22.41507</v>
      </c>
      <c r="J5854">
        <v>-191.5273</v>
      </c>
      <c r="K5854">
        <v>1.1088929999999999</v>
      </c>
      <c r="L5854">
        <v>-37.140230000000003</v>
      </c>
      <c r="M5854">
        <v>0.28972819999999999</v>
      </c>
      <c r="N5854">
        <v>0</v>
      </c>
      <c r="O5854">
        <v>0.95705419999999997</v>
      </c>
      <c r="P5854">
        <v>0.2929274</v>
      </c>
      <c r="Q5854">
        <v>-5.2106519999999996E-3</v>
      </c>
      <c r="R5854">
        <v>0.95612050000000004</v>
      </c>
      <c r="S5854">
        <v>0.77844239999999998</v>
      </c>
      <c r="T5854">
        <v>-0.21453269999999999</v>
      </c>
      <c r="U5854">
        <v>2.8977360000000001</v>
      </c>
      <c r="V5854">
        <v>3.3382049999999999E-3</v>
      </c>
      <c r="W5854">
        <v>5.0232840000000003E-3</v>
      </c>
      <c r="X5854">
        <v>0.99998180000000003</v>
      </c>
      <c r="Y5854">
        <v>-3.2137499999999999E-2</v>
      </c>
      <c r="Z5854">
        <v>-6.7933099999999996E-2</v>
      </c>
      <c r="AA5854">
        <v>0.99717210000000001</v>
      </c>
      <c r="AB5854">
        <v>27</v>
      </c>
      <c r="AC5854">
        <v>3.9465999999999801</v>
      </c>
      <c r="AD5854">
        <v>-1.1088968405820001</v>
      </c>
      <c r="AE5854">
        <v>14.725159999999899</v>
      </c>
      <c r="AF5854">
        <v>-0.48663486940395201</v>
      </c>
      <c r="AG5854">
        <v>-1.1088968405820001</v>
      </c>
      <c r="AH5854">
        <v>15.1568219637056</v>
      </c>
      <c r="AI5854">
        <v>94.182246403181693</v>
      </c>
      <c r="AJ5854">
        <v>91.8389441746872</v>
      </c>
      <c r="AK5854">
        <v>15.2051214312363</v>
      </c>
      <c r="AL5854">
        <v>89.712185813811899</v>
      </c>
      <c r="AM5854">
        <v>89.808732171758393</v>
      </c>
      <c r="AN5854">
        <v>0.99999998866300299</v>
      </c>
    </row>
    <row r="5855" spans="1:40" x14ac:dyDescent="0.25">
      <c r="A5855" t="str">
        <f>"20190312154718986"</f>
        <v>20190312154718986</v>
      </c>
      <c r="B5855" t="str">
        <f>"1552376838974186"</f>
        <v>1552376838974186</v>
      </c>
      <c r="C5855" t="s">
        <v>40</v>
      </c>
      <c r="D5855">
        <v>4.7957809999999998</v>
      </c>
      <c r="E5855">
        <v>0.4879984</v>
      </c>
      <c r="F5855" t="s">
        <v>42</v>
      </c>
      <c r="G5855">
        <v>-187.42920000000001</v>
      </c>
      <c r="H5855" s="1">
        <v>-4.0705539999999996E-6</v>
      </c>
      <c r="I5855">
        <v>-21.941659999999999</v>
      </c>
      <c r="J5855">
        <v>-191.45060000000001</v>
      </c>
      <c r="K5855">
        <v>1.1089359999999999</v>
      </c>
      <c r="L5855">
        <v>-36.889189999999999</v>
      </c>
      <c r="M5855">
        <v>0.29023949999999998</v>
      </c>
      <c r="N5855">
        <v>0</v>
      </c>
      <c r="O5855">
        <v>0.95690129999999995</v>
      </c>
      <c r="P5855">
        <v>0.29358489999999998</v>
      </c>
      <c r="Q5855">
        <v>-4.8255889999999999E-3</v>
      </c>
      <c r="R5855">
        <v>0.95592080000000001</v>
      </c>
      <c r="S5855">
        <v>0.78118900000000002</v>
      </c>
      <c r="T5855">
        <v>-0.2113805</v>
      </c>
      <c r="U5855">
        <v>2.897186</v>
      </c>
      <c r="V5855">
        <v>3.4911220000000001E-3</v>
      </c>
      <c r="W5855">
        <v>5.2192619999999997E-3</v>
      </c>
      <c r="X5855">
        <v>0.99998030000000004</v>
      </c>
      <c r="Y5855">
        <v>-3.172374E-2</v>
      </c>
      <c r="Z5855">
        <v>-6.6928429999999997E-2</v>
      </c>
      <c r="AA5855">
        <v>0.99725330000000001</v>
      </c>
      <c r="AB5855">
        <v>27</v>
      </c>
      <c r="AC5855">
        <v>4.0213999999999999</v>
      </c>
      <c r="AD5855">
        <v>-1.108940070554</v>
      </c>
      <c r="AE5855">
        <v>14.947529999999899</v>
      </c>
      <c r="AF5855">
        <v>-0.487801848720613</v>
      </c>
      <c r="AG5855">
        <v>-1.108940070554</v>
      </c>
      <c r="AH5855">
        <v>15.3922600855998</v>
      </c>
      <c r="AI5855">
        <v>94.118711427320704</v>
      </c>
      <c r="AJ5855">
        <v>91.815174370667904</v>
      </c>
      <c r="AK5855">
        <v>15.439862993771801</v>
      </c>
      <c r="AL5855">
        <v>89.700956961865003</v>
      </c>
      <c r="AM5855">
        <v>89.799970315712699</v>
      </c>
      <c r="AN5855">
        <v>1.0000000145083601</v>
      </c>
    </row>
    <row r="5856" spans="1:40" x14ac:dyDescent="0.25">
      <c r="A5856" t="str">
        <f>"20190312154719010"</f>
        <v>20190312154719010</v>
      </c>
      <c r="B5856" t="str">
        <f>"1552376839003465"</f>
        <v>1552376839003465</v>
      </c>
      <c r="C5856" t="s">
        <v>40</v>
      </c>
      <c r="D5856">
        <v>4.8303209999999996</v>
      </c>
      <c r="E5856">
        <v>0.4877147</v>
      </c>
      <c r="F5856" t="s">
        <v>42</v>
      </c>
      <c r="G5856">
        <v>-187.30869999999999</v>
      </c>
      <c r="H5856" s="1">
        <v>-4.2554500000000001E-6</v>
      </c>
      <c r="I5856">
        <v>-21.560469999999999</v>
      </c>
      <c r="J5856">
        <v>-191.36920000000001</v>
      </c>
      <c r="K5856">
        <v>1.108981</v>
      </c>
      <c r="L5856">
        <v>-36.62274</v>
      </c>
      <c r="M5856">
        <v>0.29070509999999999</v>
      </c>
      <c r="N5856">
        <v>0</v>
      </c>
      <c r="O5856">
        <v>0.9567618</v>
      </c>
      <c r="P5856">
        <v>0.29383350000000003</v>
      </c>
      <c r="Q5856">
        <v>-4.6719860000000004E-3</v>
      </c>
      <c r="R5856">
        <v>0.95584519999999995</v>
      </c>
      <c r="S5856">
        <v>0.78276060000000003</v>
      </c>
      <c r="T5856">
        <v>-0.20957200000000001</v>
      </c>
      <c r="U5856">
        <v>2.896881</v>
      </c>
      <c r="V5856">
        <v>3.264159E-3</v>
      </c>
      <c r="W5856">
        <v>5.1968500000000003E-3</v>
      </c>
      <c r="X5856">
        <v>0.99998120000000001</v>
      </c>
      <c r="Y5856">
        <v>-3.166836E-2</v>
      </c>
      <c r="Z5856">
        <v>-6.6346180000000005E-2</v>
      </c>
      <c r="AA5856">
        <v>0.99729400000000001</v>
      </c>
      <c r="AB5856">
        <v>27</v>
      </c>
      <c r="AC5856">
        <v>4.06050000000001</v>
      </c>
      <c r="AD5856">
        <v>-1.1089852554499999</v>
      </c>
      <c r="AE5856">
        <v>15.0622699999999</v>
      </c>
      <c r="AF5856">
        <v>-0.49128867701381901</v>
      </c>
      <c r="AG5856">
        <v>-1.1089852554499999</v>
      </c>
      <c r="AH5856">
        <v>15.513771216970399</v>
      </c>
      <c r="AI5856">
        <v>94.086730442859405</v>
      </c>
      <c r="AJ5856">
        <v>91.813831289374704</v>
      </c>
      <c r="AK5856">
        <v>15.561115327426499</v>
      </c>
      <c r="AL5856">
        <v>89.702241097233099</v>
      </c>
      <c r="AM5856">
        <v>89.812974613808905</v>
      </c>
      <c r="AN5856">
        <v>1.0000000311686601</v>
      </c>
    </row>
    <row r="5857" spans="1:40" x14ac:dyDescent="0.25">
      <c r="A5857" t="str">
        <f>"20190312154719031"</f>
        <v>20190312154719031</v>
      </c>
      <c r="B5857" t="str">
        <f>"1552376839023961"</f>
        <v>1552376839023961</v>
      </c>
      <c r="C5857" t="s">
        <v>40</v>
      </c>
      <c r="D5857">
        <v>4.8279050000000003</v>
      </c>
      <c r="E5857">
        <v>0.48753760000000002</v>
      </c>
      <c r="F5857" t="s">
        <v>42</v>
      </c>
      <c r="G5857">
        <v>-187.21459999999999</v>
      </c>
      <c r="H5857" s="1">
        <v>-4.4152160000000001E-6</v>
      </c>
      <c r="I5857">
        <v>-21.226980000000001</v>
      </c>
      <c r="J5857">
        <v>-191.2954</v>
      </c>
      <c r="K5857">
        <v>1.1090230000000001</v>
      </c>
      <c r="L5857">
        <v>-36.3812</v>
      </c>
      <c r="M5857">
        <v>0.29105609999999998</v>
      </c>
      <c r="N5857">
        <v>0</v>
      </c>
      <c r="O5857">
        <v>0.95665650000000002</v>
      </c>
      <c r="P5857">
        <v>0.29365239999999998</v>
      </c>
      <c r="Q5857">
        <v>-3.1313980000000001E-3</v>
      </c>
      <c r="R5857">
        <v>0.95590719999999996</v>
      </c>
      <c r="S5857">
        <v>0.78182980000000002</v>
      </c>
      <c r="T5857">
        <v>-0.20869199999999999</v>
      </c>
      <c r="U5857">
        <v>2.8972169999999999</v>
      </c>
      <c r="V5857">
        <v>2.7069580000000002E-3</v>
      </c>
      <c r="W5857">
        <v>6.5972959999999999E-3</v>
      </c>
      <c r="X5857">
        <v>0.99997449999999999</v>
      </c>
      <c r="Y5857">
        <v>-3.235706E-2</v>
      </c>
      <c r="Z5857">
        <v>-6.6052360000000004E-2</v>
      </c>
      <c r="AA5857">
        <v>0.99729140000000005</v>
      </c>
      <c r="AB5857">
        <v>27</v>
      </c>
      <c r="AC5857">
        <v>4.0808000000000098</v>
      </c>
      <c r="AD5857">
        <v>-1.10902741521599</v>
      </c>
      <c r="AE5857">
        <v>15.15422</v>
      </c>
      <c r="AF5857">
        <v>-0.504309996656085</v>
      </c>
      <c r="AG5857">
        <v>-1.10902741521599</v>
      </c>
      <c r="AH5857">
        <v>15.6079275971426</v>
      </c>
      <c r="AI5857">
        <v>94.062230303266404</v>
      </c>
      <c r="AJ5857">
        <v>91.850648331756403</v>
      </c>
      <c r="AK5857">
        <v>15.6554039953644</v>
      </c>
      <c r="AL5857">
        <v>89.622000013074498</v>
      </c>
      <c r="AM5857">
        <v>89.8448991550583</v>
      </c>
      <c r="AN5857">
        <v>0.99999992629318402</v>
      </c>
    </row>
    <row r="5858" spans="1:40" x14ac:dyDescent="0.25">
      <c r="A5858" t="str">
        <f>"20190312154719052"</f>
        <v>20190312154719052</v>
      </c>
      <c r="B5858" t="str">
        <f>"1552376839043481"</f>
        <v>1552376839043481</v>
      </c>
      <c r="C5858" t="s">
        <v>40</v>
      </c>
      <c r="D5858">
        <v>4.8188649999999997</v>
      </c>
      <c r="E5858">
        <v>0.48736750000000001</v>
      </c>
      <c r="F5858" t="s">
        <v>42</v>
      </c>
      <c r="G5858">
        <v>-187.0598</v>
      </c>
      <c r="H5858" s="1">
        <v>-4.6926090000000002E-6</v>
      </c>
      <c r="I5858">
        <v>-20.644369999999999</v>
      </c>
      <c r="J5858">
        <v>-191.2193</v>
      </c>
      <c r="K5858">
        <v>1.109081</v>
      </c>
      <c r="L5858">
        <v>-36.132570000000001</v>
      </c>
      <c r="M5858">
        <v>0.2913327</v>
      </c>
      <c r="N5858">
        <v>0</v>
      </c>
      <c r="O5858">
        <v>0.95657349999999997</v>
      </c>
      <c r="P5858">
        <v>0.29346220000000001</v>
      </c>
      <c r="Q5858">
        <v>-1.456745E-3</v>
      </c>
      <c r="R5858">
        <v>0.95596959999999997</v>
      </c>
      <c r="S5858">
        <v>0.78002930000000004</v>
      </c>
      <c r="T5858">
        <v>-0.204239</v>
      </c>
      <c r="U5858">
        <v>2.8981020000000002</v>
      </c>
      <c r="V5858">
        <v>2.2179869999999998E-3</v>
      </c>
      <c r="W5858">
        <v>8.1493580000000006E-3</v>
      </c>
      <c r="X5858">
        <v>0.99996439999999998</v>
      </c>
      <c r="Y5858">
        <v>-3.3274579999999998E-2</v>
      </c>
      <c r="Z5858">
        <v>-6.46259E-2</v>
      </c>
      <c r="AA5858">
        <v>0.99735459999999998</v>
      </c>
      <c r="AB5858">
        <v>27</v>
      </c>
      <c r="AC5858">
        <v>4.1595000000000004</v>
      </c>
      <c r="AD5858">
        <v>-1.109085692609</v>
      </c>
      <c r="AE5858">
        <v>15.488200000000001</v>
      </c>
      <c r="AF5858">
        <v>-0.53083739749913295</v>
      </c>
      <c r="AG5858">
        <v>-1.109085692609</v>
      </c>
      <c r="AH5858">
        <v>15.9518458715681</v>
      </c>
      <c r="AI5858">
        <v>93.975016109957906</v>
      </c>
      <c r="AJ5858">
        <v>91.905956412516304</v>
      </c>
      <c r="AK5858">
        <v>15.9991639196052</v>
      </c>
      <c r="AL5858">
        <v>89.533071043475104</v>
      </c>
      <c r="AM5858">
        <v>89.872914390042297</v>
      </c>
      <c r="AN5858">
        <v>1.0000000663847499</v>
      </c>
    </row>
    <row r="5859" spans="1:40" x14ac:dyDescent="0.25">
      <c r="A5859" t="str">
        <f>"20190312154719073"</f>
        <v>20190312154719073</v>
      </c>
      <c r="B5859" t="str">
        <f>"1552376839063978"</f>
        <v>1552376839063978</v>
      </c>
      <c r="C5859" t="s">
        <v>40</v>
      </c>
      <c r="D5859">
        <v>4.8468229999999997</v>
      </c>
      <c r="E5859">
        <v>0.4872068</v>
      </c>
      <c r="F5859" t="s">
        <v>42</v>
      </c>
      <c r="G5859">
        <v>-186.88220000000001</v>
      </c>
      <c r="H5859" s="1">
        <v>-9.5624180000000006E-7</v>
      </c>
      <c r="I5859">
        <v>-19.979700000000001</v>
      </c>
      <c r="J5859">
        <v>-191.14410000000001</v>
      </c>
      <c r="K5859">
        <v>1.109156</v>
      </c>
      <c r="L5859">
        <v>-35.886319999999998</v>
      </c>
      <c r="M5859">
        <v>0.2915162</v>
      </c>
      <c r="N5859">
        <v>0</v>
      </c>
      <c r="O5859">
        <v>0.9565186</v>
      </c>
      <c r="P5859">
        <v>0.29331119999999999</v>
      </c>
      <c r="Q5859">
        <v>5.7469589999999896E-4</v>
      </c>
      <c r="R5859">
        <v>0.9560168</v>
      </c>
      <c r="S5859">
        <v>0.77838130000000005</v>
      </c>
      <c r="T5859">
        <v>-0.1990449</v>
      </c>
      <c r="U5859">
        <v>2.8989259999999999</v>
      </c>
      <c r="V5859">
        <v>1.8678150000000001E-3</v>
      </c>
      <c r="W5859">
        <v>1.0086670000000001E-2</v>
      </c>
      <c r="X5859">
        <v>0.99994740000000004</v>
      </c>
      <c r="Y5859">
        <v>-3.4037360000000003E-2</v>
      </c>
      <c r="Z5859">
        <v>-6.2970440000000003E-2</v>
      </c>
      <c r="AA5859">
        <v>0.99743479999999995</v>
      </c>
      <c r="AB5859">
        <v>27</v>
      </c>
      <c r="AC5859">
        <v>4.26189999999999</v>
      </c>
      <c r="AD5859">
        <v>-1.1091569562418</v>
      </c>
      <c r="AE5859">
        <v>15.906619999999901</v>
      </c>
      <c r="AF5859">
        <v>-0.557945030061889</v>
      </c>
      <c r="AG5859">
        <v>-1.1091569562418</v>
      </c>
      <c r="AH5859">
        <v>16.383810075556902</v>
      </c>
      <c r="AI5859">
        <v>93.8706835195472</v>
      </c>
      <c r="AJ5859">
        <v>91.950434357771599</v>
      </c>
      <c r="AK5859">
        <v>16.4307870901571</v>
      </c>
      <c r="AL5859">
        <v>89.422066588830205</v>
      </c>
      <c r="AM5859">
        <v>89.892976578621898</v>
      </c>
      <c r="AN5859">
        <v>1.0000000162056599</v>
      </c>
    </row>
    <row r="5860" spans="1:40" x14ac:dyDescent="0.25">
      <c r="A5860" t="str">
        <f>"20190312154719096"</f>
        <v>20190312154719096</v>
      </c>
      <c r="B5860" t="str">
        <f>"1552376839083497"</f>
        <v>1552376839083497</v>
      </c>
      <c r="C5860" t="s">
        <v>40</v>
      </c>
      <c r="D5860">
        <v>4.8436430000000001</v>
      </c>
      <c r="E5860">
        <v>0.48707479999999997</v>
      </c>
      <c r="F5860" t="s">
        <v>42</v>
      </c>
      <c r="G5860">
        <v>-186.68610000000001</v>
      </c>
      <c r="H5860" s="1">
        <v>-1.2560910000000001E-6</v>
      </c>
      <c r="I5860">
        <v>-19.251899999999999</v>
      </c>
      <c r="J5860">
        <v>-191.06479999999999</v>
      </c>
      <c r="K5860">
        <v>1.1092409999999999</v>
      </c>
      <c r="L5860">
        <v>-35.626739999999998</v>
      </c>
      <c r="M5860">
        <v>0.2916126</v>
      </c>
      <c r="N5860">
        <v>0</v>
      </c>
      <c r="O5860">
        <v>0.9564899</v>
      </c>
      <c r="P5860">
        <v>0.29281200000000002</v>
      </c>
      <c r="Q5860">
        <v>1.344884E-3</v>
      </c>
      <c r="R5860">
        <v>0.95616909999999999</v>
      </c>
      <c r="S5860">
        <v>0.77711490000000005</v>
      </c>
      <c r="T5860">
        <v>-0.19334860000000001</v>
      </c>
      <c r="U5860">
        <v>2.8997190000000002</v>
      </c>
      <c r="V5860">
        <v>1.243662E-3</v>
      </c>
      <c r="W5860">
        <v>1.0789959999999999E-2</v>
      </c>
      <c r="X5860">
        <v>0.99994099999999997</v>
      </c>
      <c r="Y5860">
        <v>-3.4582090000000003E-2</v>
      </c>
      <c r="Z5860">
        <v>-6.115959E-2</v>
      </c>
      <c r="AA5860">
        <v>0.99752870000000005</v>
      </c>
      <c r="AB5860">
        <v>27</v>
      </c>
      <c r="AC5860">
        <v>4.3786999999999798</v>
      </c>
      <c r="AD5860">
        <v>-1.109242256091</v>
      </c>
      <c r="AE5860">
        <v>16.374839999999999</v>
      </c>
      <c r="AF5860">
        <v>-0.58445055908295096</v>
      </c>
      <c r="AG5860">
        <v>-1.109242256091</v>
      </c>
      <c r="AH5860">
        <v>16.8677709780718</v>
      </c>
      <c r="AI5860">
        <v>93.760163095667806</v>
      </c>
      <c r="AJ5860">
        <v>91.984444731971493</v>
      </c>
      <c r="AK5860">
        <v>16.914304555830601</v>
      </c>
      <c r="AL5860">
        <v>89.381768826191603</v>
      </c>
      <c r="AM5860">
        <v>89.928739248616495</v>
      </c>
      <c r="AN5860">
        <v>0.99999998670648504</v>
      </c>
    </row>
    <row r="5861" spans="1:40" x14ac:dyDescent="0.25">
      <c r="A5861" t="str">
        <f>"20190312154719118"</f>
        <v>20190312154719118</v>
      </c>
      <c r="B5861" t="str">
        <f>"1552376839113755"</f>
        <v>1552376839113755</v>
      </c>
      <c r="C5861" t="s">
        <v>40</v>
      </c>
      <c r="D5861">
        <v>4.8299260000000004</v>
      </c>
      <c r="E5861">
        <v>0.48300969999999999</v>
      </c>
      <c r="F5861" t="s">
        <v>42</v>
      </c>
      <c r="G5861">
        <v>-186.58459999999999</v>
      </c>
      <c r="H5861" s="1">
        <v>-1.418544E-6</v>
      </c>
      <c r="I5861">
        <v>-18.853899999999999</v>
      </c>
      <c r="J5861">
        <v>-190.9881</v>
      </c>
      <c r="K5861">
        <v>1.109326</v>
      </c>
      <c r="L5861">
        <v>-35.375309999999999</v>
      </c>
      <c r="M5861">
        <v>0.29159239999999997</v>
      </c>
      <c r="N5861">
        <v>0</v>
      </c>
      <c r="O5861">
        <v>0.95649640000000002</v>
      </c>
      <c r="P5861">
        <v>0.29188160000000002</v>
      </c>
      <c r="Q5861">
        <v>1.01136E-3</v>
      </c>
      <c r="R5861">
        <v>0.95645389999999997</v>
      </c>
      <c r="S5861">
        <v>0.77476499999999904</v>
      </c>
      <c r="T5861">
        <v>-0.1918224</v>
      </c>
      <c r="U5861">
        <v>2.9005429999999999</v>
      </c>
      <c r="V5861">
        <v>2.8958880000000002E-4</v>
      </c>
      <c r="W5861">
        <v>1.042616E-2</v>
      </c>
      <c r="X5861">
        <v>0.99994559999999999</v>
      </c>
      <c r="Y5861">
        <v>-3.5377819999999997E-2</v>
      </c>
      <c r="Z5861">
        <v>-6.0667909999999999E-2</v>
      </c>
      <c r="AA5861">
        <v>0.9975309</v>
      </c>
      <c r="AB5861">
        <v>27</v>
      </c>
      <c r="AC5861">
        <v>4.4035000000000002</v>
      </c>
      <c r="AD5861">
        <v>-1.1093274185439901</v>
      </c>
      <c r="AE5861">
        <v>16.521409999999999</v>
      </c>
      <c r="AF5861">
        <v>-0.60307392132173998</v>
      </c>
      <c r="AG5861">
        <v>-1.1093274185439901</v>
      </c>
      <c r="AH5861">
        <v>17.015826204238</v>
      </c>
      <c r="AI5861">
        <v>93.727720641144103</v>
      </c>
      <c r="AJ5861">
        <v>92.029824056610806</v>
      </c>
      <c r="AK5861">
        <v>17.0626096154412</v>
      </c>
      <c r="AL5861">
        <v>89.402614209521005</v>
      </c>
      <c r="AM5861">
        <v>89.983406881763898</v>
      </c>
      <c r="AN5861">
        <v>0.99999999581668897</v>
      </c>
    </row>
    <row r="5862" spans="1:40" x14ac:dyDescent="0.25">
      <c r="A5862" t="str">
        <f>"20190312154719143"</f>
        <v>20190312154719143</v>
      </c>
      <c r="B5862" t="str">
        <f>"1552376839134250"</f>
        <v>1552376839134250</v>
      </c>
      <c r="C5862" t="s">
        <v>40</v>
      </c>
      <c r="D5862">
        <v>4.8706959999999997</v>
      </c>
      <c r="E5862">
        <v>0.48296050000000001</v>
      </c>
      <c r="F5862" t="s">
        <v>42</v>
      </c>
      <c r="G5862">
        <v>-187.3475</v>
      </c>
      <c r="H5862" s="1">
        <v>-4.4658810000000004E-6</v>
      </c>
      <c r="I5862">
        <v>-21.053899999999999</v>
      </c>
      <c r="J5862">
        <v>-190.9025</v>
      </c>
      <c r="K5862">
        <v>1.109453</v>
      </c>
      <c r="L5862">
        <v>-35.094329999999999</v>
      </c>
      <c r="M5862">
        <v>0.29140379999999999</v>
      </c>
      <c r="N5862">
        <v>0</v>
      </c>
      <c r="O5862">
        <v>0.95655369999999995</v>
      </c>
      <c r="P5862">
        <v>0.29087089999999999</v>
      </c>
      <c r="Q5862">
        <v>1.6097590000000001E-3</v>
      </c>
      <c r="R5862">
        <v>0.95676090000000003</v>
      </c>
      <c r="S5862">
        <v>0.73999019999999904</v>
      </c>
      <c r="T5862">
        <v>-0.22548579999999999</v>
      </c>
      <c r="U5862">
        <v>2.9110109999999998</v>
      </c>
      <c r="V5862">
        <v>-5.7247169999999998E-4</v>
      </c>
      <c r="W5862">
        <v>1.1035039999999999E-2</v>
      </c>
      <c r="X5862">
        <v>0.99993900000000002</v>
      </c>
      <c r="Y5862">
        <v>-4.7410590000000002E-2</v>
      </c>
      <c r="Z5862">
        <v>-7.1102509999999994E-2</v>
      </c>
      <c r="AA5862">
        <v>0.99634160000000005</v>
      </c>
      <c r="AB5862">
        <v>27</v>
      </c>
      <c r="AC5862">
        <v>3.5550000000000002</v>
      </c>
      <c r="AD5862">
        <v>-1.1094574658809999</v>
      </c>
      <c r="AE5862">
        <v>14.040429999999899</v>
      </c>
      <c r="AF5862">
        <v>-0.68688644081544503</v>
      </c>
      <c r="AG5862">
        <v>-1.1094574658809999</v>
      </c>
      <c r="AH5862">
        <v>14.382614313274001</v>
      </c>
      <c r="AI5862">
        <v>94.405989898832502</v>
      </c>
      <c r="AJ5862">
        <v>92.734260460729999</v>
      </c>
      <c r="AK5862">
        <v>14.441686305122699</v>
      </c>
      <c r="AL5862">
        <v>89.367725981313299</v>
      </c>
      <c r="AM5862">
        <v>90.032802209651805</v>
      </c>
      <c r="AN5862">
        <v>1.0000000517763199</v>
      </c>
    </row>
    <row r="5863" spans="1:40" x14ac:dyDescent="0.25">
      <c r="A5863" t="str">
        <f>"20190312154719165"</f>
        <v>20190312154719165</v>
      </c>
      <c r="B5863" t="str">
        <f>"1552376839153770"</f>
        <v>1552376839153770</v>
      </c>
      <c r="C5863" t="s">
        <v>40</v>
      </c>
      <c r="D5863">
        <v>4.8700669999999997</v>
      </c>
      <c r="E5863">
        <v>0.48298390000000002</v>
      </c>
      <c r="F5863" t="s">
        <v>42</v>
      </c>
      <c r="G5863">
        <v>-187.24860000000001</v>
      </c>
      <c r="H5863" s="1">
        <v>-4.6549260000000004E-6</v>
      </c>
      <c r="I5863">
        <v>-20.654129999999999</v>
      </c>
      <c r="J5863">
        <v>-190.82230000000001</v>
      </c>
      <c r="K5863">
        <v>1.1096170000000001</v>
      </c>
      <c r="L5863">
        <v>-34.829680000000003</v>
      </c>
      <c r="M5863">
        <v>0.29099950000000002</v>
      </c>
      <c r="N5863">
        <v>0</v>
      </c>
      <c r="O5863">
        <v>0.95667630000000003</v>
      </c>
      <c r="P5863">
        <v>0.2887845</v>
      </c>
      <c r="Q5863">
        <v>1.5006500000000001E-3</v>
      </c>
      <c r="R5863">
        <v>0.95739289999999999</v>
      </c>
      <c r="S5863">
        <v>0.73683169999999898</v>
      </c>
      <c r="T5863">
        <v>-0.22372900000000001</v>
      </c>
      <c r="U5863">
        <v>2.9119570000000001</v>
      </c>
      <c r="V5863">
        <v>-2.3342770000000001E-3</v>
      </c>
      <c r="W5863">
        <v>1.097163E-2</v>
      </c>
      <c r="X5863">
        <v>0.99993710000000002</v>
      </c>
      <c r="Y5863">
        <v>-4.8071160000000002E-2</v>
      </c>
      <c r="Z5863">
        <v>-7.0550860000000007E-2</v>
      </c>
      <c r="AA5863">
        <v>0.99634920000000005</v>
      </c>
      <c r="AB5863">
        <v>27</v>
      </c>
      <c r="AC5863">
        <v>3.5737000000000001</v>
      </c>
      <c r="AD5863">
        <v>-1.1096216549259901</v>
      </c>
      <c r="AE5863">
        <v>14.1755499999999</v>
      </c>
      <c r="AF5863">
        <v>-0.70219013409801501</v>
      </c>
      <c r="AG5863">
        <v>-1.1096216549259901</v>
      </c>
      <c r="AH5863">
        <v>14.518370301938999</v>
      </c>
      <c r="AI5863">
        <v>94.365467853293097</v>
      </c>
      <c r="AJ5863">
        <v>92.768988744341399</v>
      </c>
      <c r="AK5863">
        <v>14.577633807505601</v>
      </c>
      <c r="AL5863">
        <v>89.371359303175595</v>
      </c>
      <c r="AM5863">
        <v>90.133752390392601</v>
      </c>
      <c r="AN5863">
        <v>1.00000001473518</v>
      </c>
    </row>
    <row r="5864" spans="1:40" x14ac:dyDescent="0.25">
      <c r="A5864" t="str">
        <f>"20190312154719208"</f>
        <v>20190312154719208</v>
      </c>
      <c r="B5864" t="str">
        <f>"1552376839203546"</f>
        <v>1552376839203546</v>
      </c>
      <c r="C5864" t="s">
        <v>40</v>
      </c>
      <c r="D5864">
        <v>4.919003</v>
      </c>
      <c r="E5864">
        <v>0.48285280000000003</v>
      </c>
      <c r="F5864" t="s">
        <v>42</v>
      </c>
      <c r="G5864">
        <v>-187.22319999999999</v>
      </c>
      <c r="H5864" s="1">
        <v>-4.7345070000000001E-6</v>
      </c>
      <c r="I5864">
        <v>-20.479140000000001</v>
      </c>
      <c r="J5864">
        <v>-190.6739</v>
      </c>
      <c r="K5864">
        <v>1.1099889999999999</v>
      </c>
      <c r="L5864">
        <v>-34.336880000000001</v>
      </c>
      <c r="M5864">
        <v>0.28959600000000002</v>
      </c>
      <c r="N5864">
        <v>0</v>
      </c>
      <c r="O5864">
        <v>0.95710070000000003</v>
      </c>
      <c r="P5864">
        <v>0.28423419999999999</v>
      </c>
      <c r="Q5864">
        <v>1.9127980000000001E-3</v>
      </c>
      <c r="R5864">
        <v>0.95875290000000002</v>
      </c>
      <c r="S5864">
        <v>0.73069759999999995</v>
      </c>
      <c r="T5864">
        <v>-0.22527810000000001</v>
      </c>
      <c r="U5864">
        <v>2.9134829999999998</v>
      </c>
      <c r="V5864">
        <v>-5.6270549999999997E-3</v>
      </c>
      <c r="W5864">
        <v>1.151757E-2</v>
      </c>
      <c r="X5864">
        <v>0.99991790000000003</v>
      </c>
      <c r="Y5864">
        <v>-4.8712079999999998E-2</v>
      </c>
      <c r="Z5864">
        <v>-7.1064520000000006E-2</v>
      </c>
      <c r="AA5864">
        <v>0.99628159999999999</v>
      </c>
      <c r="AB5864">
        <v>27</v>
      </c>
      <c r="AC5864">
        <v>3.4507000000000101</v>
      </c>
      <c r="AD5864">
        <v>-1.1099937345069999</v>
      </c>
      <c r="AE5864">
        <v>13.85774</v>
      </c>
      <c r="AF5864">
        <v>-0.70624488792212403</v>
      </c>
      <c r="AG5864">
        <v>-1.1099937345069999</v>
      </c>
      <c r="AH5864">
        <v>14.177569820376901</v>
      </c>
      <c r="AI5864">
        <v>94.471161554370795</v>
      </c>
      <c r="AJ5864">
        <v>92.851788495462699</v>
      </c>
      <c r="AK5864">
        <v>14.2384814479643</v>
      </c>
      <c r="AL5864">
        <v>89.340077299143402</v>
      </c>
      <c r="AM5864">
        <v>90.322429570695505</v>
      </c>
      <c r="AN5864">
        <v>1.0000000624535399</v>
      </c>
    </row>
    <row r="5865" spans="1:40" x14ac:dyDescent="0.25">
      <c r="A5865" t="str">
        <f>"20190312154719230"</f>
        <v>20190312154719230</v>
      </c>
      <c r="B5865" t="str">
        <f>"1552376839224041"</f>
        <v>1552376839224041</v>
      </c>
      <c r="C5865" t="s">
        <v>40</v>
      </c>
      <c r="D5865">
        <v>4.8977849999999998</v>
      </c>
      <c r="E5865">
        <v>0.48290270000000002</v>
      </c>
      <c r="F5865" t="s">
        <v>42</v>
      </c>
      <c r="G5865">
        <v>-187.2345</v>
      </c>
      <c r="H5865" s="1">
        <v>-7.518257E-7</v>
      </c>
      <c r="I5865">
        <v>-20.304960000000001</v>
      </c>
      <c r="J5865">
        <v>-190.5942</v>
      </c>
      <c r="K5865">
        <v>1.110188</v>
      </c>
      <c r="L5865">
        <v>-34.069309999999902</v>
      </c>
      <c r="M5865">
        <v>0.28849059999999999</v>
      </c>
      <c r="N5865">
        <v>0</v>
      </c>
      <c r="O5865">
        <v>0.95743350000000005</v>
      </c>
      <c r="P5865">
        <v>0.282636</v>
      </c>
      <c r="Q5865">
        <v>2.2693589999999999E-3</v>
      </c>
      <c r="R5865">
        <v>0.95922459999999998</v>
      </c>
      <c r="S5865">
        <v>0.71513369999999998</v>
      </c>
      <c r="T5865">
        <v>-0.23078860000000001</v>
      </c>
      <c r="U5865">
        <v>2.9175110000000002</v>
      </c>
      <c r="V5865">
        <v>-6.1453009999999997E-3</v>
      </c>
      <c r="W5865">
        <v>1.1964819999999999E-2</v>
      </c>
      <c r="X5865">
        <v>0.99990950000000001</v>
      </c>
      <c r="Y5865">
        <v>-5.2920750000000003E-2</v>
      </c>
      <c r="Z5865">
        <v>-7.2770059999999998E-2</v>
      </c>
      <c r="AA5865">
        <v>0.99594369999999999</v>
      </c>
      <c r="AB5865">
        <v>27</v>
      </c>
      <c r="AC5865">
        <v>3.3597000000000001</v>
      </c>
      <c r="AD5865">
        <v>-1.1101887518257001</v>
      </c>
      <c r="AE5865">
        <v>13.764349999999901</v>
      </c>
      <c r="AF5865">
        <v>-0.74962929097009401</v>
      </c>
      <c r="AG5865">
        <v>-1.1101887518257001</v>
      </c>
      <c r="AH5865">
        <v>14.062021560683</v>
      </c>
      <c r="AI5865">
        <v>94.507732396244407</v>
      </c>
      <c r="AJ5865">
        <v>93.051480014617397</v>
      </c>
      <c r="AK5865">
        <v>14.1256827626729</v>
      </c>
      <c r="AL5865">
        <v>89.314449929777894</v>
      </c>
      <c r="AM5865">
        <v>90.352127245633895</v>
      </c>
      <c r="AN5865">
        <v>0.99999996491612997</v>
      </c>
    </row>
    <row r="5866" spans="1:40" x14ac:dyDescent="0.25">
      <c r="A5866" t="str">
        <f>"20190312154719253"</f>
        <v>20190312154719253</v>
      </c>
      <c r="B5866" t="str">
        <f>"1552376839243562"</f>
        <v>1552376839243562</v>
      </c>
      <c r="C5866" t="s">
        <v>40</v>
      </c>
      <c r="D5866">
        <v>4.8972989999999896</v>
      </c>
      <c r="E5866">
        <v>0.48304849999999999</v>
      </c>
      <c r="F5866" t="s">
        <v>42</v>
      </c>
      <c r="G5866">
        <v>-187.1944</v>
      </c>
      <c r="H5866" s="1">
        <v>-8.3570169999999897E-7</v>
      </c>
      <c r="I5866">
        <v>-20.089790000000001</v>
      </c>
      <c r="J5866">
        <v>-190.5188</v>
      </c>
      <c r="K5866">
        <v>1.110385</v>
      </c>
      <c r="L5866">
        <v>-33.814419999999998</v>
      </c>
      <c r="M5866">
        <v>0.28719099999999997</v>
      </c>
      <c r="N5866">
        <v>0</v>
      </c>
      <c r="O5866">
        <v>0.95782299999999998</v>
      </c>
      <c r="P5866">
        <v>0.28139239999999999</v>
      </c>
      <c r="Q5866">
        <v>2.4246070000000001E-3</v>
      </c>
      <c r="R5866">
        <v>0.95958969999999999</v>
      </c>
      <c r="S5866">
        <v>0.70986939999999998</v>
      </c>
      <c r="T5866">
        <v>-0.23180680000000001</v>
      </c>
      <c r="U5866">
        <v>2.9189150000000001</v>
      </c>
      <c r="V5866">
        <v>-6.0899739999999997E-3</v>
      </c>
      <c r="W5866">
        <v>1.222372E-2</v>
      </c>
      <c r="X5866">
        <v>0.99990670000000004</v>
      </c>
      <c r="Y5866">
        <v>-5.3377729999999998E-2</v>
      </c>
      <c r="Z5866">
        <v>-7.3114040000000005E-2</v>
      </c>
      <c r="AA5866">
        <v>0.9958941</v>
      </c>
      <c r="AB5866">
        <v>27</v>
      </c>
      <c r="AC5866">
        <v>3.32439999999999</v>
      </c>
      <c r="AD5866">
        <v>-1.1103858357017</v>
      </c>
      <c r="AE5866">
        <v>13.7246299999999</v>
      </c>
      <c r="AF5866">
        <v>-0.75278562867328203</v>
      </c>
      <c r="AG5866">
        <v>-1.1103858357017</v>
      </c>
      <c r="AH5866">
        <v>14.014534836693301</v>
      </c>
      <c r="AI5866">
        <v>94.523645123981098</v>
      </c>
      <c r="AJ5866">
        <v>93.074667103259102</v>
      </c>
      <c r="AK5866">
        <v>14.0785947308584</v>
      </c>
      <c r="AL5866">
        <v>89.299614961987601</v>
      </c>
      <c r="AM5866">
        <v>90.348958050943807</v>
      </c>
      <c r="AN5866">
        <v>0.99999995790942298</v>
      </c>
    </row>
    <row r="5867" spans="1:40" x14ac:dyDescent="0.25">
      <c r="A5867" t="str">
        <f>"20190312154719276"</f>
        <v>20190312154719276</v>
      </c>
      <c r="B5867" t="str">
        <f>"1552376839264058"</f>
        <v>1552376839264058</v>
      </c>
      <c r="C5867" t="s">
        <v>40</v>
      </c>
      <c r="D5867">
        <v>4.8923439999999996</v>
      </c>
      <c r="E5867">
        <v>0.48329739999999999</v>
      </c>
      <c r="F5867" t="s">
        <v>42</v>
      </c>
      <c r="G5867">
        <v>-187.14269999999999</v>
      </c>
      <c r="H5867" s="1">
        <v>-9.253156E-7</v>
      </c>
      <c r="I5867">
        <v>-19.866879999999998</v>
      </c>
      <c r="J5867">
        <v>-190.43799999999999</v>
      </c>
      <c r="K5867">
        <v>1.1106640000000001</v>
      </c>
      <c r="L5867">
        <v>-33.538539999999998</v>
      </c>
      <c r="M5867">
        <v>0.28540599999999999</v>
      </c>
      <c r="N5867">
        <v>0</v>
      </c>
      <c r="O5867">
        <v>0.95835479999999995</v>
      </c>
      <c r="P5867">
        <v>0.27984619999999999</v>
      </c>
      <c r="Q5867">
        <v>3.589578E-3</v>
      </c>
      <c r="R5867">
        <v>0.96003810000000001</v>
      </c>
      <c r="S5867">
        <v>0.70672609999999902</v>
      </c>
      <c r="T5867">
        <v>-0.23244010000000001</v>
      </c>
      <c r="U5867">
        <v>2.9196780000000002</v>
      </c>
      <c r="V5867">
        <v>-5.8486170000000004E-3</v>
      </c>
      <c r="W5867">
        <v>1.354445E-2</v>
      </c>
      <c r="X5867">
        <v>0.99989119999999998</v>
      </c>
      <c r="Y5867">
        <v>-5.2594200000000001E-2</v>
      </c>
      <c r="Z5867">
        <v>-7.3366029999999999E-2</v>
      </c>
      <c r="AA5867">
        <v>0.99591730000000001</v>
      </c>
      <c r="AB5867">
        <v>27</v>
      </c>
      <c r="AC5867">
        <v>3.2952999999999899</v>
      </c>
      <c r="AD5867">
        <v>-1.11066492531559</v>
      </c>
      <c r="AE5867">
        <v>13.671659999999999</v>
      </c>
      <c r="AF5867">
        <v>-0.73933277099062999</v>
      </c>
      <c r="AG5867">
        <v>-1.11066492531559</v>
      </c>
      <c r="AH5867">
        <v>13.9564470882236</v>
      </c>
      <c r="AI5867">
        <v>94.543709346897202</v>
      </c>
      <c r="AJ5867">
        <v>93.032368377777601</v>
      </c>
      <c r="AK5867">
        <v>14.020078632053799</v>
      </c>
      <c r="AL5867">
        <v>89.223936476796595</v>
      </c>
      <c r="AM5867">
        <v>90.335133711024895</v>
      </c>
      <c r="AN5867">
        <v>1.00000003514202</v>
      </c>
    </row>
    <row r="5868" spans="1:40" x14ac:dyDescent="0.25">
      <c r="A5868" t="str">
        <f>"20190312154719298"</f>
        <v>20190312154719298</v>
      </c>
      <c r="B5868" t="str">
        <f>"1552376839283578"</f>
        <v>1552376839283578</v>
      </c>
      <c r="C5868" t="s">
        <v>40</v>
      </c>
      <c r="D5868">
        <v>4.8845660000000004</v>
      </c>
      <c r="E5868">
        <v>0.48351169999999999</v>
      </c>
      <c r="F5868" t="s">
        <v>42</v>
      </c>
      <c r="G5868">
        <v>-187.04079999999999</v>
      </c>
      <c r="H5868" s="1">
        <v>-1.098026E-6</v>
      </c>
      <c r="I5868">
        <v>-19.439039999999999</v>
      </c>
      <c r="J5868">
        <v>-190.36500000000001</v>
      </c>
      <c r="K5868">
        <v>1.1109789999999999</v>
      </c>
      <c r="L5868">
        <v>-33.286159999999903</v>
      </c>
      <c r="M5868">
        <v>0.28339249999999999</v>
      </c>
      <c r="N5868">
        <v>0</v>
      </c>
      <c r="O5868">
        <v>0.95895010000000003</v>
      </c>
      <c r="P5868">
        <v>0.2786729</v>
      </c>
      <c r="Q5868">
        <v>4.9720559999999999E-3</v>
      </c>
      <c r="R5868">
        <v>0.96037320000000004</v>
      </c>
      <c r="S5868">
        <v>0.70370480000000002</v>
      </c>
      <c r="T5868">
        <v>-0.23006470000000001</v>
      </c>
      <c r="U5868">
        <v>2.9205930000000002</v>
      </c>
      <c r="V5868">
        <v>-4.9836139999999999E-3</v>
      </c>
      <c r="W5868">
        <v>1.5120710000000001E-2</v>
      </c>
      <c r="X5868">
        <v>0.99987329999999996</v>
      </c>
      <c r="Y5868">
        <v>-5.1529400000000003E-2</v>
      </c>
      <c r="Z5868">
        <v>-7.2677259999999994E-2</v>
      </c>
      <c r="AA5868">
        <v>0.99602349999999995</v>
      </c>
      <c r="AB5868">
        <v>27</v>
      </c>
      <c r="AC5868">
        <v>3.32420000000001</v>
      </c>
      <c r="AD5868">
        <v>-1.1109800980260001</v>
      </c>
      <c r="AE5868">
        <v>13.847119999999901</v>
      </c>
      <c r="AF5868">
        <v>-0.73201080664721896</v>
      </c>
      <c r="AG5868">
        <v>-1.1109800980260001</v>
      </c>
      <c r="AH5868">
        <v>14.1354518818322</v>
      </c>
      <c r="AI5868">
        <v>94.487951786350493</v>
      </c>
      <c r="AJ5868">
        <v>92.9644399554617</v>
      </c>
      <c r="AK5868">
        <v>14.197926486035</v>
      </c>
      <c r="AL5868">
        <v>89.133614155405795</v>
      </c>
      <c r="AM5868">
        <v>90.285573866637506</v>
      </c>
      <c r="AN5868">
        <v>1.0000000441661401</v>
      </c>
    </row>
    <row r="5869" spans="1:40" x14ac:dyDescent="0.25">
      <c r="A5869" t="str">
        <f>"20190312154719319"</f>
        <v>20190312154719319</v>
      </c>
      <c r="B5869" t="str">
        <f>"1552376839313834"</f>
        <v>1552376839313834</v>
      </c>
      <c r="C5869" t="s">
        <v>40</v>
      </c>
      <c r="D5869">
        <v>4.8912430000000002</v>
      </c>
      <c r="E5869">
        <v>0.48365580000000002</v>
      </c>
      <c r="F5869" t="s">
        <v>42</v>
      </c>
      <c r="G5869">
        <v>-186.9366</v>
      </c>
      <c r="H5869" s="1">
        <v>-1.2706040000000001E-6</v>
      </c>
      <c r="I5869">
        <v>-19.01342</v>
      </c>
      <c r="J5869">
        <v>-190.29300000000001</v>
      </c>
      <c r="K5869">
        <v>1.1113360000000001</v>
      </c>
      <c r="L5869">
        <v>-33.033909999999999</v>
      </c>
      <c r="M5869">
        <v>0.2810068</v>
      </c>
      <c r="N5869">
        <v>0</v>
      </c>
      <c r="O5869">
        <v>0.95964939999999999</v>
      </c>
      <c r="P5869">
        <v>0.27774589999999999</v>
      </c>
      <c r="Q5869">
        <v>6.4241589999999996E-3</v>
      </c>
      <c r="R5869">
        <v>0.96063310000000002</v>
      </c>
      <c r="S5869">
        <v>0.70173649999999999</v>
      </c>
      <c r="T5869">
        <v>-0.2273964</v>
      </c>
      <c r="U5869">
        <v>2.9213559999999998</v>
      </c>
      <c r="V5869">
        <v>-3.479284E-3</v>
      </c>
      <c r="W5869">
        <v>1.6812319999999999E-2</v>
      </c>
      <c r="X5869">
        <v>0.99985259999999998</v>
      </c>
      <c r="Y5869">
        <v>-4.9725980000000003E-2</v>
      </c>
      <c r="Z5869">
        <v>-7.1908959999999994E-2</v>
      </c>
      <c r="AA5869">
        <v>0.99617089999999997</v>
      </c>
      <c r="AB5869">
        <v>27</v>
      </c>
      <c r="AC5869">
        <v>3.3563999999999998</v>
      </c>
      <c r="AD5869">
        <v>-1.1113372706039999</v>
      </c>
      <c r="AE5869">
        <v>14.020490000000001</v>
      </c>
      <c r="AF5869">
        <v>-0.71467776334035304</v>
      </c>
      <c r="AG5869">
        <v>-1.1113372706039999</v>
      </c>
      <c r="AH5869">
        <v>14.3136473410399</v>
      </c>
      <c r="AI5869">
        <v>94.434138756868606</v>
      </c>
      <c r="AJ5869">
        <v>92.858393934492497</v>
      </c>
      <c r="AK5869">
        <v>14.374502949253801</v>
      </c>
      <c r="AL5869">
        <v>89.0366796264329</v>
      </c>
      <c r="AM5869">
        <v>90.199376872448894</v>
      </c>
      <c r="AN5869">
        <v>0.99999999062384703</v>
      </c>
    </row>
    <row r="5870" spans="1:40" x14ac:dyDescent="0.25">
      <c r="A5870" t="str">
        <f>"20190312154719345"</f>
        <v>20190312154719345</v>
      </c>
      <c r="B5870" t="str">
        <f>"1552376839333354"</f>
        <v>1552376839333354</v>
      </c>
      <c r="C5870" t="s">
        <v>40</v>
      </c>
      <c r="D5870">
        <v>4.9513369999999997</v>
      </c>
      <c r="E5870">
        <v>0.48369970000000001</v>
      </c>
      <c r="F5870" t="s">
        <v>42</v>
      </c>
      <c r="G5870">
        <v>-186.83160000000001</v>
      </c>
      <c r="H5870" s="1">
        <v>-1.4430349999999999E-6</v>
      </c>
      <c r="I5870">
        <v>-18.588750000000001</v>
      </c>
      <c r="J5870">
        <v>-190.21209999999999</v>
      </c>
      <c r="K5870">
        <v>1.1117520000000001</v>
      </c>
      <c r="L5870">
        <v>-32.74521</v>
      </c>
      <c r="M5870">
        <v>0.27782040000000002</v>
      </c>
      <c r="N5870">
        <v>0</v>
      </c>
      <c r="O5870">
        <v>0.96057329999999996</v>
      </c>
      <c r="P5870">
        <v>0.27546219999999999</v>
      </c>
      <c r="Q5870">
        <v>6.965494E-3</v>
      </c>
      <c r="R5870">
        <v>0.96128670000000005</v>
      </c>
      <c r="S5870">
        <v>0.70018009999999997</v>
      </c>
      <c r="T5870">
        <v>-0.2248037</v>
      </c>
      <c r="U5870">
        <v>2.9219970000000002</v>
      </c>
      <c r="V5870">
        <v>-2.5562240000000002E-3</v>
      </c>
      <c r="W5870">
        <v>1.76662E-2</v>
      </c>
      <c r="X5870">
        <v>0.99984070000000003</v>
      </c>
      <c r="Y5870">
        <v>-4.6950329999999998E-2</v>
      </c>
      <c r="Z5870">
        <v>-7.1191149999999995E-2</v>
      </c>
      <c r="AA5870">
        <v>0.9963571</v>
      </c>
      <c r="AB5870">
        <v>27</v>
      </c>
      <c r="AC5870">
        <v>3.3804999999999801</v>
      </c>
      <c r="AD5870">
        <v>-1.111753443035</v>
      </c>
      <c r="AE5870">
        <v>14.156459999999999</v>
      </c>
      <c r="AF5870">
        <v>-0.68179657028887397</v>
      </c>
      <c r="AG5870">
        <v>-1.111753443035</v>
      </c>
      <c r="AH5870">
        <v>14.4539880346045</v>
      </c>
      <c r="AI5870">
        <v>94.393477719745206</v>
      </c>
      <c r="AJ5870">
        <v>92.700647855157897</v>
      </c>
      <c r="AK5870">
        <v>14.5127052056413</v>
      </c>
      <c r="AL5870">
        <v>88.987748669750403</v>
      </c>
      <c r="AM5870">
        <v>90.146483862463398</v>
      </c>
      <c r="AN5870">
        <v>1.00000002714003</v>
      </c>
    </row>
    <row r="5871" spans="1:40" x14ac:dyDescent="0.25">
      <c r="A5871" t="str">
        <f>"20190312154719367"</f>
        <v>20190312154719367</v>
      </c>
      <c r="B5871" t="str">
        <f>"1552376839363610"</f>
        <v>1552376839363610</v>
      </c>
      <c r="C5871" t="s">
        <v>40</v>
      </c>
      <c r="D5871">
        <v>4.7814259999999997</v>
      </c>
      <c r="E5871">
        <v>0.45885979999999998</v>
      </c>
      <c r="F5871" t="s">
        <v>42</v>
      </c>
      <c r="G5871">
        <v>-186.77119999999999</v>
      </c>
      <c r="H5871" s="1">
        <v>-1.5752829999999999E-6</v>
      </c>
      <c r="I5871">
        <v>-18.247389999999999</v>
      </c>
      <c r="J5871">
        <v>-190.14089999999999</v>
      </c>
      <c r="K5871">
        <v>1.1120989999999999</v>
      </c>
      <c r="L5871">
        <v>-32.485900000000001</v>
      </c>
      <c r="M5871">
        <v>0.27452070000000001</v>
      </c>
      <c r="N5871">
        <v>0</v>
      </c>
      <c r="O5871">
        <v>0.96151799999999998</v>
      </c>
      <c r="P5871">
        <v>0.27267469999999999</v>
      </c>
      <c r="Q5871">
        <v>7.5508369999999899E-3</v>
      </c>
      <c r="R5871">
        <v>0.96207670000000001</v>
      </c>
      <c r="S5871">
        <v>0.693878199999999</v>
      </c>
      <c r="T5871">
        <v>-0.22419259999999999</v>
      </c>
      <c r="U5871">
        <v>2.923584</v>
      </c>
      <c r="V5871">
        <v>-2.0393820000000002E-3</v>
      </c>
      <c r="W5871">
        <v>1.8562990000000001E-2</v>
      </c>
      <c r="X5871">
        <v>0.99982559999999998</v>
      </c>
      <c r="Y5871">
        <v>-4.5673819999999997E-2</v>
      </c>
      <c r="Z5871">
        <v>-7.1085949999999995E-2</v>
      </c>
      <c r="AA5871">
        <v>0.99642399999999998</v>
      </c>
      <c r="AB5871">
        <v>27</v>
      </c>
      <c r="AC5871">
        <v>3.3696999999999901</v>
      </c>
      <c r="AD5871">
        <v>-1.112100575283</v>
      </c>
      <c r="AE5871">
        <v>14.23851</v>
      </c>
      <c r="AF5871">
        <v>-0.66493791254229395</v>
      </c>
      <c r="AG5871">
        <v>-1.112100575283</v>
      </c>
      <c r="AH5871">
        <v>14.5325715991902</v>
      </c>
      <c r="AI5871">
        <v>94.371457477136204</v>
      </c>
      <c r="AJ5871">
        <v>92.619741640441404</v>
      </c>
      <c r="AK5871">
        <v>14.5902209511259</v>
      </c>
      <c r="AL5871">
        <v>88.936357912332099</v>
      </c>
      <c r="AM5871">
        <v>90.116868201179798</v>
      </c>
      <c r="AN5871">
        <v>0.99999998704602</v>
      </c>
    </row>
    <row r="5872" spans="1:40" x14ac:dyDescent="0.25">
      <c r="A5872" t="str">
        <f>"20190312154719388"</f>
        <v>20190312154719388</v>
      </c>
      <c r="B5872" t="str">
        <f>"1552376839384105"</f>
        <v>1552376839384105</v>
      </c>
      <c r="C5872" t="s">
        <v>40</v>
      </c>
      <c r="D5872">
        <v>4.8170769999999896</v>
      </c>
      <c r="E5872">
        <v>0.45932220000000001</v>
      </c>
      <c r="F5872" t="s">
        <v>42</v>
      </c>
      <c r="G5872">
        <v>-187.7551</v>
      </c>
      <c r="H5872" s="1">
        <v>-1.3566629999999999E-6</v>
      </c>
      <c r="I5872">
        <v>-18.133019999999998</v>
      </c>
      <c r="J5872">
        <v>-190.0728</v>
      </c>
      <c r="K5872">
        <v>1.112387</v>
      </c>
      <c r="L5872">
        <v>-32.233280000000001</v>
      </c>
      <c r="M5872">
        <v>0.27100109999999999</v>
      </c>
      <c r="N5872">
        <v>0</v>
      </c>
      <c r="O5872">
        <v>0.96251240000000005</v>
      </c>
      <c r="P5872">
        <v>0.26935120000000001</v>
      </c>
      <c r="Q5872">
        <v>8.3663709999999992E-3</v>
      </c>
      <c r="R5872">
        <v>0.96300569999999996</v>
      </c>
      <c r="S5872">
        <v>0.49528499999999998</v>
      </c>
      <c r="T5872">
        <v>-0.23087569999999999</v>
      </c>
      <c r="U5872">
        <v>2.9797060000000002</v>
      </c>
      <c r="V5872">
        <v>-1.8510239999999999E-3</v>
      </c>
      <c r="W5872">
        <v>1.9682399999999999E-2</v>
      </c>
      <c r="X5872">
        <v>0.99980460000000004</v>
      </c>
      <c r="Y5872">
        <v>-0.1099598</v>
      </c>
      <c r="Z5872">
        <v>-7.2226670000000007E-2</v>
      </c>
      <c r="AA5872">
        <v>0.99130830000000003</v>
      </c>
      <c r="AB5872">
        <v>27</v>
      </c>
      <c r="AC5872">
        <v>2.3176999999999999</v>
      </c>
      <c r="AD5872">
        <v>-1.112388356663</v>
      </c>
      <c r="AE5872">
        <v>14.10026</v>
      </c>
      <c r="AF5872">
        <v>-1.5808926193819399</v>
      </c>
      <c r="AG5872">
        <v>-1.112388356663</v>
      </c>
      <c r="AH5872">
        <v>14.1151459163806</v>
      </c>
      <c r="AI5872">
        <v>94.478175925282301</v>
      </c>
      <c r="AJ5872">
        <v>96.390480388563006</v>
      </c>
      <c r="AK5872">
        <v>14.246893470885899</v>
      </c>
      <c r="AL5872">
        <v>88.872208758776793</v>
      </c>
      <c r="AM5872">
        <v>90.106076469146302</v>
      </c>
      <c r="AN5872">
        <v>1.00000003067038</v>
      </c>
    </row>
    <row r="5873" spans="1:40" x14ac:dyDescent="0.25">
      <c r="A5873" t="str">
        <f>"20190312154719410"</f>
        <v>20190312154719410</v>
      </c>
      <c r="B5873" t="str">
        <f>"1552376839403625"</f>
        <v>1552376839403625</v>
      </c>
      <c r="C5873" t="s">
        <v>40</v>
      </c>
      <c r="D5873">
        <v>4.8126689999999996</v>
      </c>
      <c r="E5873">
        <v>0.45977899999999999</v>
      </c>
      <c r="F5873" t="s">
        <v>42</v>
      </c>
      <c r="G5873">
        <v>-187.56290000000001</v>
      </c>
      <c r="H5873" s="1">
        <v>-1.8964759999999999E-6</v>
      </c>
      <c r="I5873">
        <v>-16.954170000000001</v>
      </c>
      <c r="J5873">
        <v>-190.00620000000001</v>
      </c>
      <c r="K5873">
        <v>1.112628</v>
      </c>
      <c r="L5873">
        <v>-31.981629999999999</v>
      </c>
      <c r="M5873">
        <v>0.2672271</v>
      </c>
      <c r="N5873">
        <v>0</v>
      </c>
      <c r="O5873">
        <v>0.96356339999999996</v>
      </c>
      <c r="P5873">
        <v>0.26558939999999998</v>
      </c>
      <c r="Q5873">
        <v>8.8317459999999997E-3</v>
      </c>
      <c r="R5873">
        <v>0.96404579999999995</v>
      </c>
      <c r="S5873">
        <v>0.48954769999999997</v>
      </c>
      <c r="T5873">
        <v>-0.2169739</v>
      </c>
      <c r="U5873">
        <v>2.9802249999999999</v>
      </c>
      <c r="V5873">
        <v>-1.851473E-3</v>
      </c>
      <c r="W5873">
        <v>2.0441359999999999E-2</v>
      </c>
      <c r="X5873">
        <v>0.99978940000000005</v>
      </c>
      <c r="Y5873">
        <v>-0.1079011</v>
      </c>
      <c r="Z5873">
        <v>-6.8019700000000002E-2</v>
      </c>
      <c r="AA5873">
        <v>0.99183200000000005</v>
      </c>
      <c r="AB5873">
        <v>27</v>
      </c>
      <c r="AC5873">
        <v>2.44329999999999</v>
      </c>
      <c r="AD5873">
        <v>-1.112629896476</v>
      </c>
      <c r="AE5873">
        <v>15.0274599999999</v>
      </c>
      <c r="AF5873">
        <v>-1.6527555868458099</v>
      </c>
      <c r="AG5873">
        <v>-1.112629896476</v>
      </c>
      <c r="AH5873">
        <v>15.0534538078323</v>
      </c>
      <c r="AI5873">
        <v>94.201996375899597</v>
      </c>
      <c r="AJ5873">
        <v>96.265548701805798</v>
      </c>
      <c r="AK5873">
        <v>15.1847297592325</v>
      </c>
      <c r="AL5873">
        <v>88.828714835901096</v>
      </c>
      <c r="AM5873">
        <v>90.106103812980393</v>
      </c>
      <c r="AN5873">
        <v>1.0000000607516299</v>
      </c>
    </row>
    <row r="5874" spans="1:40" x14ac:dyDescent="0.25">
      <c r="A5874" t="str">
        <f>"20190312154719432"</f>
        <v>20190312154719432</v>
      </c>
      <c r="B5874" t="str">
        <f>"1552376839424122"</f>
        <v>1552376839424122</v>
      </c>
      <c r="C5874" t="s">
        <v>40</v>
      </c>
      <c r="D5874">
        <v>4.821142</v>
      </c>
      <c r="E5874">
        <v>0.46007619999999999</v>
      </c>
      <c r="F5874" t="s">
        <v>42</v>
      </c>
      <c r="G5874">
        <v>-187.50069999999999</v>
      </c>
      <c r="H5874" s="1">
        <v>-2.114237E-6</v>
      </c>
      <c r="I5874">
        <v>-16.47231</v>
      </c>
      <c r="J5874">
        <v>-189.93809999999999</v>
      </c>
      <c r="K5874">
        <v>1.1128420000000001</v>
      </c>
      <c r="L5874">
        <v>-31.718350000000001</v>
      </c>
      <c r="M5874">
        <v>0.26303179999999998</v>
      </c>
      <c r="N5874">
        <v>0</v>
      </c>
      <c r="O5874">
        <v>0.9647135</v>
      </c>
      <c r="P5874">
        <v>0.2601541</v>
      </c>
      <c r="Q5874">
        <v>9.5565460000000008E-3</v>
      </c>
      <c r="R5874">
        <v>0.96551980000000004</v>
      </c>
      <c r="S5874">
        <v>0.48161320000000002</v>
      </c>
      <c r="T5874">
        <v>-0.21386740000000001</v>
      </c>
      <c r="U5874">
        <v>2.9811709999999998</v>
      </c>
      <c r="V5874">
        <v>-3.1486050000000001E-3</v>
      </c>
      <c r="W5874">
        <v>2.1453949999999999E-2</v>
      </c>
      <c r="X5874">
        <v>0.99976489999999996</v>
      </c>
      <c r="Y5874">
        <v>-0.1061878</v>
      </c>
      <c r="Z5874">
        <v>-6.717157E-2</v>
      </c>
      <c r="AA5874">
        <v>0.99207469999999998</v>
      </c>
      <c r="AB5874">
        <v>27</v>
      </c>
      <c r="AC5874">
        <v>2.43739999999999</v>
      </c>
      <c r="AD5874">
        <v>-1.112844114237</v>
      </c>
      <c r="AE5874">
        <v>15.246039999999899</v>
      </c>
      <c r="AF5874">
        <v>-1.6503448500750799</v>
      </c>
      <c r="AG5874">
        <v>-1.112844114237</v>
      </c>
      <c r="AH5874">
        <v>15.270931229723301</v>
      </c>
      <c r="AI5874">
        <v>94.143924401742794</v>
      </c>
      <c r="AJ5874">
        <v>96.168073663201199</v>
      </c>
      <c r="AK5874">
        <v>15.4001104142048</v>
      </c>
      <c r="AL5874">
        <v>88.770684920777796</v>
      </c>
      <c r="AM5874">
        <v>90.180443603717606</v>
      </c>
      <c r="AN5874">
        <v>1.0000000204780199</v>
      </c>
    </row>
    <row r="5875" spans="1:40" x14ac:dyDescent="0.25">
      <c r="A5875" t="str">
        <f>"20190312154719453"</f>
        <v>20190312154719453</v>
      </c>
      <c r="B5875" t="str">
        <f>"1552376839443642"</f>
        <v>1552376839443642</v>
      </c>
      <c r="C5875" t="s">
        <v>40</v>
      </c>
      <c r="D5875">
        <v>4.820106</v>
      </c>
      <c r="E5875">
        <v>0.46021260000000003</v>
      </c>
      <c r="F5875" t="s">
        <v>42</v>
      </c>
      <c r="G5875">
        <v>-187.4803</v>
      </c>
      <c r="H5875" s="1">
        <v>-2.3062590000000002E-6</v>
      </c>
      <c r="I5875">
        <v>-16.033110000000001</v>
      </c>
      <c r="J5875">
        <v>-189.8777</v>
      </c>
      <c r="K5875">
        <v>1.1129960000000001</v>
      </c>
      <c r="L5875">
        <v>-31.480219999999999</v>
      </c>
      <c r="M5875">
        <v>0.2590615</v>
      </c>
      <c r="N5875">
        <v>0</v>
      </c>
      <c r="O5875">
        <v>0.96578410000000003</v>
      </c>
      <c r="P5875">
        <v>0.2534284</v>
      </c>
      <c r="Q5875">
        <v>1.024716E-2</v>
      </c>
      <c r="R5875">
        <v>0.96729989999999999</v>
      </c>
      <c r="S5875">
        <v>0.46745300000000001</v>
      </c>
      <c r="T5875">
        <v>-0.21165909999999999</v>
      </c>
      <c r="U5875">
        <v>2.983276</v>
      </c>
      <c r="V5875">
        <v>-6.0083410000000004E-3</v>
      </c>
      <c r="W5875">
        <v>2.2374020000000001E-2</v>
      </c>
      <c r="X5875">
        <v>0.99973160000000005</v>
      </c>
      <c r="Y5875">
        <v>-0.10679470000000001</v>
      </c>
      <c r="Z5875">
        <v>-6.6568639999999998E-2</v>
      </c>
      <c r="AA5875">
        <v>0.99205019999999999</v>
      </c>
      <c r="AB5875">
        <v>27</v>
      </c>
      <c r="AC5875">
        <v>2.3974000000000002</v>
      </c>
      <c r="AD5875">
        <v>-1.1129983062590001</v>
      </c>
      <c r="AE5875">
        <v>15.44711</v>
      </c>
      <c r="AF5875">
        <v>-1.67799920101362</v>
      </c>
      <c r="AG5875">
        <v>-1.1129983062590001</v>
      </c>
      <c r="AH5875">
        <v>15.4624136288648</v>
      </c>
      <c r="AI5875">
        <v>94.093151213890906</v>
      </c>
      <c r="AJ5875">
        <v>96.193567296020703</v>
      </c>
      <c r="AK5875">
        <v>15.5929689853614</v>
      </c>
      <c r="AL5875">
        <v>88.717956083684001</v>
      </c>
      <c r="AM5875">
        <v>90.344340857602205</v>
      </c>
      <c r="AN5875">
        <v>0.99999998448554595</v>
      </c>
    </row>
    <row r="5876" spans="1:40" x14ac:dyDescent="0.25">
      <c r="A5876" t="str">
        <f>"20190312154719478"</f>
        <v>20190312154719478</v>
      </c>
      <c r="B5876" t="str">
        <f>"1552376839464138"</f>
        <v>1552376839464138</v>
      </c>
      <c r="C5876" t="s">
        <v>40</v>
      </c>
      <c r="D5876">
        <v>4.8442540000000003</v>
      </c>
      <c r="E5876">
        <v>0.46057520000000002</v>
      </c>
      <c r="F5876" t="s">
        <v>42</v>
      </c>
      <c r="G5876">
        <v>-187.4992</v>
      </c>
      <c r="H5876" s="1">
        <v>-2.4784080000000001E-6</v>
      </c>
      <c r="I5876">
        <v>-15.624040000000001</v>
      </c>
      <c r="J5876">
        <v>-189.8056</v>
      </c>
      <c r="K5876">
        <v>1.1131599999999999</v>
      </c>
      <c r="L5876">
        <v>-31.189969999999999</v>
      </c>
      <c r="M5876">
        <v>0.25404409999999999</v>
      </c>
      <c r="N5876">
        <v>0</v>
      </c>
      <c r="O5876">
        <v>0.96711239999999998</v>
      </c>
      <c r="P5876">
        <v>0.24617520000000001</v>
      </c>
      <c r="Q5876">
        <v>1.0517810000000001E-2</v>
      </c>
      <c r="R5876">
        <v>0.96916829999999998</v>
      </c>
      <c r="S5876">
        <v>0.44795230000000003</v>
      </c>
      <c r="T5876">
        <v>-0.20961589999999999</v>
      </c>
      <c r="U5876">
        <v>2.9862669999999998</v>
      </c>
      <c r="V5876">
        <v>-8.3202620000000001E-3</v>
      </c>
      <c r="W5876">
        <v>2.2905080000000001E-2</v>
      </c>
      <c r="X5876">
        <v>0.99970300000000001</v>
      </c>
      <c r="Y5876">
        <v>-0.1081088</v>
      </c>
      <c r="Z5876">
        <v>-6.6028020000000007E-2</v>
      </c>
      <c r="AA5876">
        <v>0.99194400000000005</v>
      </c>
      <c r="AB5876">
        <v>27</v>
      </c>
      <c r="AC5876">
        <v>2.3063999999999898</v>
      </c>
      <c r="AD5876">
        <v>-1.1131624784080001</v>
      </c>
      <c r="AE5876">
        <v>15.56593</v>
      </c>
      <c r="AF5876">
        <v>-1.71543403628146</v>
      </c>
      <c r="AG5876">
        <v>-1.1131624784080001</v>
      </c>
      <c r="AH5876">
        <v>15.563263206837201</v>
      </c>
      <c r="AI5876">
        <v>94.066569156299394</v>
      </c>
      <c r="AJ5876">
        <v>96.289938669260195</v>
      </c>
      <c r="AK5876">
        <v>15.697038137223901</v>
      </c>
      <c r="AL5876">
        <v>88.687520777966199</v>
      </c>
      <c r="AM5876">
        <v>90.476846513878897</v>
      </c>
      <c r="AN5876">
        <v>0.99999997882927705</v>
      </c>
    </row>
    <row r="5877" spans="1:40" x14ac:dyDescent="0.25">
      <c r="A5877" t="str">
        <f>"20190312154719499"</f>
        <v>20190312154719499</v>
      </c>
      <c r="B5877" t="str">
        <f>"1552376839494393"</f>
        <v>1552376839494393</v>
      </c>
      <c r="C5877" t="s">
        <v>40</v>
      </c>
      <c r="D5877">
        <v>4.8463589999999996</v>
      </c>
      <c r="E5877">
        <v>0.46125139999999998</v>
      </c>
      <c r="F5877" t="s">
        <v>42</v>
      </c>
      <c r="G5877">
        <v>-187.54310000000001</v>
      </c>
      <c r="H5877" s="1">
        <v>-2.5672429999999999E-6</v>
      </c>
      <c r="I5877">
        <v>-15.3988</v>
      </c>
      <c r="J5877">
        <v>-189.74780000000001</v>
      </c>
      <c r="K5877">
        <v>1.11327</v>
      </c>
      <c r="L5877">
        <v>-30.950900000000001</v>
      </c>
      <c r="M5877">
        <v>0.2497936</v>
      </c>
      <c r="N5877">
        <v>0</v>
      </c>
      <c r="O5877">
        <v>0.96821630000000003</v>
      </c>
      <c r="P5877">
        <v>0.2398798</v>
      </c>
      <c r="Q5877">
        <v>1.077615E-2</v>
      </c>
      <c r="R5877">
        <v>0.97074280000000002</v>
      </c>
      <c r="S5877">
        <v>0.4282532</v>
      </c>
      <c r="T5877">
        <v>-0.21069940000000001</v>
      </c>
      <c r="U5877">
        <v>2.988953</v>
      </c>
      <c r="V5877">
        <v>-1.042713E-2</v>
      </c>
      <c r="W5877">
        <v>2.3350329999999999E-2</v>
      </c>
      <c r="X5877">
        <v>0.99967289999999998</v>
      </c>
      <c r="Y5877">
        <v>-0.11027670000000001</v>
      </c>
      <c r="Z5877">
        <v>-6.6445980000000002E-2</v>
      </c>
      <c r="AA5877">
        <v>0.99167729999999998</v>
      </c>
      <c r="AB5877">
        <v>27</v>
      </c>
      <c r="AC5877">
        <v>2.2046999999999999</v>
      </c>
      <c r="AD5877">
        <v>-1.1132725672429999</v>
      </c>
      <c r="AE5877">
        <v>15.552099999999999</v>
      </c>
      <c r="AF5877">
        <v>-1.7415805397569699</v>
      </c>
      <c r="AG5877">
        <v>-1.1132725672429999</v>
      </c>
      <c r="AH5877">
        <v>15.5317486082317</v>
      </c>
      <c r="AI5877">
        <v>94.074343748201898</v>
      </c>
      <c r="AJ5877">
        <v>96.397871670455203</v>
      </c>
      <c r="AK5877">
        <v>15.6686851207989</v>
      </c>
      <c r="AL5877">
        <v>88.662002947173093</v>
      </c>
      <c r="AM5877">
        <v>90.597604353174205</v>
      </c>
      <c r="AN5877">
        <v>0.99999993497277495</v>
      </c>
    </row>
    <row r="5878" spans="1:40" x14ac:dyDescent="0.25">
      <c r="A5878" t="str">
        <f>"20190312154719522"</f>
        <v>20190312154719522</v>
      </c>
      <c r="B5878" t="str">
        <f>"1552376839513914"</f>
        <v>1552376839513914</v>
      </c>
      <c r="C5878" t="s">
        <v>40</v>
      </c>
      <c r="D5878">
        <v>4.8480480000000004</v>
      </c>
      <c r="E5878">
        <v>0.46182200000000001</v>
      </c>
      <c r="F5878" t="s">
        <v>42</v>
      </c>
      <c r="G5878">
        <v>-187.56460000000001</v>
      </c>
      <c r="H5878" s="1">
        <v>-2.655605E-6</v>
      </c>
      <c r="I5878">
        <v>-15.183949999999999</v>
      </c>
      <c r="J5878">
        <v>-189.6842</v>
      </c>
      <c r="K5878">
        <v>1.1133690000000001</v>
      </c>
      <c r="L5878">
        <v>-30.682500000000001</v>
      </c>
      <c r="M5878">
        <v>0.24491969999999999</v>
      </c>
      <c r="N5878">
        <v>0</v>
      </c>
      <c r="O5878">
        <v>0.96945789999999998</v>
      </c>
      <c r="P5878">
        <v>0.23306879999999999</v>
      </c>
      <c r="Q5878">
        <v>1.096597E-2</v>
      </c>
      <c r="R5878">
        <v>0.9723984</v>
      </c>
      <c r="S5878">
        <v>0.4140778</v>
      </c>
      <c r="T5878">
        <v>-0.21114959999999999</v>
      </c>
      <c r="U5878">
        <v>2.9904480000000002</v>
      </c>
      <c r="V5878">
        <v>-1.2415229999999999E-2</v>
      </c>
      <c r="W5878">
        <v>2.372836E-2</v>
      </c>
      <c r="X5878">
        <v>0.99964140000000001</v>
      </c>
      <c r="Y5878">
        <v>-0.10995829999999999</v>
      </c>
      <c r="Z5878">
        <v>-6.6706379999999996E-2</v>
      </c>
      <c r="AA5878">
        <v>0.9916952</v>
      </c>
      <c r="AB5878">
        <v>27</v>
      </c>
      <c r="AC5878">
        <v>2.1195999999999899</v>
      </c>
      <c r="AD5878">
        <v>-1.113371655605</v>
      </c>
      <c r="AE5878">
        <v>15.49855</v>
      </c>
      <c r="AF5878">
        <v>-1.73240546648274</v>
      </c>
      <c r="AG5878">
        <v>-1.113371655605</v>
      </c>
      <c r="AH5878">
        <v>15.467257254391599</v>
      </c>
      <c r="AI5878">
        <v>94.091693946262595</v>
      </c>
      <c r="AJ5878">
        <v>96.3907611144583</v>
      </c>
      <c r="AK5878">
        <v>15.6037454515681</v>
      </c>
      <c r="AL5878">
        <v>88.640337576344905</v>
      </c>
      <c r="AM5878">
        <v>90.711558874680506</v>
      </c>
      <c r="AN5878">
        <v>1.0000000507991</v>
      </c>
    </row>
    <row r="5879" spans="1:40" x14ac:dyDescent="0.25">
      <c r="A5879" t="str">
        <f>"20190312154719545"</f>
        <v>20190312154719545</v>
      </c>
      <c r="B5879" t="str">
        <f>"1552376839534409"</f>
        <v>1552376839534409</v>
      </c>
      <c r="C5879" t="s">
        <v>40</v>
      </c>
      <c r="D5879">
        <v>4.8749010000000004</v>
      </c>
      <c r="E5879">
        <v>0.46234969999999997</v>
      </c>
      <c r="F5879" t="s">
        <v>42</v>
      </c>
      <c r="G5879">
        <v>-187.614</v>
      </c>
      <c r="H5879" s="1">
        <v>-2.6794609999999999E-6</v>
      </c>
      <c r="I5879">
        <v>-15.10792</v>
      </c>
      <c r="J5879">
        <v>-189.625</v>
      </c>
      <c r="K5879">
        <v>1.1134329999999999</v>
      </c>
      <c r="L5879">
        <v>-30.426539999999999</v>
      </c>
      <c r="M5879">
        <v>0.2401866</v>
      </c>
      <c r="N5879">
        <v>0</v>
      </c>
      <c r="O5879">
        <v>0.97063909999999998</v>
      </c>
      <c r="P5879">
        <v>0.2262661</v>
      </c>
      <c r="Q5879">
        <v>1.090559E-2</v>
      </c>
      <c r="R5879">
        <v>0.97400450000000005</v>
      </c>
      <c r="S5879">
        <v>0.39773560000000002</v>
      </c>
      <c r="T5879">
        <v>-0.21390529999999999</v>
      </c>
      <c r="U5879">
        <v>2.9922490000000002</v>
      </c>
      <c r="V5879">
        <v>-1.4530619999999999E-2</v>
      </c>
      <c r="W5879">
        <v>2.3821789999999999E-2</v>
      </c>
      <c r="X5879">
        <v>0.99961060000000002</v>
      </c>
      <c r="Y5879">
        <v>-0.1105168</v>
      </c>
      <c r="Z5879">
        <v>-6.7679110000000001E-2</v>
      </c>
      <c r="AA5879">
        <v>0.99156730000000004</v>
      </c>
      <c r="AB5879">
        <v>27</v>
      </c>
      <c r="AC5879">
        <v>2.0109999999999899</v>
      </c>
      <c r="AD5879">
        <v>-1.1134356794610001</v>
      </c>
      <c r="AE5879">
        <v>15.318619999999999</v>
      </c>
      <c r="AF5879">
        <v>-1.71859326649988</v>
      </c>
      <c r="AG5879">
        <v>-1.1134356794610001</v>
      </c>
      <c r="AH5879">
        <v>15.2738463447897</v>
      </c>
      <c r="AI5879">
        <v>94.143329401821305</v>
      </c>
      <c r="AJ5879">
        <v>96.419844515601994</v>
      </c>
      <c r="AK5879">
        <v>15.410505637136</v>
      </c>
      <c r="AL5879">
        <v>88.6349828273068</v>
      </c>
      <c r="AM5879">
        <v>90.832808863163294</v>
      </c>
      <c r="AN5879">
        <v>0.99999998411437396</v>
      </c>
    </row>
    <row r="5880" spans="1:40" x14ac:dyDescent="0.25">
      <c r="A5880" t="str">
        <f>"20190312154719569"</f>
        <v>20190312154719569</v>
      </c>
      <c r="B5880" t="str">
        <f>"1552376839563691"</f>
        <v>1552376839563691</v>
      </c>
      <c r="C5880" t="s">
        <v>40</v>
      </c>
      <c r="D5880">
        <v>4.876614</v>
      </c>
      <c r="E5880">
        <v>0.4681669</v>
      </c>
      <c r="F5880" t="s">
        <v>42</v>
      </c>
      <c r="G5880">
        <v>-187.6678</v>
      </c>
      <c r="H5880" s="1">
        <v>-2.6937729999999998E-6</v>
      </c>
      <c r="I5880">
        <v>-15.052300000000001</v>
      </c>
      <c r="J5880">
        <v>-189.55950000000001</v>
      </c>
      <c r="K5880">
        <v>1.113472</v>
      </c>
      <c r="L5880">
        <v>-30.135349999999999</v>
      </c>
      <c r="M5880">
        <v>0.23471610000000001</v>
      </c>
      <c r="N5880">
        <v>0</v>
      </c>
      <c r="O5880">
        <v>0.97197409999999995</v>
      </c>
      <c r="P5880">
        <v>0.21842780000000001</v>
      </c>
      <c r="Q5880">
        <v>1.043679E-2</v>
      </c>
      <c r="R5880">
        <v>0.97579729999999998</v>
      </c>
      <c r="S5880">
        <v>0.38114930000000002</v>
      </c>
      <c r="T5880">
        <v>-0.21682879999999999</v>
      </c>
      <c r="U5880">
        <v>2.9939580000000001</v>
      </c>
      <c r="V5880">
        <v>-1.6939220000000001E-2</v>
      </c>
      <c r="W5880">
        <v>2.3501439999999998E-2</v>
      </c>
      <c r="X5880">
        <v>0.99958029999999998</v>
      </c>
      <c r="Y5880">
        <v>-0.1104043</v>
      </c>
      <c r="Z5880">
        <v>-6.8727860000000002E-2</v>
      </c>
      <c r="AA5880">
        <v>0.99150760000000004</v>
      </c>
      <c r="AB5880">
        <v>27</v>
      </c>
      <c r="AC5880">
        <v>1.8917000000000099</v>
      </c>
      <c r="AD5880">
        <v>-1.113474693773</v>
      </c>
      <c r="AE5880">
        <v>15.083049999999901</v>
      </c>
      <c r="AF5880">
        <v>-1.69261830186364</v>
      </c>
      <c r="AG5880">
        <v>-1.113474693773</v>
      </c>
      <c r="AH5880">
        <v>15.0250501646928</v>
      </c>
      <c r="AI5880">
        <v>94.211777254868693</v>
      </c>
      <c r="AJ5880">
        <v>96.427448267886703</v>
      </c>
      <c r="AK5880">
        <v>15.1610327834555</v>
      </c>
      <c r="AL5880">
        <v>88.653342713221605</v>
      </c>
      <c r="AM5880">
        <v>90.970860393828801</v>
      </c>
      <c r="AN5880">
        <v>1.00000001550218</v>
      </c>
    </row>
    <row r="5881" spans="1:40" x14ac:dyDescent="0.25">
      <c r="A5881" t="str">
        <f>"20190312154719593"</f>
        <v>20190312154719593</v>
      </c>
      <c r="B5881" t="str">
        <f>"1552376839584185"</f>
        <v>1552376839584185</v>
      </c>
      <c r="C5881" t="s">
        <v>40</v>
      </c>
      <c r="D5881">
        <v>4.8730029999999998</v>
      </c>
      <c r="E5881">
        <v>0.4493007</v>
      </c>
      <c r="F5881" t="s">
        <v>42</v>
      </c>
      <c r="G5881">
        <v>-187.8159</v>
      </c>
      <c r="H5881" s="1">
        <v>-1.753752E-6</v>
      </c>
      <c r="I5881">
        <v>-17.182259999999999</v>
      </c>
      <c r="J5881">
        <v>-189.49809999999999</v>
      </c>
      <c r="K5881">
        <v>1.1135010000000001</v>
      </c>
      <c r="L5881">
        <v>-29.854489999999998</v>
      </c>
      <c r="M5881">
        <v>0.2293886</v>
      </c>
      <c r="N5881">
        <v>0</v>
      </c>
      <c r="O5881">
        <v>0.97324319999999997</v>
      </c>
      <c r="P5881">
        <v>0.2113411</v>
      </c>
      <c r="Q5881">
        <v>9.8741720000000005E-3</v>
      </c>
      <c r="R5881">
        <v>0.97736250000000002</v>
      </c>
      <c r="S5881">
        <v>0.4020996</v>
      </c>
      <c r="T5881">
        <v>-0.2567817</v>
      </c>
      <c r="U5881">
        <v>2.987152</v>
      </c>
      <c r="V5881">
        <v>-1.871772E-2</v>
      </c>
      <c r="W5881">
        <v>2.3065260000000001E-2</v>
      </c>
      <c r="X5881">
        <v>0.99955870000000002</v>
      </c>
      <c r="Y5881">
        <v>-9.7965839999999998E-2</v>
      </c>
      <c r="Z5881">
        <v>-8.1672300000000003E-2</v>
      </c>
      <c r="AA5881">
        <v>0.99183279999999996</v>
      </c>
      <c r="AB5881">
        <v>27</v>
      </c>
      <c r="AC5881">
        <v>1.6821999999999899</v>
      </c>
      <c r="AD5881">
        <v>-1.1135027537519999</v>
      </c>
      <c r="AE5881">
        <v>12.672230000000001</v>
      </c>
      <c r="AF5881">
        <v>-1.2602269660945</v>
      </c>
      <c r="AG5881">
        <v>-1.1135027537519999</v>
      </c>
      <c r="AH5881">
        <v>12.624389126414499</v>
      </c>
      <c r="AI5881">
        <v>95.015785878923595</v>
      </c>
      <c r="AJ5881">
        <v>95.700653442834394</v>
      </c>
      <c r="AK5881">
        <v>12.7359044124796</v>
      </c>
      <c r="AL5881">
        <v>88.678340712068902</v>
      </c>
      <c r="AM5881">
        <v>91.072794453105203</v>
      </c>
      <c r="AN5881">
        <v>0.99999997700327703</v>
      </c>
    </row>
    <row r="5882" spans="1:40" x14ac:dyDescent="0.25">
      <c r="A5882" t="str">
        <f>"20190312154719617"</f>
        <v>20190312154719617</v>
      </c>
      <c r="B5882" t="str">
        <f>"1552376839614441"</f>
        <v>1552376839614441</v>
      </c>
      <c r="C5882" t="s">
        <v>40</v>
      </c>
      <c r="D5882">
        <v>4.9468110000000003</v>
      </c>
      <c r="E5882">
        <v>0.42922640000000001</v>
      </c>
      <c r="F5882" t="s">
        <v>42</v>
      </c>
      <c r="G5882">
        <v>-188.16650000000001</v>
      </c>
      <c r="H5882" s="1">
        <v>-3.6086890000000002E-6</v>
      </c>
      <c r="I5882">
        <v>-12.713380000000001</v>
      </c>
      <c r="J5882">
        <v>-189.44</v>
      </c>
      <c r="K5882">
        <v>1.1135200000000001</v>
      </c>
      <c r="L5882">
        <v>-29.58221</v>
      </c>
      <c r="M5882">
        <v>0.22418009999999999</v>
      </c>
      <c r="N5882">
        <v>0</v>
      </c>
      <c r="O5882">
        <v>0.9744545</v>
      </c>
      <c r="P5882">
        <v>0.20402490000000001</v>
      </c>
      <c r="Q5882">
        <v>1.00413E-2</v>
      </c>
      <c r="R5882">
        <v>0.97891419999999996</v>
      </c>
      <c r="S5882">
        <v>0.23464969999999999</v>
      </c>
      <c r="T5882">
        <v>-0.19622919999999999</v>
      </c>
      <c r="U5882">
        <v>3.020721</v>
      </c>
      <c r="V5882">
        <v>-2.085188E-2</v>
      </c>
      <c r="W5882">
        <v>2.333269E-2</v>
      </c>
      <c r="X5882">
        <v>0.99951029999999996</v>
      </c>
      <c r="Y5882">
        <v>-0.14820169999999999</v>
      </c>
      <c r="Z5882">
        <v>-6.1907780000000003E-2</v>
      </c>
      <c r="AA5882">
        <v>0.98701760000000005</v>
      </c>
      <c r="AB5882">
        <v>27</v>
      </c>
      <c r="AC5882">
        <v>1.2734999999999801</v>
      </c>
      <c r="AD5882">
        <v>-1.1135236086889999</v>
      </c>
      <c r="AE5882">
        <v>16.8688299999999</v>
      </c>
      <c r="AF5882">
        <v>-2.5299574559890301</v>
      </c>
      <c r="AG5882">
        <v>-1.1135236086889999</v>
      </c>
      <c r="AH5882">
        <v>16.652768469735999</v>
      </c>
      <c r="AI5882">
        <v>93.782240516229706</v>
      </c>
      <c r="AJ5882">
        <v>98.638553983673603</v>
      </c>
      <c r="AK5882">
        <v>16.880619575799201</v>
      </c>
      <c r="AL5882">
        <v>88.663014044045099</v>
      </c>
      <c r="AM5882">
        <v>91.195136697093702</v>
      </c>
      <c r="AN5882">
        <v>1.0000000275641201</v>
      </c>
    </row>
    <row r="5883" spans="1:40" x14ac:dyDescent="0.25">
      <c r="A5883" t="str">
        <f>"20190312154719656"</f>
        <v>20190312154719656</v>
      </c>
      <c r="B5883" t="str">
        <f>"1552376839654458"</f>
        <v>1552376839654458</v>
      </c>
      <c r="C5883" t="s">
        <v>40</v>
      </c>
      <c r="D5883">
        <v>4.9489679999999998</v>
      </c>
      <c r="E5883">
        <v>0.42390050000000001</v>
      </c>
      <c r="F5883" t="s">
        <v>42</v>
      </c>
      <c r="G5883">
        <v>-189.0909</v>
      </c>
      <c r="H5883" s="1">
        <v>-4.4145260000000001E-6</v>
      </c>
      <c r="I5883">
        <v>-10.45276</v>
      </c>
      <c r="J5883">
        <v>-189.34729999999999</v>
      </c>
      <c r="K5883">
        <v>1.113572</v>
      </c>
      <c r="L5883">
        <v>-29.130890000000001</v>
      </c>
      <c r="M5883">
        <v>0.21541979999999999</v>
      </c>
      <c r="N5883">
        <v>0</v>
      </c>
      <c r="O5883">
        <v>0.97642620000000002</v>
      </c>
      <c r="P5883">
        <v>0.1927383</v>
      </c>
      <c r="Q5883">
        <v>8.8530090000000002E-3</v>
      </c>
      <c r="R5883">
        <v>0.98121029999999998</v>
      </c>
      <c r="S5883">
        <v>5.5755619999999999E-2</v>
      </c>
      <c r="T5883">
        <v>-0.17782200000000001</v>
      </c>
      <c r="U5883">
        <v>3.05484</v>
      </c>
      <c r="V5883">
        <v>-2.3382179999999999E-2</v>
      </c>
      <c r="W5883">
        <v>2.2283440000000002E-2</v>
      </c>
      <c r="X5883">
        <v>0.99947819999999998</v>
      </c>
      <c r="Y5883">
        <v>-0.19760920000000001</v>
      </c>
      <c r="Z5883">
        <v>-5.548964E-2</v>
      </c>
      <c r="AA5883">
        <v>0.9787091</v>
      </c>
      <c r="AB5883">
        <v>27</v>
      </c>
      <c r="AC5883">
        <v>0.25639999999998497</v>
      </c>
      <c r="AD5883">
        <v>-1.1135764145260001</v>
      </c>
      <c r="AE5883">
        <v>18.678129999999999</v>
      </c>
      <c r="AF5883">
        <v>-3.7602714611459498</v>
      </c>
      <c r="AG5883">
        <v>-1.1135764145260001</v>
      </c>
      <c r="AH5883">
        <v>18.229966901060099</v>
      </c>
      <c r="AI5883">
        <v>93.423668265024702</v>
      </c>
      <c r="AJ5883">
        <v>101.654867955767</v>
      </c>
      <c r="AK5883">
        <v>18.647020864101702</v>
      </c>
      <c r="AL5883">
        <v>88.723147217803998</v>
      </c>
      <c r="AM5883">
        <v>91.340155198227393</v>
      </c>
      <c r="AN5883">
        <v>0.99999997515751204</v>
      </c>
    </row>
    <row r="5884" spans="1:40" x14ac:dyDescent="0.25">
      <c r="A5884" t="str">
        <f>"20190312154719679"</f>
        <v>20190312154719679</v>
      </c>
      <c r="B5884" t="str">
        <f>"1552376839673978"</f>
        <v>1552376839673978</v>
      </c>
      <c r="C5884" t="s">
        <v>40</v>
      </c>
      <c r="D5884">
        <v>4.8956520000000001</v>
      </c>
      <c r="E5884">
        <v>0.42400520000000003</v>
      </c>
      <c r="F5884" t="s">
        <v>42</v>
      </c>
      <c r="G5884">
        <v>-189.48230000000001</v>
      </c>
      <c r="H5884" s="1">
        <v>-3.8714800000000002E-7</v>
      </c>
      <c r="I5884">
        <v>-9.6788120000000006</v>
      </c>
      <c r="J5884">
        <v>-189.29400000000001</v>
      </c>
      <c r="K5884">
        <v>1.1136250000000001</v>
      </c>
      <c r="L5884">
        <v>-28.8613</v>
      </c>
      <c r="M5884">
        <v>0.210096</v>
      </c>
      <c r="N5884">
        <v>0</v>
      </c>
      <c r="O5884">
        <v>0.97758440000000002</v>
      </c>
      <c r="P5884">
        <v>0.18748229999999999</v>
      </c>
      <c r="Q5884">
        <v>9.1869099999999995E-3</v>
      </c>
      <c r="R5884">
        <v>0.98222500000000001</v>
      </c>
      <c r="S5884">
        <v>-2.1270750000000001E-2</v>
      </c>
      <c r="T5884">
        <v>-0.17535899999999999</v>
      </c>
      <c r="U5884">
        <v>3.063202</v>
      </c>
      <c r="V5884">
        <v>-2.3292360000000002E-2</v>
      </c>
      <c r="W5884">
        <v>2.2698670000000001E-2</v>
      </c>
      <c r="X5884">
        <v>0.99947090000000005</v>
      </c>
      <c r="Y5884">
        <v>-0.21688470000000001</v>
      </c>
      <c r="Z5884">
        <v>-5.4559259999999998E-2</v>
      </c>
      <c r="AA5884">
        <v>0.97467139999999997</v>
      </c>
      <c r="AB5884">
        <v>27</v>
      </c>
      <c r="AC5884">
        <v>-0.188299999999998</v>
      </c>
      <c r="AD5884">
        <v>-1.113625387148</v>
      </c>
      <c r="AE5884">
        <v>19.182487999999999</v>
      </c>
      <c r="AF5884">
        <v>-4.2004846802687004</v>
      </c>
      <c r="AG5884">
        <v>-1.113625387148</v>
      </c>
      <c r="AH5884">
        <v>18.651846826529201</v>
      </c>
      <c r="AI5884">
        <v>93.333546909454398</v>
      </c>
      <c r="AJ5884">
        <v>102.691549554972</v>
      </c>
      <c r="AK5884">
        <v>19.151386975683501</v>
      </c>
      <c r="AL5884">
        <v>88.699350201528404</v>
      </c>
      <c r="AM5884">
        <v>91.335018757452403</v>
      </c>
      <c r="AN5884">
        <v>0.99999992180047104</v>
      </c>
    </row>
    <row r="5885" spans="1:40" x14ac:dyDescent="0.25">
      <c r="A5885" t="str">
        <f>"20190312154719701"</f>
        <v>20190312154719701</v>
      </c>
      <c r="B5885" t="str">
        <f>"1552376839693499"</f>
        <v>1552376839693499</v>
      </c>
      <c r="C5885" t="s">
        <v>40</v>
      </c>
      <c r="D5885">
        <v>4.9395889999999998</v>
      </c>
      <c r="E5885">
        <v>0.4242744</v>
      </c>
      <c r="F5885" t="s">
        <v>42</v>
      </c>
      <c r="G5885">
        <v>-189.5376</v>
      </c>
      <c r="H5885" s="1">
        <v>-6.9150849999999999E-7</v>
      </c>
      <c r="I5885">
        <v>-8.9464810000000003</v>
      </c>
      <c r="J5885">
        <v>-189.24539999999999</v>
      </c>
      <c r="K5885">
        <v>1.1136950000000001</v>
      </c>
      <c r="L5885">
        <v>-28.608219999999999</v>
      </c>
      <c r="M5885">
        <v>0.20500699999999999</v>
      </c>
      <c r="N5885">
        <v>0</v>
      </c>
      <c r="O5885">
        <v>0.97866330000000001</v>
      </c>
      <c r="P5885">
        <v>0.18350659999999999</v>
      </c>
      <c r="Q5885">
        <v>9.7550339999999992E-3</v>
      </c>
      <c r="R5885">
        <v>0.98297009999999996</v>
      </c>
      <c r="S5885">
        <v>-3.7475590000000003E-2</v>
      </c>
      <c r="T5885">
        <v>-0.17128409999999999</v>
      </c>
      <c r="U5885">
        <v>3.0630489999999999</v>
      </c>
      <c r="V5885">
        <v>-2.214441E-2</v>
      </c>
      <c r="W5885">
        <v>2.3342700000000001E-2</v>
      </c>
      <c r="X5885">
        <v>0.99948219999999999</v>
      </c>
      <c r="Y5885">
        <v>-0.2169635</v>
      </c>
      <c r="Z5885">
        <v>-5.3386280000000001E-2</v>
      </c>
      <c r="AA5885">
        <v>0.9747188</v>
      </c>
      <c r="AB5885">
        <v>27</v>
      </c>
      <c r="AC5885">
        <v>-0.29220000000000801</v>
      </c>
      <c r="AD5885">
        <v>-1.1136956915084999</v>
      </c>
      <c r="AE5885">
        <v>19.661739000000001</v>
      </c>
      <c r="AF5885">
        <v>-4.3033663933238904</v>
      </c>
      <c r="AG5885">
        <v>-1.1136956915084999</v>
      </c>
      <c r="AH5885">
        <v>19.122804388778199</v>
      </c>
      <c r="AI5885">
        <v>93.251946962576497</v>
      </c>
      <c r="AJ5885">
        <v>102.68248072549</v>
      </c>
      <c r="AK5885">
        <v>19.6326495435524</v>
      </c>
      <c r="AL5885">
        <v>88.662440269783801</v>
      </c>
      <c r="AM5885">
        <v>91.269230893925496</v>
      </c>
      <c r="AN5885">
        <v>0.99999996232718802</v>
      </c>
    </row>
    <row r="5886" spans="1:40" x14ac:dyDescent="0.25">
      <c r="A5886" t="str">
        <f>"20190312154719722"</f>
        <v>20190312154719722</v>
      </c>
      <c r="B5886" t="str">
        <f>"1552376839713994"</f>
        <v>1552376839713994</v>
      </c>
      <c r="C5886" t="s">
        <v>40</v>
      </c>
      <c r="D5886">
        <v>4.8522270000000001</v>
      </c>
      <c r="E5886">
        <v>0.4244346</v>
      </c>
      <c r="F5886" t="s">
        <v>42</v>
      </c>
      <c r="G5886">
        <v>-189.56970000000001</v>
      </c>
      <c r="H5886" s="1">
        <v>-1.1603769999999999E-6</v>
      </c>
      <c r="I5886">
        <v>-7.8402729999999998</v>
      </c>
      <c r="J5886">
        <v>-189.1985</v>
      </c>
      <c r="K5886">
        <v>1.11378</v>
      </c>
      <c r="L5886">
        <v>-28.355799999999999</v>
      </c>
      <c r="M5886">
        <v>0.19980899999999999</v>
      </c>
      <c r="N5886">
        <v>0</v>
      </c>
      <c r="O5886">
        <v>0.97973690000000002</v>
      </c>
      <c r="P5886">
        <v>0.1801237</v>
      </c>
      <c r="Q5886">
        <v>1.0404800000000001E-2</v>
      </c>
      <c r="R5886">
        <v>0.98358889999999999</v>
      </c>
      <c r="S5886">
        <v>-4.7821040000000002E-2</v>
      </c>
      <c r="T5886">
        <v>-0.1642305</v>
      </c>
      <c r="U5886">
        <v>3.0625309999999999</v>
      </c>
      <c r="V5886">
        <v>-2.0286749999999999E-2</v>
      </c>
      <c r="W5886">
        <v>2.4067290000000002E-2</v>
      </c>
      <c r="X5886">
        <v>0.99950450000000002</v>
      </c>
      <c r="Y5886">
        <v>-0.2150775</v>
      </c>
      <c r="Z5886">
        <v>-5.1298900000000001E-2</v>
      </c>
      <c r="AA5886">
        <v>0.97524869999999997</v>
      </c>
      <c r="AB5886">
        <v>27</v>
      </c>
      <c r="AC5886">
        <v>-0.37120000000001602</v>
      </c>
      <c r="AD5886">
        <v>-1.113781160377</v>
      </c>
      <c r="AE5886">
        <v>20.515526999999999</v>
      </c>
      <c r="AF5886">
        <v>-4.4501816711631301</v>
      </c>
      <c r="AG5886">
        <v>-1.113781160377</v>
      </c>
      <c r="AH5886">
        <v>19.9687362111817</v>
      </c>
      <c r="AI5886">
        <v>93.116147218756794</v>
      </c>
      <c r="AJ5886">
        <v>102.56348627159601</v>
      </c>
      <c r="AK5886">
        <v>20.4889006843053</v>
      </c>
      <c r="AL5886">
        <v>88.620912723217799</v>
      </c>
      <c r="AM5886">
        <v>91.162761729532207</v>
      </c>
      <c r="AN5886">
        <v>1.0000000160968701</v>
      </c>
    </row>
    <row r="5887" spans="1:40" x14ac:dyDescent="0.25">
      <c r="A5887" t="str">
        <f>"20190312154719746"</f>
        <v>20190312154719746</v>
      </c>
      <c r="B5887" t="str">
        <f>"1552376839733514"</f>
        <v>1552376839733514</v>
      </c>
      <c r="C5887" t="s">
        <v>40</v>
      </c>
      <c r="D5887">
        <v>4.920337</v>
      </c>
      <c r="E5887">
        <v>0.42487520000000001</v>
      </c>
      <c r="F5887" t="s">
        <v>42</v>
      </c>
      <c r="G5887">
        <v>-189.5984</v>
      </c>
      <c r="H5887" s="1">
        <v>-1.508499E-6</v>
      </c>
      <c r="I5887">
        <v>-7.0169350000000001</v>
      </c>
      <c r="J5887">
        <v>-189.15170000000001</v>
      </c>
      <c r="K5887">
        <v>1.1138760000000001</v>
      </c>
      <c r="L5887">
        <v>-28.094850000000001</v>
      </c>
      <c r="M5887">
        <v>0.19427700000000001</v>
      </c>
      <c r="N5887">
        <v>0</v>
      </c>
      <c r="O5887">
        <v>0.98084800000000005</v>
      </c>
      <c r="P5887">
        <v>0.1771259</v>
      </c>
      <c r="Q5887">
        <v>1.057432E-2</v>
      </c>
      <c r="R5887">
        <v>0.98413139999999999</v>
      </c>
      <c r="S5887">
        <v>-5.7388309999999998E-2</v>
      </c>
      <c r="T5887">
        <v>-0.15983429999999901</v>
      </c>
      <c r="U5887">
        <v>3.0622560000000001</v>
      </c>
      <c r="V5887">
        <v>-1.769863E-2</v>
      </c>
      <c r="W5887">
        <v>2.4315170000000001E-2</v>
      </c>
      <c r="X5887">
        <v>0.99954770000000004</v>
      </c>
      <c r="Y5887">
        <v>-0.2126149</v>
      </c>
      <c r="Z5887">
        <v>-5.0033429999999997E-2</v>
      </c>
      <c r="AA5887">
        <v>0.97585429999999995</v>
      </c>
      <c r="AB5887">
        <v>27</v>
      </c>
      <c r="AC5887">
        <v>-0.44669999999999199</v>
      </c>
      <c r="AD5887">
        <v>-1.113877508499</v>
      </c>
      <c r="AE5887">
        <v>21.077915000000001</v>
      </c>
      <c r="AF5887">
        <v>-4.5209181079495302</v>
      </c>
      <c r="AG5887">
        <v>-1.113877508499</v>
      </c>
      <c r="AH5887">
        <v>20.532127178571301</v>
      </c>
      <c r="AI5887">
        <v>93.032771253716504</v>
      </c>
      <c r="AJ5887">
        <v>102.41766607216201</v>
      </c>
      <c r="AK5887">
        <v>21.053447938989802</v>
      </c>
      <c r="AL5887">
        <v>88.606706116834999</v>
      </c>
      <c r="AM5887">
        <v>91.014409662180498</v>
      </c>
      <c r="AN5887">
        <v>1.0000000367856401</v>
      </c>
    </row>
    <row r="5888" spans="1:40" x14ac:dyDescent="0.25">
      <c r="A5888" t="str">
        <f>"20190312154719770"</f>
        <v>20190312154719770</v>
      </c>
      <c r="B5888" t="str">
        <f>"1552376839763770"</f>
        <v>1552376839763770</v>
      </c>
      <c r="C5888" t="s">
        <v>40</v>
      </c>
      <c r="D5888">
        <v>4.9161760000000001</v>
      </c>
      <c r="E5888">
        <v>0.42559249999999998</v>
      </c>
      <c r="F5888" t="s">
        <v>42</v>
      </c>
      <c r="G5888">
        <v>-189.59960000000001</v>
      </c>
      <c r="H5888" s="1">
        <v>-1.7718050000000001E-6</v>
      </c>
      <c r="I5888">
        <v>-6.4026569999999996</v>
      </c>
      <c r="J5888">
        <v>-189.1035</v>
      </c>
      <c r="K5888">
        <v>1.1139810000000001</v>
      </c>
      <c r="L5888">
        <v>-27.816009999999999</v>
      </c>
      <c r="M5888">
        <v>0.1881989</v>
      </c>
      <c r="N5888">
        <v>0</v>
      </c>
      <c r="O5888">
        <v>0.9820316</v>
      </c>
      <c r="P5888">
        <v>0.1747657</v>
      </c>
      <c r="Q5888">
        <v>9.8910579999999994E-3</v>
      </c>
      <c r="R5888">
        <v>0.9845604</v>
      </c>
      <c r="S5888">
        <v>-6.3217159999999994E-2</v>
      </c>
      <c r="T5888">
        <v>-0.15720219999999999</v>
      </c>
      <c r="U5888">
        <v>3.0614319999999999</v>
      </c>
      <c r="V5888">
        <v>-1.390576E-2</v>
      </c>
      <c r="W5888">
        <v>2.3720249999999998E-2</v>
      </c>
      <c r="X5888">
        <v>0.99962189999999995</v>
      </c>
      <c r="Y5888">
        <v>-0.208425</v>
      </c>
      <c r="Z5888">
        <v>-4.9338170000000001E-2</v>
      </c>
      <c r="AA5888">
        <v>0.97679309999999997</v>
      </c>
      <c r="AB5888">
        <v>26</v>
      </c>
      <c r="AC5888">
        <v>-0.49610000000001198</v>
      </c>
      <c r="AD5888">
        <v>-1.1139827718049999</v>
      </c>
      <c r="AE5888">
        <v>21.413353000000001</v>
      </c>
      <c r="AF5888">
        <v>-4.5054093183565902</v>
      </c>
      <c r="AG5888">
        <v>-1.1139827718049999</v>
      </c>
      <c r="AH5888">
        <v>20.880785603878699</v>
      </c>
      <c r="AI5888">
        <v>92.985243898997794</v>
      </c>
      <c r="AJ5888">
        <v>102.175942917748</v>
      </c>
      <c r="AK5888">
        <v>21.390345443142301</v>
      </c>
      <c r="AL5888">
        <v>88.640802281966103</v>
      </c>
      <c r="AM5888">
        <v>90.796991313111903</v>
      </c>
      <c r="AN5888">
        <v>0.99999998169042403</v>
      </c>
    </row>
    <row r="5889" spans="1:40" x14ac:dyDescent="0.25">
      <c r="A5889" t="str">
        <f>"20190312154719792"</f>
        <v>20190312154719792</v>
      </c>
      <c r="B5889" t="str">
        <f>"1552376839784268"</f>
        <v>1552376839784268</v>
      </c>
      <c r="C5889" t="s">
        <v>40</v>
      </c>
      <c r="D5889">
        <v>4.8040890000000003</v>
      </c>
      <c r="E5889">
        <v>0.42570910000000001</v>
      </c>
      <c r="F5889" t="s">
        <v>42</v>
      </c>
      <c r="G5889">
        <v>-189.56979999999999</v>
      </c>
      <c r="H5889" s="1">
        <v>-2.0030059999999999E-6</v>
      </c>
      <c r="I5889">
        <v>-5.8760399999999997</v>
      </c>
      <c r="J5889">
        <v>-189.0616</v>
      </c>
      <c r="K5889">
        <v>1.1140639999999999</v>
      </c>
      <c r="L5889">
        <v>-27.563389999999998</v>
      </c>
      <c r="M5889">
        <v>0.18257090000000001</v>
      </c>
      <c r="N5889">
        <v>0</v>
      </c>
      <c r="O5889">
        <v>0.98309279999999999</v>
      </c>
      <c r="P5889">
        <v>0.1725701</v>
      </c>
      <c r="Q5889">
        <v>9.3360490000000008E-3</v>
      </c>
      <c r="R5889">
        <v>0.98495299999999997</v>
      </c>
      <c r="S5889">
        <v>-6.5032960000000001E-2</v>
      </c>
      <c r="T5889">
        <v>-0.1553764</v>
      </c>
      <c r="U5889">
        <v>3.0601500000000001</v>
      </c>
      <c r="V5889">
        <v>-1.040904E-2</v>
      </c>
      <c r="W5889">
        <v>2.324211E-2</v>
      </c>
      <c r="X5889">
        <v>0.99967569999999994</v>
      </c>
      <c r="Y5889">
        <v>-0.2034089</v>
      </c>
      <c r="Z5889">
        <v>-4.889421E-2</v>
      </c>
      <c r="AA5889">
        <v>0.97787230000000003</v>
      </c>
      <c r="AB5889">
        <v>26</v>
      </c>
      <c r="AC5889">
        <v>-0.50819999999998799</v>
      </c>
      <c r="AD5889">
        <v>-1.1140660030059999</v>
      </c>
      <c r="AE5889">
        <v>21.687349999999999</v>
      </c>
      <c r="AF5889">
        <v>-4.4477942821433603</v>
      </c>
      <c r="AG5889">
        <v>-1.1140660030059999</v>
      </c>
      <c r="AH5889">
        <v>21.174136175916999</v>
      </c>
      <c r="AI5889">
        <v>92.947598813494395</v>
      </c>
      <c r="AJ5889">
        <v>101.862955619929</v>
      </c>
      <c r="AK5889">
        <v>21.664903873121599</v>
      </c>
      <c r="AL5889">
        <v>88.668205299313499</v>
      </c>
      <c r="AM5889">
        <v>90.596565975162804</v>
      </c>
      <c r="AN5889">
        <v>1.0000000244807301</v>
      </c>
    </row>
    <row r="5890" spans="1:40" x14ac:dyDescent="0.25">
      <c r="A5890" t="str">
        <f>"20190312154719902"</f>
        <v>20190312154719902</v>
      </c>
      <c r="B5890" t="str">
        <f>"1552376839893578"</f>
        <v>1552376839893578</v>
      </c>
      <c r="C5890" t="s">
        <v>40</v>
      </c>
      <c r="D5890">
        <v>4.1525379999999998</v>
      </c>
      <c r="E5890">
        <v>0.44501420000000003</v>
      </c>
      <c r="F5890" t="s">
        <v>42</v>
      </c>
      <c r="G5890">
        <v>-189.57380000000001</v>
      </c>
      <c r="H5890" s="1">
        <v>-2.1780219999999999E-6</v>
      </c>
      <c r="I5890">
        <v>-5.4664289999999998</v>
      </c>
      <c r="J5890">
        <v>-188.8742</v>
      </c>
      <c r="K5890">
        <v>1.11415</v>
      </c>
      <c r="L5890">
        <v>-26.290679999999998</v>
      </c>
      <c r="M5890">
        <v>0.15321129999999999</v>
      </c>
      <c r="N5890">
        <v>0</v>
      </c>
      <c r="O5890">
        <v>0.98809219999999998</v>
      </c>
      <c r="P5890">
        <v>0.14055029999999999</v>
      </c>
      <c r="Q5890">
        <v>4.0613929999999999E-3</v>
      </c>
      <c r="R5890">
        <v>0.99006519999999998</v>
      </c>
      <c r="S5890">
        <v>-7.0922849999999996E-2</v>
      </c>
      <c r="T5890">
        <v>-0.1542627</v>
      </c>
      <c r="U5890">
        <v>3.059723</v>
      </c>
      <c r="V5890">
        <v>-1.300307E-2</v>
      </c>
      <c r="W5890">
        <v>1.8073829999999999E-2</v>
      </c>
      <c r="X5890">
        <v>0.99975210000000003</v>
      </c>
      <c r="Y5890">
        <v>-0.176055399999999</v>
      </c>
      <c r="Z5890">
        <v>-4.9061279999999999E-2</v>
      </c>
      <c r="AA5890">
        <v>0.9831569</v>
      </c>
      <c r="AB5890">
        <v>26</v>
      </c>
      <c r="AC5890">
        <v>-0.699600000000003</v>
      </c>
      <c r="AD5890">
        <v>-1.1141521780220001</v>
      </c>
      <c r="AE5890">
        <v>20.824251</v>
      </c>
      <c r="AF5890">
        <v>-3.8710996529875699</v>
      </c>
      <c r="AG5890">
        <v>-1.1141521780220001</v>
      </c>
      <c r="AH5890">
        <v>20.4127752843543</v>
      </c>
      <c r="AI5890">
        <v>93.069566447737301</v>
      </c>
      <c r="AJ5890">
        <v>100.73811472319601</v>
      </c>
      <c r="AK5890">
        <v>20.806444732550901</v>
      </c>
      <c r="AL5890">
        <v>88.964389435867304</v>
      </c>
      <c r="AM5890">
        <v>90.7451637519016</v>
      </c>
      <c r="AN5890">
        <v>1.0000000023073501</v>
      </c>
    </row>
    <row r="5891" spans="1:40" x14ac:dyDescent="0.25">
      <c r="A5891" t="str">
        <f>"20190312154719924"</f>
        <v>20190312154719924</v>
      </c>
      <c r="B5891" t="str">
        <f>"1552376839914076"</f>
        <v>1552376839914076</v>
      </c>
      <c r="C5891" t="s">
        <v>40</v>
      </c>
      <c r="D5891">
        <v>5.0996379999999997</v>
      </c>
      <c r="E5891">
        <v>0.45180540000000002</v>
      </c>
      <c r="F5891" t="s">
        <v>42</v>
      </c>
      <c r="G5891">
        <v>-188.9093</v>
      </c>
      <c r="H5891" s="1">
        <v>-3.0201600000000001E-6</v>
      </c>
      <c r="I5891">
        <v>-23.778130000000001</v>
      </c>
      <c r="J5891">
        <v>-188.84209999999999</v>
      </c>
      <c r="K5891">
        <v>1.114107</v>
      </c>
      <c r="L5891">
        <v>-26.041229999999999</v>
      </c>
      <c r="M5891">
        <v>0.1474837</v>
      </c>
      <c r="N5891">
        <v>0</v>
      </c>
      <c r="O5891">
        <v>0.98896309999999998</v>
      </c>
      <c r="P5891">
        <v>0.13150809999999999</v>
      </c>
      <c r="Q5891">
        <v>3.422647E-3</v>
      </c>
      <c r="R5891">
        <v>0.9913092</v>
      </c>
      <c r="S5891">
        <v>-4.244995E-2</v>
      </c>
      <c r="T5891">
        <v>-1.3487800000000001</v>
      </c>
      <c r="U5891">
        <v>3.0416560000000001</v>
      </c>
      <c r="V5891">
        <v>-1.6327339999999999E-2</v>
      </c>
      <c r="W5891">
        <v>1.7413990000000001E-2</v>
      </c>
      <c r="X5891">
        <v>0.99971500000000002</v>
      </c>
      <c r="Y5891">
        <v>-0.1600432</v>
      </c>
      <c r="Z5891">
        <v>-0.3962678</v>
      </c>
      <c r="AA5891">
        <v>0.90407850000000001</v>
      </c>
      <c r="AB5891">
        <v>26</v>
      </c>
      <c r="AC5891">
        <v>-6.7200000000013901E-2</v>
      </c>
      <c r="AD5891">
        <v>-1.11411002016</v>
      </c>
      <c r="AE5891">
        <v>2.2631000000000001</v>
      </c>
      <c r="AF5891">
        <v>-0.32224139951161401</v>
      </c>
      <c r="AG5891">
        <v>-1.11411002016</v>
      </c>
      <c r="AH5891">
        <v>1.79402931533474</v>
      </c>
      <c r="AI5891">
        <v>121.434449864104</v>
      </c>
      <c r="AJ5891">
        <v>100.18281681837399</v>
      </c>
      <c r="AK5891">
        <v>2.1362635232715501</v>
      </c>
      <c r="AL5891">
        <v>89.002201389518106</v>
      </c>
      <c r="AM5891">
        <v>90.935671176797996</v>
      </c>
      <c r="AN5891">
        <v>0.99999995515209605</v>
      </c>
    </row>
    <row r="5892" spans="1:40" x14ac:dyDescent="0.25">
      <c r="A5892" t="str">
        <f>"20190312154719947"</f>
        <v>20190312154719947</v>
      </c>
      <c r="B5892" t="str">
        <f>"1552376839944330"</f>
        <v>1552376839944330</v>
      </c>
      <c r="C5892" t="s">
        <v>40</v>
      </c>
      <c r="D5892">
        <v>5.1377160000000002</v>
      </c>
      <c r="E5892">
        <v>0.45048559999999999</v>
      </c>
      <c r="F5892" t="s">
        <v>42</v>
      </c>
      <c r="G5892">
        <v>-188.8501</v>
      </c>
      <c r="H5892" s="1">
        <v>-3.5735479999999998E-6</v>
      </c>
      <c r="I5892">
        <v>-22.512640000000001</v>
      </c>
      <c r="J5892">
        <v>-188.80969999999999</v>
      </c>
      <c r="K5892">
        <v>1.1140399999999999</v>
      </c>
      <c r="L5892">
        <v>-25.77814</v>
      </c>
      <c r="M5892">
        <v>0.14155029999999999</v>
      </c>
      <c r="N5892">
        <v>0</v>
      </c>
      <c r="O5892">
        <v>0.98982969999999904</v>
      </c>
      <c r="P5892">
        <v>0.12303559999999999</v>
      </c>
      <c r="Q5892">
        <v>3.8032059999999999E-3</v>
      </c>
      <c r="R5892">
        <v>0.99239500000000003</v>
      </c>
      <c r="S5892">
        <v>-6.9122309999999996E-3</v>
      </c>
      <c r="T5892">
        <v>-0.95685120000000001</v>
      </c>
      <c r="U5892">
        <v>3.0305179999999998</v>
      </c>
      <c r="V5892">
        <v>-1.8872280000000002E-2</v>
      </c>
      <c r="W5892">
        <v>1.7778720000000001E-2</v>
      </c>
      <c r="X5892">
        <v>0.99966379999999999</v>
      </c>
      <c r="Y5892">
        <v>-0.14368429999999999</v>
      </c>
      <c r="Z5892">
        <v>-0.2950468</v>
      </c>
      <c r="AA5892">
        <v>0.9446175</v>
      </c>
      <c r="AB5892">
        <v>26</v>
      </c>
      <c r="AC5892">
        <v>-4.04000000000053E-2</v>
      </c>
      <c r="AD5892">
        <v>-1.1140435735480001</v>
      </c>
      <c r="AE5892">
        <v>3.2654999999999901</v>
      </c>
      <c r="AF5892">
        <v>-0.44991564501695602</v>
      </c>
      <c r="AG5892">
        <v>-1.1140435735480001</v>
      </c>
      <c r="AH5892">
        <v>2.8905255484230299</v>
      </c>
      <c r="AI5892">
        <v>110.84815886988601</v>
      </c>
      <c r="AJ5892">
        <v>98.847201317886501</v>
      </c>
      <c r="AK5892">
        <v>3.1302803576486302</v>
      </c>
      <c r="AL5892">
        <v>88.981300687526797</v>
      </c>
      <c r="AM5892">
        <v>91.081537174451597</v>
      </c>
      <c r="AN5892">
        <v>0.999999979433838</v>
      </c>
    </row>
    <row r="5893" spans="1:40" x14ac:dyDescent="0.25">
      <c r="A5893" t="str">
        <f>"20190312154719971"</f>
        <v>20190312154719971</v>
      </c>
      <c r="B5893" t="str">
        <f>"1552376839963850"</f>
        <v>1552376839963850</v>
      </c>
      <c r="C5893" t="s">
        <v>40</v>
      </c>
      <c r="D5893">
        <v>5.0792859999999997</v>
      </c>
      <c r="E5893">
        <v>0.43876369999999998</v>
      </c>
      <c r="F5893" t="s">
        <v>42</v>
      </c>
      <c r="G5893">
        <v>-188.86689999999999</v>
      </c>
      <c r="H5893" s="1">
        <v>-4.1604180000000001E-6</v>
      </c>
      <c r="I5893">
        <v>-21.137709999999998</v>
      </c>
      <c r="J5893">
        <v>-188.77699999999999</v>
      </c>
      <c r="K5893">
        <v>1.11395</v>
      </c>
      <c r="L5893">
        <v>-25.49887</v>
      </c>
      <c r="M5893">
        <v>0.135367299999999</v>
      </c>
      <c r="N5893">
        <v>0</v>
      </c>
      <c r="O5893">
        <v>0.99069410000000002</v>
      </c>
      <c r="P5893">
        <v>0.1147048</v>
      </c>
      <c r="Q5893">
        <v>4.4393150000000001E-3</v>
      </c>
      <c r="R5893">
        <v>0.99338970000000004</v>
      </c>
      <c r="S5893">
        <v>-3.7307739999999999E-2</v>
      </c>
      <c r="T5893">
        <v>-0.72751809999999995</v>
      </c>
      <c r="U5893">
        <v>3.0303960000000001</v>
      </c>
      <c r="V5893">
        <v>-2.1020380000000002E-2</v>
      </c>
      <c r="W5893">
        <v>1.840137E-2</v>
      </c>
      <c r="X5893">
        <v>0.99960970000000005</v>
      </c>
      <c r="Y5893">
        <v>-0.1472165</v>
      </c>
      <c r="Z5893">
        <v>-0.22896349999999999</v>
      </c>
      <c r="AA5893">
        <v>0.96223860000000005</v>
      </c>
      <c r="AB5893">
        <v>26</v>
      </c>
      <c r="AC5893">
        <v>-8.98999999999716E-2</v>
      </c>
      <c r="AD5893">
        <v>-1.1139541604180001</v>
      </c>
      <c r="AE5893">
        <v>4.3611599999999902</v>
      </c>
      <c r="AF5893">
        <v>-0.63789023287469604</v>
      </c>
      <c r="AG5893">
        <v>-1.1139541604180001</v>
      </c>
      <c r="AH5893">
        <v>4.0450422177497698</v>
      </c>
      <c r="AI5893">
        <v>105.217707734706</v>
      </c>
      <c r="AJ5893">
        <v>98.961561459128802</v>
      </c>
      <c r="AK5893">
        <v>4.2438383998554299</v>
      </c>
      <c r="AL5893">
        <v>88.945619662088006</v>
      </c>
      <c r="AM5893">
        <v>91.204671762165006</v>
      </c>
      <c r="AN5893">
        <v>1.0000000095636501</v>
      </c>
    </row>
    <row r="5894" spans="1:40" x14ac:dyDescent="0.25">
      <c r="A5894" t="str">
        <f>"20190312154719997"</f>
        <v>20190312154719997</v>
      </c>
      <c r="B5894" t="str">
        <f>"1552376839983878"</f>
        <v>1552376839983878</v>
      </c>
      <c r="C5894" t="s">
        <v>40</v>
      </c>
      <c r="D5894">
        <v>4.9249839999999896</v>
      </c>
      <c r="E5894">
        <v>0.4465731</v>
      </c>
      <c r="F5894" t="s">
        <v>52</v>
      </c>
      <c r="G5894">
        <v>-195.55459999999999</v>
      </c>
      <c r="H5894" s="1">
        <v>-1.4902139999999999E-6</v>
      </c>
      <c r="I5894">
        <v>119.6182</v>
      </c>
      <c r="J5894">
        <v>-188.74459999999999</v>
      </c>
      <c r="K5894">
        <v>1.1138380000000001</v>
      </c>
      <c r="L5894">
        <v>-25.20795</v>
      </c>
      <c r="M5894">
        <v>0.12907879999999999</v>
      </c>
      <c r="N5894">
        <v>0</v>
      </c>
      <c r="O5894">
        <v>0.991533</v>
      </c>
      <c r="P5894">
        <v>0.10662580000000001</v>
      </c>
      <c r="Q5894">
        <v>3.6222390000000002E-3</v>
      </c>
      <c r="R5894">
        <v>0.99429259999999997</v>
      </c>
      <c r="S5894">
        <v>-0.1418152</v>
      </c>
      <c r="T5894">
        <v>-2.33084E-2</v>
      </c>
      <c r="U5894">
        <v>3.036438</v>
      </c>
      <c r="V5894">
        <v>-2.2791909999999999E-2</v>
      </c>
      <c r="W5894">
        <v>1.7573709999999999E-2</v>
      </c>
      <c r="X5894">
        <v>0.99958570000000002</v>
      </c>
      <c r="Y5894">
        <v>-0.17521310000000001</v>
      </c>
      <c r="Z5894">
        <v>-7.5160979999999997E-3</v>
      </c>
      <c r="AA5894">
        <v>0.98450179999999998</v>
      </c>
      <c r="AB5894">
        <v>26</v>
      </c>
      <c r="AC5894">
        <v>-6.81</v>
      </c>
      <c r="AD5894">
        <v>-1.1138394902140001</v>
      </c>
      <c r="AE5894">
        <v>144.82615000000001</v>
      </c>
      <c r="AF5894">
        <v>-25.4473809024018</v>
      </c>
      <c r="AG5894">
        <v>-1.1138394902140001</v>
      </c>
      <c r="AH5894">
        <v>142.72680046808699</v>
      </c>
      <c r="AI5894">
        <v>90.440185516713399</v>
      </c>
      <c r="AJ5894">
        <v>100.109285600882</v>
      </c>
      <c r="AK5894">
        <v>144.98189336968599</v>
      </c>
      <c r="AL5894">
        <v>88.993048690345901</v>
      </c>
      <c r="AM5894">
        <v>91.306195167410706</v>
      </c>
      <c r="AN5894">
        <v>0.99999993904454898</v>
      </c>
    </row>
    <row r="5895" spans="1:40" x14ac:dyDescent="0.25">
      <c r="A5895" t="str">
        <f>"20190312154720021"</f>
        <v>20190312154720021</v>
      </c>
      <c r="B5895" t="str">
        <f>"1552376840014134"</f>
        <v>1552376840014134</v>
      </c>
      <c r="C5895" t="s">
        <v>40</v>
      </c>
      <c r="D5895">
        <v>5.0318880000000004</v>
      </c>
      <c r="E5895">
        <v>0.45228049999999997</v>
      </c>
      <c r="F5895" t="s">
        <v>42</v>
      </c>
      <c r="G5895">
        <v>-190.49889999999999</v>
      </c>
      <c r="H5895" s="1">
        <v>-2.5796740000000002E-6</v>
      </c>
      <c r="I5895">
        <v>25.29299</v>
      </c>
      <c r="J5895">
        <v>-188.71430000000001</v>
      </c>
      <c r="K5895">
        <v>1.113712</v>
      </c>
      <c r="L5895">
        <v>-24.922029999999999</v>
      </c>
      <c r="M5895">
        <v>0.1230845</v>
      </c>
      <c r="N5895">
        <v>0</v>
      </c>
      <c r="O5895">
        <v>0.99229500000000004</v>
      </c>
      <c r="P5895">
        <v>9.9571350000000003E-2</v>
      </c>
      <c r="Q5895">
        <v>2.1863579999999998E-3</v>
      </c>
      <c r="R5895">
        <v>0.99502800000000002</v>
      </c>
      <c r="S5895">
        <v>-0.10520939999999999</v>
      </c>
      <c r="T5895">
        <v>-6.6801550000000001E-2</v>
      </c>
      <c r="U5895">
        <v>3.0287480000000002</v>
      </c>
      <c r="V5895">
        <v>-2.3822030000000001E-2</v>
      </c>
      <c r="W5895">
        <v>1.613386E-2</v>
      </c>
      <c r="X5895">
        <v>0.99958599999999997</v>
      </c>
      <c r="Y5895">
        <v>-0.157466299999999</v>
      </c>
      <c r="Z5895">
        <v>-2.1654679999999999E-2</v>
      </c>
      <c r="AA5895">
        <v>0.98728689999999997</v>
      </c>
      <c r="AB5895">
        <v>26</v>
      </c>
      <c r="AC5895">
        <v>-1.78459999999998</v>
      </c>
      <c r="AD5895">
        <v>-1.113714579674</v>
      </c>
      <c r="AE5895">
        <v>50.215020000000003</v>
      </c>
      <c r="AF5895">
        <v>-7.9484339595463496</v>
      </c>
      <c r="AG5895">
        <v>-1.113714579674</v>
      </c>
      <c r="AH5895">
        <v>49.589076770298703</v>
      </c>
      <c r="AI5895">
        <v>91.270372080723106</v>
      </c>
      <c r="AJ5895">
        <v>99.106252873985397</v>
      </c>
      <c r="AK5895">
        <v>50.234395562252203</v>
      </c>
      <c r="AL5895">
        <v>89.075557788591198</v>
      </c>
      <c r="AM5895">
        <v>91.365208659960899</v>
      </c>
      <c r="AN5895">
        <v>0.99999998097390996</v>
      </c>
    </row>
    <row r="5896" spans="1:40" x14ac:dyDescent="0.25">
      <c r="A5896" t="str">
        <f>"20190312154720060"</f>
        <v>20190312154720060</v>
      </c>
      <c r="B5896" t="str">
        <f>"1552376840054151"</f>
        <v>1552376840054151</v>
      </c>
      <c r="C5896" t="s">
        <v>40</v>
      </c>
      <c r="D5896">
        <v>5.0325350000000002</v>
      </c>
      <c r="E5896">
        <v>0.45846999999999999</v>
      </c>
      <c r="F5896" t="s">
        <v>42</v>
      </c>
      <c r="G5896">
        <v>-190.08150000000001</v>
      </c>
      <c r="H5896" s="1">
        <v>-2.746007E-6</v>
      </c>
      <c r="I5896">
        <v>25.93956</v>
      </c>
      <c r="J5896">
        <v>-188.67089999999999</v>
      </c>
      <c r="K5896">
        <v>1.1134850000000001</v>
      </c>
      <c r="L5896">
        <v>-24.484100000000002</v>
      </c>
      <c r="M5896">
        <v>0.1143319</v>
      </c>
      <c r="N5896">
        <v>0</v>
      </c>
      <c r="O5896">
        <v>0.99334160000000005</v>
      </c>
      <c r="P5896">
        <v>9.0420020000000004E-2</v>
      </c>
      <c r="Q5896">
        <v>1.050792E-3</v>
      </c>
      <c r="R5896">
        <v>0.99590319999999999</v>
      </c>
      <c r="S5896">
        <v>-8.1268309999999996E-2</v>
      </c>
      <c r="T5896">
        <v>-6.6200140000000005E-2</v>
      </c>
      <c r="U5896">
        <v>3.0232540000000001</v>
      </c>
      <c r="V5896">
        <v>-2.4180879999999998E-2</v>
      </c>
      <c r="W5896">
        <v>1.4997699999999999E-2</v>
      </c>
      <c r="X5896">
        <v>0.99959509999999996</v>
      </c>
      <c r="Y5896">
        <v>-0.1409908</v>
      </c>
      <c r="Z5896">
        <v>-2.156303E-2</v>
      </c>
      <c r="AA5896">
        <v>0.98977610000000005</v>
      </c>
      <c r="AB5896">
        <v>26</v>
      </c>
      <c r="AC5896">
        <v>-1.4106000000000101</v>
      </c>
      <c r="AD5896">
        <v>-1.1134877460070001</v>
      </c>
      <c r="AE5896">
        <v>50.423659999999998</v>
      </c>
      <c r="AF5896">
        <v>-7.1634692057239802</v>
      </c>
      <c r="AG5896">
        <v>-1.1134877460070001</v>
      </c>
      <c r="AH5896">
        <v>49.9073350360296</v>
      </c>
      <c r="AI5896">
        <v>91.2651581204275</v>
      </c>
      <c r="AJ5896">
        <v>98.168182675814293</v>
      </c>
      <c r="AK5896">
        <v>50.431113773348002</v>
      </c>
      <c r="AL5896">
        <v>89.140662874539501</v>
      </c>
      <c r="AM5896">
        <v>91.385753302944707</v>
      </c>
      <c r="AN5896">
        <v>1.0000000049534301</v>
      </c>
    </row>
    <row r="5897" spans="1:40" x14ac:dyDescent="0.25">
      <c r="A5897" t="str">
        <f>"20190312154720080"</f>
        <v>20190312154720080</v>
      </c>
      <c r="B5897" t="str">
        <f>"1552376840073670"</f>
        <v>1552376840073670</v>
      </c>
      <c r="C5897" t="s">
        <v>40</v>
      </c>
      <c r="D5897">
        <v>5.0645199999999999</v>
      </c>
      <c r="E5897">
        <v>0.46030019999999999</v>
      </c>
      <c r="F5897" t="s">
        <v>42</v>
      </c>
      <c r="G5897">
        <v>-189.27600000000001</v>
      </c>
      <c r="H5897" s="1">
        <v>-2.6875589999999998E-6</v>
      </c>
      <c r="I5897">
        <v>5.5981800000000002</v>
      </c>
      <c r="J5897">
        <v>-188.64869999999999</v>
      </c>
      <c r="K5897">
        <v>1.1133630000000001</v>
      </c>
      <c r="L5897">
        <v>-24.245999999999999</v>
      </c>
      <c r="M5897">
        <v>0.1097552</v>
      </c>
      <c r="N5897">
        <v>0</v>
      </c>
      <c r="O5897">
        <v>0.99385789999999996</v>
      </c>
      <c r="P5897">
        <v>8.6013350000000002E-2</v>
      </c>
      <c r="Q5897">
        <v>-7.4605059999999896E-4</v>
      </c>
      <c r="R5897">
        <v>0.99629369999999995</v>
      </c>
      <c r="S5897">
        <v>-6.0699459999999997E-2</v>
      </c>
      <c r="T5897">
        <v>-0.11170960000000001</v>
      </c>
      <c r="U5897">
        <v>3.0179749999999999</v>
      </c>
      <c r="V5897">
        <v>-2.3978920000000001E-2</v>
      </c>
      <c r="W5897">
        <v>1.3203060000000001E-2</v>
      </c>
      <c r="X5897">
        <v>0.99962530000000005</v>
      </c>
      <c r="Y5897">
        <v>-0.12971730000000001</v>
      </c>
      <c r="Z5897">
        <v>-3.6494150000000003E-2</v>
      </c>
      <c r="AA5897">
        <v>0.99087919999999996</v>
      </c>
      <c r="AB5897">
        <v>26</v>
      </c>
      <c r="AC5897">
        <v>-0.62729999999999098</v>
      </c>
      <c r="AD5897">
        <v>-1.1133656875589999</v>
      </c>
      <c r="AE5897">
        <v>29.844180000000001</v>
      </c>
      <c r="AF5897">
        <v>-3.8939745068046401</v>
      </c>
      <c r="AG5897">
        <v>-1.1133656875589999</v>
      </c>
      <c r="AH5897">
        <v>29.553875296507599</v>
      </c>
      <c r="AI5897">
        <v>92.138980427857007</v>
      </c>
      <c r="AJ5897">
        <v>97.505970369879606</v>
      </c>
      <c r="AK5897">
        <v>29.830088260938901</v>
      </c>
      <c r="AL5897">
        <v>89.243498424100395</v>
      </c>
      <c r="AM5897">
        <v>91.374142374054401</v>
      </c>
      <c r="AN5897">
        <v>1.0000000248989001</v>
      </c>
    </row>
    <row r="5898" spans="1:40" x14ac:dyDescent="0.25">
      <c r="A5898" t="str">
        <f>"20190312154720104"</f>
        <v>20190312154720104</v>
      </c>
      <c r="B5898" t="str">
        <f>"1552376840093615"</f>
        <v>1552376840093615</v>
      </c>
      <c r="C5898" t="s">
        <v>40</v>
      </c>
      <c r="D5898">
        <v>5.0787079999999998</v>
      </c>
      <c r="E5898">
        <v>0.46173599999999998</v>
      </c>
      <c r="F5898" t="s">
        <v>42</v>
      </c>
      <c r="G5898">
        <v>-189.1378</v>
      </c>
      <c r="H5898" s="1">
        <v>-4.8119549999999897E-7</v>
      </c>
      <c r="I5898">
        <v>0.3879282</v>
      </c>
      <c r="J5898">
        <v>-188.6249</v>
      </c>
      <c r="K5898">
        <v>1.11324</v>
      </c>
      <c r="L5898">
        <v>-23.97766</v>
      </c>
      <c r="M5898">
        <v>0.10473300000000001</v>
      </c>
      <c r="N5898">
        <v>0</v>
      </c>
      <c r="O5898">
        <v>0.9943997</v>
      </c>
      <c r="P5898">
        <v>8.1083799999999998E-2</v>
      </c>
      <c r="Q5898">
        <v>-3.8943419999999999E-3</v>
      </c>
      <c r="R5898">
        <v>0.99669969999999997</v>
      </c>
      <c r="S5898">
        <v>-5.9875490000000003E-2</v>
      </c>
      <c r="T5898">
        <v>-0.13632269999999999</v>
      </c>
      <c r="U5898">
        <v>3.016235</v>
      </c>
      <c r="V5898">
        <v>-2.384346E-2</v>
      </c>
      <c r="W5898">
        <v>1.005472E-2</v>
      </c>
      <c r="X5898">
        <v>0.99966509999999997</v>
      </c>
      <c r="Y5898">
        <v>-0.1244406</v>
      </c>
      <c r="Z5898">
        <v>-4.4597810000000002E-2</v>
      </c>
      <c r="AA5898">
        <v>0.99122429999999995</v>
      </c>
      <c r="AB5898">
        <v>26</v>
      </c>
      <c r="AC5898">
        <v>-0.51290000000000102</v>
      </c>
      <c r="AD5898">
        <v>-1.1132404811954999</v>
      </c>
      <c r="AE5898">
        <v>24.365588199999902</v>
      </c>
      <c r="AF5898">
        <v>-3.0558391472852202</v>
      </c>
      <c r="AG5898">
        <v>-1.1132404811954999</v>
      </c>
      <c r="AH5898">
        <v>24.127493223469401</v>
      </c>
      <c r="AI5898">
        <v>92.620841248540003</v>
      </c>
      <c r="AJ5898">
        <v>97.218296301823301</v>
      </c>
      <c r="AK5898">
        <v>24.345705709870401</v>
      </c>
      <c r="AL5898">
        <v>89.423897249449993</v>
      </c>
      <c r="AM5898">
        <v>91.366328238832807</v>
      </c>
      <c r="AN5898">
        <v>0.99999996006852898</v>
      </c>
    </row>
    <row r="5899" spans="1:40" x14ac:dyDescent="0.25">
      <c r="A5899" t="str">
        <f>"20190312154720126"</f>
        <v>20190312154720126</v>
      </c>
      <c r="B5899" t="str">
        <f>"1552376840114111"</f>
        <v>1552376840114111</v>
      </c>
      <c r="C5899" t="s">
        <v>40</v>
      </c>
      <c r="D5899">
        <v>5.1136039999999996</v>
      </c>
      <c r="E5899">
        <v>0.46311479999999999</v>
      </c>
      <c r="F5899" t="s">
        <v>42</v>
      </c>
      <c r="G5899">
        <v>-189.08609999999999</v>
      </c>
      <c r="H5899" s="1">
        <v>-3.6819409999999999E-6</v>
      </c>
      <c r="I5899">
        <v>-2.162401</v>
      </c>
      <c r="J5899">
        <v>-188.60329999999999</v>
      </c>
      <c r="K5899">
        <v>1.1131450000000001</v>
      </c>
      <c r="L5899">
        <v>-23.721920000000001</v>
      </c>
      <c r="M5899">
        <v>0.10007190000000001</v>
      </c>
      <c r="N5899">
        <v>0</v>
      </c>
      <c r="O5899">
        <v>0.99487969999999903</v>
      </c>
      <c r="P5899">
        <v>7.7181559999999996E-2</v>
      </c>
      <c r="Q5899">
        <v>-6.1624310000000003E-3</v>
      </c>
      <c r="R5899">
        <v>0.99699800000000005</v>
      </c>
      <c r="S5899">
        <v>-6.3735959999999994E-2</v>
      </c>
      <c r="T5899">
        <v>-0.15383279999999999</v>
      </c>
      <c r="U5899">
        <v>3.014526</v>
      </c>
      <c r="V5899">
        <v>-2.3050729999999998E-2</v>
      </c>
      <c r="W5899">
        <v>7.7907879999999999E-3</v>
      </c>
      <c r="X5899">
        <v>0.99970389999999998</v>
      </c>
      <c r="Y5899">
        <v>-0.1210642</v>
      </c>
      <c r="Z5899">
        <v>-5.0387319999999999E-2</v>
      </c>
      <c r="AA5899">
        <v>0.99136500000000005</v>
      </c>
      <c r="AB5899">
        <v>26</v>
      </c>
      <c r="AC5899">
        <v>-0.48279999999999701</v>
      </c>
      <c r="AD5899">
        <v>-1.1131486819409999</v>
      </c>
      <c r="AE5899">
        <v>21.559519000000002</v>
      </c>
      <c r="AF5899">
        <v>-2.6310833307635</v>
      </c>
      <c r="AG5899">
        <v>-1.1131486819409999</v>
      </c>
      <c r="AH5899">
        <v>21.346077518769299</v>
      </c>
      <c r="AI5899">
        <v>92.962757920222401</v>
      </c>
      <c r="AJ5899">
        <v>97.026744144666196</v>
      </c>
      <c r="AK5899">
        <v>21.536404642345399</v>
      </c>
      <c r="AL5899">
        <v>89.553616194984997</v>
      </c>
      <c r="AM5899">
        <v>91.320866674788604</v>
      </c>
      <c r="AN5899">
        <v>0.99999996010320102</v>
      </c>
    </row>
    <row r="5900" spans="1:40" x14ac:dyDescent="0.25">
      <c r="A5900" t="str">
        <f>"20190312154720149"</f>
        <v>20190312154720149</v>
      </c>
      <c r="B5900" t="str">
        <f>"1552376840144367"</f>
        <v>1552376840144367</v>
      </c>
      <c r="C5900" t="s">
        <v>40</v>
      </c>
      <c r="D5900">
        <v>5.1444449999999904</v>
      </c>
      <c r="E5900">
        <v>0.46517209999999998</v>
      </c>
      <c r="F5900" t="s">
        <v>42</v>
      </c>
      <c r="G5900">
        <v>-189.04140000000001</v>
      </c>
      <c r="H5900" s="1">
        <v>-3.1341959999999999E-6</v>
      </c>
      <c r="I5900">
        <v>-3.4576799999999999</v>
      </c>
      <c r="J5900">
        <v>-188.5822</v>
      </c>
      <c r="K5900">
        <v>1.1130869999999999</v>
      </c>
      <c r="L5900">
        <v>-23.456479999999999</v>
      </c>
      <c r="M5900">
        <v>9.5313469999999997E-2</v>
      </c>
      <c r="N5900">
        <v>0</v>
      </c>
      <c r="O5900">
        <v>0.99534699999999998</v>
      </c>
      <c r="P5900">
        <v>7.4046230000000005E-2</v>
      </c>
      <c r="Q5900">
        <v>-6.3947850000000001E-3</v>
      </c>
      <c r="R5900">
        <v>0.99723430000000002</v>
      </c>
      <c r="S5900">
        <v>-6.513977E-2</v>
      </c>
      <c r="T5900">
        <v>-0.1655124</v>
      </c>
      <c r="U5900">
        <v>3.0130620000000001</v>
      </c>
      <c r="V5900">
        <v>-2.14109E-2</v>
      </c>
      <c r="W5900">
        <v>7.5681129999999996E-3</v>
      </c>
      <c r="X5900">
        <v>0.99974209999999997</v>
      </c>
      <c r="Y5900">
        <v>-0.1167839</v>
      </c>
      <c r="Z5900">
        <v>-5.428036E-2</v>
      </c>
      <c r="AA5900">
        <v>0.99167289999999997</v>
      </c>
      <c r="AB5900">
        <v>26</v>
      </c>
      <c r="AC5900">
        <v>-0.45920000000000899</v>
      </c>
      <c r="AD5900">
        <v>-1.113090134196</v>
      </c>
      <c r="AE5900">
        <v>19.998799999999999</v>
      </c>
      <c r="AF5900">
        <v>-2.3561593051513698</v>
      </c>
      <c r="AG5900">
        <v>-1.113090134196</v>
      </c>
      <c r="AH5900">
        <v>19.8026488366514</v>
      </c>
      <c r="AI5900">
        <v>93.194675528662302</v>
      </c>
      <c r="AJ5900">
        <v>96.785268934669105</v>
      </c>
      <c r="AK5900">
        <v>19.973366197659999</v>
      </c>
      <c r="AL5900">
        <v>89.566374920129505</v>
      </c>
      <c r="AM5900">
        <v>91.226883114665497</v>
      </c>
      <c r="AN5900">
        <v>0.99999998474280005</v>
      </c>
    </row>
    <row r="5901" spans="1:40" x14ac:dyDescent="0.25">
      <c r="A5901" t="str">
        <f>"20190312154720172"</f>
        <v>20190312154720172</v>
      </c>
      <c r="B5901" t="str">
        <f>"1552376840163886"</f>
        <v>1552376840163886</v>
      </c>
      <c r="C5901" t="s">
        <v>40</v>
      </c>
      <c r="D5901">
        <v>5.1337599999999997</v>
      </c>
      <c r="E5901">
        <v>0.4660783</v>
      </c>
      <c r="F5901" t="s">
        <v>42</v>
      </c>
      <c r="G5901">
        <v>-188.96469999999999</v>
      </c>
      <c r="H5901" s="1">
        <v>-2.957944E-6</v>
      </c>
      <c r="I5901">
        <v>-3.9002699999999999</v>
      </c>
      <c r="J5901">
        <v>-188.56229999999999</v>
      </c>
      <c r="K5901">
        <v>1.113046</v>
      </c>
      <c r="L5901">
        <v>-23.192599999999999</v>
      </c>
      <c r="M5901">
        <v>9.0627280000000005E-2</v>
      </c>
      <c r="N5901">
        <v>0</v>
      </c>
      <c r="O5901">
        <v>0.99578469999999997</v>
      </c>
      <c r="P5901">
        <v>7.2406360000000003E-2</v>
      </c>
      <c r="Q5901">
        <v>-4.5816820000000001E-3</v>
      </c>
      <c r="R5901">
        <v>0.99736469999999999</v>
      </c>
      <c r="S5901">
        <v>-5.8898930000000002E-2</v>
      </c>
      <c r="T5901">
        <v>-0.1714125</v>
      </c>
      <c r="U5901">
        <v>3.0115970000000001</v>
      </c>
      <c r="V5901">
        <v>-1.836289E-2</v>
      </c>
      <c r="W5901">
        <v>9.4014860000000006E-3</v>
      </c>
      <c r="X5901">
        <v>0.99978719999999999</v>
      </c>
      <c r="Y5901">
        <v>-0.11006059999999999</v>
      </c>
      <c r="Z5901">
        <v>-5.6296739999999998E-2</v>
      </c>
      <c r="AA5901">
        <v>0.99232920000000002</v>
      </c>
      <c r="AB5901">
        <v>26</v>
      </c>
      <c r="AC5901">
        <v>-0.40239999999999998</v>
      </c>
      <c r="AD5901">
        <v>-1.1130489579439999</v>
      </c>
      <c r="AE5901">
        <v>19.29233</v>
      </c>
      <c r="AF5901">
        <v>-2.14220219839354</v>
      </c>
      <c r="AG5901">
        <v>-1.1130489579439999</v>
      </c>
      <c r="AH5901">
        <v>19.1128607872723</v>
      </c>
      <c r="AI5901">
        <v>93.312197035574897</v>
      </c>
      <c r="AJ5901">
        <v>96.395119144064196</v>
      </c>
      <c r="AK5901">
        <v>19.264717898667399</v>
      </c>
      <c r="AL5901">
        <v>89.461326603275893</v>
      </c>
      <c r="AM5901">
        <v>91.052221726688899</v>
      </c>
      <c r="AN5901">
        <v>1.000000014476</v>
      </c>
    </row>
    <row r="5902" spans="1:40" x14ac:dyDescent="0.25">
      <c r="A5902" t="str">
        <f>"20190312154720194"</f>
        <v>20190312154720194</v>
      </c>
      <c r="B5902" t="str">
        <f>"1552376840183914"</f>
        <v>1552376840183914</v>
      </c>
      <c r="C5902" t="s">
        <v>40</v>
      </c>
      <c r="D5902">
        <v>5.1578269999999904</v>
      </c>
      <c r="E5902">
        <v>0.4670356</v>
      </c>
      <c r="F5902" t="s">
        <v>42</v>
      </c>
      <c r="G5902">
        <v>-188.93450000000001</v>
      </c>
      <c r="H5902" s="1">
        <v>-3.1270969999999998E-6</v>
      </c>
      <c r="I5902">
        <v>-3.518443</v>
      </c>
      <c r="J5902">
        <v>-188.5446</v>
      </c>
      <c r="K5902">
        <v>1.113024</v>
      </c>
      <c r="L5902">
        <v>-22.942689999999999</v>
      </c>
      <c r="M5902">
        <v>8.6205400000000001E-2</v>
      </c>
      <c r="N5902">
        <v>0</v>
      </c>
      <c r="O5902">
        <v>0.99617730000000004</v>
      </c>
      <c r="P5902">
        <v>7.1036399999999902E-2</v>
      </c>
      <c r="Q5902">
        <v>-3.4475539999999998E-3</v>
      </c>
      <c r="R5902">
        <v>0.99746780000000002</v>
      </c>
      <c r="S5902">
        <v>-5.6961060000000001E-2</v>
      </c>
      <c r="T5902">
        <v>-0.1703614</v>
      </c>
      <c r="U5902">
        <v>3.0112920000000001</v>
      </c>
      <c r="V5902">
        <v>-1.5305320000000001E-2</v>
      </c>
      <c r="W5902">
        <v>1.055537E-2</v>
      </c>
      <c r="X5902">
        <v>0.99982709999999997</v>
      </c>
      <c r="Y5902">
        <v>-0.1050104</v>
      </c>
      <c r="Z5902">
        <v>-5.6007319999999999E-2</v>
      </c>
      <c r="AA5902">
        <v>0.99289269999999996</v>
      </c>
      <c r="AB5902">
        <v>26</v>
      </c>
      <c r="AC5902">
        <v>-0.38990000000001102</v>
      </c>
      <c r="AD5902">
        <v>-1.113027127097</v>
      </c>
      <c r="AE5902">
        <v>19.424247000000001</v>
      </c>
      <c r="AF5902">
        <v>-2.05634116773227</v>
      </c>
      <c r="AG5902">
        <v>-1.113027127097</v>
      </c>
      <c r="AH5902">
        <v>19.255112058371601</v>
      </c>
      <c r="AI5902">
        <v>93.289593214501494</v>
      </c>
      <c r="AJ5902">
        <v>96.095773215253004</v>
      </c>
      <c r="AK5902">
        <v>19.396564354653499</v>
      </c>
      <c r="AL5902">
        <v>89.395210586248396</v>
      </c>
      <c r="AM5902">
        <v>90.877013387195802</v>
      </c>
      <c r="AN5902">
        <v>0.99999994927527303</v>
      </c>
    </row>
    <row r="5903" spans="1:40" x14ac:dyDescent="0.25">
      <c r="A5903" t="str">
        <f>"20190312154720217"</f>
        <v>20190312154720217</v>
      </c>
      <c r="B5903" t="str">
        <f>"1552376840204411"</f>
        <v>1552376840204411</v>
      </c>
      <c r="C5903" t="s">
        <v>40</v>
      </c>
      <c r="D5903">
        <v>5.1537559999999996</v>
      </c>
      <c r="E5903">
        <v>0.46783039999999998</v>
      </c>
      <c r="F5903" t="s">
        <v>42</v>
      </c>
      <c r="G5903">
        <v>-188.89930000000001</v>
      </c>
      <c r="H5903" s="1">
        <v>-3.2948460000000002E-6</v>
      </c>
      <c r="I5903">
        <v>-3.1419800000000002</v>
      </c>
      <c r="J5903">
        <v>-188.52780000000001</v>
      </c>
      <c r="K5903">
        <v>1.113011</v>
      </c>
      <c r="L5903">
        <v>-22.689119999999999</v>
      </c>
      <c r="M5903">
        <v>8.171784E-2</v>
      </c>
      <c r="N5903">
        <v>0</v>
      </c>
      <c r="O5903">
        <v>0.99655550000000004</v>
      </c>
      <c r="P5903">
        <v>6.9422510000000007E-2</v>
      </c>
      <c r="Q5903">
        <v>-3.2552549999999999E-3</v>
      </c>
      <c r="R5903">
        <v>0.99758199999999997</v>
      </c>
      <c r="S5903">
        <v>-5.3924560000000003E-2</v>
      </c>
      <c r="T5903">
        <v>-0.16924510000000001</v>
      </c>
      <c r="U5903">
        <v>3.0108640000000002</v>
      </c>
      <c r="V5903">
        <v>-1.2420870000000001E-2</v>
      </c>
      <c r="W5903">
        <v>1.0766120000000001E-2</v>
      </c>
      <c r="X5903">
        <v>0.99986489999999995</v>
      </c>
      <c r="Y5903">
        <v>-9.9531889999999998E-2</v>
      </c>
      <c r="Z5903">
        <v>-5.569752E-2</v>
      </c>
      <c r="AA5903">
        <v>0.99347430000000003</v>
      </c>
      <c r="AB5903">
        <v>26</v>
      </c>
      <c r="AC5903">
        <v>-0.371499999999997</v>
      </c>
      <c r="AD5903">
        <v>-1.113014294846</v>
      </c>
      <c r="AE5903">
        <v>19.547139999999999</v>
      </c>
      <c r="AF5903">
        <v>-1.9614096380663399</v>
      </c>
      <c r="AG5903">
        <v>-1.113014294846</v>
      </c>
      <c r="AH5903">
        <v>19.38855224141</v>
      </c>
      <c r="AI5903">
        <v>93.268853361734003</v>
      </c>
      <c r="AJ5903">
        <v>95.776576920981697</v>
      </c>
      <c r="AK5903">
        <v>19.5192696227783</v>
      </c>
      <c r="AL5903">
        <v>89.383134846866696</v>
      </c>
      <c r="AM5903">
        <v>90.711722978147193</v>
      </c>
      <c r="AN5903">
        <v>1.00000000280171</v>
      </c>
    </row>
    <row r="5904" spans="1:40" x14ac:dyDescent="0.25">
      <c r="A5904" t="str">
        <f>"20190312154720239"</f>
        <v>20190312154720239</v>
      </c>
      <c r="B5904" t="str">
        <f>"1552376840233690"</f>
        <v>1552376840233690</v>
      </c>
      <c r="C5904" t="s">
        <v>40</v>
      </c>
      <c r="D5904">
        <v>5.2337470000000001</v>
      </c>
      <c r="E5904">
        <v>0.46882829999999898</v>
      </c>
      <c r="F5904" t="s">
        <v>42</v>
      </c>
      <c r="G5904">
        <v>-188.86840000000001</v>
      </c>
      <c r="H5904" s="1">
        <v>-3.2768140000000001E-6</v>
      </c>
      <c r="I5904">
        <v>-3.1967720000000002</v>
      </c>
      <c r="J5904">
        <v>-188.512</v>
      </c>
      <c r="K5904">
        <v>1.1130059999999999</v>
      </c>
      <c r="L5904">
        <v>-22.433350000000001</v>
      </c>
      <c r="M5904">
        <v>7.7179590000000006E-2</v>
      </c>
      <c r="N5904">
        <v>0</v>
      </c>
      <c r="O5904">
        <v>0.99691730000000001</v>
      </c>
      <c r="P5904">
        <v>6.6749149999999993E-2</v>
      </c>
      <c r="Q5904">
        <v>-3.8793149999999999E-3</v>
      </c>
      <c r="R5904">
        <v>0.99776229999999999</v>
      </c>
      <c r="S5904">
        <v>-5.2597049999999999E-2</v>
      </c>
      <c r="T5904">
        <v>-0.17189260000000001</v>
      </c>
      <c r="U5904">
        <v>3.0103759999999999</v>
      </c>
      <c r="V5904">
        <v>-1.0542910000000001E-2</v>
      </c>
      <c r="W5904">
        <v>1.015247E-2</v>
      </c>
      <c r="X5904">
        <v>0.99989289999999997</v>
      </c>
      <c r="Y5904">
        <v>-9.4564239999999994E-2</v>
      </c>
      <c r="Z5904">
        <v>-5.66201E-2</v>
      </c>
      <c r="AA5904">
        <v>0.99390730000000005</v>
      </c>
      <c r="AB5904">
        <v>26</v>
      </c>
      <c r="AC5904">
        <v>-0.35640000000000699</v>
      </c>
      <c r="AD5904">
        <v>-1.1130092768140001</v>
      </c>
      <c r="AE5904">
        <v>19.236578000000002</v>
      </c>
      <c r="AF5904">
        <v>-1.83401825351755</v>
      </c>
      <c r="AG5904">
        <v>-1.1130092768140001</v>
      </c>
      <c r="AH5904">
        <v>19.087800645448201</v>
      </c>
      <c r="AI5904">
        <v>93.321873008875599</v>
      </c>
      <c r="AJ5904">
        <v>95.4883177108387</v>
      </c>
      <c r="AK5904">
        <v>19.207981312071301</v>
      </c>
      <c r="AL5904">
        <v>89.418296334900504</v>
      </c>
      <c r="AM5904">
        <v>90.604106562122794</v>
      </c>
      <c r="AN5904">
        <v>1.00000001853438</v>
      </c>
    </row>
    <row r="5905" spans="1:40" x14ac:dyDescent="0.25">
      <c r="A5905" t="str">
        <f>"20190312154720261"</f>
        <v>20190312154720261</v>
      </c>
      <c r="B5905" t="str">
        <f>"1552376840254186"</f>
        <v>1552376840254186</v>
      </c>
      <c r="C5905" t="s">
        <v>40</v>
      </c>
      <c r="D5905">
        <v>5.2528389999999998</v>
      </c>
      <c r="E5905">
        <v>0.46936129999999998</v>
      </c>
      <c r="F5905" t="s">
        <v>42</v>
      </c>
      <c r="G5905">
        <v>-188.84180000000001</v>
      </c>
      <c r="H5905" s="1">
        <v>-3.099188E-6</v>
      </c>
      <c r="I5905">
        <v>-3.62182</v>
      </c>
      <c r="J5905">
        <v>-188.4974</v>
      </c>
      <c r="K5905">
        <v>1.112989</v>
      </c>
      <c r="L5905">
        <v>-22.17831</v>
      </c>
      <c r="M5905">
        <v>7.2638380000000002E-2</v>
      </c>
      <c r="N5905">
        <v>0</v>
      </c>
      <c r="O5905">
        <v>0.99725850000000005</v>
      </c>
      <c r="P5905">
        <v>6.3035880000000002E-2</v>
      </c>
      <c r="Q5905">
        <v>-4.9293009999999996E-3</v>
      </c>
      <c r="R5905">
        <v>0.99799910000000003</v>
      </c>
      <c r="S5905">
        <v>-5.2764890000000002E-2</v>
      </c>
      <c r="T5905">
        <v>-0.1780641</v>
      </c>
      <c r="U5905">
        <v>3.0095519999999998</v>
      </c>
      <c r="V5905">
        <v>-9.7009999999999996E-3</v>
      </c>
      <c r="W5905">
        <v>9.1049049999999999E-3</v>
      </c>
      <c r="X5905">
        <v>0.99991149999999995</v>
      </c>
      <c r="Y5905">
        <v>-9.008737E-2</v>
      </c>
      <c r="Z5905">
        <v>-5.8704430000000002E-2</v>
      </c>
      <c r="AA5905">
        <v>0.99420220000000004</v>
      </c>
      <c r="AB5905">
        <v>26</v>
      </c>
      <c r="AC5905">
        <v>-0.34440000000000698</v>
      </c>
      <c r="AD5905">
        <v>-1.112992099188</v>
      </c>
      <c r="AE5905">
        <v>18.55649</v>
      </c>
      <c r="AF5905">
        <v>-1.6854763453073101</v>
      </c>
      <c r="AG5905">
        <v>-1.112992099188</v>
      </c>
      <c r="AH5905">
        <v>18.4162129580182</v>
      </c>
      <c r="AI5905">
        <v>93.444130270873501</v>
      </c>
      <c r="AJ5905">
        <v>95.229218297577006</v>
      </c>
      <c r="AK5905">
        <v>18.526642481532399</v>
      </c>
      <c r="AL5905">
        <v>89.478320166959307</v>
      </c>
      <c r="AM5905">
        <v>90.555858112235697</v>
      </c>
      <c r="AN5905">
        <v>1.00000000826415</v>
      </c>
    </row>
    <row r="5906" spans="1:40" x14ac:dyDescent="0.25">
      <c r="A5906" t="str">
        <f>"20190312154720282"</f>
        <v>20190312154720282</v>
      </c>
      <c r="B5906" t="str">
        <f>"1552376840273705"</f>
        <v>1552376840273705</v>
      </c>
      <c r="C5906" t="s">
        <v>40</v>
      </c>
      <c r="D5906">
        <v>5.288786</v>
      </c>
      <c r="E5906">
        <v>0.46991569999999999</v>
      </c>
      <c r="F5906" t="s">
        <v>42</v>
      </c>
      <c r="G5906">
        <v>-188.85720000000001</v>
      </c>
      <c r="H5906" s="1">
        <v>-2.9192980000000001E-6</v>
      </c>
      <c r="I5906">
        <v>-4.034796</v>
      </c>
      <c r="J5906">
        <v>-188.48509999999999</v>
      </c>
      <c r="K5906">
        <v>1.112984</v>
      </c>
      <c r="L5906">
        <v>-21.944790000000001</v>
      </c>
      <c r="M5906">
        <v>6.8466799999999994E-2</v>
      </c>
      <c r="N5906">
        <v>0</v>
      </c>
      <c r="O5906">
        <v>0.99755369999999999</v>
      </c>
      <c r="P5906">
        <v>5.8884789999999999E-2</v>
      </c>
      <c r="Q5906">
        <v>-6.1598440000000003E-3</v>
      </c>
      <c r="R5906">
        <v>0.99824579999999996</v>
      </c>
      <c r="S5906">
        <v>-5.9661869999999999E-2</v>
      </c>
      <c r="T5906">
        <v>-0.18457599999999999</v>
      </c>
      <c r="U5906">
        <v>3.0088810000000001</v>
      </c>
      <c r="V5906">
        <v>-9.6672479999999998E-3</v>
      </c>
      <c r="W5906">
        <v>7.8713710000000003E-3</v>
      </c>
      <c r="X5906">
        <v>0.99992230000000004</v>
      </c>
      <c r="Y5906">
        <v>-8.8201199999999993E-2</v>
      </c>
      <c r="Z5906">
        <v>-6.0887869999999997E-2</v>
      </c>
      <c r="AA5906">
        <v>0.99424000000000001</v>
      </c>
      <c r="AB5906">
        <v>26</v>
      </c>
      <c r="AC5906">
        <v>-0.37210000000001697</v>
      </c>
      <c r="AD5906">
        <v>-1.112986919298</v>
      </c>
      <c r="AE5906">
        <v>17.909994000000001</v>
      </c>
      <c r="AF5906">
        <v>-1.59144542274706</v>
      </c>
      <c r="AG5906">
        <v>-1.112986919298</v>
      </c>
      <c r="AH5906">
        <v>17.7738694943274</v>
      </c>
      <c r="AI5906">
        <v>93.568901489912804</v>
      </c>
      <c r="AJ5906">
        <v>95.116533325317903</v>
      </c>
      <c r="AK5906">
        <v>17.879649750973702</v>
      </c>
      <c r="AL5906">
        <v>89.548999009969506</v>
      </c>
      <c r="AM5906">
        <v>90.553918292842596</v>
      </c>
      <c r="AN5906">
        <v>1.0000000101013</v>
      </c>
    </row>
    <row r="5907" spans="1:40" x14ac:dyDescent="0.25">
      <c r="A5907" t="str">
        <f>"20190312154720304"</f>
        <v>20190312154720304</v>
      </c>
      <c r="B5907" t="str">
        <f>"1552376840294202"</f>
        <v>1552376840294202</v>
      </c>
      <c r="C5907" t="s">
        <v>40</v>
      </c>
      <c r="D5907">
        <v>5.2540959999999997</v>
      </c>
      <c r="E5907">
        <v>0.47048400000000001</v>
      </c>
      <c r="F5907" t="s">
        <v>42</v>
      </c>
      <c r="G5907">
        <v>-188.8809</v>
      </c>
      <c r="H5907" s="1">
        <v>-2.7464850000000001E-6</v>
      </c>
      <c r="I5907">
        <v>-4.4278370000000002</v>
      </c>
      <c r="J5907">
        <v>-188.47280000000001</v>
      </c>
      <c r="K5907">
        <v>1.1129880000000001</v>
      </c>
      <c r="L5907">
        <v>-21.69022</v>
      </c>
      <c r="M5907">
        <v>6.390875E-2</v>
      </c>
      <c r="N5907">
        <v>0</v>
      </c>
      <c r="O5907">
        <v>0.99785610000000002</v>
      </c>
      <c r="P5907">
        <v>5.3894270000000001E-2</v>
      </c>
      <c r="Q5907">
        <v>-7.1575049999999998E-3</v>
      </c>
      <c r="R5907">
        <v>0.99852099999999999</v>
      </c>
      <c r="S5907">
        <v>-6.7962649999999999E-2</v>
      </c>
      <c r="T5907">
        <v>-0.19112689999999999</v>
      </c>
      <c r="U5907">
        <v>3.0080870000000002</v>
      </c>
      <c r="V5907">
        <v>-1.0089290000000001E-2</v>
      </c>
      <c r="W5907">
        <v>6.8667040000000004E-3</v>
      </c>
      <c r="X5907">
        <v>0.99992559999999997</v>
      </c>
      <c r="Y5907">
        <v>-8.6394830000000006E-2</v>
      </c>
      <c r="Z5907">
        <v>-6.3088829999999999E-2</v>
      </c>
      <c r="AA5907">
        <v>0.99426139999999996</v>
      </c>
      <c r="AB5907">
        <v>26</v>
      </c>
      <c r="AC5907">
        <v>-0.40809999999999003</v>
      </c>
      <c r="AD5907">
        <v>-1.112990746485</v>
      </c>
      <c r="AE5907">
        <v>17.262383</v>
      </c>
      <c r="AF5907">
        <v>-1.5043425296698201</v>
      </c>
      <c r="AG5907">
        <v>-1.112990746485</v>
      </c>
      <c r="AH5907">
        <v>17.129834324025001</v>
      </c>
      <c r="AI5907">
        <v>93.703286976715006</v>
      </c>
      <c r="AJ5907">
        <v>95.018841023727404</v>
      </c>
      <c r="AK5907">
        <v>17.2317445088093</v>
      </c>
      <c r="AL5907">
        <v>89.606563779424903</v>
      </c>
      <c r="AM5907">
        <v>90.578097129220396</v>
      </c>
      <c r="AN5907">
        <v>1.0000000754659399</v>
      </c>
    </row>
    <row r="5908" spans="1:40" x14ac:dyDescent="0.25">
      <c r="A5908" t="str">
        <f>"20190312154720326"</f>
        <v>20190312154720326</v>
      </c>
      <c r="B5908" t="str">
        <f>"1552376840314698"</f>
        <v>1552376840314698</v>
      </c>
      <c r="C5908" t="s">
        <v>40</v>
      </c>
      <c r="D5908">
        <v>5.2453370000000001</v>
      </c>
      <c r="E5908">
        <v>0.47100649999999999</v>
      </c>
      <c r="F5908" t="s">
        <v>42</v>
      </c>
      <c r="G5908">
        <v>-188.92009999999999</v>
      </c>
      <c r="H5908" s="1">
        <v>-2.647806E-6</v>
      </c>
      <c r="I5908">
        <v>-4.6416339999999998</v>
      </c>
      <c r="J5908">
        <v>-188.4622</v>
      </c>
      <c r="K5908">
        <v>1.1129880000000001</v>
      </c>
      <c r="L5908">
        <v>-21.44699</v>
      </c>
      <c r="M5908">
        <v>5.9547349999999999E-2</v>
      </c>
      <c r="N5908">
        <v>0</v>
      </c>
      <c r="O5908">
        <v>0.99812590000000001</v>
      </c>
      <c r="P5908">
        <v>4.90499E-2</v>
      </c>
      <c r="Q5908">
        <v>-6.7711289999999999E-3</v>
      </c>
      <c r="R5908">
        <v>0.99877340000000003</v>
      </c>
      <c r="S5908">
        <v>-7.8903199999999896E-2</v>
      </c>
      <c r="T5908">
        <v>-0.19632649999999999</v>
      </c>
      <c r="U5908">
        <v>3.0072939999999999</v>
      </c>
      <c r="V5908">
        <v>-1.0572740000000001E-2</v>
      </c>
      <c r="W5908">
        <v>7.2457789999999999E-3</v>
      </c>
      <c r="X5908">
        <v>0.99991790000000003</v>
      </c>
      <c r="Y5908">
        <v>-8.5658970000000001E-2</v>
      </c>
      <c r="Z5908">
        <v>-6.4840549999999997E-2</v>
      </c>
      <c r="AA5908">
        <v>0.9942124</v>
      </c>
      <c r="AB5908">
        <v>26</v>
      </c>
      <c r="AC5908">
        <v>-0.45789999999999498</v>
      </c>
      <c r="AD5908">
        <v>-1.1129906478060001</v>
      </c>
      <c r="AE5908">
        <v>16.805356</v>
      </c>
      <c r="AF5908">
        <v>-1.45153918272691</v>
      </c>
      <c r="AG5908">
        <v>-1.1129906478060001</v>
      </c>
      <c r="AH5908">
        <v>16.6751729746418</v>
      </c>
      <c r="AI5908">
        <v>93.804221164949993</v>
      </c>
      <c r="AJ5908">
        <v>94.974938325024993</v>
      </c>
      <c r="AK5908">
        <v>16.7751932303422</v>
      </c>
      <c r="AL5908">
        <v>89.584843830119894</v>
      </c>
      <c r="AM5908">
        <v>90.605800542233297</v>
      </c>
      <c r="AN5908">
        <v>1.0000000454424101</v>
      </c>
    </row>
    <row r="5909" spans="1:40" x14ac:dyDescent="0.25">
      <c r="A5909" t="str">
        <f>"20190312154720348"</f>
        <v>20190312154720348</v>
      </c>
      <c r="B5909" t="str">
        <f>"1552376840343977"</f>
        <v>1552376840343977</v>
      </c>
      <c r="C5909" t="s">
        <v>40</v>
      </c>
      <c r="D5909">
        <v>5.3041559999999999</v>
      </c>
      <c r="E5909">
        <v>0.47181479999999998</v>
      </c>
      <c r="F5909" t="s">
        <v>42</v>
      </c>
      <c r="G5909">
        <v>-188.9675</v>
      </c>
      <c r="H5909" s="1">
        <v>-2.7029489999999999E-6</v>
      </c>
      <c r="I5909">
        <v>-4.4935130000000001</v>
      </c>
      <c r="J5909">
        <v>-188.4522</v>
      </c>
      <c r="K5909">
        <v>1.1129869999999999</v>
      </c>
      <c r="L5909">
        <v>-21.192540000000001</v>
      </c>
      <c r="M5909">
        <v>5.498103E-2</v>
      </c>
      <c r="N5909">
        <v>0</v>
      </c>
      <c r="O5909">
        <v>0.99838789999999999</v>
      </c>
      <c r="P5909">
        <v>4.4465079999999997E-2</v>
      </c>
      <c r="Q5909">
        <v>-5.5760760000000001E-3</v>
      </c>
      <c r="R5909">
        <v>0.99899539999999998</v>
      </c>
      <c r="S5909">
        <v>-8.9614869999999999E-2</v>
      </c>
      <c r="T5909">
        <v>-0.19739190000000001</v>
      </c>
      <c r="U5909">
        <v>3.0067439999999999</v>
      </c>
      <c r="V5909">
        <v>-1.059791E-2</v>
      </c>
      <c r="W5909">
        <v>8.4373599999999997E-3</v>
      </c>
      <c r="X5909">
        <v>0.99990829999999997</v>
      </c>
      <c r="Y5909">
        <v>-8.4644650000000002E-2</v>
      </c>
      <c r="Z5909">
        <v>-6.5228060000000004E-2</v>
      </c>
      <c r="AA5909">
        <v>0.99427390000000004</v>
      </c>
      <c r="AB5909">
        <v>26</v>
      </c>
      <c r="AC5909">
        <v>-0.51529999999999598</v>
      </c>
      <c r="AD5909">
        <v>-1.1129897029489999</v>
      </c>
      <c r="AE5909">
        <v>16.699026999999901</v>
      </c>
      <c r="AF5909">
        <v>-1.4264109285843001</v>
      </c>
      <c r="AG5909">
        <v>-1.1129897029489999</v>
      </c>
      <c r="AH5909">
        <v>16.571882576438099</v>
      </c>
      <c r="AI5909">
        <v>93.828178178397494</v>
      </c>
      <c r="AJ5909">
        <v>94.919560913038794</v>
      </c>
      <c r="AK5909">
        <v>16.670353515846902</v>
      </c>
      <c r="AL5909">
        <v>89.516569173172201</v>
      </c>
      <c r="AM5909">
        <v>90.607248463428306</v>
      </c>
      <c r="AN5909">
        <v>1.00000005657451</v>
      </c>
    </row>
    <row r="5910" spans="1:40" x14ac:dyDescent="0.25">
      <c r="A5910" t="str">
        <f>"20190312154720373"</f>
        <v>20190312154720373</v>
      </c>
      <c r="B5910" t="str">
        <f>"1552376840363497"</f>
        <v>1552376840363497</v>
      </c>
      <c r="C5910" t="s">
        <v>40</v>
      </c>
      <c r="D5910">
        <v>5.2506130000000004</v>
      </c>
      <c r="E5910">
        <v>0.47252680000000002</v>
      </c>
      <c r="F5910" t="s">
        <v>42</v>
      </c>
      <c r="G5910">
        <v>-189.0026</v>
      </c>
      <c r="H5910" s="1">
        <v>-2.827652E-6</v>
      </c>
      <c r="I5910">
        <v>-4.1883039999999996</v>
      </c>
      <c r="J5910">
        <v>-188.44290000000001</v>
      </c>
      <c r="K5910">
        <v>1.112989</v>
      </c>
      <c r="L5910">
        <v>-20.921109999999999</v>
      </c>
      <c r="M5910">
        <v>5.0109309999999997E-2</v>
      </c>
      <c r="N5910">
        <v>0</v>
      </c>
      <c r="O5910">
        <v>0.99864439999999999</v>
      </c>
      <c r="P5910">
        <v>4.0189229999999999E-2</v>
      </c>
      <c r="Q5910">
        <v>-4.3446780000000003E-3</v>
      </c>
      <c r="R5910">
        <v>0.99918260000000003</v>
      </c>
      <c r="S5910">
        <v>-9.7305299999999997E-2</v>
      </c>
      <c r="T5910">
        <v>-0.19677049999999999</v>
      </c>
      <c r="U5910">
        <v>3.006256</v>
      </c>
      <c r="V5910">
        <v>-1.0008E-2</v>
      </c>
      <c r="W5910">
        <v>9.6694559999999999E-3</v>
      </c>
      <c r="X5910">
        <v>0.99990310000000004</v>
      </c>
      <c r="Y5910">
        <v>-8.2329269999999996E-2</v>
      </c>
      <c r="Z5910">
        <v>-6.5063010000000004E-2</v>
      </c>
      <c r="AA5910">
        <v>0.99447909999999995</v>
      </c>
      <c r="AB5910">
        <v>25</v>
      </c>
      <c r="AC5910">
        <v>-0.55969999999999198</v>
      </c>
      <c r="AD5910">
        <v>-1.1129918276520001</v>
      </c>
      <c r="AE5910">
        <v>16.732806</v>
      </c>
      <c r="AF5910">
        <v>-1.3914001732399099</v>
      </c>
      <c r="AG5910">
        <v>-1.1129918276520001</v>
      </c>
      <c r="AH5910">
        <v>16.610324859268498</v>
      </c>
      <c r="AI5910">
        <v>93.820092679689296</v>
      </c>
      <c r="AJ5910">
        <v>94.788327299837803</v>
      </c>
      <c r="AK5910">
        <v>16.7056169350594</v>
      </c>
      <c r="AL5910">
        <v>89.445972310722595</v>
      </c>
      <c r="AM5910">
        <v>90.573452581895694</v>
      </c>
      <c r="AN5910">
        <v>0.99999993391647002</v>
      </c>
    </row>
    <row r="5911" spans="1:40" x14ac:dyDescent="0.25">
      <c r="A5911" t="str">
        <f>"20190312154720416"</f>
        <v>20190312154720416</v>
      </c>
      <c r="B5911" t="str">
        <f>"1552376840403514"</f>
        <v>1552376840403514</v>
      </c>
      <c r="C5911" t="s">
        <v>40</v>
      </c>
      <c r="D5911">
        <v>5.229819</v>
      </c>
      <c r="E5911">
        <v>0.48684739999999999</v>
      </c>
      <c r="F5911" t="s">
        <v>42</v>
      </c>
      <c r="G5911">
        <v>-189.04429999999999</v>
      </c>
      <c r="H5911" s="1">
        <v>-3.066959E-6</v>
      </c>
      <c r="I5911">
        <v>-3.6132360000000001</v>
      </c>
      <c r="J5911">
        <v>-188.42930000000001</v>
      </c>
      <c r="K5911">
        <v>1.112986</v>
      </c>
      <c r="L5911">
        <v>-20.431640000000002</v>
      </c>
      <c r="M5911">
        <v>4.1323680000000002E-2</v>
      </c>
      <c r="N5911">
        <v>0</v>
      </c>
      <c r="O5911">
        <v>0.99904660000000001</v>
      </c>
      <c r="P5911">
        <v>3.3315049999999999E-2</v>
      </c>
      <c r="Q5911">
        <v>-3.3999659999999999E-3</v>
      </c>
      <c r="R5911">
        <v>0.99943910000000002</v>
      </c>
      <c r="S5911">
        <v>-0.10444639999999999</v>
      </c>
      <c r="T5911">
        <v>-0.1932914</v>
      </c>
      <c r="U5911">
        <v>3.0058289999999999</v>
      </c>
      <c r="V5911">
        <v>-8.0988369999999994E-3</v>
      </c>
      <c r="W5911">
        <v>1.062165E-2</v>
      </c>
      <c r="X5911">
        <v>0.99991079999999999</v>
      </c>
      <c r="Y5911">
        <v>-7.5928850000000006E-2</v>
      </c>
      <c r="Z5911">
        <v>-6.3978889999999997E-2</v>
      </c>
      <c r="AA5911">
        <v>0.99505849999999996</v>
      </c>
      <c r="AB5911">
        <v>25</v>
      </c>
      <c r="AC5911">
        <v>-0.61499999999998001</v>
      </c>
      <c r="AD5911">
        <v>-1.1129890669589999</v>
      </c>
      <c r="AE5911">
        <v>16.818403999999902</v>
      </c>
      <c r="AF5911">
        <v>-1.3038394369614601</v>
      </c>
      <c r="AG5911">
        <v>-1.1129890669589999</v>
      </c>
      <c r="AH5911">
        <v>16.705556270132099</v>
      </c>
      <c r="AI5911">
        <v>93.800111830869795</v>
      </c>
      <c r="AJ5911">
        <v>94.462788277725593</v>
      </c>
      <c r="AK5911">
        <v>16.793282949890902</v>
      </c>
      <c r="AL5911">
        <v>89.391412845407501</v>
      </c>
      <c r="AM5911">
        <v>90.464060426439403</v>
      </c>
      <c r="AN5911">
        <v>1.0000000092830501</v>
      </c>
    </row>
    <row r="5912" spans="1:40" x14ac:dyDescent="0.25">
      <c r="A5912" t="str">
        <f>"20190312154720439"</f>
        <v>20190312154720439</v>
      </c>
      <c r="B5912" t="str">
        <f>"1552376840433770"</f>
        <v>1552376840433770</v>
      </c>
      <c r="C5912" t="s">
        <v>40</v>
      </c>
      <c r="D5912">
        <v>5.1098499999999998</v>
      </c>
      <c r="E5912">
        <v>0.4870506</v>
      </c>
      <c r="F5912" t="s">
        <v>42</v>
      </c>
      <c r="G5912">
        <v>-188.48990000000001</v>
      </c>
      <c r="H5912" s="1">
        <v>-2.5824660000000002E-6</v>
      </c>
      <c r="I5912">
        <v>-4.9718439999999999</v>
      </c>
      <c r="J5912">
        <v>-188.4238</v>
      </c>
      <c r="K5912">
        <v>1.1129849999999999</v>
      </c>
      <c r="L5912">
        <v>-20.174160000000001</v>
      </c>
      <c r="M5912">
        <v>3.6701940000000002E-2</v>
      </c>
      <c r="N5912">
        <v>0</v>
      </c>
      <c r="O5912">
        <v>0.99922710000000003</v>
      </c>
      <c r="P5912">
        <v>2.930876E-2</v>
      </c>
      <c r="Q5912">
        <v>-3.881865E-3</v>
      </c>
      <c r="R5912">
        <v>0.99956290000000003</v>
      </c>
      <c r="S5912">
        <v>-1.176453E-2</v>
      </c>
      <c r="T5912">
        <v>-0.21607409999999999</v>
      </c>
      <c r="U5912">
        <v>3.0013429999999999</v>
      </c>
      <c r="V5912">
        <v>-7.4771319999999896E-3</v>
      </c>
      <c r="W5912">
        <v>1.014055E-2</v>
      </c>
      <c r="X5912">
        <v>0.99992060000000005</v>
      </c>
      <c r="Y5912">
        <v>-4.0612259999999997E-2</v>
      </c>
      <c r="Z5912">
        <v>-7.1704229999999994E-2</v>
      </c>
      <c r="AA5912">
        <v>0.99659880000000001</v>
      </c>
      <c r="AB5912">
        <v>25</v>
      </c>
      <c r="AC5912">
        <v>-6.6100000000005807E-2</v>
      </c>
      <c r="AD5912">
        <v>-1.112987582466</v>
      </c>
      <c r="AE5912">
        <v>15.202316</v>
      </c>
      <c r="AF5912">
        <v>-0.62073817399124698</v>
      </c>
      <c r="AG5912">
        <v>-1.112987582466</v>
      </c>
      <c r="AH5912">
        <v>15.1086650433929</v>
      </c>
      <c r="AI5912">
        <v>94.2095745597627</v>
      </c>
      <c r="AJ5912">
        <v>92.352668910680507</v>
      </c>
      <c r="AK5912">
        <v>15.1623156751472</v>
      </c>
      <c r="AL5912">
        <v>89.418979308863399</v>
      </c>
      <c r="AM5912">
        <v>90.428434139390305</v>
      </c>
      <c r="AN5912">
        <v>0.99999997228080295</v>
      </c>
    </row>
    <row r="5913" spans="1:40" x14ac:dyDescent="0.25">
      <c r="A5913" t="str">
        <f>"20190312154720486"</f>
        <v>20190312154720486</v>
      </c>
      <c r="B5913" t="str">
        <f>"1552376840473786"</f>
        <v>1552376840473786</v>
      </c>
      <c r="C5913" t="s">
        <v>40</v>
      </c>
      <c r="D5913">
        <v>5.1936470000000003</v>
      </c>
      <c r="E5913">
        <v>0.48848419999999998</v>
      </c>
      <c r="F5913" t="s">
        <v>42</v>
      </c>
      <c r="G5913">
        <v>-188.5386</v>
      </c>
      <c r="H5913" s="1">
        <v>-2.740674E-6</v>
      </c>
      <c r="I5913">
        <v>-4.5828980000000001</v>
      </c>
      <c r="J5913">
        <v>-188.41659999999999</v>
      </c>
      <c r="K5913">
        <v>1.1129800000000001</v>
      </c>
      <c r="L5913">
        <v>-19.660250000000001</v>
      </c>
      <c r="M5913">
        <v>2.7478499999999999E-2</v>
      </c>
      <c r="N5913">
        <v>0</v>
      </c>
      <c r="O5913">
        <v>0.9995233</v>
      </c>
      <c r="P5913">
        <v>2.2522259999999999E-2</v>
      </c>
      <c r="Q5913">
        <v>-3.4530730000000001E-3</v>
      </c>
      <c r="R5913">
        <v>0.99974039999999997</v>
      </c>
      <c r="S5913">
        <v>-2.209473E-2</v>
      </c>
      <c r="T5913">
        <v>-0.2142365</v>
      </c>
      <c r="U5913">
        <v>3.0011290000000002</v>
      </c>
      <c r="V5913">
        <v>-5.0396909999999998E-3</v>
      </c>
      <c r="W5913">
        <v>1.0581119999999999E-2</v>
      </c>
      <c r="X5913">
        <v>0.99993129999999997</v>
      </c>
      <c r="Y5913">
        <v>-3.482097E-2</v>
      </c>
      <c r="Z5913">
        <v>-7.1141259999999998E-2</v>
      </c>
      <c r="AA5913">
        <v>0.99685829999999997</v>
      </c>
      <c r="AB5913">
        <v>25</v>
      </c>
      <c r="AC5913">
        <v>-0.122000000000014</v>
      </c>
      <c r="AD5913">
        <v>-1.1129827406739901</v>
      </c>
      <c r="AE5913">
        <v>15.077351999999999</v>
      </c>
      <c r="AF5913">
        <v>-0.53339165663983201</v>
      </c>
      <c r="AG5913">
        <v>-1.1129827406739901</v>
      </c>
      <c r="AH5913">
        <v>14.9866461245891</v>
      </c>
      <c r="AI5913">
        <v>94.244594478459206</v>
      </c>
      <c r="AJ5913">
        <v>92.038361091372195</v>
      </c>
      <c r="AK5913">
        <v>15.0373800678201</v>
      </c>
      <c r="AL5913">
        <v>89.393735157083995</v>
      </c>
      <c r="AM5913">
        <v>90.288770417949294</v>
      </c>
      <c r="AN5913">
        <v>0.99999998165275905</v>
      </c>
    </row>
    <row r="5914" spans="1:40" x14ac:dyDescent="0.25">
      <c r="A5914" t="str">
        <f>"20190312154720506"</f>
        <v>20190312154720506</v>
      </c>
      <c r="B5914" t="str">
        <f>"1552376840494282"</f>
        <v>1552376840494282</v>
      </c>
      <c r="C5914" t="s">
        <v>40</v>
      </c>
      <c r="D5914">
        <v>5.223128</v>
      </c>
      <c r="E5914">
        <v>0.48876209999999998</v>
      </c>
      <c r="F5914" t="s">
        <v>42</v>
      </c>
      <c r="G5914">
        <v>-188.57689999999999</v>
      </c>
      <c r="H5914" s="1">
        <v>-2.8183650000000001E-6</v>
      </c>
      <c r="I5914">
        <v>-4.3859709999999996</v>
      </c>
      <c r="J5914">
        <v>-188.41489999999999</v>
      </c>
      <c r="K5914">
        <v>1.112975</v>
      </c>
      <c r="L5914">
        <v>-19.41422</v>
      </c>
      <c r="M5914">
        <v>2.306445E-2</v>
      </c>
      <c r="N5914">
        <v>0</v>
      </c>
      <c r="O5914">
        <v>0.99963500000000005</v>
      </c>
      <c r="P5914">
        <v>1.934638E-2</v>
      </c>
      <c r="Q5914">
        <v>-1.7210939999999901E-3</v>
      </c>
      <c r="R5914">
        <v>0.99981140000000002</v>
      </c>
      <c r="S5914">
        <v>-3.1494139999999997E-2</v>
      </c>
      <c r="T5914">
        <v>-0.21865270000000001</v>
      </c>
      <c r="U5914">
        <v>3.0007320000000002</v>
      </c>
      <c r="V5914">
        <v>-3.8132700000000001E-3</v>
      </c>
      <c r="W5914">
        <v>1.231908E-2</v>
      </c>
      <c r="X5914">
        <v>0.9999169</v>
      </c>
      <c r="Y5914">
        <v>-3.3529839999999998E-2</v>
      </c>
      <c r="Z5914">
        <v>-7.2622370000000006E-2</v>
      </c>
      <c r="AA5914">
        <v>0.99679569999999995</v>
      </c>
      <c r="AB5914">
        <v>25</v>
      </c>
      <c r="AC5914">
        <v>-0.162000000000006</v>
      </c>
      <c r="AD5914">
        <v>-1.1129778183650001</v>
      </c>
      <c r="AE5914">
        <v>15.028248999999899</v>
      </c>
      <c r="AF5914">
        <v>-0.505835441657422</v>
      </c>
      <c r="AG5914">
        <v>-1.1129778183650001</v>
      </c>
      <c r="AH5914">
        <v>14.938588790957001</v>
      </c>
      <c r="AI5914">
        <v>94.258434994664995</v>
      </c>
      <c r="AJ5914">
        <v>91.939350983180006</v>
      </c>
      <c r="AK5914">
        <v>14.988529753899</v>
      </c>
      <c r="AL5914">
        <v>89.294150892501804</v>
      </c>
      <c r="AM5914">
        <v>90.218501375445996</v>
      </c>
      <c r="AN5914">
        <v>1.0000000538328699</v>
      </c>
    </row>
    <row r="5915" spans="1:40" x14ac:dyDescent="0.25">
      <c r="A5915" t="str">
        <f>"20190312154720528"</f>
        <v>20190312154720528</v>
      </c>
      <c r="B5915" t="str">
        <f>"1552376840523562"</f>
        <v>1552376840523562</v>
      </c>
      <c r="C5915" t="s">
        <v>40</v>
      </c>
      <c r="D5915">
        <v>5.2172989999999997</v>
      </c>
      <c r="E5915">
        <v>0.48963030000000002</v>
      </c>
      <c r="F5915" t="s">
        <v>42</v>
      </c>
      <c r="G5915">
        <v>-188.61760000000001</v>
      </c>
      <c r="H5915" s="1">
        <v>-3.0822779999999999E-6</v>
      </c>
      <c r="I5915">
        <v>-3.7539560000000001</v>
      </c>
      <c r="J5915">
        <v>-188.41419999999999</v>
      </c>
      <c r="K5915">
        <v>1.1129610000000001</v>
      </c>
      <c r="L5915">
        <v>-19.174219999999998</v>
      </c>
      <c r="M5915">
        <v>1.87656E-2</v>
      </c>
      <c r="N5915">
        <v>0</v>
      </c>
      <c r="O5915">
        <v>0.99972499999999997</v>
      </c>
      <c r="P5915">
        <v>1.6566020000000001E-2</v>
      </c>
      <c r="Q5915">
        <v>2.1876719999999999E-4</v>
      </c>
      <c r="R5915">
        <v>0.99986269999999999</v>
      </c>
      <c r="S5915">
        <v>-3.8848880000000002E-2</v>
      </c>
      <c r="T5915">
        <v>-0.21327779999999999</v>
      </c>
      <c r="U5915">
        <v>3.0009459999999999</v>
      </c>
      <c r="V5915">
        <v>-2.3084339999999998E-3</v>
      </c>
      <c r="W5915">
        <v>1.426679E-2</v>
      </c>
      <c r="X5915">
        <v>0.9998956</v>
      </c>
      <c r="Y5915">
        <v>-3.1675509999999997E-2</v>
      </c>
      <c r="Z5915">
        <v>-7.0851919999999999E-2</v>
      </c>
      <c r="AA5915">
        <v>0.99698379999999998</v>
      </c>
      <c r="AB5915">
        <v>25</v>
      </c>
      <c r="AC5915">
        <v>-0.20340000000001601</v>
      </c>
      <c r="AD5915">
        <v>-1.112964082278</v>
      </c>
      <c r="AE5915">
        <v>15.420264</v>
      </c>
      <c r="AF5915">
        <v>-0.49021009887029998</v>
      </c>
      <c r="AG5915">
        <v>-1.112964082278</v>
      </c>
      <c r="AH5915">
        <v>15.3338661309775</v>
      </c>
      <c r="AI5915">
        <v>94.149255360905698</v>
      </c>
      <c r="AJ5915">
        <v>91.831071619030496</v>
      </c>
      <c r="AK5915">
        <v>15.3820169520195</v>
      </c>
      <c r="AL5915">
        <v>89.182545446375201</v>
      </c>
      <c r="AM5915">
        <v>90.1322771002271</v>
      </c>
      <c r="AN5915">
        <v>1.0000000405318901</v>
      </c>
    </row>
    <row r="5916" spans="1:40" x14ac:dyDescent="0.25">
      <c r="A5916" t="str">
        <f>"20190312154720552"</f>
        <v>20190312154720552</v>
      </c>
      <c r="B5916" t="str">
        <f>"1552376840544059"</f>
        <v>1552376840544059</v>
      </c>
      <c r="C5916" t="s">
        <v>40</v>
      </c>
      <c r="D5916">
        <v>5.1962419999999998</v>
      </c>
      <c r="E5916">
        <v>0.49022070000000001</v>
      </c>
      <c r="F5916" t="s">
        <v>42</v>
      </c>
      <c r="G5916">
        <v>-188.62889999999999</v>
      </c>
      <c r="H5916" s="1">
        <v>-3.3683380000000002E-6</v>
      </c>
      <c r="I5916">
        <v>-3.082465</v>
      </c>
      <c r="J5916">
        <v>-188.41470000000001</v>
      </c>
      <c r="K5916">
        <v>1.1129340000000001</v>
      </c>
      <c r="L5916">
        <v>-18.90793</v>
      </c>
      <c r="M5916">
        <v>1.4027110000000001E-2</v>
      </c>
      <c r="N5916">
        <v>0</v>
      </c>
      <c r="O5916">
        <v>0.99980279999999999</v>
      </c>
      <c r="P5916">
        <v>1.2858949999999999E-2</v>
      </c>
      <c r="Q5916">
        <v>6.2744869999999998E-4</v>
      </c>
      <c r="R5916">
        <v>0.9999171</v>
      </c>
      <c r="S5916">
        <v>-4.0039060000000001E-2</v>
      </c>
      <c r="T5916">
        <v>-0.207569</v>
      </c>
      <c r="U5916">
        <v>3.0011290000000002</v>
      </c>
      <c r="V5916">
        <v>-1.278087E-3</v>
      </c>
      <c r="W5916">
        <v>1.4678729999999999E-2</v>
      </c>
      <c r="X5916">
        <v>0.99989150000000004</v>
      </c>
      <c r="Y5916">
        <v>-2.7334299999999999E-2</v>
      </c>
      <c r="Z5916">
        <v>-6.8972660000000005E-2</v>
      </c>
      <c r="AA5916">
        <v>0.99724400000000002</v>
      </c>
      <c r="AB5916">
        <v>25</v>
      </c>
      <c r="AC5916">
        <v>-0.21419999999997599</v>
      </c>
      <c r="AD5916">
        <v>-1.1129373683379999</v>
      </c>
      <c r="AE5916">
        <v>15.825464999999999</v>
      </c>
      <c r="AF5916">
        <v>-0.43404015298905202</v>
      </c>
      <c r="AG5916">
        <v>-1.1129373683379999</v>
      </c>
      <c r="AH5916">
        <v>15.743056501727001</v>
      </c>
      <c r="AI5916">
        <v>94.042201298343997</v>
      </c>
      <c r="AJ5916">
        <v>91.579259448376604</v>
      </c>
      <c r="AK5916">
        <v>15.7883136672927</v>
      </c>
      <c r="AL5916">
        <v>89.158940563807803</v>
      </c>
      <c r="AM5916">
        <v>90.073236897271897</v>
      </c>
      <c r="AN5916">
        <v>1.00000005519651</v>
      </c>
    </row>
    <row r="5917" spans="1:40" x14ac:dyDescent="0.25">
      <c r="A5917" t="str">
        <f>"20190312154720575"</f>
        <v>20190312154720575</v>
      </c>
      <c r="B5917" t="str">
        <f>"1552376840564553"</f>
        <v>1552376840564553</v>
      </c>
      <c r="C5917" t="s">
        <v>40</v>
      </c>
      <c r="D5917">
        <v>5.2126190000000001</v>
      </c>
      <c r="E5917">
        <v>0.49055270000000001</v>
      </c>
      <c r="F5917" t="s">
        <v>42</v>
      </c>
      <c r="G5917">
        <v>-188.6645</v>
      </c>
      <c r="H5917" s="1">
        <v>-3.5126940000000001E-6</v>
      </c>
      <c r="I5917">
        <v>-2.731258</v>
      </c>
      <c r="J5917">
        <v>-188.4162</v>
      </c>
      <c r="K5917">
        <v>1.112894</v>
      </c>
      <c r="L5917">
        <v>-18.652709999999999</v>
      </c>
      <c r="M5917">
        <v>9.5422130000000008E-3</v>
      </c>
      <c r="N5917">
        <v>0</v>
      </c>
      <c r="O5917">
        <v>0.99985570000000001</v>
      </c>
      <c r="P5917">
        <v>8.9668259999999902E-3</v>
      </c>
      <c r="Q5917">
        <v>4.238003E-4</v>
      </c>
      <c r="R5917">
        <v>0.99995970000000001</v>
      </c>
      <c r="S5917">
        <v>-4.6340939999999997E-2</v>
      </c>
      <c r="T5917">
        <v>-0.20646410000000001</v>
      </c>
      <c r="U5917">
        <v>3.0009769999999998</v>
      </c>
      <c r="V5917">
        <v>-6.816309E-4</v>
      </c>
      <c r="W5917">
        <v>1.447419E-2</v>
      </c>
      <c r="X5917">
        <v>0.99989499999999998</v>
      </c>
      <c r="Y5917">
        <v>-2.494503E-2</v>
      </c>
      <c r="Z5917">
        <v>-6.8617280000000003E-2</v>
      </c>
      <c r="AA5917">
        <v>0.99733110000000003</v>
      </c>
      <c r="AB5917">
        <v>25</v>
      </c>
      <c r="AC5917">
        <v>-0.24829999999999999</v>
      </c>
      <c r="AD5917">
        <v>-1.1128975126939999</v>
      </c>
      <c r="AE5917">
        <v>15.921452</v>
      </c>
      <c r="AF5917">
        <v>-0.39828408133226101</v>
      </c>
      <c r="AG5917">
        <v>-1.1128975126939999</v>
      </c>
      <c r="AH5917">
        <v>15.840978725898999</v>
      </c>
      <c r="AI5917">
        <v>94.017408813090299</v>
      </c>
      <c r="AJ5917">
        <v>91.440263922609105</v>
      </c>
      <c r="AK5917">
        <v>15.8850174087908</v>
      </c>
      <c r="AL5917">
        <v>89.170661032160396</v>
      </c>
      <c r="AM5917">
        <v>90.039058668866105</v>
      </c>
      <c r="AN5917">
        <v>0.99999998891091901</v>
      </c>
    </row>
    <row r="5918" spans="1:40" x14ac:dyDescent="0.25">
      <c r="A5918" t="str">
        <f>"20190312154720620"</f>
        <v>20190312154720620</v>
      </c>
      <c r="B5918" t="str">
        <f>"1552376840614330"</f>
        <v>1552376840614330</v>
      </c>
      <c r="C5918" t="s">
        <v>40</v>
      </c>
      <c r="D5918">
        <v>5.149775</v>
      </c>
      <c r="E5918">
        <v>0.4916277</v>
      </c>
      <c r="F5918" t="s">
        <v>42</v>
      </c>
      <c r="G5918">
        <v>-188.714</v>
      </c>
      <c r="H5918" s="1">
        <v>-3.5831929999999999E-6</v>
      </c>
      <c r="I5918">
        <v>-2.5464630000000001</v>
      </c>
      <c r="J5918">
        <v>-188.4222</v>
      </c>
      <c r="K5918">
        <v>1.1127530000000001</v>
      </c>
      <c r="L5918">
        <v>-18.157869999999999</v>
      </c>
      <c r="M5918">
        <v>1.1091E-3</v>
      </c>
      <c r="N5918">
        <v>0</v>
      </c>
      <c r="O5918">
        <v>0.99990080000000003</v>
      </c>
      <c r="P5918">
        <v>-2.2966300000000001E-4</v>
      </c>
      <c r="Q5918">
        <v>1.392211E-3</v>
      </c>
      <c r="R5918">
        <v>0.99999899999999997</v>
      </c>
      <c r="S5918">
        <v>-5.5465699999999903E-2</v>
      </c>
      <c r="T5918">
        <v>-0.2073402</v>
      </c>
      <c r="U5918">
        <v>3.000702</v>
      </c>
      <c r="V5918">
        <v>-1.4454229999999999E-3</v>
      </c>
      <c r="W5918">
        <v>1.5423940000000001E-2</v>
      </c>
      <c r="X5918">
        <v>0.99987999999999999</v>
      </c>
      <c r="Y5918">
        <v>-1.9546150000000002E-2</v>
      </c>
      <c r="Z5918">
        <v>-6.8920369999999995E-2</v>
      </c>
      <c r="AA5918">
        <v>0.9974307</v>
      </c>
      <c r="AB5918">
        <v>25</v>
      </c>
      <c r="AC5918">
        <v>-0.29180000000002299</v>
      </c>
      <c r="AD5918">
        <v>-1.112756583193</v>
      </c>
      <c r="AE5918">
        <v>15.611407</v>
      </c>
      <c r="AF5918">
        <v>-0.30755412088926298</v>
      </c>
      <c r="AG5918">
        <v>-1.112756583193</v>
      </c>
      <c r="AH5918">
        <v>15.5321882269605</v>
      </c>
      <c r="AI5918">
        <v>94.0969810781002</v>
      </c>
      <c r="AJ5918">
        <v>91.134370144561899</v>
      </c>
      <c r="AK5918">
        <v>15.575034120940099</v>
      </c>
      <c r="AL5918">
        <v>89.116238292023695</v>
      </c>
      <c r="AM5918">
        <v>90.082826519004797</v>
      </c>
      <c r="AN5918">
        <v>1.0000000007863801</v>
      </c>
    </row>
    <row r="5919" spans="1:40" x14ac:dyDescent="0.25">
      <c r="A5919" t="str">
        <f>"20190312154720644"</f>
        <v>20190312154720644</v>
      </c>
      <c r="B5919" t="str">
        <f>"1552376840633850"</f>
        <v>1552376840633850</v>
      </c>
      <c r="C5919" t="s">
        <v>40</v>
      </c>
      <c r="D5919">
        <v>5.149349</v>
      </c>
      <c r="E5919">
        <v>0.49187530000000002</v>
      </c>
      <c r="F5919" t="s">
        <v>42</v>
      </c>
      <c r="G5919">
        <v>-188.81960000000001</v>
      </c>
      <c r="H5919" s="1">
        <v>-3.751394E-6</v>
      </c>
      <c r="I5919">
        <v>-2.1107070000000001</v>
      </c>
      <c r="J5919">
        <v>-188.4271</v>
      </c>
      <c r="K5919">
        <v>1.1126529999999999</v>
      </c>
      <c r="L5919">
        <v>-17.883879999999898</v>
      </c>
      <c r="M5919">
        <v>-3.379118E-3</v>
      </c>
      <c r="N5919">
        <v>0</v>
      </c>
      <c r="O5919">
        <v>0.9998958</v>
      </c>
      <c r="P5919">
        <v>-5.0341450000000003E-3</v>
      </c>
      <c r="Q5919">
        <v>1.014367E-3</v>
      </c>
      <c r="R5919">
        <v>0.99998679999999995</v>
      </c>
      <c r="S5919">
        <v>-7.4295040000000007E-2</v>
      </c>
      <c r="T5919">
        <v>-0.2080477</v>
      </c>
      <c r="U5919">
        <v>3.0002749999999998</v>
      </c>
      <c r="V5919">
        <v>-1.7548640000000001E-3</v>
      </c>
      <c r="W5919">
        <v>1.5035369999999999E-2</v>
      </c>
      <c r="X5919">
        <v>0.99988540000000004</v>
      </c>
      <c r="Y5919">
        <v>-2.1317329999999999E-2</v>
      </c>
      <c r="Z5919">
        <v>-6.9157799999999894E-2</v>
      </c>
      <c r="AA5919">
        <v>0.99737790000000004</v>
      </c>
      <c r="AB5919">
        <v>25</v>
      </c>
      <c r="AC5919">
        <v>-0.39250000000001201</v>
      </c>
      <c r="AD5919">
        <v>-1.112656751394</v>
      </c>
      <c r="AE5919">
        <v>15.7731729999999</v>
      </c>
      <c r="AF5919">
        <v>-0.33751464721028901</v>
      </c>
      <c r="AG5919">
        <v>-1.112656751394</v>
      </c>
      <c r="AH5919">
        <v>15.696351947774801</v>
      </c>
      <c r="AI5919">
        <v>94.053771100815297</v>
      </c>
      <c r="AJ5919">
        <v>91.231826684964702</v>
      </c>
      <c r="AK5919">
        <v>15.7393578538617</v>
      </c>
      <c r="AL5919">
        <v>89.1385042755076</v>
      </c>
      <c r="AM5919">
        <v>90.100557721498404</v>
      </c>
      <c r="AN5919">
        <v>0.99999997751592695</v>
      </c>
    </row>
    <row r="5920" spans="1:40" x14ac:dyDescent="0.25">
      <c r="A5920" t="str">
        <f>"20190312154720683"</f>
        <v>20190312154720683</v>
      </c>
      <c r="B5920" t="str">
        <f>"1552376840673866"</f>
        <v>1552376840673866</v>
      </c>
      <c r="C5920" t="s">
        <v>40</v>
      </c>
      <c r="D5920">
        <v>5.1266829999999999</v>
      </c>
      <c r="E5920">
        <v>0.50011349999999999</v>
      </c>
      <c r="F5920" t="s">
        <v>42</v>
      </c>
      <c r="G5920">
        <v>-188.88740000000001</v>
      </c>
      <c r="H5920" s="1">
        <v>-3.8011750000000001E-6</v>
      </c>
      <c r="I5920">
        <v>-1.9666269999999999</v>
      </c>
      <c r="J5920">
        <v>-188.43700000000001</v>
      </c>
      <c r="K5920">
        <v>1.11246</v>
      </c>
      <c r="L5920">
        <v>-17.449490000000001</v>
      </c>
      <c r="M5920">
        <v>-1.011748E-2</v>
      </c>
      <c r="N5920">
        <v>0</v>
      </c>
      <c r="O5920">
        <v>0.99985060000000003</v>
      </c>
      <c r="P5920">
        <v>-1.167164E-2</v>
      </c>
      <c r="Q5920">
        <v>5.4499269999999905E-4</v>
      </c>
      <c r="R5920">
        <v>0.99993180000000004</v>
      </c>
      <c r="S5920">
        <v>-8.6746219999999999E-2</v>
      </c>
      <c r="T5920">
        <v>-0.20969489999999999</v>
      </c>
      <c r="U5920">
        <v>2.9998170000000002</v>
      </c>
      <c r="V5920">
        <v>-1.6442620000000001E-3</v>
      </c>
      <c r="W5920">
        <v>1.4551430000000001E-2</v>
      </c>
      <c r="X5920">
        <v>0.99989280000000003</v>
      </c>
      <c r="Y5920">
        <v>-1.8719059999999999E-2</v>
      </c>
      <c r="Z5920">
        <v>-6.9706470000000006E-2</v>
      </c>
      <c r="AA5920">
        <v>0.9973919</v>
      </c>
      <c r="AB5920">
        <v>25</v>
      </c>
      <c r="AC5920">
        <v>-0.45040000000000102</v>
      </c>
      <c r="AD5920">
        <v>-1.1124638011750001</v>
      </c>
      <c r="AE5920">
        <v>15.482863</v>
      </c>
      <c r="AF5920">
        <v>-0.29220672616437099</v>
      </c>
      <c r="AG5920">
        <v>-1.1124638011750001</v>
      </c>
      <c r="AH5920">
        <v>15.4071538880179</v>
      </c>
      <c r="AI5920">
        <v>94.129098564707704</v>
      </c>
      <c r="AJ5920">
        <v>91.086521582154106</v>
      </c>
      <c r="AK5920">
        <v>15.450027553658501</v>
      </c>
      <c r="AL5920">
        <v>89.166235073900495</v>
      </c>
      <c r="AM5920">
        <v>90.094219288402002</v>
      </c>
      <c r="AN5920">
        <v>1.0000000296022</v>
      </c>
    </row>
    <row r="5921" spans="1:40" x14ac:dyDescent="0.25">
      <c r="A5921" t="str">
        <f>"20190312154720707"</f>
        <v>20190312154720707</v>
      </c>
      <c r="B5921" t="str">
        <f>"1552376840704124"</f>
        <v>1552376840704124</v>
      </c>
      <c r="C5921" t="s">
        <v>40</v>
      </c>
      <c r="D5921">
        <v>5.1396319999999998</v>
      </c>
      <c r="E5921">
        <v>0.50081379999999998</v>
      </c>
      <c r="F5921" t="s">
        <v>42</v>
      </c>
      <c r="G5921">
        <v>-188.64500000000001</v>
      </c>
      <c r="H5921" s="1">
        <v>-3.6370230000000001E-6</v>
      </c>
      <c r="I5921">
        <v>-2.4495149999999999</v>
      </c>
      <c r="J5921">
        <v>-188.44390000000001</v>
      </c>
      <c r="K5921">
        <v>1.1123449999999999</v>
      </c>
      <c r="L5921">
        <v>-17.194400000000002</v>
      </c>
      <c r="M5921">
        <v>-1.3846249999999999E-2</v>
      </c>
      <c r="N5921">
        <v>0</v>
      </c>
      <c r="O5921">
        <v>0.99980599999999997</v>
      </c>
      <c r="P5921">
        <v>-1.505749E-2</v>
      </c>
      <c r="Q5921">
        <v>2.329585E-4</v>
      </c>
      <c r="R5921">
        <v>0.99988659999999996</v>
      </c>
      <c r="S5921">
        <v>-4.1595460000000001E-2</v>
      </c>
      <c r="T5921">
        <v>-0.2224817</v>
      </c>
      <c r="U5921">
        <v>2.9998469999999999</v>
      </c>
      <c r="V5921">
        <v>-1.2947830000000001E-3</v>
      </c>
      <c r="W5921">
        <v>1.4232460000000001E-2</v>
      </c>
      <c r="X5921">
        <v>0.99989790000000001</v>
      </c>
      <c r="Y5921" s="1">
        <v>2.104516E-5</v>
      </c>
      <c r="Z5921">
        <v>-7.3947059999999995E-2</v>
      </c>
      <c r="AA5921">
        <v>0.99726219999999999</v>
      </c>
      <c r="AB5921">
        <v>25</v>
      </c>
      <c r="AC5921">
        <v>-0.201099999999996</v>
      </c>
      <c r="AD5921">
        <v>-1.112348637023</v>
      </c>
      <c r="AE5921">
        <v>14.744885</v>
      </c>
      <c r="AF5921">
        <v>3.0831382903154501E-3</v>
      </c>
      <c r="AG5921">
        <v>-1.112348637023</v>
      </c>
      <c r="AH5921">
        <v>14.662823350678</v>
      </c>
      <c r="AI5921">
        <v>94.338253178382999</v>
      </c>
      <c r="AJ5921">
        <v>89.987952469666794</v>
      </c>
      <c r="AK5921">
        <v>14.704955545979001</v>
      </c>
      <c r="AL5921">
        <v>89.184512597388107</v>
      </c>
      <c r="AM5921">
        <v>90.074193134939406</v>
      </c>
      <c r="AN5921">
        <v>1.00000002490253</v>
      </c>
    </row>
    <row r="5922" spans="1:40" x14ac:dyDescent="0.25">
      <c r="A5922" t="str">
        <f>"20190312154720730"</f>
        <v>20190312154720730</v>
      </c>
      <c r="B5922" t="str">
        <f>"1552376840723642"</f>
        <v>1552376840723642</v>
      </c>
      <c r="C5922" t="s">
        <v>40</v>
      </c>
      <c r="D5922">
        <v>5.1262339999999904</v>
      </c>
      <c r="E5922">
        <v>0.50091989999999997</v>
      </c>
      <c r="F5922" t="s">
        <v>41</v>
      </c>
      <c r="G5922">
        <v>-188.4581</v>
      </c>
      <c r="H5922">
        <v>1.0433030000000001</v>
      </c>
      <c r="I5922">
        <v>-16.2682</v>
      </c>
      <c r="J5922">
        <v>-188.452</v>
      </c>
      <c r="K5922">
        <v>1.112222</v>
      </c>
      <c r="L5922">
        <v>-16.931239999999999</v>
      </c>
      <c r="M5922">
        <v>-1.749007E-2</v>
      </c>
      <c r="N5922">
        <v>0</v>
      </c>
      <c r="O5922">
        <v>0.99974909999999995</v>
      </c>
      <c r="P5922">
        <v>-1.6935039999999998E-2</v>
      </c>
      <c r="Q5922">
        <v>1.044239E-3</v>
      </c>
      <c r="R5922">
        <v>0.99985610000000003</v>
      </c>
      <c r="S5922">
        <v>-4.6401980000000002E-2</v>
      </c>
      <c r="T5922">
        <v>-0.2236843</v>
      </c>
      <c r="U5922">
        <v>2.999695</v>
      </c>
      <c r="V5922">
        <v>4.7210669999999999E-4</v>
      </c>
      <c r="W5922">
        <v>1.504252E-2</v>
      </c>
      <c r="X5922">
        <v>0.99988679999999996</v>
      </c>
      <c r="Y5922">
        <v>2.0678139999999999E-3</v>
      </c>
      <c r="Z5922">
        <v>-7.4341050000000006E-2</v>
      </c>
      <c r="AA5922">
        <v>0.99723070000000003</v>
      </c>
      <c r="AB5922">
        <v>25</v>
      </c>
      <c r="AC5922">
        <v>-6.1000000000035401E-3</v>
      </c>
      <c r="AD5922">
        <v>-6.8918999999999897E-2</v>
      </c>
      <c r="AE5922">
        <v>0.66303999999999796</v>
      </c>
      <c r="AF5922">
        <v>5.4399151946792198E-3</v>
      </c>
      <c r="AG5922">
        <v>-6.8918999999999897E-2</v>
      </c>
      <c r="AH5922">
        <v>0.65595865511130003</v>
      </c>
      <c r="AI5922">
        <v>95.997632613115698</v>
      </c>
      <c r="AJ5922">
        <v>89.524852619812805</v>
      </c>
      <c r="AK5922">
        <v>0.65959167554916198</v>
      </c>
      <c r="AL5922">
        <v>89.138094632468096</v>
      </c>
      <c r="AM5922">
        <v>89.972947218245295</v>
      </c>
      <c r="AN5922">
        <v>1.0000000565534599</v>
      </c>
    </row>
    <row r="5923" spans="1:40" x14ac:dyDescent="0.25">
      <c r="A5923" t="str">
        <f>"20190312154720752"</f>
        <v>20190312154720752</v>
      </c>
      <c r="B5923" t="str">
        <f>"1552376840744139"</f>
        <v>1552376840744139</v>
      </c>
      <c r="C5923" t="s">
        <v>40</v>
      </c>
      <c r="D5923">
        <v>5.0534480000000004</v>
      </c>
      <c r="E5923">
        <v>0.50080469999999999</v>
      </c>
      <c r="F5923" t="s">
        <v>42</v>
      </c>
      <c r="G5923">
        <v>-188.7062</v>
      </c>
      <c r="H5923" s="1">
        <v>-3.782501E-6</v>
      </c>
      <c r="I5923">
        <v>-2.08507</v>
      </c>
      <c r="J5923">
        <v>-188.46</v>
      </c>
      <c r="K5923">
        <v>1.112112</v>
      </c>
      <c r="L5923">
        <v>-16.68881</v>
      </c>
      <c r="M5923">
        <v>-2.068996E-2</v>
      </c>
      <c r="N5923">
        <v>0</v>
      </c>
      <c r="O5923">
        <v>0.99968809999999997</v>
      </c>
      <c r="P5923">
        <v>-1.8545659999999999E-2</v>
      </c>
      <c r="Q5923">
        <v>2.853052E-3</v>
      </c>
      <c r="R5923">
        <v>0.99982389999999999</v>
      </c>
      <c r="S5923">
        <v>-5.137634E-2</v>
      </c>
      <c r="T5923">
        <v>-0.22473389999999999</v>
      </c>
      <c r="U5923">
        <v>2.9997859999999998</v>
      </c>
      <c r="V5923">
        <v>2.056717E-3</v>
      </c>
      <c r="W5923">
        <v>1.6849019999999999E-2</v>
      </c>
      <c r="X5923">
        <v>0.99985590000000002</v>
      </c>
      <c r="Y5923">
        <v>3.6162830000000001E-3</v>
      </c>
      <c r="Z5923">
        <v>-7.4677660000000007E-2</v>
      </c>
      <c r="AA5923">
        <v>0.99720109999999995</v>
      </c>
      <c r="AB5923">
        <v>25</v>
      </c>
      <c r="AC5923">
        <v>-0.24619999999998701</v>
      </c>
      <c r="AD5923">
        <v>-1.112115782501</v>
      </c>
      <c r="AE5923">
        <v>14.60374</v>
      </c>
      <c r="AF5923">
        <v>5.5710082432129701E-2</v>
      </c>
      <c r="AG5923">
        <v>-1.112115782501</v>
      </c>
      <c r="AH5923">
        <v>14.521517694322499</v>
      </c>
      <c r="AI5923">
        <v>94.3793588524873</v>
      </c>
      <c r="AJ5923">
        <v>89.780192607447503</v>
      </c>
      <c r="AK5923">
        <v>14.5641471179569</v>
      </c>
      <c r="AL5923">
        <v>89.0345765536605</v>
      </c>
      <c r="AM5923">
        <v>89.8821419791132</v>
      </c>
      <c r="AN5923">
        <v>0.99999997016229303</v>
      </c>
    </row>
    <row r="5924" spans="1:40" x14ac:dyDescent="0.25">
      <c r="A5924" t="str">
        <f>"20190312154720774"</f>
        <v>20190312154720774</v>
      </c>
      <c r="B5924" t="str">
        <f>"1552376840763658"</f>
        <v>1552376840763658</v>
      </c>
      <c r="C5924" t="s">
        <v>40</v>
      </c>
      <c r="D5924">
        <v>5.1332599999999999</v>
      </c>
      <c r="E5924">
        <v>0.50116000000000005</v>
      </c>
      <c r="F5924" t="s">
        <v>42</v>
      </c>
      <c r="G5924">
        <v>-188.74549999999999</v>
      </c>
      <c r="H5924" s="1">
        <v>-3.8698699999999996E-6</v>
      </c>
      <c r="I5924">
        <v>-1.865175</v>
      </c>
      <c r="J5924">
        <v>-188.46879999999999</v>
      </c>
      <c r="K5924">
        <v>1.1119969999999999</v>
      </c>
      <c r="L5924">
        <v>-16.440829999999998</v>
      </c>
      <c r="M5924">
        <v>-2.3801490000000002E-2</v>
      </c>
      <c r="N5924">
        <v>0</v>
      </c>
      <c r="O5924">
        <v>0.99961900000000004</v>
      </c>
      <c r="P5924">
        <v>-1.9859169999999999E-2</v>
      </c>
      <c r="Q5924">
        <v>4.4708980000000001E-3</v>
      </c>
      <c r="R5924">
        <v>0.99979280000000004</v>
      </c>
      <c r="S5924">
        <v>-5.7785030000000001E-2</v>
      </c>
      <c r="T5924">
        <v>-0.22507630000000001</v>
      </c>
      <c r="U5924">
        <v>3.000092</v>
      </c>
      <c r="V5924">
        <v>3.8523289999999998E-3</v>
      </c>
      <c r="W5924">
        <v>1.8464769999999998E-2</v>
      </c>
      <c r="X5924">
        <v>0.99982210000000005</v>
      </c>
      <c r="Y5924">
        <v>4.6012680000000004E-3</v>
      </c>
      <c r="Z5924">
        <v>-7.4773880000000001E-2</v>
      </c>
      <c r="AA5924">
        <v>0.99718989999999996</v>
      </c>
      <c r="AB5924">
        <v>25</v>
      </c>
      <c r="AC5924">
        <v>-0.276700000000005</v>
      </c>
      <c r="AD5924">
        <v>-1.1120008698699999</v>
      </c>
      <c r="AE5924">
        <v>14.5756549999999</v>
      </c>
      <c r="AF5924">
        <v>6.9927737519053096E-2</v>
      </c>
      <c r="AG5924">
        <v>-1.1120008698699999</v>
      </c>
      <c r="AH5924">
        <v>14.493782026733999</v>
      </c>
      <c r="AI5924">
        <v>94.387236303605803</v>
      </c>
      <c r="AJ5924">
        <v>89.723568828602197</v>
      </c>
      <c r="AK5924">
        <v>14.5365454376734</v>
      </c>
      <c r="AL5924">
        <v>88.941986492778497</v>
      </c>
      <c r="AM5924">
        <v>89.779239625983806</v>
      </c>
      <c r="AN5924">
        <v>1.00000000990914</v>
      </c>
    </row>
    <row r="5925" spans="1:40" x14ac:dyDescent="0.25">
      <c r="A5925" t="str">
        <f>"20190312154720799"</f>
        <v>20190312154720799</v>
      </c>
      <c r="B5925" t="str">
        <f>"1552376840793914"</f>
        <v>1552376840793914</v>
      </c>
      <c r="C5925" t="s">
        <v>40</v>
      </c>
      <c r="D5925">
        <v>5.139189</v>
      </c>
      <c r="E5925">
        <v>0.50165870000000001</v>
      </c>
      <c r="F5925" t="s">
        <v>42</v>
      </c>
      <c r="G5925">
        <v>-188.76349999999999</v>
      </c>
      <c r="H5925" s="1">
        <v>-4.0843279999999999E-6</v>
      </c>
      <c r="I5925">
        <v>-1.357796</v>
      </c>
      <c r="J5925">
        <v>-188.47900000000001</v>
      </c>
      <c r="K5925">
        <v>1.1118669999999999</v>
      </c>
      <c r="L5925">
        <v>-16.170780000000001</v>
      </c>
      <c r="M5925">
        <v>-2.6984299999999999E-2</v>
      </c>
      <c r="N5925">
        <v>0</v>
      </c>
      <c r="O5925">
        <v>0.99953840000000005</v>
      </c>
      <c r="P5925">
        <v>-2.1591809999999999E-2</v>
      </c>
      <c r="Q5925">
        <v>5.6259669999999999E-3</v>
      </c>
      <c r="R5925">
        <v>0.99975099999999995</v>
      </c>
      <c r="S5925">
        <v>-5.8639530000000002E-2</v>
      </c>
      <c r="T5925">
        <v>-0.22120960000000001</v>
      </c>
      <c r="U5925">
        <v>3.0004580000000001</v>
      </c>
      <c r="V5925">
        <v>5.3041410000000001E-3</v>
      </c>
      <c r="W5925">
        <v>1.9613740000000001E-2</v>
      </c>
      <c r="X5925">
        <v>0.99979359999999995</v>
      </c>
      <c r="Y5925">
        <v>7.5019359999999998E-3</v>
      </c>
      <c r="Z5925">
        <v>-7.3477639999999997E-2</v>
      </c>
      <c r="AA5925">
        <v>0.99726870000000001</v>
      </c>
      <c r="AB5925">
        <v>25</v>
      </c>
      <c r="AC5925">
        <v>-0.28449999999997999</v>
      </c>
      <c r="AD5925">
        <v>-1.111871084328</v>
      </c>
      <c r="AE5925">
        <v>14.812984</v>
      </c>
      <c r="AF5925">
        <v>0.114714494563936</v>
      </c>
      <c r="AG5925">
        <v>-1.111871084328</v>
      </c>
      <c r="AH5925">
        <v>14.7322942305123</v>
      </c>
      <c r="AI5925">
        <v>94.315896487635598</v>
      </c>
      <c r="AJ5925">
        <v>89.553869651693503</v>
      </c>
      <c r="AK5925">
        <v>14.774637390400301</v>
      </c>
      <c r="AL5925">
        <v>88.876143454288396</v>
      </c>
      <c r="AM5925">
        <v>89.696035219566795</v>
      </c>
      <c r="AN5925">
        <v>1.00000003765474</v>
      </c>
    </row>
    <row r="5926" spans="1:40" x14ac:dyDescent="0.25">
      <c r="A5926" t="str">
        <f>"20190312154720822"</f>
        <v>20190312154720822</v>
      </c>
      <c r="B5926" t="str">
        <f>"1552376840814411"</f>
        <v>1552376840814411</v>
      </c>
      <c r="C5926" t="s">
        <v>40</v>
      </c>
      <c r="D5926">
        <v>5.1528409999999996</v>
      </c>
      <c r="E5926">
        <v>0.50202530000000001</v>
      </c>
      <c r="F5926" t="s">
        <v>42</v>
      </c>
      <c r="G5926">
        <v>-188.78149999999999</v>
      </c>
      <c r="H5926" s="1">
        <v>-4.1996219999999998E-6</v>
      </c>
      <c r="I5926">
        <v>-1.081628</v>
      </c>
      <c r="J5926">
        <v>-188.48920000000001</v>
      </c>
      <c r="K5926">
        <v>1.111726</v>
      </c>
      <c r="L5926">
        <v>-15.91635</v>
      </c>
      <c r="M5926">
        <v>-2.9766569999999999E-2</v>
      </c>
      <c r="N5926">
        <v>0</v>
      </c>
      <c r="O5926">
        <v>0.99945949999999995</v>
      </c>
      <c r="P5926">
        <v>-2.345587E-2</v>
      </c>
      <c r="Q5926">
        <v>5.512945E-3</v>
      </c>
      <c r="R5926">
        <v>0.99970970000000003</v>
      </c>
      <c r="S5926">
        <v>-6.0150149999999999E-2</v>
      </c>
      <c r="T5926">
        <v>-0.22111210000000001</v>
      </c>
      <c r="U5926">
        <v>3.000702</v>
      </c>
      <c r="V5926">
        <v>6.2305640000000001E-3</v>
      </c>
      <c r="W5926">
        <v>1.949122E-2</v>
      </c>
      <c r="X5926">
        <v>0.99979059999999997</v>
      </c>
      <c r="Y5926">
        <v>9.7851699999999993E-3</v>
      </c>
      <c r="Z5926">
        <v>-7.3429700000000001E-2</v>
      </c>
      <c r="AA5926">
        <v>0.99725240000000004</v>
      </c>
      <c r="AB5926">
        <v>25</v>
      </c>
      <c r="AC5926">
        <v>-0.29229999999998302</v>
      </c>
      <c r="AD5926">
        <v>-1.1117301996219999</v>
      </c>
      <c r="AE5926">
        <v>14.834721999999999</v>
      </c>
      <c r="AF5926">
        <v>0.14861699187213601</v>
      </c>
      <c r="AG5926">
        <v>-1.1117301996219999</v>
      </c>
      <c r="AH5926">
        <v>14.754019859642399</v>
      </c>
      <c r="AI5926">
        <v>94.308933548384005</v>
      </c>
      <c r="AJ5926">
        <v>89.422880103117095</v>
      </c>
      <c r="AK5926">
        <v>14.796591940908201</v>
      </c>
      <c r="AL5926">
        <v>88.883164617153497</v>
      </c>
      <c r="AM5926">
        <v>89.642944832666899</v>
      </c>
      <c r="AN5926">
        <v>0.99999998571660298</v>
      </c>
    </row>
    <row r="5927" spans="1:40" x14ac:dyDescent="0.25">
      <c r="A5927" t="str">
        <f>"20190312154720865"</f>
        <v>20190312154720865</v>
      </c>
      <c r="B5927" t="str">
        <f>"1552376840854426"</f>
        <v>1552376840854426</v>
      </c>
      <c r="C5927" t="s">
        <v>40</v>
      </c>
      <c r="D5927">
        <v>5.1610239999999896</v>
      </c>
      <c r="E5927">
        <v>0.50254239999999994</v>
      </c>
      <c r="F5927" t="s">
        <v>42</v>
      </c>
      <c r="G5927">
        <v>-188.80330000000001</v>
      </c>
      <c r="H5927" s="1">
        <v>-4.2889669999999997E-6</v>
      </c>
      <c r="I5927">
        <v>-0.86433599999999999</v>
      </c>
      <c r="J5927">
        <v>-188.50899999999999</v>
      </c>
      <c r="K5927">
        <v>1.1114090000000001</v>
      </c>
      <c r="L5927">
        <v>-15.451479999999901</v>
      </c>
      <c r="M5927">
        <v>-3.4224570000000003E-2</v>
      </c>
      <c r="N5927">
        <v>0</v>
      </c>
      <c r="O5927">
        <v>0.99931700000000001</v>
      </c>
      <c r="P5927">
        <v>-2.617063E-2</v>
      </c>
      <c r="Q5927">
        <v>3.035551E-3</v>
      </c>
      <c r="R5927">
        <v>0.99965289999999996</v>
      </c>
      <c r="S5927">
        <v>-6.2622070000000002E-2</v>
      </c>
      <c r="T5927">
        <v>-0.22162509999999999</v>
      </c>
      <c r="U5927">
        <v>3.0006409999999999</v>
      </c>
      <c r="V5927">
        <v>7.9992220000000003E-3</v>
      </c>
      <c r="W5927">
        <v>1.699444E-2</v>
      </c>
      <c r="X5927">
        <v>0.99982360000000003</v>
      </c>
      <c r="Y5927">
        <v>1.342424E-2</v>
      </c>
      <c r="Z5927">
        <v>-7.3582700000000001E-2</v>
      </c>
      <c r="AA5927">
        <v>0.99719880000000005</v>
      </c>
      <c r="AB5927">
        <v>25</v>
      </c>
      <c r="AC5927">
        <v>-0.29429999999999201</v>
      </c>
      <c r="AD5927">
        <v>-1.1114132889669901</v>
      </c>
      <c r="AE5927">
        <v>14.587144</v>
      </c>
      <c r="AF5927">
        <v>0.203976039021632</v>
      </c>
      <c r="AG5927">
        <v>-1.1114132889669901</v>
      </c>
      <c r="AH5927">
        <v>14.504503973967299</v>
      </c>
      <c r="AI5927">
        <v>94.381317625262199</v>
      </c>
      <c r="AJ5927">
        <v>89.194305724600497</v>
      </c>
      <c r="AK5927">
        <v>14.548452881809199</v>
      </c>
      <c r="AL5927">
        <v>89.026243451485001</v>
      </c>
      <c r="AM5927">
        <v>89.541607258233398</v>
      </c>
      <c r="AN5927">
        <v>1.0000000148302299</v>
      </c>
    </row>
    <row r="5928" spans="1:40" x14ac:dyDescent="0.25">
      <c r="A5928" t="str">
        <f>"20190312154720887"</f>
        <v>20190312154720887</v>
      </c>
      <c r="B5928" t="str">
        <f>"1552376840873946"</f>
        <v>1552376840873946</v>
      </c>
      <c r="C5928" t="s">
        <v>40</v>
      </c>
      <c r="D5928">
        <v>5.1602750000000004</v>
      </c>
      <c r="E5928">
        <v>0.50300940000000005</v>
      </c>
      <c r="F5928" t="s">
        <v>41</v>
      </c>
      <c r="G5928">
        <v>-188.52979999999999</v>
      </c>
      <c r="H5928">
        <v>1.0392189999999999</v>
      </c>
      <c r="I5928">
        <v>-14.5155799999999</v>
      </c>
      <c r="J5928">
        <v>-188.51990000000001</v>
      </c>
      <c r="K5928">
        <v>1.1112500000000001</v>
      </c>
      <c r="L5928">
        <v>-15.20581</v>
      </c>
      <c r="M5928">
        <v>-3.6283969999999999E-2</v>
      </c>
      <c r="N5928">
        <v>0</v>
      </c>
      <c r="O5928">
        <v>0.99924460000000004</v>
      </c>
      <c r="P5928">
        <v>-2.6060259999999998E-2</v>
      </c>
      <c r="Q5928">
        <v>2.4274269999999998E-3</v>
      </c>
      <c r="R5928">
        <v>0.99965749999999998</v>
      </c>
      <c r="S5928">
        <v>-6.692505E-2</v>
      </c>
      <c r="T5928">
        <v>-0.23141629999999999</v>
      </c>
      <c r="U5928">
        <v>3</v>
      </c>
      <c r="V5928">
        <v>1.017872E-2</v>
      </c>
      <c r="W5928">
        <v>1.6379879999999999E-2</v>
      </c>
      <c r="X5928">
        <v>0.99981399999999998</v>
      </c>
      <c r="Y5928">
        <v>1.4056300000000001E-2</v>
      </c>
      <c r="Z5928">
        <v>-7.6821139999999996E-2</v>
      </c>
      <c r="AA5928">
        <v>0.99694579999999999</v>
      </c>
      <c r="AB5928">
        <v>25</v>
      </c>
      <c r="AC5928">
        <v>-9.8999999999875802E-3</v>
      </c>
      <c r="AD5928">
        <v>-7.2030999999999901E-2</v>
      </c>
      <c r="AE5928">
        <v>0.69023000000000301</v>
      </c>
      <c r="AF5928">
        <v>1.49900143028255E-2</v>
      </c>
      <c r="AG5928">
        <v>-7.2030999999999901E-2</v>
      </c>
      <c r="AH5928">
        <v>0.68270116918440205</v>
      </c>
      <c r="AI5928">
        <v>96.021486529204495</v>
      </c>
      <c r="AJ5928">
        <v>88.742163318698204</v>
      </c>
      <c r="AK5928">
        <v>0.68665424479540504</v>
      </c>
      <c r="AL5928">
        <v>89.061460007927295</v>
      </c>
      <c r="AM5928">
        <v>89.416713959185699</v>
      </c>
      <c r="AN5928">
        <v>0.99999997070282598</v>
      </c>
    </row>
    <row r="5929" spans="1:40" x14ac:dyDescent="0.25">
      <c r="A5929" t="str">
        <f>"20190312154720918"</f>
        <v>20190312154720918</v>
      </c>
      <c r="B5929" t="str">
        <f>"1552376840913962"</f>
        <v>1552376840913962</v>
      </c>
      <c r="C5929" t="s">
        <v>40</v>
      </c>
      <c r="D5929">
        <v>5.1269989999999996</v>
      </c>
      <c r="E5929">
        <v>0.50372459999999997</v>
      </c>
      <c r="F5929" t="s">
        <v>41</v>
      </c>
      <c r="G5929">
        <v>-188.53909999999999</v>
      </c>
      <c r="H5929">
        <v>1.0401129999999901</v>
      </c>
      <c r="I5929">
        <v>-14.2958</v>
      </c>
      <c r="J5929">
        <v>-188.536</v>
      </c>
      <c r="K5929">
        <v>1.1110850000000001</v>
      </c>
      <c r="L5929">
        <v>-14.854430000000001</v>
      </c>
      <c r="M5929">
        <v>-3.8950770000000003E-2</v>
      </c>
      <c r="N5929">
        <v>0</v>
      </c>
      <c r="O5929">
        <v>0.99914440000000004</v>
      </c>
      <c r="P5929">
        <v>-2.513025E-2</v>
      </c>
      <c r="Q5929">
        <v>2.2417779999999998E-3</v>
      </c>
      <c r="R5929">
        <v>0.99968170000000001</v>
      </c>
      <c r="S5929">
        <v>-6.3323969999999993E-2</v>
      </c>
      <c r="T5929">
        <v>-0.23451469999999999</v>
      </c>
      <c r="U5929">
        <v>2.9999389999999999</v>
      </c>
      <c r="V5929">
        <v>1.378504E-2</v>
      </c>
      <c r="W5929">
        <v>1.6185829999999998E-2</v>
      </c>
      <c r="X5929">
        <v>0.99977400000000005</v>
      </c>
      <c r="Y5929">
        <v>1.7922219999999999E-2</v>
      </c>
      <c r="Z5929">
        <v>-7.7831940000000002E-2</v>
      </c>
      <c r="AA5929">
        <v>0.99680539999999995</v>
      </c>
      <c r="AB5929">
        <v>25</v>
      </c>
      <c r="AC5929">
        <v>-3.1000000000176399E-3</v>
      </c>
      <c r="AD5929">
        <v>-7.0972000000000202E-2</v>
      </c>
      <c r="AE5929">
        <v>0.55862999999999896</v>
      </c>
      <c r="AF5929">
        <v>1.8367074470178501E-2</v>
      </c>
      <c r="AG5929">
        <v>-7.0972000000000202E-2</v>
      </c>
      <c r="AH5929">
        <v>0.54945831563495595</v>
      </c>
      <c r="AI5929">
        <v>97.355921433711501</v>
      </c>
      <c r="AJ5929">
        <v>88.085452321517096</v>
      </c>
      <c r="AK5929">
        <v>0.55432735349159501</v>
      </c>
      <c r="AL5929">
        <v>89.072579783240897</v>
      </c>
      <c r="AM5929">
        <v>89.210046904514002</v>
      </c>
      <c r="AN5929">
        <v>1.0000000297482901</v>
      </c>
    </row>
    <row r="5930" spans="1:40" x14ac:dyDescent="0.25">
      <c r="A5930" t="str">
        <f>"20190312154720941"</f>
        <v>20190312154720941</v>
      </c>
      <c r="B5930" t="str">
        <f>"1552376840933482"</f>
        <v>1552376840933482</v>
      </c>
      <c r="C5930" t="s">
        <v>40</v>
      </c>
      <c r="D5930">
        <v>5.1457990000000002</v>
      </c>
      <c r="E5930">
        <v>0.50406649999999997</v>
      </c>
      <c r="F5930" t="s">
        <v>41</v>
      </c>
      <c r="G5930">
        <v>-188.5504</v>
      </c>
      <c r="H5930">
        <v>1.0476859999999999</v>
      </c>
      <c r="I5930">
        <v>-14.06021</v>
      </c>
      <c r="J5930">
        <v>-188.54759999999999</v>
      </c>
      <c r="K5930">
        <v>1.1109659999999999</v>
      </c>
      <c r="L5930">
        <v>-14.609439999999999</v>
      </c>
      <c r="M5930">
        <v>-4.0553899999999997E-2</v>
      </c>
      <c r="N5930">
        <v>0</v>
      </c>
      <c r="O5930">
        <v>0.99908070000000004</v>
      </c>
      <c r="P5930">
        <v>-2.4336679999999999E-2</v>
      </c>
      <c r="Q5930">
        <v>3.0295560000000001E-3</v>
      </c>
      <c r="R5930">
        <v>0.99969920000000001</v>
      </c>
      <c r="S5930">
        <v>-5.4992680000000002E-2</v>
      </c>
      <c r="T5930">
        <v>-0.23952580000000001</v>
      </c>
      <c r="U5930">
        <v>3.0001220000000002</v>
      </c>
      <c r="V5930">
        <v>1.618588E-2</v>
      </c>
      <c r="W5930">
        <v>1.6965830000000001E-2</v>
      </c>
      <c r="X5930">
        <v>0.99972499999999997</v>
      </c>
      <c r="Y5930">
        <v>2.2297020000000001E-2</v>
      </c>
      <c r="Z5930">
        <v>-7.9470869999999999E-2</v>
      </c>
      <c r="AA5930">
        <v>0.99658780000000002</v>
      </c>
      <c r="AB5930">
        <v>25</v>
      </c>
      <c r="AC5930">
        <v>-2.80000000000768E-3</v>
      </c>
      <c r="AD5930">
        <v>-6.3279999999999698E-2</v>
      </c>
      <c r="AE5930">
        <v>0.549229999999997</v>
      </c>
      <c r="AF5930">
        <v>1.9222704723852901E-2</v>
      </c>
      <c r="AG5930">
        <v>-6.3279999999999698E-2</v>
      </c>
      <c r="AH5930">
        <v>0.541700925917038</v>
      </c>
      <c r="AI5930">
        <v>96.658782004259507</v>
      </c>
      <c r="AJ5930">
        <v>87.967664728122998</v>
      </c>
      <c r="AK5930">
        <v>0.54572315684445405</v>
      </c>
      <c r="AL5930">
        <v>89.027882855944497</v>
      </c>
      <c r="AM5930">
        <v>89.072443328099297</v>
      </c>
      <c r="AN5930">
        <v>0.99999994886197996</v>
      </c>
    </row>
    <row r="5931" spans="1:40" x14ac:dyDescent="0.25">
      <c r="A5931" t="str">
        <f>"20190312154720964"</f>
        <v>20190312154720964</v>
      </c>
      <c r="B5931" t="str">
        <f>"1552376840953978"</f>
        <v>1552376840953978</v>
      </c>
      <c r="C5931" t="s">
        <v>40</v>
      </c>
      <c r="D5931">
        <v>5.1740719999999998</v>
      </c>
      <c r="E5931">
        <v>0.50441999999999998</v>
      </c>
      <c r="F5931" t="s">
        <v>42</v>
      </c>
      <c r="G5931">
        <v>-188.78270000000001</v>
      </c>
      <c r="H5931" s="1">
        <v>-4.3782080000000001E-6</v>
      </c>
      <c r="I5931">
        <v>-0.66485309999999997</v>
      </c>
      <c r="J5931">
        <v>-188.55950000000001</v>
      </c>
      <c r="K5931">
        <v>1.1108169999999999</v>
      </c>
      <c r="L5931">
        <v>-14.3598</v>
      </c>
      <c r="M5931">
        <v>-4.1930519999999999E-2</v>
      </c>
      <c r="N5931">
        <v>0</v>
      </c>
      <c r="O5931">
        <v>0.99902400000000002</v>
      </c>
      <c r="P5931">
        <v>-2.296339E-2</v>
      </c>
      <c r="Q5931">
        <v>4.7891909999999999E-3</v>
      </c>
      <c r="R5931">
        <v>0.99972490000000003</v>
      </c>
      <c r="S5931">
        <v>-5.0582889999999998E-2</v>
      </c>
      <c r="T5931">
        <v>-0.2390429</v>
      </c>
      <c r="U5931">
        <v>3.000397</v>
      </c>
      <c r="V5931">
        <v>1.893941E-2</v>
      </c>
      <c r="W5931">
        <v>1.8714109999999999E-2</v>
      </c>
      <c r="X5931">
        <v>0.99964549999999996</v>
      </c>
      <c r="Y5931">
        <v>2.5140200000000001E-2</v>
      </c>
      <c r="Z5931">
        <v>-7.9296000000000005E-2</v>
      </c>
      <c r="AA5931">
        <v>0.99653400000000003</v>
      </c>
      <c r="AB5931">
        <v>25</v>
      </c>
      <c r="AC5931">
        <v>-0.22319999999999099</v>
      </c>
      <c r="AD5931">
        <v>-1.1108213782080001</v>
      </c>
      <c r="AE5931">
        <v>13.6949469</v>
      </c>
      <c r="AF5931">
        <v>0.34899251413108301</v>
      </c>
      <c r="AG5931">
        <v>-1.1108213782080001</v>
      </c>
      <c r="AH5931">
        <v>13.602789454347301</v>
      </c>
      <c r="AI5931">
        <v>94.666959543172794</v>
      </c>
      <c r="AJ5931">
        <v>88.530344627002606</v>
      </c>
      <c r="AK5931">
        <v>13.652530931974001</v>
      </c>
      <c r="AL5931">
        <v>88.927697907583905</v>
      </c>
      <c r="AM5931">
        <v>88.914596777185693</v>
      </c>
      <c r="AN5931">
        <v>1.0000000224172401</v>
      </c>
    </row>
    <row r="5932" spans="1:40" x14ac:dyDescent="0.25">
      <c r="A5932" t="str">
        <f>"20190312154720996"</f>
        <v>20190312154720996</v>
      </c>
      <c r="B5932" t="str">
        <f>"1552376840984234"</f>
        <v>1552376840984234</v>
      </c>
      <c r="C5932" t="s">
        <v>40</v>
      </c>
      <c r="D5932">
        <v>5.2049289999999999</v>
      </c>
      <c r="E5932">
        <v>0.50491579999999903</v>
      </c>
      <c r="F5932" t="s">
        <v>41</v>
      </c>
      <c r="G5932">
        <v>-188.57300000000001</v>
      </c>
      <c r="H5932">
        <v>1.037269</v>
      </c>
      <c r="I5932">
        <v>-13.422750000000001</v>
      </c>
      <c r="J5932">
        <v>-188.57599999999999</v>
      </c>
      <c r="K5932">
        <v>1.110568</v>
      </c>
      <c r="L5932">
        <v>-14.01498</v>
      </c>
      <c r="M5932">
        <v>-4.3400840000000003E-2</v>
      </c>
      <c r="N5932">
        <v>0</v>
      </c>
      <c r="O5932">
        <v>0.9989614</v>
      </c>
      <c r="P5932">
        <v>-2.2289219999999998E-2</v>
      </c>
      <c r="Q5932">
        <v>4.6696000000000003E-3</v>
      </c>
      <c r="R5932">
        <v>0.99974070000000004</v>
      </c>
      <c r="S5932">
        <v>-4.3472289999999997E-2</v>
      </c>
      <c r="T5932">
        <v>-0.23554729999999999</v>
      </c>
      <c r="U5932">
        <v>3.0009459999999999</v>
      </c>
      <c r="V5932">
        <v>2.1097080000000001E-2</v>
      </c>
      <c r="W5932">
        <v>1.8572999999999999E-2</v>
      </c>
      <c r="X5932">
        <v>0.99960490000000002</v>
      </c>
      <c r="Y5932">
        <v>2.8973720000000001E-2</v>
      </c>
      <c r="Z5932">
        <v>-7.8119369999999994E-2</v>
      </c>
      <c r="AA5932">
        <v>0.99652289999999999</v>
      </c>
      <c r="AB5932">
        <v>25</v>
      </c>
      <c r="AC5932">
        <v>3.0000000000143202E-3</v>
      </c>
      <c r="AD5932">
        <v>-7.3299000000000003E-2</v>
      </c>
      <c r="AE5932">
        <v>0.59222999999999804</v>
      </c>
      <c r="AF5932">
        <v>2.8269886103208901E-2</v>
      </c>
      <c r="AG5932">
        <v>-7.3299000000000003E-2</v>
      </c>
      <c r="AH5932">
        <v>0.582617071471624</v>
      </c>
      <c r="AI5932">
        <v>97.162363227410395</v>
      </c>
      <c r="AJ5932">
        <v>87.222059131588594</v>
      </c>
      <c r="AK5932">
        <v>0.58788994023665697</v>
      </c>
      <c r="AL5932">
        <v>88.935784296048894</v>
      </c>
      <c r="AM5932">
        <v>88.790928081869694</v>
      </c>
      <c r="AN5932">
        <v>0.99999999960876795</v>
      </c>
    </row>
    <row r="5933" spans="1:40" x14ac:dyDescent="0.25">
      <c r="A5933" t="str">
        <f>"20190312154721034"</f>
        <v>20190312154721034</v>
      </c>
      <c r="B5933" t="str">
        <f>"1552376841024251"</f>
        <v>1552376841024251</v>
      </c>
      <c r="C5933" t="s">
        <v>40</v>
      </c>
      <c r="D5933">
        <v>5.1886449999999904</v>
      </c>
      <c r="E5933">
        <v>0.50526959999999999</v>
      </c>
      <c r="F5933" t="s">
        <v>41</v>
      </c>
      <c r="G5933">
        <v>-188.58619999999999</v>
      </c>
      <c r="H5933">
        <v>1.045661</v>
      </c>
      <c r="I5933">
        <v>-13.19819</v>
      </c>
      <c r="J5933">
        <v>-188.59540000000001</v>
      </c>
      <c r="K5933">
        <v>1.110279</v>
      </c>
      <c r="L5933">
        <v>-13.60873</v>
      </c>
      <c r="M5933">
        <v>-4.4597820000000003E-2</v>
      </c>
      <c r="N5933">
        <v>0</v>
      </c>
      <c r="O5933">
        <v>0.99890889999999999</v>
      </c>
      <c r="P5933">
        <v>-1.9125730000000001E-2</v>
      </c>
      <c r="Q5933">
        <v>4.3712780000000001E-3</v>
      </c>
      <c r="R5933">
        <v>0.99980749999999996</v>
      </c>
      <c r="S5933">
        <v>-3.7231449999999999E-2</v>
      </c>
      <c r="T5933">
        <v>-0.23848549999999999</v>
      </c>
      <c r="U5933">
        <v>3.0010680000000001</v>
      </c>
      <c r="V5933">
        <v>2.547133E-2</v>
      </c>
      <c r="W5933">
        <v>1.8246890000000002E-2</v>
      </c>
      <c r="X5933">
        <v>0.99950899999999998</v>
      </c>
      <c r="Y5933">
        <v>3.2244750000000003E-2</v>
      </c>
      <c r="Z5933">
        <v>-7.9075419999999993E-2</v>
      </c>
      <c r="AA5933">
        <v>0.99634699999999998</v>
      </c>
      <c r="AB5933">
        <v>25</v>
      </c>
      <c r="AC5933">
        <v>9.2000000000211895E-3</v>
      </c>
      <c r="AD5933">
        <v>-6.4617999999999995E-2</v>
      </c>
      <c r="AE5933">
        <v>0.41054000000000102</v>
      </c>
      <c r="AF5933">
        <v>2.6837259361442899E-2</v>
      </c>
      <c r="AG5933">
        <v>-6.4617999999999995E-2</v>
      </c>
      <c r="AH5933">
        <v>0.39982091388650398</v>
      </c>
      <c r="AI5933">
        <v>99.160346525944902</v>
      </c>
      <c r="AJ5933">
        <v>86.159884236471697</v>
      </c>
      <c r="AK5933">
        <v>0.40589713918069598</v>
      </c>
      <c r="AL5933">
        <v>88.954472179259199</v>
      </c>
      <c r="AM5933">
        <v>88.540199331393197</v>
      </c>
      <c r="AN5933">
        <v>0.99999998936381995</v>
      </c>
    </row>
    <row r="5934" spans="1:40" x14ac:dyDescent="0.25">
      <c r="A5934" t="str">
        <f>"20190312154721075"</f>
        <v>20190312154721075</v>
      </c>
      <c r="B5934" t="str">
        <f>"1552376841064266"</f>
        <v>1552376841064266</v>
      </c>
      <c r="C5934" t="s">
        <v>40</v>
      </c>
      <c r="D5934">
        <v>5.2133859999999999</v>
      </c>
      <c r="E5934">
        <v>0.50549079999999902</v>
      </c>
      <c r="F5934" t="s">
        <v>41</v>
      </c>
      <c r="G5934">
        <v>-188.60220000000001</v>
      </c>
      <c r="H5934">
        <v>1.0422260000000001</v>
      </c>
      <c r="I5934">
        <v>-12.765420000000001</v>
      </c>
      <c r="J5934">
        <v>-188.61680000000001</v>
      </c>
      <c r="K5934">
        <v>1.1099889999999999</v>
      </c>
      <c r="L5934">
        <v>-13.152279999999999</v>
      </c>
      <c r="M5934">
        <v>-4.5134430000000003E-2</v>
      </c>
      <c r="N5934">
        <v>0</v>
      </c>
      <c r="O5934">
        <v>0.99888529999999998</v>
      </c>
      <c r="P5934">
        <v>-1.7844410000000002E-2</v>
      </c>
      <c r="Q5934">
        <v>4.7594129999999997E-3</v>
      </c>
      <c r="R5934">
        <v>0.99982950000000004</v>
      </c>
      <c r="S5934">
        <v>-2.4627690000000001E-2</v>
      </c>
      <c r="T5934">
        <v>-0.24217060000000001</v>
      </c>
      <c r="U5934">
        <v>3.00116</v>
      </c>
      <c r="V5934">
        <v>2.7301590000000001E-2</v>
      </c>
      <c r="W5934">
        <v>1.857872E-2</v>
      </c>
      <c r="X5934">
        <v>0.99945459999999997</v>
      </c>
      <c r="Y5934">
        <v>3.6966270000000002E-2</v>
      </c>
      <c r="Z5934">
        <v>-8.0279279999999995E-2</v>
      </c>
      <c r="AA5934">
        <v>0.99608669999999999</v>
      </c>
      <c r="AB5934">
        <v>24</v>
      </c>
      <c r="AC5934">
        <v>1.4600000000001501E-2</v>
      </c>
      <c r="AD5934">
        <v>-6.7762999999999796E-2</v>
      </c>
      <c r="AE5934">
        <v>0.38685999999999998</v>
      </c>
      <c r="AF5934">
        <v>3.10948115250398E-2</v>
      </c>
      <c r="AG5934">
        <v>-6.7762999999999796E-2</v>
      </c>
      <c r="AH5934">
        <v>0.374337724194931</v>
      </c>
      <c r="AI5934">
        <v>100.22615572054001</v>
      </c>
      <c r="AJ5934">
        <v>85.251558814140395</v>
      </c>
      <c r="AK5934">
        <v>0.38169024513107203</v>
      </c>
      <c r="AL5934">
        <v>88.935456530999105</v>
      </c>
      <c r="AM5934">
        <v>88.435269621084501</v>
      </c>
      <c r="AN5934">
        <v>1.00000002155726</v>
      </c>
    </row>
    <row r="5935" spans="1:40" x14ac:dyDescent="0.25">
      <c r="A5935" t="str">
        <f>"20190312154721097"</f>
        <v>20190312154721097</v>
      </c>
      <c r="B5935" t="str">
        <f>"1552376841093546"</f>
        <v>1552376841093546</v>
      </c>
      <c r="C5935" t="s">
        <v>40</v>
      </c>
      <c r="D5935">
        <v>5.23489</v>
      </c>
      <c r="E5935">
        <v>0.50547280000000006</v>
      </c>
      <c r="F5935" t="s">
        <v>41</v>
      </c>
      <c r="G5935">
        <v>-188.62190000000001</v>
      </c>
      <c r="H5935">
        <v>1.0431010000000001</v>
      </c>
      <c r="I5935">
        <v>-12.32906</v>
      </c>
      <c r="J5935">
        <v>-188.62790000000001</v>
      </c>
      <c r="K5935">
        <v>1.1098570000000001</v>
      </c>
      <c r="L5935">
        <v>-12.90845</v>
      </c>
      <c r="M5935">
        <v>-4.5135179999999997E-2</v>
      </c>
      <c r="N5935">
        <v>0</v>
      </c>
      <c r="O5935">
        <v>0.99888569999999999</v>
      </c>
      <c r="P5935">
        <v>-1.7385790000000002E-2</v>
      </c>
      <c r="Q5935">
        <v>4.0955159999999996E-3</v>
      </c>
      <c r="R5935">
        <v>0.99984039999999996</v>
      </c>
      <c r="S5935">
        <v>-1.9088750000000002E-2</v>
      </c>
      <c r="T5935">
        <v>-0.24385680000000001</v>
      </c>
      <c r="U5935">
        <v>3.0013429999999999</v>
      </c>
      <c r="V5935">
        <v>2.7766550000000001E-2</v>
      </c>
      <c r="W5935">
        <v>1.7878359999999999E-2</v>
      </c>
      <c r="X5935">
        <v>0.99945459999999997</v>
      </c>
      <c r="Y5935">
        <v>3.8805880000000001E-2</v>
      </c>
      <c r="Z5935">
        <v>-8.0827419999999997E-2</v>
      </c>
      <c r="AA5935">
        <v>0.99597239999999998</v>
      </c>
      <c r="AB5935">
        <v>24</v>
      </c>
      <c r="AC5935">
        <v>6.0000000000002196E-3</v>
      </c>
      <c r="AD5935">
        <v>-6.6755999999999802E-2</v>
      </c>
      <c r="AE5935">
        <v>0.57938999999999996</v>
      </c>
      <c r="AF5935">
        <v>3.1726120018494598E-2</v>
      </c>
      <c r="AG5935">
        <v>-6.6755999999999802E-2</v>
      </c>
      <c r="AH5935">
        <v>0.570949968264995</v>
      </c>
      <c r="AI5935">
        <v>96.658617490635706</v>
      </c>
      <c r="AJ5935">
        <v>86.819501860467597</v>
      </c>
      <c r="AK5935">
        <v>0.57571414477084604</v>
      </c>
      <c r="AL5935">
        <v>88.975590908137804</v>
      </c>
      <c r="AM5935">
        <v>88.408635052778493</v>
      </c>
      <c r="AN5935">
        <v>1.00000005725817</v>
      </c>
    </row>
    <row r="5936" spans="1:40" x14ac:dyDescent="0.25">
      <c r="A5936" t="str">
        <f>"20190312154721119"</f>
        <v>20190312154721119</v>
      </c>
      <c r="B5936" t="str">
        <f>"1552376841114043"</f>
        <v>1552376841114043</v>
      </c>
      <c r="C5936" t="s">
        <v>40</v>
      </c>
      <c r="D5936">
        <v>5.2779369999999997</v>
      </c>
      <c r="E5936">
        <v>0.50552450000000004</v>
      </c>
      <c r="F5936" t="s">
        <v>41</v>
      </c>
      <c r="G5936">
        <v>-188.6328</v>
      </c>
      <c r="H5936">
        <v>1.0430729999999999</v>
      </c>
      <c r="I5936">
        <v>-12.111459999999999</v>
      </c>
      <c r="J5936">
        <v>-188.63890000000001</v>
      </c>
      <c r="K5936">
        <v>1.1097349999999999</v>
      </c>
      <c r="L5936">
        <v>-12.66394</v>
      </c>
      <c r="M5936">
        <v>-4.4962410000000001E-2</v>
      </c>
      <c r="N5936">
        <v>0</v>
      </c>
      <c r="O5936">
        <v>0.9988939</v>
      </c>
      <c r="P5936">
        <v>-1.7083830000000001E-2</v>
      </c>
      <c r="Q5936">
        <v>3.3952079999999998E-3</v>
      </c>
      <c r="R5936">
        <v>0.99984830000000002</v>
      </c>
      <c r="S5936">
        <v>-1.8081670000000001E-2</v>
      </c>
      <c r="T5936">
        <v>-0.25150240000000001</v>
      </c>
      <c r="U5936">
        <v>3.0011899999999998</v>
      </c>
      <c r="V5936">
        <v>2.7900390000000001E-2</v>
      </c>
      <c r="W5936">
        <v>1.7142709999999999E-2</v>
      </c>
      <c r="X5936">
        <v>0.99946369999999896</v>
      </c>
      <c r="Y5936">
        <v>3.896815E-2</v>
      </c>
      <c r="Z5936">
        <v>-8.334917E-2</v>
      </c>
      <c r="AA5936">
        <v>0.99575820000000004</v>
      </c>
      <c r="AB5936">
        <v>24</v>
      </c>
      <c r="AC5936">
        <v>6.1000000000035401E-3</v>
      </c>
      <c r="AD5936">
        <v>-6.6662000000000193E-2</v>
      </c>
      <c r="AE5936">
        <v>0.55247999999999897</v>
      </c>
      <c r="AF5936">
        <v>3.0493127136376599E-2</v>
      </c>
      <c r="AG5936">
        <v>-6.6662000000000193E-2</v>
      </c>
      <c r="AH5936">
        <v>0.54373178258599997</v>
      </c>
      <c r="AI5936">
        <v>96.978774982641596</v>
      </c>
      <c r="AJ5936">
        <v>86.790146606723198</v>
      </c>
      <c r="AK5936">
        <v>0.54865098600176099</v>
      </c>
      <c r="AL5936">
        <v>89.017746950064094</v>
      </c>
      <c r="AM5936">
        <v>88.4009828983299</v>
      </c>
      <c r="AN5936">
        <v>0.99999999594299205</v>
      </c>
    </row>
    <row r="5937" spans="1:40" x14ac:dyDescent="0.25">
      <c r="A5937" t="str">
        <f>"20190312154721165"</f>
        <v>20190312154721165</v>
      </c>
      <c r="B5937" t="str">
        <f>"1552376841154059"</f>
        <v>1552376841154059</v>
      </c>
      <c r="C5937" t="s">
        <v>40</v>
      </c>
      <c r="D5937">
        <v>5.201765</v>
      </c>
      <c r="E5937">
        <v>0.50568599999999997</v>
      </c>
      <c r="F5937" t="s">
        <v>41</v>
      </c>
      <c r="G5937">
        <v>-188.64330000000001</v>
      </c>
      <c r="H5937">
        <v>1.0436840000000001</v>
      </c>
      <c r="I5937">
        <v>-11.893520000000001</v>
      </c>
      <c r="J5937">
        <v>-188.65989999999999</v>
      </c>
      <c r="K5937">
        <v>1.109494</v>
      </c>
      <c r="L5937">
        <v>-12.180630000000001</v>
      </c>
      <c r="M5937">
        <v>-4.4110150000000001E-2</v>
      </c>
      <c r="N5937">
        <v>0</v>
      </c>
      <c r="O5937">
        <v>0.99893299999999996</v>
      </c>
      <c r="P5937">
        <v>-1.560071E-2</v>
      </c>
      <c r="Q5937">
        <v>2.9935119999999998E-3</v>
      </c>
      <c r="R5937">
        <v>0.99987380000000003</v>
      </c>
      <c r="S5937">
        <v>-1.7257689999999999E-2</v>
      </c>
      <c r="T5937">
        <v>-0.25726850000000001</v>
      </c>
      <c r="U5937">
        <v>3.0010379999999999</v>
      </c>
      <c r="V5937">
        <v>2.8539410000000001E-2</v>
      </c>
      <c r="W5937">
        <v>1.664067E-2</v>
      </c>
      <c r="X5937">
        <v>0.99945410000000001</v>
      </c>
      <c r="Y5937">
        <v>3.8389569999999998E-2</v>
      </c>
      <c r="Z5937">
        <v>-8.5256540000000006E-2</v>
      </c>
      <c r="AA5937">
        <v>0.99561920000000004</v>
      </c>
      <c r="AB5937">
        <v>24</v>
      </c>
      <c r="AC5937">
        <v>1.6599999999982601E-2</v>
      </c>
      <c r="AD5937">
        <v>-6.5809999999999896E-2</v>
      </c>
      <c r="AE5937">
        <v>0.28710999999999998</v>
      </c>
      <c r="AF5937">
        <v>2.7794065155815499E-2</v>
      </c>
      <c r="AG5937">
        <v>-6.5809999999999896E-2</v>
      </c>
      <c r="AH5937">
        <v>0.27186224189298203</v>
      </c>
      <c r="AI5937">
        <v>103.539925468962</v>
      </c>
      <c r="AJ5937">
        <v>84.162599201191696</v>
      </c>
      <c r="AK5937">
        <v>0.28109170162949298</v>
      </c>
      <c r="AL5937">
        <v>89.046515788145499</v>
      </c>
      <c r="AM5937">
        <v>88.364363583424407</v>
      </c>
      <c r="AN5937">
        <v>0.99999995391400198</v>
      </c>
    </row>
    <row r="5938" spans="1:40" x14ac:dyDescent="0.25">
      <c r="A5938" t="str">
        <f>"20190312154721188"</f>
        <v>20190312154721188</v>
      </c>
      <c r="B5938" t="str">
        <f>"1552376841184314"</f>
        <v>1552376841184314</v>
      </c>
      <c r="C5938" t="s">
        <v>40</v>
      </c>
      <c r="D5938">
        <v>5.1959280000000003</v>
      </c>
      <c r="E5938">
        <v>0.50585570000000002</v>
      </c>
      <c r="F5938" t="s">
        <v>41</v>
      </c>
      <c r="G5938">
        <v>-188.66380000000001</v>
      </c>
      <c r="H5938">
        <v>1.0283709999999999</v>
      </c>
      <c r="I5938">
        <v>-11.251150000000001</v>
      </c>
      <c r="J5938">
        <v>-188.6703</v>
      </c>
      <c r="K5938">
        <v>1.109389</v>
      </c>
      <c r="L5938">
        <v>-11.92999</v>
      </c>
      <c r="M5938">
        <v>-4.3468140000000002E-2</v>
      </c>
      <c r="N5938">
        <v>0</v>
      </c>
      <c r="O5938">
        <v>0.99896189999999996</v>
      </c>
      <c r="P5938">
        <v>-1.4083699999999999E-2</v>
      </c>
      <c r="Q5938">
        <v>3.3145649999999998E-3</v>
      </c>
      <c r="R5938">
        <v>0.99989530000000004</v>
      </c>
      <c r="S5938">
        <v>-1.2634279999999999E-2</v>
      </c>
      <c r="T5938">
        <v>-0.26190950000000002</v>
      </c>
      <c r="U5938">
        <v>3.0009769999999998</v>
      </c>
      <c r="V5938">
        <v>2.9417780000000001E-2</v>
      </c>
      <c r="W5938">
        <v>1.68986E-2</v>
      </c>
      <c r="X5938">
        <v>0.99942430000000004</v>
      </c>
      <c r="Y5938">
        <v>3.92816E-2</v>
      </c>
      <c r="Z5938">
        <v>-8.6787210000000004E-2</v>
      </c>
      <c r="AA5938">
        <v>0.99545209999999995</v>
      </c>
      <c r="AB5938">
        <v>24</v>
      </c>
      <c r="AC5938">
        <v>6.4999999999883996E-3</v>
      </c>
      <c r="AD5938">
        <v>-8.1018000000000007E-2</v>
      </c>
      <c r="AE5938">
        <v>0.678839999999999</v>
      </c>
      <c r="AF5938">
        <v>3.5498910924689903E-2</v>
      </c>
      <c r="AG5938">
        <v>-8.1018000000000007E-2</v>
      </c>
      <c r="AH5938">
        <v>0.66839600435378799</v>
      </c>
      <c r="AI5938">
        <v>96.901619720321406</v>
      </c>
      <c r="AJ5938">
        <v>86.959843281532599</v>
      </c>
      <c r="AK5938">
        <v>0.67422348493429696</v>
      </c>
      <c r="AL5938">
        <v>89.031735404751103</v>
      </c>
      <c r="AM5938">
        <v>88.314001259340898</v>
      </c>
      <c r="AN5938">
        <v>0.99999994994628805</v>
      </c>
    </row>
    <row r="5939" spans="1:40" x14ac:dyDescent="0.25">
      <c r="A5939" t="str">
        <f>"20190312154721212"</f>
        <v>20190312154721212</v>
      </c>
      <c r="B5939" t="str">
        <f>"1552376841203834"</f>
        <v>1552376841203834</v>
      </c>
      <c r="C5939" t="s">
        <v>40</v>
      </c>
      <c r="D5939">
        <v>5.2563339999999998</v>
      </c>
      <c r="E5939">
        <v>0.50592629999999905</v>
      </c>
      <c r="F5939" t="s">
        <v>41</v>
      </c>
      <c r="G5939">
        <v>-188.67240000000001</v>
      </c>
      <c r="H5939">
        <v>1.0307740000000001</v>
      </c>
      <c r="I5939">
        <v>-11.03321</v>
      </c>
      <c r="J5939">
        <v>-188.68109999999999</v>
      </c>
      <c r="K5939">
        <v>1.1093139999999999</v>
      </c>
      <c r="L5939">
        <v>-11.66324</v>
      </c>
      <c r="M5939">
        <v>-4.2692920000000002E-2</v>
      </c>
      <c r="N5939">
        <v>0</v>
      </c>
      <c r="O5939">
        <v>0.99899610000000005</v>
      </c>
      <c r="P5939">
        <v>-1.222793E-2</v>
      </c>
      <c r="Q5939">
        <v>3.390377E-3</v>
      </c>
      <c r="R5939">
        <v>0.99991949999999996</v>
      </c>
      <c r="S5939">
        <v>-7.2174069999999899E-3</v>
      </c>
      <c r="T5939">
        <v>-0.2630401</v>
      </c>
      <c r="U5939">
        <v>3.001099</v>
      </c>
      <c r="V5939">
        <v>3.0500019999999999E-2</v>
      </c>
      <c r="W5939">
        <v>1.6905759999999999E-2</v>
      </c>
      <c r="X5939">
        <v>0.99939180000000005</v>
      </c>
      <c r="Y5939">
        <v>4.0303110000000003E-2</v>
      </c>
      <c r="Z5939">
        <v>-8.7158340000000001E-2</v>
      </c>
      <c r="AA5939">
        <v>0.99537889999999996</v>
      </c>
      <c r="AB5939">
        <v>24</v>
      </c>
      <c r="AC5939">
        <v>8.6999999999761695E-3</v>
      </c>
      <c r="AD5939">
        <v>-7.8539999999999804E-2</v>
      </c>
      <c r="AE5939">
        <v>0.63002999999999898</v>
      </c>
      <c r="AF5939">
        <v>3.5047813388860802E-2</v>
      </c>
      <c r="AG5939">
        <v>-7.8539999999999804E-2</v>
      </c>
      <c r="AH5939">
        <v>0.61945925057181905</v>
      </c>
      <c r="AI5939">
        <v>97.214446954435601</v>
      </c>
      <c r="AJ5939">
        <v>86.761767290191599</v>
      </c>
      <c r="AK5939">
        <v>0.62540118639345499</v>
      </c>
      <c r="AL5939">
        <v>89.031325169348506</v>
      </c>
      <c r="AM5939">
        <v>88.251956654017803</v>
      </c>
      <c r="AN5939">
        <v>1.0000000129241999</v>
      </c>
    </row>
    <row r="5940" spans="1:40" x14ac:dyDescent="0.25">
      <c r="A5940" t="str">
        <f>"20190312154721235"</f>
        <v>20190312154721235</v>
      </c>
      <c r="B5940" t="str">
        <f>"1552376841224330"</f>
        <v>1552376841224330</v>
      </c>
      <c r="C5940" t="s">
        <v>40</v>
      </c>
      <c r="D5940">
        <v>5.2848569999999997</v>
      </c>
      <c r="E5940">
        <v>0.50595329999999905</v>
      </c>
      <c r="F5940" t="s">
        <v>41</v>
      </c>
      <c r="G5940">
        <v>-188.6815</v>
      </c>
      <c r="H5940">
        <v>1.0344390000000001</v>
      </c>
      <c r="I5940">
        <v>-10.8148</v>
      </c>
      <c r="J5940">
        <v>-188.69049999999999</v>
      </c>
      <c r="K5940">
        <v>1.109256</v>
      </c>
      <c r="L5940">
        <v>-11.422549999999999</v>
      </c>
      <c r="M5940">
        <v>-4.1907069999999998E-2</v>
      </c>
      <c r="N5940">
        <v>0</v>
      </c>
      <c r="O5940">
        <v>0.99903050000000004</v>
      </c>
      <c r="P5940">
        <v>-1.045917E-2</v>
      </c>
      <c r="Q5940">
        <v>2.019074E-3</v>
      </c>
      <c r="R5940">
        <v>0.99994329999999998</v>
      </c>
      <c r="S5940">
        <v>-1.63269E-3</v>
      </c>
      <c r="T5940">
        <v>-0.2648567</v>
      </c>
      <c r="U5940">
        <v>3.0011290000000002</v>
      </c>
      <c r="V5940">
        <v>3.1481490000000001E-2</v>
      </c>
      <c r="W5940">
        <v>1.5450169999999999E-2</v>
      </c>
      <c r="X5940">
        <v>0.99938490000000002</v>
      </c>
      <c r="Y5940">
        <v>4.1369370000000003E-2</v>
      </c>
      <c r="Z5940">
        <v>-8.7757329999999995E-2</v>
      </c>
      <c r="AA5940">
        <v>0.99528249999999996</v>
      </c>
      <c r="AB5940">
        <v>24</v>
      </c>
      <c r="AC5940">
        <v>8.9999999999861302E-3</v>
      </c>
      <c r="AD5940">
        <v>-7.4817000000000106E-2</v>
      </c>
      <c r="AE5940">
        <v>0.60774999999999901</v>
      </c>
      <c r="AF5940">
        <v>3.39490513554059E-2</v>
      </c>
      <c r="AG5940">
        <v>-7.4817000000000106E-2</v>
      </c>
      <c r="AH5940">
        <v>0.59778152211305602</v>
      </c>
      <c r="AI5940">
        <v>97.122557653136496</v>
      </c>
      <c r="AJ5940">
        <v>86.749564667488698</v>
      </c>
      <c r="AK5940">
        <v>0.60340108531285697</v>
      </c>
      <c r="AL5940">
        <v>89.114735230790004</v>
      </c>
      <c r="AM5940">
        <v>88.195729954018702</v>
      </c>
      <c r="AN5940">
        <v>0.99999998515682897</v>
      </c>
    </row>
    <row r="5941" spans="1:40" x14ac:dyDescent="0.25">
      <c r="A5941" t="str">
        <f>"20190312154721255"</f>
        <v>20190312154721255</v>
      </c>
      <c r="B5941" t="str">
        <f>"1552376841243852"</f>
        <v>1552376841243852</v>
      </c>
      <c r="C5941" t="s">
        <v>40</v>
      </c>
      <c r="D5941">
        <v>5.2065989999999998</v>
      </c>
      <c r="E5941">
        <v>0.50600859999999903</v>
      </c>
      <c r="F5941" t="s">
        <v>41</v>
      </c>
      <c r="G5941">
        <v>-188.6893</v>
      </c>
      <c r="H5941">
        <v>1.034621</v>
      </c>
      <c r="I5941">
        <v>-10.59806</v>
      </c>
      <c r="J5941">
        <v>-188.69909999999999</v>
      </c>
      <c r="K5941">
        <v>1.109199</v>
      </c>
      <c r="L5941">
        <v>-11.194459999999999</v>
      </c>
      <c r="M5941">
        <v>-4.1097290000000002E-2</v>
      </c>
      <c r="N5941">
        <v>0</v>
      </c>
      <c r="O5941">
        <v>0.99906550000000005</v>
      </c>
      <c r="P5941">
        <v>-8.5637749999999992E-3</v>
      </c>
      <c r="Q5941">
        <v>1.228231E-3</v>
      </c>
      <c r="R5941">
        <v>0.99996260000000003</v>
      </c>
      <c r="S5941">
        <v>3.4484860000000002E-3</v>
      </c>
      <c r="T5941">
        <v>-0.2715727</v>
      </c>
      <c r="U5941">
        <v>3.0007630000000001</v>
      </c>
      <c r="V5941">
        <v>3.2565530000000002E-2</v>
      </c>
      <c r="W5941">
        <v>1.4555240000000001E-2</v>
      </c>
      <c r="X5941">
        <v>0.99936360000000002</v>
      </c>
      <c r="Y5941">
        <v>4.2244429999999999E-2</v>
      </c>
      <c r="Z5941">
        <v>-8.9978500000000003E-2</v>
      </c>
      <c r="AA5941">
        <v>0.99504740000000003</v>
      </c>
      <c r="AB5941">
        <v>24</v>
      </c>
      <c r="AC5941">
        <v>9.7999999999842605E-3</v>
      </c>
      <c r="AD5941">
        <v>-7.4578000000000005E-2</v>
      </c>
      <c r="AE5941">
        <v>0.59640000000000004</v>
      </c>
      <c r="AF5941">
        <v>3.3776329334677502E-2</v>
      </c>
      <c r="AG5941">
        <v>-7.4578000000000005E-2</v>
      </c>
      <c r="AH5941">
        <v>0.58632747626513604</v>
      </c>
      <c r="AI5941">
        <v>97.236948967999297</v>
      </c>
      <c r="AJ5941">
        <v>86.703029046175899</v>
      </c>
      <c r="AK5941">
        <v>0.59201573284057896</v>
      </c>
      <c r="AL5941">
        <v>89.166016718233905</v>
      </c>
      <c r="AM5941">
        <v>88.133604812055395</v>
      </c>
      <c r="AN5941">
        <v>0.99999998688029901</v>
      </c>
    </row>
    <row r="5942" spans="1:40" x14ac:dyDescent="0.25">
      <c r="A5942" t="str">
        <f>"20190312154721278"</f>
        <v>20190312154721278</v>
      </c>
      <c r="B5942" t="str">
        <f>"1552376841264347"</f>
        <v>1552376841264347</v>
      </c>
      <c r="C5942" t="s">
        <v>40</v>
      </c>
      <c r="D5942">
        <v>5.3408369999999996</v>
      </c>
      <c r="E5942">
        <v>0.50663309999999995</v>
      </c>
      <c r="F5942" t="s">
        <v>41</v>
      </c>
      <c r="G5942">
        <v>-188.69659999999999</v>
      </c>
      <c r="H5942">
        <v>1.034543</v>
      </c>
      <c r="I5942">
        <v>-10.38147</v>
      </c>
      <c r="J5942">
        <v>-188.7079</v>
      </c>
      <c r="K5942">
        <v>1.109143</v>
      </c>
      <c r="L5942">
        <v>-10.95731</v>
      </c>
      <c r="M5942">
        <v>-4.0210650000000001E-2</v>
      </c>
      <c r="N5942">
        <v>0</v>
      </c>
      <c r="O5942">
        <v>0.99910310000000002</v>
      </c>
      <c r="P5942">
        <v>-6.1484169999999998E-3</v>
      </c>
      <c r="Q5942">
        <v>1.154124E-4</v>
      </c>
      <c r="R5942">
        <v>0.99998109999999996</v>
      </c>
      <c r="S5942">
        <v>9.5825200000000006E-3</v>
      </c>
      <c r="T5942">
        <v>-0.2755589</v>
      </c>
      <c r="U5942">
        <v>3.0005190000000002</v>
      </c>
      <c r="V5942">
        <v>3.4091389999999999E-2</v>
      </c>
      <c r="W5942">
        <v>1.3321309999999999E-2</v>
      </c>
      <c r="X5942">
        <v>0.99932989999999999</v>
      </c>
      <c r="Y5942">
        <v>4.3391579999999999E-2</v>
      </c>
      <c r="Z5942">
        <v>-9.1298130000000005E-2</v>
      </c>
      <c r="AA5942">
        <v>0.99487780000000003</v>
      </c>
      <c r="AB5942">
        <v>24</v>
      </c>
      <c r="AC5942">
        <v>1.1300000000005601E-2</v>
      </c>
      <c r="AD5942">
        <v>-7.46E-2</v>
      </c>
      <c r="AE5942">
        <v>0.57584000000000102</v>
      </c>
      <c r="AF5942">
        <v>3.3879413883083402E-2</v>
      </c>
      <c r="AG5942">
        <v>-7.46E-2</v>
      </c>
      <c r="AH5942">
        <v>0.56543365614234797</v>
      </c>
      <c r="AI5942">
        <v>97.502559329443002</v>
      </c>
      <c r="AJ5942">
        <v>86.571075286226005</v>
      </c>
      <c r="AK5942">
        <v>0.57133894859668399</v>
      </c>
      <c r="AL5942">
        <v>89.236722556401901</v>
      </c>
      <c r="AM5942">
        <v>88.046155170867493</v>
      </c>
      <c r="AN5942">
        <v>0.99999996460312801</v>
      </c>
    </row>
    <row r="5943" spans="1:40" x14ac:dyDescent="0.25">
      <c r="A5943" t="str">
        <f>"20190312154721300"</f>
        <v>20190312154721300</v>
      </c>
      <c r="B5943" t="str">
        <f>"1552376841293626"</f>
        <v>1552376841293626</v>
      </c>
      <c r="C5943" t="s">
        <v>40</v>
      </c>
      <c r="D5943">
        <v>5.1240550000000002</v>
      </c>
      <c r="E5943">
        <v>0.54905479999999995</v>
      </c>
      <c r="F5943" t="s">
        <v>41</v>
      </c>
      <c r="G5943">
        <v>-188.7022</v>
      </c>
      <c r="H5943">
        <v>1.033544</v>
      </c>
      <c r="I5943">
        <v>-10.16526</v>
      </c>
      <c r="J5943">
        <v>-188.7167</v>
      </c>
      <c r="K5943">
        <v>1.109103</v>
      </c>
      <c r="L5943">
        <v>-10.71088</v>
      </c>
      <c r="M5943">
        <v>-3.9260099999999999E-2</v>
      </c>
      <c r="N5943">
        <v>0</v>
      </c>
      <c r="O5943">
        <v>0.99914259999999999</v>
      </c>
      <c r="P5943">
        <v>-3.3763930000000001E-3</v>
      </c>
      <c r="Q5943">
        <v>-1.045016E-3</v>
      </c>
      <c r="R5943">
        <v>0.99999369999999999</v>
      </c>
      <c r="S5943">
        <v>2.1194459999999998E-2</v>
      </c>
      <c r="T5943">
        <v>-0.28632459999999998</v>
      </c>
      <c r="U5943">
        <v>3.0002140000000002</v>
      </c>
      <c r="V5943">
        <v>3.590923E-2</v>
      </c>
      <c r="W5943">
        <v>1.202728E-2</v>
      </c>
      <c r="X5943">
        <v>0.99928269999999997</v>
      </c>
      <c r="Y5943">
        <v>4.6289240000000002E-2</v>
      </c>
      <c r="Z5943">
        <v>-9.4841239999999993E-2</v>
      </c>
      <c r="AA5943">
        <v>0.99441559999999996</v>
      </c>
      <c r="AB5943">
        <v>24</v>
      </c>
      <c r="AC5943">
        <v>1.4499999999998099E-2</v>
      </c>
      <c r="AD5943">
        <v>-7.5559000000000098E-2</v>
      </c>
      <c r="AE5943">
        <v>0.54561999999999899</v>
      </c>
      <c r="AF5943">
        <v>3.5236494023016103E-2</v>
      </c>
      <c r="AG5943">
        <v>-7.5559000000000098E-2</v>
      </c>
      <c r="AH5943">
        <v>0.53438893968210299</v>
      </c>
      <c r="AI5943">
        <v>98.030678575587203</v>
      </c>
      <c r="AJ5943">
        <v>86.227496645485104</v>
      </c>
      <c r="AK5943">
        <v>0.54085331823572702</v>
      </c>
      <c r="AL5943">
        <v>89.310871016659803</v>
      </c>
      <c r="AM5943">
        <v>87.941961369620003</v>
      </c>
      <c r="AN5943">
        <v>1.00000002139134</v>
      </c>
    </row>
    <row r="5944" spans="1:40" x14ac:dyDescent="0.25">
      <c r="A5944" t="str">
        <f>"20190312154721321"</f>
        <v>20190312154721321</v>
      </c>
      <c r="B5944" t="str">
        <f>"1552376841314123"</f>
        <v>1552376841314123</v>
      </c>
      <c r="C5944" t="s">
        <v>40</v>
      </c>
      <c r="D5944">
        <v>5.2126780000000004</v>
      </c>
      <c r="E5944">
        <v>0.54940129999999998</v>
      </c>
      <c r="F5944" t="s">
        <v>41</v>
      </c>
      <c r="G5944">
        <v>-188.63820000000001</v>
      </c>
      <c r="H5944">
        <v>0.89040079999999999</v>
      </c>
      <c r="I5944">
        <v>-10.014089999999999</v>
      </c>
      <c r="J5944">
        <v>-188.72489999999999</v>
      </c>
      <c r="K5944">
        <v>1.1090690000000001</v>
      </c>
      <c r="L5944">
        <v>-10.47589</v>
      </c>
      <c r="M5944">
        <v>-3.8335870000000001E-2</v>
      </c>
      <c r="N5944">
        <v>0</v>
      </c>
      <c r="O5944">
        <v>0.99918030000000002</v>
      </c>
      <c r="P5944">
        <v>-9.5951619999999995E-4</v>
      </c>
      <c r="Q5944">
        <v>-1.7867579999999901E-3</v>
      </c>
      <c r="R5944">
        <v>0.9999979</v>
      </c>
      <c r="S5944">
        <v>0.33782960000000001</v>
      </c>
      <c r="T5944">
        <v>-0.94164599999999998</v>
      </c>
      <c r="U5944">
        <v>3.0001829999999998</v>
      </c>
      <c r="V5944">
        <v>3.739874E-2</v>
      </c>
      <c r="W5944">
        <v>1.114709E-2</v>
      </c>
      <c r="X5944">
        <v>0.99923830000000002</v>
      </c>
      <c r="Y5944">
        <v>0.14485999999999999</v>
      </c>
      <c r="Z5944">
        <v>-0.29668670000000003</v>
      </c>
      <c r="AA5944">
        <v>0.94392410000000004</v>
      </c>
      <c r="AB5944">
        <v>24</v>
      </c>
      <c r="AC5944">
        <v>8.6699999999979099E-2</v>
      </c>
      <c r="AD5944">
        <v>-0.21866820000000001</v>
      </c>
      <c r="AE5944">
        <v>0.46179999999999999</v>
      </c>
      <c r="AF5944">
        <v>8.5766020041888005E-2</v>
      </c>
      <c r="AG5944">
        <v>-0.21866820000000001</v>
      </c>
      <c r="AH5944">
        <v>0.37657723128119702</v>
      </c>
      <c r="AI5944">
        <v>119.517437347155</v>
      </c>
      <c r="AJ5944">
        <v>77.169653647095998</v>
      </c>
      <c r="AK5944">
        <v>0.44382654607907102</v>
      </c>
      <c r="AL5944">
        <v>89.361305594645401</v>
      </c>
      <c r="AM5944">
        <v>87.8565770928587</v>
      </c>
      <c r="AN5944">
        <v>1.0000000517779699</v>
      </c>
    </row>
    <row r="5945" spans="1:40" x14ac:dyDescent="0.25">
      <c r="A5945" t="str">
        <f>"20190312154721343"</f>
        <v>20190312154721343</v>
      </c>
      <c r="B5945" t="str">
        <f>"1552376841333642"</f>
        <v>1552376841333642</v>
      </c>
      <c r="C5945" t="s">
        <v>40</v>
      </c>
      <c r="D5945">
        <v>5.1946379999999897</v>
      </c>
      <c r="E5945">
        <v>0.55011180000000004</v>
      </c>
      <c r="F5945" t="s">
        <v>41</v>
      </c>
      <c r="G5945">
        <v>-188.64660000000001</v>
      </c>
      <c r="H5945">
        <v>0.88767929999999995</v>
      </c>
      <c r="I5945">
        <v>-9.7987260000000003</v>
      </c>
      <c r="J5945">
        <v>-188.7328</v>
      </c>
      <c r="K5945">
        <v>1.1090420000000001</v>
      </c>
      <c r="L5945">
        <v>-10.241490000000001</v>
      </c>
      <c r="M5945">
        <v>-3.7397760000000002E-2</v>
      </c>
      <c r="N5945">
        <v>0</v>
      </c>
      <c r="O5945">
        <v>0.99921769999999999</v>
      </c>
      <c r="P5945">
        <v>1.037659E-3</v>
      </c>
      <c r="Q5945">
        <v>-2.2273850000000001E-3</v>
      </c>
      <c r="R5945">
        <v>0.99999700000000002</v>
      </c>
      <c r="S5945">
        <v>0.34625240000000002</v>
      </c>
      <c r="T5945">
        <v>-0.98028800000000005</v>
      </c>
      <c r="U5945">
        <v>2.998596</v>
      </c>
      <c r="V5945">
        <v>3.8455320000000001E-2</v>
      </c>
      <c r="W5945">
        <v>1.0560140000000001E-2</v>
      </c>
      <c r="X5945">
        <v>0.99920450000000005</v>
      </c>
      <c r="Y5945">
        <v>0.1461991</v>
      </c>
      <c r="Z5945">
        <v>-0.30780200000000002</v>
      </c>
      <c r="AA5945">
        <v>0.94015090000000001</v>
      </c>
      <c r="AB5945">
        <v>24</v>
      </c>
      <c r="AC5945">
        <v>8.6199999999990895E-2</v>
      </c>
      <c r="AD5945">
        <v>-0.2213627</v>
      </c>
      <c r="AE5945">
        <v>0.44276399999999799</v>
      </c>
      <c r="AF5945">
        <v>8.27668381033978E-2</v>
      </c>
      <c r="AG5945">
        <v>-0.2213627</v>
      </c>
      <c r="AH5945">
        <v>0.35398148032797699</v>
      </c>
      <c r="AI5945">
        <v>121.338381686191</v>
      </c>
      <c r="AJ5945">
        <v>76.8397069390779</v>
      </c>
      <c r="AK5945">
        <v>0.425622700118438</v>
      </c>
      <c r="AL5945">
        <v>89.394937289030693</v>
      </c>
      <c r="AM5945">
        <v>87.796006053440706</v>
      </c>
      <c r="AN5945">
        <v>0.99999998050668504</v>
      </c>
    </row>
    <row r="5946" spans="1:40" x14ac:dyDescent="0.25">
      <c r="A5946" t="str">
        <f>"20190312154721377"</f>
        <v>20190312154721377</v>
      </c>
      <c r="B5946" t="str">
        <f>"1552376841373659"</f>
        <v>1552376841373659</v>
      </c>
      <c r="C5946" t="s">
        <v>40</v>
      </c>
      <c r="D5946">
        <v>5.1324329999999998</v>
      </c>
      <c r="E5946">
        <v>0.55048229999999998</v>
      </c>
      <c r="F5946" t="s">
        <v>41</v>
      </c>
      <c r="G5946">
        <v>-188.654</v>
      </c>
      <c r="H5946">
        <v>0.89038680000000003</v>
      </c>
      <c r="I5946">
        <v>-9.5809010000000008</v>
      </c>
      <c r="J5946">
        <v>-188.7448</v>
      </c>
      <c r="K5946">
        <v>1.1090120000000001</v>
      </c>
      <c r="L5946">
        <v>-9.8728639999999999</v>
      </c>
      <c r="M5946">
        <v>-3.5882589999999999E-2</v>
      </c>
      <c r="N5946">
        <v>0</v>
      </c>
      <c r="O5946">
        <v>0.99927600000000005</v>
      </c>
      <c r="P5946">
        <v>3.7330610000000002E-3</v>
      </c>
      <c r="Q5946">
        <v>-2.310758E-3</v>
      </c>
      <c r="R5946">
        <v>0.9999903</v>
      </c>
      <c r="S5946">
        <v>0.35768129999999998</v>
      </c>
      <c r="T5946">
        <v>-0.99215580000000003</v>
      </c>
      <c r="U5946">
        <v>2.9974370000000001</v>
      </c>
      <c r="V5946">
        <v>3.9633090000000003E-2</v>
      </c>
      <c r="W5946">
        <v>1.025975E-2</v>
      </c>
      <c r="X5946">
        <v>0.99916159999999998</v>
      </c>
      <c r="Y5946">
        <v>0.14814659999999999</v>
      </c>
      <c r="Z5946">
        <v>-0.31119059999999998</v>
      </c>
      <c r="AA5946">
        <v>0.93872949999999999</v>
      </c>
      <c r="AB5946">
        <v>24</v>
      </c>
      <c r="AC5946">
        <v>9.0799999999973097E-2</v>
      </c>
      <c r="AD5946">
        <v>-0.21862519999999999</v>
      </c>
      <c r="AE5946">
        <v>0.29196299999999997</v>
      </c>
      <c r="AF5946">
        <v>6.6976014520185298E-2</v>
      </c>
      <c r="AG5946">
        <v>-0.21862519999999999</v>
      </c>
      <c r="AH5946">
        <v>0.190910181781038</v>
      </c>
      <c r="AI5946">
        <v>137.21854121125199</v>
      </c>
      <c r="AJ5946">
        <v>70.6678674964934</v>
      </c>
      <c r="AK5946">
        <v>0.29787491016149198</v>
      </c>
      <c r="AL5946">
        <v>89.412149297212906</v>
      </c>
      <c r="AM5946">
        <v>87.728476623572803</v>
      </c>
      <c r="AN5946">
        <v>0.99999997360378501</v>
      </c>
    </row>
    <row r="5947" spans="1:40" x14ac:dyDescent="0.25">
      <c r="A5947" t="str">
        <f>"20190312154721401"</f>
        <v>20190312154721401</v>
      </c>
      <c r="B5947" t="str">
        <f>"1552376841394155"</f>
        <v>1552376841394155</v>
      </c>
      <c r="C5947" t="s">
        <v>40</v>
      </c>
      <c r="D5947">
        <v>5.1332360000000001</v>
      </c>
      <c r="E5947">
        <v>0.55064489999999999</v>
      </c>
      <c r="F5947" t="s">
        <v>41</v>
      </c>
      <c r="G5947">
        <v>-188.65639999999999</v>
      </c>
      <c r="H5947">
        <v>0.86963709999999905</v>
      </c>
      <c r="I5947">
        <v>-9.1551310000000008</v>
      </c>
      <c r="J5947">
        <v>-188.7527</v>
      </c>
      <c r="K5947">
        <v>1.108995</v>
      </c>
      <c r="L5947">
        <v>-9.6175230000000003</v>
      </c>
      <c r="M5947">
        <v>-3.4812290000000003E-2</v>
      </c>
      <c r="N5947">
        <v>0</v>
      </c>
      <c r="O5947">
        <v>0.99931550000000002</v>
      </c>
      <c r="P5947">
        <v>4.8953720000000003E-3</v>
      </c>
      <c r="Q5947">
        <v>-2.3704780000000001E-3</v>
      </c>
      <c r="R5947">
        <v>0.99998520000000002</v>
      </c>
      <c r="S5947">
        <v>0.36904910000000002</v>
      </c>
      <c r="T5947">
        <v>-0.99934219999999896</v>
      </c>
      <c r="U5947">
        <v>2.9963380000000002</v>
      </c>
      <c r="V5947">
        <v>3.9724089999999997E-2</v>
      </c>
      <c r="W5947">
        <v>1.0067599999999999E-2</v>
      </c>
      <c r="X5947">
        <v>0.99916000000000005</v>
      </c>
      <c r="Y5947">
        <v>0.15055660000000001</v>
      </c>
      <c r="Z5947">
        <v>-0.31321979999999999</v>
      </c>
      <c r="AA5947">
        <v>0.93767049999999996</v>
      </c>
      <c r="AB5947">
        <v>24</v>
      </c>
      <c r="AC5947">
        <v>9.6300000000013597E-2</v>
      </c>
      <c r="AD5947">
        <v>-0.23935790000000001</v>
      </c>
      <c r="AE5947">
        <v>0.46239200000000102</v>
      </c>
      <c r="AF5947">
        <v>8.9383914094702394E-2</v>
      </c>
      <c r="AG5947">
        <v>-0.23935790000000001</v>
      </c>
      <c r="AH5947">
        <v>0.36501465164167501</v>
      </c>
      <c r="AI5947">
        <v>122.494282851324</v>
      </c>
      <c r="AJ5947">
        <v>76.240315055488693</v>
      </c>
      <c r="AK5947">
        <v>0.44555289731343101</v>
      </c>
      <c r="AL5947">
        <v>89.423159284352195</v>
      </c>
      <c r="AM5947">
        <v>87.723262907089605</v>
      </c>
      <c r="AN5947">
        <v>1.0000000327480401</v>
      </c>
    </row>
    <row r="5948" spans="1:40" x14ac:dyDescent="0.25">
      <c r="A5948" t="str">
        <f>"20190312154721434"</f>
        <v>20190312154721434</v>
      </c>
      <c r="B5948" t="str">
        <f>"1552376841424411"</f>
        <v>1552376841424411</v>
      </c>
      <c r="C5948" t="s">
        <v>40</v>
      </c>
      <c r="D5948">
        <v>5.1264719999999997</v>
      </c>
      <c r="E5948">
        <v>0.5503749</v>
      </c>
      <c r="F5948" t="s">
        <v>41</v>
      </c>
      <c r="G5948">
        <v>-188.6671</v>
      </c>
      <c r="H5948">
        <v>0.88071480000000002</v>
      </c>
      <c r="I5948">
        <v>-8.9338569999999997</v>
      </c>
      <c r="J5948">
        <v>-188.76339999999999</v>
      </c>
      <c r="K5948">
        <v>1.108962</v>
      </c>
      <c r="L5948">
        <v>-9.2563779999999998</v>
      </c>
      <c r="M5948">
        <v>-3.3257439999999999E-2</v>
      </c>
      <c r="N5948">
        <v>0</v>
      </c>
      <c r="O5948">
        <v>0.99937050000000005</v>
      </c>
      <c r="P5948">
        <v>5.588885E-3</v>
      </c>
      <c r="Q5948">
        <v>-2.5464760000000002E-3</v>
      </c>
      <c r="R5948">
        <v>0.99998120000000001</v>
      </c>
      <c r="S5948">
        <v>0.37432860000000001</v>
      </c>
      <c r="T5948">
        <v>-1.0002599999999999</v>
      </c>
      <c r="U5948">
        <v>2.9958499999999999</v>
      </c>
      <c r="V5948">
        <v>3.8862250000000001E-2</v>
      </c>
      <c r="W5948">
        <v>9.7257190000000007E-3</v>
      </c>
      <c r="X5948">
        <v>0.99919720000000001</v>
      </c>
      <c r="Y5948">
        <v>0.1506545</v>
      </c>
      <c r="Z5948">
        <v>-0.31351699999999999</v>
      </c>
      <c r="AA5948">
        <v>0.93755549999999999</v>
      </c>
      <c r="AB5948">
        <v>24</v>
      </c>
      <c r="AC5948">
        <v>9.6299999999985106E-2</v>
      </c>
      <c r="AD5948">
        <v>-0.22824719999999901</v>
      </c>
      <c r="AE5948">
        <v>0.322520999999998</v>
      </c>
      <c r="AF5948">
        <v>7.3277770871243597E-2</v>
      </c>
      <c r="AG5948">
        <v>-0.22824719999999901</v>
      </c>
      <c r="AH5948">
        <v>0.218612862975574</v>
      </c>
      <c r="AI5948">
        <v>134.710290628471</v>
      </c>
      <c r="AJ5948">
        <v>71.469145294392803</v>
      </c>
      <c r="AK5948">
        <v>0.32443489311428197</v>
      </c>
      <c r="AL5948">
        <v>89.442748537826901</v>
      </c>
      <c r="AM5948">
        <v>87.772690740090994</v>
      </c>
      <c r="AN5948">
        <v>0.99999995428648303</v>
      </c>
    </row>
    <row r="5949" spans="1:40" x14ac:dyDescent="0.25">
      <c r="A5949" t="str">
        <f>"20190312154721454"</f>
        <v>20190312154721454</v>
      </c>
      <c r="B5949" t="str">
        <f>"1552376841443930"</f>
        <v>1552376841443930</v>
      </c>
      <c r="C5949" t="s">
        <v>40</v>
      </c>
      <c r="D5949">
        <v>5.1253120000000001</v>
      </c>
      <c r="E5949">
        <v>0.55017349999999998</v>
      </c>
      <c r="F5949" t="s">
        <v>41</v>
      </c>
      <c r="G5949">
        <v>-188.66970000000001</v>
      </c>
      <c r="H5949">
        <v>0.86021170000000002</v>
      </c>
      <c r="I5949">
        <v>-8.5077359999999995</v>
      </c>
      <c r="J5949">
        <v>-188.7698</v>
      </c>
      <c r="K5949">
        <v>1.1089340000000001</v>
      </c>
      <c r="L5949">
        <v>-9.03064</v>
      </c>
      <c r="M5949">
        <v>-3.2254989999999997E-2</v>
      </c>
      <c r="N5949">
        <v>0</v>
      </c>
      <c r="O5949">
        <v>0.99940450000000003</v>
      </c>
      <c r="P5949">
        <v>5.630309E-3</v>
      </c>
      <c r="Q5949">
        <v>-2.3065949999999998E-3</v>
      </c>
      <c r="R5949">
        <v>0.99998149999999997</v>
      </c>
      <c r="S5949">
        <v>0.37454219999999999</v>
      </c>
      <c r="T5949">
        <v>-0.99522379999999999</v>
      </c>
      <c r="U5949">
        <v>2.995422</v>
      </c>
      <c r="V5949">
        <v>3.7901959999999998E-2</v>
      </c>
      <c r="W5949">
        <v>9.8682869999999999E-3</v>
      </c>
      <c r="X5949">
        <v>0.99923269999999997</v>
      </c>
      <c r="Y5949">
        <v>0.14980179999999901</v>
      </c>
      <c r="Z5949">
        <v>-0.31216919999999998</v>
      </c>
      <c r="AA5949">
        <v>0.93814169999999997</v>
      </c>
      <c r="AB5949">
        <v>24</v>
      </c>
      <c r="AC5949">
        <v>0.100099999999997</v>
      </c>
      <c r="AD5949">
        <v>-0.24872230000000001</v>
      </c>
      <c r="AE5949">
        <v>0.52290400000000004</v>
      </c>
      <c r="AF5949">
        <v>9.5969953383430104E-2</v>
      </c>
      <c r="AG5949">
        <v>-0.24872230000000001</v>
      </c>
      <c r="AH5949">
        <v>0.42635150652005799</v>
      </c>
      <c r="AI5949">
        <v>119.64565365259099</v>
      </c>
      <c r="AJ5949">
        <v>77.314389616678</v>
      </c>
      <c r="AK5949">
        <v>0.50284055284118701</v>
      </c>
      <c r="AL5949">
        <v>89.434579606884597</v>
      </c>
      <c r="AM5949">
        <v>87.827751477500101</v>
      </c>
      <c r="AN5949">
        <v>0.99999996520472201</v>
      </c>
    </row>
    <row r="5950" spans="1:40" x14ac:dyDescent="0.25">
      <c r="A5950" t="str">
        <f>"20190312154721477"</f>
        <v>20190312154721477</v>
      </c>
      <c r="B5950" t="str">
        <f>"1552376841465403"</f>
        <v>1552376841465403</v>
      </c>
      <c r="C5950" t="s">
        <v>40</v>
      </c>
      <c r="D5950">
        <v>5.1142750000000001</v>
      </c>
      <c r="E5950">
        <v>0.54996179999999995</v>
      </c>
      <c r="F5950" t="s">
        <v>41</v>
      </c>
      <c r="G5950">
        <v>-188.67740000000001</v>
      </c>
      <c r="H5950">
        <v>0.86384519999999998</v>
      </c>
      <c r="I5950">
        <v>-8.2891589999999997</v>
      </c>
      <c r="J5950">
        <v>-188.77629999999999</v>
      </c>
      <c r="K5950">
        <v>1.1089020000000001</v>
      </c>
      <c r="L5950">
        <v>-8.7900390000000002</v>
      </c>
      <c r="M5950">
        <v>-3.1155240000000001E-2</v>
      </c>
      <c r="N5950">
        <v>0</v>
      </c>
      <c r="O5950">
        <v>0.99944069999999996</v>
      </c>
      <c r="P5950">
        <v>5.6348689999999998E-3</v>
      </c>
      <c r="Q5950">
        <v>-1.7464309999999999E-3</v>
      </c>
      <c r="R5950">
        <v>0.99998260000000005</v>
      </c>
      <c r="S5950">
        <v>0.37348940000000003</v>
      </c>
      <c r="T5950">
        <v>-0.99020019999999997</v>
      </c>
      <c r="U5950">
        <v>2.9956670000000001</v>
      </c>
      <c r="V5950">
        <v>3.6808250000000001E-2</v>
      </c>
      <c r="W5950">
        <v>1.033032E-2</v>
      </c>
      <c r="X5950">
        <v>0.99926890000000002</v>
      </c>
      <c r="Y5950">
        <v>0.14843779999999901</v>
      </c>
      <c r="Z5950">
        <v>-0.31078030000000001</v>
      </c>
      <c r="AA5950">
        <v>0.93881939999999997</v>
      </c>
      <c r="AB5950">
        <v>24</v>
      </c>
      <c r="AC5950">
        <v>9.8899999999986193E-2</v>
      </c>
      <c r="AD5950">
        <v>-0.24505679999999999</v>
      </c>
      <c r="AE5950">
        <v>0.50087999999999999</v>
      </c>
      <c r="AF5950">
        <v>9.3026240914921898E-2</v>
      </c>
      <c r="AG5950">
        <v>-0.24505679999999999</v>
      </c>
      <c r="AH5950">
        <v>0.404389672816658</v>
      </c>
      <c r="AI5950">
        <v>120.564700771872</v>
      </c>
      <c r="AJ5950">
        <v>77.044999535001196</v>
      </c>
      <c r="AK5950">
        <v>0.48191049397763203</v>
      </c>
      <c r="AL5950">
        <v>89.408105704880001</v>
      </c>
      <c r="AM5950">
        <v>87.890453391014105</v>
      </c>
      <c r="AN5950">
        <v>0.99999994864328601</v>
      </c>
    </row>
    <row r="5951" spans="1:40" x14ac:dyDescent="0.25">
      <c r="A5951" t="str">
        <f>"20190312154721500"</f>
        <v>20190312154721500</v>
      </c>
      <c r="B5951" t="str">
        <f>"1552376841494290"</f>
        <v>1552376841494290</v>
      </c>
      <c r="C5951" t="s">
        <v>40</v>
      </c>
      <c r="D5951">
        <v>5.105963</v>
      </c>
      <c r="E5951">
        <v>0.55016200000000004</v>
      </c>
      <c r="F5951" t="s">
        <v>41</v>
      </c>
      <c r="G5951">
        <v>-188.6867</v>
      </c>
      <c r="H5951">
        <v>0.87096409999999902</v>
      </c>
      <c r="I5951">
        <v>-8.0691589999999902</v>
      </c>
      <c r="J5951">
        <v>-188.78270000000001</v>
      </c>
      <c r="K5951">
        <v>1.108868</v>
      </c>
      <c r="L5951">
        <v>-8.5414729999999999</v>
      </c>
      <c r="M5951">
        <v>-2.9979459999999999E-2</v>
      </c>
      <c r="N5951">
        <v>0</v>
      </c>
      <c r="O5951">
        <v>0.99947779999999997</v>
      </c>
      <c r="P5951">
        <v>6.0825710000000002E-3</v>
      </c>
      <c r="Q5951">
        <v>-1.806633E-3</v>
      </c>
      <c r="R5951">
        <v>0.99997990000000003</v>
      </c>
      <c r="S5951">
        <v>0.3716583</v>
      </c>
      <c r="T5951">
        <v>-0.98883449999999995</v>
      </c>
      <c r="U5951">
        <v>2.996216</v>
      </c>
      <c r="V5951">
        <v>3.6080250000000001E-2</v>
      </c>
      <c r="W5951">
        <v>1.0173450000000001E-2</v>
      </c>
      <c r="X5951">
        <v>0.99929710000000005</v>
      </c>
      <c r="Y5951">
        <v>0.1467049</v>
      </c>
      <c r="Z5951">
        <v>-0.31041069999999998</v>
      </c>
      <c r="AA5951">
        <v>0.93921399999999999</v>
      </c>
      <c r="AB5951">
        <v>24</v>
      </c>
      <c r="AC5951">
        <v>9.6000000000003596E-2</v>
      </c>
      <c r="AD5951">
        <v>-0.2379039</v>
      </c>
      <c r="AE5951">
        <v>0.47231400000000001</v>
      </c>
      <c r="AF5951">
        <v>8.8544114851922706E-2</v>
      </c>
      <c r="AG5951">
        <v>-0.2379039</v>
      </c>
      <c r="AH5951">
        <v>0.37729642649845602</v>
      </c>
      <c r="AI5951">
        <v>121.544562910403</v>
      </c>
      <c r="AJ5951">
        <v>76.792797882241302</v>
      </c>
      <c r="AK5951">
        <v>0.45474269577270299</v>
      </c>
      <c r="AL5951">
        <v>89.417094190050804</v>
      </c>
      <c r="AM5951">
        <v>87.932198089923006</v>
      </c>
      <c r="AN5951">
        <v>0.99999998879668694</v>
      </c>
    </row>
    <row r="5952" spans="1:40" x14ac:dyDescent="0.25">
      <c r="A5952" t="str">
        <f>"20190312154721522"</f>
        <v>20190312154721522</v>
      </c>
      <c r="B5952" t="str">
        <f>"1552376841513810"</f>
        <v>1552376841513810</v>
      </c>
      <c r="C5952" t="s">
        <v>40</v>
      </c>
      <c r="D5952">
        <v>5.0881129999999999</v>
      </c>
      <c r="E5952">
        <v>0.55028650000000001</v>
      </c>
      <c r="F5952" t="s">
        <v>41</v>
      </c>
      <c r="G5952">
        <v>-188.69579999999999</v>
      </c>
      <c r="H5952">
        <v>0.88145479999999998</v>
      </c>
      <c r="I5952">
        <v>-7.8476140000000001</v>
      </c>
      <c r="J5952">
        <v>-188.78870000000001</v>
      </c>
      <c r="K5952">
        <v>1.1088359999999999</v>
      </c>
      <c r="L5952">
        <v>-8.2964169999999999</v>
      </c>
      <c r="M5952">
        <v>-2.8781569999999999E-2</v>
      </c>
      <c r="N5952">
        <v>0</v>
      </c>
      <c r="O5952">
        <v>0.99951400000000001</v>
      </c>
      <c r="P5952">
        <v>5.7234269999999997E-3</v>
      </c>
      <c r="Q5952">
        <v>-1.2605159999999999E-3</v>
      </c>
      <c r="R5952">
        <v>0.99998279999999995</v>
      </c>
      <c r="S5952">
        <v>0.3751526</v>
      </c>
      <c r="T5952">
        <v>-0.9819002</v>
      </c>
      <c r="U5952">
        <v>2.9960019999999998</v>
      </c>
      <c r="V5952">
        <v>3.4525029999999998E-2</v>
      </c>
      <c r="W5952">
        <v>1.0635479999999999E-2</v>
      </c>
      <c r="X5952">
        <v>0.99934730000000005</v>
      </c>
      <c r="Y5952">
        <v>0.14668680000000001</v>
      </c>
      <c r="Z5952">
        <v>-0.30846099999999999</v>
      </c>
      <c r="AA5952">
        <v>0.93985890000000005</v>
      </c>
      <c r="AB5952">
        <v>24</v>
      </c>
      <c r="AC5952">
        <v>9.2900000000014402E-2</v>
      </c>
      <c r="AD5952">
        <v>-0.22738120000000001</v>
      </c>
      <c r="AE5952">
        <v>0.44880299999999901</v>
      </c>
      <c r="AF5952">
        <v>8.4886078608122306E-2</v>
      </c>
      <c r="AG5952">
        <v>-0.22738120000000001</v>
      </c>
      <c r="AH5952">
        <v>0.35786034767590902</v>
      </c>
      <c r="AI5952">
        <v>121.725851364031</v>
      </c>
      <c r="AJ5952">
        <v>76.6558104505676</v>
      </c>
      <c r="AK5952">
        <v>0.43240245708555702</v>
      </c>
      <c r="AL5952">
        <v>89.390620430061205</v>
      </c>
      <c r="AM5952">
        <v>88.0213564623634</v>
      </c>
      <c r="AN5952">
        <v>1.0000000585743001</v>
      </c>
    </row>
    <row r="5953" spans="1:40" x14ac:dyDescent="0.25">
      <c r="A5953" t="str">
        <f>"20190312154721547"</f>
        <v>20190312154721547</v>
      </c>
      <c r="B5953" t="str">
        <f>"1552376841534306"</f>
        <v>1552376841534306</v>
      </c>
      <c r="C5953" t="s">
        <v>40</v>
      </c>
      <c r="D5953">
        <v>5.0608500000000003</v>
      </c>
      <c r="E5953">
        <v>0.5499423</v>
      </c>
      <c r="F5953" t="s">
        <v>41</v>
      </c>
      <c r="G5953">
        <v>-188.70490000000001</v>
      </c>
      <c r="H5953">
        <v>0.89060439999999996</v>
      </c>
      <c r="I5953">
        <v>-7.6265689999999999</v>
      </c>
      <c r="J5953">
        <v>-188.79480000000001</v>
      </c>
      <c r="K5953">
        <v>1.1088100000000001</v>
      </c>
      <c r="L5953">
        <v>-8.0328669999999995</v>
      </c>
      <c r="M5953">
        <v>-2.745624E-2</v>
      </c>
      <c r="N5953">
        <v>0</v>
      </c>
      <c r="O5953">
        <v>0.99955229999999995</v>
      </c>
      <c r="P5953">
        <v>6.4041890000000002E-3</v>
      </c>
      <c r="Q5953">
        <v>-7.5998880000000002E-4</v>
      </c>
      <c r="R5953">
        <v>0.99997919999999996</v>
      </c>
      <c r="S5953">
        <v>0.37510680000000002</v>
      </c>
      <c r="T5953">
        <v>-0.97628000000000004</v>
      </c>
      <c r="U5953">
        <v>2.9966740000000001</v>
      </c>
      <c r="V5953">
        <v>3.3881670000000003E-2</v>
      </c>
      <c r="W5953">
        <v>1.105507E-2</v>
      </c>
      <c r="X5953">
        <v>0.99936469999999999</v>
      </c>
      <c r="Y5953">
        <v>0.145401799999999</v>
      </c>
      <c r="Z5953">
        <v>-0.3068497</v>
      </c>
      <c r="AA5953">
        <v>0.94058569999999997</v>
      </c>
      <c r="AB5953">
        <v>24</v>
      </c>
      <c r="AC5953">
        <v>8.9899999999999994E-2</v>
      </c>
      <c r="AD5953">
        <v>-0.2182056</v>
      </c>
      <c r="AE5953">
        <v>0.40629799999999899</v>
      </c>
      <c r="AF5953">
        <v>7.9235097553721004E-2</v>
      </c>
      <c r="AG5953">
        <v>-0.2182056</v>
      </c>
      <c r="AH5953">
        <v>0.31661652869760898</v>
      </c>
      <c r="AI5953">
        <v>123.765183149818</v>
      </c>
      <c r="AJ5953">
        <v>75.949967514453405</v>
      </c>
      <c r="AK5953">
        <v>0.39260401271539702</v>
      </c>
      <c r="AL5953">
        <v>89.366578239587</v>
      </c>
      <c r="AM5953">
        <v>88.0582329746629</v>
      </c>
      <c r="AN5953">
        <v>0.99999999287039099</v>
      </c>
    </row>
    <row r="5954" spans="1:40" x14ac:dyDescent="0.25">
      <c r="A5954" t="str">
        <f>"20190312154721568"</f>
        <v>20190312154721568</v>
      </c>
      <c r="B5954" t="str">
        <f>"1552376841553828"</f>
        <v>1552376841553828</v>
      </c>
      <c r="C5954" t="s">
        <v>40</v>
      </c>
      <c r="D5954">
        <v>5.0672709999999999</v>
      </c>
      <c r="E5954">
        <v>0.55006369999999905</v>
      </c>
      <c r="F5954" t="s">
        <v>41</v>
      </c>
      <c r="G5954">
        <v>-188.6917</v>
      </c>
      <c r="H5954">
        <v>0.84176469999999903</v>
      </c>
      <c r="I5954">
        <v>-7.2100960000000001</v>
      </c>
      <c r="J5954">
        <v>-188.79990000000001</v>
      </c>
      <c r="K5954">
        <v>1.108798</v>
      </c>
      <c r="L5954">
        <v>-7.7992549999999996</v>
      </c>
      <c r="M5954">
        <v>-2.6261159999999999E-2</v>
      </c>
      <c r="N5954">
        <v>0</v>
      </c>
      <c r="O5954">
        <v>0.99958519999999895</v>
      </c>
      <c r="P5954">
        <v>7.7147259999999999E-3</v>
      </c>
      <c r="Q5954">
        <v>-4.1021919999999998E-4</v>
      </c>
      <c r="R5954">
        <v>0.99997009999999997</v>
      </c>
      <c r="S5954">
        <v>0.37490839999999998</v>
      </c>
      <c r="T5954">
        <v>-0.97262720000000003</v>
      </c>
      <c r="U5954">
        <v>2.996918</v>
      </c>
      <c r="V5954">
        <v>3.3997560000000003E-2</v>
      </c>
      <c r="W5954">
        <v>1.1340680000000001E-2</v>
      </c>
      <c r="X5954">
        <v>0.99935759999999996</v>
      </c>
      <c r="Y5954">
        <v>0.1441905</v>
      </c>
      <c r="Z5954">
        <v>-0.30583169999999998</v>
      </c>
      <c r="AA5954">
        <v>0.94110360000000004</v>
      </c>
      <c r="AB5954">
        <v>24</v>
      </c>
      <c r="AC5954">
        <v>0.10820000000001</v>
      </c>
      <c r="AD5954">
        <v>-0.26703329999999997</v>
      </c>
      <c r="AE5954">
        <v>0.58915899999999899</v>
      </c>
      <c r="AF5954">
        <v>0.103139106321567</v>
      </c>
      <c r="AG5954">
        <v>-0.26703329999999997</v>
      </c>
      <c r="AH5954">
        <v>0.48894662564276897</v>
      </c>
      <c r="AI5954">
        <v>118.119173456509</v>
      </c>
      <c r="AJ5954">
        <v>78.088568324366804</v>
      </c>
      <c r="AK5954">
        <v>0.56658032201017305</v>
      </c>
      <c r="AL5954">
        <v>89.350212989163495</v>
      </c>
      <c r="AM5954">
        <v>88.051582568191293</v>
      </c>
      <c r="AN5954">
        <v>1.00000002889328</v>
      </c>
    </row>
    <row r="5955" spans="1:40" x14ac:dyDescent="0.25">
      <c r="A5955" t="str">
        <f>"20190312154721592"</f>
        <v>20190312154721592</v>
      </c>
      <c r="B5955" t="str">
        <f>"1552376841584084"</f>
        <v>1552376841584084</v>
      </c>
      <c r="C5955" t="s">
        <v>40</v>
      </c>
      <c r="D5955">
        <v>5.0517820000000002</v>
      </c>
      <c r="E5955">
        <v>0.55026459999999999</v>
      </c>
      <c r="F5955" t="s">
        <v>41</v>
      </c>
      <c r="G5955">
        <v>-188.69749999999999</v>
      </c>
      <c r="H5955">
        <v>0.84724319999999897</v>
      </c>
      <c r="I5955">
        <v>-6.9901649999999904</v>
      </c>
      <c r="J5955">
        <v>-188.80529999999999</v>
      </c>
      <c r="K5955">
        <v>1.108786</v>
      </c>
      <c r="L5955">
        <v>-7.5338750000000001</v>
      </c>
      <c r="M5955">
        <v>-2.488901E-2</v>
      </c>
      <c r="N5955">
        <v>0</v>
      </c>
      <c r="O5955">
        <v>0.99962099999999998</v>
      </c>
      <c r="P5955">
        <v>9.515361E-3</v>
      </c>
      <c r="Q5955">
        <v>-1.4156910000000001E-4</v>
      </c>
      <c r="R5955">
        <v>0.99995469999999997</v>
      </c>
      <c r="S5955">
        <v>0.37939450000000002</v>
      </c>
      <c r="T5955">
        <v>-0.96881209999999995</v>
      </c>
      <c r="U5955">
        <v>2.9967649999999999</v>
      </c>
      <c r="V5955">
        <v>3.4425989999999997E-2</v>
      </c>
      <c r="W5955">
        <v>1.1544270000000001E-2</v>
      </c>
      <c r="X5955">
        <v>0.99934060000000002</v>
      </c>
      <c r="Y5955">
        <v>0.14427039999999999</v>
      </c>
      <c r="Z5955">
        <v>-0.30474780000000001</v>
      </c>
      <c r="AA5955">
        <v>0.94144300000000003</v>
      </c>
      <c r="AB5955">
        <v>24</v>
      </c>
      <c r="AC5955">
        <v>0.107799999999997</v>
      </c>
      <c r="AD5955">
        <v>-0.26154280000000002</v>
      </c>
      <c r="AE5955">
        <v>0.54371000000000003</v>
      </c>
      <c r="AF5955">
        <v>9.9211385919857703E-2</v>
      </c>
      <c r="AG5955">
        <v>-0.26154280000000002</v>
      </c>
      <c r="AH5955">
        <v>0.44236875549760302</v>
      </c>
      <c r="AI5955">
        <v>119.98072919066099</v>
      </c>
      <c r="AJ5955">
        <v>77.359267360638796</v>
      </c>
      <c r="AK5955">
        <v>0.52339053408375402</v>
      </c>
      <c r="AL5955">
        <v>89.338547376683906</v>
      </c>
      <c r="AM5955">
        <v>88.027014775627705</v>
      </c>
      <c r="AN5955">
        <v>1.00000002688283</v>
      </c>
    </row>
    <row r="5956" spans="1:40" x14ac:dyDescent="0.25">
      <c r="A5956" t="str">
        <f>"20190312154721637"</f>
        <v>20190312154721637</v>
      </c>
      <c r="B5956" t="str">
        <f>"1552376841624098"</f>
        <v>1552376841624098</v>
      </c>
      <c r="C5956" t="s">
        <v>40</v>
      </c>
      <c r="D5956">
        <v>4.9711109999999996</v>
      </c>
      <c r="E5956">
        <v>0.55062929999999999</v>
      </c>
      <c r="F5956" t="s">
        <v>41</v>
      </c>
      <c r="G5956">
        <v>-188.7063</v>
      </c>
      <c r="H5956">
        <v>0.86195169999999999</v>
      </c>
      <c r="I5956">
        <v>-6.7665030000000002</v>
      </c>
      <c r="J5956">
        <v>-188.8141</v>
      </c>
      <c r="K5956">
        <v>1.1087769999999999</v>
      </c>
      <c r="L5956">
        <v>-7.0526119999999999</v>
      </c>
      <c r="M5956">
        <v>-2.2386820000000002E-2</v>
      </c>
      <c r="N5956">
        <v>0</v>
      </c>
      <c r="O5956">
        <v>0.99968129999999999</v>
      </c>
      <c r="P5956">
        <v>1.334771E-2</v>
      </c>
      <c r="Q5956">
        <v>-1.5705179999999999E-3</v>
      </c>
      <c r="R5956">
        <v>0.99990970000000001</v>
      </c>
      <c r="S5956">
        <v>0.38607789999999997</v>
      </c>
      <c r="T5956">
        <v>-0.96378799999999998</v>
      </c>
      <c r="U5956">
        <v>2.9963380000000002</v>
      </c>
      <c r="V5956">
        <v>3.5751579999999998E-2</v>
      </c>
      <c r="W5956">
        <v>1.001705E-2</v>
      </c>
      <c r="X5956">
        <v>0.99931049999999999</v>
      </c>
      <c r="Y5956">
        <v>0.1439368</v>
      </c>
      <c r="Z5956">
        <v>-0.30335020000000001</v>
      </c>
      <c r="AA5956">
        <v>0.94194529999999999</v>
      </c>
      <c r="AB5956">
        <v>24</v>
      </c>
      <c r="AC5956">
        <v>0.107799999999997</v>
      </c>
      <c r="AD5956">
        <v>-0.2468253</v>
      </c>
      <c r="AE5956">
        <v>0.286108999999999</v>
      </c>
      <c r="AF5956">
        <v>6.9126815093689106E-2</v>
      </c>
      <c r="AG5956">
        <v>-0.2468253</v>
      </c>
      <c r="AH5956">
        <v>0.17171371044287101</v>
      </c>
      <c r="AI5956">
        <v>143.13207669749599</v>
      </c>
      <c r="AJ5956">
        <v>68.071755667733299</v>
      </c>
      <c r="AK5956">
        <v>0.30852365166895301</v>
      </c>
      <c r="AL5956">
        <v>89.426055710924402</v>
      </c>
      <c r="AM5956">
        <v>87.951045879874002</v>
      </c>
      <c r="AN5956">
        <v>0.99999999608672396</v>
      </c>
    </row>
    <row r="5957" spans="1:40" x14ac:dyDescent="0.25">
      <c r="A5957" t="str">
        <f>"20190312154721656"</f>
        <v>20190312154721656</v>
      </c>
      <c r="B5957" t="str">
        <f>"1552376841644594"</f>
        <v>1552376841644594</v>
      </c>
      <c r="C5957" t="s">
        <v>40</v>
      </c>
      <c r="D5957">
        <v>4.9727750000000004</v>
      </c>
      <c r="E5957">
        <v>0.55090519999999998</v>
      </c>
      <c r="F5957" t="s">
        <v>41</v>
      </c>
      <c r="G5957">
        <v>-188.71619999999999</v>
      </c>
      <c r="H5957">
        <v>0.87478690000000003</v>
      </c>
      <c r="I5957">
        <v>-6.3251869999999997</v>
      </c>
      <c r="J5957">
        <v>-188.8177</v>
      </c>
      <c r="K5957">
        <v>1.1087750000000001</v>
      </c>
      <c r="L5957">
        <v>-6.8376159999999997</v>
      </c>
      <c r="M5957">
        <v>-2.1271129999999999E-2</v>
      </c>
      <c r="N5957">
        <v>0</v>
      </c>
      <c r="O5957">
        <v>0.99970599999999998</v>
      </c>
      <c r="P5957">
        <v>1.462188E-2</v>
      </c>
      <c r="Q5957">
        <v>-2.2624540000000001E-3</v>
      </c>
      <c r="R5957">
        <v>0.99989050000000002</v>
      </c>
      <c r="S5957">
        <v>0.40240480000000001</v>
      </c>
      <c r="T5957">
        <v>-0.96280860000000001</v>
      </c>
      <c r="U5957">
        <v>2.9933779999999999</v>
      </c>
      <c r="V5957">
        <v>3.5908139999999998E-2</v>
      </c>
      <c r="W5957">
        <v>9.2903870000000006E-3</v>
      </c>
      <c r="X5957">
        <v>0.99931190000000003</v>
      </c>
      <c r="Y5957">
        <v>0.14800829999999901</v>
      </c>
      <c r="Z5957">
        <v>-0.30316209999999999</v>
      </c>
      <c r="AA5957">
        <v>0.94137470000000001</v>
      </c>
      <c r="AB5957">
        <v>24</v>
      </c>
      <c r="AC5957">
        <v>0.10150000000001499</v>
      </c>
      <c r="AD5957">
        <v>-0.2339881</v>
      </c>
      <c r="AE5957">
        <v>0.51242900000000002</v>
      </c>
      <c r="AF5957">
        <v>9.35985650952805E-2</v>
      </c>
      <c r="AG5957">
        <v>-0.2339881</v>
      </c>
      <c r="AH5957">
        <v>0.42490338387364202</v>
      </c>
      <c r="AI5957">
        <v>118.27100959613</v>
      </c>
      <c r="AJ5957">
        <v>77.577171162875104</v>
      </c>
      <c r="AK5957">
        <v>0.494018226340665</v>
      </c>
      <c r="AL5957">
        <v>89.467692371797796</v>
      </c>
      <c r="AM5957">
        <v>87.942083868829798</v>
      </c>
      <c r="AN5957">
        <v>0.99999998964523895</v>
      </c>
    </row>
    <row r="5958" spans="1:40" x14ac:dyDescent="0.25">
      <c r="A5958" t="str">
        <f>"20190312154721677"</f>
        <v>20190312154721677</v>
      </c>
      <c r="B5958" t="str">
        <f>"1552376841673874"</f>
        <v>1552376841673874</v>
      </c>
      <c r="C5958" t="s">
        <v>40</v>
      </c>
      <c r="D5958">
        <v>4.9736929999999999</v>
      </c>
      <c r="E5958">
        <v>0.55157109999999998</v>
      </c>
      <c r="F5958" t="s">
        <v>41</v>
      </c>
      <c r="G5958">
        <v>-188.71780000000001</v>
      </c>
      <c r="H5958">
        <v>0.87385389999999996</v>
      </c>
      <c r="I5958">
        <v>-6.1072920000000002</v>
      </c>
      <c r="J5958">
        <v>-188.82130000000001</v>
      </c>
      <c r="K5958">
        <v>1.108776</v>
      </c>
      <c r="L5958">
        <v>-6.6039119999999896</v>
      </c>
      <c r="M5958">
        <v>-2.0063480000000002E-2</v>
      </c>
      <c r="N5958">
        <v>0</v>
      </c>
      <c r="O5958">
        <v>0.99973140000000005</v>
      </c>
      <c r="P5958">
        <v>1.550736E-2</v>
      </c>
      <c r="Q5958">
        <v>-2.3183420000000001E-3</v>
      </c>
      <c r="R5958">
        <v>0.99987709999999996</v>
      </c>
      <c r="S5958">
        <v>0.40917969999999998</v>
      </c>
      <c r="T5958">
        <v>-0.96247590000000005</v>
      </c>
      <c r="U5958">
        <v>2.9921570000000002</v>
      </c>
      <c r="V5958">
        <v>3.558571E-2</v>
      </c>
      <c r="W5958">
        <v>9.2026520000000004E-3</v>
      </c>
      <c r="X5958">
        <v>0.99932430000000005</v>
      </c>
      <c r="Y5958">
        <v>0.14896029999999999</v>
      </c>
      <c r="Z5958">
        <v>-0.30312640000000002</v>
      </c>
      <c r="AA5958">
        <v>0.94123599999999996</v>
      </c>
      <c r="AB5958">
        <v>24</v>
      </c>
      <c r="AC5958">
        <v>0.103499999999996</v>
      </c>
      <c r="AD5958">
        <v>-0.234922099999999</v>
      </c>
      <c r="AE5958">
        <v>0.49661999999999901</v>
      </c>
      <c r="AF5958">
        <v>9.3411323006632699E-2</v>
      </c>
      <c r="AG5958">
        <v>-0.234922099999999</v>
      </c>
      <c r="AH5958">
        <v>0.40713216879321801</v>
      </c>
      <c r="AI5958">
        <v>119.35356443534801</v>
      </c>
      <c r="AJ5958">
        <v>77.077857424469201</v>
      </c>
      <c r="AK5958">
        <v>0.47923968032762998</v>
      </c>
      <c r="AL5958">
        <v>89.472719460669097</v>
      </c>
      <c r="AM5958">
        <v>87.960572127159494</v>
      </c>
      <c r="AN5958">
        <v>1.0000000440652601</v>
      </c>
    </row>
    <row r="5959" spans="1:40" x14ac:dyDescent="0.25">
      <c r="A5959" t="str">
        <f>"20190312154721699"</f>
        <v>20190312154721699</v>
      </c>
      <c r="B5959" t="str">
        <f>"1552376841693998"</f>
        <v>1552376841693998</v>
      </c>
      <c r="C5959" t="s">
        <v>40</v>
      </c>
      <c r="D5959">
        <v>3.590306</v>
      </c>
      <c r="E5959">
        <v>0.56242919999999996</v>
      </c>
      <c r="F5959" t="s">
        <v>41</v>
      </c>
      <c r="G5959">
        <v>-188.721</v>
      </c>
      <c r="H5959">
        <v>0.87852030000000003</v>
      </c>
      <c r="I5959">
        <v>-5.8870630000000004</v>
      </c>
      <c r="J5959">
        <v>-188.82470000000001</v>
      </c>
      <c r="K5959">
        <v>1.1087750000000001</v>
      </c>
      <c r="L5959">
        <v>-6.3653259999999996</v>
      </c>
      <c r="M5959">
        <v>-1.8836080000000002E-2</v>
      </c>
      <c r="N5959">
        <v>0</v>
      </c>
      <c r="O5959">
        <v>0.99975570000000002</v>
      </c>
      <c r="P5959">
        <v>1.604442E-2</v>
      </c>
      <c r="Q5959">
        <v>-2.0857330000000002E-3</v>
      </c>
      <c r="R5959">
        <v>0.99986909999999896</v>
      </c>
      <c r="S5959">
        <v>0.41833500000000001</v>
      </c>
      <c r="T5959">
        <v>-0.9609029</v>
      </c>
      <c r="U5959">
        <v>2.9916689999999999</v>
      </c>
      <c r="V5959">
        <v>3.4895929999999999E-2</v>
      </c>
      <c r="W5959">
        <v>9.4038679999999993E-3</v>
      </c>
      <c r="X5959">
        <v>0.99934670000000003</v>
      </c>
      <c r="Y5959">
        <v>0.15061620000000001</v>
      </c>
      <c r="Z5959">
        <v>-0.30263699999999999</v>
      </c>
      <c r="AA5959">
        <v>0.94113000000000002</v>
      </c>
      <c r="AB5959">
        <v>24</v>
      </c>
      <c r="AC5959">
        <v>0.103700000000031</v>
      </c>
      <c r="AD5959">
        <v>-0.23025469999999901</v>
      </c>
      <c r="AE5959">
        <v>0.47826300000000099</v>
      </c>
      <c r="AF5959">
        <v>9.2265425079696997E-2</v>
      </c>
      <c r="AG5959">
        <v>-0.23025469999999901</v>
      </c>
      <c r="AH5959">
        <v>0.38990826247953703</v>
      </c>
      <c r="AI5959">
        <v>119.884491147356</v>
      </c>
      <c r="AJ5959">
        <v>76.686777133028201</v>
      </c>
      <c r="AK5959">
        <v>0.462123997090649</v>
      </c>
      <c r="AL5959">
        <v>89.461190106981704</v>
      </c>
      <c r="AM5959">
        <v>88.000116001524603</v>
      </c>
      <c r="AN5959">
        <v>0.99999999273240803</v>
      </c>
    </row>
    <row r="5960" spans="1:40" x14ac:dyDescent="0.25">
      <c r="A5960" t="str">
        <f>"20190312154721789"</f>
        <v>20190312154721789</v>
      </c>
      <c r="B5960" t="str">
        <f>"1552376841783790"</f>
        <v>1552376841783790</v>
      </c>
      <c r="C5960" t="s">
        <v>40</v>
      </c>
      <c r="D5960">
        <v>5.0018849999999997</v>
      </c>
      <c r="E5960">
        <v>0.49501119999999998</v>
      </c>
      <c r="F5960" t="s">
        <v>41</v>
      </c>
      <c r="G5960">
        <v>-188.84700000000001</v>
      </c>
      <c r="H5960">
        <v>0.81147230000000004</v>
      </c>
      <c r="I5960">
        <v>-4.8223580000000004</v>
      </c>
      <c r="J5960">
        <v>-188.8357</v>
      </c>
      <c r="K5960">
        <v>1.108768</v>
      </c>
      <c r="L5960">
        <v>-5.3829349999999998</v>
      </c>
      <c r="M5960">
        <v>-1.3848579999999999E-2</v>
      </c>
      <c r="N5960">
        <v>0</v>
      </c>
      <c r="O5960">
        <v>0.99983889999999997</v>
      </c>
      <c r="P5960">
        <v>1.5986239999999999E-2</v>
      </c>
      <c r="Q5960">
        <v>-2.364859E-3</v>
      </c>
      <c r="R5960">
        <v>0.99986940000000002</v>
      </c>
      <c r="S5960">
        <v>-5.1132200000000003E-2</v>
      </c>
      <c r="T5960">
        <v>-1.1159220000000001</v>
      </c>
      <c r="U5960">
        <v>2.9987490000000001</v>
      </c>
      <c r="V5960">
        <v>2.9850539999999998E-2</v>
      </c>
      <c r="W5960">
        <v>8.9837930000000003E-3</v>
      </c>
      <c r="X5960">
        <v>0.99951400000000001</v>
      </c>
      <c r="Y5960">
        <v>-2.1294629999999998E-3</v>
      </c>
      <c r="Z5960">
        <v>-0.34869309999999998</v>
      </c>
      <c r="AA5960">
        <v>0.93723460000000003</v>
      </c>
      <c r="AB5960">
        <v>24</v>
      </c>
      <c r="AC5960">
        <v>-1.1300000000005601E-2</v>
      </c>
      <c r="AD5960">
        <v>-0.297295699999999</v>
      </c>
      <c r="AE5960">
        <v>0.56057699999999899</v>
      </c>
      <c r="AF5960">
        <v>-2.75941817103929E-3</v>
      </c>
      <c r="AG5960">
        <v>-0.297295699999999</v>
      </c>
      <c r="AH5960">
        <v>0.43763958121907998</v>
      </c>
      <c r="AI5960">
        <v>124.18837726963901</v>
      </c>
      <c r="AJ5960">
        <v>90.361258274547893</v>
      </c>
      <c r="AK5960">
        <v>0.52907537334178001</v>
      </c>
      <c r="AL5960">
        <v>89.485259652796302</v>
      </c>
      <c r="AM5960">
        <v>88.289366889570303</v>
      </c>
      <c r="AN5960">
        <v>0.99999999973547904</v>
      </c>
    </row>
    <row r="5961" spans="1:40" x14ac:dyDescent="0.25">
      <c r="A5961" t="str">
        <f>"20190312154721814"</f>
        <v>20190312154721814</v>
      </c>
      <c r="B5961" t="str">
        <f>"1552376841804286"</f>
        <v>1552376841804286</v>
      </c>
      <c r="C5961" t="s">
        <v>40</v>
      </c>
      <c r="D5961">
        <v>5.3223440000000002</v>
      </c>
      <c r="E5961">
        <v>0.49666470000000001</v>
      </c>
      <c r="F5961" t="s">
        <v>41</v>
      </c>
      <c r="G5961">
        <v>-188.84270000000001</v>
      </c>
      <c r="H5961">
        <v>0.86679519999999899</v>
      </c>
      <c r="I5961">
        <v>-4.5802110000000003</v>
      </c>
      <c r="J5961">
        <v>-188.83779999999999</v>
      </c>
      <c r="K5961">
        <v>1.108773</v>
      </c>
      <c r="L5961">
        <v>-5.119415</v>
      </c>
      <c r="M5961">
        <v>-1.253569E-2</v>
      </c>
      <c r="N5961">
        <v>0</v>
      </c>
      <c r="O5961">
        <v>0.99985670000000004</v>
      </c>
      <c r="P5961">
        <v>1.6694270000000001E-2</v>
      </c>
      <c r="Q5961">
        <v>-1.9354789999999999E-3</v>
      </c>
      <c r="R5961">
        <v>0.99985880000000005</v>
      </c>
      <c r="S5961">
        <v>-2.6947019999999999E-2</v>
      </c>
      <c r="T5961">
        <v>-0.9038503</v>
      </c>
      <c r="U5961">
        <v>2.998688</v>
      </c>
      <c r="V5961">
        <v>2.9246459999999998E-2</v>
      </c>
      <c r="W5961">
        <v>9.3795519999999993E-3</v>
      </c>
      <c r="X5961">
        <v>0.99952819999999998</v>
      </c>
      <c r="Y5961">
        <v>3.9330449999999996E-3</v>
      </c>
      <c r="Z5961">
        <v>-0.28855120000000001</v>
      </c>
      <c r="AA5961">
        <v>0.95745639999999999</v>
      </c>
      <c r="AB5961">
        <v>24</v>
      </c>
      <c r="AC5961">
        <v>-4.9000000000205502E-3</v>
      </c>
      <c r="AD5961">
        <v>-0.24197779999999999</v>
      </c>
      <c r="AE5961">
        <v>0.53920399999999902</v>
      </c>
      <c r="AF5961">
        <v>1.5483211253976301E-3</v>
      </c>
      <c r="AG5961">
        <v>-0.24197779999999999</v>
      </c>
      <c r="AH5961">
        <v>0.44883765989445301</v>
      </c>
      <c r="AI5961">
        <v>118.329896054451</v>
      </c>
      <c r="AJ5961">
        <v>89.802351892774695</v>
      </c>
      <c r="AK5961">
        <v>0.50991263754752703</v>
      </c>
      <c r="AL5961">
        <v>89.462583364162299</v>
      </c>
      <c r="AM5961">
        <v>88.323988512378307</v>
      </c>
      <c r="AN5961">
        <v>0.99999997700674503</v>
      </c>
    </row>
    <row r="5962" spans="1:40" x14ac:dyDescent="0.25">
      <c r="A5962" t="str">
        <f>"20190312154721857"</f>
        <v>20190312154721857</v>
      </c>
      <c r="B5962" t="str">
        <f>"1552376841854063"</f>
        <v>1552376841854063</v>
      </c>
      <c r="C5962" t="s">
        <v>40</v>
      </c>
      <c r="D5962">
        <v>5.0527100000000003</v>
      </c>
      <c r="E5962">
        <v>0.49415900000000001</v>
      </c>
      <c r="F5962" t="s">
        <v>41</v>
      </c>
      <c r="G5962">
        <v>-188.8398</v>
      </c>
      <c r="H5962">
        <v>0.89999059999999897</v>
      </c>
      <c r="I5962">
        <v>-4.3465730000000002</v>
      </c>
      <c r="J5962">
        <v>-188.8409</v>
      </c>
      <c r="K5962">
        <v>1.1087800000000001</v>
      </c>
      <c r="L5962">
        <v>-4.6409909999999996</v>
      </c>
      <c r="M5962">
        <v>-1.0205560000000001E-2</v>
      </c>
      <c r="N5962">
        <v>0</v>
      </c>
      <c r="O5962">
        <v>0.999884</v>
      </c>
      <c r="P5962">
        <v>1.8980110000000001E-2</v>
      </c>
      <c r="Q5962">
        <v>-1.8090929999999999E-3</v>
      </c>
      <c r="R5962">
        <v>0.99981819999999999</v>
      </c>
      <c r="S5962">
        <v>-8.0871580000000005E-3</v>
      </c>
      <c r="T5962">
        <v>-0.81013489999999999</v>
      </c>
      <c r="U5962">
        <v>2.998993</v>
      </c>
      <c r="V5962">
        <v>2.920186E-2</v>
      </c>
      <c r="W5962">
        <v>9.4348629999999999E-3</v>
      </c>
      <c r="X5962">
        <v>0.999529</v>
      </c>
      <c r="Y5962">
        <v>7.6029950000000004E-3</v>
      </c>
      <c r="Z5962">
        <v>-0.26076369999999999</v>
      </c>
      <c r="AA5962">
        <v>0.96537269999999997</v>
      </c>
      <c r="AB5962">
        <v>24</v>
      </c>
      <c r="AC5962">
        <v>1.1000000000080899E-3</v>
      </c>
      <c r="AD5962">
        <v>-0.20878939999999899</v>
      </c>
      <c r="AE5962">
        <v>0.29441800000000001</v>
      </c>
      <c r="AF5962">
        <v>2.7312754187986E-3</v>
      </c>
      <c r="AG5962">
        <v>-0.20878939999999899</v>
      </c>
      <c r="AH5962">
        <v>0.19588218112351799</v>
      </c>
      <c r="AI5962">
        <v>136.82408158950599</v>
      </c>
      <c r="AJ5962">
        <v>89.2011503402979</v>
      </c>
      <c r="AK5962">
        <v>0.28630456213528999</v>
      </c>
      <c r="AL5962">
        <v>89.459414145939604</v>
      </c>
      <c r="AM5962">
        <v>88.326544265320607</v>
      </c>
      <c r="AN5962">
        <v>0.99999999355414404</v>
      </c>
    </row>
    <row r="5963" spans="1:40" x14ac:dyDescent="0.25">
      <c r="A5963" t="str">
        <f>"20190312154721878"</f>
        <v>20190312154721878</v>
      </c>
      <c r="B5963" t="str">
        <f>"1552376841874558"</f>
        <v>1552376841874558</v>
      </c>
      <c r="C5963" t="s">
        <v>40</v>
      </c>
      <c r="D5963">
        <v>5.015028</v>
      </c>
      <c r="E5963">
        <v>0.49503340000000001</v>
      </c>
      <c r="F5963" t="s">
        <v>42</v>
      </c>
      <c r="G5963">
        <v>-188.79830000000001</v>
      </c>
      <c r="H5963" s="1">
        <v>-4.4396200000000004E-6</v>
      </c>
      <c r="I5963">
        <v>19.484739999999999</v>
      </c>
      <c r="J5963">
        <v>-188.84200000000001</v>
      </c>
      <c r="K5963">
        <v>1.1087910000000001</v>
      </c>
      <c r="L5963">
        <v>-4.4061579999999996</v>
      </c>
      <c r="M5963">
        <v>-9.0908489999999998E-3</v>
      </c>
      <c r="N5963">
        <v>0</v>
      </c>
      <c r="O5963">
        <v>0.99989519999999998</v>
      </c>
      <c r="P5963">
        <v>2.0738630000000001E-2</v>
      </c>
      <c r="Q5963">
        <v>-2.556759E-3</v>
      </c>
      <c r="R5963">
        <v>0.9997817</v>
      </c>
      <c r="S5963">
        <v>5.2947999999999997E-3</v>
      </c>
      <c r="T5963">
        <v>-0.13788410000000001</v>
      </c>
      <c r="U5963">
        <v>3.0001829999999998</v>
      </c>
      <c r="V5963">
        <v>2.984376E-2</v>
      </c>
      <c r="W5963">
        <v>8.6481140000000001E-3</v>
      </c>
      <c r="X5963">
        <v>0.99951710000000005</v>
      </c>
      <c r="Y5963">
        <v>1.0854300000000001E-2</v>
      </c>
      <c r="Z5963">
        <v>-4.5905889999999998E-2</v>
      </c>
      <c r="AA5963">
        <v>0.99888679999999996</v>
      </c>
      <c r="AB5963">
        <v>24</v>
      </c>
      <c r="AC5963">
        <v>4.3700000000001099E-2</v>
      </c>
      <c r="AD5963">
        <v>-1.1087954396199999</v>
      </c>
      <c r="AE5963">
        <v>23.890898</v>
      </c>
      <c r="AF5963">
        <v>0.26033976709954898</v>
      </c>
      <c r="AG5963">
        <v>-1.1087954396199999</v>
      </c>
      <c r="AH5963">
        <v>23.8381670252578</v>
      </c>
      <c r="AI5963">
        <v>92.662946484929407</v>
      </c>
      <c r="AJ5963">
        <v>89.374290108374197</v>
      </c>
      <c r="AK5963">
        <v>23.865360069467702</v>
      </c>
      <c r="AL5963">
        <v>89.504493358995603</v>
      </c>
      <c r="AM5963">
        <v>88.289760498749999</v>
      </c>
      <c r="AN5963">
        <v>0.99999993653954999</v>
      </c>
    </row>
    <row r="5964" spans="1:40" x14ac:dyDescent="0.25">
      <c r="A5964" t="str">
        <f>"20190312154721901"</f>
        <v>20190312154721901</v>
      </c>
      <c r="B5964" t="str">
        <f>"1552376841894079"</f>
        <v>1552376841894079</v>
      </c>
      <c r="C5964" t="s">
        <v>40</v>
      </c>
      <c r="D5964">
        <v>5.0247479999999998</v>
      </c>
      <c r="E5964">
        <v>0.49543939999999997</v>
      </c>
      <c r="F5964" t="s">
        <v>42</v>
      </c>
      <c r="G5964">
        <v>-188.70070000000001</v>
      </c>
      <c r="H5964" s="1">
        <v>-3.4962659999999999E-7</v>
      </c>
      <c r="I5964">
        <v>19.659579999999998</v>
      </c>
      <c r="J5964">
        <v>-188.84299999999999</v>
      </c>
      <c r="K5964">
        <v>1.108806</v>
      </c>
      <c r="L5964">
        <v>-4.145721</v>
      </c>
      <c r="M5964">
        <v>-7.8800060000000002E-3</v>
      </c>
      <c r="N5964">
        <v>0</v>
      </c>
      <c r="O5964">
        <v>0.99990590000000001</v>
      </c>
      <c r="P5964">
        <v>2.2137199999999999E-2</v>
      </c>
      <c r="Q5964">
        <v>-3.0045060000000001E-3</v>
      </c>
      <c r="R5964">
        <v>0.99975040000000004</v>
      </c>
      <c r="S5964">
        <v>1.7608639999999998E-2</v>
      </c>
      <c r="T5964">
        <v>-0.13821739999999999</v>
      </c>
      <c r="U5964">
        <v>2.9999389999999999</v>
      </c>
      <c r="V5964">
        <v>3.0030290000000001E-2</v>
      </c>
      <c r="W5964">
        <v>8.1608029999999995E-3</v>
      </c>
      <c r="X5964">
        <v>0.99951570000000001</v>
      </c>
      <c r="Y5964">
        <v>1.374353E-2</v>
      </c>
      <c r="Z5964">
        <v>-4.6019879999999999E-2</v>
      </c>
      <c r="AA5964">
        <v>0.99884600000000001</v>
      </c>
      <c r="AB5964">
        <v>25</v>
      </c>
      <c r="AC5964">
        <v>0.142299999999977</v>
      </c>
      <c r="AD5964">
        <v>-1.1088063496266001</v>
      </c>
      <c r="AE5964">
        <v>23.805301</v>
      </c>
      <c r="AF5964">
        <v>0.32917918819314601</v>
      </c>
      <c r="AG5964">
        <v>-1.1088063496266001</v>
      </c>
      <c r="AH5964">
        <v>23.751911956894901</v>
      </c>
      <c r="AI5964">
        <v>92.672532108951202</v>
      </c>
      <c r="AJ5964">
        <v>89.205985150967905</v>
      </c>
      <c r="AK5964">
        <v>23.780057444569</v>
      </c>
      <c r="AL5964">
        <v>89.532415252531194</v>
      </c>
      <c r="AM5964">
        <v>88.279075128184701</v>
      </c>
      <c r="AN5964">
        <v>1.0000000257847801</v>
      </c>
    </row>
    <row r="5965" spans="1:40" x14ac:dyDescent="0.25">
      <c r="A5965" t="str">
        <f>"20190312154721925"</f>
        <v>20190312154721925</v>
      </c>
      <c r="B5965" t="str">
        <f>"1552376841913598"</f>
        <v>1552376841913598</v>
      </c>
      <c r="C5965" t="s">
        <v>40</v>
      </c>
      <c r="D5965">
        <v>5.039676</v>
      </c>
      <c r="E5965">
        <v>0.49542700000000001</v>
      </c>
      <c r="F5965" t="s">
        <v>42</v>
      </c>
      <c r="G5965">
        <v>-188.64330000000001</v>
      </c>
      <c r="H5965" s="1">
        <v>-4.027889E-7</v>
      </c>
      <c r="I5965">
        <v>19.77094</v>
      </c>
      <c r="J5965">
        <v>-188.84360000000001</v>
      </c>
      <c r="K5965">
        <v>1.1088150000000001</v>
      </c>
      <c r="L5965">
        <v>-3.897888</v>
      </c>
      <c r="M5965">
        <v>-6.7608299999999998E-3</v>
      </c>
      <c r="N5965">
        <v>0</v>
      </c>
      <c r="O5965">
        <v>0.99991450000000004</v>
      </c>
      <c r="P5965">
        <v>2.3055329999999999E-2</v>
      </c>
      <c r="Q5965">
        <v>-2.4187190000000002E-3</v>
      </c>
      <c r="R5965">
        <v>0.99973120000000004</v>
      </c>
      <c r="S5965">
        <v>2.503967E-2</v>
      </c>
      <c r="T5965">
        <v>-0.139073799999999</v>
      </c>
      <c r="U5965">
        <v>2.9997859999999998</v>
      </c>
      <c r="V5965">
        <v>2.983011E-2</v>
      </c>
      <c r="W5965">
        <v>8.7143919999999996E-3</v>
      </c>
      <c r="X5965">
        <v>0.99951699999999999</v>
      </c>
      <c r="Y5965">
        <v>1.5098729999999999E-2</v>
      </c>
      <c r="Z5965">
        <v>-4.6306479999999997E-2</v>
      </c>
      <c r="AA5965">
        <v>0.99881319999999996</v>
      </c>
      <c r="AB5965">
        <v>25</v>
      </c>
      <c r="AC5965">
        <v>0.20029999999999801</v>
      </c>
      <c r="AD5965">
        <v>-1.1088154027888999</v>
      </c>
      <c r="AE5965">
        <v>23.668828000000001</v>
      </c>
      <c r="AF5965">
        <v>0.35953736732857</v>
      </c>
      <c r="AG5965">
        <v>-1.1088154027888999</v>
      </c>
      <c r="AH5965">
        <v>23.615109553972601</v>
      </c>
      <c r="AI5965">
        <v>92.687960070252501</v>
      </c>
      <c r="AJ5965">
        <v>89.127745639819295</v>
      </c>
      <c r="AK5965">
        <v>23.643860470788098</v>
      </c>
      <c r="AL5965">
        <v>89.500695800003996</v>
      </c>
      <c r="AM5965">
        <v>88.290542096429405</v>
      </c>
      <c r="AN5965">
        <v>1.0000000046897699</v>
      </c>
    </row>
    <row r="5966" spans="1:40" x14ac:dyDescent="0.25">
      <c r="A5966" t="str">
        <f>"20190312154721946"</f>
        <v>20190312154721946</v>
      </c>
      <c r="B5966" t="str">
        <f>"1552376841934094"</f>
        <v>1552376841934094</v>
      </c>
      <c r="C5966" t="s">
        <v>40</v>
      </c>
      <c r="D5966">
        <v>5.0739749999999999</v>
      </c>
      <c r="E5966">
        <v>0.49471530000000002</v>
      </c>
      <c r="F5966" t="s">
        <v>42</v>
      </c>
      <c r="G5966">
        <v>-188.6182</v>
      </c>
      <c r="H5966" s="1">
        <v>-6.1876980000000004E-7</v>
      </c>
      <c r="I5966">
        <v>20.385960000000001</v>
      </c>
      <c r="J5966">
        <v>-188.84399999999999</v>
      </c>
      <c r="K5966">
        <v>1.1088309999999999</v>
      </c>
      <c r="L5966">
        <v>-3.659729</v>
      </c>
      <c r="M5966">
        <v>-5.7161499999999997E-3</v>
      </c>
      <c r="N5966">
        <v>0</v>
      </c>
      <c r="O5966">
        <v>0.99992139999999996</v>
      </c>
      <c r="P5966">
        <v>2.3772310000000001E-2</v>
      </c>
      <c r="Q5966">
        <v>-2.3802369999999999E-3</v>
      </c>
      <c r="R5966">
        <v>0.99971460000000001</v>
      </c>
      <c r="S5966">
        <v>2.784729E-2</v>
      </c>
      <c r="T5966">
        <v>-0.13697490000000001</v>
      </c>
      <c r="U5966">
        <v>2.9998469999999999</v>
      </c>
      <c r="V5966">
        <v>2.9502279999999999E-2</v>
      </c>
      <c r="W5966">
        <v>8.7248800000000008E-3</v>
      </c>
      <c r="X5966">
        <v>0.99952660000000004</v>
      </c>
      <c r="Y5966">
        <v>1.4988949999999999E-2</v>
      </c>
      <c r="Z5966">
        <v>-4.5608450000000002E-2</v>
      </c>
      <c r="AA5966">
        <v>0.99884689999999998</v>
      </c>
      <c r="AB5966">
        <v>25</v>
      </c>
      <c r="AC5966">
        <v>0.22580000000002001</v>
      </c>
      <c r="AD5966">
        <v>-1.1088316187698</v>
      </c>
      <c r="AE5966">
        <v>24.045688999999999</v>
      </c>
      <c r="AF5966">
        <v>0.36248289748249601</v>
      </c>
      <c r="AG5966">
        <v>-1.1088316187698</v>
      </c>
      <c r="AH5966">
        <v>23.992989742350101</v>
      </c>
      <c r="AI5966">
        <v>92.645729708968702</v>
      </c>
      <c r="AJ5966">
        <v>89.134448833925404</v>
      </c>
      <c r="AK5966">
        <v>24.0213333973422</v>
      </c>
      <c r="AL5966">
        <v>89.500094839724696</v>
      </c>
      <c r="AM5966">
        <v>88.309334136927603</v>
      </c>
      <c r="AN5966">
        <v>0.99999996608188502</v>
      </c>
    </row>
    <row r="5967" spans="1:40" x14ac:dyDescent="0.25">
      <c r="A5967" t="str">
        <f>"20190312154721969"</f>
        <v>20190312154721969</v>
      </c>
      <c r="B5967" t="str">
        <f>"1552376841964352"</f>
        <v>1552376841964352</v>
      </c>
      <c r="C5967" t="s">
        <v>40</v>
      </c>
      <c r="D5967">
        <v>5.0675879999999998</v>
      </c>
      <c r="E5967">
        <v>0.49372959999999999</v>
      </c>
      <c r="F5967" t="s">
        <v>42</v>
      </c>
      <c r="G5967">
        <v>-188.65360000000001</v>
      </c>
      <c r="H5967" s="1">
        <v>-4.6854220000000003E-7</v>
      </c>
      <c r="I5967">
        <v>19.972200000000001</v>
      </c>
      <c r="J5967">
        <v>-188.8442</v>
      </c>
      <c r="K5967">
        <v>1.108833</v>
      </c>
      <c r="L5967">
        <v>-3.4113159999999998</v>
      </c>
      <c r="M5967">
        <v>-4.6514260000000002E-3</v>
      </c>
      <c r="N5967">
        <v>0</v>
      </c>
      <c r="O5967">
        <v>0.99992720000000002</v>
      </c>
      <c r="P5967">
        <v>2.3977229999999999E-2</v>
      </c>
      <c r="Q5967">
        <v>-2.5770939999999998E-3</v>
      </c>
      <c r="R5967">
        <v>0.99970919999999996</v>
      </c>
      <c r="S5967">
        <v>2.4169920000000001E-2</v>
      </c>
      <c r="T5967">
        <v>-0.14075979999999999</v>
      </c>
      <c r="U5967">
        <v>2.9999389999999999</v>
      </c>
      <c r="V5967">
        <v>2.8642069999999999E-2</v>
      </c>
      <c r="W5967">
        <v>8.5017310000000002E-3</v>
      </c>
      <c r="X5967">
        <v>0.99955360000000004</v>
      </c>
      <c r="Y5967">
        <v>1.2699169999999999E-2</v>
      </c>
      <c r="Z5967">
        <v>-4.686593E-2</v>
      </c>
      <c r="AA5967">
        <v>0.9988205</v>
      </c>
      <c r="AB5967">
        <v>25</v>
      </c>
      <c r="AC5967">
        <v>0.190599999999989</v>
      </c>
      <c r="AD5967">
        <v>-1.1088334685422001</v>
      </c>
      <c r="AE5967">
        <v>23.383516</v>
      </c>
      <c r="AF5967">
        <v>0.29869976113921298</v>
      </c>
      <c r="AG5967">
        <v>-1.1088334685422001</v>
      </c>
      <c r="AH5967">
        <v>23.3299201182449</v>
      </c>
      <c r="AI5967">
        <v>92.720905577413205</v>
      </c>
      <c r="AJ5967">
        <v>89.2664655295046</v>
      </c>
      <c r="AK5967">
        <v>23.358165722760599</v>
      </c>
      <c r="AL5967">
        <v>89.512880838325799</v>
      </c>
      <c r="AM5967">
        <v>88.358646512510703</v>
      </c>
      <c r="AN5967">
        <v>1.0000000234384201</v>
      </c>
    </row>
    <row r="5968" spans="1:40" x14ac:dyDescent="0.25">
      <c r="A5968" t="str">
        <f>"20190312154721992"</f>
        <v>20190312154721992</v>
      </c>
      <c r="B5968" t="str">
        <f>"1552376841983870"</f>
        <v>1552376841983870</v>
      </c>
      <c r="C5968" t="s">
        <v>40</v>
      </c>
      <c r="D5968">
        <v>5.0501310000000004</v>
      </c>
      <c r="E5968">
        <v>0.49349169999999998</v>
      </c>
      <c r="F5968" t="s">
        <v>42</v>
      </c>
      <c r="G5968">
        <v>-188.7175</v>
      </c>
      <c r="H5968" s="1">
        <v>-4.3897109999999998E-6</v>
      </c>
      <c r="I5968">
        <v>19.33501</v>
      </c>
      <c r="J5968">
        <v>-188.8441</v>
      </c>
      <c r="K5968">
        <v>1.108843</v>
      </c>
      <c r="L5968">
        <v>-3.152466</v>
      </c>
      <c r="M5968">
        <v>-3.564121E-3</v>
      </c>
      <c r="N5968">
        <v>0</v>
      </c>
      <c r="O5968">
        <v>0.99993209999999999</v>
      </c>
      <c r="P5968">
        <v>2.460176E-2</v>
      </c>
      <c r="Q5968">
        <v>-3.5640110000000002E-3</v>
      </c>
      <c r="R5968">
        <v>0.99969090000000005</v>
      </c>
      <c r="S5968">
        <v>1.670837E-2</v>
      </c>
      <c r="T5968">
        <v>-0.1462483</v>
      </c>
      <c r="U5968">
        <v>3.000092</v>
      </c>
      <c r="V5968">
        <v>2.8177560000000001E-2</v>
      </c>
      <c r="W5968">
        <v>7.4832369999999898E-3</v>
      </c>
      <c r="X5968">
        <v>0.99957490000000004</v>
      </c>
      <c r="Y5968">
        <v>9.1268470000000004E-3</v>
      </c>
      <c r="Z5968">
        <v>-4.8688290000000002E-2</v>
      </c>
      <c r="AA5968">
        <v>0.99877229999999995</v>
      </c>
      <c r="AB5968">
        <v>25</v>
      </c>
      <c r="AC5968">
        <v>0.12659999999999599</v>
      </c>
      <c r="AD5968">
        <v>-1.1088473897110001</v>
      </c>
      <c r="AE5968">
        <v>22.487476000000001</v>
      </c>
      <c r="AF5968">
        <v>0.20625074574364399</v>
      </c>
      <c r="AG5968">
        <v>-1.1088473897110001</v>
      </c>
      <c r="AH5968">
        <v>22.432340924444802</v>
      </c>
      <c r="AI5968">
        <v>92.829750489789006</v>
      </c>
      <c r="AJ5968">
        <v>89.473217516022103</v>
      </c>
      <c r="AK5968">
        <v>22.4606767764088</v>
      </c>
      <c r="AL5968">
        <v>89.571238091276996</v>
      </c>
      <c r="AM5968">
        <v>88.385285758702807</v>
      </c>
      <c r="AN5968">
        <v>0.99999997721678002</v>
      </c>
    </row>
    <row r="5969" spans="1:40" x14ac:dyDescent="0.25">
      <c r="A5969" t="str">
        <f>"20190312154722016"</f>
        <v>20190312154722016</v>
      </c>
      <c r="B5969" t="str">
        <f>"1552376842004367"</f>
        <v>1552376842004367</v>
      </c>
      <c r="C5969" t="s">
        <v>40</v>
      </c>
      <c r="D5969">
        <v>5.1049769999999999</v>
      </c>
      <c r="E5969">
        <v>0.49312050000000002</v>
      </c>
      <c r="F5969" t="s">
        <v>42</v>
      </c>
      <c r="G5969">
        <v>-188.7226</v>
      </c>
      <c r="H5969" s="1">
        <v>-4.1577759999999996E-6</v>
      </c>
      <c r="I5969">
        <v>18.79645</v>
      </c>
      <c r="J5969">
        <v>-188.84379999999999</v>
      </c>
      <c r="K5969">
        <v>1.108846</v>
      </c>
      <c r="L5969">
        <v>-2.8963930000000002</v>
      </c>
      <c r="M5969">
        <v>-2.5053900000000001E-3</v>
      </c>
      <c r="N5969">
        <v>0</v>
      </c>
      <c r="O5969">
        <v>0.99993560000000004</v>
      </c>
      <c r="P5969">
        <v>2.5273609999999998E-2</v>
      </c>
      <c r="Q5969">
        <v>-2.8576869999999998E-3</v>
      </c>
      <c r="R5969">
        <v>0.99967649999999997</v>
      </c>
      <c r="S5969">
        <v>1.6616820000000001E-2</v>
      </c>
      <c r="T5969">
        <v>-0.15155669999999999</v>
      </c>
      <c r="U5969">
        <v>2.9999690000000001</v>
      </c>
      <c r="V5969">
        <v>2.7791949999999999E-2</v>
      </c>
      <c r="W5969">
        <v>8.1579419999999996E-3</v>
      </c>
      <c r="X5969">
        <v>0.99958040000000004</v>
      </c>
      <c r="Y5969">
        <v>8.0373470000000002E-3</v>
      </c>
      <c r="Z5969">
        <v>-5.0453640000000001E-2</v>
      </c>
      <c r="AA5969">
        <v>0.99869410000000003</v>
      </c>
      <c r="AB5969">
        <v>25</v>
      </c>
      <c r="AC5969">
        <v>0.121199999999987</v>
      </c>
      <c r="AD5969">
        <v>-1.1088501577759999</v>
      </c>
      <c r="AE5969">
        <v>21.692843</v>
      </c>
      <c r="AF5969">
        <v>0.17509450159067799</v>
      </c>
      <c r="AG5969">
        <v>-1.1088501577759999</v>
      </c>
      <c r="AH5969">
        <v>21.635941752296802</v>
      </c>
      <c r="AI5969">
        <v>92.933767463673504</v>
      </c>
      <c r="AJ5969">
        <v>89.536329082927693</v>
      </c>
      <c r="AK5969">
        <v>21.665045171096899</v>
      </c>
      <c r="AL5969">
        <v>89.532579150591602</v>
      </c>
      <c r="AM5969">
        <v>88.407380427448601</v>
      </c>
      <c r="AN5969">
        <v>0.99999996028331795</v>
      </c>
    </row>
    <row r="5970" spans="1:40" x14ac:dyDescent="0.25">
      <c r="A5970" t="str">
        <f>"20190312154722038"</f>
        <v>20190312154722038</v>
      </c>
      <c r="B5970" t="str">
        <f>"1552376842033646"</f>
        <v>1552376842033646</v>
      </c>
      <c r="C5970" t="s">
        <v>40</v>
      </c>
      <c r="D5970">
        <v>5.1727449999999999</v>
      </c>
      <c r="E5970">
        <v>0.4924116</v>
      </c>
      <c r="F5970" t="s">
        <v>42</v>
      </c>
      <c r="G5970">
        <v>-188.7302</v>
      </c>
      <c r="H5970" s="1">
        <v>-4.2158749999999997E-6</v>
      </c>
      <c r="I5970">
        <v>18.93505</v>
      </c>
      <c r="J5970">
        <v>-188.8433</v>
      </c>
      <c r="K5970">
        <v>1.1088499999999999</v>
      </c>
      <c r="L5970">
        <v>-2.6502080000000001</v>
      </c>
      <c r="M5970">
        <v>-1.4973829999999999E-3</v>
      </c>
      <c r="N5970">
        <v>0</v>
      </c>
      <c r="O5970">
        <v>0.99993799999999999</v>
      </c>
      <c r="P5970">
        <v>2.6239709999999999E-2</v>
      </c>
      <c r="Q5970">
        <v>-2.4441189999999998E-3</v>
      </c>
      <c r="R5970">
        <v>0.99965269999999995</v>
      </c>
      <c r="S5970">
        <v>1.560974E-2</v>
      </c>
      <c r="T5970">
        <v>-0.15238199999999999</v>
      </c>
      <c r="U5970">
        <v>3.0001530000000001</v>
      </c>
      <c r="V5970">
        <v>2.7750859999999999E-2</v>
      </c>
      <c r="W5970">
        <v>8.5432119999999997E-3</v>
      </c>
      <c r="X5970">
        <v>0.99957839999999998</v>
      </c>
      <c r="Y5970">
        <v>6.6936640000000002E-3</v>
      </c>
      <c r="Z5970">
        <v>-5.0725050000000001E-2</v>
      </c>
      <c r="AA5970">
        <v>0.99869019999999997</v>
      </c>
      <c r="AB5970">
        <v>25</v>
      </c>
      <c r="AC5970">
        <v>0.113100000000002</v>
      </c>
      <c r="AD5970">
        <v>-1.1088542158750001</v>
      </c>
      <c r="AE5970">
        <v>21.585258</v>
      </c>
      <c r="AF5970">
        <v>0.14504049241233999</v>
      </c>
      <c r="AG5970">
        <v>-1.1088542158750001</v>
      </c>
      <c r="AH5970">
        <v>21.5282535831521</v>
      </c>
      <c r="AI5970">
        <v>92.948457216189297</v>
      </c>
      <c r="AJ5970">
        <v>89.613991803311393</v>
      </c>
      <c r="AK5970">
        <v>21.557279437744501</v>
      </c>
      <c r="AL5970">
        <v>89.510504072582606</v>
      </c>
      <c r="AM5970">
        <v>88.409730702431901</v>
      </c>
      <c r="AN5970">
        <v>1.0000000372242801</v>
      </c>
    </row>
    <row r="5971" spans="1:40" x14ac:dyDescent="0.25">
      <c r="A5971" t="str">
        <f>"20190312154722059"</f>
        <v>20190312154722059</v>
      </c>
      <c r="B5971" t="str">
        <f>"1552376842054142"</f>
        <v>1552376842054142</v>
      </c>
      <c r="C5971" t="s">
        <v>40</v>
      </c>
      <c r="D5971">
        <v>5.2418670000000001</v>
      </c>
      <c r="E5971">
        <v>0.491892</v>
      </c>
      <c r="F5971" t="s">
        <v>42</v>
      </c>
      <c r="G5971">
        <v>-188.75290000000001</v>
      </c>
      <c r="H5971" s="1">
        <v>-4.0960890000000004E-6</v>
      </c>
      <c r="I5971">
        <v>18.665199999999999</v>
      </c>
      <c r="J5971">
        <v>-188.8426</v>
      </c>
      <c r="K5971">
        <v>1.108846</v>
      </c>
      <c r="L5971">
        <v>-2.4080810000000001</v>
      </c>
      <c r="M5971">
        <v>-5.1030200000000002E-4</v>
      </c>
      <c r="N5971">
        <v>0</v>
      </c>
      <c r="O5971">
        <v>0.99993920000000003</v>
      </c>
      <c r="P5971">
        <v>2.757716E-2</v>
      </c>
      <c r="Q5971">
        <v>-1.723006E-3</v>
      </c>
      <c r="R5971">
        <v>0.99961820000000001</v>
      </c>
      <c r="S5971">
        <v>1.272583E-2</v>
      </c>
      <c r="T5971">
        <v>-0.1560812</v>
      </c>
      <c r="U5971">
        <v>3.0003359999999999</v>
      </c>
      <c r="V5971">
        <v>2.8102640000000002E-2</v>
      </c>
      <c r="W5971">
        <v>9.2388920000000003E-3</v>
      </c>
      <c r="X5971">
        <v>0.99956230000000001</v>
      </c>
      <c r="Y5971">
        <v>4.7460310000000004E-3</v>
      </c>
      <c r="Z5971">
        <v>-5.1950459999999997E-2</v>
      </c>
      <c r="AA5971">
        <v>0.99863840000000004</v>
      </c>
      <c r="AB5971">
        <v>25</v>
      </c>
      <c r="AC5971">
        <v>8.9699999999993396E-2</v>
      </c>
      <c r="AD5971">
        <v>-1.108850096089</v>
      </c>
      <c r="AE5971">
        <v>21.073281000000001</v>
      </c>
      <c r="AF5971">
        <v>0.10017701965087</v>
      </c>
      <c r="AG5971">
        <v>-1.108850096089</v>
      </c>
      <c r="AH5971">
        <v>21.015048437108302</v>
      </c>
      <c r="AI5971">
        <v>93.020352251828498</v>
      </c>
      <c r="AJ5971">
        <v>89.726877767023396</v>
      </c>
      <c r="AK5971">
        <v>21.044520540626898</v>
      </c>
      <c r="AL5971">
        <v>89.4706429255138</v>
      </c>
      <c r="AM5971">
        <v>88.389556493730396</v>
      </c>
      <c r="AN5971">
        <v>0.99999995354082205</v>
      </c>
    </row>
    <row r="5972" spans="1:40" x14ac:dyDescent="0.25">
      <c r="A5972" t="str">
        <f>"20190312154722080"</f>
        <v>20190312154722080</v>
      </c>
      <c r="B5972" t="str">
        <f>"1552376842073664"</f>
        <v>1552376842073664</v>
      </c>
      <c r="C5972" t="s">
        <v>40</v>
      </c>
      <c r="D5972">
        <v>5.2135959999999999</v>
      </c>
      <c r="E5972">
        <v>0.49144270000000001</v>
      </c>
      <c r="F5972" t="s">
        <v>42</v>
      </c>
      <c r="G5972">
        <v>-188.75479999999999</v>
      </c>
      <c r="H5972" s="1">
        <v>-4.0662470000000004E-6</v>
      </c>
      <c r="I5972">
        <v>18.596409999999999</v>
      </c>
      <c r="J5972">
        <v>-188.8416</v>
      </c>
      <c r="K5972">
        <v>1.1088439999999999</v>
      </c>
      <c r="L5972">
        <v>-2.1820979999999999</v>
      </c>
      <c r="M5972">
        <v>4.1038050000000002E-4</v>
      </c>
      <c r="N5972">
        <v>0</v>
      </c>
      <c r="O5972">
        <v>0.99993949999999998</v>
      </c>
      <c r="P5972">
        <v>2.866283E-2</v>
      </c>
      <c r="Q5972">
        <v>-1.3453320000000001E-3</v>
      </c>
      <c r="R5972">
        <v>0.99958829999999999</v>
      </c>
      <c r="S5972">
        <v>1.254272E-2</v>
      </c>
      <c r="T5972">
        <v>-0.15840079999999901</v>
      </c>
      <c r="U5972">
        <v>3.0005190000000002</v>
      </c>
      <c r="V5972">
        <v>2.826855E-2</v>
      </c>
      <c r="W5972">
        <v>9.596027E-3</v>
      </c>
      <c r="X5972">
        <v>0.99955430000000001</v>
      </c>
      <c r="Y5972">
        <v>3.763934E-3</v>
      </c>
      <c r="Z5972">
        <v>-5.2717300000000002E-2</v>
      </c>
      <c r="AA5972">
        <v>0.9986024</v>
      </c>
      <c r="AB5972">
        <v>25</v>
      </c>
      <c r="AC5972">
        <v>8.6800000000010799E-2</v>
      </c>
      <c r="AD5972">
        <v>-1.1088480662469999</v>
      </c>
      <c r="AE5972">
        <v>20.778507999999999</v>
      </c>
      <c r="AF5972">
        <v>7.8050112743000499E-2</v>
      </c>
      <c r="AG5972">
        <v>-1.1088480662469999</v>
      </c>
      <c r="AH5972">
        <v>20.719537006384801</v>
      </c>
      <c r="AI5972">
        <v>93.063355861873006</v>
      </c>
      <c r="AJ5972">
        <v>89.784168879015596</v>
      </c>
      <c r="AK5972">
        <v>20.749333714918901</v>
      </c>
      <c r="AL5972">
        <v>89.450179712493906</v>
      </c>
      <c r="AM5972">
        <v>88.380040985663499</v>
      </c>
      <c r="AN5972">
        <v>0.99999999665088801</v>
      </c>
    </row>
    <row r="5973" spans="1:40" x14ac:dyDescent="0.25">
      <c r="A5973" t="str">
        <f>"20190312154722102"</f>
        <v>20190312154722102</v>
      </c>
      <c r="B5973" t="str">
        <f>"1552376842094160"</f>
        <v>1552376842094160</v>
      </c>
      <c r="C5973" t="s">
        <v>40</v>
      </c>
      <c r="D5973">
        <v>5.2555579999999997</v>
      </c>
      <c r="E5973">
        <v>0.49090440000000002</v>
      </c>
      <c r="F5973" t="s">
        <v>42</v>
      </c>
      <c r="G5973">
        <v>-188.75720000000001</v>
      </c>
      <c r="H5973" s="1">
        <v>-4.0761169999999997E-6</v>
      </c>
      <c r="I5973">
        <v>18.620419999999999</v>
      </c>
      <c r="J5973">
        <v>-188.84039999999999</v>
      </c>
      <c r="K5973">
        <v>1.1088370000000001</v>
      </c>
      <c r="L5973">
        <v>-1.9338070000000001</v>
      </c>
      <c r="M5973">
        <v>1.4228000000000001E-3</v>
      </c>
      <c r="N5973">
        <v>0</v>
      </c>
      <c r="O5973">
        <v>0.99993880000000002</v>
      </c>
      <c r="P5973">
        <v>2.943024E-2</v>
      </c>
      <c r="Q5973">
        <v>-8.836359E-4</v>
      </c>
      <c r="R5973">
        <v>0.99956639999999997</v>
      </c>
      <c r="S5973">
        <v>1.217651E-2</v>
      </c>
      <c r="T5973">
        <v>-0.15994639999999999</v>
      </c>
      <c r="U5973">
        <v>3.0006710000000001</v>
      </c>
      <c r="V5973">
        <v>2.802468E-2</v>
      </c>
      <c r="W5973">
        <v>1.0037559999999999E-2</v>
      </c>
      <c r="X5973">
        <v>0.99955680000000002</v>
      </c>
      <c r="Y5973">
        <v>2.6292659999999999E-3</v>
      </c>
      <c r="Z5973">
        <v>-5.3227599999999903E-2</v>
      </c>
      <c r="AA5973">
        <v>0.99857899999999999</v>
      </c>
      <c r="AB5973">
        <v>25</v>
      </c>
      <c r="AC5973">
        <v>8.3199999999976598E-2</v>
      </c>
      <c r="AD5973">
        <v>-1.108841076117</v>
      </c>
      <c r="AE5973">
        <v>20.554227000000001</v>
      </c>
      <c r="AF5973">
        <v>5.3797038894643802E-2</v>
      </c>
      <c r="AG5973">
        <v>-1.108841076117</v>
      </c>
      <c r="AH5973">
        <v>20.4946800852805</v>
      </c>
      <c r="AI5973">
        <v>93.096892129848797</v>
      </c>
      <c r="AJ5973">
        <v>89.849603107401293</v>
      </c>
      <c r="AK5973">
        <v>20.524724954343998</v>
      </c>
      <c r="AL5973">
        <v>89.424880498016506</v>
      </c>
      <c r="AM5973">
        <v>88.3940128767494</v>
      </c>
      <c r="AN5973">
        <v>0.99999996586304696</v>
      </c>
    </row>
    <row r="5974" spans="1:40" x14ac:dyDescent="0.25">
      <c r="A5974" t="str">
        <f>"20190312154722126"</f>
        <v>20190312154722126</v>
      </c>
      <c r="B5974" t="str">
        <f>"1552376842113678"</f>
        <v>1552376842113678</v>
      </c>
      <c r="C5974" t="s">
        <v>40</v>
      </c>
      <c r="D5974">
        <v>5.2713700000000001</v>
      </c>
      <c r="E5974">
        <v>0.49043239999999999</v>
      </c>
      <c r="F5974" t="s">
        <v>42</v>
      </c>
      <c r="G5974">
        <v>-188.77359999999999</v>
      </c>
      <c r="H5974" s="1">
        <v>-4.0292149999999997E-6</v>
      </c>
      <c r="I5974">
        <v>18.517869999999998</v>
      </c>
      <c r="J5974">
        <v>-188.83879999999999</v>
      </c>
      <c r="K5974">
        <v>1.108835</v>
      </c>
      <c r="L5974">
        <v>-1.675934</v>
      </c>
      <c r="M5974">
        <v>2.4727960000000002E-3</v>
      </c>
      <c r="N5974">
        <v>0</v>
      </c>
      <c r="O5974">
        <v>0.99993690000000002</v>
      </c>
      <c r="P5974">
        <v>3.0544350000000001E-2</v>
      </c>
      <c r="Q5974">
        <v>-8.1991279999999995E-4</v>
      </c>
      <c r="R5974">
        <v>0.99953309999999995</v>
      </c>
      <c r="S5974">
        <v>9.7961430000000002E-3</v>
      </c>
      <c r="T5974">
        <v>-0.16269910000000001</v>
      </c>
      <c r="U5974">
        <v>3.0008539999999999</v>
      </c>
      <c r="V5974">
        <v>2.8089289999999999E-2</v>
      </c>
      <c r="W5974">
        <v>1.008238E-2</v>
      </c>
      <c r="X5974">
        <v>0.99955459999999996</v>
      </c>
      <c r="Y5974">
        <v>7.8670520000000002E-4</v>
      </c>
      <c r="Z5974">
        <v>-5.4137680000000001E-2</v>
      </c>
      <c r="AA5974">
        <v>0.99853320000000001</v>
      </c>
      <c r="AB5974">
        <v>25</v>
      </c>
      <c r="AC5974">
        <v>6.5200000000004296E-2</v>
      </c>
      <c r="AD5974">
        <v>-1.1088390292149899</v>
      </c>
      <c r="AE5974">
        <v>20.193804</v>
      </c>
      <c r="AF5974">
        <v>1.5215767990924001E-2</v>
      </c>
      <c r="AG5974">
        <v>-1.1088390292149899</v>
      </c>
      <c r="AH5974">
        <v>20.133200646122798</v>
      </c>
      <c r="AI5974">
        <v>93.152387929157697</v>
      </c>
      <c r="AJ5974">
        <v>89.956698433732697</v>
      </c>
      <c r="AK5974">
        <v>20.163718004607802</v>
      </c>
      <c r="AL5974">
        <v>89.422312408472095</v>
      </c>
      <c r="AM5974">
        <v>88.390308729688698</v>
      </c>
      <c r="AN5974">
        <v>1.00000003049016</v>
      </c>
    </row>
    <row r="5975" spans="1:40" x14ac:dyDescent="0.25">
      <c r="A5975" t="str">
        <f>"20190312154722147"</f>
        <v>20190312154722147</v>
      </c>
      <c r="B5975" t="str">
        <f>"1552376842143935"</f>
        <v>1552376842143935</v>
      </c>
      <c r="C5975" t="s">
        <v>40</v>
      </c>
      <c r="D5975">
        <v>5.2809179999999998</v>
      </c>
      <c r="E5975">
        <v>0.48984559999999999</v>
      </c>
      <c r="F5975" t="s">
        <v>42</v>
      </c>
      <c r="G5975">
        <v>-188.7756</v>
      </c>
      <c r="H5975" s="1">
        <v>-4.0115660000000002E-6</v>
      </c>
      <c r="I5975">
        <v>18.477540000000001</v>
      </c>
      <c r="J5975">
        <v>-188.83709999999999</v>
      </c>
      <c r="K5975">
        <v>1.1088359999999999</v>
      </c>
      <c r="L5975">
        <v>-1.4354549999999999</v>
      </c>
      <c r="M5975">
        <v>3.4475E-3</v>
      </c>
      <c r="N5975">
        <v>0</v>
      </c>
      <c r="O5975">
        <v>0.99993430000000005</v>
      </c>
      <c r="P5975">
        <v>3.1296820000000003E-2</v>
      </c>
      <c r="Q5975">
        <v>-3.9763070000000002E-4</v>
      </c>
      <c r="R5975">
        <v>0.99951000000000001</v>
      </c>
      <c r="S5975">
        <v>9.4146730000000001E-3</v>
      </c>
      <c r="T5975">
        <v>-0.16511300000000001</v>
      </c>
      <c r="U5975">
        <v>3.0009769999999998</v>
      </c>
      <c r="V5975">
        <v>2.7868090000000002E-2</v>
      </c>
      <c r="W5975">
        <v>1.049053E-2</v>
      </c>
      <c r="X5975">
        <v>0.99955649999999996</v>
      </c>
      <c r="Y5975">
        <v>-3.1525800000000001E-4</v>
      </c>
      <c r="Z5975">
        <v>-5.4936039999999998E-2</v>
      </c>
      <c r="AA5975">
        <v>0.99848979999999998</v>
      </c>
      <c r="AB5975">
        <v>25</v>
      </c>
      <c r="AC5975">
        <v>6.1499999999995197E-2</v>
      </c>
      <c r="AD5975">
        <v>-1.108840011566</v>
      </c>
      <c r="AE5975">
        <v>19.912994999999999</v>
      </c>
      <c r="AF5975">
        <v>-7.1324028670058997E-3</v>
      </c>
      <c r="AG5975">
        <v>-1.108840011566</v>
      </c>
      <c r="AH5975">
        <v>19.851534928027998</v>
      </c>
      <c r="AI5975">
        <v>93.197027333414198</v>
      </c>
      <c r="AJ5975">
        <v>90.020585640655199</v>
      </c>
      <c r="AK5975">
        <v>19.8824801280206</v>
      </c>
      <c r="AL5975">
        <v>89.398925844416496</v>
      </c>
      <c r="AM5975">
        <v>88.402981310966595</v>
      </c>
      <c r="AN5975">
        <v>0.99999993917608698</v>
      </c>
    </row>
    <row r="5976" spans="1:40" x14ac:dyDescent="0.25">
      <c r="A5976" t="str">
        <f>"20190312154722169"</f>
        <v>20190312154722169</v>
      </c>
      <c r="B5976" t="str">
        <f>"1552376842164430"</f>
        <v>1552376842164430</v>
      </c>
      <c r="C5976" t="s">
        <v>40</v>
      </c>
      <c r="D5976">
        <v>5.214626</v>
      </c>
      <c r="E5976">
        <v>0.48964639999999998</v>
      </c>
      <c r="F5976" t="s">
        <v>42</v>
      </c>
      <c r="G5976">
        <v>-188.79089999999999</v>
      </c>
      <c r="H5976" s="1">
        <v>-3.9308300000000001E-6</v>
      </c>
      <c r="I5976">
        <v>18.2957</v>
      </c>
      <c r="J5976">
        <v>-188.83510000000001</v>
      </c>
      <c r="K5976">
        <v>1.1088439999999999</v>
      </c>
      <c r="L5976">
        <v>-1.1934199999999999</v>
      </c>
      <c r="M5976">
        <v>4.423041E-3</v>
      </c>
      <c r="N5976">
        <v>0</v>
      </c>
      <c r="O5976">
        <v>0.9999306</v>
      </c>
      <c r="P5976">
        <v>3.2979179999999997E-2</v>
      </c>
      <c r="Q5976" s="1">
        <v>8.5301640000000006E-5</v>
      </c>
      <c r="R5976">
        <v>0.99945600000000001</v>
      </c>
      <c r="S5976">
        <v>7.019043E-3</v>
      </c>
      <c r="T5976">
        <v>-0.16865910000000001</v>
      </c>
      <c r="U5976">
        <v>3.0011899999999998</v>
      </c>
      <c r="V5976">
        <v>2.8576109999999998E-2</v>
      </c>
      <c r="W5976">
        <v>1.0958280000000001E-2</v>
      </c>
      <c r="X5976">
        <v>0.99953159999999996</v>
      </c>
      <c r="Y5976">
        <v>-2.088253E-3</v>
      </c>
      <c r="Z5976">
        <v>-5.6107919999999999E-2</v>
      </c>
      <c r="AA5976">
        <v>0.99842249999999999</v>
      </c>
      <c r="AB5976">
        <v>25</v>
      </c>
      <c r="AC5976">
        <v>4.4200000000017697E-2</v>
      </c>
      <c r="AD5976">
        <v>-1.1088479308300001</v>
      </c>
      <c r="AE5976">
        <v>19.48912</v>
      </c>
      <c r="AF5976">
        <v>-4.1871206990731699E-2</v>
      </c>
      <c r="AG5976">
        <v>-1.1088479308300001</v>
      </c>
      <c r="AH5976">
        <v>19.426239999549399</v>
      </c>
      <c r="AI5976">
        <v>93.266885177013094</v>
      </c>
      <c r="AJ5976">
        <v>90.123494805410303</v>
      </c>
      <c r="AK5976">
        <v>19.4579057827859</v>
      </c>
      <c r="AL5976">
        <v>89.3721242691215</v>
      </c>
      <c r="AM5976">
        <v>88.3623883111716</v>
      </c>
      <c r="AN5976">
        <v>1.00000004868092</v>
      </c>
    </row>
    <row r="5977" spans="1:40" x14ac:dyDescent="0.25">
      <c r="A5977" t="str">
        <f>"20190312154722192"</f>
        <v>20190312154722192</v>
      </c>
      <c r="B5977" t="str">
        <f>"1552376842183950"</f>
        <v>1552376842183950</v>
      </c>
      <c r="C5977" t="s">
        <v>40</v>
      </c>
      <c r="D5977">
        <v>5.2634990000000004</v>
      </c>
      <c r="E5977">
        <v>0.48988369999999998</v>
      </c>
      <c r="F5977" t="s">
        <v>42</v>
      </c>
      <c r="G5977">
        <v>-188.76750000000001</v>
      </c>
      <c r="H5977" s="1">
        <v>-3.9916629999999999E-6</v>
      </c>
      <c r="I5977">
        <v>18.427810000000001</v>
      </c>
      <c r="J5977">
        <v>-188.83279999999999</v>
      </c>
      <c r="K5977">
        <v>1.10886</v>
      </c>
      <c r="L5977">
        <v>-0.94015499999999996</v>
      </c>
      <c r="M5977">
        <v>5.4307039999999997E-3</v>
      </c>
      <c r="N5977">
        <v>0</v>
      </c>
      <c r="O5977">
        <v>0.99992579999999998</v>
      </c>
      <c r="P5977">
        <v>3.4246190000000003E-2</v>
      </c>
      <c r="Q5977">
        <v>4.1383970000000001E-4</v>
      </c>
      <c r="R5977">
        <v>0.99941340000000001</v>
      </c>
      <c r="S5977">
        <v>1.0345460000000001E-2</v>
      </c>
      <c r="T5977">
        <v>-0.16961209999999999</v>
      </c>
      <c r="U5977">
        <v>3.001312</v>
      </c>
      <c r="V5977">
        <v>2.8836290000000001E-2</v>
      </c>
      <c r="W5977">
        <v>1.126773E-2</v>
      </c>
      <c r="X5977">
        <v>0.99952070000000004</v>
      </c>
      <c r="Y5977">
        <v>-1.9895780000000001E-3</v>
      </c>
      <c r="Z5977">
        <v>-5.642113E-2</v>
      </c>
      <c r="AA5977">
        <v>0.99840510000000005</v>
      </c>
      <c r="AB5977">
        <v>25</v>
      </c>
      <c r="AC5977">
        <v>6.5299999999979194E-2</v>
      </c>
      <c r="AD5977">
        <v>-1.1088639916630001</v>
      </c>
      <c r="AE5977">
        <v>19.367964999999899</v>
      </c>
      <c r="AF5977">
        <v>-3.9758580728738002E-2</v>
      </c>
      <c r="AG5977">
        <v>-1.1088639916630001</v>
      </c>
      <c r="AH5977">
        <v>19.304756699692401</v>
      </c>
      <c r="AI5977">
        <v>93.287446651384002</v>
      </c>
      <c r="AJ5977">
        <v>90.118001780070003</v>
      </c>
      <c r="AK5977">
        <v>19.336617887600401</v>
      </c>
      <c r="AL5977">
        <v>89.354393004318695</v>
      </c>
      <c r="AM5977">
        <v>88.347468389856502</v>
      </c>
      <c r="AN5977">
        <v>1.0000000615444</v>
      </c>
    </row>
    <row r="5978" spans="1:40" x14ac:dyDescent="0.25">
      <c r="A5978" t="str">
        <f>"20190312154722217"</f>
        <v>20190312154722217</v>
      </c>
      <c r="B5978" t="str">
        <f>"1552376842204447"</f>
        <v>1552376842204447</v>
      </c>
      <c r="C5978" t="s">
        <v>40</v>
      </c>
      <c r="D5978">
        <v>5.1660269999999997</v>
      </c>
      <c r="E5978">
        <v>0.51824049999999999</v>
      </c>
      <c r="F5978" t="s">
        <v>42</v>
      </c>
      <c r="G5978">
        <v>-188.72790000000001</v>
      </c>
      <c r="H5978" s="1">
        <v>-4.1506440000000001E-6</v>
      </c>
      <c r="I5978">
        <v>18.782050000000002</v>
      </c>
      <c r="J5978">
        <v>-188.83009999999999</v>
      </c>
      <c r="K5978">
        <v>1.108873</v>
      </c>
      <c r="L5978">
        <v>-0.6677246</v>
      </c>
      <c r="M5978">
        <v>6.4888350000000001E-3</v>
      </c>
      <c r="N5978">
        <v>0</v>
      </c>
      <c r="O5978">
        <v>0.99991969999999997</v>
      </c>
      <c r="P5978">
        <v>3.5524680000000003E-2</v>
      </c>
      <c r="Q5978">
        <v>2.166274E-4</v>
      </c>
      <c r="R5978">
        <v>0.99936879999999995</v>
      </c>
      <c r="S5978">
        <v>1.596069E-2</v>
      </c>
      <c r="T5978">
        <v>-0.16874459999999999</v>
      </c>
      <c r="U5978">
        <v>3.0012819999999998</v>
      </c>
      <c r="V5978">
        <v>2.9056530000000001E-2</v>
      </c>
      <c r="W5978">
        <v>1.1048870000000001E-2</v>
      </c>
      <c r="X5978">
        <v>0.99951670000000004</v>
      </c>
      <c r="Y5978">
        <v>-1.179741E-3</v>
      </c>
      <c r="Z5978">
        <v>-5.6133330000000002E-2</v>
      </c>
      <c r="AA5978">
        <v>0.99842260000000005</v>
      </c>
      <c r="AB5978">
        <v>25</v>
      </c>
      <c r="AC5978">
        <v>0.102199999999982</v>
      </c>
      <c r="AD5978">
        <v>-1.1088771506440001</v>
      </c>
      <c r="AE5978">
        <v>19.449774600000001</v>
      </c>
      <c r="AF5978">
        <v>-2.3938200936125999E-2</v>
      </c>
      <c r="AG5978">
        <v>-1.1088771506440001</v>
      </c>
      <c r="AH5978">
        <v>19.387014334988201</v>
      </c>
      <c r="AI5978">
        <v>93.273571863015107</v>
      </c>
      <c r="AJ5978">
        <v>90.070746178965095</v>
      </c>
      <c r="AK5978">
        <v>19.418715364249099</v>
      </c>
      <c r="AL5978">
        <v>89.366933497431205</v>
      </c>
      <c r="AM5978">
        <v>88.334847435861505</v>
      </c>
      <c r="AN5978">
        <v>0.99999999652140303</v>
      </c>
    </row>
    <row r="5979" spans="1:40" x14ac:dyDescent="0.25">
      <c r="A5979" t="str">
        <f>"20190312154722241"</f>
        <v>20190312154722241</v>
      </c>
      <c r="B5979" t="str">
        <f>"1552376842233726"</f>
        <v>1552376842233726</v>
      </c>
      <c r="C5979" t="s">
        <v>40</v>
      </c>
      <c r="D5979">
        <v>5.4040889999999999</v>
      </c>
      <c r="E5979">
        <v>0.51875939999999998</v>
      </c>
      <c r="F5979" t="s">
        <v>42</v>
      </c>
      <c r="G5979">
        <v>-186.60480000000001</v>
      </c>
      <c r="H5979" s="1">
        <v>-3.4322980000000001E-6</v>
      </c>
      <c r="I5979">
        <v>26.229679999999998</v>
      </c>
      <c r="J5979">
        <v>-188.82730000000001</v>
      </c>
      <c r="K5979">
        <v>1.1088929999999999</v>
      </c>
      <c r="L5979">
        <v>-0.40148929999999999</v>
      </c>
      <c r="M5979">
        <v>7.4851900000000001E-3</v>
      </c>
      <c r="N5979">
        <v>0</v>
      </c>
      <c r="O5979">
        <v>0.99991300000000005</v>
      </c>
      <c r="P5979">
        <v>3.6284070000000002E-2</v>
      </c>
      <c r="Q5979" s="1">
        <v>1.749222E-5</v>
      </c>
      <c r="R5979">
        <v>0.99934149999999999</v>
      </c>
      <c r="S5979">
        <v>0.24763489999999999</v>
      </c>
      <c r="T5979">
        <v>-0.1233953</v>
      </c>
      <c r="U5979">
        <v>2.993134</v>
      </c>
      <c r="V5979">
        <v>2.8819150000000002E-2</v>
      </c>
      <c r="W5979">
        <v>1.083192E-2</v>
      </c>
      <c r="X5979">
        <v>0.99952600000000003</v>
      </c>
      <c r="Y5979">
        <v>7.4920650000000005E-2</v>
      </c>
      <c r="Z5979">
        <v>-4.1061519999999997E-2</v>
      </c>
      <c r="AA5979">
        <v>0.99634370000000005</v>
      </c>
      <c r="AB5979">
        <v>25</v>
      </c>
      <c r="AC5979">
        <v>2.2224999999999899</v>
      </c>
      <c r="AD5979">
        <v>-1.1088964322979999</v>
      </c>
      <c r="AE5979">
        <v>26.6311693</v>
      </c>
      <c r="AF5979">
        <v>2.0196092103997798</v>
      </c>
      <c r="AG5979">
        <v>-1.1088964322979999</v>
      </c>
      <c r="AH5979">
        <v>26.601257446482801</v>
      </c>
      <c r="AI5979">
        <v>92.380200050246003</v>
      </c>
      <c r="AJ5979">
        <v>85.658343613755505</v>
      </c>
      <c r="AK5979">
        <v>26.700849619335202</v>
      </c>
      <c r="AL5979">
        <v>89.3793645935867</v>
      </c>
      <c r="AM5979">
        <v>88.348458846339597</v>
      </c>
      <c r="AN5979">
        <v>1.0000000492868</v>
      </c>
    </row>
    <row r="5980" spans="1:40" x14ac:dyDescent="0.25">
      <c r="A5980" t="str">
        <f>"20190312154722264"</f>
        <v>20190312154722264</v>
      </c>
      <c r="B5980" t="str">
        <f>"1552376842254223"</f>
        <v>1552376842254223</v>
      </c>
      <c r="C5980" t="s">
        <v>40</v>
      </c>
      <c r="D5980">
        <v>5.1179040000000002</v>
      </c>
      <c r="E5980">
        <v>0.51954299999999998</v>
      </c>
      <c r="F5980" t="s">
        <v>42</v>
      </c>
      <c r="G5980">
        <v>-186.7724</v>
      </c>
      <c r="H5980" s="1">
        <v>-2.3735790000000001E-6</v>
      </c>
      <c r="I5980">
        <v>23.83107</v>
      </c>
      <c r="J5980">
        <v>-188.82419999999999</v>
      </c>
      <c r="K5980">
        <v>1.10891299999999</v>
      </c>
      <c r="L5980">
        <v>-0.13366700000000001</v>
      </c>
      <c r="M5980">
        <v>8.4347129999999999E-3</v>
      </c>
      <c r="N5980">
        <v>0</v>
      </c>
      <c r="O5980">
        <v>0.99990559999999995</v>
      </c>
      <c r="P5980">
        <v>3.7097339999999999E-2</v>
      </c>
      <c r="Q5980">
        <v>-3.2554820000000001E-4</v>
      </c>
      <c r="R5980">
        <v>0.99931159999999997</v>
      </c>
      <c r="S5980">
        <v>0.25378420000000002</v>
      </c>
      <c r="T5980">
        <v>-0.13695070000000001</v>
      </c>
      <c r="U5980">
        <v>2.9927670000000002</v>
      </c>
      <c r="V5980">
        <v>2.8682059999999999E-2</v>
      </c>
      <c r="W5980">
        <v>1.047384E-2</v>
      </c>
      <c r="X5980">
        <v>0.99953369999999997</v>
      </c>
      <c r="Y5980">
        <v>7.6000129999999999E-2</v>
      </c>
      <c r="Z5980">
        <v>-4.5562600000000002E-2</v>
      </c>
      <c r="AA5980">
        <v>0.99606629999999996</v>
      </c>
      <c r="AB5980">
        <v>25</v>
      </c>
      <c r="AC5980">
        <v>2.0517999999999801</v>
      </c>
      <c r="AD5980">
        <v>-1.1089153735789901</v>
      </c>
      <c r="AE5980">
        <v>23.964737</v>
      </c>
      <c r="AF5980">
        <v>1.8456563238868899</v>
      </c>
      <c r="AG5980">
        <v>-1.1089153735789901</v>
      </c>
      <c r="AH5980">
        <v>23.930325700862799</v>
      </c>
      <c r="AI5980">
        <v>92.6453054562391</v>
      </c>
      <c r="AJ5980">
        <v>85.589722243073197</v>
      </c>
      <c r="AK5980">
        <v>24.0269979132025</v>
      </c>
      <c r="AL5980">
        <v>89.399882193873694</v>
      </c>
      <c r="AM5980">
        <v>88.356323408467404</v>
      </c>
      <c r="AN5980">
        <v>0.99999998966293902</v>
      </c>
    </row>
    <row r="5981" spans="1:40" x14ac:dyDescent="0.25">
      <c r="A5981" t="str">
        <f>"20190312154722303"</f>
        <v>20190312154722303</v>
      </c>
      <c r="B5981" t="str">
        <f>"1552376842294238"</f>
        <v>1552376842294238</v>
      </c>
      <c r="C5981" t="s">
        <v>40</v>
      </c>
      <c r="D5981">
        <v>5.1187820000000004</v>
      </c>
      <c r="E5981">
        <v>0.5206826</v>
      </c>
      <c r="F5981" t="s">
        <v>42</v>
      </c>
      <c r="G5981">
        <v>-186.6848</v>
      </c>
      <c r="H5981" s="1">
        <v>-2.5710329999999999E-6</v>
      </c>
      <c r="I5981">
        <v>24.255120000000002</v>
      </c>
      <c r="J5981">
        <v>-188.81880000000001</v>
      </c>
      <c r="K5981">
        <v>1.108973</v>
      </c>
      <c r="L5981">
        <v>0.29504390000000003</v>
      </c>
      <c r="M5981">
        <v>9.8204850000000003E-3</v>
      </c>
      <c r="N5981">
        <v>0</v>
      </c>
      <c r="O5981">
        <v>0.99989320000000004</v>
      </c>
      <c r="P5981">
        <v>3.8210830000000001E-2</v>
      </c>
      <c r="Q5981">
        <v>-7.1072009999999903E-4</v>
      </c>
      <c r="R5981">
        <v>0.99926939999999997</v>
      </c>
      <c r="S5981">
        <v>0.26248169999999998</v>
      </c>
      <c r="T5981">
        <v>-0.1360537</v>
      </c>
      <c r="U5981">
        <v>2.9922789999999999</v>
      </c>
      <c r="V5981">
        <v>2.8408360000000001E-2</v>
      </c>
      <c r="W5981">
        <v>1.007046E-2</v>
      </c>
      <c r="X5981">
        <v>0.99954569999999998</v>
      </c>
      <c r="Y5981">
        <v>7.7506859999999997E-2</v>
      </c>
      <c r="Z5981">
        <v>-4.5262999999999998E-2</v>
      </c>
      <c r="AA5981">
        <v>0.99596379999999995</v>
      </c>
      <c r="AB5981">
        <v>25</v>
      </c>
      <c r="AC5981">
        <v>2.1340000000000101</v>
      </c>
      <c r="AD5981">
        <v>-1.108975571033</v>
      </c>
      <c r="AE5981">
        <v>23.960076099999998</v>
      </c>
      <c r="AF5981">
        <v>1.89455708125847</v>
      </c>
      <c r="AG5981">
        <v>-1.108975571033</v>
      </c>
      <c r="AH5981">
        <v>23.929020496581298</v>
      </c>
      <c r="AI5981">
        <v>92.645172758784298</v>
      </c>
      <c r="AJ5981">
        <v>85.473105235796893</v>
      </c>
      <c r="AK5981">
        <v>24.029506763084001</v>
      </c>
      <c r="AL5981">
        <v>89.422995407228399</v>
      </c>
      <c r="AM5981">
        <v>88.372019327952202</v>
      </c>
      <c r="AN5981">
        <v>1.0000000277354899</v>
      </c>
    </row>
    <row r="5982" spans="1:40" x14ac:dyDescent="0.25">
      <c r="A5982" t="str">
        <f>"20190312154722326"</f>
        <v>20190312154722326</v>
      </c>
      <c r="B5982" t="str">
        <f>"1552376842313758"</f>
        <v>1552376842313758</v>
      </c>
      <c r="C5982" t="s">
        <v>40</v>
      </c>
      <c r="D5982">
        <v>5.1198309999999996</v>
      </c>
      <c r="E5982">
        <v>0.52098719999999998</v>
      </c>
      <c r="F5982" t="s">
        <v>42</v>
      </c>
      <c r="G5982">
        <v>-186.54429999999999</v>
      </c>
      <c r="H5982" s="1">
        <v>-2.9263170000000001E-6</v>
      </c>
      <c r="I5982">
        <v>25.025200000000002</v>
      </c>
      <c r="J5982">
        <v>-188.81540000000001</v>
      </c>
      <c r="K5982">
        <v>1.1090100000000001</v>
      </c>
      <c r="L5982">
        <v>0.55401610000000001</v>
      </c>
      <c r="M5982">
        <v>1.057425E-2</v>
      </c>
      <c r="N5982">
        <v>0</v>
      </c>
      <c r="O5982">
        <v>0.99988569999999999</v>
      </c>
      <c r="P5982">
        <v>3.8932639999999998E-2</v>
      </c>
      <c r="Q5982">
        <v>-7.6285070000000005E-4</v>
      </c>
      <c r="R5982">
        <v>0.9992415</v>
      </c>
      <c r="S5982">
        <v>0.27514650000000002</v>
      </c>
      <c r="T5982">
        <v>-0.13415150000000001</v>
      </c>
      <c r="U5982">
        <v>2.9915769999999999</v>
      </c>
      <c r="V5982">
        <v>2.8375810000000001E-2</v>
      </c>
      <c r="W5982">
        <v>1.000847E-2</v>
      </c>
      <c r="X5982">
        <v>0.99954719999999997</v>
      </c>
      <c r="Y5982">
        <v>8.0960379999999998E-2</v>
      </c>
      <c r="Z5982">
        <v>-4.4626770000000003E-2</v>
      </c>
      <c r="AA5982">
        <v>0.99571779999999999</v>
      </c>
      <c r="AB5982">
        <v>25</v>
      </c>
      <c r="AC5982">
        <v>2.2711000000000099</v>
      </c>
      <c r="AD5982">
        <v>-1.1090129263169901</v>
      </c>
      <c r="AE5982">
        <v>24.4711839</v>
      </c>
      <c r="AF5982">
        <v>2.0081044109726802</v>
      </c>
      <c r="AG5982">
        <v>-1.1090129263169901</v>
      </c>
      <c r="AH5982">
        <v>24.4440570896979</v>
      </c>
      <c r="AI5982">
        <v>92.588985812133103</v>
      </c>
      <c r="AJ5982">
        <v>85.303638804446194</v>
      </c>
      <c r="AK5982">
        <v>24.5514626855615</v>
      </c>
      <c r="AL5982">
        <v>89.4265473244471</v>
      </c>
      <c r="AM5982">
        <v>88.373886087973801</v>
      </c>
      <c r="AN5982">
        <v>0.99999998054636796</v>
      </c>
    </row>
    <row r="5983" spans="1:40" x14ac:dyDescent="0.25">
      <c r="A5983" t="str">
        <f>"20190312154722348"</f>
        <v>20190312154722348</v>
      </c>
      <c r="B5983" t="str">
        <f>"1552376842344015"</f>
        <v>1552376842344015</v>
      </c>
      <c r="C5983" t="s">
        <v>40</v>
      </c>
      <c r="D5983">
        <v>5.0986039999999999</v>
      </c>
      <c r="E5983">
        <v>0.52125169999999998</v>
      </c>
      <c r="F5983" t="s">
        <v>42</v>
      </c>
      <c r="G5983">
        <v>-186.47450000000001</v>
      </c>
      <c r="H5983" s="1">
        <v>-3.1786829999999999E-6</v>
      </c>
      <c r="I5983">
        <v>25.58464</v>
      </c>
      <c r="J5983">
        <v>-188.81190000000001</v>
      </c>
      <c r="K5983">
        <v>1.1090599999999999</v>
      </c>
      <c r="L5983">
        <v>0.80749510000000002</v>
      </c>
      <c r="M5983">
        <v>1.1230779999999999E-2</v>
      </c>
      <c r="N5983">
        <v>0</v>
      </c>
      <c r="O5983">
        <v>0.99987859999999995</v>
      </c>
      <c r="P5983">
        <v>3.9740839999999999E-2</v>
      </c>
      <c r="Q5983">
        <v>-1.20583E-3</v>
      </c>
      <c r="R5983">
        <v>0.99920929999999997</v>
      </c>
      <c r="S5983">
        <v>0.27973940000000003</v>
      </c>
      <c r="T5983">
        <v>-0.13253210000000001</v>
      </c>
      <c r="U5983">
        <v>2.9912719999999999</v>
      </c>
      <c r="V5983">
        <v>2.8526349999999999E-2</v>
      </c>
      <c r="W5983">
        <v>9.5578820000000002E-3</v>
      </c>
      <c r="X5983">
        <v>0.99954739999999997</v>
      </c>
      <c r="Y5983">
        <v>8.1833219999999998E-2</v>
      </c>
      <c r="Z5983">
        <v>-4.4088450000000001E-2</v>
      </c>
      <c r="AA5983">
        <v>0.99567039999999996</v>
      </c>
      <c r="AB5983">
        <v>25</v>
      </c>
      <c r="AC5983">
        <v>2.3374000000000001</v>
      </c>
      <c r="AD5983">
        <v>-1.1090631786830001</v>
      </c>
      <c r="AE5983">
        <v>24.7771449</v>
      </c>
      <c r="AF5983">
        <v>2.05488882542803</v>
      </c>
      <c r="AG5983">
        <v>-1.1090631786830001</v>
      </c>
      <c r="AH5983">
        <v>24.752677564732402</v>
      </c>
      <c r="AI5983">
        <v>92.556683379936004</v>
      </c>
      <c r="AJ5983">
        <v>85.254368021462696</v>
      </c>
      <c r="AK5983">
        <v>24.862575004266699</v>
      </c>
      <c r="AL5983">
        <v>89.452365392364001</v>
      </c>
      <c r="AM5983">
        <v>88.365264186659601</v>
      </c>
      <c r="AN5983">
        <v>1.0000000552996999</v>
      </c>
    </row>
    <row r="5984" spans="1:40" x14ac:dyDescent="0.25">
      <c r="A5984" t="str">
        <f>"20190312154722370"</f>
        <v>20190312154722370</v>
      </c>
      <c r="B5984" t="str">
        <f>"1552376842364510"</f>
        <v>1552376842364510</v>
      </c>
      <c r="C5984" t="s">
        <v>40</v>
      </c>
      <c r="D5984">
        <v>5.0918519999999896</v>
      </c>
      <c r="E5984">
        <v>0.52249869999999998</v>
      </c>
      <c r="F5984" t="s">
        <v>42</v>
      </c>
      <c r="G5984">
        <v>-186.42769999999999</v>
      </c>
      <c r="H5984" s="1">
        <v>-3.3107700000000002E-6</v>
      </c>
      <c r="I5984">
        <v>25.873190000000001</v>
      </c>
      <c r="J5984">
        <v>-188.80860000000001</v>
      </c>
      <c r="K5984">
        <v>1.1091</v>
      </c>
      <c r="L5984">
        <v>1.0437320000000001</v>
      </c>
      <c r="M5984">
        <v>1.1777370000000001E-2</v>
      </c>
      <c r="N5984">
        <v>0</v>
      </c>
      <c r="O5984">
        <v>0.99987239999999999</v>
      </c>
      <c r="P5984">
        <v>4.09377E-2</v>
      </c>
      <c r="Q5984">
        <v>-1.643046E-3</v>
      </c>
      <c r="R5984">
        <v>0.9991603</v>
      </c>
      <c r="S5984">
        <v>0.28448489999999999</v>
      </c>
      <c r="T5984">
        <v>-0.13233639999999999</v>
      </c>
      <c r="U5984">
        <v>2.9909059999999998</v>
      </c>
      <c r="V5984">
        <v>2.917575E-2</v>
      </c>
      <c r="W5984">
        <v>9.1149170000000002E-3</v>
      </c>
      <c r="X5984">
        <v>0.9995328</v>
      </c>
      <c r="Y5984">
        <v>8.2865770000000005E-2</v>
      </c>
      <c r="Z5984">
        <v>-4.4023260000000002E-2</v>
      </c>
      <c r="AA5984">
        <v>0.99558789999999997</v>
      </c>
      <c r="AB5984">
        <v>25</v>
      </c>
      <c r="AC5984">
        <v>2.38090000000002</v>
      </c>
      <c r="AD5984">
        <v>-1.1091033107699999</v>
      </c>
      <c r="AE5984">
        <v>24.829457999999999</v>
      </c>
      <c r="AF5984">
        <v>2.0841714355259802</v>
      </c>
      <c r="AG5984">
        <v>-1.1091033107699999</v>
      </c>
      <c r="AH5984">
        <v>24.8067320614146</v>
      </c>
      <c r="AI5984">
        <v>92.551000656297404</v>
      </c>
      <c r="AJ5984">
        <v>85.197495621054301</v>
      </c>
      <c r="AK5984">
        <v>24.918824938055199</v>
      </c>
      <c r="AL5984">
        <v>89.477746525977196</v>
      </c>
      <c r="AM5984">
        <v>88.328046040598693</v>
      </c>
      <c r="AN5984">
        <v>1.0000000621878999</v>
      </c>
    </row>
    <row r="5985" spans="1:40" x14ac:dyDescent="0.25">
      <c r="A5985" t="str">
        <f>"20190312154722392"</f>
        <v>20190312154722392</v>
      </c>
      <c r="B5985" t="str">
        <f>"1552376842384031"</f>
        <v>1552376842384031</v>
      </c>
      <c r="C5985" t="s">
        <v>40</v>
      </c>
      <c r="D5985">
        <v>5.0729870000000004</v>
      </c>
      <c r="E5985">
        <v>0.52269960000000004</v>
      </c>
      <c r="F5985" t="s">
        <v>42</v>
      </c>
      <c r="G5985">
        <v>-183.04839999999999</v>
      </c>
      <c r="H5985" s="1">
        <v>-4.9852470000000004E-6</v>
      </c>
      <c r="I5985">
        <v>58.37914</v>
      </c>
      <c r="J5985">
        <v>-188.8049</v>
      </c>
      <c r="K5985">
        <v>1.1091470000000001</v>
      </c>
      <c r="L5985">
        <v>1.3016049999999999</v>
      </c>
      <c r="M5985">
        <v>1.2296029999999999E-2</v>
      </c>
      <c r="N5985">
        <v>0</v>
      </c>
      <c r="O5985">
        <v>0.99986620000000004</v>
      </c>
      <c r="P5985">
        <v>4.1698739999999998E-2</v>
      </c>
      <c r="Q5985">
        <v>-1.6744489999999999E-3</v>
      </c>
      <c r="R5985">
        <v>0.99912880000000004</v>
      </c>
      <c r="S5985">
        <v>0.30039979999999999</v>
      </c>
      <c r="T5985">
        <v>-5.7841179999999999E-2</v>
      </c>
      <c r="U5985">
        <v>2.9901119999999999</v>
      </c>
      <c r="V5985">
        <v>2.941736E-2</v>
      </c>
      <c r="W5985">
        <v>9.0772509999999997E-3</v>
      </c>
      <c r="X5985">
        <v>0.99952600000000003</v>
      </c>
      <c r="Y5985">
        <v>8.7699959999999993E-2</v>
      </c>
      <c r="Z5985">
        <v>-1.9252640000000001E-2</v>
      </c>
      <c r="AA5985">
        <v>0.99596090000000004</v>
      </c>
      <c r="AB5985">
        <v>25</v>
      </c>
      <c r="AC5985">
        <v>5.7565000000000097</v>
      </c>
      <c r="AD5985">
        <v>-1.109151985247</v>
      </c>
      <c r="AE5985">
        <v>57.077534999999997</v>
      </c>
      <c r="AF5985">
        <v>5.0523082065624596</v>
      </c>
      <c r="AG5985">
        <v>-1.109151985247</v>
      </c>
      <c r="AH5985">
        <v>57.122652410348998</v>
      </c>
      <c r="AI5985">
        <v>91.108049313206806</v>
      </c>
      <c r="AJ5985">
        <v>84.945531948251002</v>
      </c>
      <c r="AK5985">
        <v>57.356372398662302</v>
      </c>
      <c r="AL5985">
        <v>89.4799046861948</v>
      </c>
      <c r="AM5985">
        <v>88.314196762532305</v>
      </c>
      <c r="AN5985">
        <v>1.0000000011155401</v>
      </c>
    </row>
    <row r="5986" spans="1:40" x14ac:dyDescent="0.25">
      <c r="A5986" t="str">
        <f>"20190312154722416"</f>
        <v>20190312154722416</v>
      </c>
      <c r="B5986" t="str">
        <f>"1552376842404526"</f>
        <v>1552376842404526</v>
      </c>
      <c r="C5986" t="s">
        <v>40</v>
      </c>
      <c r="D5986">
        <v>5.0921760000000003</v>
      </c>
      <c r="E5986">
        <v>0.52287260000000002</v>
      </c>
      <c r="F5986" t="s">
        <v>42</v>
      </c>
      <c r="G5986">
        <v>-183.13290000000001</v>
      </c>
      <c r="H5986" s="1">
        <v>-4.3946890000000004E-6</v>
      </c>
      <c r="I5986">
        <v>57.037460000000003</v>
      </c>
      <c r="J5986">
        <v>-188.8013</v>
      </c>
      <c r="K5986">
        <v>1.109199</v>
      </c>
      <c r="L5986">
        <v>1.555023</v>
      </c>
      <c r="M5986">
        <v>1.2718180000000001E-2</v>
      </c>
      <c r="N5986">
        <v>0</v>
      </c>
      <c r="O5986">
        <v>0.99986120000000001</v>
      </c>
      <c r="P5986">
        <v>4.3010590000000001E-2</v>
      </c>
      <c r="Q5986">
        <v>-1.7052160000000001E-3</v>
      </c>
      <c r="R5986">
        <v>0.99907310000000005</v>
      </c>
      <c r="S5986">
        <v>0.30426029999999998</v>
      </c>
      <c r="T5986">
        <v>-5.9497590000000003E-2</v>
      </c>
      <c r="U5986">
        <v>2.9898069999999999</v>
      </c>
      <c r="V5986">
        <v>3.030646E-2</v>
      </c>
      <c r="W5986">
        <v>9.0295689999999994E-3</v>
      </c>
      <c r="X5986">
        <v>0.9994999</v>
      </c>
      <c r="Y5986">
        <v>8.8561340000000002E-2</v>
      </c>
      <c r="Z5986">
        <v>-1.9803589999999999E-2</v>
      </c>
      <c r="AA5986">
        <v>0.99587389999999998</v>
      </c>
      <c r="AB5986">
        <v>25</v>
      </c>
      <c r="AC5986">
        <v>5.6683999999999903</v>
      </c>
      <c r="AD5986">
        <v>-1.1092033946889901</v>
      </c>
      <c r="AE5986">
        <v>55.482436999999997</v>
      </c>
      <c r="AF5986">
        <v>4.9603029506153504</v>
      </c>
      <c r="AG5986">
        <v>-1.1092033946889901</v>
      </c>
      <c r="AH5986">
        <v>55.528080855731901</v>
      </c>
      <c r="AI5986">
        <v>91.139824402805999</v>
      </c>
      <c r="AJ5986">
        <v>84.895338438553495</v>
      </c>
      <c r="AK5986">
        <v>55.760225080727302</v>
      </c>
      <c r="AL5986">
        <v>89.482636791688705</v>
      </c>
      <c r="AM5986">
        <v>88.263231057610497</v>
      </c>
      <c r="AN5986">
        <v>1.0000000323670299</v>
      </c>
    </row>
    <row r="5987" spans="1:40" x14ac:dyDescent="0.25">
      <c r="A5987" t="str">
        <f>"20190312154722439"</f>
        <v>20190312154722439</v>
      </c>
      <c r="B5987" t="str">
        <f>"1552376842433808"</f>
        <v>1552376842433808</v>
      </c>
      <c r="C5987" t="s">
        <v>40</v>
      </c>
      <c r="D5987">
        <v>5.1471369999999999</v>
      </c>
      <c r="E5987">
        <v>0.5320395</v>
      </c>
      <c r="F5987" t="s">
        <v>42</v>
      </c>
      <c r="G5987">
        <v>-183.07380000000001</v>
      </c>
      <c r="H5987" s="1">
        <v>-4.3344189999999998E-6</v>
      </c>
      <c r="I5987">
        <v>56.872540000000001</v>
      </c>
      <c r="J5987">
        <v>-188.79740000000001</v>
      </c>
      <c r="K5987">
        <v>1.1092649999999999</v>
      </c>
      <c r="L5987">
        <v>1.8226929999999999</v>
      </c>
      <c r="M5987">
        <v>1.306212E-2</v>
      </c>
      <c r="N5987">
        <v>0</v>
      </c>
      <c r="O5987">
        <v>0.9998572</v>
      </c>
      <c r="P5987">
        <v>4.3740870000000001E-2</v>
      </c>
      <c r="Q5987">
        <v>-1.7432599999999999E-3</v>
      </c>
      <c r="R5987">
        <v>0.99904139999999997</v>
      </c>
      <c r="S5987">
        <v>0.30950929999999999</v>
      </c>
      <c r="T5987">
        <v>-5.9941170000000002E-2</v>
      </c>
      <c r="U5987">
        <v>2.9893489999999998</v>
      </c>
      <c r="V5987">
        <v>3.0691710000000001E-2</v>
      </c>
      <c r="W5987">
        <v>8.9547080000000005E-3</v>
      </c>
      <c r="X5987">
        <v>0.99948879999999996</v>
      </c>
      <c r="Y5987">
        <v>8.9964130000000003E-2</v>
      </c>
      <c r="Z5987">
        <v>-1.995104E-2</v>
      </c>
      <c r="AA5987">
        <v>0.9957452</v>
      </c>
      <c r="AB5987">
        <v>25</v>
      </c>
      <c r="AC5987">
        <v>5.7236000000000002</v>
      </c>
      <c r="AD5987">
        <v>-1.1092693344190001</v>
      </c>
      <c r="AE5987">
        <v>55.049847</v>
      </c>
      <c r="AF5987">
        <v>5.0019933459602397</v>
      </c>
      <c r="AG5987">
        <v>-1.1092693344190001</v>
      </c>
      <c r="AH5987">
        <v>55.097784341667399</v>
      </c>
      <c r="AI5987">
        <v>91.148642774316698</v>
      </c>
      <c r="AJ5987">
        <v>84.812683636548599</v>
      </c>
      <c r="AK5987">
        <v>55.335488208293597</v>
      </c>
      <c r="AL5987">
        <v>89.486926175201305</v>
      </c>
      <c r="AM5987">
        <v>88.241147837804107</v>
      </c>
      <c r="AN5987">
        <v>1.00000001459176</v>
      </c>
    </row>
    <row r="5988" spans="1:40" x14ac:dyDescent="0.25">
      <c r="A5988" t="str">
        <f>"20190312154722483"</f>
        <v>20190312154722483</v>
      </c>
      <c r="B5988" t="str">
        <f>"1552376842473823"</f>
        <v>1552376842473823</v>
      </c>
      <c r="C5988" t="s">
        <v>40</v>
      </c>
      <c r="D5988">
        <v>5.0752030000000001</v>
      </c>
      <c r="E5988">
        <v>0.54714960000000001</v>
      </c>
      <c r="F5988" t="s">
        <v>41</v>
      </c>
      <c r="G5988">
        <v>-188.70189999999999</v>
      </c>
      <c r="H5988">
        <v>1.0180709999999999</v>
      </c>
      <c r="I5988">
        <v>2.582827</v>
      </c>
      <c r="J5988">
        <v>-188.79040000000001</v>
      </c>
      <c r="K5988">
        <v>1.109378</v>
      </c>
      <c r="L5988">
        <v>2.3125610000000001</v>
      </c>
      <c r="M5988">
        <v>1.340387E-2</v>
      </c>
      <c r="N5988">
        <v>0</v>
      </c>
      <c r="O5988">
        <v>0.99985400000000002</v>
      </c>
      <c r="P5988">
        <v>4.3516289999999999E-2</v>
      </c>
      <c r="Q5988">
        <v>-1.4556090000000001E-3</v>
      </c>
      <c r="R5988">
        <v>0.99905160000000004</v>
      </c>
      <c r="S5988">
        <v>0.3741913</v>
      </c>
      <c r="T5988">
        <v>-0.35819839999999997</v>
      </c>
      <c r="U5988">
        <v>2.9858699999999998</v>
      </c>
      <c r="V5988">
        <v>3.012248E-2</v>
      </c>
      <c r="W5988">
        <v>9.1287469999999996E-3</v>
      </c>
      <c r="X5988">
        <v>0.99950450000000002</v>
      </c>
      <c r="Y5988">
        <v>0.1101636</v>
      </c>
      <c r="Z5988">
        <v>-0.1182763</v>
      </c>
      <c r="AA5988">
        <v>0.98685089999999998</v>
      </c>
      <c r="AB5988">
        <v>25</v>
      </c>
      <c r="AC5988">
        <v>8.8500000000010404E-2</v>
      </c>
      <c r="AD5988">
        <v>-9.1306999999999999E-2</v>
      </c>
      <c r="AE5988">
        <v>0.27026599999999901</v>
      </c>
      <c r="AF5988">
        <v>7.6938185792009797E-2</v>
      </c>
      <c r="AG5988">
        <v>-9.1306999999999999E-2</v>
      </c>
      <c r="AH5988">
        <v>0.246063016744242</v>
      </c>
      <c r="AI5988">
        <v>109.50224128226201</v>
      </c>
      <c r="AJ5988">
        <v>72.6367494787943</v>
      </c>
      <c r="AK5988">
        <v>0.27350221368618299</v>
      </c>
      <c r="AL5988">
        <v>89.4769540450813</v>
      </c>
      <c r="AM5988">
        <v>88.273775920288401</v>
      </c>
      <c r="AN5988">
        <v>0.99999997167169397</v>
      </c>
    </row>
    <row r="5989" spans="1:40" x14ac:dyDescent="0.25">
      <c r="A5989" t="str">
        <f>"20190312154722506"</f>
        <v>20190312154722506</v>
      </c>
      <c r="B5989" t="str">
        <f>"1552376842494319"</f>
        <v>1552376842494319</v>
      </c>
      <c r="C5989" t="s">
        <v>40</v>
      </c>
      <c r="D5989">
        <v>5.057582</v>
      </c>
      <c r="E5989">
        <v>0.54670419999999997</v>
      </c>
      <c r="F5989" t="s">
        <v>41</v>
      </c>
      <c r="G5989">
        <v>-188.68369999999999</v>
      </c>
      <c r="H5989">
        <v>0.90933810000000004</v>
      </c>
      <c r="I5989">
        <v>2.9799869999999999</v>
      </c>
      <c r="J5989">
        <v>-188.78700000000001</v>
      </c>
      <c r="K5989">
        <v>1.109424</v>
      </c>
      <c r="L5989">
        <v>2.562592</v>
      </c>
      <c r="M5989">
        <v>1.345413E-2</v>
      </c>
      <c r="N5989">
        <v>0</v>
      </c>
      <c r="O5989">
        <v>0.99985409999999997</v>
      </c>
      <c r="P5989">
        <v>4.322894E-2</v>
      </c>
      <c r="Q5989">
        <v>-1.0853880000000001E-3</v>
      </c>
      <c r="R5989">
        <v>0.99906459999999997</v>
      </c>
      <c r="S5989">
        <v>0.47602840000000002</v>
      </c>
      <c r="T5989">
        <v>-0.89338280000000003</v>
      </c>
      <c r="U5989">
        <v>2.980804</v>
      </c>
      <c r="V5989">
        <v>2.9783500000000001E-2</v>
      </c>
      <c r="W5989">
        <v>9.4262800000000004E-3</v>
      </c>
      <c r="X5989">
        <v>0.99951190000000001</v>
      </c>
      <c r="Y5989">
        <v>0.137906</v>
      </c>
      <c r="Z5989">
        <v>-0.28403899999999999</v>
      </c>
      <c r="AA5989">
        <v>0.9488434</v>
      </c>
      <c r="AB5989">
        <v>25</v>
      </c>
      <c r="AC5989">
        <v>0.103300000000018</v>
      </c>
      <c r="AD5989">
        <v>-0.20008590000000001</v>
      </c>
      <c r="AE5989">
        <v>0.41739500000000002</v>
      </c>
      <c r="AF5989">
        <v>8.0289465423087195E-2</v>
      </c>
      <c r="AG5989">
        <v>-0.20008590000000001</v>
      </c>
      <c r="AH5989">
        <v>0.34421398716114299</v>
      </c>
      <c r="AI5989">
        <v>119.51366517705</v>
      </c>
      <c r="AJ5989">
        <v>76.870260743108702</v>
      </c>
      <c r="AK5989">
        <v>0.40615764746475802</v>
      </c>
      <c r="AL5989">
        <v>89.459905927430896</v>
      </c>
      <c r="AM5989">
        <v>88.293202865519405</v>
      </c>
      <c r="AN5989">
        <v>0.99999997493424797</v>
      </c>
    </row>
    <row r="5990" spans="1:40" x14ac:dyDescent="0.25">
      <c r="A5990" t="str">
        <f>"20190312154722526"</f>
        <v>20190312154722526</v>
      </c>
      <c r="B5990" t="str">
        <f>"1552376842514815"</f>
        <v>1552376842514815</v>
      </c>
      <c r="C5990" t="s">
        <v>40</v>
      </c>
      <c r="D5990">
        <v>5.0355970000000001</v>
      </c>
      <c r="E5990">
        <v>0.54658099999999998</v>
      </c>
      <c r="F5990" t="s">
        <v>41</v>
      </c>
      <c r="G5990">
        <v>-188.65280000000001</v>
      </c>
      <c r="H5990">
        <v>0.85597540000000005</v>
      </c>
      <c r="I5990">
        <v>3.409151</v>
      </c>
      <c r="J5990">
        <v>-188.78380000000001</v>
      </c>
      <c r="K5990">
        <v>1.109445</v>
      </c>
      <c r="L5990">
        <v>2.8016969999999999</v>
      </c>
      <c r="M5990">
        <v>1.3444940000000001E-2</v>
      </c>
      <c r="N5990">
        <v>0</v>
      </c>
      <c r="O5990">
        <v>0.99985520000000006</v>
      </c>
      <c r="P5990">
        <v>4.2688749999999998E-2</v>
      </c>
      <c r="Q5990">
        <v>-1.1452330000000001E-3</v>
      </c>
      <c r="R5990">
        <v>0.99908779999999997</v>
      </c>
      <c r="S5990">
        <v>0.47196959999999999</v>
      </c>
      <c r="T5990">
        <v>-0.89257839999999999</v>
      </c>
      <c r="U5990">
        <v>2.9814150000000001</v>
      </c>
      <c r="V5990">
        <v>2.9251289999999999E-2</v>
      </c>
      <c r="W5990">
        <v>9.283711E-3</v>
      </c>
      <c r="X5990">
        <v>0.999529</v>
      </c>
      <c r="Y5990">
        <v>0.1366357</v>
      </c>
      <c r="Z5990">
        <v>-0.283804099999999</v>
      </c>
      <c r="AA5990">
        <v>0.94909739999999998</v>
      </c>
      <c r="AB5990">
        <v>25</v>
      </c>
      <c r="AC5990">
        <v>0.13100000000000001</v>
      </c>
      <c r="AD5990">
        <v>-0.25346960000000002</v>
      </c>
      <c r="AE5990">
        <v>0.60745399999999905</v>
      </c>
      <c r="AF5990">
        <v>0.105301243462546</v>
      </c>
      <c r="AG5990">
        <v>-0.25346960000000002</v>
      </c>
      <c r="AH5990">
        <v>0.52226899300538698</v>
      </c>
      <c r="AI5990">
        <v>115.442776484254</v>
      </c>
      <c r="AJ5990">
        <v>78.600701869151607</v>
      </c>
      <c r="AK5990">
        <v>0.59000007716421499</v>
      </c>
      <c r="AL5990">
        <v>89.468074912956894</v>
      </c>
      <c r="AM5990">
        <v>88.323713220914897</v>
      </c>
      <c r="AN5990">
        <v>1.00000002354879</v>
      </c>
    </row>
    <row r="5991" spans="1:40" x14ac:dyDescent="0.25">
      <c r="A5991" t="str">
        <f>"20190312154722551"</f>
        <v>20190312154722551</v>
      </c>
      <c r="B5991" t="str">
        <f>"1552376842544095"</f>
        <v>1552376842544095</v>
      </c>
      <c r="C5991" t="s">
        <v>40</v>
      </c>
      <c r="D5991">
        <v>4.9156079999999998</v>
      </c>
      <c r="E5991">
        <v>0.54609839999999998</v>
      </c>
      <c r="F5991" t="s">
        <v>41</v>
      </c>
      <c r="G5991">
        <v>-188.6523</v>
      </c>
      <c r="H5991">
        <v>0.85951540000000004</v>
      </c>
      <c r="I5991">
        <v>3.636536</v>
      </c>
      <c r="J5991">
        <v>-188.78</v>
      </c>
      <c r="K5991">
        <v>1.1094580000000001</v>
      </c>
      <c r="L5991">
        <v>3.084991</v>
      </c>
      <c r="M5991">
        <v>1.3380100000000001E-2</v>
      </c>
      <c r="N5991">
        <v>0</v>
      </c>
      <c r="O5991">
        <v>0.9998572</v>
      </c>
      <c r="P5991">
        <v>4.2848379999999998E-2</v>
      </c>
      <c r="Q5991">
        <v>-1.4962930000000001E-3</v>
      </c>
      <c r="R5991">
        <v>0.99908050000000004</v>
      </c>
      <c r="S5991">
        <v>0.46936040000000001</v>
      </c>
      <c r="T5991">
        <v>-0.89262859999999999</v>
      </c>
      <c r="U5991">
        <v>2.9816590000000001</v>
      </c>
      <c r="V5991">
        <v>2.9475230000000002E-2</v>
      </c>
      <c r="W5991">
        <v>8.8226299999999997E-3</v>
      </c>
      <c r="X5991">
        <v>0.99952660000000004</v>
      </c>
      <c r="Y5991">
        <v>0.1358762</v>
      </c>
      <c r="Z5991">
        <v>-0.28383059999999899</v>
      </c>
      <c r="AA5991">
        <v>0.94919849999999995</v>
      </c>
      <c r="AB5991">
        <v>25</v>
      </c>
      <c r="AC5991">
        <v>0.127700000000004</v>
      </c>
      <c r="AD5991">
        <v>-0.24994259999999999</v>
      </c>
      <c r="AE5991">
        <v>0.55154499999999995</v>
      </c>
      <c r="AF5991">
        <v>0.10068388155461</v>
      </c>
      <c r="AG5991">
        <v>-0.24994259999999999</v>
      </c>
      <c r="AH5991">
        <v>0.462966340496413</v>
      </c>
      <c r="AI5991">
        <v>117.813484646782</v>
      </c>
      <c r="AJ5991">
        <v>77.730614651204306</v>
      </c>
      <c r="AK5991">
        <v>0.53567376240796405</v>
      </c>
      <c r="AL5991">
        <v>89.494493991819397</v>
      </c>
      <c r="AM5991">
        <v>88.310883373338399</v>
      </c>
      <c r="AN5991">
        <v>1.0000000260456099</v>
      </c>
    </row>
    <row r="5992" spans="1:40" x14ac:dyDescent="0.25">
      <c r="A5992" t="str">
        <f>"20190312154722574"</f>
        <v>20190312154722574</v>
      </c>
      <c r="B5992" t="str">
        <f>"1552376842563614"</f>
        <v>1552376842563614</v>
      </c>
      <c r="C5992" t="s">
        <v>40</v>
      </c>
      <c r="D5992">
        <v>4.9727959999999998</v>
      </c>
      <c r="E5992">
        <v>0.54615190000000002</v>
      </c>
      <c r="F5992" t="s">
        <v>41</v>
      </c>
      <c r="G5992">
        <v>-188.6576</v>
      </c>
      <c r="H5992">
        <v>0.87054619999999905</v>
      </c>
      <c r="I5992">
        <v>3.867245</v>
      </c>
      <c r="J5992">
        <v>-188.7766</v>
      </c>
      <c r="K5992">
        <v>1.109445</v>
      </c>
      <c r="L5992">
        <v>3.3432620000000002</v>
      </c>
      <c r="M5992">
        <v>1.3285150000000001E-2</v>
      </c>
      <c r="N5992">
        <v>0</v>
      </c>
      <c r="O5992">
        <v>0.99985959999999996</v>
      </c>
      <c r="P5992">
        <v>4.2852229999999998E-2</v>
      </c>
      <c r="Q5992">
        <v>-1.5877829999999999E-3</v>
      </c>
      <c r="R5992">
        <v>0.99908019999999997</v>
      </c>
      <c r="S5992">
        <v>0.46560669999999998</v>
      </c>
      <c r="T5992">
        <v>-0.91055549999999996</v>
      </c>
      <c r="U5992">
        <v>2.9814150000000001</v>
      </c>
      <c r="V5992">
        <v>2.9573680000000001E-2</v>
      </c>
      <c r="W5992">
        <v>8.6190290000000003E-3</v>
      </c>
      <c r="X5992">
        <v>0.99952540000000001</v>
      </c>
      <c r="Y5992">
        <v>0.1345713</v>
      </c>
      <c r="Z5992">
        <v>-0.289128</v>
      </c>
      <c r="AA5992">
        <v>0.94778450000000003</v>
      </c>
      <c r="AB5992">
        <v>25</v>
      </c>
      <c r="AC5992">
        <v>0.118999999999999</v>
      </c>
      <c r="AD5992">
        <v>-0.23889879999999999</v>
      </c>
      <c r="AE5992">
        <v>0.52398299999999898</v>
      </c>
      <c r="AF5992">
        <v>9.3537827817623501E-2</v>
      </c>
      <c r="AG5992">
        <v>-0.23889879999999999</v>
      </c>
      <c r="AH5992">
        <v>0.43878152164085099</v>
      </c>
      <c r="AI5992">
        <v>118.035060916921</v>
      </c>
      <c r="AJ5992">
        <v>77.966030010314199</v>
      </c>
      <c r="AK5992">
        <v>0.50828258440334195</v>
      </c>
      <c r="AL5992">
        <v>89.506159879422995</v>
      </c>
      <c r="AM5992">
        <v>88.305242818478604</v>
      </c>
      <c r="AN5992">
        <v>0.99999995772740102</v>
      </c>
    </row>
    <row r="5993" spans="1:40" x14ac:dyDescent="0.25">
      <c r="A5993" t="str">
        <f>"20190312154722596"</f>
        <v>20190312154722596</v>
      </c>
      <c r="B5993" t="str">
        <f>"1552376842584111"</f>
        <v>1552376842584111</v>
      </c>
      <c r="C5993" t="s">
        <v>40</v>
      </c>
      <c r="D5993">
        <v>4.9287900000000002</v>
      </c>
      <c r="E5993">
        <v>0.54623639999999996</v>
      </c>
      <c r="F5993" t="s">
        <v>41</v>
      </c>
      <c r="G5993">
        <v>-188.65819999999999</v>
      </c>
      <c r="H5993">
        <v>0.87947730000000002</v>
      </c>
      <c r="I5993">
        <v>4.0976359999999996</v>
      </c>
      <c r="J5993">
        <v>-188.77330000000001</v>
      </c>
      <c r="K5993">
        <v>1.1094409999999999</v>
      </c>
      <c r="L5993">
        <v>3.5986940000000001</v>
      </c>
      <c r="M5993">
        <v>1.3170279999999999E-2</v>
      </c>
      <c r="N5993">
        <v>0</v>
      </c>
      <c r="O5993">
        <v>0.99986240000000004</v>
      </c>
      <c r="P5993">
        <v>4.2865849999999997E-2</v>
      </c>
      <c r="Q5993">
        <v>-1.7039589999999999E-3</v>
      </c>
      <c r="R5993">
        <v>0.99907939999999995</v>
      </c>
      <c r="S5993">
        <v>0.46719359999999999</v>
      </c>
      <c r="T5993">
        <v>-0.90882410000000002</v>
      </c>
      <c r="U5993">
        <v>2.981293</v>
      </c>
      <c r="V5993">
        <v>2.9701959999999999E-2</v>
      </c>
      <c r="W5993">
        <v>8.3782330000000006E-3</v>
      </c>
      <c r="X5993">
        <v>0.99952370000000001</v>
      </c>
      <c r="Y5993">
        <v>0.13520750000000001</v>
      </c>
      <c r="Z5993">
        <v>-0.28861239999999999</v>
      </c>
      <c r="AA5993">
        <v>0.9478512</v>
      </c>
      <c r="AB5993">
        <v>25</v>
      </c>
      <c r="AC5993">
        <v>0.115100000000012</v>
      </c>
      <c r="AD5993">
        <v>-0.22996369999999899</v>
      </c>
      <c r="AE5993">
        <v>0.498942</v>
      </c>
      <c r="AF5993">
        <v>9.0304318091646907E-2</v>
      </c>
      <c r="AG5993">
        <v>-0.22996369999999899</v>
      </c>
      <c r="AH5993">
        <v>0.41642317225091702</v>
      </c>
      <c r="AI5993">
        <v>118.355352815386</v>
      </c>
      <c r="AJ5993">
        <v>77.764456402386401</v>
      </c>
      <c r="AK5993">
        <v>0.48419668686516698</v>
      </c>
      <c r="AL5993">
        <v>89.519956999864206</v>
      </c>
      <c r="AM5993">
        <v>88.297892992398403</v>
      </c>
      <c r="AN5993">
        <v>1.0000000140388601</v>
      </c>
    </row>
    <row r="5994" spans="1:40" x14ac:dyDescent="0.25">
      <c r="A5994" t="str">
        <f>"20190312154722619"</f>
        <v>20190312154722619</v>
      </c>
      <c r="B5994" t="str">
        <f>"1552376842614367"</f>
        <v>1552376842614367</v>
      </c>
      <c r="C5994" t="s">
        <v>40</v>
      </c>
      <c r="D5994">
        <v>4.8998549999999996</v>
      </c>
      <c r="E5994">
        <v>0.54612939999999999</v>
      </c>
      <c r="F5994" t="s">
        <v>41</v>
      </c>
      <c r="G5994">
        <v>-188.65819999999999</v>
      </c>
      <c r="H5994">
        <v>0.88732860000000002</v>
      </c>
      <c r="I5994">
        <v>4.3281859999999996</v>
      </c>
      <c r="J5994">
        <v>-188.77019999999999</v>
      </c>
      <c r="K5994">
        <v>1.1094269999999999</v>
      </c>
      <c r="L5994">
        <v>3.8460390000000002</v>
      </c>
      <c r="M5994">
        <v>1.30525E-2</v>
      </c>
      <c r="N5994">
        <v>0</v>
      </c>
      <c r="O5994">
        <v>0.99986540000000002</v>
      </c>
      <c r="P5994">
        <v>4.175185E-2</v>
      </c>
      <c r="Q5994">
        <v>-1.175242E-3</v>
      </c>
      <c r="R5994">
        <v>0.99912730000000005</v>
      </c>
      <c r="S5994">
        <v>0.46936040000000001</v>
      </c>
      <c r="T5994">
        <v>-0.90764619999999996</v>
      </c>
      <c r="U5994">
        <v>2.9810789999999998</v>
      </c>
      <c r="V5994">
        <v>2.8704960000000002E-2</v>
      </c>
      <c r="W5994">
        <v>8.7735169999999998E-3</v>
      </c>
      <c r="X5994">
        <v>0.99954940000000003</v>
      </c>
      <c r="Y5994">
        <v>0.13602339999999999</v>
      </c>
      <c r="Z5994">
        <v>-0.28825800000000001</v>
      </c>
      <c r="AA5994">
        <v>0.94784219999999997</v>
      </c>
      <c r="AB5994">
        <v>25</v>
      </c>
      <c r="AC5994">
        <v>0.11199999999999399</v>
      </c>
      <c r="AD5994">
        <v>-0.222098399999999</v>
      </c>
      <c r="AE5994">
        <v>0.48214699999999899</v>
      </c>
      <c r="AF5994">
        <v>8.7983287469940594E-2</v>
      </c>
      <c r="AG5994">
        <v>-0.222098399999999</v>
      </c>
      <c r="AH5994">
        <v>0.40252724505452703</v>
      </c>
      <c r="AI5994">
        <v>118.326164016676</v>
      </c>
      <c r="AJ5994">
        <v>77.670360377347194</v>
      </c>
      <c r="AK5994">
        <v>0.46807792211101501</v>
      </c>
      <c r="AL5994">
        <v>89.497308043215696</v>
      </c>
      <c r="AM5994">
        <v>88.355037627647405</v>
      </c>
      <c r="AN5994">
        <v>0.999999976184755</v>
      </c>
    </row>
    <row r="5995" spans="1:40" x14ac:dyDescent="0.25">
      <c r="A5995" t="str">
        <f>"20190312154722666"</f>
        <v>20190312154722666</v>
      </c>
      <c r="B5995" t="str">
        <f>"1552376842654383"</f>
        <v>1552376842654383</v>
      </c>
      <c r="C5995" t="s">
        <v>40</v>
      </c>
      <c r="D5995">
        <v>4.8437279999999996</v>
      </c>
      <c r="E5995">
        <v>0.54611769999999904</v>
      </c>
      <c r="F5995" t="s">
        <v>41</v>
      </c>
      <c r="G5995">
        <v>-188.65860000000001</v>
      </c>
      <c r="H5995">
        <v>0.89377079999999998</v>
      </c>
      <c r="I5995">
        <v>4.5586209999999996</v>
      </c>
      <c r="J5995">
        <v>-188.76339999999999</v>
      </c>
      <c r="K5995">
        <v>1.1093900000000001</v>
      </c>
      <c r="L5995">
        <v>4.3874209999999998</v>
      </c>
      <c r="M5995">
        <v>1.280017E-2</v>
      </c>
      <c r="N5995">
        <v>0</v>
      </c>
      <c r="O5995">
        <v>0.99987190000000004</v>
      </c>
      <c r="P5995">
        <v>3.8020129999999999E-2</v>
      </c>
      <c r="Q5995">
        <v>-2.3023140000000001E-4</v>
      </c>
      <c r="R5995">
        <v>0.99927690000000002</v>
      </c>
      <c r="S5995">
        <v>0.46670529999999999</v>
      </c>
      <c r="T5995">
        <v>-0.90248499999999998</v>
      </c>
      <c r="U5995">
        <v>2.982056</v>
      </c>
      <c r="V5995">
        <v>2.522367E-2</v>
      </c>
      <c r="W5995">
        <v>9.3876580000000001E-3</v>
      </c>
      <c r="X5995">
        <v>0.99963780000000002</v>
      </c>
      <c r="Y5995">
        <v>0.13547409999999999</v>
      </c>
      <c r="Z5995">
        <v>-0.28670040000000002</v>
      </c>
      <c r="AA5995">
        <v>0.94839320000000005</v>
      </c>
      <c r="AB5995">
        <v>25</v>
      </c>
      <c r="AC5995">
        <v>0.104799999999983</v>
      </c>
      <c r="AD5995">
        <v>-0.21561919999999901</v>
      </c>
      <c r="AE5995">
        <v>0.17119999999999899</v>
      </c>
      <c r="AF5995">
        <v>4.7635504959592102E-2</v>
      </c>
      <c r="AG5995">
        <v>-0.21561919999999901</v>
      </c>
      <c r="AH5995">
        <v>8.0101758257231398E-2</v>
      </c>
      <c r="AI5995">
        <v>156.62486807371101</v>
      </c>
      <c r="AJ5995">
        <v>59.260584720298901</v>
      </c>
      <c r="AK5995">
        <v>0.23489800428546601</v>
      </c>
      <c r="AL5995">
        <v>89.462118941451195</v>
      </c>
      <c r="AM5995">
        <v>88.554573233607002</v>
      </c>
      <c r="AN5995">
        <v>1.0000000464199099</v>
      </c>
    </row>
    <row r="5996" spans="1:40" x14ac:dyDescent="0.25">
      <c r="A5996" t="str">
        <f>"20190312154722707"</f>
        <v>20190312154722707</v>
      </c>
      <c r="B5996" t="str">
        <f>"1552376842694399"</f>
        <v>1552376842694399</v>
      </c>
      <c r="C5996" t="s">
        <v>40</v>
      </c>
      <c r="D5996">
        <v>4.7672140000000001</v>
      </c>
      <c r="E5996">
        <v>0.54707810000000001</v>
      </c>
      <c r="F5996" t="s">
        <v>41</v>
      </c>
      <c r="G5996">
        <v>-188.63489999999999</v>
      </c>
      <c r="H5996">
        <v>0.85605719999999996</v>
      </c>
      <c r="I5996">
        <v>5.230175</v>
      </c>
      <c r="J5996">
        <v>-188.7577</v>
      </c>
      <c r="K5996">
        <v>1.109335</v>
      </c>
      <c r="L5996">
        <v>4.853027</v>
      </c>
      <c r="M5996">
        <v>1.25944E-2</v>
      </c>
      <c r="N5996">
        <v>0</v>
      </c>
      <c r="O5996">
        <v>0.99987729999999997</v>
      </c>
      <c r="P5996">
        <v>3.7465810000000002E-2</v>
      </c>
      <c r="Q5996">
        <v>6.6690539999999902E-4</v>
      </c>
      <c r="R5996">
        <v>0.99929769999999896</v>
      </c>
      <c r="S5996">
        <v>0.45433040000000002</v>
      </c>
      <c r="T5996">
        <v>-0.89718439999999999</v>
      </c>
      <c r="U5996">
        <v>2.98468</v>
      </c>
      <c r="V5996">
        <v>2.487491E-2</v>
      </c>
      <c r="W5996">
        <v>9.9774770000000002E-3</v>
      </c>
      <c r="X5996">
        <v>0.9996408</v>
      </c>
      <c r="Y5996">
        <v>0.13178119999999999</v>
      </c>
      <c r="Z5996">
        <v>-0.285082</v>
      </c>
      <c r="AA5996">
        <v>0.94940080000000004</v>
      </c>
      <c r="AB5996">
        <v>26</v>
      </c>
      <c r="AC5996">
        <v>0.122800000000012</v>
      </c>
      <c r="AD5996">
        <v>-0.2532778</v>
      </c>
      <c r="AE5996">
        <v>0.37714799999999998</v>
      </c>
      <c r="AF5996">
        <v>8.38493431008102E-2</v>
      </c>
      <c r="AG5996">
        <v>-0.2532778</v>
      </c>
      <c r="AH5996">
        <v>0.26898308174192298</v>
      </c>
      <c r="AI5996">
        <v>131.953885094795</v>
      </c>
      <c r="AJ5996">
        <v>72.686323037492997</v>
      </c>
      <c r="AK5996">
        <v>0.37885650921511099</v>
      </c>
      <c r="AL5996">
        <v>89.428323203864693</v>
      </c>
      <c r="AM5996">
        <v>88.574554681763502</v>
      </c>
      <c r="AN5996">
        <v>1.0000000201097099</v>
      </c>
    </row>
    <row r="5997" spans="1:40" x14ac:dyDescent="0.25">
      <c r="A5997" t="str">
        <f>"20190312154722727"</f>
        <v>20190312154722727</v>
      </c>
      <c r="B5997" t="str">
        <f>"1552376842713919"</f>
        <v>1552376842713919</v>
      </c>
      <c r="C5997" t="s">
        <v>40</v>
      </c>
      <c r="D5997">
        <v>4.7270469999999998</v>
      </c>
      <c r="E5997">
        <v>0.5476761</v>
      </c>
      <c r="F5997" t="s">
        <v>41</v>
      </c>
      <c r="G5997">
        <v>-188.6283</v>
      </c>
      <c r="H5997">
        <v>0.85875749999999995</v>
      </c>
      <c r="I5997">
        <v>5.6921650000000001</v>
      </c>
      <c r="J5997">
        <v>-188.75470000000001</v>
      </c>
      <c r="K5997">
        <v>1.109316</v>
      </c>
      <c r="L5997">
        <v>5.096222</v>
      </c>
      <c r="M5997">
        <v>1.249103E-2</v>
      </c>
      <c r="N5997">
        <v>0</v>
      </c>
      <c r="O5997">
        <v>0.99988010000000005</v>
      </c>
      <c r="P5997">
        <v>3.8470789999999998E-2</v>
      </c>
      <c r="Q5997">
        <v>2.806892E-4</v>
      </c>
      <c r="R5997">
        <v>0.99925969999999997</v>
      </c>
      <c r="S5997">
        <v>0.45936579999999999</v>
      </c>
      <c r="T5997">
        <v>-0.89148490000000002</v>
      </c>
      <c r="U5997">
        <v>2.985474</v>
      </c>
      <c r="V5997">
        <v>2.5983840000000001E-2</v>
      </c>
      <c r="W5997">
        <v>9.4391549999999994E-3</v>
      </c>
      <c r="X5997">
        <v>0.9996178</v>
      </c>
      <c r="Y5997">
        <v>0.13349150000000001</v>
      </c>
      <c r="Z5997">
        <v>-0.283284599999999</v>
      </c>
      <c r="AA5997">
        <v>0.94969990000000004</v>
      </c>
      <c r="AB5997">
        <v>26</v>
      </c>
      <c r="AC5997">
        <v>0.126400000000018</v>
      </c>
      <c r="AD5997">
        <v>-0.25055849999999902</v>
      </c>
      <c r="AE5997">
        <v>0.595943</v>
      </c>
      <c r="AF5997">
        <v>0.10173617775408</v>
      </c>
      <c r="AG5997">
        <v>-0.25055849999999902</v>
      </c>
      <c r="AH5997">
        <v>0.51102959514781199</v>
      </c>
      <c r="AI5997">
        <v>115.681265202155</v>
      </c>
      <c r="AJ5997">
        <v>78.740717430120199</v>
      </c>
      <c r="AK5997">
        <v>0.57817044104934701</v>
      </c>
      <c r="AL5997">
        <v>89.4591682259788</v>
      </c>
      <c r="AM5997">
        <v>88.511001709054298</v>
      </c>
      <c r="AN5997">
        <v>1.0000000018325399</v>
      </c>
    </row>
    <row r="5998" spans="1:40" x14ac:dyDescent="0.25">
      <c r="A5998" t="str">
        <f>"20190312154722750"</f>
        <v>20190312154722750</v>
      </c>
      <c r="B5998" t="str">
        <f>"1552376842744175"</f>
        <v>1552376842744175</v>
      </c>
      <c r="C5998" t="s">
        <v>40</v>
      </c>
      <c r="D5998">
        <v>4.6650210000000003</v>
      </c>
      <c r="E5998">
        <v>0.54836189999999996</v>
      </c>
      <c r="F5998" t="s">
        <v>41</v>
      </c>
      <c r="G5998">
        <v>-188.62479999999999</v>
      </c>
      <c r="H5998">
        <v>0.86215030000000004</v>
      </c>
      <c r="I5998">
        <v>5.9249140000000002</v>
      </c>
      <c r="J5998">
        <v>-188.7516</v>
      </c>
      <c r="K5998">
        <v>1.1092930000000001</v>
      </c>
      <c r="L5998">
        <v>5.3594059999999999</v>
      </c>
      <c r="M5998">
        <v>1.238185E-2</v>
      </c>
      <c r="N5998">
        <v>0</v>
      </c>
      <c r="O5998">
        <v>0.99988279999999996</v>
      </c>
      <c r="P5998">
        <v>3.9906129999999998E-2</v>
      </c>
      <c r="Q5998" s="1">
        <v>-5.5379E-5</v>
      </c>
      <c r="R5998">
        <v>0.99920339999999996</v>
      </c>
      <c r="S5998">
        <v>0.4677887</v>
      </c>
      <c r="T5998">
        <v>-0.89014389999999999</v>
      </c>
      <c r="U5998">
        <v>2.984467</v>
      </c>
      <c r="V5998">
        <v>2.7529089999999999E-2</v>
      </c>
      <c r="W5998">
        <v>8.9466019999999997E-3</v>
      </c>
      <c r="X5998">
        <v>0.99958100000000005</v>
      </c>
      <c r="Y5998">
        <v>0.136283399999999</v>
      </c>
      <c r="Z5998">
        <v>-0.28287020000000002</v>
      </c>
      <c r="AA5998">
        <v>0.94942680000000002</v>
      </c>
      <c r="AB5998">
        <v>26</v>
      </c>
      <c r="AC5998">
        <v>0.12680000000000199</v>
      </c>
      <c r="AD5998">
        <v>-0.24714269999999999</v>
      </c>
      <c r="AE5998">
        <v>0.56550800000000001</v>
      </c>
      <c r="AF5998">
        <v>0.101356267201167</v>
      </c>
      <c r="AG5998">
        <v>-0.24714269999999999</v>
      </c>
      <c r="AH5998">
        <v>0.47978547644210601</v>
      </c>
      <c r="AI5998">
        <v>116.747538442595</v>
      </c>
      <c r="AJ5998">
        <v>78.071462226382707</v>
      </c>
      <c r="AK5998">
        <v>0.54913268931017301</v>
      </c>
      <c r="AL5998">
        <v>89.487390643349002</v>
      </c>
      <c r="AM5998">
        <v>88.422436935823796</v>
      </c>
      <c r="AN5998">
        <v>1.0000000340222801</v>
      </c>
    </row>
    <row r="5999" spans="1:40" x14ac:dyDescent="0.25">
      <c r="A5999" t="str">
        <f>"20190312154722773"</f>
        <v>20190312154722773</v>
      </c>
      <c r="B5999" t="str">
        <f>"1552376842763695"</f>
        <v>1552376842763695</v>
      </c>
      <c r="C5999" t="s">
        <v>40</v>
      </c>
      <c r="D5999">
        <v>4.6564329999999998</v>
      </c>
      <c r="E5999">
        <v>0.54871759999999903</v>
      </c>
      <c r="F5999" t="s">
        <v>41</v>
      </c>
      <c r="G5999">
        <v>-188.62289999999999</v>
      </c>
      <c r="H5999">
        <v>0.87107649999999903</v>
      </c>
      <c r="I5999">
        <v>6.1605610000000004</v>
      </c>
      <c r="J5999">
        <v>-188.7484</v>
      </c>
      <c r="K5999">
        <v>1.109272</v>
      </c>
      <c r="L5999">
        <v>5.6282040000000002</v>
      </c>
      <c r="M5999">
        <v>1.2272709999999999E-2</v>
      </c>
      <c r="N5999">
        <v>0</v>
      </c>
      <c r="O5999">
        <v>0.99988560000000004</v>
      </c>
      <c r="P5999">
        <v>4.0683179999999999E-2</v>
      </c>
      <c r="Q5999">
        <v>-3.9414380000000001E-4</v>
      </c>
      <c r="R5999">
        <v>0.99917199999999995</v>
      </c>
      <c r="S5999">
        <v>0.47850039999999999</v>
      </c>
      <c r="T5999">
        <v>-0.88702789999999998</v>
      </c>
      <c r="U5999">
        <v>2.9832459999999998</v>
      </c>
      <c r="V5999">
        <v>2.8415739999999998E-2</v>
      </c>
      <c r="W5999">
        <v>8.4502329999999997E-3</v>
      </c>
      <c r="X5999">
        <v>0.99956049999999996</v>
      </c>
      <c r="Y5999">
        <v>0.13981959999999999</v>
      </c>
      <c r="Z5999">
        <v>-0.28192270000000003</v>
      </c>
      <c r="AA5999">
        <v>0.94919439999999999</v>
      </c>
      <c r="AB5999">
        <v>26</v>
      </c>
      <c r="AC5999">
        <v>0.12550000000001599</v>
      </c>
      <c r="AD5999">
        <v>-0.2381955</v>
      </c>
      <c r="AE5999">
        <v>0.53235699999999997</v>
      </c>
      <c r="AF5999">
        <v>9.9992429998348606E-2</v>
      </c>
      <c r="AG5999">
        <v>-0.2381955</v>
      </c>
      <c r="AH5999">
        <v>0.44874832331006098</v>
      </c>
      <c r="AI5999">
        <v>117.38838537651699</v>
      </c>
      <c r="AJ5999">
        <v>77.438274803207506</v>
      </c>
      <c r="AK5999">
        <v>0.51779401305037898</v>
      </c>
      <c r="AL5999">
        <v>89.515831564000393</v>
      </c>
      <c r="AM5999">
        <v>88.371620732427104</v>
      </c>
      <c r="AN5999">
        <v>1.00000002693887</v>
      </c>
    </row>
    <row r="6000" spans="1:40" x14ac:dyDescent="0.25">
      <c r="A6000" t="str">
        <f>"20190312154722794"</f>
        <v>20190312154722794</v>
      </c>
      <c r="B6000" t="str">
        <f>"1552376842784191"</f>
        <v>1552376842784191</v>
      </c>
      <c r="C6000" t="s">
        <v>40</v>
      </c>
      <c r="D6000">
        <v>4.6399229999999996</v>
      </c>
      <c r="E6000">
        <v>0.54904189999999997</v>
      </c>
      <c r="F6000" t="s">
        <v>41</v>
      </c>
      <c r="G6000">
        <v>-188.6233</v>
      </c>
      <c r="H6000">
        <v>0.88102510000000001</v>
      </c>
      <c r="I6000">
        <v>6.3973680000000002</v>
      </c>
      <c r="J6000">
        <v>-188.74529999999999</v>
      </c>
      <c r="K6000">
        <v>1.1092500000000001</v>
      </c>
      <c r="L6000">
        <v>5.8820499999999996</v>
      </c>
      <c r="M6000">
        <v>1.217086E-2</v>
      </c>
      <c r="N6000">
        <v>0</v>
      </c>
      <c r="O6000">
        <v>0.99988809999999995</v>
      </c>
      <c r="P6000">
        <v>4.1409479999999999E-2</v>
      </c>
      <c r="Q6000">
        <v>-6.2403800000000004E-4</v>
      </c>
      <c r="R6000">
        <v>0.99914210000000003</v>
      </c>
      <c r="S6000">
        <v>0.484375</v>
      </c>
      <c r="T6000">
        <v>-0.885013099999999</v>
      </c>
      <c r="U6000">
        <v>2.9824220000000001</v>
      </c>
      <c r="V6000">
        <v>2.9244280000000001E-2</v>
      </c>
      <c r="W6000">
        <v>8.072592E-3</v>
      </c>
      <c r="X6000">
        <v>0.99953970000000003</v>
      </c>
      <c r="Y6000">
        <v>0.14181150000000001</v>
      </c>
      <c r="Z6000">
        <v>-0.28132430000000003</v>
      </c>
      <c r="AA6000">
        <v>0.94907649999999999</v>
      </c>
      <c r="AB6000">
        <v>26</v>
      </c>
      <c r="AC6000">
        <v>0.121999999999985</v>
      </c>
      <c r="AD6000">
        <v>-0.22822490000000001</v>
      </c>
      <c r="AE6000">
        <v>0.51531800000000005</v>
      </c>
      <c r="AF6000">
        <v>9.7592602955047805E-2</v>
      </c>
      <c r="AG6000">
        <v>-0.22822490000000001</v>
      </c>
      <c r="AH6000">
        <v>0.43581844811252501</v>
      </c>
      <c r="AI6000">
        <v>117.06767398926399</v>
      </c>
      <c r="AJ6000">
        <v>77.378010065039007</v>
      </c>
      <c r="AK6000">
        <v>0.50154624995782904</v>
      </c>
      <c r="AL6000">
        <v>89.537469526485793</v>
      </c>
      <c r="AM6000">
        <v>88.324132639821798</v>
      </c>
      <c r="AN6000">
        <v>1.0000000032652001</v>
      </c>
    </row>
    <row r="6001" spans="1:40" x14ac:dyDescent="0.25">
      <c r="A6001" t="str">
        <f>"20190312154722818"</f>
        <v>20190312154722818</v>
      </c>
      <c r="B6001" t="str">
        <f>"1552376842804687"</f>
        <v>1552376842804687</v>
      </c>
      <c r="C6001" t="s">
        <v>40</v>
      </c>
      <c r="D6001">
        <v>4.6400899999999998</v>
      </c>
      <c r="E6001">
        <v>0.54934139999999998</v>
      </c>
      <c r="F6001" t="s">
        <v>41</v>
      </c>
      <c r="G6001">
        <v>-188.62200000000001</v>
      </c>
      <c r="H6001">
        <v>0.8868123</v>
      </c>
      <c r="I6001">
        <v>6.6331479999999896</v>
      </c>
      <c r="J6001">
        <v>-188.7422</v>
      </c>
      <c r="K6001">
        <v>1.1092299999999999</v>
      </c>
      <c r="L6001">
        <v>6.1465759999999996</v>
      </c>
      <c r="M6001">
        <v>1.206523E-2</v>
      </c>
      <c r="N6001">
        <v>0</v>
      </c>
      <c r="O6001">
        <v>0.99989070000000002</v>
      </c>
      <c r="P6001">
        <v>4.1276420000000001E-2</v>
      </c>
      <c r="Q6001">
        <v>-3.9595579999999997E-4</v>
      </c>
      <c r="R6001">
        <v>0.99914769999999997</v>
      </c>
      <c r="S6001">
        <v>0.48904419999999998</v>
      </c>
      <c r="T6001">
        <v>-0.88303419999999899</v>
      </c>
      <c r="U6001">
        <v>2.9817499999999999</v>
      </c>
      <c r="V6001">
        <v>2.9216780000000001E-2</v>
      </c>
      <c r="W6001">
        <v>8.1469739999999995E-3</v>
      </c>
      <c r="X6001">
        <v>0.99953990000000004</v>
      </c>
      <c r="Y6001">
        <v>0.143425</v>
      </c>
      <c r="Z6001">
        <v>-0.28073809999999999</v>
      </c>
      <c r="AA6001">
        <v>0.94900759999999995</v>
      </c>
      <c r="AB6001">
        <v>26</v>
      </c>
      <c r="AC6001">
        <v>0.120199999999982</v>
      </c>
      <c r="AD6001">
        <v>-0.222417699999999</v>
      </c>
      <c r="AE6001">
        <v>0.48657199999999801</v>
      </c>
      <c r="AF6001">
        <v>9.5511139680554497E-2</v>
      </c>
      <c r="AG6001">
        <v>-0.222417699999999</v>
      </c>
      <c r="AH6001">
        <v>0.40769774376416001</v>
      </c>
      <c r="AI6001">
        <v>117.975654577024</v>
      </c>
      <c r="AJ6001">
        <v>76.815120290843197</v>
      </c>
      <c r="AK6001">
        <v>0.47414076111082798</v>
      </c>
      <c r="AL6001">
        <v>89.5332076113433</v>
      </c>
      <c r="AM6001">
        <v>88.325707987210393</v>
      </c>
      <c r="AN6001">
        <v>1.0000000025554601</v>
      </c>
    </row>
    <row r="6002" spans="1:40" x14ac:dyDescent="0.25">
      <c r="A6002" t="str">
        <f>"20190312154722841"</f>
        <v>20190312154722841</v>
      </c>
      <c r="B6002" t="str">
        <f>"1552376842833967"</f>
        <v>1552376842833967</v>
      </c>
      <c r="C6002" t="s">
        <v>40</v>
      </c>
      <c r="D6002">
        <v>4.6021850000000004</v>
      </c>
      <c r="E6002">
        <v>0.54961090000000001</v>
      </c>
      <c r="F6002" t="s">
        <v>41</v>
      </c>
      <c r="G6002">
        <v>-188.62299999999999</v>
      </c>
      <c r="H6002">
        <v>0.89535069999999894</v>
      </c>
      <c r="I6002">
        <v>6.8707190000000002</v>
      </c>
      <c r="J6002">
        <v>-188.739</v>
      </c>
      <c r="K6002">
        <v>1.10921</v>
      </c>
      <c r="L6002">
        <v>6.4233699999999896</v>
      </c>
      <c r="M6002">
        <v>1.195474E-2</v>
      </c>
      <c r="N6002">
        <v>0</v>
      </c>
      <c r="O6002">
        <v>0.99989340000000004</v>
      </c>
      <c r="P6002">
        <v>4.0802449999999997E-2</v>
      </c>
      <c r="Q6002">
        <v>-6.6040539999999903E-4</v>
      </c>
      <c r="R6002">
        <v>0.99916700000000003</v>
      </c>
      <c r="S6002">
        <v>0.49130249999999998</v>
      </c>
      <c r="T6002">
        <v>-0.88071939999999904</v>
      </c>
      <c r="U6002">
        <v>2.981903</v>
      </c>
      <c r="V6002">
        <v>2.8853170000000001E-2</v>
      </c>
      <c r="W6002">
        <v>7.7259410000000001E-3</v>
      </c>
      <c r="X6002">
        <v>0.99955380000000005</v>
      </c>
      <c r="Y6002">
        <v>0.14426059999999999</v>
      </c>
      <c r="Z6002">
        <v>-0.28001530000000002</v>
      </c>
      <c r="AA6002">
        <v>0.94909449999999995</v>
      </c>
      <c r="AB6002">
        <v>26</v>
      </c>
      <c r="AC6002">
        <v>0.116000000000013</v>
      </c>
      <c r="AD6002">
        <v>-0.2138593</v>
      </c>
      <c r="AE6002">
        <v>0.447349</v>
      </c>
      <c r="AF6002">
        <v>9.1129040283582999E-2</v>
      </c>
      <c r="AG6002">
        <v>-0.2138593</v>
      </c>
      <c r="AH6002">
        <v>0.36956458621861799</v>
      </c>
      <c r="AI6002">
        <v>119.32944424279501</v>
      </c>
      <c r="AJ6002">
        <v>76.148065680687097</v>
      </c>
      <c r="AK6002">
        <v>0.43659854049966201</v>
      </c>
      <c r="AL6002">
        <v>89.557331782857304</v>
      </c>
      <c r="AM6002">
        <v>88.3465563033308</v>
      </c>
      <c r="AN6002">
        <v>0.99999999733891198</v>
      </c>
    </row>
    <row r="6003" spans="1:40" x14ac:dyDescent="0.25">
      <c r="A6003" t="str">
        <f>"20190312154722884"</f>
        <v>20190312154722884</v>
      </c>
      <c r="B6003" t="str">
        <f>"1552376842873983"</f>
        <v>1552376842873983</v>
      </c>
      <c r="C6003" t="s">
        <v>40</v>
      </c>
      <c r="D6003">
        <v>4.5772279999999999</v>
      </c>
      <c r="E6003">
        <v>0.55003630000000003</v>
      </c>
      <c r="F6003" t="s">
        <v>41</v>
      </c>
      <c r="G6003">
        <v>-188.62559999999999</v>
      </c>
      <c r="H6003">
        <v>0.90687910000000005</v>
      </c>
      <c r="I6003">
        <v>7.1102129999999999</v>
      </c>
      <c r="J6003">
        <v>-188.73320000000001</v>
      </c>
      <c r="K6003">
        <v>1.1091819999999999</v>
      </c>
      <c r="L6003">
        <v>6.9255979999999999</v>
      </c>
      <c r="M6003">
        <v>1.175349E-2</v>
      </c>
      <c r="N6003">
        <v>0</v>
      </c>
      <c r="O6003">
        <v>0.99989799999999995</v>
      </c>
      <c r="P6003">
        <v>4.0015549999999997E-2</v>
      </c>
      <c r="Q6003">
        <v>-5.6079260000000005E-4</v>
      </c>
      <c r="R6003">
        <v>0.9991989</v>
      </c>
      <c r="S6003">
        <v>0.49180600000000002</v>
      </c>
      <c r="T6003">
        <v>-0.87838819999999995</v>
      </c>
      <c r="U6003">
        <v>2.9818419999999999</v>
      </c>
      <c r="V6003">
        <v>2.8267190000000001E-2</v>
      </c>
      <c r="W6003">
        <v>7.563345E-3</v>
      </c>
      <c r="X6003">
        <v>0.99957180000000001</v>
      </c>
      <c r="Y6003">
        <v>0.14465140000000001</v>
      </c>
      <c r="Z6003">
        <v>-0.27932709999999999</v>
      </c>
      <c r="AA6003">
        <v>0.94923780000000002</v>
      </c>
      <c r="AB6003">
        <v>26</v>
      </c>
      <c r="AC6003">
        <v>0.107600000000019</v>
      </c>
      <c r="AD6003">
        <v>-0.20230289999999901</v>
      </c>
      <c r="AE6003">
        <v>0.184615</v>
      </c>
      <c r="AF6003">
        <v>5.5593215245458502E-2</v>
      </c>
      <c r="AG6003">
        <v>-0.20230289999999901</v>
      </c>
      <c r="AH6003">
        <v>9.8014464491458106E-2</v>
      </c>
      <c r="AI6003">
        <v>150.882148512013</v>
      </c>
      <c r="AJ6003">
        <v>60.438353200013601</v>
      </c>
      <c r="AK6003">
        <v>0.231568357465533</v>
      </c>
      <c r="AL6003">
        <v>89.566648125515798</v>
      </c>
      <c r="AM6003">
        <v>88.380147225323796</v>
      </c>
      <c r="AN6003">
        <v>1.00000001078666</v>
      </c>
    </row>
    <row r="6004" spans="1:40" x14ac:dyDescent="0.25">
      <c r="A6004" t="str">
        <f>"20190312154722907"</f>
        <v>20190312154722907</v>
      </c>
      <c r="B6004" t="str">
        <f>"1552376842894479"</f>
        <v>1552376842894479</v>
      </c>
      <c r="C6004" t="s">
        <v>40</v>
      </c>
      <c r="D6004">
        <v>4.6359050000000002</v>
      </c>
      <c r="E6004">
        <v>0.55015639999999999</v>
      </c>
      <c r="F6004" t="s">
        <v>41</v>
      </c>
      <c r="G6004">
        <v>-188.58920000000001</v>
      </c>
      <c r="H6004">
        <v>0.85330309999999898</v>
      </c>
      <c r="I6004">
        <v>7.7972809999999999</v>
      </c>
      <c r="J6004">
        <v>-188.7302</v>
      </c>
      <c r="K6004">
        <v>1.109159</v>
      </c>
      <c r="L6004">
        <v>7.1985169999999998</v>
      </c>
      <c r="M6004">
        <v>1.1643769999999999E-2</v>
      </c>
      <c r="N6004">
        <v>0</v>
      </c>
      <c r="O6004">
        <v>0.99990020000000002</v>
      </c>
      <c r="P6004">
        <v>4.0372230000000002E-2</v>
      </c>
      <c r="Q6004">
        <v>-8.381199E-4</v>
      </c>
      <c r="R6004">
        <v>0.99918439999999997</v>
      </c>
      <c r="S6004">
        <v>0.49252319999999999</v>
      </c>
      <c r="T6004">
        <v>-0.8754035</v>
      </c>
      <c r="U6004">
        <v>2.9821780000000002</v>
      </c>
      <c r="V6004">
        <v>2.8733749999999999E-2</v>
      </c>
      <c r="W6004">
        <v>7.1628129999999996E-3</v>
      </c>
      <c r="X6004">
        <v>0.99956140000000004</v>
      </c>
      <c r="Y6004">
        <v>0.1450082</v>
      </c>
      <c r="Z6004">
        <v>-0.2784122</v>
      </c>
      <c r="AA6004">
        <v>0.94945210000000002</v>
      </c>
      <c r="AB6004">
        <v>26</v>
      </c>
      <c r="AC6004">
        <v>0.14099999999999099</v>
      </c>
      <c r="AD6004">
        <v>-0.25585590000000002</v>
      </c>
      <c r="AE6004">
        <v>0.59876399999999996</v>
      </c>
      <c r="AF6004">
        <v>0.114252857351424</v>
      </c>
      <c r="AG6004">
        <v>-0.25585590000000002</v>
      </c>
      <c r="AH6004">
        <v>0.51182128710557095</v>
      </c>
      <c r="AI6004">
        <v>116.007052960827</v>
      </c>
      <c r="AJ6004">
        <v>77.416287422748297</v>
      </c>
      <c r="AK6004">
        <v>0.58350405903659197</v>
      </c>
      <c r="AL6004">
        <v>89.589597521211601</v>
      </c>
      <c r="AM6004">
        <v>88.353408456922907</v>
      </c>
      <c r="AN6004">
        <v>0.99999996332454699</v>
      </c>
    </row>
    <row r="6005" spans="1:40" x14ac:dyDescent="0.25">
      <c r="A6005" t="str">
        <f>"20190312154722929"</f>
        <v>20190312154722929</v>
      </c>
      <c r="B6005" t="str">
        <f>"1552376842923759"</f>
        <v>1552376842923759</v>
      </c>
      <c r="C6005" t="s">
        <v>40</v>
      </c>
      <c r="D6005">
        <v>4.6349549999999997</v>
      </c>
      <c r="E6005">
        <v>0.55036509999999905</v>
      </c>
      <c r="F6005" t="s">
        <v>41</v>
      </c>
      <c r="G6005">
        <v>-188.5908</v>
      </c>
      <c r="H6005">
        <v>0.86266279999999995</v>
      </c>
      <c r="I6005">
        <v>8.0387679999999992</v>
      </c>
      <c r="J6005">
        <v>-188.72720000000001</v>
      </c>
      <c r="K6005">
        <v>1.109156</v>
      </c>
      <c r="L6005">
        <v>7.4594119999999897</v>
      </c>
      <c r="M6005">
        <v>1.15389E-2</v>
      </c>
      <c r="N6005">
        <v>0</v>
      </c>
      <c r="O6005">
        <v>0.99990219999999996</v>
      </c>
      <c r="P6005">
        <v>4.0875889999999998E-2</v>
      </c>
      <c r="Q6005">
        <v>-4.9155439999999998E-4</v>
      </c>
      <c r="R6005">
        <v>0.9991641</v>
      </c>
      <c r="S6005">
        <v>0.4940948</v>
      </c>
      <c r="T6005">
        <v>-0.8747163</v>
      </c>
      <c r="U6005">
        <v>2.9817499999999999</v>
      </c>
      <c r="V6005">
        <v>2.9342420000000001E-2</v>
      </c>
      <c r="W6005">
        <v>7.4045619999999999E-3</v>
      </c>
      <c r="X6005">
        <v>0.99954200000000004</v>
      </c>
      <c r="Y6005">
        <v>0.1456297</v>
      </c>
      <c r="Z6005">
        <v>-0.27822370000000002</v>
      </c>
      <c r="AA6005">
        <v>0.94941220000000004</v>
      </c>
      <c r="AB6005">
        <v>27</v>
      </c>
      <c r="AC6005">
        <v>0.13640000000000799</v>
      </c>
      <c r="AD6005">
        <v>-0.2464932</v>
      </c>
      <c r="AE6005">
        <v>0.57935599999999898</v>
      </c>
      <c r="AF6005">
        <v>0.110716564984816</v>
      </c>
      <c r="AG6005">
        <v>-0.2464932</v>
      </c>
      <c r="AH6005">
        <v>0.49584835893828999</v>
      </c>
      <c r="AI6005">
        <v>115.88111566761199</v>
      </c>
      <c r="AJ6005">
        <v>77.413061098761105</v>
      </c>
      <c r="AK6005">
        <v>0.564696954542941</v>
      </c>
      <c r="AL6005">
        <v>89.575745974559794</v>
      </c>
      <c r="AM6005">
        <v>88.318515737163693</v>
      </c>
      <c r="AN6005">
        <v>1.00000000745693</v>
      </c>
    </row>
    <row r="6006" spans="1:40" x14ac:dyDescent="0.25">
      <c r="A6006" t="str">
        <f>"20190312154722952"</f>
        <v>20190312154722952</v>
      </c>
      <c r="B6006" t="str">
        <f>"1552376842944255"</f>
        <v>1552376842944255</v>
      </c>
      <c r="C6006" t="s">
        <v>40</v>
      </c>
      <c r="D6006">
        <v>4.6150529999999996</v>
      </c>
      <c r="E6006">
        <v>0.55055669999999901</v>
      </c>
      <c r="F6006" t="s">
        <v>41</v>
      </c>
      <c r="G6006">
        <v>-188.59020000000001</v>
      </c>
      <c r="H6006">
        <v>0.86941669999999904</v>
      </c>
      <c r="I6006">
        <v>8.2799859999999992</v>
      </c>
      <c r="J6006">
        <v>-188.7242</v>
      </c>
      <c r="K6006">
        <v>1.109148</v>
      </c>
      <c r="L6006">
        <v>7.7353519999999998</v>
      </c>
      <c r="M6006">
        <v>1.1427730000000001E-2</v>
      </c>
      <c r="N6006">
        <v>0</v>
      </c>
      <c r="O6006">
        <v>0.99990429999999997</v>
      </c>
      <c r="P6006">
        <v>4.1371400000000003E-2</v>
      </c>
      <c r="Q6006">
        <v>3.4832660000000003E-4</v>
      </c>
      <c r="R6006">
        <v>0.99914380000000003</v>
      </c>
      <c r="S6006">
        <v>0.49781799999999998</v>
      </c>
      <c r="T6006">
        <v>-0.87113569999999996</v>
      </c>
      <c r="U6006">
        <v>2.9817200000000001</v>
      </c>
      <c r="V6006">
        <v>2.9949159999999999E-2</v>
      </c>
      <c r="W6006">
        <v>8.1469750000000007E-3</v>
      </c>
      <c r="X6006">
        <v>0.99951820000000002</v>
      </c>
      <c r="Y6006">
        <v>0.14694699999999999</v>
      </c>
      <c r="Z6006">
        <v>-0.27712330000000002</v>
      </c>
      <c r="AA6006">
        <v>0.94953109999999996</v>
      </c>
      <c r="AB6006">
        <v>27</v>
      </c>
      <c r="AC6006">
        <v>0.13399999999998599</v>
      </c>
      <c r="AD6006">
        <v>-0.23973130000000001</v>
      </c>
      <c r="AE6006">
        <v>0.54463399999999795</v>
      </c>
      <c r="AF6006">
        <v>0.108030932975328</v>
      </c>
      <c r="AG6006">
        <v>-0.23973130000000001</v>
      </c>
      <c r="AH6006">
        <v>0.46176909079093498</v>
      </c>
      <c r="AI6006">
        <v>116.81699726754999</v>
      </c>
      <c r="AJ6006">
        <v>76.832467825829596</v>
      </c>
      <c r="AK6006">
        <v>0.53138730873920603</v>
      </c>
      <c r="AL6006">
        <v>89.533207542937305</v>
      </c>
      <c r="AM6006">
        <v>88.283725894270006</v>
      </c>
      <c r="AN6006">
        <v>0.99999997875879798</v>
      </c>
    </row>
    <row r="6007" spans="1:40" x14ac:dyDescent="0.25">
      <c r="A6007" t="str">
        <f>"20190312154722996"</f>
        <v>20190312154722996</v>
      </c>
      <c r="B6007" t="str">
        <f>"1552376842984271"</f>
        <v>1552376842984271</v>
      </c>
      <c r="C6007" t="s">
        <v>40</v>
      </c>
      <c r="D6007">
        <v>4.6307340000000003</v>
      </c>
      <c r="E6007">
        <v>0.54964930000000001</v>
      </c>
      <c r="F6007" t="s">
        <v>41</v>
      </c>
      <c r="G6007">
        <v>-188.59180000000001</v>
      </c>
      <c r="H6007">
        <v>0.87981180000000003</v>
      </c>
      <c r="I6007">
        <v>8.5233910000000002</v>
      </c>
      <c r="J6007">
        <v>-188.7184</v>
      </c>
      <c r="K6007">
        <v>1.109137</v>
      </c>
      <c r="L6007">
        <v>8.2623899999999999</v>
      </c>
      <c r="M6007">
        <v>1.1215309999999999E-2</v>
      </c>
      <c r="N6007">
        <v>0</v>
      </c>
      <c r="O6007">
        <v>0.99990789999999996</v>
      </c>
      <c r="P6007">
        <v>4.1220069999999998E-2</v>
      </c>
      <c r="Q6007">
        <v>6.3368159999999997E-4</v>
      </c>
      <c r="R6007">
        <v>0.99914990000000004</v>
      </c>
      <c r="S6007">
        <v>0.50036619999999998</v>
      </c>
      <c r="T6007">
        <v>-0.86785769999999995</v>
      </c>
      <c r="U6007">
        <v>2.9821469999999999</v>
      </c>
      <c r="V6007">
        <v>3.001009E-2</v>
      </c>
      <c r="W6007">
        <v>8.2795309999999997E-3</v>
      </c>
      <c r="X6007">
        <v>0.9995153</v>
      </c>
      <c r="Y6007">
        <v>0.1479734</v>
      </c>
      <c r="Z6007">
        <v>-0.27608680000000002</v>
      </c>
      <c r="AA6007">
        <v>0.94967360000000001</v>
      </c>
      <c r="AB6007">
        <v>27</v>
      </c>
      <c r="AC6007">
        <v>0.12659999999999599</v>
      </c>
      <c r="AD6007">
        <v>-0.22932520000000001</v>
      </c>
      <c r="AE6007">
        <v>0.26100099999999998</v>
      </c>
      <c r="AF6007">
        <v>7.6103122657330893E-2</v>
      </c>
      <c r="AG6007">
        <v>-0.22932520000000001</v>
      </c>
      <c r="AH6007">
        <v>0.16148337715039299</v>
      </c>
      <c r="AI6007">
        <v>142.10110537340299</v>
      </c>
      <c r="AJ6007">
        <v>64.766657404793804</v>
      </c>
      <c r="AK6007">
        <v>0.29061764180643401</v>
      </c>
      <c r="AL6007">
        <v>89.525612395200199</v>
      </c>
      <c r="AM6007">
        <v>88.280231332276202</v>
      </c>
      <c r="AN6007">
        <v>0.99999999553473895</v>
      </c>
    </row>
    <row r="6008" spans="1:40" x14ac:dyDescent="0.25">
      <c r="A6008" t="str">
        <f>"20190312154723018"</f>
        <v>20190312154723018</v>
      </c>
      <c r="B6008" t="str">
        <f>"1552376843003791"</f>
        <v>1552376843003791</v>
      </c>
      <c r="C6008" t="s">
        <v>40</v>
      </c>
      <c r="D6008">
        <v>4.6296369999999998</v>
      </c>
      <c r="E6008">
        <v>0.54950120000000002</v>
      </c>
      <c r="F6008" t="s">
        <v>41</v>
      </c>
      <c r="G6008">
        <v>-188.5926</v>
      </c>
      <c r="H6008">
        <v>0.91796529999999998</v>
      </c>
      <c r="I6008">
        <v>9.0198870000000007</v>
      </c>
      <c r="J6008">
        <v>-188.71559999999999</v>
      </c>
      <c r="K6008">
        <v>1.1091310000000001</v>
      </c>
      <c r="L6008">
        <v>8.5254519999999996</v>
      </c>
      <c r="M6008">
        <v>1.1109300000000001E-2</v>
      </c>
      <c r="N6008">
        <v>0</v>
      </c>
      <c r="O6008">
        <v>0.99990950000000001</v>
      </c>
      <c r="P6008">
        <v>4.1642319999999997E-2</v>
      </c>
      <c r="Q6008">
        <v>9.0426370000000001E-4</v>
      </c>
      <c r="R6008">
        <v>0.99913220000000003</v>
      </c>
      <c r="S6008">
        <v>0.49516300000000002</v>
      </c>
      <c r="T6008">
        <v>-0.7527239</v>
      </c>
      <c r="U6008">
        <v>2.982605</v>
      </c>
      <c r="V6008">
        <v>3.0538450000000002E-2</v>
      </c>
      <c r="W6008">
        <v>8.488855E-3</v>
      </c>
      <c r="X6008">
        <v>0.99949750000000004</v>
      </c>
      <c r="Y6008">
        <v>0.14794839999999901</v>
      </c>
      <c r="Z6008">
        <v>-0.2417773</v>
      </c>
      <c r="AA6008">
        <v>0.95898649999999996</v>
      </c>
      <c r="AB6008">
        <v>27</v>
      </c>
      <c r="AC6008">
        <v>0.12299999999999001</v>
      </c>
      <c r="AD6008">
        <v>-0.19116569999999899</v>
      </c>
      <c r="AE6008">
        <v>0.49443499999999901</v>
      </c>
      <c r="AF6008">
        <v>0.10299970336044199</v>
      </c>
      <c r="AG6008">
        <v>-0.19116569999999899</v>
      </c>
      <c r="AH6008">
        <v>0.43459160004297398</v>
      </c>
      <c r="AI6008">
        <v>113.171775744722</v>
      </c>
      <c r="AJ6008">
        <v>76.666716342941399</v>
      </c>
      <c r="AK6008">
        <v>0.48582211001223602</v>
      </c>
      <c r="AL6008">
        <v>89.513618572123207</v>
      </c>
      <c r="AM6008">
        <v>88.249940468674595</v>
      </c>
      <c r="AN6008">
        <v>0.99999995504692996</v>
      </c>
    </row>
    <row r="6009" spans="1:40" x14ac:dyDescent="0.25">
      <c r="A6009" t="str">
        <f>"20190312154723041"</f>
        <v>20190312154723041</v>
      </c>
      <c r="B6009" t="str">
        <f>"1552376843034048"</f>
        <v>1552376843034048</v>
      </c>
      <c r="C6009" t="s">
        <v>40</v>
      </c>
      <c r="D6009">
        <v>4.63931</v>
      </c>
      <c r="E6009">
        <v>0.54977540000000003</v>
      </c>
      <c r="F6009" t="s">
        <v>41</v>
      </c>
      <c r="G6009">
        <v>-188.59309999999999</v>
      </c>
      <c r="H6009">
        <v>0.9229195</v>
      </c>
      <c r="I6009">
        <v>9.2632449999999995</v>
      </c>
      <c r="J6009">
        <v>-188.71260000000001</v>
      </c>
      <c r="K6009">
        <v>1.1091260000000001</v>
      </c>
      <c r="L6009">
        <v>8.8066410000000008</v>
      </c>
      <c r="M6009">
        <v>1.0996239999999999E-2</v>
      </c>
      <c r="N6009">
        <v>0</v>
      </c>
      <c r="O6009">
        <v>0.9999112</v>
      </c>
      <c r="P6009">
        <v>4.193993E-2</v>
      </c>
      <c r="Q6009">
        <v>1.16883E-3</v>
      </c>
      <c r="R6009">
        <v>0.99911950000000005</v>
      </c>
      <c r="S6009">
        <v>0.49508669999999999</v>
      </c>
      <c r="T6009">
        <v>-0.75279629999999997</v>
      </c>
      <c r="U6009">
        <v>2.982666</v>
      </c>
      <c r="V6009">
        <v>3.094914E-2</v>
      </c>
      <c r="W6009">
        <v>8.6972270000000001E-3</v>
      </c>
      <c r="X6009">
        <v>0.99948309999999996</v>
      </c>
      <c r="Y6009">
        <v>0.14803229999999901</v>
      </c>
      <c r="Z6009">
        <v>-0.24179400000000001</v>
      </c>
      <c r="AA6009">
        <v>0.95896930000000002</v>
      </c>
      <c r="AB6009">
        <v>27</v>
      </c>
      <c r="AC6009">
        <v>0.119500000000016</v>
      </c>
      <c r="AD6009">
        <v>-0.1862065</v>
      </c>
      <c r="AE6009">
        <v>0.45660399999999801</v>
      </c>
      <c r="AF6009">
        <v>9.9054301085114899E-2</v>
      </c>
      <c r="AG6009">
        <v>-0.1862065</v>
      </c>
      <c r="AH6009">
        <v>0.39622037090213003</v>
      </c>
      <c r="AI6009">
        <v>114.509446416755</v>
      </c>
      <c r="AJ6009">
        <v>75.963864274079398</v>
      </c>
      <c r="AK6009">
        <v>0.44885988629363199</v>
      </c>
      <c r="AL6009">
        <v>89.501679306576705</v>
      </c>
      <c r="AM6009">
        <v>88.226394552077707</v>
      </c>
      <c r="AN6009">
        <v>0.999999979104919</v>
      </c>
    </row>
    <row r="6010" spans="1:40" x14ac:dyDescent="0.25">
      <c r="A6010" t="str">
        <f>"20190312154723066"</f>
        <v>20190312154723066</v>
      </c>
      <c r="B6010" t="str">
        <f>"1552376843054544"</f>
        <v>1552376843054544</v>
      </c>
      <c r="C6010" t="s">
        <v>40</v>
      </c>
      <c r="D6010">
        <v>4.6591889999999996</v>
      </c>
      <c r="E6010">
        <v>0.54961119999999997</v>
      </c>
      <c r="F6010" t="s">
        <v>41</v>
      </c>
      <c r="G6010">
        <v>-188.59520000000001</v>
      </c>
      <c r="H6010">
        <v>0.93126609999999999</v>
      </c>
      <c r="I6010">
        <v>9.509029</v>
      </c>
      <c r="J6010">
        <v>-188.70939999999999</v>
      </c>
      <c r="K6010">
        <v>1.1091230000000001</v>
      </c>
      <c r="L6010">
        <v>9.1066889999999994</v>
      </c>
      <c r="M6010">
        <v>1.0875579999999999E-2</v>
      </c>
      <c r="N6010">
        <v>0</v>
      </c>
      <c r="O6010">
        <v>0.99991289999999999</v>
      </c>
      <c r="P6010">
        <v>4.2415099999999997E-2</v>
      </c>
      <c r="Q6010">
        <v>1.739764E-3</v>
      </c>
      <c r="R6010">
        <v>0.9990985</v>
      </c>
      <c r="S6010">
        <v>0.49781799999999998</v>
      </c>
      <c r="T6010">
        <v>-0.75526629999999995</v>
      </c>
      <c r="U6010">
        <v>2.9826350000000001</v>
      </c>
      <c r="V6010">
        <v>3.1545030000000002E-2</v>
      </c>
      <c r="W6010">
        <v>9.2183879999999992E-3</v>
      </c>
      <c r="X6010">
        <v>0.99945980000000001</v>
      </c>
      <c r="Y6010">
        <v>0.14897820000000001</v>
      </c>
      <c r="Z6010">
        <v>-0.24250859999999999</v>
      </c>
      <c r="AA6010">
        <v>0.95864229999999995</v>
      </c>
      <c r="AB6010">
        <v>27</v>
      </c>
      <c r="AC6010">
        <v>0.114199999999982</v>
      </c>
      <c r="AD6010">
        <v>-0.17785689999999901</v>
      </c>
      <c r="AE6010">
        <v>0.40233999999999998</v>
      </c>
      <c r="AF6010">
        <v>9.2999109311740893E-2</v>
      </c>
      <c r="AG6010">
        <v>-0.17785689999999901</v>
      </c>
      <c r="AH6010">
        <v>0.34175405169557999</v>
      </c>
      <c r="AI6010">
        <v>116.664105129039</v>
      </c>
      <c r="AJ6010">
        <v>74.7771160358201</v>
      </c>
      <c r="AK6010">
        <v>0.39633034587416099</v>
      </c>
      <c r="AL6010">
        <v>89.471817782082098</v>
      </c>
      <c r="AM6010">
        <v>88.192226153665999</v>
      </c>
      <c r="AN6010">
        <v>0.99999997970552901</v>
      </c>
    </row>
    <row r="6011" spans="1:40" x14ac:dyDescent="0.25">
      <c r="A6011" t="str">
        <f>"20190312154723087"</f>
        <v>20190312154723087</v>
      </c>
      <c r="B6011" t="str">
        <f>"1552376843074063"</f>
        <v>1552376843074063</v>
      </c>
      <c r="C6011" t="s">
        <v>40</v>
      </c>
      <c r="D6011">
        <v>4.7083760000000003</v>
      </c>
      <c r="E6011">
        <v>0.54919830000000003</v>
      </c>
      <c r="F6011" t="s">
        <v>41</v>
      </c>
      <c r="G6011">
        <v>-188.56360000000001</v>
      </c>
      <c r="H6011">
        <v>0.88987399999999905</v>
      </c>
      <c r="I6011">
        <v>9.978237</v>
      </c>
      <c r="J6011">
        <v>-188.70660000000001</v>
      </c>
      <c r="K6011">
        <v>1.109118</v>
      </c>
      <c r="L6011">
        <v>9.3697199999999992</v>
      </c>
      <c r="M6011">
        <v>1.0769849999999999E-2</v>
      </c>
      <c r="N6011">
        <v>0</v>
      </c>
      <c r="O6011">
        <v>0.99991430000000003</v>
      </c>
      <c r="P6011">
        <v>4.3124389999999999E-2</v>
      </c>
      <c r="Q6011">
        <v>1.8827379999999999E-3</v>
      </c>
      <c r="R6011">
        <v>0.99906799999999996</v>
      </c>
      <c r="S6011">
        <v>0.49836730000000001</v>
      </c>
      <c r="T6011">
        <v>-0.7503687</v>
      </c>
      <c r="U6011">
        <v>2.9828489999999999</v>
      </c>
      <c r="V6011">
        <v>3.2360279999999998E-2</v>
      </c>
      <c r="W6011">
        <v>9.3242419999999999E-3</v>
      </c>
      <c r="X6011">
        <v>0.99943280000000001</v>
      </c>
      <c r="Y6011">
        <v>0.1493051</v>
      </c>
      <c r="Z6011">
        <v>-0.24100360000000001</v>
      </c>
      <c r="AA6011">
        <v>0.95897089999999996</v>
      </c>
      <c r="AB6011">
        <v>27</v>
      </c>
      <c r="AC6011">
        <v>0.14299999999999999</v>
      </c>
      <c r="AD6011">
        <v>-0.21924399999999999</v>
      </c>
      <c r="AE6011">
        <v>0.60851699999999997</v>
      </c>
      <c r="AF6011">
        <v>0.121492264341411</v>
      </c>
      <c r="AG6011">
        <v>-0.21924399999999999</v>
      </c>
      <c r="AH6011">
        <v>0.54319907458651595</v>
      </c>
      <c r="AI6011">
        <v>111.498719383788</v>
      </c>
      <c r="AJ6011">
        <v>77.392678180739694</v>
      </c>
      <c r="AK6011">
        <v>0.59824203836110601</v>
      </c>
      <c r="AL6011">
        <v>89.465752558276506</v>
      </c>
      <c r="AM6011">
        <v>88.145488180104806</v>
      </c>
      <c r="AN6011">
        <v>1.00000002546319</v>
      </c>
    </row>
    <row r="6012" spans="1:40" x14ac:dyDescent="0.25">
      <c r="A6012" t="str">
        <f>"20190312154723129"</f>
        <v>20190312154723129</v>
      </c>
      <c r="B6012" t="str">
        <f>"1552376843123664"</f>
        <v>1552376843123664</v>
      </c>
      <c r="C6012" t="s">
        <v>40</v>
      </c>
      <c r="D6012">
        <v>4.7521309999999897</v>
      </c>
      <c r="E6012">
        <v>0.54872330000000002</v>
      </c>
      <c r="F6012" t="s">
        <v>41</v>
      </c>
      <c r="G6012">
        <v>-188.5642</v>
      </c>
      <c r="H6012">
        <v>0.89501309999999901</v>
      </c>
      <c r="I6012">
        <v>10.22447</v>
      </c>
      <c r="J6012">
        <v>-188.70140000000001</v>
      </c>
      <c r="K6012">
        <v>1.109113</v>
      </c>
      <c r="L6012">
        <v>9.8793950000000006</v>
      </c>
      <c r="M6012">
        <v>1.0565099999999999E-2</v>
      </c>
      <c r="N6012">
        <v>0</v>
      </c>
      <c r="O6012">
        <v>0.9999169</v>
      </c>
      <c r="P6012">
        <v>4.3629370000000001E-2</v>
      </c>
      <c r="Q6012">
        <v>1.5024019999999999E-3</v>
      </c>
      <c r="R6012">
        <v>0.99904669999999896</v>
      </c>
      <c r="S6012">
        <v>0.49705510000000003</v>
      </c>
      <c r="T6012">
        <v>-0.747144699999999</v>
      </c>
      <c r="U6012">
        <v>2.982758</v>
      </c>
      <c r="V6012">
        <v>3.3070170000000003E-2</v>
      </c>
      <c r="W6012">
        <v>8.8884299999999992E-3</v>
      </c>
      <c r="X6012">
        <v>0.99941349999999995</v>
      </c>
      <c r="Y6012">
        <v>0.14914069999999999</v>
      </c>
      <c r="Z6012">
        <v>-0.24004729999999999</v>
      </c>
      <c r="AA6012">
        <v>0.95923630000000004</v>
      </c>
      <c r="AB6012">
        <v>27</v>
      </c>
      <c r="AC6012">
        <v>0.13720000000000701</v>
      </c>
      <c r="AD6012">
        <v>-0.21409990000000001</v>
      </c>
      <c r="AE6012">
        <v>0.34507499999999902</v>
      </c>
      <c r="AF6012">
        <v>0.10022969678959701</v>
      </c>
      <c r="AG6012">
        <v>-0.21409990000000001</v>
      </c>
      <c r="AH6012">
        <v>0.26006016359033601</v>
      </c>
      <c r="AI6012">
        <v>127.531160907311</v>
      </c>
      <c r="AJ6012">
        <v>68.922855882745495</v>
      </c>
      <c r="AK6012">
        <v>0.35144849976230802</v>
      </c>
      <c r="AL6012">
        <v>89.490723764532206</v>
      </c>
      <c r="AM6012">
        <v>88.1047983861842</v>
      </c>
      <c r="AN6012">
        <v>0.999999992156971</v>
      </c>
    </row>
    <row r="6013" spans="1:40" x14ac:dyDescent="0.25">
      <c r="A6013" t="str">
        <f>"20190312154723151"</f>
        <v>20190312154723151</v>
      </c>
      <c r="B6013" t="str">
        <f>"1552376843144160"</f>
        <v>1552376843144160</v>
      </c>
      <c r="C6013" t="s">
        <v>40</v>
      </c>
      <c r="D6013">
        <v>4.7527160000000004</v>
      </c>
      <c r="E6013">
        <v>0.54845540000000004</v>
      </c>
      <c r="F6013" t="s">
        <v>41</v>
      </c>
      <c r="G6013">
        <v>-188.56229999999999</v>
      </c>
      <c r="H6013">
        <v>0.89979699999999996</v>
      </c>
      <c r="I6013">
        <v>10.716850000000001</v>
      </c>
      <c r="J6013">
        <v>-188.6986</v>
      </c>
      <c r="K6013">
        <v>1.1091070000000001</v>
      </c>
      <c r="L6013">
        <v>10.1564</v>
      </c>
      <c r="M6013">
        <v>1.0454E-2</v>
      </c>
      <c r="N6013">
        <v>0</v>
      </c>
      <c r="O6013">
        <v>0.99991830000000004</v>
      </c>
      <c r="P6013">
        <v>4.352934E-2</v>
      </c>
      <c r="Q6013">
        <v>8.1634359999999996E-4</v>
      </c>
      <c r="R6013">
        <v>0.99905180000000005</v>
      </c>
      <c r="S6013">
        <v>0.49491879999999999</v>
      </c>
      <c r="T6013">
        <v>-0.74541269999999904</v>
      </c>
      <c r="U6013">
        <v>2.982361</v>
      </c>
      <c r="V6013">
        <v>3.3081239999999998E-2</v>
      </c>
      <c r="W6013">
        <v>8.1793990000000004E-3</v>
      </c>
      <c r="X6013">
        <v>0.99941919999999995</v>
      </c>
      <c r="Y6013">
        <v>0.14862159999999999</v>
      </c>
      <c r="Z6013">
        <v>-0.2395757</v>
      </c>
      <c r="AA6013">
        <v>0.95943480000000003</v>
      </c>
      <c r="AB6013">
        <v>27</v>
      </c>
      <c r="AC6013">
        <v>0.136300000000005</v>
      </c>
      <c r="AD6013">
        <v>-0.20931</v>
      </c>
      <c r="AE6013">
        <v>0.560450000000001</v>
      </c>
      <c r="AF6013">
        <v>0.115255519467616</v>
      </c>
      <c r="AG6013">
        <v>-0.20931</v>
      </c>
      <c r="AH6013">
        <v>0.49646510394487697</v>
      </c>
      <c r="AI6013">
        <v>112.326933173987</v>
      </c>
      <c r="AJ6013">
        <v>76.930168327560395</v>
      </c>
      <c r="AK6013">
        <v>0.55097378368008398</v>
      </c>
      <c r="AL6013">
        <v>89.531349734549806</v>
      </c>
      <c r="AM6013">
        <v>88.104175248691405</v>
      </c>
      <c r="AN6013">
        <v>1.0000000041682799</v>
      </c>
    </row>
    <row r="6014" spans="1:40" x14ac:dyDescent="0.25">
      <c r="A6014" t="str">
        <f>"20190312154723173"</f>
        <v>20190312154723173</v>
      </c>
      <c r="B6014" t="str">
        <f>"1552376843164656"</f>
        <v>1552376843164656</v>
      </c>
      <c r="C6014" t="s">
        <v>40</v>
      </c>
      <c r="D6014">
        <v>4.7720070000000003</v>
      </c>
      <c r="E6014">
        <v>0.548508199999999</v>
      </c>
      <c r="F6014" t="s">
        <v>41</v>
      </c>
      <c r="G6014">
        <v>-188.56450000000001</v>
      </c>
      <c r="H6014">
        <v>0.90648600000000001</v>
      </c>
      <c r="I6014">
        <v>10.965809999999999</v>
      </c>
      <c r="J6014">
        <v>-188.69579999999999</v>
      </c>
      <c r="K6014">
        <v>1.109091</v>
      </c>
      <c r="L6014">
        <v>10.42755</v>
      </c>
      <c r="M6014">
        <v>1.0345200000000001E-2</v>
      </c>
      <c r="N6014">
        <v>0</v>
      </c>
      <c r="O6014">
        <v>0.99991949999999996</v>
      </c>
      <c r="P6014">
        <v>4.3198849999999997E-2</v>
      </c>
      <c r="Q6014">
        <v>1.599081E-3</v>
      </c>
      <c r="R6014">
        <v>0.99906519999999999</v>
      </c>
      <c r="S6014">
        <v>0.49311830000000001</v>
      </c>
      <c r="T6014">
        <v>-0.74647240000000004</v>
      </c>
      <c r="U6014">
        <v>2.9819640000000001</v>
      </c>
      <c r="V6014">
        <v>3.285925E-2</v>
      </c>
      <c r="W6014">
        <v>8.9437409999999998E-3</v>
      </c>
      <c r="X6014">
        <v>0.99941999999999998</v>
      </c>
      <c r="Y6014">
        <v>0.14817089999999999</v>
      </c>
      <c r="Z6014">
        <v>-0.23994570000000001</v>
      </c>
      <c r="AA6014">
        <v>0.95941200000000004</v>
      </c>
      <c r="AB6014">
        <v>27</v>
      </c>
      <c r="AC6014">
        <v>0.13129999999998099</v>
      </c>
      <c r="AD6014">
        <v>-0.20260500000000001</v>
      </c>
      <c r="AE6014">
        <v>0.53826000000000096</v>
      </c>
      <c r="AF6014">
        <v>0.110894955441575</v>
      </c>
      <c r="AG6014">
        <v>-0.20260500000000001</v>
      </c>
      <c r="AH6014">
        <v>0.47594382850370098</v>
      </c>
      <c r="AI6014">
        <v>112.518210745801</v>
      </c>
      <c r="AJ6014">
        <v>76.884086543289797</v>
      </c>
      <c r="AK6014">
        <v>0.52902646914700702</v>
      </c>
      <c r="AL6014">
        <v>89.487554570352003</v>
      </c>
      <c r="AM6014">
        <v>88.116889401368695</v>
      </c>
      <c r="AN6014">
        <v>1.00000002860681</v>
      </c>
    </row>
    <row r="6015" spans="1:40" x14ac:dyDescent="0.25">
      <c r="A6015" t="str">
        <f>"20190312154723196"</f>
        <v>20190312154723196</v>
      </c>
      <c r="B6015" t="str">
        <f>"1552376843184176"</f>
        <v>1552376843184176</v>
      </c>
      <c r="C6015" t="s">
        <v>40</v>
      </c>
      <c r="D6015">
        <v>4.7815269999999996</v>
      </c>
      <c r="E6015">
        <v>0.54849159999999997</v>
      </c>
      <c r="F6015" t="s">
        <v>41</v>
      </c>
      <c r="G6015">
        <v>-188.56559999999999</v>
      </c>
      <c r="H6015">
        <v>0.91280899999999998</v>
      </c>
      <c r="I6015">
        <v>11.21537</v>
      </c>
      <c r="J6015">
        <v>-188.69300000000001</v>
      </c>
      <c r="K6015">
        <v>1.1090899999999999</v>
      </c>
      <c r="L6015">
        <v>10.714689999999999</v>
      </c>
      <c r="M6015">
        <v>1.0230029999999999E-2</v>
      </c>
      <c r="N6015">
        <v>0</v>
      </c>
      <c r="O6015">
        <v>0.99992080000000005</v>
      </c>
      <c r="P6015">
        <v>4.276576E-2</v>
      </c>
      <c r="Q6015">
        <v>2.1782490000000002E-3</v>
      </c>
      <c r="R6015">
        <v>0.99908269999999999</v>
      </c>
      <c r="S6015">
        <v>0.4926758</v>
      </c>
      <c r="T6015">
        <v>-0.74312339999999999</v>
      </c>
      <c r="U6015">
        <v>2.9826969999999999</v>
      </c>
      <c r="V6015">
        <v>3.2541E-2</v>
      </c>
      <c r="W6015">
        <v>9.5078160000000005E-3</v>
      </c>
      <c r="X6015">
        <v>0.99942520000000001</v>
      </c>
      <c r="Y6015">
        <v>0.148151</v>
      </c>
      <c r="Z6015">
        <v>-0.23888039999999999</v>
      </c>
      <c r="AA6015">
        <v>0.95968089999999995</v>
      </c>
      <c r="AB6015">
        <v>28</v>
      </c>
      <c r="AC6015">
        <v>0.12739999999999399</v>
      </c>
      <c r="AD6015">
        <v>-0.19628099999999901</v>
      </c>
      <c r="AE6015">
        <v>0.50068000000000001</v>
      </c>
      <c r="AF6015">
        <v>0.10684859207327101</v>
      </c>
      <c r="AG6015">
        <v>-0.19628099999999901</v>
      </c>
      <c r="AH6015">
        <v>0.43864297681653802</v>
      </c>
      <c r="AI6015">
        <v>113.497510983407</v>
      </c>
      <c r="AJ6015">
        <v>76.309992081162406</v>
      </c>
      <c r="AK6015">
        <v>0.49229108634984903</v>
      </c>
      <c r="AL6015">
        <v>89.455234075358504</v>
      </c>
      <c r="AM6015">
        <v>88.135124550183505</v>
      </c>
      <c r="AN6015">
        <v>1.0000000228205601</v>
      </c>
    </row>
    <row r="6016" spans="1:40" x14ac:dyDescent="0.25">
      <c r="A6016" t="str">
        <f>"20190312154723218"</f>
        <v>20190312154723218</v>
      </c>
      <c r="B6016" t="str">
        <f>"1552376843213962"</f>
        <v>1552376843213962</v>
      </c>
      <c r="C6016" t="s">
        <v>40</v>
      </c>
      <c r="D6016">
        <v>4.8101919999999998</v>
      </c>
      <c r="E6016">
        <v>0.54857210000000001</v>
      </c>
      <c r="F6016" t="s">
        <v>41</v>
      </c>
      <c r="G6016">
        <v>-188.56909999999999</v>
      </c>
      <c r="H6016">
        <v>0.92213270000000003</v>
      </c>
      <c r="I6016">
        <v>11.46682</v>
      </c>
      <c r="J6016">
        <v>-188.69040000000001</v>
      </c>
      <c r="K6016">
        <v>1.1090899999999999</v>
      </c>
      <c r="L6016">
        <v>10.98007</v>
      </c>
      <c r="M6016">
        <v>1.0123409999999999E-2</v>
      </c>
      <c r="N6016">
        <v>0</v>
      </c>
      <c r="O6016">
        <v>0.99992199999999998</v>
      </c>
      <c r="P6016">
        <v>4.2684760000000002E-2</v>
      </c>
      <c r="Q6016">
        <v>2.2408580000000001E-3</v>
      </c>
      <c r="R6016">
        <v>0.99908609999999998</v>
      </c>
      <c r="S6016">
        <v>0.49078369999999999</v>
      </c>
      <c r="T6016">
        <v>-0.74157640000000002</v>
      </c>
      <c r="U6016">
        <v>2.983368</v>
      </c>
      <c r="V6016">
        <v>3.2566530000000003E-2</v>
      </c>
      <c r="W6016">
        <v>9.5588349999999999E-3</v>
      </c>
      <c r="X6016">
        <v>0.99942390000000003</v>
      </c>
      <c r="Y6016">
        <v>0.1476489</v>
      </c>
      <c r="Z6016">
        <v>-0.2383827</v>
      </c>
      <c r="AA6016">
        <v>0.95988200000000001</v>
      </c>
      <c r="AB6016">
        <v>28</v>
      </c>
      <c r="AC6016">
        <v>0.121300000000019</v>
      </c>
      <c r="AD6016">
        <v>-0.18695729999999999</v>
      </c>
      <c r="AE6016">
        <v>0.48675000000000002</v>
      </c>
      <c r="AF6016">
        <v>0.102173978607474</v>
      </c>
      <c r="AG6016">
        <v>-0.18695729999999999</v>
      </c>
      <c r="AH6016">
        <v>0.42844190006031801</v>
      </c>
      <c r="AI6016">
        <v>112.99940275436199</v>
      </c>
      <c r="AJ6016">
        <v>76.586748519061004</v>
      </c>
      <c r="AK6016">
        <v>0.478492440541192</v>
      </c>
      <c r="AL6016">
        <v>89.452310779188295</v>
      </c>
      <c r="AM6016">
        <v>88.1336600729216</v>
      </c>
      <c r="AN6016">
        <v>1.000000041047</v>
      </c>
    </row>
    <row r="6017" spans="1:40" x14ac:dyDescent="0.25">
      <c r="A6017" t="str">
        <f>"20190312154723242"</f>
        <v>20190312154723242</v>
      </c>
      <c r="B6017" t="str">
        <f>"1552376843234459"</f>
        <v>1552376843234459</v>
      </c>
      <c r="C6017" t="s">
        <v>40</v>
      </c>
      <c r="D6017">
        <v>4.8547609999999999</v>
      </c>
      <c r="E6017">
        <v>0.54853560000000001</v>
      </c>
      <c r="F6017" t="s">
        <v>41</v>
      </c>
      <c r="G6017">
        <v>-188.56909999999999</v>
      </c>
      <c r="H6017">
        <v>0.92566649999999995</v>
      </c>
      <c r="I6017">
        <v>11.71683</v>
      </c>
      <c r="J6017">
        <v>-188.6875</v>
      </c>
      <c r="K6017">
        <v>1.109094</v>
      </c>
      <c r="L6017">
        <v>11.275600000000001</v>
      </c>
      <c r="M6017">
        <v>1.000479E-2</v>
      </c>
      <c r="N6017">
        <v>0</v>
      </c>
      <c r="O6017">
        <v>0.99992320000000001</v>
      </c>
      <c r="P6017">
        <v>4.24772E-2</v>
      </c>
      <c r="Q6017">
        <v>2.6323050000000001E-3</v>
      </c>
      <c r="R6017">
        <v>0.99909389999999998</v>
      </c>
      <c r="S6017">
        <v>0.49116520000000002</v>
      </c>
      <c r="T6017">
        <v>-0.7427511</v>
      </c>
      <c r="U6017">
        <v>2.9834290000000001</v>
      </c>
      <c r="V6017">
        <v>3.2477390000000002E-2</v>
      </c>
      <c r="W6017">
        <v>9.9407639999999995E-3</v>
      </c>
      <c r="X6017">
        <v>0.99942299999999995</v>
      </c>
      <c r="Y6017">
        <v>0.14786869999999999</v>
      </c>
      <c r="Z6017">
        <v>-0.2387282</v>
      </c>
      <c r="AA6017">
        <v>0.95976229999999996</v>
      </c>
      <c r="AB6017">
        <v>28</v>
      </c>
      <c r="AC6017">
        <v>0.118400000000008</v>
      </c>
      <c r="AD6017">
        <v>-0.18342749999999999</v>
      </c>
      <c r="AE6017">
        <v>0.44122999999999901</v>
      </c>
      <c r="AF6017">
        <v>9.8155546947154906E-2</v>
      </c>
      <c r="AG6017">
        <v>-0.18342749999999999</v>
      </c>
      <c r="AH6017">
        <v>0.38097432531354702</v>
      </c>
      <c r="AI6017">
        <v>114.99697646646401</v>
      </c>
      <c r="AJ6017">
        <v>75.552326109178907</v>
      </c>
      <c r="AK6017">
        <v>0.43407556450560297</v>
      </c>
      <c r="AL6017">
        <v>89.430426777444794</v>
      </c>
      <c r="AM6017">
        <v>88.138763282292601</v>
      </c>
      <c r="AN6017">
        <v>0.99999996628955701</v>
      </c>
    </row>
    <row r="6018" spans="1:40" x14ac:dyDescent="0.25">
      <c r="A6018" t="str">
        <f>"20190312154723267"</f>
        <v>20190312154723267</v>
      </c>
      <c r="B6018" t="str">
        <f>"1552376843253979"</f>
        <v>1552376843253979</v>
      </c>
      <c r="C6018" t="s">
        <v>40</v>
      </c>
      <c r="D6018">
        <v>4.8099990000000004</v>
      </c>
      <c r="E6018">
        <v>0.55190499999999998</v>
      </c>
      <c r="F6018" t="s">
        <v>41</v>
      </c>
      <c r="G6018">
        <v>-188.57310000000001</v>
      </c>
      <c r="H6018">
        <v>0.93645330000000004</v>
      </c>
      <c r="I6018">
        <v>11.97082</v>
      </c>
      <c r="J6018">
        <v>-188.68450000000001</v>
      </c>
      <c r="K6018">
        <v>1.1090949999999999</v>
      </c>
      <c r="L6018">
        <v>11.59338</v>
      </c>
      <c r="M6018">
        <v>9.8773869999999996E-3</v>
      </c>
      <c r="N6018">
        <v>0</v>
      </c>
      <c r="O6018">
        <v>0.99992460000000005</v>
      </c>
      <c r="P6018">
        <v>4.2405430000000001E-2</v>
      </c>
      <c r="Q6018">
        <v>2.1661879999999999E-3</v>
      </c>
      <c r="R6018">
        <v>0.99909809999999999</v>
      </c>
      <c r="S6018">
        <v>0.4907532</v>
      </c>
      <c r="T6018">
        <v>-0.74095299999999997</v>
      </c>
      <c r="U6018">
        <v>2.9837950000000002</v>
      </c>
      <c r="V6018">
        <v>3.2532999999999999E-2</v>
      </c>
      <c r="W6018">
        <v>9.4677619999999994E-3</v>
      </c>
      <c r="X6018">
        <v>0.99942580000000003</v>
      </c>
      <c r="Y6018">
        <v>0.14786939999999901</v>
      </c>
      <c r="Z6018">
        <v>-0.23815910000000001</v>
      </c>
      <c r="AA6018">
        <v>0.95990359999999997</v>
      </c>
      <c r="AB6018">
        <v>28</v>
      </c>
      <c r="AC6018">
        <v>0.111400000000003</v>
      </c>
      <c r="AD6018">
        <v>-0.17264170000000001</v>
      </c>
      <c r="AE6018">
        <v>0.37744</v>
      </c>
      <c r="AF6018">
        <v>9.0289907195053795E-2</v>
      </c>
      <c r="AG6018">
        <v>-0.17264170000000001</v>
      </c>
      <c r="AH6018">
        <v>0.31743171272068399</v>
      </c>
      <c r="AI6018">
        <v>117.614977252027</v>
      </c>
      <c r="AJ6018">
        <v>74.122189358162601</v>
      </c>
      <c r="AK6018">
        <v>0.37245176353585502</v>
      </c>
      <c r="AL6018">
        <v>89.457529081698297</v>
      </c>
      <c r="AM6018">
        <v>88.135583812967795</v>
      </c>
      <c r="AN6018">
        <v>0.99999998215596397</v>
      </c>
    </row>
    <row r="6019" spans="1:40" x14ac:dyDescent="0.25">
      <c r="A6019" t="str">
        <f>"20190312154723290"</f>
        <v>20190312154723290</v>
      </c>
      <c r="B6019" t="str">
        <f>"1552376843274475"</f>
        <v>1552376843274475</v>
      </c>
      <c r="C6019" t="s">
        <v>40</v>
      </c>
      <c r="D6019">
        <v>4.8661890000000003</v>
      </c>
      <c r="E6019">
        <v>0.55163169999999995</v>
      </c>
      <c r="F6019" t="s">
        <v>41</v>
      </c>
      <c r="G6019">
        <v>-188.5378</v>
      </c>
      <c r="H6019">
        <v>0.86811229999999995</v>
      </c>
      <c r="I6019">
        <v>12.44271</v>
      </c>
      <c r="J6019">
        <v>-188.68190000000001</v>
      </c>
      <c r="K6019">
        <v>1.109091</v>
      </c>
      <c r="L6019">
        <v>11.869960000000001</v>
      </c>
      <c r="M6019">
        <v>9.7667129999999998E-3</v>
      </c>
      <c r="N6019">
        <v>0</v>
      </c>
      <c r="O6019">
        <v>0.99992570000000003</v>
      </c>
      <c r="P6019">
        <v>4.2208849999999999E-2</v>
      </c>
      <c r="Q6019">
        <v>2.1237109999999999E-3</v>
      </c>
      <c r="R6019">
        <v>0.99910650000000001</v>
      </c>
      <c r="S6019">
        <v>0.51422120000000004</v>
      </c>
      <c r="T6019">
        <v>-0.84629109999999996</v>
      </c>
      <c r="U6019">
        <v>2.9827270000000001</v>
      </c>
      <c r="V6019">
        <v>3.2446959999999997E-2</v>
      </c>
      <c r="W6019">
        <v>9.4215119999999999E-3</v>
      </c>
      <c r="X6019">
        <v>0.99942900000000001</v>
      </c>
      <c r="Y6019">
        <v>0.1539777</v>
      </c>
      <c r="Z6019">
        <v>-0.26947330000000003</v>
      </c>
      <c r="AA6019">
        <v>0.95061830000000003</v>
      </c>
      <c r="AB6019">
        <v>28</v>
      </c>
      <c r="AC6019">
        <v>0.144100000000008</v>
      </c>
      <c r="AD6019">
        <v>-0.24097869999999999</v>
      </c>
      <c r="AE6019">
        <v>0.57274999999999898</v>
      </c>
      <c r="AF6019">
        <v>0.11873213126361901</v>
      </c>
      <c r="AG6019">
        <v>-0.24097869999999999</v>
      </c>
      <c r="AH6019">
        <v>0.49218871484121202</v>
      </c>
      <c r="AI6019">
        <v>115.45227453742601</v>
      </c>
      <c r="AJ6019">
        <v>76.437490498813602</v>
      </c>
      <c r="AK6019">
        <v>0.56072968876735496</v>
      </c>
      <c r="AL6019">
        <v>89.460179111344502</v>
      </c>
      <c r="AM6019">
        <v>88.140517116407693</v>
      </c>
      <c r="AN6019">
        <v>0.99999994807130199</v>
      </c>
    </row>
    <row r="6020" spans="1:40" x14ac:dyDescent="0.25">
      <c r="A6020" t="str">
        <f>"20190312154723310"</f>
        <v>20190312154723310</v>
      </c>
      <c r="B6020" t="str">
        <f>"1552376843304263"</f>
        <v>1552376843304263</v>
      </c>
      <c r="C6020" t="s">
        <v>40</v>
      </c>
      <c r="D6020">
        <v>4.8618600000000001</v>
      </c>
      <c r="E6020">
        <v>0.55149409999999999</v>
      </c>
      <c r="F6020" t="s">
        <v>41</v>
      </c>
      <c r="G6020">
        <v>-188.54</v>
      </c>
      <c r="H6020">
        <v>0.87444140000000004</v>
      </c>
      <c r="I6020">
        <v>12.69646</v>
      </c>
      <c r="J6020">
        <v>-188.67939999999999</v>
      </c>
      <c r="K6020">
        <v>1.1090949999999999</v>
      </c>
      <c r="L6020">
        <v>12.1304</v>
      </c>
      <c r="M6020">
        <v>9.662693E-3</v>
      </c>
      <c r="N6020">
        <v>0</v>
      </c>
      <c r="O6020">
        <v>0.99992669999999995</v>
      </c>
      <c r="P6020">
        <v>4.2169060000000001E-2</v>
      </c>
      <c r="Q6020">
        <v>2.4037300000000002E-3</v>
      </c>
      <c r="R6020">
        <v>0.99910759999999998</v>
      </c>
      <c r="S6020">
        <v>0.51142879999999902</v>
      </c>
      <c r="T6020">
        <v>-0.84685829999999995</v>
      </c>
      <c r="U6020">
        <v>2.9828800000000002</v>
      </c>
      <c r="V6020">
        <v>3.2511100000000001E-2</v>
      </c>
      <c r="W6020">
        <v>9.6990180000000002E-3</v>
      </c>
      <c r="X6020">
        <v>0.99942430000000004</v>
      </c>
      <c r="Y6020">
        <v>0.15319869999999999</v>
      </c>
      <c r="Z6020">
        <v>-0.26966440000000003</v>
      </c>
      <c r="AA6020">
        <v>0.95068989999999998</v>
      </c>
      <c r="AB6020">
        <v>28</v>
      </c>
      <c r="AC6020">
        <v>0.139399999999994</v>
      </c>
      <c r="AD6020">
        <v>-0.23465359999999999</v>
      </c>
      <c r="AE6020">
        <v>0.56606000000000001</v>
      </c>
      <c r="AF6020">
        <v>0.11525110599549</v>
      </c>
      <c r="AG6020">
        <v>-0.23465359999999999</v>
      </c>
      <c r="AH6020">
        <v>0.48827241859022003</v>
      </c>
      <c r="AI6020">
        <v>115.06673136660299</v>
      </c>
      <c r="AJ6020">
        <v>76.719072347000804</v>
      </c>
      <c r="AK6020">
        <v>0.55385475007630602</v>
      </c>
      <c r="AL6020">
        <v>89.444278482847693</v>
      </c>
      <c r="AM6020">
        <v>88.136835189023998</v>
      </c>
      <c r="AN6020">
        <v>0.99999998700193204</v>
      </c>
    </row>
    <row r="6021" spans="1:40" x14ac:dyDescent="0.25">
      <c r="A6021" t="str">
        <f>"20190312154723330"</f>
        <v>20190312154723330</v>
      </c>
      <c r="B6021" t="str">
        <f>"1552376843323782"</f>
        <v>1552376843323782</v>
      </c>
      <c r="C6021" t="s">
        <v>40</v>
      </c>
      <c r="D6021">
        <v>4.9163169999999896</v>
      </c>
      <c r="E6021">
        <v>0.55174669999999904</v>
      </c>
      <c r="F6021" t="s">
        <v>41</v>
      </c>
      <c r="G6021">
        <v>-188.53919999999999</v>
      </c>
      <c r="H6021">
        <v>0.87621610000000005</v>
      </c>
      <c r="I6021">
        <v>12.949109999999999</v>
      </c>
      <c r="J6021">
        <v>-188.6771</v>
      </c>
      <c r="K6021">
        <v>1.1090949999999999</v>
      </c>
      <c r="L6021">
        <v>12.383789999999999</v>
      </c>
      <c r="M6021">
        <v>9.561333E-3</v>
      </c>
      <c r="N6021">
        <v>0</v>
      </c>
      <c r="O6021">
        <v>0.99992769999999997</v>
      </c>
      <c r="P6021">
        <v>4.1902870000000002E-2</v>
      </c>
      <c r="Q6021">
        <v>2.8276199999999999E-3</v>
      </c>
      <c r="R6021">
        <v>0.9991177</v>
      </c>
      <c r="S6021">
        <v>0.51013180000000002</v>
      </c>
      <c r="T6021">
        <v>-0.84854869999999905</v>
      </c>
      <c r="U6021">
        <v>2.9831850000000002</v>
      </c>
      <c r="V6021">
        <v>3.2346029999999998E-2</v>
      </c>
      <c r="W6021">
        <v>1.012243E-2</v>
      </c>
      <c r="X6021">
        <v>0.99942549999999997</v>
      </c>
      <c r="Y6021">
        <v>0.15285789999999999</v>
      </c>
      <c r="Z6021">
        <v>-0.27015440000000002</v>
      </c>
      <c r="AA6021">
        <v>0.95060560000000005</v>
      </c>
      <c r="AB6021">
        <v>28</v>
      </c>
      <c r="AC6021">
        <v>0.13790000000000099</v>
      </c>
      <c r="AD6021">
        <v>-0.2328789</v>
      </c>
      <c r="AE6021">
        <v>0.56532000000000104</v>
      </c>
      <c r="AF6021">
        <v>0.11419777990105601</v>
      </c>
      <c r="AG6021">
        <v>-0.2328789</v>
      </c>
      <c r="AH6021">
        <v>0.48838948848560598</v>
      </c>
      <c r="AI6021">
        <v>114.905743566339</v>
      </c>
      <c r="AJ6021">
        <v>76.839252722768606</v>
      </c>
      <c r="AK6021">
        <v>0.55299006090776404</v>
      </c>
      <c r="AL6021">
        <v>89.420017594978304</v>
      </c>
      <c r="AM6021">
        <v>88.146290722838103</v>
      </c>
      <c r="AN6021">
        <v>1.00000002964805</v>
      </c>
    </row>
    <row r="6022" spans="1:40" x14ac:dyDescent="0.25">
      <c r="A6022" t="str">
        <f>"20190312154723375"</f>
        <v>20190312154723375</v>
      </c>
      <c r="B6022" t="str">
        <f>"1552376843363798"</f>
        <v>1552376843363798</v>
      </c>
      <c r="C6022" t="s">
        <v>40</v>
      </c>
      <c r="D6022">
        <v>4.9453519999999997</v>
      </c>
      <c r="E6022">
        <v>0.55040149999999999</v>
      </c>
      <c r="F6022" t="s">
        <v>41</v>
      </c>
      <c r="G6022">
        <v>-188.5369</v>
      </c>
      <c r="H6022">
        <v>0.87581129999999996</v>
      </c>
      <c r="I6022">
        <v>13.201599999999999</v>
      </c>
      <c r="J6022">
        <v>-188.67189999999999</v>
      </c>
      <c r="K6022">
        <v>1.1090869999999999</v>
      </c>
      <c r="L6022">
        <v>12.95679</v>
      </c>
      <c r="M6022">
        <v>9.3323109999999994E-3</v>
      </c>
      <c r="N6022">
        <v>0</v>
      </c>
      <c r="O6022">
        <v>0.99992979999999998</v>
      </c>
      <c r="P6022">
        <v>4.2505689999999999E-2</v>
      </c>
      <c r="Q6022">
        <v>1.88535E-3</v>
      </c>
      <c r="R6022">
        <v>0.99909440000000005</v>
      </c>
      <c r="S6022">
        <v>0.51109309999999997</v>
      </c>
      <c r="T6022">
        <v>-0.85108799999999996</v>
      </c>
      <c r="U6022">
        <v>2.9836119999999999</v>
      </c>
      <c r="V6022">
        <v>3.3178109999999997E-2</v>
      </c>
      <c r="W6022">
        <v>9.1826259999999993E-3</v>
      </c>
      <c r="X6022">
        <v>0.9994073</v>
      </c>
      <c r="Y6022">
        <v>0.15332579999999901</v>
      </c>
      <c r="Z6022">
        <v>-0.27085160000000003</v>
      </c>
      <c r="AA6022">
        <v>0.95033179999999995</v>
      </c>
      <c r="AB6022">
        <v>28</v>
      </c>
      <c r="AC6022">
        <v>0.13499999999998999</v>
      </c>
      <c r="AD6022">
        <v>-0.2332757</v>
      </c>
      <c r="AE6022">
        <v>0.244809999999999</v>
      </c>
      <c r="AF6022">
        <v>7.8236480854149207E-2</v>
      </c>
      <c r="AG6022">
        <v>-0.2332757</v>
      </c>
      <c r="AH6022">
        <v>0.14505985347723899</v>
      </c>
      <c r="AI6022">
        <v>144.75819357128299</v>
      </c>
      <c r="AJ6022">
        <v>61.660270348187197</v>
      </c>
      <c r="AK6022">
        <v>0.28562363389217199</v>
      </c>
      <c r="AL6022">
        <v>89.473866906692095</v>
      </c>
      <c r="AM6022">
        <v>88.098605253689001</v>
      </c>
      <c r="AN6022">
        <v>1.00000002944835</v>
      </c>
    </row>
    <row r="6023" spans="1:40" x14ac:dyDescent="0.25">
      <c r="A6023" t="str">
        <f>"20190312154723397"</f>
        <v>20190312154723397</v>
      </c>
      <c r="B6023" t="str">
        <f>"1552376843384294"</f>
        <v>1552376843384294</v>
      </c>
      <c r="C6023" t="s">
        <v>40</v>
      </c>
      <c r="D6023">
        <v>4.9351120000000002</v>
      </c>
      <c r="E6023">
        <v>0.54957979999999995</v>
      </c>
      <c r="F6023" t="s">
        <v>41</v>
      </c>
      <c r="G6023">
        <v>-188.54159999999999</v>
      </c>
      <c r="H6023">
        <v>0.91359670000000004</v>
      </c>
      <c r="I6023">
        <v>13.724729999999999</v>
      </c>
      <c r="J6023">
        <v>-188.66929999999999</v>
      </c>
      <c r="K6023">
        <v>1.1090819999999999</v>
      </c>
      <c r="L6023">
        <v>13.242800000000001</v>
      </c>
      <c r="M6023">
        <v>9.2180179999999997E-3</v>
      </c>
      <c r="N6023">
        <v>0</v>
      </c>
      <c r="O6023">
        <v>0.99993089999999996</v>
      </c>
      <c r="P6023">
        <v>4.2833320000000001E-2</v>
      </c>
      <c r="Q6023">
        <v>1.419947E-3</v>
      </c>
      <c r="R6023">
        <v>0.9990812</v>
      </c>
      <c r="S6023">
        <v>0.50537109999999996</v>
      </c>
      <c r="T6023">
        <v>-0.75926939999999998</v>
      </c>
      <c r="U6023">
        <v>2.982666</v>
      </c>
      <c r="V6023">
        <v>3.3620160000000003E-2</v>
      </c>
      <c r="W6023">
        <v>8.7196359999999994E-3</v>
      </c>
      <c r="X6023">
        <v>0.99939659999999997</v>
      </c>
      <c r="Y6023">
        <v>0.15292839999999999</v>
      </c>
      <c r="Z6023">
        <v>-0.2435985</v>
      </c>
      <c r="AA6023">
        <v>0.95774349999999997</v>
      </c>
      <c r="AB6023">
        <v>28</v>
      </c>
      <c r="AC6023">
        <v>0.127700000000004</v>
      </c>
      <c r="AD6023">
        <v>-0.1954853</v>
      </c>
      <c r="AE6023">
        <v>0.48192999999999803</v>
      </c>
      <c r="AF6023">
        <v>0.106828130146186</v>
      </c>
      <c r="AG6023">
        <v>-0.1954853</v>
      </c>
      <c r="AH6023">
        <v>0.41871321734592698</v>
      </c>
      <c r="AI6023">
        <v>114.341052693409</v>
      </c>
      <c r="AJ6023">
        <v>75.687219959790596</v>
      </c>
      <c r="AK6023">
        <v>0.47428631678217098</v>
      </c>
      <c r="AL6023">
        <v>89.500395305020902</v>
      </c>
      <c r="AM6023">
        <v>88.073270293223104</v>
      </c>
      <c r="AN6023">
        <v>0.99999995565097799</v>
      </c>
    </row>
    <row r="6024" spans="1:40" x14ac:dyDescent="0.25">
      <c r="A6024" t="str">
        <f>"20190312154723420"</f>
        <v>20190312154723420</v>
      </c>
      <c r="B6024" t="str">
        <f>"1552376843414080"</f>
        <v>1552376843414080</v>
      </c>
      <c r="C6024" t="s">
        <v>40</v>
      </c>
      <c r="D6024">
        <v>4.9528840000000001</v>
      </c>
      <c r="E6024">
        <v>0.54993530000000002</v>
      </c>
      <c r="F6024" t="s">
        <v>41</v>
      </c>
      <c r="G6024">
        <v>-188.5453</v>
      </c>
      <c r="H6024">
        <v>0.92087969999999997</v>
      </c>
      <c r="I6024">
        <v>13.982329999999999</v>
      </c>
      <c r="J6024">
        <v>-188.66679999999999</v>
      </c>
      <c r="K6024">
        <v>1.1090799999999901</v>
      </c>
      <c r="L6024">
        <v>13.53271</v>
      </c>
      <c r="M6024">
        <v>9.1020379999999998E-3</v>
      </c>
      <c r="N6024">
        <v>0</v>
      </c>
      <c r="O6024">
        <v>0.99993189999999998</v>
      </c>
      <c r="P6024">
        <v>4.2855270000000001E-2</v>
      </c>
      <c r="Q6024">
        <v>1.482595E-3</v>
      </c>
      <c r="R6024">
        <v>0.99908019999999997</v>
      </c>
      <c r="S6024">
        <v>0.49972529999999998</v>
      </c>
      <c r="T6024">
        <v>-0.75898739999999998</v>
      </c>
      <c r="U6024">
        <v>2.9824220000000001</v>
      </c>
      <c r="V6024">
        <v>3.375802E-2</v>
      </c>
      <c r="W6024">
        <v>8.785915E-3</v>
      </c>
      <c r="X6024">
        <v>0.99939140000000004</v>
      </c>
      <c r="Y6024">
        <v>0.1512926</v>
      </c>
      <c r="Z6024">
        <v>-0.24359890000000001</v>
      </c>
      <c r="AA6024">
        <v>0.95800320000000005</v>
      </c>
      <c r="AB6024">
        <v>28</v>
      </c>
      <c r="AC6024">
        <v>0.121499999999997</v>
      </c>
      <c r="AD6024">
        <v>-0.18820029999999999</v>
      </c>
      <c r="AE6024">
        <v>0.44961999999999902</v>
      </c>
      <c r="AF6024">
        <v>0.10092335830037499</v>
      </c>
      <c r="AG6024">
        <v>-0.18820029999999999</v>
      </c>
      <c r="AH6024">
        <v>0.38744433449186499</v>
      </c>
      <c r="AI6024">
        <v>115.176446915227</v>
      </c>
      <c r="AJ6024">
        <v>75.399768942146693</v>
      </c>
      <c r="AK6024">
        <v>0.44240025938120803</v>
      </c>
      <c r="AL6024">
        <v>89.496597666329194</v>
      </c>
      <c r="AM6024">
        <v>88.065365640367702</v>
      </c>
      <c r="AN6024">
        <v>0.99999998330533302</v>
      </c>
    </row>
    <row r="6025" spans="1:40" x14ac:dyDescent="0.25">
      <c r="A6025" t="str">
        <f>"20190312154723444"</f>
        <v>20190312154723444</v>
      </c>
      <c r="B6025" t="str">
        <f>"1552376843434576"</f>
        <v>1552376843434576</v>
      </c>
      <c r="C6025" t="s">
        <v>40</v>
      </c>
      <c r="D6025">
        <v>4.9505369999999997</v>
      </c>
      <c r="E6025">
        <v>0.55018820000000002</v>
      </c>
      <c r="F6025" t="s">
        <v>41</v>
      </c>
      <c r="G6025">
        <v>-188.54740000000001</v>
      </c>
      <c r="H6025">
        <v>0.92768430000000002</v>
      </c>
      <c r="I6025">
        <v>14.240769999999999</v>
      </c>
      <c r="J6025">
        <v>-188.66419999999999</v>
      </c>
      <c r="K6025">
        <v>1.109075</v>
      </c>
      <c r="L6025">
        <v>13.826599999999999</v>
      </c>
      <c r="M6025">
        <v>8.9848800000000006E-3</v>
      </c>
      <c r="N6025">
        <v>0</v>
      </c>
      <c r="O6025">
        <v>0.99993290000000001</v>
      </c>
      <c r="P6025">
        <v>4.2649649999999997E-2</v>
      </c>
      <c r="Q6025">
        <v>1.328002E-3</v>
      </c>
      <c r="R6025">
        <v>0.99908920000000001</v>
      </c>
      <c r="S6025">
        <v>0.50233459999999996</v>
      </c>
      <c r="T6025">
        <v>-0.76404289999999997</v>
      </c>
      <c r="U6025">
        <v>2.982361</v>
      </c>
      <c r="V6025">
        <v>3.3669419999999999E-2</v>
      </c>
      <c r="W6025">
        <v>8.6357159999999999E-3</v>
      </c>
      <c r="X6025">
        <v>0.9993957</v>
      </c>
      <c r="Y6025">
        <v>0.15216399999999999</v>
      </c>
      <c r="Z6025">
        <v>-0.24509510000000001</v>
      </c>
      <c r="AA6025">
        <v>0.95748339999999998</v>
      </c>
      <c r="AB6025">
        <v>28</v>
      </c>
      <c r="AC6025">
        <v>0.116799999999983</v>
      </c>
      <c r="AD6025">
        <v>-0.18139069999999899</v>
      </c>
      <c r="AE6025">
        <v>0.41417000000000198</v>
      </c>
      <c r="AF6025">
        <v>9.6014138170948601E-2</v>
      </c>
      <c r="AG6025">
        <v>-0.18139069999999899</v>
      </c>
      <c r="AH6025">
        <v>0.35255993866380397</v>
      </c>
      <c r="AI6025">
        <v>116.400568696519</v>
      </c>
      <c r="AJ6025">
        <v>74.765844211233002</v>
      </c>
      <c r="AK6025">
        <v>0.40794584337363299</v>
      </c>
      <c r="AL6025">
        <v>89.505203762772297</v>
      </c>
      <c r="AM6025">
        <v>88.070447659767694</v>
      </c>
      <c r="AN6025">
        <v>0.99999998530622902</v>
      </c>
    </row>
    <row r="6026" spans="1:40" x14ac:dyDescent="0.25">
      <c r="A6026" t="str">
        <f>"20190312154723467"</f>
        <v>20190312154723467</v>
      </c>
      <c r="B6026" t="str">
        <f>"1552376843454095"</f>
        <v>1552376843454095</v>
      </c>
      <c r="C6026" t="s">
        <v>40</v>
      </c>
      <c r="D6026">
        <v>4.9475179999999996</v>
      </c>
      <c r="E6026">
        <v>0.54986359999999901</v>
      </c>
      <c r="F6026" t="s">
        <v>41</v>
      </c>
      <c r="G6026">
        <v>-188.5112</v>
      </c>
      <c r="H6026">
        <v>0.87539669999999903</v>
      </c>
      <c r="I6026">
        <v>14.73264</v>
      </c>
      <c r="J6026">
        <v>-188.66159999999999</v>
      </c>
      <c r="K6026">
        <v>1.1090770000000001</v>
      </c>
      <c r="L6026">
        <v>14.131959999999999</v>
      </c>
      <c r="M6026">
        <v>8.8630269999999903E-3</v>
      </c>
      <c r="N6026">
        <v>0</v>
      </c>
      <c r="O6026">
        <v>0.99993399999999999</v>
      </c>
      <c r="P6026">
        <v>4.2389019999999999E-2</v>
      </c>
      <c r="Q6026">
        <v>1.3988939999999999E-3</v>
      </c>
      <c r="R6026">
        <v>0.99910019999999999</v>
      </c>
      <c r="S6026">
        <v>0.50370789999999999</v>
      </c>
      <c r="T6026">
        <v>-0.76915029999999995</v>
      </c>
      <c r="U6026">
        <v>2.9822389999999999</v>
      </c>
      <c r="V6026">
        <v>3.3530490000000003E-2</v>
      </c>
      <c r="W6026">
        <v>8.7115309999999998E-3</v>
      </c>
      <c r="X6026">
        <v>0.9993997</v>
      </c>
      <c r="Y6026">
        <v>0.15265490000000001</v>
      </c>
      <c r="Z6026">
        <v>-0.2466246</v>
      </c>
      <c r="AA6026">
        <v>0.95701239999999999</v>
      </c>
      <c r="AB6026">
        <v>29</v>
      </c>
      <c r="AC6026">
        <v>0.15039999999998999</v>
      </c>
      <c r="AD6026">
        <v>-0.23368030000000001</v>
      </c>
      <c r="AE6026">
        <v>0.60067999999999799</v>
      </c>
      <c r="AF6026">
        <v>0.12698565784705301</v>
      </c>
      <c r="AG6026">
        <v>-0.23368030000000001</v>
      </c>
      <c r="AH6026">
        <v>0.52694539678209995</v>
      </c>
      <c r="AI6026">
        <v>113.321859233848</v>
      </c>
      <c r="AJ6026">
        <v>76.450944635586694</v>
      </c>
      <c r="AK6026">
        <v>0.59025697039237401</v>
      </c>
      <c r="AL6026">
        <v>89.500859713356405</v>
      </c>
      <c r="AM6026">
        <v>88.078411268077701</v>
      </c>
      <c r="AN6026">
        <v>0.99999997244604599</v>
      </c>
    </row>
    <row r="6027" spans="1:40" x14ac:dyDescent="0.25">
      <c r="A6027" t="str">
        <f>"20190312154723512"</f>
        <v>20190312154723512</v>
      </c>
      <c r="B6027" t="str">
        <f>"1552376843504378"</f>
        <v>1552376843504378</v>
      </c>
      <c r="C6027" t="s">
        <v>40</v>
      </c>
      <c r="D6027">
        <v>4.9366089999999998</v>
      </c>
      <c r="E6027">
        <v>0.54957590000000001</v>
      </c>
      <c r="F6027" t="s">
        <v>41</v>
      </c>
      <c r="G6027">
        <v>-188.51660000000001</v>
      </c>
      <c r="H6027">
        <v>0.88723609999999897</v>
      </c>
      <c r="I6027">
        <v>14.99489</v>
      </c>
      <c r="J6027">
        <v>-188.6568</v>
      </c>
      <c r="K6027">
        <v>1.1090709999999999</v>
      </c>
      <c r="L6027">
        <v>14.702299999999999</v>
      </c>
      <c r="M6027">
        <v>8.6356650000000007E-3</v>
      </c>
      <c r="N6027">
        <v>0</v>
      </c>
      <c r="O6027">
        <v>0.99993589999999999</v>
      </c>
      <c r="P6027">
        <v>4.2010899999999997E-2</v>
      </c>
      <c r="Q6027">
        <v>1.3096659999999999E-3</v>
      </c>
      <c r="R6027">
        <v>0.99911629999999996</v>
      </c>
      <c r="S6027">
        <v>0.50082399999999905</v>
      </c>
      <c r="T6027">
        <v>-0.76673009999999997</v>
      </c>
      <c r="U6027">
        <v>2.982513</v>
      </c>
      <c r="V6027">
        <v>3.3379470000000001E-2</v>
      </c>
      <c r="W6027">
        <v>8.6333299999999998E-3</v>
      </c>
      <c r="X6027">
        <v>0.9994054</v>
      </c>
      <c r="Y6027">
        <v>0.1519952</v>
      </c>
      <c r="Z6027">
        <v>-0.24590670000000001</v>
      </c>
      <c r="AA6027">
        <v>0.95730210000000004</v>
      </c>
      <c r="AB6027">
        <v>29</v>
      </c>
      <c r="AC6027">
        <v>0.140199999999993</v>
      </c>
      <c r="AD6027">
        <v>-0.2218349</v>
      </c>
      <c r="AE6027">
        <v>0.29259000000000002</v>
      </c>
      <c r="AF6027">
        <v>9.3811629076599401E-2</v>
      </c>
      <c r="AG6027">
        <v>-0.2218349</v>
      </c>
      <c r="AH6027">
        <v>0.20019833724311001</v>
      </c>
      <c r="AI6027">
        <v>135.096590636332</v>
      </c>
      <c r="AJ6027">
        <v>64.892519487224803</v>
      </c>
      <c r="AK6027">
        <v>0.31319437868985001</v>
      </c>
      <c r="AL6027">
        <v>89.505340452435405</v>
      </c>
      <c r="AM6027">
        <v>88.0870704850918</v>
      </c>
      <c r="AN6027">
        <v>0.99999993847676205</v>
      </c>
    </row>
    <row r="6028" spans="1:40" x14ac:dyDescent="0.25">
      <c r="A6028" t="str">
        <f>"20190312154723533"</f>
        <v>20190312154723533</v>
      </c>
      <c r="B6028" t="str">
        <f>"1552376843523898"</f>
        <v>1552376843523898</v>
      </c>
      <c r="C6028" t="s">
        <v>40</v>
      </c>
      <c r="D6028">
        <v>4.965128</v>
      </c>
      <c r="E6028">
        <v>0.54949740000000002</v>
      </c>
      <c r="F6028" t="s">
        <v>41</v>
      </c>
      <c r="G6028">
        <v>-188.52090000000001</v>
      </c>
      <c r="H6028">
        <v>0.89902879999999996</v>
      </c>
      <c r="I6028">
        <v>15.5167</v>
      </c>
      <c r="J6028">
        <v>-188.65450000000001</v>
      </c>
      <c r="K6028">
        <v>1.10907</v>
      </c>
      <c r="L6028">
        <v>14.98624</v>
      </c>
      <c r="M6028">
        <v>8.5225359999999903E-3</v>
      </c>
      <c r="N6028">
        <v>0</v>
      </c>
      <c r="O6028">
        <v>0.99993679999999996</v>
      </c>
      <c r="P6028">
        <v>4.1827799999999998E-2</v>
      </c>
      <c r="Q6028">
        <v>1.8210570000000001E-3</v>
      </c>
      <c r="R6028">
        <v>0.99912319999999999</v>
      </c>
      <c r="S6028">
        <v>0.49714659999999999</v>
      </c>
      <c r="T6028">
        <v>-0.76928090000000005</v>
      </c>
      <c r="U6028">
        <v>2.982758</v>
      </c>
      <c r="V6028">
        <v>3.3309289999999998E-2</v>
      </c>
      <c r="W6028">
        <v>9.1511579999999995E-3</v>
      </c>
      <c r="X6028">
        <v>0.99940320000000005</v>
      </c>
      <c r="Y6028">
        <v>0.15091270000000001</v>
      </c>
      <c r="Z6028">
        <v>-0.24670010000000001</v>
      </c>
      <c r="AA6028">
        <v>0.95726929999999999</v>
      </c>
      <c r="AB6028">
        <v>29</v>
      </c>
      <c r="AC6028">
        <v>0.133600000000001</v>
      </c>
      <c r="AD6028">
        <v>-0.21004120000000001</v>
      </c>
      <c r="AE6028">
        <v>0.53046000000000104</v>
      </c>
      <c r="AF6028">
        <v>0.112489520329319</v>
      </c>
      <c r="AG6028">
        <v>-0.21004120000000001</v>
      </c>
      <c r="AH6028">
        <v>0.46327714352801003</v>
      </c>
      <c r="AI6028">
        <v>113.777304690485</v>
      </c>
      <c r="AJ6028">
        <v>76.351991733610902</v>
      </c>
      <c r="AK6028">
        <v>0.52095768503481399</v>
      </c>
      <c r="AL6028">
        <v>89.475669952817796</v>
      </c>
      <c r="AM6028">
        <v>88.091085222450204</v>
      </c>
      <c r="AN6028">
        <v>1.0000000043316399</v>
      </c>
    </row>
    <row r="6029" spans="1:40" x14ac:dyDescent="0.25">
      <c r="A6029" t="str">
        <f>"20190312154723555"</f>
        <v>20190312154723555</v>
      </c>
      <c r="B6029" t="str">
        <f>"1552376843544394"</f>
        <v>1552376843544394</v>
      </c>
      <c r="C6029" t="s">
        <v>40</v>
      </c>
      <c r="D6029">
        <v>4.9348769999999904</v>
      </c>
      <c r="E6029">
        <v>0.54959579999999997</v>
      </c>
      <c r="F6029" t="s">
        <v>41</v>
      </c>
      <c r="G6029">
        <v>-188.52250000000001</v>
      </c>
      <c r="H6029">
        <v>0.90496710000000002</v>
      </c>
      <c r="I6029">
        <v>15.77868</v>
      </c>
      <c r="J6029">
        <v>-188.6523</v>
      </c>
      <c r="K6029">
        <v>1.1090719999999901</v>
      </c>
      <c r="L6029">
        <v>15.264559999999999</v>
      </c>
      <c r="M6029">
        <v>8.4116820000000002E-3</v>
      </c>
      <c r="N6029">
        <v>0</v>
      </c>
      <c r="O6029">
        <v>0.99993770000000004</v>
      </c>
      <c r="P6029">
        <v>4.1789809999999997E-2</v>
      </c>
      <c r="Q6029">
        <v>1.886422E-3</v>
      </c>
      <c r="R6029">
        <v>0.99912460000000003</v>
      </c>
      <c r="S6029">
        <v>0.49641420000000003</v>
      </c>
      <c r="T6029">
        <v>-0.76836040000000005</v>
      </c>
      <c r="U6029">
        <v>2.9832459999999998</v>
      </c>
      <c r="V6029">
        <v>3.338207E-2</v>
      </c>
      <c r="W6029">
        <v>9.2231569999999992E-3</v>
      </c>
      <c r="X6029">
        <v>0.99940010000000001</v>
      </c>
      <c r="Y6029">
        <v>0.150781</v>
      </c>
      <c r="Z6029">
        <v>-0.24639320000000001</v>
      </c>
      <c r="AA6029">
        <v>0.95736900000000003</v>
      </c>
      <c r="AB6029">
        <v>29</v>
      </c>
      <c r="AC6029">
        <v>0.12979999999998801</v>
      </c>
      <c r="AD6029">
        <v>-0.20410489999999901</v>
      </c>
      <c r="AE6029">
        <v>0.51411999999999802</v>
      </c>
      <c r="AF6029">
        <v>0.109279430248073</v>
      </c>
      <c r="AG6029">
        <v>-0.20410489999999901</v>
      </c>
      <c r="AH6029">
        <v>0.44871098657230601</v>
      </c>
      <c r="AI6029">
        <v>113.843111022855</v>
      </c>
      <c r="AJ6029">
        <v>76.312597888176001</v>
      </c>
      <c r="AK6029">
        <v>0.504918165201101</v>
      </c>
      <c r="AL6029">
        <v>89.471544534732899</v>
      </c>
      <c r="AM6029">
        <v>88.086911455676201</v>
      </c>
      <c r="AN6029">
        <v>0.99999999455126998</v>
      </c>
    </row>
    <row r="6030" spans="1:40" x14ac:dyDescent="0.25">
      <c r="A6030" t="str">
        <f>"20190312154723577"</f>
        <v>20190312154723577</v>
      </c>
      <c r="B6030" t="str">
        <f>"1552376843564890"</f>
        <v>1552376843564890</v>
      </c>
      <c r="C6030" t="s">
        <v>40</v>
      </c>
      <c r="D6030">
        <v>4.9527989999999997</v>
      </c>
      <c r="E6030">
        <v>0.54961139999999997</v>
      </c>
      <c r="F6030" t="s">
        <v>41</v>
      </c>
      <c r="G6030">
        <v>-188.52279999999999</v>
      </c>
      <c r="H6030">
        <v>0.90887320000000005</v>
      </c>
      <c r="I6030">
        <v>16.040559999999999</v>
      </c>
      <c r="J6030">
        <v>-188.6499</v>
      </c>
      <c r="K6030">
        <v>1.109064</v>
      </c>
      <c r="L6030">
        <v>15.559419999999999</v>
      </c>
      <c r="M6030">
        <v>8.2942959999999996E-3</v>
      </c>
      <c r="N6030">
        <v>0</v>
      </c>
      <c r="O6030">
        <v>0.99993869999999896</v>
      </c>
      <c r="P6030">
        <v>4.1956170000000001E-2</v>
      </c>
      <c r="Q6030">
        <v>1.993463E-3</v>
      </c>
      <c r="R6030">
        <v>0.99911740000000004</v>
      </c>
      <c r="S6030">
        <v>0.49703979999999998</v>
      </c>
      <c r="T6030">
        <v>-0.76964999999999995</v>
      </c>
      <c r="U6030">
        <v>2.9833069999999999</v>
      </c>
      <c r="V6030">
        <v>3.3665769999999998E-2</v>
      </c>
      <c r="W6030">
        <v>9.3371159999999995E-3</v>
      </c>
      <c r="X6030">
        <v>0.99938950000000004</v>
      </c>
      <c r="Y6030">
        <v>0.1510734</v>
      </c>
      <c r="Z6030">
        <v>-0.2467674</v>
      </c>
      <c r="AA6030">
        <v>0.95722660000000004</v>
      </c>
      <c r="AB6030">
        <v>29</v>
      </c>
      <c r="AC6030">
        <v>0.12710000000001201</v>
      </c>
      <c r="AD6030">
        <v>-0.2001908</v>
      </c>
      <c r="AE6030">
        <v>0.48113999999999801</v>
      </c>
      <c r="AF6030">
        <v>0.10595798965555001</v>
      </c>
      <c r="AG6030">
        <v>-0.2001908</v>
      </c>
      <c r="AH6030">
        <v>0.41501693424070601</v>
      </c>
      <c r="AI6030">
        <v>115.05024461211799</v>
      </c>
      <c r="AJ6030">
        <v>75.677770041991707</v>
      </c>
      <c r="AK6030">
        <v>0.47280282114539002</v>
      </c>
      <c r="AL6030">
        <v>89.465014870248197</v>
      </c>
      <c r="AM6030">
        <v>88.070644718415593</v>
      </c>
      <c r="AN6030">
        <v>0.99999996925756895</v>
      </c>
    </row>
    <row r="6031" spans="1:40" x14ac:dyDescent="0.25">
      <c r="A6031" t="str">
        <f>"20190312154723601"</f>
        <v>20190312154723601</v>
      </c>
      <c r="B6031" t="str">
        <f>"1552376843594170"</f>
        <v>1552376843594170</v>
      </c>
      <c r="C6031" t="s">
        <v>40</v>
      </c>
      <c r="D6031">
        <v>4.9497710000000001</v>
      </c>
      <c r="E6031">
        <v>0.54940339999999999</v>
      </c>
      <c r="F6031" t="s">
        <v>41</v>
      </c>
      <c r="G6031">
        <v>-188.5256</v>
      </c>
      <c r="H6031">
        <v>0.9169003</v>
      </c>
      <c r="I6031">
        <v>16.304760000000002</v>
      </c>
      <c r="J6031">
        <v>-188.6474</v>
      </c>
      <c r="K6031">
        <v>1.109064</v>
      </c>
      <c r="L6031">
        <v>15.87515</v>
      </c>
      <c r="M6031">
        <v>8.1686450000000004E-3</v>
      </c>
      <c r="N6031">
        <v>0</v>
      </c>
      <c r="O6031">
        <v>0.99993960000000004</v>
      </c>
      <c r="P6031">
        <v>4.2301320000000003E-2</v>
      </c>
      <c r="Q6031">
        <v>1.69819E-3</v>
      </c>
      <c r="R6031">
        <v>0.99910339999999997</v>
      </c>
      <c r="S6031">
        <v>0.49717709999999998</v>
      </c>
      <c r="T6031">
        <v>-0.76914539999999998</v>
      </c>
      <c r="U6031">
        <v>2.9833069999999999</v>
      </c>
      <c r="V6031">
        <v>3.4136659999999999E-2</v>
      </c>
      <c r="W6031">
        <v>9.0500719999999993E-3</v>
      </c>
      <c r="X6031">
        <v>0.99937619999999905</v>
      </c>
      <c r="Y6031">
        <v>0.15124689999999999</v>
      </c>
      <c r="Z6031">
        <v>-0.24661169999999999</v>
      </c>
      <c r="AA6031">
        <v>0.95723930000000002</v>
      </c>
      <c r="AB6031">
        <v>29</v>
      </c>
      <c r="AC6031">
        <v>0.121800000000007</v>
      </c>
      <c r="AD6031">
        <v>-0.19216369999999899</v>
      </c>
      <c r="AE6031">
        <v>0.42961000000000199</v>
      </c>
      <c r="AF6031">
        <v>9.9803835726276796E-2</v>
      </c>
      <c r="AG6031">
        <v>-0.19216369999999899</v>
      </c>
      <c r="AH6031">
        <v>0.363309366453821</v>
      </c>
      <c r="AI6031">
        <v>117.023001497835</v>
      </c>
      <c r="AJ6031">
        <v>74.639326542073704</v>
      </c>
      <c r="AK6031">
        <v>0.42294371845015499</v>
      </c>
      <c r="AL6031">
        <v>89.481461992736698</v>
      </c>
      <c r="AM6031">
        <v>88.043653241937804</v>
      </c>
      <c r="AN6031">
        <v>1.0000000022427999</v>
      </c>
    </row>
    <row r="6032" spans="1:40" x14ac:dyDescent="0.25">
      <c r="A6032" t="str">
        <f>"20190312154723622"</f>
        <v>20190312154723622</v>
      </c>
      <c r="B6032" t="str">
        <f>"1552376843614199"</f>
        <v>1552376843614199</v>
      </c>
      <c r="C6032" t="s">
        <v>40</v>
      </c>
      <c r="D6032">
        <v>4.9087199999999998</v>
      </c>
      <c r="E6032">
        <v>0.54942619999999998</v>
      </c>
      <c r="F6032" t="s">
        <v>41</v>
      </c>
      <c r="G6032">
        <v>-188.53120000000001</v>
      </c>
      <c r="H6032">
        <v>0.92956159999999999</v>
      </c>
      <c r="I6032">
        <v>16.571899999999999</v>
      </c>
      <c r="J6032">
        <v>-188.64519999999999</v>
      </c>
      <c r="K6032">
        <v>1.1090599999999999</v>
      </c>
      <c r="L6032">
        <v>16.153320000000001</v>
      </c>
      <c r="M6032">
        <v>8.0580019999999999E-3</v>
      </c>
      <c r="N6032">
        <v>0</v>
      </c>
      <c r="O6032">
        <v>0.99994050000000001</v>
      </c>
      <c r="P6032">
        <v>4.2923160000000002E-2</v>
      </c>
      <c r="Q6032">
        <v>1.9736979999999999E-3</v>
      </c>
      <c r="R6032">
        <v>0.99907639999999998</v>
      </c>
      <c r="S6032">
        <v>0.49658200000000002</v>
      </c>
      <c r="T6032">
        <v>-0.76848919999999998</v>
      </c>
      <c r="U6032">
        <v>2.982971</v>
      </c>
      <c r="V6032">
        <v>3.4869209999999998E-2</v>
      </c>
      <c r="W6032">
        <v>9.332824E-3</v>
      </c>
      <c r="X6032">
        <v>0.99934829999999997</v>
      </c>
      <c r="Y6032">
        <v>0.15119479999999999</v>
      </c>
      <c r="Z6032">
        <v>-0.246445</v>
      </c>
      <c r="AA6032">
        <v>0.95729039999999999</v>
      </c>
      <c r="AB6032">
        <v>29</v>
      </c>
      <c r="AC6032">
        <v>0.113999999999975</v>
      </c>
      <c r="AD6032">
        <v>-0.179498399999999</v>
      </c>
      <c r="AE6032">
        <v>0.41857999999999801</v>
      </c>
      <c r="AF6032">
        <v>9.4453397954497295E-2</v>
      </c>
      <c r="AG6032">
        <v>-0.179498399999999</v>
      </c>
      <c r="AH6032">
        <v>0.35816859546723501</v>
      </c>
      <c r="AI6032">
        <v>115.854327394225</v>
      </c>
      <c r="AJ6032">
        <v>75.226743354359996</v>
      </c>
      <c r="AK6032">
        <v>0.41161373005122398</v>
      </c>
      <c r="AL6032">
        <v>89.465260807720796</v>
      </c>
      <c r="AM6032">
        <v>88.001649278203004</v>
      </c>
      <c r="AN6032">
        <v>0.99999999406136397</v>
      </c>
    </row>
    <row r="6033" spans="1:40" x14ac:dyDescent="0.25">
      <c r="A6033" t="str">
        <f>"20190312154723647"</f>
        <v>20190312154723647</v>
      </c>
      <c r="B6033" t="str">
        <f>"1552376843634695"</f>
        <v>1552376843634695</v>
      </c>
      <c r="C6033" t="s">
        <v>40</v>
      </c>
      <c r="D6033">
        <v>4.934685</v>
      </c>
      <c r="E6033">
        <v>0.54933069999999995</v>
      </c>
      <c r="F6033" t="s">
        <v>41</v>
      </c>
      <c r="G6033">
        <v>-188.53110000000001</v>
      </c>
      <c r="H6033">
        <v>0.93315899999999996</v>
      </c>
      <c r="I6033">
        <v>16.835899999999999</v>
      </c>
      <c r="J6033">
        <v>-188.6429</v>
      </c>
      <c r="K6033">
        <v>1.1090610000000001</v>
      </c>
      <c r="L6033">
        <v>16.463229999999999</v>
      </c>
      <c r="M6033">
        <v>7.9347830000000008E-3</v>
      </c>
      <c r="N6033">
        <v>0</v>
      </c>
      <c r="O6033">
        <v>0.99994139999999998</v>
      </c>
      <c r="P6033">
        <v>4.3140999999999999E-2</v>
      </c>
      <c r="Q6033">
        <v>2.2773170000000001E-3</v>
      </c>
      <c r="R6033">
        <v>0.99906640000000002</v>
      </c>
      <c r="S6033">
        <v>0.49864199999999997</v>
      </c>
      <c r="T6033">
        <v>-0.76868000000000003</v>
      </c>
      <c r="U6033">
        <v>2.9828800000000002</v>
      </c>
      <c r="V6033">
        <v>3.5210199999999997E-2</v>
      </c>
      <c r="W6033">
        <v>9.6441840000000001E-3</v>
      </c>
      <c r="X6033">
        <v>0.99933340000000004</v>
      </c>
      <c r="Y6033">
        <v>0.15196279999999901</v>
      </c>
      <c r="Z6033">
        <v>-0.24648210000000001</v>
      </c>
      <c r="AA6033">
        <v>0.95715930000000005</v>
      </c>
      <c r="AB6033">
        <v>29</v>
      </c>
      <c r="AC6033">
        <v>0.11179999999998801</v>
      </c>
      <c r="AD6033">
        <v>-0.175902</v>
      </c>
      <c r="AE6033">
        <v>0.372669999999999</v>
      </c>
      <c r="AF6033">
        <v>9.0368600511455399E-2</v>
      </c>
      <c r="AG6033">
        <v>-0.175902</v>
      </c>
      <c r="AH6033">
        <v>0.31015231858555597</v>
      </c>
      <c r="AI6033">
        <v>118.56850770852201</v>
      </c>
      <c r="AJ6033">
        <v>73.755543493172794</v>
      </c>
      <c r="AK6033">
        <v>0.36783482473305201</v>
      </c>
      <c r="AL6033">
        <v>89.447420397338902</v>
      </c>
      <c r="AM6033">
        <v>87.982093193192497</v>
      </c>
      <c r="AN6033">
        <v>1.00000000641231</v>
      </c>
    </row>
    <row r="6034" spans="1:40" x14ac:dyDescent="0.25">
      <c r="A6034" t="str">
        <f>"20190312154723668"</f>
        <v>20190312154723668</v>
      </c>
      <c r="B6034" t="str">
        <f>"1552376843654215"</f>
        <v>1552376843654215</v>
      </c>
      <c r="C6034" t="s">
        <v>40</v>
      </c>
      <c r="D6034">
        <v>4.9013269999999904</v>
      </c>
      <c r="E6034">
        <v>0.5492939</v>
      </c>
      <c r="F6034" t="s">
        <v>41</v>
      </c>
      <c r="G6034">
        <v>-188.4958</v>
      </c>
      <c r="H6034">
        <v>0.883047899999999</v>
      </c>
      <c r="I6034">
        <v>17.342220000000001</v>
      </c>
      <c r="J6034">
        <v>-188.64070000000001</v>
      </c>
      <c r="K6034">
        <v>1.109065</v>
      </c>
      <c r="L6034">
        <v>16.751370000000001</v>
      </c>
      <c r="M6034">
        <v>7.8202319999999999E-3</v>
      </c>
      <c r="N6034">
        <v>0</v>
      </c>
      <c r="O6034">
        <v>0.9999422</v>
      </c>
      <c r="P6034">
        <v>4.2807369999999997E-2</v>
      </c>
      <c r="Q6034">
        <v>2.5806959999999999E-3</v>
      </c>
      <c r="R6034">
        <v>0.99907999999999997</v>
      </c>
      <c r="S6034">
        <v>0.4987335</v>
      </c>
      <c r="T6034">
        <v>-0.76700570000000001</v>
      </c>
      <c r="U6034">
        <v>2.9830019999999999</v>
      </c>
      <c r="V6034">
        <v>3.4990889999999997E-2</v>
      </c>
      <c r="W6034">
        <v>9.9555440000000002E-3</v>
      </c>
      <c r="X6034">
        <v>0.99933799999999995</v>
      </c>
      <c r="Y6034">
        <v>0.1521198</v>
      </c>
      <c r="Z6034">
        <v>-0.2459655</v>
      </c>
      <c r="AA6034">
        <v>0.95726719999999998</v>
      </c>
      <c r="AB6034">
        <v>29</v>
      </c>
      <c r="AC6034">
        <v>0.144900000000006</v>
      </c>
      <c r="AD6034">
        <v>-0.2260171</v>
      </c>
      <c r="AE6034">
        <v>0.59084999999999899</v>
      </c>
      <c r="AF6034">
        <v>0.123261458502297</v>
      </c>
      <c r="AG6034">
        <v>-0.2260171</v>
      </c>
      <c r="AH6034">
        <v>0.52016793197942102</v>
      </c>
      <c r="AI6034">
        <v>112.918616476178</v>
      </c>
      <c r="AJ6034">
        <v>76.6688157032373</v>
      </c>
      <c r="AK6034">
        <v>0.58038934699412903</v>
      </c>
      <c r="AL6034">
        <v>89.429579898441801</v>
      </c>
      <c r="AM6034">
        <v>87.994660842263201</v>
      </c>
      <c r="AN6034">
        <v>0.99999995674166298</v>
      </c>
    </row>
    <row r="6035" spans="1:40" x14ac:dyDescent="0.25">
      <c r="A6035" t="str">
        <f>"20190312154723691"</f>
        <v>20190312154723691</v>
      </c>
      <c r="B6035" t="str">
        <f>"1552376843684471"</f>
        <v>1552376843684471</v>
      </c>
      <c r="C6035" t="s">
        <v>40</v>
      </c>
      <c r="D6035">
        <v>4.9299339999999896</v>
      </c>
      <c r="E6035">
        <v>0.54889299999999996</v>
      </c>
      <c r="F6035" t="s">
        <v>41</v>
      </c>
      <c r="G6035">
        <v>-188.49760000000001</v>
      </c>
      <c r="H6035">
        <v>0.8888414</v>
      </c>
      <c r="I6035">
        <v>17.608969999999999</v>
      </c>
      <c r="J6035">
        <v>-188.63849999999999</v>
      </c>
      <c r="K6035">
        <v>1.1090599999999999</v>
      </c>
      <c r="L6035">
        <v>17.052489999999999</v>
      </c>
      <c r="M6035">
        <v>7.7005210000000001E-3</v>
      </c>
      <c r="N6035">
        <v>0</v>
      </c>
      <c r="O6035">
        <v>0.99994309999999997</v>
      </c>
      <c r="P6035">
        <v>4.295947E-2</v>
      </c>
      <c r="Q6035">
        <v>2.3063810000000001E-3</v>
      </c>
      <c r="R6035">
        <v>0.99907420000000002</v>
      </c>
      <c r="S6035">
        <v>0.49737550000000003</v>
      </c>
      <c r="T6035">
        <v>-0.76611319999999905</v>
      </c>
      <c r="U6035">
        <v>2.9834290000000001</v>
      </c>
      <c r="V6035">
        <v>3.5262710000000003E-2</v>
      </c>
      <c r="W6035">
        <v>9.6894819999999993E-3</v>
      </c>
      <c r="X6035">
        <v>0.99933110000000003</v>
      </c>
      <c r="Y6035">
        <v>0.15180370000000001</v>
      </c>
      <c r="Z6035">
        <v>-0.24567910000000001</v>
      </c>
      <c r="AA6035">
        <v>0.95739099999999999</v>
      </c>
      <c r="AB6035">
        <v>30</v>
      </c>
      <c r="AC6035">
        <v>0.14089999999998701</v>
      </c>
      <c r="AD6035">
        <v>-0.22021859999999899</v>
      </c>
      <c r="AE6035">
        <v>0.55648000000000397</v>
      </c>
      <c r="AF6035">
        <v>0.119084694434389</v>
      </c>
      <c r="AG6035">
        <v>-0.22021859999999899</v>
      </c>
      <c r="AH6035">
        <v>0.48602038053007002</v>
      </c>
      <c r="AI6035">
        <v>113.75371526415501</v>
      </c>
      <c r="AJ6035">
        <v>76.232620428179203</v>
      </c>
      <c r="AK6035">
        <v>0.54671126431150696</v>
      </c>
      <c r="AL6035">
        <v>89.444824886136303</v>
      </c>
      <c r="AM6035">
        <v>87.979081675918806</v>
      </c>
      <c r="AN6035">
        <v>0.99999999610259105</v>
      </c>
    </row>
    <row r="6036" spans="1:40" x14ac:dyDescent="0.25">
      <c r="A6036" t="str">
        <f>"20190312154723733"</f>
        <v>20190312154723733</v>
      </c>
      <c r="B6036" t="str">
        <f>"1552376843724487"</f>
        <v>1552376843724487</v>
      </c>
      <c r="C6036" t="s">
        <v>40</v>
      </c>
      <c r="D6036">
        <v>4.9503069999999996</v>
      </c>
      <c r="E6036">
        <v>0.54840840000000002</v>
      </c>
      <c r="F6036" t="s">
        <v>41</v>
      </c>
      <c r="G6036">
        <v>-188.5016</v>
      </c>
      <c r="H6036">
        <v>0.89755490000000004</v>
      </c>
      <c r="I6036">
        <v>17.87753</v>
      </c>
      <c r="J6036">
        <v>-188.6345</v>
      </c>
      <c r="K6036">
        <v>1.109062</v>
      </c>
      <c r="L6036">
        <v>17.60446</v>
      </c>
      <c r="M6036">
        <v>7.4812759999999898E-3</v>
      </c>
      <c r="N6036">
        <v>0</v>
      </c>
      <c r="O6036">
        <v>0.99994470000000002</v>
      </c>
      <c r="P6036">
        <v>4.2937599999999999E-2</v>
      </c>
      <c r="Q6036">
        <v>1.9432989999999999E-3</v>
      </c>
      <c r="R6036">
        <v>0.99907590000000002</v>
      </c>
      <c r="S6036">
        <v>0.494751</v>
      </c>
      <c r="T6036">
        <v>-0.76478599999999997</v>
      </c>
      <c r="U6036">
        <v>2.983276</v>
      </c>
      <c r="V6036">
        <v>3.5459989999999997E-2</v>
      </c>
      <c r="W6036">
        <v>9.3423610000000004E-3</v>
      </c>
      <c r="X6036">
        <v>0.99932739999999998</v>
      </c>
      <c r="Y6036">
        <v>0.15122339999999901</v>
      </c>
      <c r="Z6036">
        <v>-0.24531910000000001</v>
      </c>
      <c r="AA6036">
        <v>0.95757510000000001</v>
      </c>
      <c r="AB6036">
        <v>30</v>
      </c>
      <c r="AC6036">
        <v>0.13290000000000601</v>
      </c>
      <c r="AD6036">
        <v>-0.211507099999999</v>
      </c>
      <c r="AE6036">
        <v>0.27306999999999998</v>
      </c>
      <c r="AF6036">
        <v>8.8114212430517799E-2</v>
      </c>
      <c r="AG6036">
        <v>-0.211507099999999</v>
      </c>
      <c r="AH6036">
        <v>0.18454470166831699</v>
      </c>
      <c r="AI6036">
        <v>135.96477256326401</v>
      </c>
      <c r="AJ6036">
        <v>64.477011936126104</v>
      </c>
      <c r="AK6036">
        <v>0.29420420577637701</v>
      </c>
      <c r="AL6036">
        <v>89.464714341965305</v>
      </c>
      <c r="AM6036">
        <v>87.967777425413701</v>
      </c>
      <c r="AN6036">
        <v>0.99999997149530595</v>
      </c>
    </row>
    <row r="6037" spans="1:40" x14ac:dyDescent="0.25">
      <c r="A6037" t="str">
        <f>"20190312154723754"</f>
        <v>20190312154723754</v>
      </c>
      <c r="B6037" t="str">
        <f>"1552376843744007"</f>
        <v>1552376843744007</v>
      </c>
      <c r="C6037" t="s">
        <v>40</v>
      </c>
      <c r="D6037">
        <v>4.9443999999999999</v>
      </c>
      <c r="E6037">
        <v>0.54843319999999995</v>
      </c>
      <c r="F6037" t="s">
        <v>41</v>
      </c>
      <c r="G6037">
        <v>-188.5017</v>
      </c>
      <c r="H6037">
        <v>0.90245739999999997</v>
      </c>
      <c r="I6037">
        <v>18.411740000000002</v>
      </c>
      <c r="J6037">
        <v>-188.63249999999999</v>
      </c>
      <c r="K6037">
        <v>1.109065</v>
      </c>
      <c r="L6037">
        <v>17.890560000000001</v>
      </c>
      <c r="M6037">
        <v>7.3676389999999996E-3</v>
      </c>
      <c r="N6037">
        <v>0</v>
      </c>
      <c r="O6037">
        <v>0.99994550000000004</v>
      </c>
      <c r="P6037">
        <v>4.3004769999999998E-2</v>
      </c>
      <c r="Q6037">
        <v>2.3363799999999999E-3</v>
      </c>
      <c r="R6037">
        <v>0.99907210000000002</v>
      </c>
      <c r="S6037">
        <v>0.4907379</v>
      </c>
      <c r="T6037">
        <v>-0.76348319999999903</v>
      </c>
      <c r="U6037">
        <v>2.9831850000000002</v>
      </c>
      <c r="V6037">
        <v>3.5640680000000001E-2</v>
      </c>
      <c r="W6037">
        <v>9.7433639999999992E-3</v>
      </c>
      <c r="X6037">
        <v>0.99931720000000002</v>
      </c>
      <c r="Y6037">
        <v>0.15010029999999999</v>
      </c>
      <c r="Z6037">
        <v>-0.2449799</v>
      </c>
      <c r="AA6037">
        <v>0.95783859999999998</v>
      </c>
      <c r="AB6037">
        <v>30</v>
      </c>
      <c r="AC6037">
        <v>0.13079999999999301</v>
      </c>
      <c r="AD6037">
        <v>-0.206607599999999</v>
      </c>
      <c r="AE6037">
        <v>0.52117999999999698</v>
      </c>
      <c r="AF6037">
        <v>0.110604753095546</v>
      </c>
      <c r="AG6037">
        <v>-0.206607599999999</v>
      </c>
      <c r="AH6037">
        <v>0.45488038514880902</v>
      </c>
      <c r="AI6037">
        <v>113.81391688329001</v>
      </c>
      <c r="AJ6037">
        <v>76.333667117036399</v>
      </c>
      <c r="AK6037">
        <v>0.51169940060372898</v>
      </c>
      <c r="AL6037">
        <v>89.441737547398304</v>
      </c>
      <c r="AM6037">
        <v>87.957409946271895</v>
      </c>
      <c r="AN6037">
        <v>1.00000002871436</v>
      </c>
    </row>
    <row r="6038" spans="1:40" x14ac:dyDescent="0.25">
      <c r="A6038" t="str">
        <f>"20190312154723778"</f>
        <v>20190312154723778</v>
      </c>
      <c r="B6038" t="str">
        <f>"1552376843764506"</f>
        <v>1552376843764506</v>
      </c>
      <c r="C6038" t="s">
        <v>40</v>
      </c>
      <c r="D6038">
        <v>4.9599169999999999</v>
      </c>
      <c r="E6038">
        <v>0.54838909999999996</v>
      </c>
      <c r="F6038" t="s">
        <v>41</v>
      </c>
      <c r="G6038">
        <v>-188.50229999999999</v>
      </c>
      <c r="H6038">
        <v>0.90696869999999996</v>
      </c>
      <c r="I6038">
        <v>18.680710000000001</v>
      </c>
      <c r="J6038">
        <v>-188.6302</v>
      </c>
      <c r="K6038">
        <v>1.1090629999999999</v>
      </c>
      <c r="L6038">
        <v>18.214259999999999</v>
      </c>
      <c r="M6038">
        <v>7.2393049999999997E-3</v>
      </c>
      <c r="N6038">
        <v>0</v>
      </c>
      <c r="O6038">
        <v>0.99994629999999995</v>
      </c>
      <c r="P6038">
        <v>4.288778E-2</v>
      </c>
      <c r="Q6038">
        <v>2.6348280000000001E-3</v>
      </c>
      <c r="R6038">
        <v>0.99907639999999998</v>
      </c>
      <c r="S6038">
        <v>0.49101260000000002</v>
      </c>
      <c r="T6038">
        <v>-0.76307019999999903</v>
      </c>
      <c r="U6038">
        <v>2.9834290000000001</v>
      </c>
      <c r="V6038">
        <v>3.5651849999999999E-2</v>
      </c>
      <c r="W6038">
        <v>1.005138E-2</v>
      </c>
      <c r="X6038">
        <v>0.99931369999999997</v>
      </c>
      <c r="Y6038">
        <v>0.15030639999999901</v>
      </c>
      <c r="Z6038">
        <v>-0.24483160000000001</v>
      </c>
      <c r="AA6038">
        <v>0.95784420000000003</v>
      </c>
      <c r="AB6038">
        <v>30</v>
      </c>
      <c r="AC6038">
        <v>0.127900000000011</v>
      </c>
      <c r="AD6038">
        <v>-0.20209429999999901</v>
      </c>
      <c r="AE6038">
        <v>0.46645000000000097</v>
      </c>
      <c r="AF6038">
        <v>0.106011440532242</v>
      </c>
      <c r="AG6038">
        <v>-0.20209429999999901</v>
      </c>
      <c r="AH6038">
        <v>0.39789581532959201</v>
      </c>
      <c r="AI6038">
        <v>116.141201155652</v>
      </c>
      <c r="AJ6038">
        <v>75.081235460438293</v>
      </c>
      <c r="AK6038">
        <v>0.458695554232883</v>
      </c>
      <c r="AL6038">
        <v>89.424088637260297</v>
      </c>
      <c r="AM6038">
        <v>87.956763178823394</v>
      </c>
      <c r="AN6038">
        <v>0.99999997782800798</v>
      </c>
    </row>
    <row r="6039" spans="1:40" x14ac:dyDescent="0.25">
      <c r="A6039" t="str">
        <f>"20190312154723799"</f>
        <v>20190312154723799</v>
      </c>
      <c r="B6039" t="str">
        <f>"1552376843793782"</f>
        <v>1552376843793782</v>
      </c>
      <c r="C6039" t="s">
        <v>40</v>
      </c>
      <c r="D6039">
        <v>4.9782029999999997</v>
      </c>
      <c r="E6039">
        <v>0.54832139999999996</v>
      </c>
      <c r="F6039" t="s">
        <v>41</v>
      </c>
      <c r="G6039">
        <v>-188.5087</v>
      </c>
      <c r="H6039">
        <v>0.92006169999999998</v>
      </c>
      <c r="I6039">
        <v>18.953759999999999</v>
      </c>
      <c r="J6039">
        <v>-188.62819999999999</v>
      </c>
      <c r="K6039">
        <v>1.109057</v>
      </c>
      <c r="L6039">
        <v>18.509399999999999</v>
      </c>
      <c r="M6039">
        <v>7.1222269999999897E-3</v>
      </c>
      <c r="N6039">
        <v>0</v>
      </c>
      <c r="O6039">
        <v>0.99994709999999998</v>
      </c>
      <c r="P6039">
        <v>4.287113E-2</v>
      </c>
      <c r="Q6039">
        <v>2.49417E-3</v>
      </c>
      <c r="R6039">
        <v>0.99907749999999995</v>
      </c>
      <c r="S6039">
        <v>0.49017329999999998</v>
      </c>
      <c r="T6039">
        <v>-0.7625864</v>
      </c>
      <c r="U6039">
        <v>2.9837340000000001</v>
      </c>
      <c r="V6039">
        <v>3.575221E-2</v>
      </c>
      <c r="W6039">
        <v>9.9197829999999997E-3</v>
      </c>
      <c r="X6039">
        <v>0.99931139999999996</v>
      </c>
      <c r="Y6039">
        <v>0.1501506</v>
      </c>
      <c r="Z6039">
        <v>-0.2446709</v>
      </c>
      <c r="AA6039">
        <v>0.95790960000000003</v>
      </c>
      <c r="AB6039">
        <v>30</v>
      </c>
      <c r="AC6039">
        <v>0.11949999999998701</v>
      </c>
      <c r="AD6039">
        <v>-0.1889953</v>
      </c>
      <c r="AE6039">
        <v>0.44435999999999898</v>
      </c>
      <c r="AF6039">
        <v>9.9539962749503594E-2</v>
      </c>
      <c r="AG6039">
        <v>-0.1889953</v>
      </c>
      <c r="AH6039">
        <v>0.38093696208802202</v>
      </c>
      <c r="AI6039">
        <v>115.641739604175</v>
      </c>
      <c r="AJ6039">
        <v>75.355877994772698</v>
      </c>
      <c r="AK6039">
        <v>0.43673836182675002</v>
      </c>
      <c r="AL6039">
        <v>89.431628949338005</v>
      </c>
      <c r="AM6039">
        <v>87.951011648591006</v>
      </c>
      <c r="AN6039">
        <v>0.99999994839230399</v>
      </c>
    </row>
    <row r="6040" spans="1:40" x14ac:dyDescent="0.25">
      <c r="A6040" t="str">
        <f>"20190312154723823"</f>
        <v>20190312154723823</v>
      </c>
      <c r="B6040" t="str">
        <f>"1552376843814279"</f>
        <v>1552376843814279</v>
      </c>
      <c r="C6040" t="s">
        <v>40</v>
      </c>
      <c r="D6040">
        <v>5.0040509999999996</v>
      </c>
      <c r="E6040">
        <v>0.54828949999999999</v>
      </c>
      <c r="F6040" t="s">
        <v>41</v>
      </c>
      <c r="G6040">
        <v>-188.51070000000001</v>
      </c>
      <c r="H6040">
        <v>0.92621589999999998</v>
      </c>
      <c r="I6040">
        <v>19.224979999999999</v>
      </c>
      <c r="J6040">
        <v>-188.62610000000001</v>
      </c>
      <c r="K6040">
        <v>1.109057</v>
      </c>
      <c r="L6040">
        <v>18.820979999999999</v>
      </c>
      <c r="M6040">
        <v>6.9990460000000001E-3</v>
      </c>
      <c r="N6040">
        <v>0</v>
      </c>
      <c r="O6040">
        <v>0.9999479</v>
      </c>
      <c r="P6040">
        <v>4.3021749999999997E-2</v>
      </c>
      <c r="Q6040">
        <v>2.3199789999999998E-3</v>
      </c>
      <c r="R6040">
        <v>0.99907140000000005</v>
      </c>
      <c r="S6040">
        <v>0.4894714</v>
      </c>
      <c r="T6040">
        <v>-0.76237549999999998</v>
      </c>
      <c r="U6040">
        <v>2.983673</v>
      </c>
      <c r="V6040">
        <v>3.6025990000000001E-2</v>
      </c>
      <c r="W6040">
        <v>9.7543290000000008E-3</v>
      </c>
      <c r="X6040">
        <v>0.99930319999999995</v>
      </c>
      <c r="Y6040">
        <v>0.1500582</v>
      </c>
      <c r="Z6040">
        <v>-0.24461840000000001</v>
      </c>
      <c r="AA6040">
        <v>0.95793759999999994</v>
      </c>
      <c r="AB6040">
        <v>30</v>
      </c>
      <c r="AC6040">
        <v>0.11539999999999299</v>
      </c>
      <c r="AD6040">
        <v>-0.18284110000000001</v>
      </c>
      <c r="AE6040">
        <v>0.40399999999999903</v>
      </c>
      <c r="AF6040">
        <v>9.4645955974936302E-2</v>
      </c>
      <c r="AG6040">
        <v>-0.18284110000000001</v>
      </c>
      <c r="AH6040">
        <v>0.34034514575309399</v>
      </c>
      <c r="AI6040">
        <v>117.36527662402899</v>
      </c>
      <c r="AJ6040">
        <v>74.4593805318558</v>
      </c>
      <c r="AK6040">
        <v>0.39777323070980303</v>
      </c>
      <c r="AL6040">
        <v>89.441109226578504</v>
      </c>
      <c r="AM6040">
        <v>87.935317693930401</v>
      </c>
      <c r="AN6040">
        <v>0.99999995220997895</v>
      </c>
    </row>
    <row r="6041" spans="1:40" x14ac:dyDescent="0.25">
      <c r="A6041" t="str">
        <f>"20190312154723844"</f>
        <v>20190312154723844</v>
      </c>
      <c r="B6041" t="str">
        <f>"1552376843833799"</f>
        <v>1552376843833799</v>
      </c>
      <c r="C6041" t="s">
        <v>40</v>
      </c>
      <c r="D6041">
        <v>5.0103609999999996</v>
      </c>
      <c r="E6041">
        <v>0.54828100000000002</v>
      </c>
      <c r="F6041" t="s">
        <v>41</v>
      </c>
      <c r="G6041">
        <v>-188.51499999999999</v>
      </c>
      <c r="H6041">
        <v>0.93569409999999997</v>
      </c>
      <c r="I6041">
        <v>19.49841</v>
      </c>
      <c r="J6041">
        <v>-188.6242</v>
      </c>
      <c r="K6041">
        <v>1.109056</v>
      </c>
      <c r="L6041">
        <v>19.106169999999999</v>
      </c>
      <c r="M6041">
        <v>6.8859319999999896E-3</v>
      </c>
      <c r="N6041">
        <v>0</v>
      </c>
      <c r="O6041">
        <v>0.99994859999999997</v>
      </c>
      <c r="P6041">
        <v>4.3156680000000003E-2</v>
      </c>
      <c r="Q6041">
        <v>1.9854529999999999E-3</v>
      </c>
      <c r="R6041">
        <v>0.99906640000000002</v>
      </c>
      <c r="S6041">
        <v>0.48904419999999998</v>
      </c>
      <c r="T6041">
        <v>-0.76350450000000003</v>
      </c>
      <c r="U6041">
        <v>2.9834900000000002</v>
      </c>
      <c r="V6041">
        <v>3.6274050000000002E-2</v>
      </c>
      <c r="W6041">
        <v>9.4286649999999993E-3</v>
      </c>
      <c r="X6041">
        <v>0.9992974</v>
      </c>
      <c r="Y6041">
        <v>0.1500311</v>
      </c>
      <c r="Z6041">
        <v>-0.244976</v>
      </c>
      <c r="AA6041">
        <v>0.95785050000000005</v>
      </c>
      <c r="AB6041">
        <v>30</v>
      </c>
      <c r="AC6041">
        <v>0.10920000000001499</v>
      </c>
      <c r="AD6041">
        <v>-0.17336190000000001</v>
      </c>
      <c r="AE6041">
        <v>0.39223999999999698</v>
      </c>
      <c r="AF6041">
        <v>9.0152323492216496E-2</v>
      </c>
      <c r="AG6041">
        <v>-0.17336190000000001</v>
      </c>
      <c r="AH6041">
        <v>0.33267134789720398</v>
      </c>
      <c r="AI6041">
        <v>116.701427697496</v>
      </c>
      <c r="AJ6041">
        <v>74.837294212956095</v>
      </c>
      <c r="AK6041">
        <v>0.385813446518389</v>
      </c>
      <c r="AL6041">
        <v>89.459769284481993</v>
      </c>
      <c r="AM6041">
        <v>87.921101525297601</v>
      </c>
      <c r="AN6041">
        <v>1.00000000003692</v>
      </c>
    </row>
    <row r="6042" spans="1:40" x14ac:dyDescent="0.25">
      <c r="A6042" t="str">
        <f>"20190312154723868"</f>
        <v>20190312154723868</v>
      </c>
      <c r="B6042" t="str">
        <f>"1552376843864055"</f>
        <v>1552376843864055</v>
      </c>
      <c r="C6042" t="s">
        <v>40</v>
      </c>
      <c r="D6042">
        <v>5.0073499999999997</v>
      </c>
      <c r="E6042">
        <v>0.54821779999999998</v>
      </c>
      <c r="F6042" t="s">
        <v>41</v>
      </c>
      <c r="G6042">
        <v>-188.4751</v>
      </c>
      <c r="H6042">
        <v>0.87613799999999997</v>
      </c>
      <c r="I6042">
        <v>20.01446</v>
      </c>
      <c r="J6042">
        <v>-188.62209999999999</v>
      </c>
      <c r="K6042">
        <v>1.1090610000000001</v>
      </c>
      <c r="L6042">
        <v>19.42642</v>
      </c>
      <c r="M6042">
        <v>6.7593569999999997E-3</v>
      </c>
      <c r="N6042">
        <v>0</v>
      </c>
      <c r="O6042">
        <v>0.99994939999999999</v>
      </c>
      <c r="P6042">
        <v>4.2863329999999998E-2</v>
      </c>
      <c r="Q6042">
        <v>1.804733E-3</v>
      </c>
      <c r="R6042">
        <v>0.9990793</v>
      </c>
      <c r="S6042">
        <v>0.48951719999999999</v>
      </c>
      <c r="T6042">
        <v>-0.76499719999999904</v>
      </c>
      <c r="U6042">
        <v>2.9831850000000002</v>
      </c>
      <c r="V6042">
        <v>3.6107130000000001E-2</v>
      </c>
      <c r="W6042">
        <v>9.2570120000000002E-3</v>
      </c>
      <c r="X6042">
        <v>0.99930509999999995</v>
      </c>
      <c r="Y6042">
        <v>0.15030060000000001</v>
      </c>
      <c r="Z6042">
        <v>-0.2454414</v>
      </c>
      <c r="AA6042">
        <v>0.95768900000000001</v>
      </c>
      <c r="AB6042">
        <v>30</v>
      </c>
      <c r="AC6042">
        <v>0.146999999999991</v>
      </c>
      <c r="AD6042">
        <v>-0.23292299999999999</v>
      </c>
      <c r="AE6042">
        <v>0.58803999999999901</v>
      </c>
      <c r="AF6042">
        <v>0.124619484715492</v>
      </c>
      <c r="AG6042">
        <v>-0.23292299999999999</v>
      </c>
      <c r="AH6042">
        <v>0.51323236856120102</v>
      </c>
      <c r="AI6042">
        <v>113.798470458789</v>
      </c>
      <c r="AJ6042">
        <v>76.3519698995798</v>
      </c>
      <c r="AK6042">
        <v>0.57722664875999596</v>
      </c>
      <c r="AL6042">
        <v>89.469604732703402</v>
      </c>
      <c r="AM6042">
        <v>87.930675455906098</v>
      </c>
      <c r="AN6042">
        <v>1.0000000499970001</v>
      </c>
    </row>
    <row r="6043" spans="1:40" x14ac:dyDescent="0.25">
      <c r="A6043" t="str">
        <f>"20190312154723915"</f>
        <v>20190312154723915</v>
      </c>
      <c r="B6043" t="str">
        <f>"1552376843904071"</f>
        <v>1552376843904071</v>
      </c>
      <c r="C6043" t="s">
        <v>40</v>
      </c>
      <c r="D6043">
        <v>5.0581509999999996</v>
      </c>
      <c r="E6043">
        <v>0.51011989999999996</v>
      </c>
      <c r="F6043" t="s">
        <v>41</v>
      </c>
      <c r="G6043">
        <v>-188.48060000000001</v>
      </c>
      <c r="H6043">
        <v>0.88739369999999995</v>
      </c>
      <c r="I6043">
        <v>20.290150000000001</v>
      </c>
      <c r="J6043">
        <v>-188.6181</v>
      </c>
      <c r="K6043">
        <v>1.109054</v>
      </c>
      <c r="L6043">
        <v>20.063929999999999</v>
      </c>
      <c r="M6043">
        <v>6.5073170000000003E-3</v>
      </c>
      <c r="N6043">
        <v>0</v>
      </c>
      <c r="O6043">
        <v>0.99995089999999998</v>
      </c>
      <c r="P6043">
        <v>4.2420720000000002E-2</v>
      </c>
      <c r="Q6043">
        <v>2.1815329999999998E-3</v>
      </c>
      <c r="R6043">
        <v>0.99909749999999997</v>
      </c>
      <c r="S6043">
        <v>0.48857119999999998</v>
      </c>
      <c r="T6043">
        <v>-0.76560660000000003</v>
      </c>
      <c r="U6043">
        <v>2.9831850000000002</v>
      </c>
      <c r="V6043">
        <v>3.5916190000000001E-2</v>
      </c>
      <c r="W6043">
        <v>9.6532440000000001E-3</v>
      </c>
      <c r="X6043">
        <v>0.99930819999999998</v>
      </c>
      <c r="Y6043">
        <v>0.15024599999999999</v>
      </c>
      <c r="Z6043">
        <v>-0.2456324</v>
      </c>
      <c r="AA6043">
        <v>0.95764859999999896</v>
      </c>
      <c r="AB6043">
        <v>30</v>
      </c>
      <c r="AC6043">
        <v>0.13749999999998799</v>
      </c>
      <c r="AD6043">
        <v>-0.2216603</v>
      </c>
      <c r="AE6043">
        <v>0.226220000000001</v>
      </c>
      <c r="AF6043">
        <v>7.9963625877171901E-2</v>
      </c>
      <c r="AG6043">
        <v>-0.2216603</v>
      </c>
      <c r="AH6043">
        <v>0.133508865324931</v>
      </c>
      <c r="AI6043">
        <v>144.92796416304799</v>
      </c>
      <c r="AJ6043">
        <v>59.080976289657301</v>
      </c>
      <c r="AK6043">
        <v>0.27083590452498102</v>
      </c>
      <c r="AL6043">
        <v>89.446901279937705</v>
      </c>
      <c r="AM6043">
        <v>87.941615300804202</v>
      </c>
      <c r="AN6043">
        <v>1.00000001820553</v>
      </c>
    </row>
    <row r="6044" spans="1:40" x14ac:dyDescent="0.25">
      <c r="A6044" t="str">
        <f>"20190312154723934"</f>
        <v>20190312154723934</v>
      </c>
      <c r="B6044" t="str">
        <f>"1552376843924568"</f>
        <v>1552376843924568</v>
      </c>
      <c r="C6044" t="s">
        <v>40</v>
      </c>
      <c r="D6044">
        <v>5.0432730000000001</v>
      </c>
      <c r="E6044">
        <v>0.50095529999999999</v>
      </c>
      <c r="F6044" t="s">
        <v>41</v>
      </c>
      <c r="G6044">
        <v>-188.5659</v>
      </c>
      <c r="H6044">
        <v>0.97795869999999996</v>
      </c>
      <c r="I6044">
        <v>20.874759999999998</v>
      </c>
      <c r="J6044">
        <v>-188.6165</v>
      </c>
      <c r="K6044">
        <v>1.1090549999999999</v>
      </c>
      <c r="L6044">
        <v>20.32272</v>
      </c>
      <c r="M6044">
        <v>6.4050560000000001E-3</v>
      </c>
      <c r="N6044">
        <v>0</v>
      </c>
      <c r="O6044">
        <v>0.99995149999999999</v>
      </c>
      <c r="P6044">
        <v>4.2212939999999997E-2</v>
      </c>
      <c r="Q6044">
        <v>1.510452E-3</v>
      </c>
      <c r="R6044">
        <v>0.99910750000000004</v>
      </c>
      <c r="S6044">
        <v>0.1923523</v>
      </c>
      <c r="T6044">
        <v>-0.48433419999999999</v>
      </c>
      <c r="U6044">
        <v>2.9956049999999999</v>
      </c>
      <c r="V6044">
        <v>3.5810670000000003E-2</v>
      </c>
      <c r="W6044">
        <v>8.9895159999999995E-3</v>
      </c>
      <c r="X6044">
        <v>0.99931820000000005</v>
      </c>
      <c r="Y6044">
        <v>5.6867760000000003E-2</v>
      </c>
      <c r="Z6044">
        <v>-0.15931519999999999</v>
      </c>
      <c r="AA6044">
        <v>0.98558849999999998</v>
      </c>
      <c r="AB6044">
        <v>30</v>
      </c>
      <c r="AC6044">
        <v>5.0600000000002802E-2</v>
      </c>
      <c r="AD6044">
        <v>-0.131096299999999</v>
      </c>
      <c r="AE6044">
        <v>0.55204000000000097</v>
      </c>
      <c r="AF6044">
        <v>4.4570413963323501E-2</v>
      </c>
      <c r="AG6044">
        <v>-0.131096299999999</v>
      </c>
      <c r="AH6044">
        <v>0.52309847964176504</v>
      </c>
      <c r="AI6044">
        <v>104.020612861948</v>
      </c>
      <c r="AJ6044">
        <v>85.129896779432599</v>
      </c>
      <c r="AK6044">
        <v>0.54111438816398005</v>
      </c>
      <c r="AL6044">
        <v>89.484931756634296</v>
      </c>
      <c r="AM6044">
        <v>87.947678074508303</v>
      </c>
      <c r="AN6044">
        <v>1.0000000401675</v>
      </c>
    </row>
    <row r="6045" spans="1:40" x14ac:dyDescent="0.25">
      <c r="A6045" t="str">
        <f>"20190312154723955"</f>
        <v>20190312154723955</v>
      </c>
      <c r="B6045" t="str">
        <f>"1552376843944087"</f>
        <v>1552376843944087</v>
      </c>
      <c r="C6045" t="s">
        <v>40</v>
      </c>
      <c r="D6045">
        <v>5.0668139999999999</v>
      </c>
      <c r="E6045">
        <v>0.49663020000000002</v>
      </c>
      <c r="F6045" t="s">
        <v>41</v>
      </c>
      <c r="G6045">
        <v>-188.58240000000001</v>
      </c>
      <c r="H6045">
        <v>1.0015019999999999</v>
      </c>
      <c r="I6045">
        <v>21.159800000000001</v>
      </c>
      <c r="J6045">
        <v>-188.6147</v>
      </c>
      <c r="K6045">
        <v>1.1090530000000001</v>
      </c>
      <c r="L6045">
        <v>20.63016</v>
      </c>
      <c r="M6045">
        <v>6.2836189999999998E-3</v>
      </c>
      <c r="N6045">
        <v>0</v>
      </c>
      <c r="O6045">
        <v>0.99995230000000002</v>
      </c>
      <c r="P6045">
        <v>4.2486339999999997E-2</v>
      </c>
      <c r="Q6045">
        <v>1.3601259999999999E-3</v>
      </c>
      <c r="R6045">
        <v>0.99909610000000004</v>
      </c>
      <c r="S6045">
        <v>0.12187190000000001</v>
      </c>
      <c r="T6045">
        <v>-0.385218</v>
      </c>
      <c r="U6045">
        <v>2.9981080000000002</v>
      </c>
      <c r="V6045">
        <v>3.6205540000000001E-2</v>
      </c>
      <c r="W6045">
        <v>8.8488539999999997E-3</v>
      </c>
      <c r="X6045">
        <v>0.9993052</v>
      </c>
      <c r="Y6045">
        <v>3.400599E-2</v>
      </c>
      <c r="Z6045">
        <v>-0.12734709999999999</v>
      </c>
      <c r="AA6045">
        <v>0.99127509999999996</v>
      </c>
      <c r="AB6045">
        <v>30</v>
      </c>
      <c r="AC6045">
        <v>3.2299999999992203E-2</v>
      </c>
      <c r="AD6045">
        <v>-0.10755099999999899</v>
      </c>
      <c r="AE6045">
        <v>0.52964</v>
      </c>
      <c r="AF6045">
        <v>2.7827975028026E-2</v>
      </c>
      <c r="AG6045">
        <v>-0.10755099999999899</v>
      </c>
      <c r="AH6045">
        <v>0.508924693904096</v>
      </c>
      <c r="AI6045">
        <v>101.91544854199999</v>
      </c>
      <c r="AJ6045">
        <v>86.870186631958404</v>
      </c>
      <c r="AK6045">
        <v>0.52090878074816305</v>
      </c>
      <c r="AL6045">
        <v>89.492991402090396</v>
      </c>
      <c r="AM6045">
        <v>87.925040641607794</v>
      </c>
      <c r="AN6045">
        <v>1.0000000130454201</v>
      </c>
    </row>
    <row r="6046" spans="1:40" x14ac:dyDescent="0.25">
      <c r="A6046" t="str">
        <f>"20190312154723977"</f>
        <v>20190312154723977</v>
      </c>
      <c r="B6046" t="str">
        <f>"1552376843974343"</f>
        <v>1552376843974343</v>
      </c>
      <c r="C6046" t="s">
        <v>40</v>
      </c>
      <c r="D6046">
        <v>5.1019769999999998</v>
      </c>
      <c r="E6046">
        <v>0.49371009999999999</v>
      </c>
      <c r="F6046" t="s">
        <v>41</v>
      </c>
      <c r="G6046">
        <v>-188.59030000000001</v>
      </c>
      <c r="H6046">
        <v>1.0173920000000001</v>
      </c>
      <c r="I6046">
        <v>21.441610000000001</v>
      </c>
      <c r="J6046">
        <v>-188.613</v>
      </c>
      <c r="K6046">
        <v>1.109051</v>
      </c>
      <c r="L6046">
        <v>20.919160000000002</v>
      </c>
      <c r="M6046">
        <v>6.1696529999999998E-3</v>
      </c>
      <c r="N6046">
        <v>0</v>
      </c>
      <c r="O6046">
        <v>0.99995290000000003</v>
      </c>
      <c r="P6046">
        <v>4.2385770000000003E-2</v>
      </c>
      <c r="Q6046">
        <v>1.495003E-3</v>
      </c>
      <c r="R6046">
        <v>0.99910019999999999</v>
      </c>
      <c r="S6046">
        <v>8.9736940000000001E-2</v>
      </c>
      <c r="T6046">
        <v>-0.33880830000000001</v>
      </c>
      <c r="U6046">
        <v>2.9993590000000001</v>
      </c>
      <c r="V6046">
        <v>3.6218779999999999E-2</v>
      </c>
      <c r="W6046">
        <v>8.9923769999999993E-3</v>
      </c>
      <c r="X6046">
        <v>0.99930339999999995</v>
      </c>
      <c r="Y6046">
        <v>2.354885E-2</v>
      </c>
      <c r="Z6046">
        <v>-0.11220289999999999</v>
      </c>
      <c r="AA6046">
        <v>0.99340620000000002</v>
      </c>
      <c r="AB6046">
        <v>31</v>
      </c>
      <c r="AC6046">
        <v>2.2699999999986099E-2</v>
      </c>
      <c r="AD6046">
        <v>-9.1658999999999893E-2</v>
      </c>
      <c r="AE6046">
        <v>0.52244999999999897</v>
      </c>
      <c r="AF6046">
        <v>1.88956408346539E-2</v>
      </c>
      <c r="AG6046">
        <v>-9.1658999999999893E-2</v>
      </c>
      <c r="AH6046">
        <v>0.50700420823476999</v>
      </c>
      <c r="AI6046">
        <v>100.240601141037</v>
      </c>
      <c r="AJ6046">
        <v>87.8656200270309</v>
      </c>
      <c r="AK6046">
        <v>0.51556928214481401</v>
      </c>
      <c r="AL6046">
        <v>89.484767792728206</v>
      </c>
      <c r="AM6046">
        <v>87.924278777954399</v>
      </c>
      <c r="AN6046">
        <v>0.99999997406017804</v>
      </c>
    </row>
    <row r="6047" spans="1:40" x14ac:dyDescent="0.25">
      <c r="A6047" t="str">
        <f>"20190312154724002"</f>
        <v>20190312154724002</v>
      </c>
      <c r="B6047" t="str">
        <f>"1552376843993863"</f>
        <v>1552376843993863</v>
      </c>
      <c r="C6047" t="s">
        <v>40</v>
      </c>
      <c r="D6047">
        <v>5.1432140000000004</v>
      </c>
      <c r="E6047">
        <v>0.49261359999999899</v>
      </c>
      <c r="F6047" t="s">
        <v>41</v>
      </c>
      <c r="G6047">
        <v>-188.595</v>
      </c>
      <c r="H6047">
        <v>1.0265200000000001</v>
      </c>
      <c r="I6047">
        <v>21.720749999999999</v>
      </c>
      <c r="J6047">
        <v>-188.61099999999999</v>
      </c>
      <c r="K6047">
        <v>1.109054</v>
      </c>
      <c r="L6047">
        <v>21.259370000000001</v>
      </c>
      <c r="M6047">
        <v>6.0352169999999998E-3</v>
      </c>
      <c r="N6047">
        <v>0</v>
      </c>
      <c r="O6047">
        <v>0.9999536</v>
      </c>
      <c r="P6047">
        <v>4.2782889999999997E-2</v>
      </c>
      <c r="Q6047">
        <v>1.7209790000000001E-3</v>
      </c>
      <c r="R6047">
        <v>0.9990829</v>
      </c>
      <c r="S6047">
        <v>6.7062380000000005E-2</v>
      </c>
      <c r="T6047">
        <v>-0.30891390000000002</v>
      </c>
      <c r="U6047">
        <v>3.000305</v>
      </c>
      <c r="V6047">
        <v>3.6750310000000001E-2</v>
      </c>
      <c r="W6047">
        <v>9.2288769999999999E-3</v>
      </c>
      <c r="X6047">
        <v>0.99928189999999995</v>
      </c>
      <c r="Y6047">
        <v>1.6194529999999999E-2</v>
      </c>
      <c r="Z6047">
        <v>-0.1023973</v>
      </c>
      <c r="AA6047">
        <v>0.99461169999999999</v>
      </c>
      <c r="AB6047">
        <v>31</v>
      </c>
      <c r="AC6047">
        <v>1.5999999999991101E-2</v>
      </c>
      <c r="AD6047">
        <v>-8.2533999999999802E-2</v>
      </c>
      <c r="AE6047">
        <v>0.46137999999999801</v>
      </c>
      <c r="AF6047">
        <v>1.2805809611676501E-2</v>
      </c>
      <c r="AG6047">
        <v>-8.2533999999999802E-2</v>
      </c>
      <c r="AH6047">
        <v>0.44717578273168301</v>
      </c>
      <c r="AI6047">
        <v>100.453050714559</v>
      </c>
      <c r="AJ6047">
        <v>88.3596643624997</v>
      </c>
      <c r="AK6047">
        <v>0.45490881567354102</v>
      </c>
      <c r="AL6047">
        <v>89.471216811138206</v>
      </c>
      <c r="AM6047">
        <v>87.893798418865899</v>
      </c>
      <c r="AN6047">
        <v>1.0000000365616899</v>
      </c>
    </row>
    <row r="6048" spans="1:40" x14ac:dyDescent="0.25">
      <c r="A6048" t="str">
        <f>"20190312154724024"</f>
        <v>20190312154724024</v>
      </c>
      <c r="B6048" t="str">
        <f>"1552376844014359"</f>
        <v>1552376844014359</v>
      </c>
      <c r="C6048" t="s">
        <v>40</v>
      </c>
      <c r="D6048">
        <v>5.1561750000000002</v>
      </c>
      <c r="E6048">
        <v>0.49156820000000001</v>
      </c>
      <c r="F6048" t="s">
        <v>41</v>
      </c>
      <c r="G6048">
        <v>-188.596</v>
      </c>
      <c r="H6048">
        <v>1.035048</v>
      </c>
      <c r="I6048">
        <v>22.00018</v>
      </c>
      <c r="J6048">
        <v>-188.60929999999999</v>
      </c>
      <c r="K6048">
        <v>1.1090549999999999</v>
      </c>
      <c r="L6048">
        <v>21.561800000000002</v>
      </c>
      <c r="M6048">
        <v>5.9160410000000004E-3</v>
      </c>
      <c r="N6048">
        <v>0</v>
      </c>
      <c r="O6048">
        <v>0.99995429999999996</v>
      </c>
      <c r="P6048">
        <v>4.2753029999999997E-2</v>
      </c>
      <c r="Q6048">
        <v>1.9646479999999998E-3</v>
      </c>
      <c r="R6048">
        <v>0.99908379999999997</v>
      </c>
      <c r="S6048">
        <v>5.9814449999999998E-2</v>
      </c>
      <c r="T6048">
        <v>-0.299774599999999</v>
      </c>
      <c r="U6048">
        <v>3.000702</v>
      </c>
      <c r="V6048">
        <v>3.6839490000000003E-2</v>
      </c>
      <c r="W6048">
        <v>9.4815899999999998E-3</v>
      </c>
      <c r="X6048">
        <v>0.99927619999999895</v>
      </c>
      <c r="Y6048">
        <v>1.3915469999999999E-2</v>
      </c>
      <c r="Z6048">
        <v>-9.9389500000000006E-2</v>
      </c>
      <c r="AA6048">
        <v>0.99495129999999998</v>
      </c>
      <c r="AB6048">
        <v>31</v>
      </c>
      <c r="AC6048">
        <v>1.33000000000151E-2</v>
      </c>
      <c r="AD6048">
        <v>-7.4006999999999906E-2</v>
      </c>
      <c r="AE6048">
        <v>0.43837999999999799</v>
      </c>
      <c r="AF6048">
        <v>1.04098136811562E-2</v>
      </c>
      <c r="AG6048">
        <v>-7.4006999999999906E-2</v>
      </c>
      <c r="AH6048">
        <v>0.42631230619291699</v>
      </c>
      <c r="AI6048">
        <v>99.845412726127293</v>
      </c>
      <c r="AJ6048">
        <v>88.601213522200297</v>
      </c>
      <c r="AK6048">
        <v>0.43281356573171298</v>
      </c>
      <c r="AL6048">
        <v>89.456736762294099</v>
      </c>
      <c r="AM6048">
        <v>87.888680000407206</v>
      </c>
      <c r="AN6048">
        <v>0.999999986229413</v>
      </c>
    </row>
    <row r="6049" spans="1:40" x14ac:dyDescent="0.25">
      <c r="A6049" t="str">
        <f>"20190312154724045"</f>
        <v>20190312154724045</v>
      </c>
      <c r="B6049" t="str">
        <f>"1552376844033879"</f>
        <v>1552376844033879</v>
      </c>
      <c r="C6049" t="s">
        <v>40</v>
      </c>
      <c r="D6049">
        <v>5.1664750000000002</v>
      </c>
      <c r="E6049">
        <v>0.49096329999999999</v>
      </c>
      <c r="F6049" t="s">
        <v>41</v>
      </c>
      <c r="G6049">
        <v>-188.59219999999999</v>
      </c>
      <c r="H6049">
        <v>1.0122960000000001</v>
      </c>
      <c r="I6049">
        <v>22.54167</v>
      </c>
      <c r="J6049">
        <v>-188.60759999999999</v>
      </c>
      <c r="K6049">
        <v>1.1090549999999999</v>
      </c>
      <c r="L6049">
        <v>21.861450000000001</v>
      </c>
      <c r="M6049">
        <v>5.7977480000000001E-3</v>
      </c>
      <c r="N6049">
        <v>0</v>
      </c>
      <c r="O6049">
        <v>0.99995489999999998</v>
      </c>
      <c r="P6049">
        <v>4.2464130000000003E-2</v>
      </c>
      <c r="Q6049">
        <v>1.88945E-3</v>
      </c>
      <c r="R6049">
        <v>0.99909619999999999</v>
      </c>
      <c r="S6049">
        <v>5.1483149999999998E-2</v>
      </c>
      <c r="T6049">
        <v>-0.29635800000000001</v>
      </c>
      <c r="U6049">
        <v>3.0011290000000002</v>
      </c>
      <c r="V6049">
        <v>3.6668729999999997E-2</v>
      </c>
      <c r="W6049">
        <v>9.4157900000000003E-3</v>
      </c>
      <c r="X6049">
        <v>0.99928309999999998</v>
      </c>
      <c r="Y6049">
        <v>1.1271730000000001E-2</v>
      </c>
      <c r="Z6049">
        <v>-9.8258139999999994E-2</v>
      </c>
      <c r="AA6049">
        <v>0.99509709999999996</v>
      </c>
      <c r="AB6049">
        <v>31</v>
      </c>
      <c r="AC6049">
        <v>1.53999999999996E-2</v>
      </c>
      <c r="AD6049">
        <v>-9.6758999999999998E-2</v>
      </c>
      <c r="AE6049">
        <v>0.68021999999999805</v>
      </c>
      <c r="AF6049">
        <v>1.12287971913802E-2</v>
      </c>
      <c r="AG6049">
        <v>-9.6758999999999998E-2</v>
      </c>
      <c r="AH6049">
        <v>0.66681241588767803</v>
      </c>
      <c r="AI6049">
        <v>98.255224737925005</v>
      </c>
      <c r="AJ6049">
        <v>89.035258086879296</v>
      </c>
      <c r="AK6049">
        <v>0.67388959626138001</v>
      </c>
      <c r="AL6049">
        <v>89.460506991416594</v>
      </c>
      <c r="AM6049">
        <v>87.898472184918703</v>
      </c>
      <c r="AN6049">
        <v>0.99999998340337304</v>
      </c>
    </row>
    <row r="6050" spans="1:40" x14ac:dyDescent="0.25">
      <c r="A6050" t="str">
        <f>"20190312154724068"</f>
        <v>20190312154724068</v>
      </c>
      <c r="B6050" t="str">
        <f>"1552376844064135"</f>
        <v>1552376844064135</v>
      </c>
      <c r="C6050" t="s">
        <v>40</v>
      </c>
      <c r="D6050">
        <v>5.1577479999999998</v>
      </c>
      <c r="E6050">
        <v>0.49024250000000003</v>
      </c>
      <c r="F6050" t="s">
        <v>41</v>
      </c>
      <c r="G6050">
        <v>-188.59289999999999</v>
      </c>
      <c r="H6050">
        <v>1.01479599999999</v>
      </c>
      <c r="I6050">
        <v>22.820180000000001</v>
      </c>
      <c r="J6050">
        <v>-188.60599999999999</v>
      </c>
      <c r="K6050">
        <v>1.1090530000000001</v>
      </c>
      <c r="L6050">
        <v>22.16403</v>
      </c>
      <c r="M6050">
        <v>5.6783179999999999E-3</v>
      </c>
      <c r="N6050">
        <v>0</v>
      </c>
      <c r="O6050">
        <v>0.9999555</v>
      </c>
      <c r="P6050">
        <v>4.2488060000000001E-2</v>
      </c>
      <c r="Q6050">
        <v>2.2352750000000001E-3</v>
      </c>
      <c r="R6050">
        <v>0.9990945</v>
      </c>
      <c r="S6050">
        <v>4.579163E-2</v>
      </c>
      <c r="T6050">
        <v>-0.29508440000000002</v>
      </c>
      <c r="U6050">
        <v>3.0013429999999999</v>
      </c>
      <c r="V6050">
        <v>3.6811969999999999E-2</v>
      </c>
      <c r="W6050">
        <v>9.7710169999999999E-3</v>
      </c>
      <c r="X6050">
        <v>0.99927440000000001</v>
      </c>
      <c r="Y6050">
        <v>9.5040209999999996E-3</v>
      </c>
      <c r="Z6050">
        <v>-9.7835480000000002E-2</v>
      </c>
      <c r="AA6050">
        <v>0.99515719999999996</v>
      </c>
      <c r="AB6050">
        <v>31</v>
      </c>
      <c r="AC6050">
        <v>1.3100000000008501E-2</v>
      </c>
      <c r="AD6050">
        <v>-9.4257000000000202E-2</v>
      </c>
      <c r="AE6050">
        <v>0.65615000000000001</v>
      </c>
      <c r="AF6050">
        <v>9.1844028708677992E-3</v>
      </c>
      <c r="AG6050">
        <v>-9.4257000000000202E-2</v>
      </c>
      <c r="AH6050">
        <v>0.64295129203424395</v>
      </c>
      <c r="AI6050">
        <v>98.339343149073002</v>
      </c>
      <c r="AJ6050">
        <v>89.181599384343798</v>
      </c>
      <c r="AK6050">
        <v>0.64988852831358501</v>
      </c>
      <c r="AL6050">
        <v>89.440153033470096</v>
      </c>
      <c r="AM6050">
        <v>87.890251985427398</v>
      </c>
      <c r="AN6050">
        <v>0.99999996020192605</v>
      </c>
    </row>
    <row r="6051" spans="1:40" x14ac:dyDescent="0.25">
      <c r="A6051" t="str">
        <f>"20190312154724092"</f>
        <v>20190312154724092</v>
      </c>
      <c r="B6051" t="str">
        <f>"1552376844084631"</f>
        <v>1552376844084631</v>
      </c>
      <c r="C6051" t="s">
        <v>40</v>
      </c>
      <c r="D6051">
        <v>5.2005129999999999</v>
      </c>
      <c r="E6051">
        <v>0.48989260000000001</v>
      </c>
      <c r="F6051" t="s">
        <v>41</v>
      </c>
      <c r="G6051">
        <v>-188.5933</v>
      </c>
      <c r="H6051">
        <v>1.0181720000000001</v>
      </c>
      <c r="I6051">
        <v>23.099769999999999</v>
      </c>
      <c r="J6051">
        <v>-188.60419999999999</v>
      </c>
      <c r="K6051">
        <v>1.1090549999999999</v>
      </c>
      <c r="L6051">
        <v>22.507079999999998</v>
      </c>
      <c r="M6051">
        <v>5.5430169999999999E-3</v>
      </c>
      <c r="N6051">
        <v>0</v>
      </c>
      <c r="O6051">
        <v>0.99995619999999996</v>
      </c>
      <c r="P6051">
        <v>4.2215969999999998E-2</v>
      </c>
      <c r="Q6051">
        <v>1.926138E-3</v>
      </c>
      <c r="R6051">
        <v>0.99910659999999896</v>
      </c>
      <c r="S6051">
        <v>4.0176389999999999E-2</v>
      </c>
      <c r="T6051">
        <v>-0.29153220000000002</v>
      </c>
      <c r="U6051">
        <v>3.0016780000000001</v>
      </c>
      <c r="V6051">
        <v>3.6675069999999997E-2</v>
      </c>
      <c r="W6051">
        <v>9.4720529999999994E-3</v>
      </c>
      <c r="X6051">
        <v>0.99928240000000002</v>
      </c>
      <c r="Y6051">
        <v>7.7778919999999998E-3</v>
      </c>
      <c r="Z6051">
        <v>-9.6660239999999994E-2</v>
      </c>
      <c r="AA6051">
        <v>0.99528709999999998</v>
      </c>
      <c r="AB6051">
        <v>31</v>
      </c>
      <c r="AC6051">
        <v>1.08999999999923E-2</v>
      </c>
      <c r="AD6051">
        <v>-9.0883000000000005E-2</v>
      </c>
      <c r="AE6051">
        <v>0.59269000000000005</v>
      </c>
      <c r="AF6051">
        <v>7.4395798369648099E-3</v>
      </c>
      <c r="AG6051">
        <v>-9.0883000000000005E-2</v>
      </c>
      <c r="AH6051">
        <v>0.57912879861115996</v>
      </c>
      <c r="AI6051">
        <v>98.917994487969494</v>
      </c>
      <c r="AJ6051">
        <v>89.264009868156194</v>
      </c>
      <c r="AK6051">
        <v>0.58626379081259705</v>
      </c>
      <c r="AL6051">
        <v>89.457283250078504</v>
      </c>
      <c r="AM6051">
        <v>87.898107686922202</v>
      </c>
      <c r="AN6051">
        <v>1.0000000477486399</v>
      </c>
    </row>
    <row r="6052" spans="1:40" x14ac:dyDescent="0.25">
      <c r="A6052" t="str">
        <f>"20190312154724114"</f>
        <v>20190312154724114</v>
      </c>
      <c r="B6052" t="str">
        <f>"1552376844104151"</f>
        <v>1552376844104151</v>
      </c>
      <c r="C6052" t="s">
        <v>40</v>
      </c>
      <c r="D6052">
        <v>5.2106159999999999</v>
      </c>
      <c r="E6052">
        <v>0.48963050000000002</v>
      </c>
      <c r="F6052" t="s">
        <v>41</v>
      </c>
      <c r="G6052">
        <v>-188.5934</v>
      </c>
      <c r="H6052">
        <v>1.0244279999999999</v>
      </c>
      <c r="I6052">
        <v>23.38139</v>
      </c>
      <c r="J6052">
        <v>-188.6026</v>
      </c>
      <c r="K6052">
        <v>1.109051</v>
      </c>
      <c r="L6052">
        <v>22.815770000000001</v>
      </c>
      <c r="M6052">
        <v>5.4213780000000001E-3</v>
      </c>
      <c r="N6052">
        <v>0</v>
      </c>
      <c r="O6052">
        <v>0.99995679999999998</v>
      </c>
      <c r="P6052">
        <v>4.2040559999999998E-2</v>
      </c>
      <c r="Q6052">
        <v>1.968549E-3</v>
      </c>
      <c r="R6052">
        <v>0.99911399999999995</v>
      </c>
      <c r="S6052">
        <v>3.6560059999999998E-2</v>
      </c>
      <c r="T6052">
        <v>-0.29054869999999999</v>
      </c>
      <c r="U6052">
        <v>3.001709</v>
      </c>
      <c r="V6052">
        <v>3.6621170000000001E-2</v>
      </c>
      <c r="W6052">
        <v>9.5245050000000008E-3</v>
      </c>
      <c r="X6052">
        <v>0.9992839</v>
      </c>
      <c r="Y6052">
        <v>6.7008869999999896E-3</v>
      </c>
      <c r="Z6052">
        <v>-9.6337409999999998E-2</v>
      </c>
      <c r="AA6052">
        <v>0.99532619999999905</v>
      </c>
      <c r="AB6052">
        <v>31</v>
      </c>
      <c r="AC6052">
        <v>9.1999999999927695E-3</v>
      </c>
      <c r="AD6052">
        <v>-8.4622999999999796E-2</v>
      </c>
      <c r="AE6052">
        <v>0.56561999999999901</v>
      </c>
      <c r="AF6052">
        <v>5.99909259493443E-3</v>
      </c>
      <c r="AG6052">
        <v>-8.4622999999999796E-2</v>
      </c>
      <c r="AH6052">
        <v>0.55328050601158596</v>
      </c>
      <c r="AI6052">
        <v>98.695366732153005</v>
      </c>
      <c r="AJ6052">
        <v>89.378779454866802</v>
      </c>
      <c r="AK6052">
        <v>0.55974669232912799</v>
      </c>
      <c r="AL6052">
        <v>89.454277848315698</v>
      </c>
      <c r="AM6052">
        <v>87.901197143668895</v>
      </c>
      <c r="AN6052">
        <v>1.0000000695434299</v>
      </c>
    </row>
    <row r="6053" spans="1:40" x14ac:dyDescent="0.25">
      <c r="A6053" t="str">
        <f>"20190312154724158"</f>
        <v>20190312154724158</v>
      </c>
      <c r="B6053" t="str">
        <f>"1552376844153928"</f>
        <v>1552376844153928</v>
      </c>
      <c r="C6053" t="s">
        <v>40</v>
      </c>
      <c r="D6053">
        <v>5.121893</v>
      </c>
      <c r="E6053">
        <v>0.48928700000000003</v>
      </c>
      <c r="F6053" t="s">
        <v>41</v>
      </c>
      <c r="G6053">
        <v>-188.59270000000001</v>
      </c>
      <c r="H6053">
        <v>1.027406</v>
      </c>
      <c r="I6053">
        <v>23.662089999999999</v>
      </c>
      <c r="J6053">
        <v>-188.59960000000001</v>
      </c>
      <c r="K6053">
        <v>1.1090580000000001</v>
      </c>
      <c r="L6053">
        <v>23.4101</v>
      </c>
      <c r="M6053">
        <v>5.1870859999999996E-3</v>
      </c>
      <c r="N6053">
        <v>0</v>
      </c>
      <c r="O6053">
        <v>0.99995789999999996</v>
      </c>
      <c r="P6053">
        <v>4.1784300000000003E-2</v>
      </c>
      <c r="Q6053">
        <v>2.3778599999999999E-3</v>
      </c>
      <c r="R6053">
        <v>0.99912380000000001</v>
      </c>
      <c r="S6053">
        <v>3.4088130000000001E-2</v>
      </c>
      <c r="T6053">
        <v>-0.28958879999999998</v>
      </c>
      <c r="U6053">
        <v>3.0018009999999999</v>
      </c>
      <c r="V6053">
        <v>3.6598890000000002E-2</v>
      </c>
      <c r="W6053">
        <v>9.9522069999999994E-3</v>
      </c>
      <c r="X6053">
        <v>0.99928050000000002</v>
      </c>
      <c r="Y6053">
        <v>6.1156429999999996E-3</v>
      </c>
      <c r="Z6053">
        <v>-9.6019999999999994E-2</v>
      </c>
      <c r="AA6053">
        <v>0.99536060000000004</v>
      </c>
      <c r="AB6053">
        <v>31</v>
      </c>
      <c r="AC6053">
        <v>6.90000000000168E-3</v>
      </c>
      <c r="AD6053">
        <v>-8.1652000000000002E-2</v>
      </c>
      <c r="AE6053">
        <v>0.25198999999999899</v>
      </c>
      <c r="AF6053">
        <v>5.0617206642171002E-3</v>
      </c>
      <c r="AG6053">
        <v>-8.1652000000000002E-2</v>
      </c>
      <c r="AH6053">
        <v>0.22809192002654699</v>
      </c>
      <c r="AI6053">
        <v>109.69179952162</v>
      </c>
      <c r="AJ6053">
        <v>88.728724640561893</v>
      </c>
      <c r="AK6053">
        <v>0.24231919878845601</v>
      </c>
      <c r="AL6053">
        <v>89.429771140825395</v>
      </c>
      <c r="AM6053">
        <v>87.902465765741397</v>
      </c>
      <c r="AN6053">
        <v>1.0000000214268201</v>
      </c>
    </row>
    <row r="6054" spans="1:40" x14ac:dyDescent="0.25">
      <c r="A6054" t="str">
        <f>"20190312154724180"</f>
        <v>20190312154724180</v>
      </c>
      <c r="B6054" t="str">
        <f>"1552376844174424"</f>
        <v>1552376844174424</v>
      </c>
      <c r="C6054" t="s">
        <v>40</v>
      </c>
      <c r="D6054">
        <v>5.0591889999999999</v>
      </c>
      <c r="E6054">
        <v>0.48915809999999998</v>
      </c>
      <c r="F6054" t="s">
        <v>41</v>
      </c>
      <c r="G6054">
        <v>-188.59110000000001</v>
      </c>
      <c r="H6054">
        <v>1.0324799999999901</v>
      </c>
      <c r="I6054">
        <v>24.22504</v>
      </c>
      <c r="J6054">
        <v>-188.59809999999999</v>
      </c>
      <c r="K6054">
        <v>1.109057</v>
      </c>
      <c r="L6054">
        <v>23.7363</v>
      </c>
      <c r="M6054">
        <v>5.0588889999999996E-3</v>
      </c>
      <c r="N6054">
        <v>0</v>
      </c>
      <c r="O6054">
        <v>0.99995849999999997</v>
      </c>
      <c r="P6054">
        <v>4.1918049999999998E-2</v>
      </c>
      <c r="Q6054">
        <v>2.0459710000000002E-3</v>
      </c>
      <c r="R6054">
        <v>0.99911899999999998</v>
      </c>
      <c r="S6054">
        <v>3.0807500000000002E-2</v>
      </c>
      <c r="T6054">
        <v>-0.28210010000000002</v>
      </c>
      <c r="U6054">
        <v>3.002014</v>
      </c>
      <c r="V6054">
        <v>3.6860839999999999E-2</v>
      </c>
      <c r="W6054">
        <v>9.6303559999999996E-3</v>
      </c>
      <c r="X6054">
        <v>0.999274</v>
      </c>
      <c r="Y6054">
        <v>5.1578290000000001E-3</v>
      </c>
      <c r="Z6054">
        <v>-9.3553259999999999E-2</v>
      </c>
      <c r="AA6054">
        <v>0.99560090000000001</v>
      </c>
      <c r="AB6054">
        <v>31</v>
      </c>
      <c r="AC6054">
        <v>6.9999999999765796E-3</v>
      </c>
      <c r="AD6054">
        <v>-7.6577000000000103E-2</v>
      </c>
      <c r="AE6054">
        <v>0.48874000000000001</v>
      </c>
      <c r="AF6054">
        <v>4.4188989598648396E-3</v>
      </c>
      <c r="AG6054">
        <v>-7.6577000000000103E-2</v>
      </c>
      <c r="AH6054">
        <v>0.47706002225701599</v>
      </c>
      <c r="AI6054">
        <v>99.118861065165703</v>
      </c>
      <c r="AJ6054">
        <v>89.469297346093498</v>
      </c>
      <c r="AK6054">
        <v>0.48318715673420098</v>
      </c>
      <c r="AL6054">
        <v>89.448212714521404</v>
      </c>
      <c r="AM6054">
        <v>87.887452865183306</v>
      </c>
      <c r="AN6054">
        <v>0.99999999617909596</v>
      </c>
    </row>
    <row r="6055" spans="1:40" x14ac:dyDescent="0.25">
      <c r="A6055" t="str">
        <f>"20190312154724202"</f>
        <v>20190312154724202</v>
      </c>
      <c r="B6055" t="str">
        <f>"1552376844193943"</f>
        <v>1552376844193943</v>
      </c>
      <c r="C6055" t="s">
        <v>40</v>
      </c>
      <c r="D6055">
        <v>5.0440659999999999</v>
      </c>
      <c r="E6055">
        <v>0.48909979999999997</v>
      </c>
      <c r="F6055" t="s">
        <v>41</v>
      </c>
      <c r="G6055">
        <v>-188.59010000000001</v>
      </c>
      <c r="H6055">
        <v>1.0368329999999999</v>
      </c>
      <c r="I6055">
        <v>24.50864</v>
      </c>
      <c r="J6055">
        <v>-188.5966</v>
      </c>
      <c r="K6055">
        <v>1.109049</v>
      </c>
      <c r="L6055">
        <v>24.04599</v>
      </c>
      <c r="M6055">
        <v>4.937187E-3</v>
      </c>
      <c r="N6055">
        <v>0</v>
      </c>
      <c r="O6055">
        <v>0.99995900000000004</v>
      </c>
      <c r="P6055">
        <v>4.1537890000000001E-2</v>
      </c>
      <c r="Q6055">
        <v>1.689152E-3</v>
      </c>
      <c r="R6055">
        <v>0.99913549999999995</v>
      </c>
      <c r="S6055">
        <v>3.015137E-2</v>
      </c>
      <c r="T6055">
        <v>-0.28072970000000003</v>
      </c>
      <c r="U6055">
        <v>3.0019529999999999</v>
      </c>
      <c r="V6055">
        <v>3.6602290000000003E-2</v>
      </c>
      <c r="W6055">
        <v>9.283711E-3</v>
      </c>
      <c r="X6055">
        <v>0.99928680000000003</v>
      </c>
      <c r="Y6055">
        <v>5.062581E-3</v>
      </c>
      <c r="Z6055">
        <v>-9.3104800000000001E-2</v>
      </c>
      <c r="AA6055">
        <v>0.99564339999999996</v>
      </c>
      <c r="AB6055">
        <v>31</v>
      </c>
      <c r="AC6055">
        <v>6.4999999999883996E-3</v>
      </c>
      <c r="AD6055">
        <v>-7.2216000000000002E-2</v>
      </c>
      <c r="AE6055">
        <v>0.46265000000000001</v>
      </c>
      <c r="AF6055">
        <v>4.11541419904964E-3</v>
      </c>
      <c r="AG6055">
        <v>-7.2216000000000002E-2</v>
      </c>
      <c r="AH6055">
        <v>0.45167371415239799</v>
      </c>
      <c r="AI6055">
        <v>99.083499834545506</v>
      </c>
      <c r="AJ6055">
        <v>89.477965326933599</v>
      </c>
      <c r="AK6055">
        <v>0.457428935842773</v>
      </c>
      <c r="AL6055">
        <v>89.468074906701304</v>
      </c>
      <c r="AM6055">
        <v>87.902284294312594</v>
      </c>
      <c r="AN6055">
        <v>1.0000000117887</v>
      </c>
    </row>
    <row r="6056" spans="1:40" x14ac:dyDescent="0.25">
      <c r="A6056" t="str">
        <f>"20190312154724224"</f>
        <v>20190312154724224</v>
      </c>
      <c r="B6056" t="str">
        <f>"1552376844214439"</f>
        <v>1552376844214439</v>
      </c>
      <c r="C6056" t="s">
        <v>40</v>
      </c>
      <c r="D6056">
        <v>5.0011010000000002</v>
      </c>
      <c r="E6056">
        <v>0.48906729999999998</v>
      </c>
      <c r="F6056" t="s">
        <v>41</v>
      </c>
      <c r="G6056">
        <v>-188.58930000000001</v>
      </c>
      <c r="H6056">
        <v>1.039749</v>
      </c>
      <c r="I6056">
        <v>24.793119999999998</v>
      </c>
      <c r="J6056">
        <v>-188.59520000000001</v>
      </c>
      <c r="K6056">
        <v>1.1090500000000001</v>
      </c>
      <c r="L6056">
        <v>24.34967</v>
      </c>
      <c r="M6056">
        <v>4.8178880000000002E-3</v>
      </c>
      <c r="N6056">
        <v>0</v>
      </c>
      <c r="O6056">
        <v>0.9999595</v>
      </c>
      <c r="P6056">
        <v>4.1270439999999999E-2</v>
      </c>
      <c r="Q6056">
        <v>1.3453740000000001E-3</v>
      </c>
      <c r="R6056">
        <v>0.99914709999999995</v>
      </c>
      <c r="S6056">
        <v>2.861023E-2</v>
      </c>
      <c r="T6056">
        <v>-0.27844659999999999</v>
      </c>
      <c r="U6056">
        <v>3.001862</v>
      </c>
      <c r="V6056">
        <v>3.645408E-2</v>
      </c>
      <c r="W6056">
        <v>8.9489849999999996E-3</v>
      </c>
      <c r="X6056">
        <v>0.99929520000000005</v>
      </c>
      <c r="Y6056">
        <v>4.6717449999999997E-3</v>
      </c>
      <c r="Z6056">
        <v>-9.2357300000000003E-2</v>
      </c>
      <c r="AA6056">
        <v>0.99571500000000002</v>
      </c>
      <c r="AB6056">
        <v>31</v>
      </c>
      <c r="AC6056">
        <v>5.8999999999968999E-3</v>
      </c>
      <c r="AD6056">
        <v>-6.9301000000000001E-2</v>
      </c>
      <c r="AE6056">
        <v>0.44345000000000201</v>
      </c>
      <c r="AF6056">
        <v>3.6736730427441499E-3</v>
      </c>
      <c r="AG6056">
        <v>-6.9301000000000001E-2</v>
      </c>
      <c r="AH6056">
        <v>0.43290259740857701</v>
      </c>
      <c r="AI6056">
        <v>99.094676042683204</v>
      </c>
      <c r="AJ6056">
        <v>89.513791533129293</v>
      </c>
      <c r="AK6056">
        <v>0.43842990696086998</v>
      </c>
      <c r="AL6056">
        <v>89.487254054096695</v>
      </c>
      <c r="AM6056">
        <v>87.910788368983802</v>
      </c>
      <c r="AN6056">
        <v>0.99999994051210594</v>
      </c>
    </row>
    <row r="6057" spans="1:40" x14ac:dyDescent="0.25">
      <c r="A6057" t="str">
        <f>"20190312154724246"</f>
        <v>20190312154724246</v>
      </c>
      <c r="B6057" t="str">
        <f>"1552376844234935"</f>
        <v>1552376844234935</v>
      </c>
      <c r="C6057" t="s">
        <v>40</v>
      </c>
      <c r="D6057">
        <v>4.9587750000000002</v>
      </c>
      <c r="E6057">
        <v>0.48901109999999998</v>
      </c>
      <c r="F6057" t="s">
        <v>41</v>
      </c>
      <c r="G6057">
        <v>-188.5857</v>
      </c>
      <c r="H6057">
        <v>1.0172570000000001</v>
      </c>
      <c r="I6057">
        <v>25.346540000000001</v>
      </c>
      <c r="J6057">
        <v>-188.59379999999999</v>
      </c>
      <c r="K6057">
        <v>1.109051</v>
      </c>
      <c r="L6057">
        <v>24.66696</v>
      </c>
      <c r="M6057">
        <v>4.6932609999999998E-3</v>
      </c>
      <c r="N6057">
        <v>0</v>
      </c>
      <c r="O6057">
        <v>0.99995999999999996</v>
      </c>
      <c r="P6057">
        <v>4.0941819999999997E-2</v>
      </c>
      <c r="Q6057">
        <v>1.0338539999999901E-3</v>
      </c>
      <c r="R6057">
        <v>0.99916099999999997</v>
      </c>
      <c r="S6057">
        <v>2.7893069999999999E-2</v>
      </c>
      <c r="T6057">
        <v>-0.27641979999999999</v>
      </c>
      <c r="U6057">
        <v>3.00177</v>
      </c>
      <c r="V6057">
        <v>3.6250009999999999E-2</v>
      </c>
      <c r="W6057">
        <v>8.6524050000000002E-3</v>
      </c>
      <c r="X6057">
        <v>0.99930529999999995</v>
      </c>
      <c r="Y6057">
        <v>4.5593630000000003E-3</v>
      </c>
      <c r="Z6057">
        <v>-9.169368E-2</v>
      </c>
      <c r="AA6057">
        <v>0.99577680000000002</v>
      </c>
      <c r="AB6057">
        <v>32</v>
      </c>
      <c r="AC6057">
        <v>8.0999999999846698E-3</v>
      </c>
      <c r="AD6057">
        <v>-9.1793999999999903E-2</v>
      </c>
      <c r="AE6057">
        <v>0.67958000000000096</v>
      </c>
      <c r="AF6057">
        <v>4.82239913075087E-3</v>
      </c>
      <c r="AG6057">
        <v>-9.1793999999999903E-2</v>
      </c>
      <c r="AH6057">
        <v>0.66743481378758196</v>
      </c>
      <c r="AI6057">
        <v>97.830704010937893</v>
      </c>
      <c r="AJ6057">
        <v>89.586029521285596</v>
      </c>
      <c r="AK6057">
        <v>0.673734832575131</v>
      </c>
      <c r="AL6057">
        <v>89.504247527518004</v>
      </c>
      <c r="AM6057">
        <v>87.922494481098298</v>
      </c>
      <c r="AN6057">
        <v>1.00000000497268</v>
      </c>
    </row>
    <row r="6058" spans="1:40" x14ac:dyDescent="0.25">
      <c r="A6058" t="str">
        <f>"20190312154724269"</f>
        <v>20190312154724269</v>
      </c>
      <c r="B6058" t="str">
        <f>"1552376844264216"</f>
        <v>1552376844264216</v>
      </c>
      <c r="C6058" t="s">
        <v>40</v>
      </c>
      <c r="D6058">
        <v>4.8585900000000004</v>
      </c>
      <c r="E6058">
        <v>0.48900890000000002</v>
      </c>
      <c r="F6058" t="s">
        <v>41</v>
      </c>
      <c r="G6058">
        <v>-188.58519999999999</v>
      </c>
      <c r="H6058">
        <v>1.0209710000000001</v>
      </c>
      <c r="I6058">
        <v>25.632159999999999</v>
      </c>
      <c r="J6058">
        <v>-188.5925</v>
      </c>
      <c r="K6058">
        <v>1.109054</v>
      </c>
      <c r="L6058">
        <v>24.98349</v>
      </c>
      <c r="M6058">
        <v>4.5687740000000003E-3</v>
      </c>
      <c r="N6058">
        <v>0</v>
      </c>
      <c r="O6058">
        <v>0.99996039999999997</v>
      </c>
      <c r="P6058">
        <v>4.0865600000000002E-2</v>
      </c>
      <c r="Q6058">
        <v>7.6237549999999999E-4</v>
      </c>
      <c r="R6058">
        <v>0.99916430000000001</v>
      </c>
      <c r="S6058">
        <v>2.651978E-2</v>
      </c>
      <c r="T6058">
        <v>-0.2739297</v>
      </c>
      <c r="U6058">
        <v>3.001709</v>
      </c>
      <c r="V6058">
        <v>3.6298230000000001E-2</v>
      </c>
      <c r="W6058">
        <v>8.3996909999999904E-3</v>
      </c>
      <c r="X6058">
        <v>0.99930569999999996</v>
      </c>
      <c r="Y6058">
        <v>4.2291710000000003E-3</v>
      </c>
      <c r="Z6058">
        <v>-9.0876709999999999E-2</v>
      </c>
      <c r="AA6058">
        <v>0.99585319999999999</v>
      </c>
      <c r="AB6058">
        <v>32</v>
      </c>
      <c r="AC6058">
        <v>7.3000000000149603E-3</v>
      </c>
      <c r="AD6058">
        <v>-8.8083000000000106E-2</v>
      </c>
      <c r="AE6058">
        <v>0.64866999999999897</v>
      </c>
      <c r="AF6058">
        <v>4.2577128632156798E-3</v>
      </c>
      <c r="AG6058">
        <v>-8.8083000000000106E-2</v>
      </c>
      <c r="AH6058">
        <v>0.63695330920591697</v>
      </c>
      <c r="AI6058">
        <v>97.873209482253202</v>
      </c>
      <c r="AJ6058">
        <v>89.617012203885096</v>
      </c>
      <c r="AK6058">
        <v>0.64302897377660495</v>
      </c>
      <c r="AL6058">
        <v>89.518727496630504</v>
      </c>
      <c r="AM6058">
        <v>87.919734228031999</v>
      </c>
      <c r="AN6058">
        <v>0.99999999918125904</v>
      </c>
    </row>
    <row r="6059" spans="1:40" x14ac:dyDescent="0.25">
      <c r="A6059" t="str">
        <f>"20190312154724293"</f>
        <v>20190312154724293</v>
      </c>
      <c r="B6059" t="str">
        <f>"1552376844283735"</f>
        <v>1552376844283735</v>
      </c>
      <c r="C6059" t="s">
        <v>40</v>
      </c>
      <c r="D6059">
        <v>4.798457</v>
      </c>
      <c r="E6059">
        <v>0.48923080000000002</v>
      </c>
      <c r="F6059" t="s">
        <v>41</v>
      </c>
      <c r="G6059">
        <v>-188.58410000000001</v>
      </c>
      <c r="H6059">
        <v>1.0246</v>
      </c>
      <c r="I6059">
        <v>25.91836</v>
      </c>
      <c r="J6059">
        <v>-188.59100000000001</v>
      </c>
      <c r="K6059">
        <v>1.1090500000000001</v>
      </c>
      <c r="L6059">
        <v>25.340029999999999</v>
      </c>
      <c r="M6059">
        <v>4.4287850000000002E-3</v>
      </c>
      <c r="N6059">
        <v>0</v>
      </c>
      <c r="O6059">
        <v>0.99996090000000004</v>
      </c>
      <c r="P6059">
        <v>4.0901449999999999E-2</v>
      </c>
      <c r="Q6059">
        <v>2.7809230000000001E-4</v>
      </c>
      <c r="R6059">
        <v>0.99916320000000003</v>
      </c>
      <c r="S6059">
        <v>2.6290890000000001E-2</v>
      </c>
      <c r="T6059">
        <v>-0.27117809999999998</v>
      </c>
      <c r="U6059">
        <v>3.0016479999999999</v>
      </c>
      <c r="V6059">
        <v>3.6474090000000001E-2</v>
      </c>
      <c r="W6059">
        <v>7.9366969999999995E-3</v>
      </c>
      <c r="X6059">
        <v>0.9993031</v>
      </c>
      <c r="Y6059">
        <v>4.2941289999999998E-3</v>
      </c>
      <c r="Z6059">
        <v>-8.9973200000000003E-2</v>
      </c>
      <c r="AA6059">
        <v>0.99593489999999996</v>
      </c>
      <c r="AB6059">
        <v>32</v>
      </c>
      <c r="AC6059">
        <v>6.89999999997326E-3</v>
      </c>
      <c r="AD6059">
        <v>-8.4450000000000094E-2</v>
      </c>
      <c r="AE6059">
        <v>0.57833000000000101</v>
      </c>
      <c r="AF6059">
        <v>4.2479911375200201E-3</v>
      </c>
      <c r="AG6059">
        <v>-8.4450000000000094E-2</v>
      </c>
      <c r="AH6059">
        <v>0.56628179162810099</v>
      </c>
      <c r="AI6059">
        <v>98.481813017162906</v>
      </c>
      <c r="AJ6059">
        <v>89.5702009108265</v>
      </c>
      <c r="AK6059">
        <v>0.57255996669190601</v>
      </c>
      <c r="AL6059">
        <v>89.545255992600005</v>
      </c>
      <c r="AM6059">
        <v>87.909659108102105</v>
      </c>
      <c r="AN6059">
        <v>1.0000000180351001</v>
      </c>
    </row>
    <row r="6060" spans="1:40" x14ac:dyDescent="0.25">
      <c r="A6060" t="str">
        <f>"20190312154724316"</f>
        <v>20190312154724316</v>
      </c>
      <c r="B6060" t="str">
        <f>"1552376844304232"</f>
        <v>1552376844304232</v>
      </c>
      <c r="C6060" t="s">
        <v>40</v>
      </c>
      <c r="D6060">
        <v>4.7768930000000003</v>
      </c>
      <c r="E6060">
        <v>0.5288003</v>
      </c>
      <c r="F6060" t="s">
        <v>41</v>
      </c>
      <c r="G6060">
        <v>-188.58279999999999</v>
      </c>
      <c r="H6060">
        <v>1.0301260000000001</v>
      </c>
      <c r="I6060">
        <v>26.206119999999999</v>
      </c>
      <c r="J6060">
        <v>-188.58959999999999</v>
      </c>
      <c r="K6060">
        <v>1.1090469999999999</v>
      </c>
      <c r="L6060">
        <v>25.672360000000001</v>
      </c>
      <c r="M6060">
        <v>4.29839E-3</v>
      </c>
      <c r="N6060">
        <v>0</v>
      </c>
      <c r="O6060">
        <v>0.99996130000000005</v>
      </c>
      <c r="P6060">
        <v>4.1132009999999997E-2</v>
      </c>
      <c r="Q6060">
        <v>-2.4834709999999998E-4</v>
      </c>
      <c r="R6060">
        <v>0.99915370000000003</v>
      </c>
      <c r="S6060">
        <v>2.810669E-2</v>
      </c>
      <c r="T6060">
        <v>-0.27351049999999999</v>
      </c>
      <c r="U6060">
        <v>3.0014340000000002</v>
      </c>
      <c r="V6060">
        <v>3.6835079999999999E-2</v>
      </c>
      <c r="W6060">
        <v>7.4303099999999999E-3</v>
      </c>
      <c r="X6060">
        <v>0.99929369999999995</v>
      </c>
      <c r="Y6060">
        <v>5.0269579999999998E-3</v>
      </c>
      <c r="Z6060">
        <v>-9.0746759999999996E-2</v>
      </c>
      <c r="AA6060">
        <v>0.99586129999999995</v>
      </c>
      <c r="AB6060">
        <v>32</v>
      </c>
      <c r="AC6060">
        <v>6.7999999999983603E-3</v>
      </c>
      <c r="AD6060">
        <v>-7.8920999999999797E-2</v>
      </c>
      <c r="AE6060">
        <v>0.53376000000000001</v>
      </c>
      <c r="AF6060">
        <v>4.4091823186669403E-3</v>
      </c>
      <c r="AG6060">
        <v>-7.8920999999999797E-2</v>
      </c>
      <c r="AH6060">
        <v>0.52236609955241697</v>
      </c>
      <c r="AI6060">
        <v>98.591179250852505</v>
      </c>
      <c r="AJ6060">
        <v>89.516389867583499</v>
      </c>
      <c r="AK6060">
        <v>0.52831269821131899</v>
      </c>
      <c r="AL6060">
        <v>89.574270664495799</v>
      </c>
      <c r="AM6060">
        <v>87.888969451001799</v>
      </c>
      <c r="AN6060">
        <v>0.99999996574249495</v>
      </c>
    </row>
    <row r="6061" spans="1:40" x14ac:dyDescent="0.25">
      <c r="A6061" t="str">
        <f>"20190312154724338"</f>
        <v>20190312154724338</v>
      </c>
      <c r="B6061" t="str">
        <f>"1552376844334487"</f>
        <v>1552376844334487</v>
      </c>
      <c r="C6061" t="s">
        <v>40</v>
      </c>
      <c r="D6061">
        <v>4.7145789999999996</v>
      </c>
      <c r="E6061">
        <v>0.53686009999999995</v>
      </c>
      <c r="F6061" t="s">
        <v>41</v>
      </c>
      <c r="G6061">
        <v>-188.50299999999999</v>
      </c>
      <c r="H6061">
        <v>0.94238359999999999</v>
      </c>
      <c r="I6061">
        <v>26.448239999999998</v>
      </c>
      <c r="J6061">
        <v>-188.58840000000001</v>
      </c>
      <c r="K6061">
        <v>1.109046</v>
      </c>
      <c r="L6061">
        <v>25.98218</v>
      </c>
      <c r="M6061">
        <v>4.1771020000000002E-3</v>
      </c>
      <c r="N6061">
        <v>0</v>
      </c>
      <c r="O6061">
        <v>0.99996169999999995</v>
      </c>
      <c r="P6061">
        <v>4.08858E-2</v>
      </c>
      <c r="Q6061">
        <v>-4.2305320000000002E-4</v>
      </c>
      <c r="R6061">
        <v>0.99916369999999999</v>
      </c>
      <c r="S6061">
        <v>0.33300780000000002</v>
      </c>
      <c r="T6061">
        <v>-0.64198049999999995</v>
      </c>
      <c r="U6061">
        <v>2.9886780000000002</v>
      </c>
      <c r="V6061">
        <v>3.6710079999999999E-2</v>
      </c>
      <c r="W6061">
        <v>7.2729589999999998E-3</v>
      </c>
      <c r="X6061">
        <v>0.99929950000000001</v>
      </c>
      <c r="Y6061">
        <v>0.10414420000000001</v>
      </c>
      <c r="Z6061">
        <v>-0.2088228</v>
      </c>
      <c r="AA6061">
        <v>0.97239240000000005</v>
      </c>
      <c r="AB6061">
        <v>32</v>
      </c>
      <c r="AC6061">
        <v>8.5400000000021195E-2</v>
      </c>
      <c r="AD6061">
        <v>-0.16666239999999999</v>
      </c>
      <c r="AE6061">
        <v>0.46606000000000197</v>
      </c>
      <c r="AF6061">
        <v>7.4264250103384999E-2</v>
      </c>
      <c r="AG6061">
        <v>-0.16666239999999999</v>
      </c>
      <c r="AH6061">
        <v>0.41506032134590298</v>
      </c>
      <c r="AI6061">
        <v>111.566940985808</v>
      </c>
      <c r="AJ6061">
        <v>79.855753317709798</v>
      </c>
      <c r="AK6061">
        <v>0.45339453544671499</v>
      </c>
      <c r="AL6061">
        <v>89.583286474391599</v>
      </c>
      <c r="AM6061">
        <v>87.8961389935467</v>
      </c>
      <c r="AN6061">
        <v>1.0000000083032301</v>
      </c>
    </row>
    <row r="6062" spans="1:40" x14ac:dyDescent="0.25">
      <c r="A6062" t="str">
        <f>"20190312154724359"</f>
        <v>20190312154724359</v>
      </c>
      <c r="B6062" t="str">
        <f>"1552376844354007"</f>
        <v>1552376844354007</v>
      </c>
      <c r="C6062" t="s">
        <v>40</v>
      </c>
      <c r="D6062">
        <v>4.7769849999999998</v>
      </c>
      <c r="E6062">
        <v>0.53797229999999996</v>
      </c>
      <c r="F6062" t="s">
        <v>41</v>
      </c>
      <c r="G6062">
        <v>-188.49</v>
      </c>
      <c r="H6062">
        <v>0.92732049999999999</v>
      </c>
      <c r="I6062">
        <v>26.727810000000002</v>
      </c>
      <c r="J6062">
        <v>-188.5872</v>
      </c>
      <c r="K6062">
        <v>1.1090409999999999</v>
      </c>
      <c r="L6062">
        <v>26.295439999999999</v>
      </c>
      <c r="M6062">
        <v>4.0546649999999998E-3</v>
      </c>
      <c r="N6062">
        <v>0</v>
      </c>
      <c r="O6062">
        <v>0.99996200000000002</v>
      </c>
      <c r="P6062">
        <v>4.0777529999999999E-2</v>
      </c>
      <c r="Q6062">
        <v>-5.2239019999999895E-4</v>
      </c>
      <c r="R6062">
        <v>0.9991681</v>
      </c>
      <c r="S6062">
        <v>0.39385989999999999</v>
      </c>
      <c r="T6062">
        <v>-0.72776770000000002</v>
      </c>
      <c r="U6062">
        <v>2.986084</v>
      </c>
      <c r="V6062">
        <v>3.6724180000000002E-2</v>
      </c>
      <c r="W6062">
        <v>7.1909440000000003E-3</v>
      </c>
      <c r="X6062">
        <v>0.99929959999999995</v>
      </c>
      <c r="Y6062">
        <v>0.1230856</v>
      </c>
      <c r="Z6062">
        <v>-0.23492589999999999</v>
      </c>
      <c r="AA6062">
        <v>0.96418870000000001</v>
      </c>
      <c r="AB6062">
        <v>32</v>
      </c>
      <c r="AC6062">
        <v>9.7199999999986603E-2</v>
      </c>
      <c r="AD6062">
        <v>-0.18172049999999901</v>
      </c>
      <c r="AE6062">
        <v>0.43236999999999498</v>
      </c>
      <c r="AF6062">
        <v>8.1707327604769606E-2</v>
      </c>
      <c r="AG6062">
        <v>-0.18172049999999901</v>
      </c>
      <c r="AH6062">
        <v>0.37046809106858097</v>
      </c>
      <c r="AI6062">
        <v>115.594614650181</v>
      </c>
      <c r="AJ6062">
        <v>77.562440033513596</v>
      </c>
      <c r="AK6062">
        <v>0.42064834958021902</v>
      </c>
      <c r="AL6062">
        <v>89.587985720699805</v>
      </c>
      <c r="AM6062">
        <v>87.8953318571198</v>
      </c>
      <c r="AN6062">
        <v>1.00000003281622</v>
      </c>
    </row>
    <row r="6063" spans="1:40" x14ac:dyDescent="0.25">
      <c r="A6063" t="str">
        <f>"20190312154724381"</f>
        <v>20190312154724381</v>
      </c>
      <c r="B6063" t="str">
        <f>"1552376844374503"</f>
        <v>1552376844374503</v>
      </c>
      <c r="C6063" t="s">
        <v>40</v>
      </c>
      <c r="D6063">
        <v>4.7192809999999996</v>
      </c>
      <c r="E6063">
        <v>0.53859840000000003</v>
      </c>
      <c r="F6063" t="s">
        <v>41</v>
      </c>
      <c r="G6063">
        <v>-188.49010000000001</v>
      </c>
      <c r="H6063">
        <v>0.92935900000000005</v>
      </c>
      <c r="I6063">
        <v>27.015740000000001</v>
      </c>
      <c r="J6063">
        <v>-188.58609999999999</v>
      </c>
      <c r="K6063">
        <v>1.1090420000000001</v>
      </c>
      <c r="L6063">
        <v>26.592189999999999</v>
      </c>
      <c r="M6063">
        <v>3.938614E-3</v>
      </c>
      <c r="N6063">
        <v>0</v>
      </c>
      <c r="O6063">
        <v>0.99996240000000003</v>
      </c>
      <c r="P6063">
        <v>4.0593009999999999E-2</v>
      </c>
      <c r="Q6063">
        <v>-2.7565290000000002E-4</v>
      </c>
      <c r="R6063">
        <v>0.9991757</v>
      </c>
      <c r="S6063">
        <v>0.40196229999999999</v>
      </c>
      <c r="T6063">
        <v>-0.74479640000000003</v>
      </c>
      <c r="U6063">
        <v>2.985687</v>
      </c>
      <c r="V6063">
        <v>3.6655519999999997E-2</v>
      </c>
      <c r="W6063">
        <v>7.4541519999999899E-3</v>
      </c>
      <c r="X6063">
        <v>0.99930019999999997</v>
      </c>
      <c r="Y6063">
        <v>0.12562029999999999</v>
      </c>
      <c r="Z6063">
        <v>-0.2400582</v>
      </c>
      <c r="AA6063">
        <v>0.96259629999999996</v>
      </c>
      <c r="AB6063">
        <v>32</v>
      </c>
      <c r="AC6063">
        <v>9.5999999999975202E-2</v>
      </c>
      <c r="AD6063">
        <v>-0.17968300000000001</v>
      </c>
      <c r="AE6063">
        <v>0.42354999999999798</v>
      </c>
      <c r="AF6063">
        <v>8.0543698592045299E-2</v>
      </c>
      <c r="AG6063">
        <v>-0.17968300000000001</v>
      </c>
      <c r="AH6063">
        <v>0.36196448605627501</v>
      </c>
      <c r="AI6063">
        <v>115.85293474349101</v>
      </c>
      <c r="AJ6063">
        <v>77.455031149111605</v>
      </c>
      <c r="AK6063">
        <v>0.41205771080986903</v>
      </c>
      <c r="AL6063">
        <v>89.5729046126241</v>
      </c>
      <c r="AM6063">
        <v>87.899264503151898</v>
      </c>
      <c r="AN6063">
        <v>1.0000000406242699</v>
      </c>
    </row>
    <row r="6064" spans="1:40" x14ac:dyDescent="0.25">
      <c r="A6064" t="str">
        <f>"20190312154724404"</f>
        <v>20190312154724404</v>
      </c>
      <c r="B6064" t="str">
        <f>"1552376844394024"</f>
        <v>1552376844394024</v>
      </c>
      <c r="C6064" t="s">
        <v>40</v>
      </c>
      <c r="D6064">
        <v>4.7389919999999996</v>
      </c>
      <c r="E6064">
        <v>0.53900009999999998</v>
      </c>
      <c r="F6064" t="s">
        <v>41</v>
      </c>
      <c r="G6064">
        <v>-188.48929999999999</v>
      </c>
      <c r="H6064">
        <v>0.92969020000000002</v>
      </c>
      <c r="I6064">
        <v>27.303529999999999</v>
      </c>
      <c r="J6064">
        <v>-188.5849</v>
      </c>
      <c r="K6064">
        <v>1.1090500000000001</v>
      </c>
      <c r="L6064">
        <v>26.921970000000002</v>
      </c>
      <c r="M6064">
        <v>3.8098350000000001E-3</v>
      </c>
      <c r="N6064">
        <v>0</v>
      </c>
      <c r="O6064">
        <v>0.99996269999999998</v>
      </c>
      <c r="P6064">
        <v>4.000132E-2</v>
      </c>
      <c r="Q6064" s="1">
        <v>-4.6224219999999998E-5</v>
      </c>
      <c r="R6064">
        <v>0.99919959999999997</v>
      </c>
      <c r="S6064">
        <v>0.40583799999999998</v>
      </c>
      <c r="T6064">
        <v>-0.75280829999999999</v>
      </c>
      <c r="U6064">
        <v>2.985779</v>
      </c>
      <c r="V6064">
        <v>3.619236E-2</v>
      </c>
      <c r="W6064">
        <v>7.7044849999999996E-3</v>
      </c>
      <c r="X6064">
        <v>0.99931510000000001</v>
      </c>
      <c r="Y6064">
        <v>0.12689120000000001</v>
      </c>
      <c r="Z6064">
        <v>-0.24244209999999999</v>
      </c>
      <c r="AA6064">
        <v>0.96183180000000001</v>
      </c>
      <c r="AB6064">
        <v>32</v>
      </c>
      <c r="AC6064">
        <v>9.5600000000018698E-2</v>
      </c>
      <c r="AD6064">
        <v>-0.17935980000000001</v>
      </c>
      <c r="AE6064">
        <v>0.38155999999999601</v>
      </c>
      <c r="AF6064">
        <v>7.7940655343216994E-2</v>
      </c>
      <c r="AG6064">
        <v>-0.17935980000000001</v>
      </c>
      <c r="AH6064">
        <v>0.31618275066642698</v>
      </c>
      <c r="AI6064">
        <v>118.845051275591</v>
      </c>
      <c r="AJ6064">
        <v>76.152375869521407</v>
      </c>
      <c r="AK6064">
        <v>0.37177441470649703</v>
      </c>
      <c r="AL6064">
        <v>89.558561140130493</v>
      </c>
      <c r="AM6064">
        <v>87.925815865483699</v>
      </c>
      <c r="AN6064">
        <v>0.99999995754974602</v>
      </c>
    </row>
    <row r="6065" spans="1:40" x14ac:dyDescent="0.25">
      <c r="A6065" t="str">
        <f>"20190312154724425"</f>
        <v>20190312154724425</v>
      </c>
      <c r="B6065" t="str">
        <f>"1552376844414520"</f>
        <v>1552376844414520</v>
      </c>
      <c r="C6065" t="s">
        <v>40</v>
      </c>
      <c r="D6065">
        <v>4.6911399999999999</v>
      </c>
      <c r="E6065">
        <v>0.53953980000000001</v>
      </c>
      <c r="F6065" t="s">
        <v>41</v>
      </c>
      <c r="G6065">
        <v>-188.45750000000001</v>
      </c>
      <c r="H6065">
        <v>0.87192749999999997</v>
      </c>
      <c r="I6065">
        <v>27.856760000000001</v>
      </c>
      <c r="J6065">
        <v>-188.5839</v>
      </c>
      <c r="K6065">
        <v>1.1090549999999999</v>
      </c>
      <c r="L6065">
        <v>27.237490000000001</v>
      </c>
      <c r="M6065">
        <v>3.6866569999999999E-3</v>
      </c>
      <c r="N6065">
        <v>0</v>
      </c>
      <c r="O6065">
        <v>0.99996300000000005</v>
      </c>
      <c r="P6065">
        <v>3.9996329999999997E-2</v>
      </c>
      <c r="Q6065" s="1">
        <v>5.8725009999999998E-5</v>
      </c>
      <c r="R6065">
        <v>0.99919979999999997</v>
      </c>
      <c r="S6065">
        <v>0.40707399999999999</v>
      </c>
      <c r="T6065">
        <v>-0.75745340000000005</v>
      </c>
      <c r="U6065">
        <v>2.986084</v>
      </c>
      <c r="V6065">
        <v>3.6310439999999999E-2</v>
      </c>
      <c r="W6065">
        <v>7.8327499999999994E-3</v>
      </c>
      <c r="X6065">
        <v>0.99930980000000003</v>
      </c>
      <c r="Y6065">
        <v>0.12734469999999901</v>
      </c>
      <c r="Z6065">
        <v>-0.2438121</v>
      </c>
      <c r="AA6065">
        <v>0.96142550000000004</v>
      </c>
      <c r="AB6065">
        <v>32</v>
      </c>
      <c r="AC6065">
        <v>0.12639999999998899</v>
      </c>
      <c r="AD6065">
        <v>-0.23712749999999999</v>
      </c>
      <c r="AE6065">
        <v>0.61926999999999599</v>
      </c>
      <c r="AF6065">
        <v>0.10880124575587399</v>
      </c>
      <c r="AG6065">
        <v>-0.23712749999999999</v>
      </c>
      <c r="AH6065">
        <v>0.54326253048353301</v>
      </c>
      <c r="AI6065">
        <v>113.17039269342899</v>
      </c>
      <c r="AJ6065">
        <v>78.6749846747623</v>
      </c>
      <c r="AK6065">
        <v>0.60266187813868799</v>
      </c>
      <c r="AL6065">
        <v>89.551211866197903</v>
      </c>
      <c r="AM6065">
        <v>87.919043613607002</v>
      </c>
      <c r="AN6065">
        <v>0.99999993820079602</v>
      </c>
    </row>
    <row r="6066" spans="1:40" x14ac:dyDescent="0.25">
      <c r="A6066" t="str">
        <f>"20190312154724447"</f>
        <v>20190312154724447</v>
      </c>
      <c r="B6066" t="str">
        <f>"1552376844434040"</f>
        <v>1552376844434040</v>
      </c>
      <c r="C6066" t="s">
        <v>40</v>
      </c>
      <c r="D6066">
        <v>4.7225279999999996</v>
      </c>
      <c r="E6066">
        <v>0.54005579999999997</v>
      </c>
      <c r="F6066" t="s">
        <v>41</v>
      </c>
      <c r="G6066">
        <v>-188.45820000000001</v>
      </c>
      <c r="H6066">
        <v>0.87716280000000002</v>
      </c>
      <c r="I6066">
        <v>28.148409999999998</v>
      </c>
      <c r="J6066">
        <v>-188.58279999999999</v>
      </c>
      <c r="K6066">
        <v>1.1090519999999999</v>
      </c>
      <c r="L6066">
        <v>27.556609999999999</v>
      </c>
      <c r="M6066">
        <v>3.5618469999999999E-3</v>
      </c>
      <c r="N6066">
        <v>0</v>
      </c>
      <c r="O6066">
        <v>0.9999633</v>
      </c>
      <c r="P6066">
        <v>4.024382E-2</v>
      </c>
      <c r="Q6066">
        <v>2.7533160000000001E-4</v>
      </c>
      <c r="R6066">
        <v>0.99918989999999996</v>
      </c>
      <c r="S6066">
        <v>0.41122439999999999</v>
      </c>
      <c r="T6066">
        <v>-0.76013779999999997</v>
      </c>
      <c r="U6066">
        <v>2.985992</v>
      </c>
      <c r="V6066">
        <v>3.6682609999999997E-2</v>
      </c>
      <c r="W6066">
        <v>8.0740209999999903E-3</v>
      </c>
      <c r="X6066">
        <v>0.99929429999999997</v>
      </c>
      <c r="Y6066">
        <v>0.12875729999999999</v>
      </c>
      <c r="Z6066">
        <v>-0.2445872</v>
      </c>
      <c r="AA6066">
        <v>0.96104040000000002</v>
      </c>
      <c r="AB6066">
        <v>32</v>
      </c>
      <c r="AC6066">
        <v>0.124599999999986</v>
      </c>
      <c r="AD6066">
        <v>-0.23188919999999999</v>
      </c>
      <c r="AE6066">
        <v>0.59179999999999899</v>
      </c>
      <c r="AF6066">
        <v>0.106790933906562</v>
      </c>
      <c r="AG6066">
        <v>-0.23188919999999999</v>
      </c>
      <c r="AH6066">
        <v>0.51632971747849798</v>
      </c>
      <c r="AI6066">
        <v>113.74000839438099</v>
      </c>
      <c r="AJ6066">
        <v>78.314451525694295</v>
      </c>
      <c r="AK6066">
        <v>0.57599764044022095</v>
      </c>
      <c r="AL6066">
        <v>89.537387623901196</v>
      </c>
      <c r="AM6066">
        <v>87.897700961039703</v>
      </c>
      <c r="AN6066">
        <v>0.99999995085200399</v>
      </c>
    </row>
    <row r="6067" spans="1:40" x14ac:dyDescent="0.25">
      <c r="A6067" t="str">
        <f>"20190312154724471"</f>
        <v>20190312154724471</v>
      </c>
      <c r="B6067" t="str">
        <f>"1552376844464296"</f>
        <v>1552376844464296</v>
      </c>
      <c r="C6067" t="s">
        <v>40</v>
      </c>
      <c r="D6067">
        <v>4.7520470000000001</v>
      </c>
      <c r="E6067">
        <v>0.54154349999999996</v>
      </c>
      <c r="F6067" t="s">
        <v>41</v>
      </c>
      <c r="G6067">
        <v>-188.4597</v>
      </c>
      <c r="H6067">
        <v>0.88324519999999995</v>
      </c>
      <c r="I6067">
        <v>28.44098</v>
      </c>
      <c r="J6067">
        <v>-188.58179999999999</v>
      </c>
      <c r="K6067">
        <v>1.109056</v>
      </c>
      <c r="L6067">
        <v>27.889890000000001</v>
      </c>
      <c r="M6067">
        <v>3.4315320000000002E-3</v>
      </c>
      <c r="N6067">
        <v>0</v>
      </c>
      <c r="O6067">
        <v>0.99996350000000001</v>
      </c>
      <c r="P6067">
        <v>4.0288110000000002E-2</v>
      </c>
      <c r="Q6067" s="1">
        <v>-9.6537580000000001E-5</v>
      </c>
      <c r="R6067">
        <v>0.99918810000000002</v>
      </c>
      <c r="S6067">
        <v>0.41575620000000002</v>
      </c>
      <c r="T6067">
        <v>-0.76239969999999901</v>
      </c>
      <c r="U6067">
        <v>2.9859010000000001</v>
      </c>
      <c r="V6067">
        <v>3.6857229999999998E-2</v>
      </c>
      <c r="W6067">
        <v>7.7335700000000004E-3</v>
      </c>
      <c r="X6067">
        <v>0.99929060000000003</v>
      </c>
      <c r="Y6067">
        <v>0.1302991</v>
      </c>
      <c r="Z6067">
        <v>-0.24522939999999999</v>
      </c>
      <c r="AA6067">
        <v>0.96066890000000005</v>
      </c>
      <c r="AB6067">
        <v>32</v>
      </c>
      <c r="AC6067">
        <v>0.122099999999989</v>
      </c>
      <c r="AD6067">
        <v>-0.22581080000000001</v>
      </c>
      <c r="AE6067">
        <v>0.55108999999999797</v>
      </c>
      <c r="AF6067">
        <v>0.103624022419308</v>
      </c>
      <c r="AG6067">
        <v>-0.22581080000000001</v>
      </c>
      <c r="AH6067">
        <v>0.47541909338883298</v>
      </c>
      <c r="AI6067">
        <v>114.894897484735</v>
      </c>
      <c r="AJ6067">
        <v>77.703923558158493</v>
      </c>
      <c r="AK6067">
        <v>0.53642498988922704</v>
      </c>
      <c r="AL6067">
        <v>89.556894654109001</v>
      </c>
      <c r="AM6067">
        <v>87.887694629940299</v>
      </c>
      <c r="AN6067">
        <v>0.99999998337828799</v>
      </c>
    </row>
    <row r="6068" spans="1:40" x14ac:dyDescent="0.25">
      <c r="A6068" t="str">
        <f>"20190312154724496"</f>
        <v>20190312154724496</v>
      </c>
      <c r="B6068" t="str">
        <f>"1552376844484791"</f>
        <v>1552376844484791</v>
      </c>
      <c r="C6068" t="s">
        <v>40</v>
      </c>
      <c r="D6068">
        <v>4.6658559999999998</v>
      </c>
      <c r="E6068">
        <v>0.54222429999999999</v>
      </c>
      <c r="F6068" t="s">
        <v>41</v>
      </c>
      <c r="G6068">
        <v>-188.46080000000001</v>
      </c>
      <c r="H6068">
        <v>0.88969089999999995</v>
      </c>
      <c r="I6068">
        <v>28.734300000000001</v>
      </c>
      <c r="J6068">
        <v>-188.5806</v>
      </c>
      <c r="K6068">
        <v>1.1090629999999999</v>
      </c>
      <c r="L6068">
        <v>28.26031</v>
      </c>
      <c r="M6068">
        <v>3.2866050000000002E-3</v>
      </c>
      <c r="N6068">
        <v>0</v>
      </c>
      <c r="O6068">
        <v>0.99996359999999995</v>
      </c>
      <c r="P6068">
        <v>3.9701409999999999E-2</v>
      </c>
      <c r="Q6068">
        <v>-6.4236230000000005E-4</v>
      </c>
      <c r="R6068">
        <v>0.99921139999999997</v>
      </c>
      <c r="S6068">
        <v>0.4272919</v>
      </c>
      <c r="T6068">
        <v>-0.7754955</v>
      </c>
      <c r="U6068">
        <v>2.9851380000000001</v>
      </c>
      <c r="V6068">
        <v>3.6415379999999997E-2</v>
      </c>
      <c r="W6068">
        <v>7.2329050000000004E-3</v>
      </c>
      <c r="X6068">
        <v>0.99931060000000005</v>
      </c>
      <c r="Y6068">
        <v>0.1339746</v>
      </c>
      <c r="Z6068">
        <v>-0.24911520000000001</v>
      </c>
      <c r="AA6068">
        <v>0.95916239999999997</v>
      </c>
      <c r="AB6068">
        <v>32</v>
      </c>
      <c r="AC6068">
        <v>0.11979999999999701</v>
      </c>
      <c r="AD6068">
        <v>-0.21937209999999999</v>
      </c>
      <c r="AE6068">
        <v>0.47399000000000402</v>
      </c>
      <c r="AF6068">
        <v>9.8424623135974804E-2</v>
      </c>
      <c r="AG6068">
        <v>-0.21937209999999999</v>
      </c>
      <c r="AH6068">
        <v>0.39487654356323298</v>
      </c>
      <c r="AI6068">
        <v>118.327033319522</v>
      </c>
      <c r="AJ6068">
        <v>76.003983066131795</v>
      </c>
      <c r="AK6068">
        <v>0.46231916394879702</v>
      </c>
      <c r="AL6068">
        <v>89.585581470971903</v>
      </c>
      <c r="AM6068">
        <v>87.913036467184</v>
      </c>
      <c r="AN6068">
        <v>1.0000000350438201</v>
      </c>
    </row>
    <row r="6069" spans="1:40" x14ac:dyDescent="0.25">
      <c r="A6069" t="str">
        <f>"20190312154724517"</f>
        <v>20190312154724517</v>
      </c>
      <c r="B6069" t="str">
        <f>"1552376844504312"</f>
        <v>1552376844504312</v>
      </c>
      <c r="C6069" t="s">
        <v>40</v>
      </c>
      <c r="D6069">
        <v>4.7243510000000004</v>
      </c>
      <c r="E6069">
        <v>0.54265059999999998</v>
      </c>
      <c r="F6069" t="s">
        <v>41</v>
      </c>
      <c r="G6069">
        <v>-188.4692</v>
      </c>
      <c r="H6069">
        <v>0.90670130000000004</v>
      </c>
      <c r="I6069">
        <v>29.032319999999999</v>
      </c>
      <c r="J6069">
        <v>-188.5797</v>
      </c>
      <c r="K6069">
        <v>1.1090679999999999</v>
      </c>
      <c r="L6069">
        <v>28.56906</v>
      </c>
      <c r="M6069">
        <v>3.1658950000000002E-3</v>
      </c>
      <c r="N6069">
        <v>0</v>
      </c>
      <c r="O6069">
        <v>0.99996359999999995</v>
      </c>
      <c r="P6069">
        <v>3.9502450000000001E-2</v>
      </c>
      <c r="Q6069">
        <v>-5.9696199999999895E-4</v>
      </c>
      <c r="R6069">
        <v>0.99921930000000003</v>
      </c>
      <c r="S6069">
        <v>0.4306335</v>
      </c>
      <c r="T6069">
        <v>-0.78236930000000005</v>
      </c>
      <c r="U6069">
        <v>2.9847410000000001</v>
      </c>
      <c r="V6069">
        <v>3.6337019999999998E-2</v>
      </c>
      <c r="W6069">
        <v>7.3282699999999996E-3</v>
      </c>
      <c r="X6069">
        <v>0.99931270000000005</v>
      </c>
      <c r="Y6069">
        <v>0.13508800000000001</v>
      </c>
      <c r="Z6069">
        <v>-0.25117669999999997</v>
      </c>
      <c r="AA6069">
        <v>0.95846830000000005</v>
      </c>
      <c r="AB6069">
        <v>33</v>
      </c>
      <c r="AC6069">
        <v>0.110500000000001</v>
      </c>
      <c r="AD6069">
        <v>-0.20236669999999901</v>
      </c>
      <c r="AE6069">
        <v>0.463260000000005</v>
      </c>
      <c r="AF6069">
        <v>9.2357631394778497E-2</v>
      </c>
      <c r="AG6069">
        <v>-0.20236669999999901</v>
      </c>
      <c r="AH6069">
        <v>0.39270481183427097</v>
      </c>
      <c r="AI6069">
        <v>116.63966594395499</v>
      </c>
      <c r="AJ6069">
        <v>76.765494070585703</v>
      </c>
      <c r="AK6069">
        <v>0.451330569077183</v>
      </c>
      <c r="AL6069">
        <v>89.580117290153396</v>
      </c>
      <c r="AM6069">
        <v>87.9175276888338</v>
      </c>
      <c r="AN6069">
        <v>0.99999997747248104</v>
      </c>
    </row>
    <row r="6070" spans="1:40" x14ac:dyDescent="0.25">
      <c r="A6070" t="str">
        <f>"20190312154724542"</f>
        <v>20190312154724542</v>
      </c>
      <c r="B6070" t="str">
        <f>"1552376844534568"</f>
        <v>1552376844534568</v>
      </c>
      <c r="C6070" t="s">
        <v>40</v>
      </c>
      <c r="D6070">
        <v>4.7431549999999998</v>
      </c>
      <c r="E6070">
        <v>0.54343490000000005</v>
      </c>
      <c r="F6070" t="s">
        <v>41</v>
      </c>
      <c r="G6070">
        <v>-188.46969999999999</v>
      </c>
      <c r="H6070">
        <v>0.90983020000000003</v>
      </c>
      <c r="I6070">
        <v>29.32535</v>
      </c>
      <c r="J6070">
        <v>-188.5787</v>
      </c>
      <c r="K6070">
        <v>1.1090819999999999</v>
      </c>
      <c r="L6070">
        <v>28.928039999999999</v>
      </c>
      <c r="M6070">
        <v>3.0260059999999999E-3</v>
      </c>
      <c r="N6070">
        <v>0</v>
      </c>
      <c r="O6070">
        <v>0.99996350000000001</v>
      </c>
      <c r="P6070">
        <v>3.869417E-2</v>
      </c>
      <c r="Q6070">
        <v>-8.6269359999999998E-4</v>
      </c>
      <c r="R6070">
        <v>0.99925070000000005</v>
      </c>
      <c r="S6070">
        <v>0.43341059999999998</v>
      </c>
      <c r="T6070">
        <v>-0.78629479999999996</v>
      </c>
      <c r="U6070">
        <v>2.9847410000000001</v>
      </c>
      <c r="V6070">
        <v>3.5668470000000001E-2</v>
      </c>
      <c r="W6070">
        <v>7.1384939999999996E-3</v>
      </c>
      <c r="X6070">
        <v>0.99933819999999995</v>
      </c>
      <c r="Y6070">
        <v>0.13605699999999901</v>
      </c>
      <c r="Z6070">
        <v>-0.25232369999999998</v>
      </c>
      <c r="AA6070">
        <v>0.95802989999999999</v>
      </c>
      <c r="AB6070">
        <v>33</v>
      </c>
      <c r="AC6070">
        <v>0.10900000000000799</v>
      </c>
      <c r="AD6070">
        <v>-0.19925180000000001</v>
      </c>
      <c r="AE6070">
        <v>0.397309999999997</v>
      </c>
      <c r="AF6070">
        <v>8.7363006234617499E-2</v>
      </c>
      <c r="AG6070">
        <v>-0.19925180000000001</v>
      </c>
      <c r="AH6070">
        <v>0.32226118409842802</v>
      </c>
      <c r="AI6070">
        <v>120.82678252099301</v>
      </c>
      <c r="AJ6070">
        <v>74.832029531810804</v>
      </c>
      <c r="AK6070">
        <v>0.38882624067584498</v>
      </c>
      <c r="AL6070">
        <v>89.590990955276993</v>
      </c>
      <c r="AM6070">
        <v>87.955861554141904</v>
      </c>
      <c r="AN6070">
        <v>1.0000000179139801</v>
      </c>
    </row>
    <row r="6071" spans="1:40" x14ac:dyDescent="0.25">
      <c r="A6071" t="str">
        <f>"20190312154724565"</f>
        <v>20190312154724565</v>
      </c>
      <c r="B6071" t="str">
        <f>"1552376844554088"</f>
        <v>1552376844554088</v>
      </c>
      <c r="C6071" t="s">
        <v>40</v>
      </c>
      <c r="D6071">
        <v>4.7308570000000003</v>
      </c>
      <c r="E6071">
        <v>0.5437883</v>
      </c>
      <c r="F6071" t="s">
        <v>41</v>
      </c>
      <c r="G6071">
        <v>-188.4768</v>
      </c>
      <c r="H6071">
        <v>0.9241703</v>
      </c>
      <c r="I6071">
        <v>29.623760000000001</v>
      </c>
      <c r="J6071">
        <v>-188.5778</v>
      </c>
      <c r="K6071">
        <v>1.109091</v>
      </c>
      <c r="L6071">
        <v>29.26587</v>
      </c>
      <c r="M6071">
        <v>2.8957509999999998E-3</v>
      </c>
      <c r="N6071">
        <v>0</v>
      </c>
      <c r="O6071">
        <v>0.99996309999999999</v>
      </c>
      <c r="P6071">
        <v>3.8339169999999999E-2</v>
      </c>
      <c r="Q6071">
        <v>-1.409521E-3</v>
      </c>
      <c r="R6071">
        <v>0.99926380000000004</v>
      </c>
      <c r="S6071">
        <v>0.43682860000000001</v>
      </c>
      <c r="T6071">
        <v>-0.79326200000000002</v>
      </c>
      <c r="U6071">
        <v>2.9846499999999998</v>
      </c>
      <c r="V6071">
        <v>3.5443699999999898E-2</v>
      </c>
      <c r="W6071">
        <v>6.6783579999999997E-3</v>
      </c>
      <c r="X6071">
        <v>0.99934940000000005</v>
      </c>
      <c r="Y6071">
        <v>0.13718629999999901</v>
      </c>
      <c r="Z6071">
        <v>-0.254382</v>
      </c>
      <c r="AA6071">
        <v>0.95732430000000002</v>
      </c>
      <c r="AB6071">
        <v>33</v>
      </c>
      <c r="AC6071">
        <v>0.10099999999999899</v>
      </c>
      <c r="AD6071">
        <v>-0.18492069999999899</v>
      </c>
      <c r="AE6071">
        <v>0.35788999999999699</v>
      </c>
      <c r="AF6071">
        <v>8.0144829300218906E-2</v>
      </c>
      <c r="AG6071">
        <v>-0.18492069999999899</v>
      </c>
      <c r="AH6071">
        <v>0.28716926399778903</v>
      </c>
      <c r="AI6071">
        <v>121.808893006473</v>
      </c>
      <c r="AJ6071">
        <v>74.406343219648207</v>
      </c>
      <c r="AK6071">
        <v>0.35083478324858702</v>
      </c>
      <c r="AL6071">
        <v>89.617355443364701</v>
      </c>
      <c r="AM6071">
        <v>87.968754907907297</v>
      </c>
      <c r="AN6071">
        <v>1.0000000398078099</v>
      </c>
    </row>
    <row r="6072" spans="1:40" x14ac:dyDescent="0.25">
      <c r="A6072" t="str">
        <f>"20190312154724588"</f>
        <v>20190312154724588</v>
      </c>
      <c r="B6072" t="str">
        <f>"1552376844574584"</f>
        <v>1552376844574584</v>
      </c>
      <c r="C6072" t="s">
        <v>40</v>
      </c>
      <c r="D6072">
        <v>4.7419390000000003</v>
      </c>
      <c r="E6072">
        <v>0.54412899999999997</v>
      </c>
      <c r="F6072" t="s">
        <v>41</v>
      </c>
      <c r="G6072">
        <v>-188.4427</v>
      </c>
      <c r="H6072">
        <v>0.86317350000000004</v>
      </c>
      <c r="I6072">
        <v>30.184830000000002</v>
      </c>
      <c r="J6072">
        <v>-188.577</v>
      </c>
      <c r="K6072">
        <v>1.1091009999999999</v>
      </c>
      <c r="L6072">
        <v>29.60632</v>
      </c>
      <c r="M6072">
        <v>2.7698499999999999E-3</v>
      </c>
      <c r="N6072">
        <v>0</v>
      </c>
      <c r="O6072">
        <v>0.99996269999999998</v>
      </c>
      <c r="P6072">
        <v>3.7788500000000003E-2</v>
      </c>
      <c r="Q6072">
        <v>-1.67748299999999E-3</v>
      </c>
      <c r="R6072">
        <v>0.99928430000000001</v>
      </c>
      <c r="S6072">
        <v>0.43847659999999999</v>
      </c>
      <c r="T6072">
        <v>-0.79859199999999997</v>
      </c>
      <c r="U6072">
        <v>2.9842529999999998</v>
      </c>
      <c r="V6072">
        <v>3.5018880000000002E-2</v>
      </c>
      <c r="W6072">
        <v>6.5109919999999898E-3</v>
      </c>
      <c r="X6072">
        <v>0.99936539999999996</v>
      </c>
      <c r="Y6072">
        <v>0.13778489999999999</v>
      </c>
      <c r="Z6072">
        <v>-0.25598979999999999</v>
      </c>
      <c r="AA6072">
        <v>0.95680949999999998</v>
      </c>
      <c r="AB6072">
        <v>33</v>
      </c>
      <c r="AC6072">
        <v>0.13429999999999601</v>
      </c>
      <c r="AD6072">
        <v>-0.24592749999999999</v>
      </c>
      <c r="AE6072">
        <v>0.57850999999999697</v>
      </c>
      <c r="AF6072">
        <v>0.11327365830084</v>
      </c>
      <c r="AG6072">
        <v>-0.24592749999999999</v>
      </c>
      <c r="AH6072">
        <v>0.49414687967443799</v>
      </c>
      <c r="AI6072">
        <v>115.877975286856</v>
      </c>
      <c r="AJ6072">
        <v>77.089103048902601</v>
      </c>
      <c r="AK6072">
        <v>0.56346463563660298</v>
      </c>
      <c r="AL6072">
        <v>89.626944986750502</v>
      </c>
      <c r="AM6072">
        <v>87.993113017756002</v>
      </c>
      <c r="AN6072">
        <v>0.99999995884521797</v>
      </c>
    </row>
    <row r="6073" spans="1:40" x14ac:dyDescent="0.25">
      <c r="A6073" t="str">
        <f>"20190312154724628"</f>
        <v>20190312154724628</v>
      </c>
      <c r="B6073" t="str">
        <f>"1552376844614600"</f>
        <v>1552376844614600</v>
      </c>
      <c r="C6073" t="s">
        <v>40</v>
      </c>
      <c r="D6073">
        <v>4.769781</v>
      </c>
      <c r="E6073">
        <v>0.54458499999999999</v>
      </c>
      <c r="F6073" t="s">
        <v>41</v>
      </c>
      <c r="G6073">
        <v>-188.4478</v>
      </c>
      <c r="H6073">
        <v>0.87362640000000003</v>
      </c>
      <c r="I6073">
        <v>30.482620000000001</v>
      </c>
      <c r="J6073">
        <v>-188.57560000000001</v>
      </c>
      <c r="K6073">
        <v>1.109121</v>
      </c>
      <c r="L6073">
        <v>30.189360000000001</v>
      </c>
      <c r="M6073">
        <v>2.5726550000000001E-3</v>
      </c>
      <c r="N6073">
        <v>0</v>
      </c>
      <c r="O6073">
        <v>0.99996160000000001</v>
      </c>
      <c r="P6073">
        <v>3.8037439999999999E-2</v>
      </c>
      <c r="Q6073">
        <v>-2.3974220000000002E-3</v>
      </c>
      <c r="R6073">
        <v>0.99927339999999998</v>
      </c>
      <c r="S6073">
        <v>0.43916319999999998</v>
      </c>
      <c r="T6073">
        <v>-0.80189560000000004</v>
      </c>
      <c r="U6073">
        <v>2.9841920000000002</v>
      </c>
      <c r="V6073">
        <v>3.5465190000000001E-2</v>
      </c>
      <c r="W6073">
        <v>5.980282E-3</v>
      </c>
      <c r="X6073">
        <v>0.99935300000000005</v>
      </c>
      <c r="Y6073">
        <v>0.13816039999999999</v>
      </c>
      <c r="Z6073">
        <v>-0.2569726</v>
      </c>
      <c r="AA6073">
        <v>0.95649189999999995</v>
      </c>
      <c r="AB6073">
        <v>33</v>
      </c>
      <c r="AC6073">
        <v>0.12780000000000699</v>
      </c>
      <c r="AD6073">
        <v>-0.235494599999999</v>
      </c>
      <c r="AE6073">
        <v>0.29326000000000302</v>
      </c>
      <c r="AF6073">
        <v>8.2393712899343496E-2</v>
      </c>
      <c r="AG6073">
        <v>-0.235494599999999</v>
      </c>
      <c r="AH6073">
        <v>0.19040318956205701</v>
      </c>
      <c r="AI6073">
        <v>138.62061228895399</v>
      </c>
      <c r="AJ6073">
        <v>66.600280026075097</v>
      </c>
      <c r="AK6073">
        <v>0.31384678610733602</v>
      </c>
      <c r="AL6073">
        <v>89.657353032193797</v>
      </c>
      <c r="AM6073">
        <v>87.967531684342006</v>
      </c>
      <c r="AN6073">
        <v>0.99999998104176702</v>
      </c>
    </row>
    <row r="6074" spans="1:40" x14ac:dyDescent="0.25">
      <c r="A6074" t="str">
        <f>"20190312154724649"</f>
        <v>20190312154724649</v>
      </c>
      <c r="B6074" t="str">
        <f>"1552376844643879"</f>
        <v>1552376844643879</v>
      </c>
      <c r="C6074" t="s">
        <v>40</v>
      </c>
      <c r="D6074">
        <v>4.7852540000000001</v>
      </c>
      <c r="E6074">
        <v>0.54504730000000001</v>
      </c>
      <c r="F6074" t="s">
        <v>41</v>
      </c>
      <c r="G6074">
        <v>-188.44470000000001</v>
      </c>
      <c r="H6074">
        <v>0.87098120000000001</v>
      </c>
      <c r="I6074">
        <v>31.07002</v>
      </c>
      <c r="J6074">
        <v>-188.57490000000001</v>
      </c>
      <c r="K6074">
        <v>1.109127</v>
      </c>
      <c r="L6074">
        <v>30.512969999999999</v>
      </c>
      <c r="M6074">
        <v>2.4818869999999999E-3</v>
      </c>
      <c r="N6074">
        <v>0</v>
      </c>
      <c r="O6074">
        <v>0.99996079999999998</v>
      </c>
      <c r="P6074">
        <v>3.8052139999999998E-2</v>
      </c>
      <c r="Q6074">
        <v>-2.690684E-3</v>
      </c>
      <c r="R6074">
        <v>0.9992721</v>
      </c>
      <c r="S6074">
        <v>0.4432526</v>
      </c>
      <c r="T6074">
        <v>-0.80673490000000003</v>
      </c>
      <c r="U6074">
        <v>2.983368</v>
      </c>
      <c r="V6074">
        <v>3.5570770000000002E-2</v>
      </c>
      <c r="W6074">
        <v>5.8100540000000003E-3</v>
      </c>
      <c r="X6074">
        <v>0.99935019999999997</v>
      </c>
      <c r="Y6074">
        <v>0.13951379999999999</v>
      </c>
      <c r="Z6074">
        <v>-0.25843640000000001</v>
      </c>
      <c r="AA6074">
        <v>0.95590090000000005</v>
      </c>
      <c r="AB6074">
        <v>33</v>
      </c>
      <c r="AC6074">
        <v>0.13020000000000201</v>
      </c>
      <c r="AD6074">
        <v>-0.23814579999999999</v>
      </c>
      <c r="AE6074">
        <v>0.55704999999999605</v>
      </c>
      <c r="AF6074">
        <v>0.109790395794679</v>
      </c>
      <c r="AG6074">
        <v>-0.23814579999999999</v>
      </c>
      <c r="AH6074">
        <v>0.47504618291575301</v>
      </c>
      <c r="AI6074">
        <v>116.032540038639</v>
      </c>
      <c r="AJ6074">
        <v>76.986564069347807</v>
      </c>
      <c r="AK6074">
        <v>0.54261978306104897</v>
      </c>
      <c r="AL6074">
        <v>89.667106530611903</v>
      </c>
      <c r="AM6074">
        <v>87.961480409317204</v>
      </c>
      <c r="AN6074">
        <v>0.99999992932295501</v>
      </c>
    </row>
    <row r="6075" spans="1:40" x14ac:dyDescent="0.25">
      <c r="A6075" t="str">
        <f>"20190312154724671"</f>
        <v>20190312154724671</v>
      </c>
      <c r="B6075" t="str">
        <f>"1552376844664375"</f>
        <v>1552376844664375</v>
      </c>
      <c r="C6075" t="s">
        <v>40</v>
      </c>
      <c r="D6075">
        <v>4.8162459999999996</v>
      </c>
      <c r="E6075">
        <v>0.54532910000000001</v>
      </c>
      <c r="F6075" t="s">
        <v>41</v>
      </c>
      <c r="G6075">
        <v>-188.4468</v>
      </c>
      <c r="H6075">
        <v>0.87715140000000003</v>
      </c>
      <c r="I6075">
        <v>31.367270000000001</v>
      </c>
      <c r="J6075">
        <v>-188.57419999999999</v>
      </c>
      <c r="K6075">
        <v>1.1091329999999999</v>
      </c>
      <c r="L6075">
        <v>30.816189999999999</v>
      </c>
      <c r="M6075">
        <v>2.4112640000000002E-3</v>
      </c>
      <c r="N6075">
        <v>0</v>
      </c>
      <c r="O6075">
        <v>0.99995990000000001</v>
      </c>
      <c r="P6075">
        <v>3.8306270000000003E-2</v>
      </c>
      <c r="Q6075">
        <v>-2.426526E-3</v>
      </c>
      <c r="R6075">
        <v>0.99926309999999996</v>
      </c>
      <c r="S6075">
        <v>0.44726559999999999</v>
      </c>
      <c r="T6075">
        <v>-0.80999460000000001</v>
      </c>
      <c r="U6075">
        <v>2.982971</v>
      </c>
      <c r="V6075">
        <v>3.5895610000000001E-2</v>
      </c>
      <c r="W6075">
        <v>6.2020069999999998E-3</v>
      </c>
      <c r="X6075">
        <v>0.99933629999999996</v>
      </c>
      <c r="Y6075">
        <v>0.140822</v>
      </c>
      <c r="Z6075">
        <v>-0.2593936</v>
      </c>
      <c r="AA6075">
        <v>0.95544969999999996</v>
      </c>
      <c r="AB6075">
        <v>33</v>
      </c>
      <c r="AC6075">
        <v>0.12739999999999399</v>
      </c>
      <c r="AD6075">
        <v>-0.23198159999999901</v>
      </c>
      <c r="AE6075">
        <v>0.55107999999999802</v>
      </c>
      <c r="AF6075">
        <v>0.107917409196324</v>
      </c>
      <c r="AG6075">
        <v>-0.23198159999999901</v>
      </c>
      <c r="AH6075">
        <v>0.47198966720984598</v>
      </c>
      <c r="AI6075">
        <v>115.600605514748</v>
      </c>
      <c r="AJ6075">
        <v>77.121069558647804</v>
      </c>
      <c r="AK6075">
        <v>0.53687603401443396</v>
      </c>
      <c r="AL6075">
        <v>89.644648896310898</v>
      </c>
      <c r="AM6075">
        <v>87.942851539041399</v>
      </c>
      <c r="AN6075">
        <v>1.0000000001028899</v>
      </c>
    </row>
    <row r="6076" spans="1:40" x14ac:dyDescent="0.25">
      <c r="A6076" t="str">
        <f>"20190312154724696"</f>
        <v>20190312154724696</v>
      </c>
      <c r="B6076" t="str">
        <f>"1552376844683896"</f>
        <v>1552376844683896</v>
      </c>
      <c r="C6076" t="s">
        <v>40</v>
      </c>
      <c r="D6076">
        <v>4.8093120000000003</v>
      </c>
      <c r="E6076">
        <v>0.54561599999999999</v>
      </c>
      <c r="F6076" t="s">
        <v>41</v>
      </c>
      <c r="G6076">
        <v>-188.4461</v>
      </c>
      <c r="H6076">
        <v>0.87889189999999995</v>
      </c>
      <c r="I6076">
        <v>31.663019999999999</v>
      </c>
      <c r="J6076">
        <v>-188.57329999999999</v>
      </c>
      <c r="K6076">
        <v>1.1091530000000001</v>
      </c>
      <c r="L6076">
        <v>31.197970000000002</v>
      </c>
      <c r="M6076">
        <v>2.3500439999999999E-3</v>
      </c>
      <c r="N6076">
        <v>0</v>
      </c>
      <c r="O6076">
        <v>0.99995820000000002</v>
      </c>
      <c r="P6076">
        <v>3.825419E-2</v>
      </c>
      <c r="Q6076">
        <v>-2.876108E-3</v>
      </c>
      <c r="R6076">
        <v>0.99926389999999998</v>
      </c>
      <c r="S6076">
        <v>0.45082090000000002</v>
      </c>
      <c r="T6076">
        <v>-0.81101759999999901</v>
      </c>
      <c r="U6076">
        <v>2.9829409999999998</v>
      </c>
      <c r="V6076">
        <v>3.5905020000000003E-2</v>
      </c>
      <c r="W6076">
        <v>5.9602550000000002E-3</v>
      </c>
      <c r="X6076">
        <v>0.99933740000000004</v>
      </c>
      <c r="Y6076">
        <v>0.14198669999999999</v>
      </c>
      <c r="Z6076">
        <v>-0.25965830000000001</v>
      </c>
      <c r="AA6076">
        <v>0.95520539999999998</v>
      </c>
      <c r="AB6076">
        <v>33</v>
      </c>
      <c r="AC6076">
        <v>0.12719999999998699</v>
      </c>
      <c r="AD6076">
        <v>-0.2302611</v>
      </c>
      <c r="AE6076">
        <v>0.46504999999999802</v>
      </c>
      <c r="AF6076">
        <v>0.10268511640694</v>
      </c>
      <c r="AG6076">
        <v>-0.2302611</v>
      </c>
      <c r="AH6076">
        <v>0.37891936796028203</v>
      </c>
      <c r="AI6076">
        <v>120.39261629987701</v>
      </c>
      <c r="AJ6076">
        <v>74.837321885802893</v>
      </c>
      <c r="AK6076">
        <v>0.45513107421943499</v>
      </c>
      <c r="AL6076">
        <v>89.6585005104711</v>
      </c>
      <c r="AM6076">
        <v>87.942314986058605</v>
      </c>
      <c r="AN6076">
        <v>0.99999996706981198</v>
      </c>
    </row>
    <row r="6077" spans="1:40" x14ac:dyDescent="0.25">
      <c r="A6077" t="str">
        <f>"20190312154724718"</f>
        <v>20190312154724718</v>
      </c>
      <c r="B6077" t="str">
        <f>"1552376844704392"</f>
        <v>1552376844704392</v>
      </c>
      <c r="C6077" t="s">
        <v>40</v>
      </c>
      <c r="D6077">
        <v>4.8190900000000001</v>
      </c>
      <c r="E6077">
        <v>0.54588630000000005</v>
      </c>
      <c r="F6077" t="s">
        <v>41</v>
      </c>
      <c r="G6077">
        <v>-188.45660000000001</v>
      </c>
      <c r="H6077">
        <v>0.8993044</v>
      </c>
      <c r="I6077">
        <v>31.966349999999998</v>
      </c>
      <c r="J6077">
        <v>-188.57259999999999</v>
      </c>
      <c r="K6077">
        <v>1.1091799999999901</v>
      </c>
      <c r="L6077">
        <v>31.5152</v>
      </c>
      <c r="M6077">
        <v>2.3197180000000001E-3</v>
      </c>
      <c r="N6077">
        <v>0</v>
      </c>
      <c r="O6077">
        <v>0.99995619999999996</v>
      </c>
      <c r="P6077">
        <v>3.7583039999999998E-2</v>
      </c>
      <c r="Q6077">
        <v>-3.2763459999999999E-3</v>
      </c>
      <c r="R6077">
        <v>0.99928810000000001</v>
      </c>
      <c r="S6077">
        <v>0.45288089999999998</v>
      </c>
      <c r="T6077">
        <v>-0.8145386</v>
      </c>
      <c r="U6077">
        <v>2.982513</v>
      </c>
      <c r="V6077">
        <v>3.5264370000000003E-2</v>
      </c>
      <c r="W6077">
        <v>5.7876430000000003E-3</v>
      </c>
      <c r="X6077">
        <v>0.99936130000000001</v>
      </c>
      <c r="Y6077">
        <v>0.14263899999999999</v>
      </c>
      <c r="Z6077">
        <v>-0.26071800000000001</v>
      </c>
      <c r="AA6077">
        <v>0.95481950000000004</v>
      </c>
      <c r="AB6077">
        <v>33</v>
      </c>
      <c r="AC6077">
        <v>0.115999999999985</v>
      </c>
      <c r="AD6077">
        <v>-0.209875599999999</v>
      </c>
      <c r="AE6077">
        <v>0.451149999999998</v>
      </c>
      <c r="AF6077">
        <v>9.5555977754991597E-2</v>
      </c>
      <c r="AG6077">
        <v>-0.209875599999999</v>
      </c>
      <c r="AH6077">
        <v>0.37524586803985199</v>
      </c>
      <c r="AI6077">
        <v>118.45787635136099</v>
      </c>
      <c r="AJ6077">
        <v>75.713333740352098</v>
      </c>
      <c r="AK6077">
        <v>0.440440885750919</v>
      </c>
      <c r="AL6077">
        <v>89.668390644798706</v>
      </c>
      <c r="AM6077">
        <v>87.979047642592803</v>
      </c>
      <c r="AN6077">
        <v>1.00000004027034</v>
      </c>
    </row>
    <row r="6078" spans="1:40" x14ac:dyDescent="0.25">
      <c r="A6078" t="str">
        <f>"20190312154724760"</f>
        <v>20190312154724760</v>
      </c>
      <c r="B6078" t="str">
        <f>"1552376844754168"</f>
        <v>1552376844754168</v>
      </c>
      <c r="C6078" t="s">
        <v>40</v>
      </c>
      <c r="D6078">
        <v>4.9022220000000001</v>
      </c>
      <c r="E6078">
        <v>0.54639539999999998</v>
      </c>
      <c r="F6078" t="s">
        <v>41</v>
      </c>
      <c r="G6078">
        <v>-188.45859999999999</v>
      </c>
      <c r="H6078">
        <v>0.904115</v>
      </c>
      <c r="I6078">
        <v>32.263449999999999</v>
      </c>
      <c r="J6078">
        <v>-188.5712</v>
      </c>
      <c r="K6078">
        <v>1.1092500000000001</v>
      </c>
      <c r="L6078">
        <v>32.133940000000003</v>
      </c>
      <c r="M6078">
        <v>2.3096129999999999E-3</v>
      </c>
      <c r="N6078">
        <v>0</v>
      </c>
      <c r="O6078">
        <v>0.99995080000000003</v>
      </c>
      <c r="P6078">
        <v>3.6858759999999997E-2</v>
      </c>
      <c r="Q6078">
        <v>-4.1726840000000003E-3</v>
      </c>
      <c r="R6078">
        <v>0.99931170000000002</v>
      </c>
      <c r="S6078">
        <v>0.4537506</v>
      </c>
      <c r="T6078">
        <v>-0.81732919999999998</v>
      </c>
      <c r="U6078">
        <v>2.9823909999999998</v>
      </c>
      <c r="V6078">
        <v>3.4550400000000002E-2</v>
      </c>
      <c r="W6078">
        <v>5.4743659999999996E-3</v>
      </c>
      <c r="X6078">
        <v>0.99938800000000005</v>
      </c>
      <c r="Y6078">
        <v>0.1428931</v>
      </c>
      <c r="Z6078">
        <v>-0.26154929999999998</v>
      </c>
      <c r="AA6078">
        <v>0.95455409999999996</v>
      </c>
      <c r="AB6078">
        <v>33</v>
      </c>
      <c r="AC6078">
        <v>0.11260000000001399</v>
      </c>
      <c r="AD6078">
        <v>-0.20513500000000001</v>
      </c>
      <c r="AE6078">
        <v>0.12950999999999599</v>
      </c>
      <c r="AF6078">
        <v>4.6237108943705398E-2</v>
      </c>
      <c r="AG6078">
        <v>-0.20513500000000001</v>
      </c>
      <c r="AH6078">
        <v>5.3429623917013599E-2</v>
      </c>
      <c r="AI6078">
        <v>160.99384451212299</v>
      </c>
      <c r="AJ6078">
        <v>49.127631926126</v>
      </c>
      <c r="AK6078">
        <v>0.216963045656133</v>
      </c>
      <c r="AL6078">
        <v>89.686340377522001</v>
      </c>
      <c r="AM6078">
        <v>88.0199842293936</v>
      </c>
      <c r="AN6078">
        <v>1.0000000366836299</v>
      </c>
    </row>
    <row r="6079" spans="1:40" x14ac:dyDescent="0.25">
      <c r="A6079" t="str">
        <f>"20190312154724783"</f>
        <v>20190312154724783</v>
      </c>
      <c r="B6079" t="str">
        <f>"1552376844774663"</f>
        <v>1552376844774663</v>
      </c>
      <c r="C6079" t="s">
        <v>40</v>
      </c>
      <c r="D6079">
        <v>4.8818549999999998</v>
      </c>
      <c r="E6079">
        <v>0.54658050000000002</v>
      </c>
      <c r="F6079" t="s">
        <v>41</v>
      </c>
      <c r="G6079">
        <v>-188.46090000000001</v>
      </c>
      <c r="H6079">
        <v>0.90964469999999997</v>
      </c>
      <c r="I6079">
        <v>32.855780000000003</v>
      </c>
      <c r="J6079">
        <v>-188.57040000000001</v>
      </c>
      <c r="K6079">
        <v>1.1092930000000001</v>
      </c>
      <c r="L6079">
        <v>32.48218</v>
      </c>
      <c r="M6079">
        <v>2.318746E-3</v>
      </c>
      <c r="N6079">
        <v>0</v>
      </c>
      <c r="O6079">
        <v>0.99994729999999998</v>
      </c>
      <c r="P6079">
        <v>3.714808E-2</v>
      </c>
      <c r="Q6079">
        <v>-4.848153E-3</v>
      </c>
      <c r="R6079">
        <v>0.99929800000000002</v>
      </c>
      <c r="S6079">
        <v>0.45515440000000001</v>
      </c>
      <c r="T6079">
        <v>-0.82453529999999997</v>
      </c>
      <c r="U6079">
        <v>2.9818419999999999</v>
      </c>
      <c r="V6079">
        <v>3.4830720000000003E-2</v>
      </c>
      <c r="W6079">
        <v>5.143445E-3</v>
      </c>
      <c r="X6079">
        <v>0.99938000000000005</v>
      </c>
      <c r="Y6079">
        <v>0.1432601</v>
      </c>
      <c r="Z6079">
        <v>-0.26372289999999998</v>
      </c>
      <c r="AA6079">
        <v>0.95390079999999999</v>
      </c>
      <c r="AB6079">
        <v>33</v>
      </c>
      <c r="AC6079">
        <v>0.109499999999997</v>
      </c>
      <c r="AD6079">
        <v>-0.1996483</v>
      </c>
      <c r="AE6079">
        <v>0.37359999999999599</v>
      </c>
      <c r="AF6079">
        <v>8.6013404170448296E-2</v>
      </c>
      <c r="AG6079">
        <v>-0.1996483</v>
      </c>
      <c r="AH6079">
        <v>0.29600811364641699</v>
      </c>
      <c r="AI6079">
        <v>122.930302101077</v>
      </c>
      <c r="AJ6079">
        <v>73.797305229242397</v>
      </c>
      <c r="AK6079">
        <v>0.36725815543618501</v>
      </c>
      <c r="AL6079">
        <v>89.705301012677694</v>
      </c>
      <c r="AM6079">
        <v>88.003916616399394</v>
      </c>
      <c r="AN6079">
        <v>1.0000000092410899</v>
      </c>
    </row>
    <row r="6080" spans="1:40" x14ac:dyDescent="0.25">
      <c r="A6080" t="str">
        <f>"20190312154724804"</f>
        <v>20190312154724804</v>
      </c>
      <c r="B6080" t="str">
        <f>"1552376844794185"</f>
        <v>1552376844794185</v>
      </c>
      <c r="C6080" t="s">
        <v>40</v>
      </c>
      <c r="D6080">
        <v>4.9316800000000001</v>
      </c>
      <c r="E6080">
        <v>0.54681519999999995</v>
      </c>
      <c r="F6080" t="s">
        <v>41</v>
      </c>
      <c r="G6080">
        <v>-188.46719999999999</v>
      </c>
      <c r="H6080">
        <v>0.92199699999999996</v>
      </c>
      <c r="I6080">
        <v>33.15605</v>
      </c>
      <c r="J6080">
        <v>-188.56970000000001</v>
      </c>
      <c r="K6080">
        <v>1.1093249999999999</v>
      </c>
      <c r="L6080">
        <v>32.80124</v>
      </c>
      <c r="M6080">
        <v>2.3262690000000002E-3</v>
      </c>
      <c r="N6080">
        <v>0</v>
      </c>
      <c r="O6080">
        <v>0.99994400000000006</v>
      </c>
      <c r="P6080">
        <v>3.7935509999999999E-2</v>
      </c>
      <c r="Q6080">
        <v>-5.3247839999999999E-3</v>
      </c>
      <c r="R6080">
        <v>0.99926599999999999</v>
      </c>
      <c r="S6080">
        <v>0.45632929999999999</v>
      </c>
      <c r="T6080">
        <v>-0.8285768</v>
      </c>
      <c r="U6080">
        <v>2.9811399999999999</v>
      </c>
      <c r="V6080">
        <v>3.5610799999999998E-2</v>
      </c>
      <c r="W6080">
        <v>4.9870440000000004E-3</v>
      </c>
      <c r="X6080">
        <v>0.9993533</v>
      </c>
      <c r="Y6080">
        <v>0.1436019</v>
      </c>
      <c r="Z6080">
        <v>-0.26496760000000003</v>
      </c>
      <c r="AA6080">
        <v>0.95350440000000003</v>
      </c>
      <c r="AB6080">
        <v>33</v>
      </c>
      <c r="AC6080">
        <v>0.10250000000002001</v>
      </c>
      <c r="AD6080">
        <v>-0.187327999999999</v>
      </c>
      <c r="AE6080">
        <v>0.35481000000000001</v>
      </c>
      <c r="AF6080">
        <v>8.0868591487728902E-2</v>
      </c>
      <c r="AG6080">
        <v>-0.187327999999999</v>
      </c>
      <c r="AH6080">
        <v>0.28239380273554698</v>
      </c>
      <c r="AI6080">
        <v>122.526622966213</v>
      </c>
      <c r="AJ6080">
        <v>74.019973749428203</v>
      </c>
      <c r="AK6080">
        <v>0.34839312349220097</v>
      </c>
      <c r="AL6080">
        <v>89.714262244691795</v>
      </c>
      <c r="AM6080">
        <v>87.959194600435396</v>
      </c>
      <c r="AN6080">
        <v>1.0000000089526899</v>
      </c>
    </row>
    <row r="6081" spans="1:40" x14ac:dyDescent="0.25">
      <c r="A6081" t="str">
        <f>"20190312154724827"</f>
        <v>20190312154724827</v>
      </c>
      <c r="B6081" t="str">
        <f>"1552376844824441"</f>
        <v>1552376844824441</v>
      </c>
      <c r="C6081" t="s">
        <v>40</v>
      </c>
      <c r="D6081">
        <v>4.9292759999999998</v>
      </c>
      <c r="E6081">
        <v>0.54724779999999995</v>
      </c>
      <c r="F6081" t="s">
        <v>41</v>
      </c>
      <c r="G6081">
        <v>-188.428</v>
      </c>
      <c r="H6081">
        <v>0.85368670000000002</v>
      </c>
      <c r="I6081">
        <v>33.717680000000001</v>
      </c>
      <c r="J6081">
        <v>-188.56890000000001</v>
      </c>
      <c r="K6081">
        <v>1.109367</v>
      </c>
      <c r="L6081">
        <v>33.133240000000001</v>
      </c>
      <c r="M6081">
        <v>2.334778E-3</v>
      </c>
      <c r="N6081">
        <v>0</v>
      </c>
      <c r="O6081">
        <v>0.99994050000000001</v>
      </c>
      <c r="P6081">
        <v>3.7984179999999999E-2</v>
      </c>
      <c r="Q6081">
        <v>-5.061187E-3</v>
      </c>
      <c r="R6081">
        <v>0.99926559999999998</v>
      </c>
      <c r="S6081">
        <v>0.46063229999999999</v>
      </c>
      <c r="T6081">
        <v>-0.83133440000000003</v>
      </c>
      <c r="U6081">
        <v>2.980286</v>
      </c>
      <c r="V6081">
        <v>3.565107E-2</v>
      </c>
      <c r="W6081">
        <v>5.5897589999999997E-3</v>
      </c>
      <c r="X6081">
        <v>0.99934860000000003</v>
      </c>
      <c r="Y6081">
        <v>0.14494399999999999</v>
      </c>
      <c r="Z6081">
        <v>-0.26580340000000002</v>
      </c>
      <c r="AA6081">
        <v>0.95306860000000004</v>
      </c>
      <c r="AB6081">
        <v>33</v>
      </c>
      <c r="AC6081">
        <v>0.14090000000001601</v>
      </c>
      <c r="AD6081">
        <v>-0.25568030000000003</v>
      </c>
      <c r="AE6081">
        <v>0.58443999999999996</v>
      </c>
      <c r="AF6081">
        <v>0.118162367939907</v>
      </c>
      <c r="AG6081">
        <v>-0.25568030000000003</v>
      </c>
      <c r="AH6081">
        <v>0.49519833580633399</v>
      </c>
      <c r="AI6081">
        <v>116.666685809103</v>
      </c>
      <c r="AJ6081">
        <v>76.579255486070295</v>
      </c>
      <c r="AK6081">
        <v>0.56969829979614595</v>
      </c>
      <c r="AL6081">
        <v>89.679728711900793</v>
      </c>
      <c r="AM6081">
        <v>87.956879136788402</v>
      </c>
      <c r="AN6081">
        <v>0.99999993425988898</v>
      </c>
    </row>
    <row r="6082" spans="1:40" x14ac:dyDescent="0.25">
      <c r="A6082" t="str">
        <f>"20190312154724849"</f>
        <v>20190312154724849</v>
      </c>
      <c r="B6082" t="str">
        <f>"1552376844843960"</f>
        <v>1552376844843960</v>
      </c>
      <c r="C6082" t="s">
        <v>40</v>
      </c>
      <c r="D6082">
        <v>5.0595089999999896</v>
      </c>
      <c r="E6082">
        <v>0.54753240000000003</v>
      </c>
      <c r="F6082" t="s">
        <v>41</v>
      </c>
      <c r="G6082">
        <v>-188.4314</v>
      </c>
      <c r="H6082">
        <v>0.86251069999999996</v>
      </c>
      <c r="I6082">
        <v>34.015599999999999</v>
      </c>
      <c r="J6082">
        <v>-188.56819999999999</v>
      </c>
      <c r="K6082">
        <v>1.1093930000000001</v>
      </c>
      <c r="L6082">
        <v>33.455350000000003</v>
      </c>
      <c r="M6082">
        <v>2.3457109999999999E-3</v>
      </c>
      <c r="N6082">
        <v>0</v>
      </c>
      <c r="O6082">
        <v>0.99993699999999996</v>
      </c>
      <c r="P6082">
        <v>3.8416909999999999E-2</v>
      </c>
      <c r="Q6082">
        <v>-4.8447689999999996E-3</v>
      </c>
      <c r="R6082">
        <v>0.99925010000000003</v>
      </c>
      <c r="S6082">
        <v>0.46424870000000001</v>
      </c>
      <c r="T6082">
        <v>-0.83379239999999999</v>
      </c>
      <c r="U6082">
        <v>2.9803470000000001</v>
      </c>
      <c r="V6082">
        <v>3.6073029999999999E-2</v>
      </c>
      <c r="W6082">
        <v>6.1242839999999998E-3</v>
      </c>
      <c r="X6082">
        <v>0.99933039999999995</v>
      </c>
      <c r="Y6082">
        <v>0.14603050000000001</v>
      </c>
      <c r="Z6082">
        <v>-0.26648369999999999</v>
      </c>
      <c r="AA6082">
        <v>0.95271269999999997</v>
      </c>
      <c r="AB6082">
        <v>33</v>
      </c>
      <c r="AC6082">
        <v>0.13679999999999301</v>
      </c>
      <c r="AD6082">
        <v>-0.2468823</v>
      </c>
      <c r="AE6082">
        <v>0.56024999999999603</v>
      </c>
      <c r="AF6082">
        <v>0.11450187142866</v>
      </c>
      <c r="AG6082">
        <v>-0.2468823</v>
      </c>
      <c r="AH6082">
        <v>0.47375038997910401</v>
      </c>
      <c r="AI6082">
        <v>116.86396285151</v>
      </c>
      <c r="AJ6082">
        <v>76.412615441571006</v>
      </c>
      <c r="AK6082">
        <v>0.546352432610406</v>
      </c>
      <c r="AL6082">
        <v>89.649102184008001</v>
      </c>
      <c r="AM6082">
        <v>87.9326803479738</v>
      </c>
      <c r="AN6082">
        <v>1.00000000935602</v>
      </c>
    </row>
    <row r="6083" spans="1:40" x14ac:dyDescent="0.25">
      <c r="A6083" t="str">
        <f>"20190312154724871"</f>
        <v>20190312154724871</v>
      </c>
      <c r="B6083" t="str">
        <f>"1552376844864456"</f>
        <v>1552376844864456</v>
      </c>
      <c r="C6083" t="s">
        <v>40</v>
      </c>
      <c r="D6083">
        <v>4.4716100000000001</v>
      </c>
      <c r="E6083">
        <v>0.53920919999999894</v>
      </c>
      <c r="F6083" t="s">
        <v>41</v>
      </c>
      <c r="G6083">
        <v>-188.43360000000001</v>
      </c>
      <c r="H6083">
        <v>0.86935339999999905</v>
      </c>
      <c r="I6083">
        <v>34.312529999999903</v>
      </c>
      <c r="J6083">
        <v>-188.56739999999999</v>
      </c>
      <c r="K6083">
        <v>1.109418</v>
      </c>
      <c r="L6083">
        <v>33.771329999999999</v>
      </c>
      <c r="M6083">
        <v>2.3609130000000001E-3</v>
      </c>
      <c r="N6083">
        <v>0</v>
      </c>
      <c r="O6083">
        <v>0.99993359999999998</v>
      </c>
      <c r="P6083">
        <v>3.8790739999999997E-2</v>
      </c>
      <c r="Q6083">
        <v>-6.1904029999999997E-3</v>
      </c>
      <c r="R6083">
        <v>0.99922820000000001</v>
      </c>
      <c r="S6083">
        <v>0.46777340000000001</v>
      </c>
      <c r="T6083">
        <v>-0.83456790000000003</v>
      </c>
      <c r="U6083">
        <v>2.9802249999999999</v>
      </c>
      <c r="V6083">
        <v>3.6431730000000002E-2</v>
      </c>
      <c r="W6083">
        <v>5.0771660000000001E-3</v>
      </c>
      <c r="X6083">
        <v>0.99932319999999997</v>
      </c>
      <c r="Y6083">
        <v>0.14711279999999999</v>
      </c>
      <c r="Z6083">
        <v>-0.26667980000000002</v>
      </c>
      <c r="AA6083">
        <v>0.95249130000000004</v>
      </c>
      <c r="AB6083">
        <v>33</v>
      </c>
      <c r="AC6083">
        <v>0.13379999999997899</v>
      </c>
      <c r="AD6083">
        <v>-0.24006459999999999</v>
      </c>
      <c r="AE6083">
        <v>0.54119999999999602</v>
      </c>
      <c r="AF6083">
        <v>0.111792378222636</v>
      </c>
      <c r="AG6083">
        <v>-0.24006459999999999</v>
      </c>
      <c r="AH6083">
        <v>0.45680917279477901</v>
      </c>
      <c r="AI6083">
        <v>117.042556664937</v>
      </c>
      <c r="AJ6083">
        <v>76.248593560650903</v>
      </c>
      <c r="AK6083">
        <v>0.52801815153580001</v>
      </c>
      <c r="AL6083">
        <v>89.709098552930897</v>
      </c>
      <c r="AM6083">
        <v>87.912126580710407</v>
      </c>
      <c r="AN6083">
        <v>0.99999995331181102</v>
      </c>
    </row>
    <row r="6084" spans="1:40" x14ac:dyDescent="0.25">
      <c r="A6084" t="str">
        <f>"20190312154725050"</f>
        <v>20190312154725050</v>
      </c>
      <c r="B6084" t="str">
        <f>"1552376845043863"</f>
        <v>1552376845043863</v>
      </c>
      <c r="C6084" t="s">
        <v>40</v>
      </c>
      <c r="D6084">
        <v>4.9591979999999998</v>
      </c>
      <c r="E6084">
        <v>0.5199859</v>
      </c>
      <c r="F6084" t="s">
        <v>41</v>
      </c>
      <c r="G6084">
        <v>-188.48759999999999</v>
      </c>
      <c r="H6084">
        <v>0.7700053</v>
      </c>
      <c r="I6084">
        <v>36.904670000000003</v>
      </c>
      <c r="J6084">
        <v>-188.56049999999999</v>
      </c>
      <c r="K6084">
        <v>1.109548</v>
      </c>
      <c r="L6084">
        <v>36.39752</v>
      </c>
      <c r="M6084">
        <v>2.7461569999999999E-3</v>
      </c>
      <c r="N6084">
        <v>0</v>
      </c>
      <c r="O6084">
        <v>0.99990829999999997</v>
      </c>
      <c r="P6084">
        <v>3.8971199999999998E-2</v>
      </c>
      <c r="Q6084">
        <v>-8.0525790000000007E-3</v>
      </c>
      <c r="R6084">
        <v>0.99920790000000004</v>
      </c>
      <c r="S6084">
        <v>0.26420589999999999</v>
      </c>
      <c r="T6084">
        <v>-1.216531</v>
      </c>
      <c r="U6084">
        <v>2.982208</v>
      </c>
      <c r="V6084">
        <v>3.6227919999999997E-2</v>
      </c>
      <c r="W6084">
        <v>5.1925590000000002E-3</v>
      </c>
      <c r="X6084">
        <v>0.99933000000000005</v>
      </c>
      <c r="Y6084">
        <v>7.9019549999999994E-2</v>
      </c>
      <c r="Z6084">
        <v>-0.3764882</v>
      </c>
      <c r="AA6084">
        <v>0.92304520000000001</v>
      </c>
      <c r="AB6084">
        <v>33</v>
      </c>
      <c r="AC6084">
        <v>7.29000000000041E-2</v>
      </c>
      <c r="AD6084">
        <v>-0.33954269999999898</v>
      </c>
      <c r="AE6084">
        <v>0.50715000000000199</v>
      </c>
      <c r="AF6084">
        <v>4.9686161146390399E-2</v>
      </c>
      <c r="AG6084">
        <v>-0.33954269999999898</v>
      </c>
      <c r="AH6084">
        <v>0.35252812292129898</v>
      </c>
      <c r="AI6084">
        <v>133.643579632751</v>
      </c>
      <c r="AJ6084">
        <v>81.977438669820202</v>
      </c>
      <c r="AK6084">
        <v>0.49196954904055701</v>
      </c>
      <c r="AL6084">
        <v>89.702486928679704</v>
      </c>
      <c r="AM6084">
        <v>87.923810633920695</v>
      </c>
      <c r="AN6084">
        <v>0.99999993687824495</v>
      </c>
    </row>
    <row r="6085" spans="1:40" x14ac:dyDescent="0.25">
      <c r="A6085" t="str">
        <f>"20190312154725073"</f>
        <v>20190312154725073</v>
      </c>
      <c r="B6085" t="str">
        <f>"1552376845064358"</f>
        <v>1552376845064358</v>
      </c>
      <c r="C6085" t="s">
        <v>40</v>
      </c>
      <c r="D6085">
        <v>5.2240199999999897</v>
      </c>
      <c r="E6085">
        <v>0.50303189999999998</v>
      </c>
      <c r="F6085" t="s">
        <v>41</v>
      </c>
      <c r="G6085">
        <v>-188.49469999999999</v>
      </c>
      <c r="H6085">
        <v>0.81591340000000001</v>
      </c>
      <c r="I6085">
        <v>37.213760000000001</v>
      </c>
      <c r="J6085">
        <v>-188.55950000000001</v>
      </c>
      <c r="K6085">
        <v>1.1095410000000001</v>
      </c>
      <c r="L6085">
        <v>36.726010000000002</v>
      </c>
      <c r="M6085">
        <v>2.8598600000000001E-3</v>
      </c>
      <c r="N6085">
        <v>0</v>
      </c>
      <c r="O6085">
        <v>0.99990590000000001</v>
      </c>
      <c r="P6085">
        <v>3.8866459999999999E-2</v>
      </c>
      <c r="Q6085">
        <v>-8.1811090000000006E-3</v>
      </c>
      <c r="R6085">
        <v>0.99921090000000001</v>
      </c>
      <c r="S6085">
        <v>0.2407379</v>
      </c>
      <c r="T6085">
        <v>-1.0735859999999999</v>
      </c>
      <c r="U6085">
        <v>2.9843440000000001</v>
      </c>
      <c r="V6085">
        <v>3.6009729999999997E-2</v>
      </c>
      <c r="W6085">
        <v>5.2197379999999998E-3</v>
      </c>
      <c r="X6085">
        <v>0.99933780000000005</v>
      </c>
      <c r="Y6085">
        <v>7.2835129999999998E-2</v>
      </c>
      <c r="Z6085">
        <v>-0.33756629999999999</v>
      </c>
      <c r="AA6085">
        <v>0.93847959999999997</v>
      </c>
      <c r="AB6085">
        <v>33</v>
      </c>
      <c r="AC6085">
        <v>6.4800000000019495E-2</v>
      </c>
      <c r="AD6085">
        <v>-0.29362759999999899</v>
      </c>
      <c r="AE6085">
        <v>0.48775000000000501</v>
      </c>
      <c r="AF6085">
        <v>4.6754381177402098E-2</v>
      </c>
      <c r="AG6085">
        <v>-0.29362759999999899</v>
      </c>
      <c r="AH6085">
        <v>0.35980009110081101</v>
      </c>
      <c r="AI6085">
        <v>128.982599468026</v>
      </c>
      <c r="AJ6085">
        <v>82.596161994023404</v>
      </c>
      <c r="AK6085">
        <v>0.46675394502584899</v>
      </c>
      <c r="AL6085">
        <v>89.700929682095094</v>
      </c>
      <c r="AM6085">
        <v>87.936320154695395</v>
      </c>
      <c r="AN6085">
        <v>0.99999999241415005</v>
      </c>
    </row>
    <row r="6086" spans="1:40" x14ac:dyDescent="0.25">
      <c r="A6086" t="str">
        <f>"20190312154725096"</f>
        <v>20190312154725096</v>
      </c>
      <c r="B6086" t="str">
        <f>"1552376845083879"</f>
        <v>1552376845083879</v>
      </c>
      <c r="C6086" t="s">
        <v>40</v>
      </c>
      <c r="D6086">
        <v>5.1016919999999999</v>
      </c>
      <c r="E6086">
        <v>0.50032690000000002</v>
      </c>
      <c r="F6086" t="s">
        <v>41</v>
      </c>
      <c r="G6086">
        <v>-188.52260000000001</v>
      </c>
      <c r="H6086">
        <v>0.99508509999999994</v>
      </c>
      <c r="I6086">
        <v>37.584420000000001</v>
      </c>
      <c r="J6086">
        <v>-188.55840000000001</v>
      </c>
      <c r="K6086">
        <v>1.109529</v>
      </c>
      <c r="L6086">
        <v>37.057980000000001</v>
      </c>
      <c r="M6086">
        <v>3.003955E-3</v>
      </c>
      <c r="N6086">
        <v>0</v>
      </c>
      <c r="O6086">
        <v>0.9999036</v>
      </c>
      <c r="P6086">
        <v>3.8285619999999999E-2</v>
      </c>
      <c r="Q6086">
        <v>-8.0163149999999996E-3</v>
      </c>
      <c r="R6086">
        <v>0.99923470000000003</v>
      </c>
      <c r="S6086">
        <v>0.1281128</v>
      </c>
      <c r="T6086">
        <v>-0.39921760000000001</v>
      </c>
      <c r="U6086">
        <v>2.99411</v>
      </c>
      <c r="V6086">
        <v>3.5285160000000003E-2</v>
      </c>
      <c r="W6086">
        <v>5.5225250000000004E-3</v>
      </c>
      <c r="X6086">
        <v>0.99936210000000003</v>
      </c>
      <c r="Y6086">
        <v>3.9373119999999998E-2</v>
      </c>
      <c r="Z6086">
        <v>-0.13205320000000001</v>
      </c>
      <c r="AA6086">
        <v>0.99046029999999996</v>
      </c>
      <c r="AB6086">
        <v>33</v>
      </c>
      <c r="AC6086">
        <v>3.5799999999994697E-2</v>
      </c>
      <c r="AD6086">
        <v>-0.114443899999999</v>
      </c>
      <c r="AE6086">
        <v>0.52644000000000002</v>
      </c>
      <c r="AF6086">
        <v>3.2680922260645999E-2</v>
      </c>
      <c r="AG6086">
        <v>-0.114443899999999</v>
      </c>
      <c r="AH6086">
        <v>0.50288840935699997</v>
      </c>
      <c r="AI6086">
        <v>102.79453489116599</v>
      </c>
      <c r="AJ6086">
        <v>86.281780277344495</v>
      </c>
      <c r="AK6086">
        <v>0.51678061224530203</v>
      </c>
      <c r="AL6086">
        <v>89.683581040228106</v>
      </c>
      <c r="AM6086">
        <v>87.977858802638195</v>
      </c>
      <c r="AN6086">
        <v>1.0000000738574999</v>
      </c>
    </row>
    <row r="6087" spans="1:40" x14ac:dyDescent="0.25">
      <c r="A6087" t="str">
        <f>"20190312154725119"</f>
        <v>20190312154725119</v>
      </c>
      <c r="B6087" t="str">
        <f>"1552376845114135"</f>
        <v>1552376845114135</v>
      </c>
      <c r="C6087" t="s">
        <v>40</v>
      </c>
      <c r="D6087">
        <v>5.0794560000000004</v>
      </c>
      <c r="E6087">
        <v>0.49986639999999999</v>
      </c>
      <c r="F6087" t="s">
        <v>41</v>
      </c>
      <c r="G6087">
        <v>-188.5283</v>
      </c>
      <c r="H6087">
        <v>1.0284660000000001</v>
      </c>
      <c r="I6087">
        <v>37.891179999999999</v>
      </c>
      <c r="J6087">
        <v>-188.55719999999999</v>
      </c>
      <c r="K6087">
        <v>1.1095090000000001</v>
      </c>
      <c r="L6087">
        <v>37.403230000000001</v>
      </c>
      <c r="M6087">
        <v>3.1920669999999998E-3</v>
      </c>
      <c r="N6087">
        <v>0</v>
      </c>
      <c r="O6087">
        <v>0.99990129999999999</v>
      </c>
      <c r="P6087">
        <v>3.7803570000000002E-2</v>
      </c>
      <c r="Q6087">
        <v>-8.2566510000000003E-3</v>
      </c>
      <c r="R6087">
        <v>0.99925109999999995</v>
      </c>
      <c r="S6087">
        <v>0.1080627</v>
      </c>
      <c r="T6087">
        <v>-0.29146620000000001</v>
      </c>
      <c r="U6087">
        <v>2.995819</v>
      </c>
      <c r="V6087">
        <v>3.4615380000000001E-2</v>
      </c>
      <c r="W6087">
        <v>5.4057009999999997E-3</v>
      </c>
      <c r="X6087">
        <v>0.99938610000000005</v>
      </c>
      <c r="Y6087">
        <v>3.268807E-2</v>
      </c>
      <c r="Z6087">
        <v>-9.6776020000000004E-2</v>
      </c>
      <c r="AA6087">
        <v>0.99476929999999997</v>
      </c>
      <c r="AB6087">
        <v>32</v>
      </c>
      <c r="AC6087">
        <v>2.8899999999993001E-2</v>
      </c>
      <c r="AD6087">
        <v>-8.1043000000000198E-2</v>
      </c>
      <c r="AE6087">
        <v>0.487949999999997</v>
      </c>
      <c r="AF6087">
        <v>2.6610636950549799E-2</v>
      </c>
      <c r="AG6087">
        <v>-8.1043000000000198E-2</v>
      </c>
      <c r="AH6087">
        <v>0.47498294736558799</v>
      </c>
      <c r="AI6087">
        <v>99.667858843504504</v>
      </c>
      <c r="AJ6087">
        <v>86.793390146063601</v>
      </c>
      <c r="AK6087">
        <v>0.48258148963259601</v>
      </c>
      <c r="AL6087">
        <v>89.690274642495794</v>
      </c>
      <c r="AM6087">
        <v>88.016259556885203</v>
      </c>
      <c r="AN6087">
        <v>1.00000001150452</v>
      </c>
    </row>
    <row r="6088" spans="1:40" x14ac:dyDescent="0.25">
      <c r="A6088" t="str">
        <f>"20190312154725142"</f>
        <v>20190312154725142</v>
      </c>
      <c r="B6088" t="str">
        <f>"1552376845134630"</f>
        <v>1552376845134630</v>
      </c>
      <c r="C6088" t="s">
        <v>40</v>
      </c>
      <c r="D6088">
        <v>5.067056</v>
      </c>
      <c r="E6088">
        <v>0.50041340000000001</v>
      </c>
      <c r="F6088" t="s">
        <v>41</v>
      </c>
      <c r="G6088">
        <v>-188.52969999999999</v>
      </c>
      <c r="H6088">
        <v>1.0437669999999999</v>
      </c>
      <c r="I6088">
        <v>38.190710000000003</v>
      </c>
      <c r="J6088">
        <v>-188.55600000000001</v>
      </c>
      <c r="K6088">
        <v>1.1094869999999999</v>
      </c>
      <c r="L6088">
        <v>37.730870000000003</v>
      </c>
      <c r="M6088">
        <v>3.41457E-3</v>
      </c>
      <c r="N6088">
        <v>0</v>
      </c>
      <c r="O6088">
        <v>0.99989910000000004</v>
      </c>
      <c r="P6088">
        <v>3.7944100000000001E-2</v>
      </c>
      <c r="Q6088">
        <v>-8.7581280000000004E-3</v>
      </c>
      <c r="R6088">
        <v>0.9992415</v>
      </c>
      <c r="S6088">
        <v>0.10449219999999999</v>
      </c>
      <c r="T6088">
        <v>-0.25013449999999998</v>
      </c>
      <c r="U6088">
        <v>2.996216</v>
      </c>
      <c r="V6088">
        <v>3.4533790000000002E-2</v>
      </c>
      <c r="W6088">
        <v>5.0046869999999999E-3</v>
      </c>
      <c r="X6088">
        <v>0.99939100000000003</v>
      </c>
      <c r="Y6088">
        <v>3.1319819999999998E-2</v>
      </c>
      <c r="Z6088">
        <v>-8.3147830000000006E-2</v>
      </c>
      <c r="AA6088">
        <v>0.99604490000000001</v>
      </c>
      <c r="AB6088">
        <v>32</v>
      </c>
      <c r="AC6088">
        <v>2.6299999999992E-2</v>
      </c>
      <c r="AD6088">
        <v>-6.5720000000000001E-2</v>
      </c>
      <c r="AE6088">
        <v>0.45983999999999198</v>
      </c>
      <c r="AF6088">
        <v>2.4236110722977398E-2</v>
      </c>
      <c r="AG6088">
        <v>-6.5720000000000001E-2</v>
      </c>
      <c r="AH6088">
        <v>0.45075016301797399</v>
      </c>
      <c r="AI6088">
        <v>98.283553810401202</v>
      </c>
      <c r="AJ6088">
        <v>86.9222618321662</v>
      </c>
      <c r="AK6088">
        <v>0.456160297399616</v>
      </c>
      <c r="AL6088">
        <v>89.7132513601413</v>
      </c>
      <c r="AM6088">
        <v>88.020941294929102</v>
      </c>
      <c r="AN6088">
        <v>1.0000000002123599</v>
      </c>
    </row>
    <row r="6089" spans="1:40" x14ac:dyDescent="0.25">
      <c r="A6089" t="str">
        <f>"20190312154725173"</f>
        <v>20190312154725173</v>
      </c>
      <c r="B6089" t="str">
        <f>"1552376845163910"</f>
        <v>1552376845163910</v>
      </c>
      <c r="C6089" t="s">
        <v>40</v>
      </c>
      <c r="D6089">
        <v>5.0764110000000002</v>
      </c>
      <c r="E6089">
        <v>0.50040609999999996</v>
      </c>
      <c r="F6089" t="s">
        <v>42</v>
      </c>
      <c r="G6089">
        <v>-188.04060000000001</v>
      </c>
      <c r="H6089" s="1">
        <v>-1.2628870000000001E-6</v>
      </c>
      <c r="I6089">
        <v>51.76643</v>
      </c>
      <c r="J6089">
        <v>-188.554</v>
      </c>
      <c r="K6089">
        <v>1.1094310000000001</v>
      </c>
      <c r="L6089">
        <v>38.178800000000003</v>
      </c>
      <c r="M6089">
        <v>3.807426E-3</v>
      </c>
      <c r="N6089">
        <v>0</v>
      </c>
      <c r="O6089">
        <v>0.99989609999999995</v>
      </c>
      <c r="P6089">
        <v>3.8579740000000001E-2</v>
      </c>
      <c r="Q6089">
        <v>-9.7056950000000003E-3</v>
      </c>
      <c r="R6089">
        <v>0.9992084</v>
      </c>
      <c r="S6089">
        <v>0.1100006</v>
      </c>
      <c r="T6089">
        <v>-0.2368314</v>
      </c>
      <c r="U6089">
        <v>2.9960330000000002</v>
      </c>
      <c r="V6089">
        <v>3.4777099999999998E-2</v>
      </c>
      <c r="W6089">
        <v>4.1692769999999999E-3</v>
      </c>
      <c r="X6089">
        <v>0.99938640000000001</v>
      </c>
      <c r="Y6089">
        <v>3.2771250000000002E-2</v>
      </c>
      <c r="Z6089">
        <v>-7.8754149999999995E-2</v>
      </c>
      <c r="AA6089">
        <v>0.99635530000000005</v>
      </c>
      <c r="AB6089">
        <v>32</v>
      </c>
      <c r="AC6089">
        <v>0.51339999999998998</v>
      </c>
      <c r="AD6089">
        <v>-1.1094322628869999</v>
      </c>
      <c r="AE6089">
        <v>13.5876299999999</v>
      </c>
      <c r="AF6089">
        <v>0.45860433995827399</v>
      </c>
      <c r="AG6089">
        <v>-1.1094322628869999</v>
      </c>
      <c r="AH6089">
        <v>13.499616155988701</v>
      </c>
      <c r="AI6089">
        <v>94.695456030515999</v>
      </c>
      <c r="AJ6089">
        <v>88.054315644617304</v>
      </c>
      <c r="AK6089">
        <v>13.5528887786182</v>
      </c>
      <c r="AL6089">
        <v>89.7611173329217</v>
      </c>
      <c r="AM6089">
        <v>88.006999751056597</v>
      </c>
      <c r="AN6089">
        <v>1.00000000303003</v>
      </c>
    </row>
    <row r="6090" spans="1:40" x14ac:dyDescent="0.25">
      <c r="A6090" t="str">
        <f>"20190312154725196"</f>
        <v>20190312154725196</v>
      </c>
      <c r="B6090" t="str">
        <f>"1552376845184407"</f>
        <v>1552376845184407</v>
      </c>
      <c r="C6090" t="s">
        <v>40</v>
      </c>
      <c r="D6090">
        <v>5.0439360000000004</v>
      </c>
      <c r="E6090">
        <v>0.49962400000000001</v>
      </c>
      <c r="F6090" t="s">
        <v>41</v>
      </c>
      <c r="G6090">
        <v>-188.52099999999999</v>
      </c>
      <c r="H6090">
        <v>1.0430469999999901</v>
      </c>
      <c r="I6090">
        <v>39.057310000000001</v>
      </c>
      <c r="J6090">
        <v>-188.55250000000001</v>
      </c>
      <c r="K6090">
        <v>1.109399</v>
      </c>
      <c r="L6090">
        <v>38.501559999999998</v>
      </c>
      <c r="M6090">
        <v>4.1462249999999999E-3</v>
      </c>
      <c r="N6090">
        <v>0</v>
      </c>
      <c r="O6090">
        <v>0.9998937</v>
      </c>
      <c r="P6090">
        <v>3.8580290000000003E-2</v>
      </c>
      <c r="Q6090">
        <v>-1.015683E-2</v>
      </c>
      <c r="R6090">
        <v>0.99920390000000003</v>
      </c>
      <c r="S6090">
        <v>0.1124878</v>
      </c>
      <c r="T6090">
        <v>-0.22638230000000001</v>
      </c>
      <c r="U6090">
        <v>2.995819</v>
      </c>
      <c r="V6090">
        <v>3.4439200000000003E-2</v>
      </c>
      <c r="W6090">
        <v>3.7868569999999998E-3</v>
      </c>
      <c r="X6090">
        <v>0.99939960000000005</v>
      </c>
      <c r="Y6090">
        <v>3.3271250000000002E-2</v>
      </c>
      <c r="Z6090">
        <v>-7.5303040000000002E-2</v>
      </c>
      <c r="AA6090">
        <v>0.99660550000000003</v>
      </c>
      <c r="AB6090">
        <v>32</v>
      </c>
      <c r="AC6090">
        <v>3.1500000000022503E-2</v>
      </c>
      <c r="AD6090">
        <v>-6.6352000000000105E-2</v>
      </c>
      <c r="AE6090">
        <v>0.55575000000000296</v>
      </c>
      <c r="AF6090">
        <v>2.8786223026395899E-2</v>
      </c>
      <c r="AG6090">
        <v>-6.6352000000000105E-2</v>
      </c>
      <c r="AH6090">
        <v>0.548088188816375</v>
      </c>
      <c r="AI6090">
        <v>96.893273693882605</v>
      </c>
      <c r="AJ6090">
        <v>86.993522057480902</v>
      </c>
      <c r="AK6090">
        <v>0.55283984774990702</v>
      </c>
      <c r="AL6090">
        <v>89.783028553286798</v>
      </c>
      <c r="AM6090">
        <v>88.026374725601201</v>
      </c>
      <c r="AN6090">
        <v>0.999999979631369</v>
      </c>
    </row>
    <row r="6091" spans="1:40" x14ac:dyDescent="0.25">
      <c r="A6091" t="str">
        <f>"20190312154725228"</f>
        <v>20190312154725228</v>
      </c>
      <c r="B6091" t="str">
        <f>"1552376845223794"</f>
        <v>1552376845223794</v>
      </c>
      <c r="C6091" t="s">
        <v>40</v>
      </c>
      <c r="D6091">
        <v>5.0721910000000001</v>
      </c>
      <c r="E6091">
        <v>0.498583</v>
      </c>
      <c r="F6091" t="s">
        <v>41</v>
      </c>
      <c r="G6091">
        <v>-188.5223</v>
      </c>
      <c r="H6091">
        <v>1.0456099999999999</v>
      </c>
      <c r="I6091">
        <v>39.348559999999999</v>
      </c>
      <c r="J6091">
        <v>-188.54990000000001</v>
      </c>
      <c r="K6091">
        <v>1.1093519999999999</v>
      </c>
      <c r="L6091">
        <v>38.973080000000003</v>
      </c>
      <c r="M6091">
        <v>4.724972E-3</v>
      </c>
      <c r="N6091">
        <v>0</v>
      </c>
      <c r="O6091">
        <v>0.99988999999999995</v>
      </c>
      <c r="P6091">
        <v>3.912438E-2</v>
      </c>
      <c r="Q6091">
        <v>-1.029702E-2</v>
      </c>
      <c r="R6091">
        <v>0.99918130000000005</v>
      </c>
      <c r="S6091">
        <v>0.1062927</v>
      </c>
      <c r="T6091">
        <v>-0.2256281</v>
      </c>
      <c r="U6091">
        <v>2.9960019999999998</v>
      </c>
      <c r="V6091">
        <v>3.4405409999999997E-2</v>
      </c>
      <c r="W6091">
        <v>3.7296370000000001E-3</v>
      </c>
      <c r="X6091">
        <v>0.99940099999999998</v>
      </c>
      <c r="Y6091">
        <v>3.0633009999999999E-2</v>
      </c>
      <c r="Z6091">
        <v>-7.5054750000000003E-2</v>
      </c>
      <c r="AA6091">
        <v>0.99670879999999995</v>
      </c>
      <c r="AB6091">
        <v>32</v>
      </c>
      <c r="AC6091">
        <v>2.7600000000006699E-2</v>
      </c>
      <c r="AD6091">
        <v>-6.3742000000000104E-2</v>
      </c>
      <c r="AE6091">
        <v>0.37548000000000298</v>
      </c>
      <c r="AF6091">
        <v>2.5105751523494601E-2</v>
      </c>
      <c r="AG6091">
        <v>-6.3742000000000104E-2</v>
      </c>
      <c r="AH6091">
        <v>0.36513984382201897</v>
      </c>
      <c r="AI6091">
        <v>99.879404687582394</v>
      </c>
      <c r="AJ6091">
        <v>86.066730894050593</v>
      </c>
      <c r="AK6091">
        <v>0.37151103196261598</v>
      </c>
      <c r="AL6091">
        <v>89.786307045495306</v>
      </c>
      <c r="AM6091">
        <v>88.028312377519498</v>
      </c>
      <c r="AN6091">
        <v>1.0000000006151999</v>
      </c>
    </row>
    <row r="6092" spans="1:40" x14ac:dyDescent="0.25">
      <c r="A6092" t="str">
        <f>"20190312154725252"</f>
        <v>20190312154725252</v>
      </c>
      <c r="B6092" t="str">
        <f>"1552376845244289"</f>
        <v>1552376845244289</v>
      </c>
      <c r="C6092" t="s">
        <v>40</v>
      </c>
      <c r="D6092">
        <v>5.061947</v>
      </c>
      <c r="E6092">
        <v>0.49838789999999999</v>
      </c>
      <c r="F6092" t="s">
        <v>41</v>
      </c>
      <c r="G6092">
        <v>-188.5181</v>
      </c>
      <c r="H6092">
        <v>1.039785</v>
      </c>
      <c r="I6092">
        <v>39.919530000000002</v>
      </c>
      <c r="J6092">
        <v>-188.5478</v>
      </c>
      <c r="K6092">
        <v>1.1093189999999999</v>
      </c>
      <c r="L6092">
        <v>39.314120000000003</v>
      </c>
      <c r="M6092">
        <v>5.2072350000000002E-3</v>
      </c>
      <c r="N6092">
        <v>0</v>
      </c>
      <c r="O6092">
        <v>0.99988679999999996</v>
      </c>
      <c r="P6092">
        <v>3.9691999999999998E-2</v>
      </c>
      <c r="Q6092">
        <v>-9.8790549999999994E-3</v>
      </c>
      <c r="R6092">
        <v>0.99916320000000003</v>
      </c>
      <c r="S6092">
        <v>9.9807740000000006E-2</v>
      </c>
      <c r="T6092">
        <v>-0.2202297</v>
      </c>
      <c r="U6092">
        <v>2.9962770000000001</v>
      </c>
      <c r="V6092">
        <v>3.4491870000000001E-2</v>
      </c>
      <c r="W6092">
        <v>4.1955040000000001E-3</v>
      </c>
      <c r="X6092">
        <v>0.99939610000000001</v>
      </c>
      <c r="Y6092">
        <v>2.7997319999999999E-2</v>
      </c>
      <c r="Z6092">
        <v>-7.3267330000000006E-2</v>
      </c>
      <c r="AA6092">
        <v>0.99691929999999995</v>
      </c>
      <c r="AB6092">
        <v>32</v>
      </c>
      <c r="AC6092">
        <v>2.9699999999991102E-2</v>
      </c>
      <c r="AD6092">
        <v>-6.9533999999999901E-2</v>
      </c>
      <c r="AE6092">
        <v>0.605409999999999</v>
      </c>
      <c r="AF6092">
        <v>2.6201956850629302E-2</v>
      </c>
      <c r="AG6092">
        <v>-6.9533999999999901E-2</v>
      </c>
      <c r="AH6092">
        <v>0.59769093103737103</v>
      </c>
      <c r="AI6092">
        <v>96.629519582255199</v>
      </c>
      <c r="AJ6092">
        <v>87.489838224455198</v>
      </c>
      <c r="AK6092">
        <v>0.60229226189875795</v>
      </c>
      <c r="AL6092">
        <v>89.759614605343003</v>
      </c>
      <c r="AM6092">
        <v>88.023351813929494</v>
      </c>
      <c r="AN6092">
        <v>0.99999992802255699</v>
      </c>
    </row>
    <row r="6093" spans="1:40" x14ac:dyDescent="0.25">
      <c r="A6093" t="str">
        <f>"20190312154725273"</f>
        <v>20190312154725273</v>
      </c>
      <c r="B6093" t="str">
        <f>"1552376845263809"</f>
        <v>1552376845263809</v>
      </c>
      <c r="C6093" t="s">
        <v>40</v>
      </c>
      <c r="D6093">
        <v>5.0865939999999998</v>
      </c>
      <c r="E6093">
        <v>0.49828630000000002</v>
      </c>
      <c r="F6093" t="s">
        <v>41</v>
      </c>
      <c r="G6093">
        <v>-188.5179</v>
      </c>
      <c r="H6093">
        <v>1.04356</v>
      </c>
      <c r="I6093">
        <v>40.210709999999999</v>
      </c>
      <c r="J6093">
        <v>-188.54560000000001</v>
      </c>
      <c r="K6093">
        <v>1.1092949999999999</v>
      </c>
      <c r="L6093">
        <v>39.62979</v>
      </c>
      <c r="M6093">
        <v>5.691148E-3</v>
      </c>
      <c r="N6093">
        <v>0</v>
      </c>
      <c r="O6093">
        <v>0.99988370000000004</v>
      </c>
      <c r="P6093">
        <v>4.0772660000000002E-2</v>
      </c>
      <c r="Q6093">
        <v>-1.0344330000000001E-2</v>
      </c>
      <c r="R6093">
        <v>0.99911490000000003</v>
      </c>
      <c r="S6093">
        <v>9.9746699999999994E-2</v>
      </c>
      <c r="T6093">
        <v>-0.21975510000000001</v>
      </c>
      <c r="U6093">
        <v>2.9963679999999999</v>
      </c>
      <c r="V6093">
        <v>3.508903E-2</v>
      </c>
      <c r="W6093">
        <v>3.7673060000000002E-3</v>
      </c>
      <c r="X6093">
        <v>0.99937710000000002</v>
      </c>
      <c r="Y6093">
        <v>2.7492630000000001E-2</v>
      </c>
      <c r="Z6093">
        <v>-7.3108279999999998E-2</v>
      </c>
      <c r="AA6093">
        <v>0.99694499999999997</v>
      </c>
      <c r="AB6093">
        <v>32</v>
      </c>
      <c r="AC6093">
        <v>2.7700000000010001E-2</v>
      </c>
      <c r="AD6093">
        <v>-6.5735000000000099E-2</v>
      </c>
      <c r="AE6093">
        <v>0.58091999999999899</v>
      </c>
      <c r="AF6093">
        <v>2.4085417892889701E-2</v>
      </c>
      <c r="AG6093">
        <v>-6.5735000000000099E-2</v>
      </c>
      <c r="AH6093">
        <v>0.573738514378618</v>
      </c>
      <c r="AI6093">
        <v>96.530352954809203</v>
      </c>
      <c r="AJ6093">
        <v>87.596147095129496</v>
      </c>
      <c r="AK6093">
        <v>0.57799401420902197</v>
      </c>
      <c r="AL6093">
        <v>89.784148757708095</v>
      </c>
      <c r="AM6093">
        <v>87.989119631637493</v>
      </c>
      <c r="AN6093">
        <v>1.0000000103126201</v>
      </c>
    </row>
    <row r="6094" spans="1:40" x14ac:dyDescent="0.25">
      <c r="A6094" t="str">
        <f>"20190312154725296"</f>
        <v>20190312154725296</v>
      </c>
      <c r="B6094" t="str">
        <f>"1552376845284306"</f>
        <v>1552376845284306</v>
      </c>
      <c r="C6094" t="s">
        <v>40</v>
      </c>
      <c r="D6094">
        <v>5.1297730000000001</v>
      </c>
      <c r="E6094">
        <v>0.49765039999999999</v>
      </c>
      <c r="F6094" t="s">
        <v>41</v>
      </c>
      <c r="G6094">
        <v>-188.51580000000001</v>
      </c>
      <c r="H6094">
        <v>1.0447489999999999</v>
      </c>
      <c r="I6094">
        <v>40.499079999999999</v>
      </c>
      <c r="J6094">
        <v>-188.54339999999999</v>
      </c>
      <c r="K6094">
        <v>1.1092740000000001</v>
      </c>
      <c r="L6094">
        <v>39.93573</v>
      </c>
      <c r="M6094">
        <v>6.1947259999999898E-3</v>
      </c>
      <c r="N6094">
        <v>0</v>
      </c>
      <c r="O6094">
        <v>0.99988010000000005</v>
      </c>
      <c r="P6094">
        <v>4.1805960000000003E-2</v>
      </c>
      <c r="Q6094">
        <v>-1.0535930000000001E-2</v>
      </c>
      <c r="R6094">
        <v>0.99907020000000002</v>
      </c>
      <c r="S6094">
        <v>0.1022339</v>
      </c>
      <c r="T6094">
        <v>-0.22246340000000001</v>
      </c>
      <c r="U6094">
        <v>2.9961850000000001</v>
      </c>
      <c r="V6094">
        <v>3.5619400000000002E-2</v>
      </c>
      <c r="W6094">
        <v>3.6061380000000001E-3</v>
      </c>
      <c r="X6094">
        <v>0.99935890000000005</v>
      </c>
      <c r="Y6094">
        <v>2.7815590000000001E-2</v>
      </c>
      <c r="Z6094">
        <v>-7.4007199999999995E-2</v>
      </c>
      <c r="AA6094">
        <v>0.99686969999999997</v>
      </c>
      <c r="AB6094">
        <v>32</v>
      </c>
      <c r="AC6094">
        <v>2.7599999999978302E-2</v>
      </c>
      <c r="AD6094">
        <v>-6.4524999999999902E-2</v>
      </c>
      <c r="AE6094">
        <v>0.56334999999999902</v>
      </c>
      <c r="AF6094">
        <v>2.3797864266740701E-2</v>
      </c>
      <c r="AG6094">
        <v>-6.4524999999999902E-2</v>
      </c>
      <c r="AH6094">
        <v>0.55623048761532901</v>
      </c>
      <c r="AI6094">
        <v>96.610973680030696</v>
      </c>
      <c r="AJ6094">
        <v>87.550141244551</v>
      </c>
      <c r="AK6094">
        <v>0.56046602869526796</v>
      </c>
      <c r="AL6094">
        <v>89.793383059987903</v>
      </c>
      <c r="AM6094">
        <v>87.958713592225706</v>
      </c>
      <c r="AN6094">
        <v>0.99999997844842203</v>
      </c>
    </row>
    <row r="6095" spans="1:40" x14ac:dyDescent="0.25">
      <c r="A6095" t="str">
        <f>"20190312154725322"</f>
        <v>20190312154725322</v>
      </c>
      <c r="B6095" t="str">
        <f>"1552376845314092"</f>
        <v>1552376845314092</v>
      </c>
      <c r="C6095" t="s">
        <v>40</v>
      </c>
      <c r="D6095">
        <v>5.1798549999999999</v>
      </c>
      <c r="E6095">
        <v>0.4971044</v>
      </c>
      <c r="F6095" t="s">
        <v>41</v>
      </c>
      <c r="G6095">
        <v>-188.51509999999999</v>
      </c>
      <c r="H6095">
        <v>1.0435270000000001</v>
      </c>
      <c r="I6095">
        <v>40.785139999999998</v>
      </c>
      <c r="J6095">
        <v>-188.5402</v>
      </c>
      <c r="K6095">
        <v>1.1092439999999999</v>
      </c>
      <c r="L6095">
        <v>40.329990000000002</v>
      </c>
      <c r="M6095">
        <v>6.8868109999999996E-3</v>
      </c>
      <c r="N6095">
        <v>0</v>
      </c>
      <c r="O6095">
        <v>0.99987510000000002</v>
      </c>
      <c r="P6095">
        <v>4.2923999999999997E-2</v>
      </c>
      <c r="Q6095">
        <v>-1.002129E-2</v>
      </c>
      <c r="R6095">
        <v>0.99902809999999997</v>
      </c>
      <c r="S6095">
        <v>9.9914550000000005E-2</v>
      </c>
      <c r="T6095">
        <v>-0.2319108</v>
      </c>
      <c r="U6095">
        <v>2.9961549999999999</v>
      </c>
      <c r="V6095">
        <v>3.6046960000000003E-2</v>
      </c>
      <c r="W6095">
        <v>4.1535419999999997E-3</v>
      </c>
      <c r="X6095">
        <v>0.99934149999999999</v>
      </c>
      <c r="Y6095">
        <v>2.634529E-2</v>
      </c>
      <c r="Z6095">
        <v>-7.7134540000000001E-2</v>
      </c>
      <c r="AA6095">
        <v>0.99667260000000002</v>
      </c>
      <c r="AB6095">
        <v>32</v>
      </c>
      <c r="AC6095">
        <v>2.5100000000009001E-2</v>
      </c>
      <c r="AD6095">
        <v>-6.5716999999999998E-2</v>
      </c>
      <c r="AE6095">
        <v>0.455150000000003</v>
      </c>
      <c r="AF6095">
        <v>2.15173405873611E-2</v>
      </c>
      <c r="AG6095">
        <v>-6.5716999999999998E-2</v>
      </c>
      <c r="AH6095">
        <v>0.44604158483334899</v>
      </c>
      <c r="AI6095">
        <v>98.371709498911102</v>
      </c>
      <c r="AJ6095">
        <v>87.238154853925593</v>
      </c>
      <c r="AK6095">
        <v>0.451369931913501</v>
      </c>
      <c r="AL6095">
        <v>89.762018897288399</v>
      </c>
      <c r="AM6095">
        <v>87.934196032035302</v>
      </c>
      <c r="AN6095">
        <v>1.0000000344293101</v>
      </c>
    </row>
    <row r="6096" spans="1:40" x14ac:dyDescent="0.25">
      <c r="A6096" t="str">
        <f>"20190312154725343"</f>
        <v>20190312154725343</v>
      </c>
      <c r="B6096" t="str">
        <f>"1552376845334588"</f>
        <v>1552376845334588</v>
      </c>
      <c r="C6096" t="s">
        <v>40</v>
      </c>
      <c r="D6096">
        <v>5.1360409999999996</v>
      </c>
      <c r="E6096">
        <v>0.49676730000000002</v>
      </c>
      <c r="F6096" t="s">
        <v>42</v>
      </c>
      <c r="G6096">
        <v>-188.08330000000001</v>
      </c>
      <c r="H6096" s="1">
        <v>-2.3119039999999999E-6</v>
      </c>
      <c r="I6096">
        <v>54.229329999999997</v>
      </c>
      <c r="J6096">
        <v>-188.5377</v>
      </c>
      <c r="K6096">
        <v>1.1092299999999999</v>
      </c>
      <c r="L6096">
        <v>40.620759999999997</v>
      </c>
      <c r="M6096">
        <v>7.426579E-3</v>
      </c>
      <c r="N6096">
        <v>0</v>
      </c>
      <c r="O6096">
        <v>0.99987090000000001</v>
      </c>
      <c r="P6096">
        <v>4.3575530000000001E-2</v>
      </c>
      <c r="Q6096">
        <v>-9.6263949999999994E-3</v>
      </c>
      <c r="R6096">
        <v>0.9990038</v>
      </c>
      <c r="S6096">
        <v>9.8510739999999999E-2</v>
      </c>
      <c r="T6096">
        <v>-0.23912220000000001</v>
      </c>
      <c r="U6096">
        <v>2.9963069999999998</v>
      </c>
      <c r="V6096">
        <v>3.615993E-2</v>
      </c>
      <c r="W6096">
        <v>4.5688630000000003E-3</v>
      </c>
      <c r="X6096">
        <v>0.99933559999999999</v>
      </c>
      <c r="Y6096">
        <v>2.5331360000000001E-2</v>
      </c>
      <c r="Z6096">
        <v>-7.9515310000000006E-2</v>
      </c>
      <c r="AA6096">
        <v>0.99651179999999995</v>
      </c>
      <c r="AB6096">
        <v>32</v>
      </c>
      <c r="AC6096">
        <v>0.45439999999999198</v>
      </c>
      <c r="AD6096">
        <v>-1.109232311904</v>
      </c>
      <c r="AE6096">
        <v>13.60857</v>
      </c>
      <c r="AF6096">
        <v>0.35098280365991802</v>
      </c>
      <c r="AG6096">
        <v>-1.109232311904</v>
      </c>
      <c r="AH6096">
        <v>13.5218325926669</v>
      </c>
      <c r="AI6096">
        <v>94.688054389144199</v>
      </c>
      <c r="AJ6096">
        <v>88.513121748368903</v>
      </c>
      <c r="AK6096">
        <v>13.5717921408466</v>
      </c>
      <c r="AL6096">
        <v>89.738222529566897</v>
      </c>
      <c r="AM6096">
        <v>87.927715281449593</v>
      </c>
      <c r="AN6096">
        <v>1.00000002823703</v>
      </c>
    </row>
    <row r="6097" spans="1:40" x14ac:dyDescent="0.25">
      <c r="A6097" t="str">
        <f>"20190312154725385"</f>
        <v>20190312154725385</v>
      </c>
      <c r="B6097" t="str">
        <f>"1552376845374604"</f>
        <v>1552376845374604</v>
      </c>
      <c r="C6097" t="s">
        <v>40</v>
      </c>
      <c r="D6097">
        <v>5.1147429999999998</v>
      </c>
      <c r="E6097">
        <v>0.47808250000000002</v>
      </c>
      <c r="F6097" t="s">
        <v>42</v>
      </c>
      <c r="G6097">
        <v>-188.07839999999999</v>
      </c>
      <c r="H6097" s="1">
        <v>-2.500091E-6</v>
      </c>
      <c r="I6097">
        <v>54.665970000000002</v>
      </c>
      <c r="J6097">
        <v>-188.53200000000001</v>
      </c>
      <c r="K6097">
        <v>1.109205</v>
      </c>
      <c r="L6097">
        <v>41.210999999999999</v>
      </c>
      <c r="M6097">
        <v>8.5742869999999999E-3</v>
      </c>
      <c r="N6097">
        <v>0</v>
      </c>
      <c r="O6097">
        <v>0.99986120000000001</v>
      </c>
      <c r="P6097">
        <v>4.526492E-2</v>
      </c>
      <c r="Q6097">
        <v>-1.0022130000000001E-2</v>
      </c>
      <c r="R6097">
        <v>0.9989247</v>
      </c>
      <c r="S6097">
        <v>9.799194E-2</v>
      </c>
      <c r="T6097">
        <v>-0.23664560000000001</v>
      </c>
      <c r="U6097">
        <v>2.996429</v>
      </c>
      <c r="V6097">
        <v>3.6702810000000002E-2</v>
      </c>
      <c r="W6097">
        <v>4.2050400000000002E-3</v>
      </c>
      <c r="X6097">
        <v>0.99931729999999996</v>
      </c>
      <c r="Y6097">
        <v>2.4012289999999999E-2</v>
      </c>
      <c r="Z6097">
        <v>-7.8694139999999996E-2</v>
      </c>
      <c r="AA6097">
        <v>0.99660959999999998</v>
      </c>
      <c r="AB6097">
        <v>32</v>
      </c>
      <c r="AC6097">
        <v>0.45360000000002199</v>
      </c>
      <c r="AD6097">
        <v>-1.109207500091</v>
      </c>
      <c r="AE6097">
        <v>13.4549699999999</v>
      </c>
      <c r="AF6097">
        <v>0.33592438920830697</v>
      </c>
      <c r="AG6097">
        <v>-1.109207500091</v>
      </c>
      <c r="AH6097">
        <v>13.367620361967001</v>
      </c>
      <c r="AI6097">
        <v>94.7418858051212</v>
      </c>
      <c r="AJ6097">
        <v>88.560476791496697</v>
      </c>
      <c r="AK6097">
        <v>13.417766603097499</v>
      </c>
      <c r="AL6097">
        <v>89.759068226564196</v>
      </c>
      <c r="AM6097">
        <v>87.896592697440795</v>
      </c>
      <c r="AN6097">
        <v>0.99999992235128998</v>
      </c>
    </row>
    <row r="6098" spans="1:40" x14ac:dyDescent="0.25">
      <c r="A6098" t="str">
        <f>"20190312154725408"</f>
        <v>20190312154725408</v>
      </c>
      <c r="B6098" t="str">
        <f>"1552376845394125"</f>
        <v>1552376845394125</v>
      </c>
      <c r="C6098" t="s">
        <v>40</v>
      </c>
      <c r="D6098">
        <v>5.0978320000000004</v>
      </c>
      <c r="E6098">
        <v>0.477765</v>
      </c>
      <c r="F6098" t="s">
        <v>42</v>
      </c>
      <c r="G6098">
        <v>-188.88659999999999</v>
      </c>
      <c r="H6098" s="1">
        <v>-3.1018960000000002E-6</v>
      </c>
      <c r="I6098">
        <v>66.402979999999999</v>
      </c>
      <c r="J6098">
        <v>-188.5283</v>
      </c>
      <c r="K6098">
        <v>1.1091979999999999</v>
      </c>
      <c r="L6098">
        <v>41.552669999999999</v>
      </c>
      <c r="M6098">
        <v>9.2583130000000007E-3</v>
      </c>
      <c r="N6098">
        <v>0</v>
      </c>
      <c r="O6098">
        <v>0.99985489999999999</v>
      </c>
      <c r="P6098">
        <v>4.6253089999999997E-2</v>
      </c>
      <c r="Q6098">
        <v>-1.0455040000000001E-2</v>
      </c>
      <c r="R6098">
        <v>0.99887499999999996</v>
      </c>
      <c r="S6098">
        <v>-4.2282100000000003E-2</v>
      </c>
      <c r="T6098">
        <v>-0.13225870000000001</v>
      </c>
      <c r="U6098">
        <v>3.0038149999999999</v>
      </c>
      <c r="V6098">
        <v>3.7007320000000003E-2</v>
      </c>
      <c r="W6098">
        <v>3.7868569999999998E-3</v>
      </c>
      <c r="X6098">
        <v>0.99930779999999997</v>
      </c>
      <c r="Y6098">
        <v>-2.331886E-2</v>
      </c>
      <c r="Z6098">
        <v>-4.3976630000000003E-2</v>
      </c>
      <c r="AA6098">
        <v>0.99876039999999999</v>
      </c>
      <c r="AB6098">
        <v>32</v>
      </c>
      <c r="AC6098">
        <v>-0.35829999999998502</v>
      </c>
      <c r="AD6098">
        <v>-1.109201101896</v>
      </c>
      <c r="AE6098">
        <v>24.85031</v>
      </c>
      <c r="AF6098">
        <v>-0.58721045050815801</v>
      </c>
      <c r="AG6098">
        <v>-1.109201101896</v>
      </c>
      <c r="AH6098">
        <v>24.796535005475299</v>
      </c>
      <c r="AI6098">
        <v>92.560536255522806</v>
      </c>
      <c r="AJ6098">
        <v>91.356576365658</v>
      </c>
      <c r="AK6098">
        <v>24.828276047188499</v>
      </c>
      <c r="AL6098">
        <v>89.783028553492599</v>
      </c>
      <c r="AM6098">
        <v>87.879137211629399</v>
      </c>
      <c r="AN6098">
        <v>0.99999998058018003</v>
      </c>
    </row>
    <row r="6099" spans="1:40" x14ac:dyDescent="0.25">
      <c r="A6099" t="str">
        <f>"20190312154725429"</f>
        <v>20190312154725429</v>
      </c>
      <c r="B6099" t="str">
        <f>"1552376845423911"</f>
        <v>1552376845423911</v>
      </c>
      <c r="C6099" t="s">
        <v>40</v>
      </c>
      <c r="D6099">
        <v>5.0528279999999999</v>
      </c>
      <c r="E6099">
        <v>0.47754340000000001</v>
      </c>
      <c r="F6099" t="s">
        <v>42</v>
      </c>
      <c r="G6099">
        <v>-188.89099999999999</v>
      </c>
      <c r="H6099" s="1">
        <v>-3.652807E-6</v>
      </c>
      <c r="I6099">
        <v>67.688999999999993</v>
      </c>
      <c r="J6099">
        <v>-188.5248</v>
      </c>
      <c r="K6099">
        <v>1.1091899999999999</v>
      </c>
      <c r="L6099">
        <v>41.8598</v>
      </c>
      <c r="M6099">
        <v>9.8787289999999993E-3</v>
      </c>
      <c r="N6099">
        <v>0</v>
      </c>
      <c r="O6099">
        <v>0.99984879999999998</v>
      </c>
      <c r="P6099">
        <v>4.708859E-2</v>
      </c>
      <c r="Q6099">
        <v>-1.0844609999999999E-2</v>
      </c>
      <c r="R6099">
        <v>0.99883189999999999</v>
      </c>
      <c r="S6099">
        <v>-4.1687009999999997E-2</v>
      </c>
      <c r="T6099">
        <v>-0.1274856</v>
      </c>
      <c r="U6099">
        <v>3.0039669999999998</v>
      </c>
      <c r="V6099">
        <v>3.7222709999999999E-2</v>
      </c>
      <c r="W6099">
        <v>3.4082510000000002E-3</v>
      </c>
      <c r="X6099">
        <v>0.9993012</v>
      </c>
      <c r="Y6099">
        <v>-2.3741620000000001E-2</v>
      </c>
      <c r="Z6099">
        <v>-4.238981E-2</v>
      </c>
      <c r="AA6099">
        <v>0.99881900000000001</v>
      </c>
      <c r="AB6099">
        <v>32</v>
      </c>
      <c r="AC6099">
        <v>-0.36619999999999198</v>
      </c>
      <c r="AD6099">
        <v>-1.1091936528070001</v>
      </c>
      <c r="AE6099">
        <v>25.8292</v>
      </c>
      <c r="AF6099">
        <v>-0.62022437724244295</v>
      </c>
      <c r="AG6099">
        <v>-1.1091936528070001</v>
      </c>
      <c r="AH6099">
        <v>25.776795072357501</v>
      </c>
      <c r="AI6099">
        <v>92.463245656827894</v>
      </c>
      <c r="AJ6099">
        <v>91.378347601639106</v>
      </c>
      <c r="AK6099">
        <v>25.808102468795799</v>
      </c>
      <c r="AL6099">
        <v>89.8047212274939</v>
      </c>
      <c r="AM6099">
        <v>87.866790661322</v>
      </c>
      <c r="AN6099">
        <v>1.0000000173180299</v>
      </c>
    </row>
    <row r="6100" spans="1:40" x14ac:dyDescent="0.25">
      <c r="A6100" t="str">
        <f>"20190312154725453"</f>
        <v>20190312154725453</v>
      </c>
      <c r="B6100" t="str">
        <f>"1552376845444408"</f>
        <v>1552376845444408</v>
      </c>
      <c r="C6100" t="s">
        <v>40</v>
      </c>
      <c r="D6100">
        <v>5.0743669999999996</v>
      </c>
      <c r="E6100">
        <v>0.47741860000000003</v>
      </c>
      <c r="F6100" t="s">
        <v>42</v>
      </c>
      <c r="G6100">
        <v>-188.88570000000001</v>
      </c>
      <c r="H6100" s="1">
        <v>-3.9544260000000001E-6</v>
      </c>
      <c r="I6100">
        <v>68.389870000000002</v>
      </c>
      <c r="J6100">
        <v>-188.52090000000001</v>
      </c>
      <c r="K6100">
        <v>1.109191</v>
      </c>
      <c r="L6100">
        <v>42.186</v>
      </c>
      <c r="M6100">
        <v>1.053951E-2</v>
      </c>
      <c r="N6100">
        <v>0</v>
      </c>
      <c r="O6100">
        <v>0.99984189999999995</v>
      </c>
      <c r="P6100">
        <v>4.7814240000000001E-2</v>
      </c>
      <c r="Q6100">
        <v>-1.087342E-2</v>
      </c>
      <c r="R6100">
        <v>0.99879709999999999</v>
      </c>
      <c r="S6100">
        <v>-4.0863040000000003E-2</v>
      </c>
      <c r="T6100">
        <v>-0.1255965</v>
      </c>
      <c r="U6100">
        <v>3.0040589999999998</v>
      </c>
      <c r="V6100">
        <v>3.7288290000000002E-2</v>
      </c>
      <c r="W6100">
        <v>3.3896550000000001E-3</v>
      </c>
      <c r="X6100">
        <v>0.99929880000000004</v>
      </c>
      <c r="Y6100">
        <v>-2.412835E-2</v>
      </c>
      <c r="Z6100">
        <v>-4.176096E-2</v>
      </c>
      <c r="AA6100">
        <v>0.99883619999999995</v>
      </c>
      <c r="AB6100">
        <v>32</v>
      </c>
      <c r="AC6100">
        <v>-0.36480000000000201</v>
      </c>
      <c r="AD6100">
        <v>-1.109194954426</v>
      </c>
      <c r="AE6100">
        <v>26.203869999999899</v>
      </c>
      <c r="AF6100">
        <v>-0.63983778234183397</v>
      </c>
      <c r="AG6100">
        <v>-1.109194954426</v>
      </c>
      <c r="AH6100">
        <v>26.151720001789801</v>
      </c>
      <c r="AI6100">
        <v>92.4279528563751</v>
      </c>
      <c r="AJ6100">
        <v>91.4015404030486</v>
      </c>
      <c r="AK6100">
        <v>26.1830510996455</v>
      </c>
      <c r="AL6100">
        <v>89.805786702389696</v>
      </c>
      <c r="AM6100">
        <v>87.863030667942198</v>
      </c>
      <c r="AN6100">
        <v>0.99999999900679104</v>
      </c>
    </row>
    <row r="6101" spans="1:40" x14ac:dyDescent="0.25">
      <c r="A6101" t="str">
        <f>"20190312154725473"</f>
        <v>20190312154725473</v>
      </c>
      <c r="B6101" t="str">
        <f>"1552376845463927"</f>
        <v>1552376845463927</v>
      </c>
      <c r="C6101" t="s">
        <v>40</v>
      </c>
      <c r="D6101">
        <v>5.012937</v>
      </c>
      <c r="E6101">
        <v>0.47708630000000002</v>
      </c>
      <c r="F6101" t="s">
        <v>42</v>
      </c>
      <c r="G6101">
        <v>-188.87780000000001</v>
      </c>
      <c r="H6101" s="1">
        <v>-4.3462559999999998E-6</v>
      </c>
      <c r="I6101">
        <v>69.3</v>
      </c>
      <c r="J6101">
        <v>-188.5171</v>
      </c>
      <c r="K6101">
        <v>1.109194</v>
      </c>
      <c r="L6101">
        <v>42.484009999999998</v>
      </c>
      <c r="M6101">
        <v>1.114266E-2</v>
      </c>
      <c r="N6101">
        <v>0</v>
      </c>
      <c r="O6101">
        <v>0.99983520000000004</v>
      </c>
      <c r="P6101">
        <v>4.8411290000000003E-2</v>
      </c>
      <c r="Q6101">
        <v>-1.016005E-2</v>
      </c>
      <c r="R6101">
        <v>0.99877579999999999</v>
      </c>
      <c r="S6101">
        <v>-3.9550780000000001E-2</v>
      </c>
      <c r="T6101">
        <v>-0.1228968</v>
      </c>
      <c r="U6101">
        <v>3.004181</v>
      </c>
      <c r="V6101">
        <v>3.7283740000000003E-2</v>
      </c>
      <c r="W6101">
        <v>4.111104E-3</v>
      </c>
      <c r="X6101">
        <v>0.99929619999999997</v>
      </c>
      <c r="Y6101">
        <v>-2.4295130000000002E-2</v>
      </c>
      <c r="Z6101">
        <v>-4.0862790000000003E-2</v>
      </c>
      <c r="AA6101">
        <v>0.99886940000000002</v>
      </c>
      <c r="AB6101">
        <v>32</v>
      </c>
      <c r="AC6101">
        <v>-0.36070000000000801</v>
      </c>
      <c r="AD6101">
        <v>-1.109198346256</v>
      </c>
      <c r="AE6101">
        <v>26.815989999999999</v>
      </c>
      <c r="AF6101">
        <v>-0.65838351502178205</v>
      </c>
      <c r="AG6101">
        <v>-1.109198346256</v>
      </c>
      <c r="AH6101">
        <v>26.764521531682099</v>
      </c>
      <c r="AI6101">
        <v>92.372426148526003</v>
      </c>
      <c r="AJ6101">
        <v>91.409141223555196</v>
      </c>
      <c r="AK6101">
        <v>26.795585506647601</v>
      </c>
      <c r="AL6101">
        <v>89.764450413280898</v>
      </c>
      <c r="AM6101">
        <v>87.863285629774396</v>
      </c>
      <c r="AN6101">
        <v>0.99999993688946098</v>
      </c>
    </row>
    <row r="6102" spans="1:40" x14ac:dyDescent="0.25">
      <c r="A6102" t="str">
        <f>"20190312154725497"</f>
        <v>20190312154725497</v>
      </c>
      <c r="B6102" t="str">
        <f>"1552376845484423"</f>
        <v>1552376845484423</v>
      </c>
      <c r="C6102" t="s">
        <v>40</v>
      </c>
      <c r="D6102">
        <v>4.9860949999999997</v>
      </c>
      <c r="E6102">
        <v>0.47693200000000002</v>
      </c>
      <c r="F6102" t="s">
        <v>42</v>
      </c>
      <c r="G6102">
        <v>-188.89230000000001</v>
      </c>
      <c r="H6102" s="1">
        <v>-5.3732369999999897E-7</v>
      </c>
      <c r="I6102">
        <v>70.360900000000001</v>
      </c>
      <c r="J6102">
        <v>-188.5127</v>
      </c>
      <c r="K6102">
        <v>1.109202</v>
      </c>
      <c r="L6102">
        <v>42.814390000000003</v>
      </c>
      <c r="M6102">
        <v>1.1809979999999999E-2</v>
      </c>
      <c r="N6102">
        <v>0</v>
      </c>
      <c r="O6102">
        <v>0.99982740000000003</v>
      </c>
      <c r="P6102">
        <v>4.9377329999999997E-2</v>
      </c>
      <c r="Q6102">
        <v>-1.0113749999999999E-2</v>
      </c>
      <c r="R6102">
        <v>0.99872899999999998</v>
      </c>
      <c r="S6102">
        <v>-4.0435789999999999E-2</v>
      </c>
      <c r="T6102">
        <v>-0.1195432</v>
      </c>
      <c r="U6102">
        <v>3.0044249999999999</v>
      </c>
      <c r="V6102">
        <v>3.7583409999999998E-2</v>
      </c>
      <c r="W6102">
        <v>4.1635550000000002E-3</v>
      </c>
      <c r="X6102">
        <v>0.99928479999999997</v>
      </c>
      <c r="Y6102">
        <v>-2.525608E-2</v>
      </c>
      <c r="Z6102">
        <v>-3.9745290000000003E-2</v>
      </c>
      <c r="AA6102">
        <v>0.99889059999999996</v>
      </c>
      <c r="AB6102">
        <v>32</v>
      </c>
      <c r="AC6102">
        <v>-0.37960000000000998</v>
      </c>
      <c r="AD6102">
        <v>-1.1092025373237</v>
      </c>
      <c r="AE6102">
        <v>27.546510000000001</v>
      </c>
      <c r="AF6102">
        <v>-0.70378981328094703</v>
      </c>
      <c r="AG6102">
        <v>-1.1092025373237</v>
      </c>
      <c r="AH6102">
        <v>27.495532349971999</v>
      </c>
      <c r="AI6102">
        <v>92.309371797935398</v>
      </c>
      <c r="AJ6102">
        <v>91.466252129897498</v>
      </c>
      <c r="AK6102">
        <v>27.526895022476499</v>
      </c>
      <c r="AL6102">
        <v>89.761445176652103</v>
      </c>
      <c r="AM6102">
        <v>87.846103239138699</v>
      </c>
      <c r="AN6102">
        <v>0.99999997970425203</v>
      </c>
    </row>
    <row r="6103" spans="1:40" x14ac:dyDescent="0.25">
      <c r="A6103" t="str">
        <f>"20190312154725522"</f>
        <v>20190312154725522</v>
      </c>
      <c r="B6103" t="str">
        <f>"1552376845514211"</f>
        <v>1552376845514211</v>
      </c>
      <c r="C6103" t="s">
        <v>40</v>
      </c>
      <c r="D6103">
        <v>4.9495820000000004</v>
      </c>
      <c r="E6103">
        <v>0.4767516</v>
      </c>
      <c r="F6103" t="s">
        <v>42</v>
      </c>
      <c r="G6103">
        <v>-188.87819999999999</v>
      </c>
      <c r="H6103" s="1">
        <v>-8.4176739999999899E-7</v>
      </c>
      <c r="I6103">
        <v>71.131119999999996</v>
      </c>
      <c r="J6103">
        <v>-188.50800000000001</v>
      </c>
      <c r="K6103">
        <v>1.1092070000000001</v>
      </c>
      <c r="L6103">
        <v>43.14893</v>
      </c>
      <c r="M6103">
        <v>1.2484E-2</v>
      </c>
      <c r="N6103">
        <v>0</v>
      </c>
      <c r="O6103">
        <v>0.99981920000000002</v>
      </c>
      <c r="P6103">
        <v>4.9881399999999999E-2</v>
      </c>
      <c r="Q6103">
        <v>-9.9220620000000006E-3</v>
      </c>
      <c r="R6103">
        <v>0.99870590000000004</v>
      </c>
      <c r="S6103">
        <v>-3.8787839999999997E-2</v>
      </c>
      <c r="T6103">
        <v>-0.117692</v>
      </c>
      <c r="U6103">
        <v>3.0045470000000001</v>
      </c>
      <c r="V6103">
        <v>3.7414360000000001E-2</v>
      </c>
      <c r="W6103">
        <v>4.3614409999999998E-3</v>
      </c>
      <c r="X6103">
        <v>0.99929029999999996</v>
      </c>
      <c r="Y6103">
        <v>-2.5381999999999998E-2</v>
      </c>
      <c r="Z6103">
        <v>-3.912877E-2</v>
      </c>
      <c r="AA6103">
        <v>0.99891169999999996</v>
      </c>
      <c r="AB6103">
        <v>32</v>
      </c>
      <c r="AC6103">
        <v>-0.37020000000001102</v>
      </c>
      <c r="AD6103">
        <v>-1.1092078417673901</v>
      </c>
      <c r="AE6103">
        <v>27.982189999999999</v>
      </c>
      <c r="AF6103">
        <v>-0.71840809629364599</v>
      </c>
      <c r="AG6103">
        <v>-1.1092078417673901</v>
      </c>
      <c r="AH6103">
        <v>27.9315054658178</v>
      </c>
      <c r="AI6103">
        <v>92.273367388654904</v>
      </c>
      <c r="AJ6103">
        <v>91.473342669312004</v>
      </c>
      <c r="AK6103">
        <v>27.9627511131517</v>
      </c>
      <c r="AL6103">
        <v>89.750107040873502</v>
      </c>
      <c r="AM6103">
        <v>87.855794183488101</v>
      </c>
      <c r="AN6103">
        <v>0.99999998008794699</v>
      </c>
    </row>
    <row r="6104" spans="1:40" x14ac:dyDescent="0.25">
      <c r="A6104" t="str">
        <f>"20190312154725565"</f>
        <v>20190312154725565</v>
      </c>
      <c r="B6104" t="str">
        <f>"1552376845554230"</f>
        <v>1552376845554230</v>
      </c>
      <c r="C6104" t="s">
        <v>40</v>
      </c>
      <c r="D6104">
        <v>4.9106719999999999</v>
      </c>
      <c r="E6104">
        <v>0.47635240000000001</v>
      </c>
      <c r="F6104" t="s">
        <v>42</v>
      </c>
      <c r="G6104">
        <v>-188.88030000000001</v>
      </c>
      <c r="H6104" s="1">
        <v>-1.350974E-6</v>
      </c>
      <c r="I6104">
        <v>72.318939999999998</v>
      </c>
      <c r="J6104">
        <v>-188.49879999999999</v>
      </c>
      <c r="K6104">
        <v>1.1092219999999999</v>
      </c>
      <c r="L6104">
        <v>43.76746</v>
      </c>
      <c r="M6104">
        <v>1.372773E-2</v>
      </c>
      <c r="N6104">
        <v>0</v>
      </c>
      <c r="O6104">
        <v>0.99980279999999999</v>
      </c>
      <c r="P6104">
        <v>5.0476899999999998E-2</v>
      </c>
      <c r="Q6104">
        <v>-9.5607360000000002E-3</v>
      </c>
      <c r="R6104">
        <v>0.99867950000000005</v>
      </c>
      <c r="S6104">
        <v>-3.8345339999999999E-2</v>
      </c>
      <c r="T6104">
        <v>-0.11425449999999999</v>
      </c>
      <c r="U6104">
        <v>3.0046689999999998</v>
      </c>
      <c r="V6104">
        <v>3.6767599999999998E-2</v>
      </c>
      <c r="W6104">
        <v>4.731463E-3</v>
      </c>
      <c r="X6104">
        <v>0.9993126</v>
      </c>
      <c r="Y6104">
        <v>-2.647849E-2</v>
      </c>
      <c r="Z6104">
        <v>-3.7984610000000002E-2</v>
      </c>
      <c r="AA6104">
        <v>0.99892749999999997</v>
      </c>
      <c r="AB6104">
        <v>32</v>
      </c>
      <c r="AC6104">
        <v>-0.38150000000001599</v>
      </c>
      <c r="AD6104">
        <v>-1.1092233509739999</v>
      </c>
      <c r="AE6104">
        <v>28.551480000000002</v>
      </c>
      <c r="AF6104">
        <v>-0.77228599464463898</v>
      </c>
      <c r="AG6104">
        <v>-1.1092233509739999</v>
      </c>
      <c r="AH6104">
        <v>28.5005426756302</v>
      </c>
      <c r="AI6104">
        <v>92.227974157434801</v>
      </c>
      <c r="AJ6104">
        <v>91.552177560757599</v>
      </c>
      <c r="AK6104">
        <v>28.532573226144301</v>
      </c>
      <c r="AL6104">
        <v>89.7289061162558</v>
      </c>
      <c r="AM6104">
        <v>87.892873079525799</v>
      </c>
      <c r="AN6104">
        <v>0.99999995783531903</v>
      </c>
    </row>
    <row r="6105" spans="1:40" x14ac:dyDescent="0.25">
      <c r="A6105" t="str">
        <f>"20190312154725588"</f>
        <v>20190312154725588</v>
      </c>
      <c r="B6105" t="str">
        <f>"1552376845574723"</f>
        <v>1552376845574723</v>
      </c>
      <c r="C6105" t="s">
        <v>40</v>
      </c>
      <c r="D6105">
        <v>4.8654380000000002</v>
      </c>
      <c r="E6105">
        <v>0.47607389999999999</v>
      </c>
      <c r="F6105" t="s">
        <v>42</v>
      </c>
      <c r="G6105">
        <v>-188.9016</v>
      </c>
      <c r="H6105" s="1">
        <v>-2.1366509999999999E-6</v>
      </c>
      <c r="I6105">
        <v>74.159180000000006</v>
      </c>
      <c r="J6105">
        <v>-188.49369999999999</v>
      </c>
      <c r="K6105">
        <v>1.1092310000000001</v>
      </c>
      <c r="L6105">
        <v>44.089170000000003</v>
      </c>
      <c r="M6105">
        <v>1.4374420000000001E-2</v>
      </c>
      <c r="N6105">
        <v>0</v>
      </c>
      <c r="O6105">
        <v>0.99979359999999995</v>
      </c>
      <c r="P6105">
        <v>5.0803599999999997E-2</v>
      </c>
      <c r="Q6105">
        <v>-9.2153189999999996E-3</v>
      </c>
      <c r="R6105">
        <v>0.99866619999999995</v>
      </c>
      <c r="S6105">
        <v>-3.9825439999999997E-2</v>
      </c>
      <c r="T6105">
        <v>-0.1096731</v>
      </c>
      <c r="U6105">
        <v>3.0049440000000001</v>
      </c>
      <c r="V6105">
        <v>3.6448550000000003E-2</v>
      </c>
      <c r="W6105">
        <v>5.0805030000000001E-3</v>
      </c>
      <c r="X6105">
        <v>0.99932259999999995</v>
      </c>
      <c r="Y6105">
        <v>-2.7616600000000002E-2</v>
      </c>
      <c r="Z6105">
        <v>-3.6459079999999998E-2</v>
      </c>
      <c r="AA6105">
        <v>0.99895350000000005</v>
      </c>
      <c r="AB6105">
        <v>32</v>
      </c>
      <c r="AC6105">
        <v>-0.40790000000001198</v>
      </c>
      <c r="AD6105">
        <v>-1.10923313665099</v>
      </c>
      <c r="AE6105">
        <v>30.07001</v>
      </c>
      <c r="AF6105">
        <v>-0.83899989811451003</v>
      </c>
      <c r="AG6105">
        <v>-1.10923313665099</v>
      </c>
      <c r="AH6105">
        <v>30.020196192810801</v>
      </c>
      <c r="AI6105">
        <v>92.115266178218107</v>
      </c>
      <c r="AJ6105">
        <v>91.600877052438804</v>
      </c>
      <c r="AK6105">
        <v>30.052395885109199</v>
      </c>
      <c r="AL6105">
        <v>89.708907363253402</v>
      </c>
      <c r="AM6105">
        <v>87.911162240574996</v>
      </c>
      <c r="AN6105">
        <v>0.99999998358929698</v>
      </c>
    </row>
    <row r="6106" spans="1:40" x14ac:dyDescent="0.25">
      <c r="A6106" t="str">
        <f>"20190312154725609"</f>
        <v>20190312154725609</v>
      </c>
      <c r="B6106" t="str">
        <f>"1552376845604003"</f>
        <v>1552376845604003</v>
      </c>
      <c r="C6106" t="s">
        <v>40</v>
      </c>
      <c r="D6106">
        <v>4.8435119999999996</v>
      </c>
      <c r="E6106">
        <v>0.47278399999999998</v>
      </c>
      <c r="F6106" t="s">
        <v>42</v>
      </c>
      <c r="G6106">
        <v>-188.9195</v>
      </c>
      <c r="H6106" s="1">
        <v>-2.6567590000000001E-6</v>
      </c>
      <c r="I6106">
        <v>75.378950000000003</v>
      </c>
      <c r="J6106">
        <v>-188.48859999999999</v>
      </c>
      <c r="K6106">
        <v>1.1092329999999999</v>
      </c>
      <c r="L6106">
        <v>44.397739999999999</v>
      </c>
      <c r="M6106">
        <v>1.4994850000000001E-2</v>
      </c>
      <c r="N6106">
        <v>0</v>
      </c>
      <c r="O6106">
        <v>0.99978449999999996</v>
      </c>
      <c r="P6106">
        <v>5.0932400000000003E-2</v>
      </c>
      <c r="Q6106">
        <v>-9.0750299999999996E-3</v>
      </c>
      <c r="R6106">
        <v>0.99866089999999996</v>
      </c>
      <c r="S6106">
        <v>-4.0893550000000001E-2</v>
      </c>
      <c r="T6106">
        <v>-0.10653169999999999</v>
      </c>
      <c r="U6106">
        <v>3.005096</v>
      </c>
      <c r="V6106">
        <v>3.5957490000000002E-2</v>
      </c>
      <c r="W6106">
        <v>5.2230760000000001E-3</v>
      </c>
      <c r="X6106">
        <v>0.99933970000000005</v>
      </c>
      <c r="Y6106">
        <v>-2.8591749999999999E-2</v>
      </c>
      <c r="Z6106">
        <v>-3.541325E-2</v>
      </c>
      <c r="AA6106">
        <v>0.99896370000000001</v>
      </c>
      <c r="AB6106">
        <v>32</v>
      </c>
      <c r="AC6106">
        <v>-0.430900000000008</v>
      </c>
      <c r="AD6106">
        <v>-1.1092356567589901</v>
      </c>
      <c r="AE6106">
        <v>30.981210000000001</v>
      </c>
      <c r="AF6106">
        <v>-0.894311835095142</v>
      </c>
      <c r="AG6106">
        <v>-1.1092356567589901</v>
      </c>
      <c r="AH6106">
        <v>30.931620867212299</v>
      </c>
      <c r="AI6106">
        <v>92.052940778593495</v>
      </c>
      <c r="AJ6106">
        <v>91.656105357096806</v>
      </c>
      <c r="AK6106">
        <v>30.964420983987001</v>
      </c>
      <c r="AL6106">
        <v>89.700738437064402</v>
      </c>
      <c r="AM6106">
        <v>87.939315305850897</v>
      </c>
      <c r="AN6106">
        <v>1.00000002880304</v>
      </c>
    </row>
    <row r="6107" spans="1:40" x14ac:dyDescent="0.25">
      <c r="A6107" t="str">
        <f>"20190312154725631"</f>
        <v>20190312154725631</v>
      </c>
      <c r="B6107" t="str">
        <f>"1552376845624032"</f>
        <v>1552376845624032</v>
      </c>
      <c r="C6107" t="s">
        <v>40</v>
      </c>
      <c r="D6107">
        <v>4.8271949999999997</v>
      </c>
      <c r="E6107">
        <v>0.47299459999999999</v>
      </c>
      <c r="F6107" t="s">
        <v>42</v>
      </c>
      <c r="G6107">
        <v>-189.3312</v>
      </c>
      <c r="H6107" s="1">
        <v>-1.4186949999999999E-6</v>
      </c>
      <c r="I6107">
        <v>82.663240000000002</v>
      </c>
      <c r="J6107">
        <v>-188.48320000000001</v>
      </c>
      <c r="K6107">
        <v>1.109237</v>
      </c>
      <c r="L6107">
        <v>44.709809999999997</v>
      </c>
      <c r="M6107">
        <v>1.5622479999999999E-2</v>
      </c>
      <c r="N6107">
        <v>0</v>
      </c>
      <c r="O6107">
        <v>0.99977490000000002</v>
      </c>
      <c r="P6107">
        <v>5.107954E-2</v>
      </c>
      <c r="Q6107">
        <v>-9.4267229999999997E-3</v>
      </c>
      <c r="R6107">
        <v>0.99865009999999999</v>
      </c>
      <c r="S6107">
        <v>-6.6207890000000005E-2</v>
      </c>
      <c r="T6107">
        <v>-8.7154629999999997E-2</v>
      </c>
      <c r="U6107">
        <v>3.0065919999999999</v>
      </c>
      <c r="V6107">
        <v>3.5476939999999998E-2</v>
      </c>
      <c r="W6107">
        <v>4.8735590000000004E-3</v>
      </c>
      <c r="X6107">
        <v>0.99935859999999999</v>
      </c>
      <c r="Y6107">
        <v>-3.7623959999999998E-2</v>
      </c>
      <c r="Z6107">
        <v>-2.8956610000000001E-2</v>
      </c>
      <c r="AA6107">
        <v>0.99887230000000005</v>
      </c>
      <c r="AB6107">
        <v>32</v>
      </c>
      <c r="AC6107">
        <v>-0.84799999999998399</v>
      </c>
      <c r="AD6107">
        <v>-1.109238418695</v>
      </c>
      <c r="AE6107">
        <v>37.953429999999997</v>
      </c>
      <c r="AF6107">
        <v>-1.4396551916448299</v>
      </c>
      <c r="AG6107">
        <v>-1.109238418695</v>
      </c>
      <c r="AH6107">
        <v>37.903188174094403</v>
      </c>
      <c r="AI6107">
        <v>91.675077829598493</v>
      </c>
      <c r="AJ6107">
        <v>92.175187314637498</v>
      </c>
      <c r="AK6107">
        <v>37.946734914892801</v>
      </c>
      <c r="AL6107">
        <v>89.720764529387097</v>
      </c>
      <c r="AM6107">
        <v>87.966870254038497</v>
      </c>
      <c r="AN6107">
        <v>0.99999998812152402</v>
      </c>
    </row>
    <row r="6108" spans="1:40" x14ac:dyDescent="0.25">
      <c r="A6108" t="str">
        <f>"20190312154725653"</f>
        <v>20190312154725653</v>
      </c>
      <c r="B6108" t="str">
        <f>"1552376845644528"</f>
        <v>1552376845644528</v>
      </c>
      <c r="C6108" t="s">
        <v>40</v>
      </c>
      <c r="D6108">
        <v>4.7886110000000004</v>
      </c>
      <c r="E6108">
        <v>0.47286919999999999</v>
      </c>
      <c r="F6108" t="s">
        <v>42</v>
      </c>
      <c r="G6108">
        <v>-189.3151</v>
      </c>
      <c r="H6108" s="1">
        <v>-1.9496680000000001E-6</v>
      </c>
      <c r="I6108">
        <v>83.894279999999995</v>
      </c>
      <c r="J6108">
        <v>-188.4778</v>
      </c>
      <c r="K6108">
        <v>1.109235</v>
      </c>
      <c r="L6108">
        <v>45.01202</v>
      </c>
      <c r="M6108">
        <v>1.6230609999999999E-2</v>
      </c>
      <c r="N6108">
        <v>0</v>
      </c>
      <c r="O6108">
        <v>0.99976520000000002</v>
      </c>
      <c r="P6108">
        <v>5.1253359999999998E-2</v>
      </c>
      <c r="Q6108">
        <v>-9.9507829999999995E-3</v>
      </c>
      <c r="R6108">
        <v>0.99863610000000003</v>
      </c>
      <c r="S6108">
        <v>-6.3827510000000004E-2</v>
      </c>
      <c r="T6108">
        <v>-8.5108400000000001E-2</v>
      </c>
      <c r="U6108">
        <v>3.0065</v>
      </c>
      <c r="V6108">
        <v>3.5042370000000003E-2</v>
      </c>
      <c r="W6108">
        <v>4.350474E-3</v>
      </c>
      <c r="X6108">
        <v>0.99937640000000005</v>
      </c>
      <c r="Y6108">
        <v>-3.7442400000000001E-2</v>
      </c>
      <c r="Z6108">
        <v>-2.82781E-2</v>
      </c>
      <c r="AA6108">
        <v>0.99889859999999997</v>
      </c>
      <c r="AB6108">
        <v>31</v>
      </c>
      <c r="AC6108">
        <v>-0.83729999999999805</v>
      </c>
      <c r="AD6108">
        <v>-1.1092369496679999</v>
      </c>
      <c r="AE6108">
        <v>38.882260000000002</v>
      </c>
      <c r="AF6108">
        <v>-1.4671440435787699</v>
      </c>
      <c r="AG6108">
        <v>-1.1092369496679999</v>
      </c>
      <c r="AH6108">
        <v>38.831957053362302</v>
      </c>
      <c r="AI6108">
        <v>91.635046163205601</v>
      </c>
      <c r="AJ6108">
        <v>92.163712673136203</v>
      </c>
      <c r="AK6108">
        <v>38.875491081776602</v>
      </c>
      <c r="AL6108">
        <v>89.750735424993806</v>
      </c>
      <c r="AM6108">
        <v>87.991790024201293</v>
      </c>
      <c r="AN6108">
        <v>1.0000000415981001</v>
      </c>
    </row>
    <row r="6109" spans="1:40" x14ac:dyDescent="0.25">
      <c r="A6109" t="str">
        <f>"20190312154725675"</f>
        <v>20190312154725675</v>
      </c>
      <c r="B6109" t="str">
        <f>"1552376845664048"</f>
        <v>1552376845664048</v>
      </c>
      <c r="C6109" t="s">
        <v>40</v>
      </c>
      <c r="D6109">
        <v>4.796138</v>
      </c>
      <c r="E6109">
        <v>0.47307529999999998</v>
      </c>
      <c r="F6109" t="s">
        <v>42</v>
      </c>
      <c r="G6109">
        <v>-189.31790000000001</v>
      </c>
      <c r="H6109" s="1">
        <v>-2.1403149999999999E-6</v>
      </c>
      <c r="I6109">
        <v>84.339860000000002</v>
      </c>
      <c r="J6109">
        <v>-188.47190000000001</v>
      </c>
      <c r="K6109">
        <v>1.109237</v>
      </c>
      <c r="L6109">
        <v>45.335140000000003</v>
      </c>
      <c r="M6109">
        <v>1.6880820000000001E-2</v>
      </c>
      <c r="N6109">
        <v>0</v>
      </c>
      <c r="O6109">
        <v>0.99975440000000004</v>
      </c>
      <c r="P6109">
        <v>5.1898359999999998E-2</v>
      </c>
      <c r="Q6109">
        <v>-1.034009E-2</v>
      </c>
      <c r="R6109">
        <v>0.99859880000000001</v>
      </c>
      <c r="S6109">
        <v>-6.4224240000000002E-2</v>
      </c>
      <c r="T6109">
        <v>-8.4799769999999997E-2</v>
      </c>
      <c r="U6109">
        <v>3.006561</v>
      </c>
      <c r="V6109">
        <v>3.5037440000000003E-2</v>
      </c>
      <c r="W6109">
        <v>3.9613779999999998E-3</v>
      </c>
      <c r="X6109">
        <v>0.99937810000000005</v>
      </c>
      <c r="Y6109">
        <v>-3.8223680000000003E-2</v>
      </c>
      <c r="Z6109">
        <v>-2.8174149999999999E-2</v>
      </c>
      <c r="AA6109">
        <v>0.99887190000000003</v>
      </c>
      <c r="AB6109">
        <v>31</v>
      </c>
      <c r="AC6109">
        <v>-0.84600000000000297</v>
      </c>
      <c r="AD6109">
        <v>-1.1092391403149999</v>
      </c>
      <c r="AE6109">
        <v>39.004719999999999</v>
      </c>
      <c r="AF6109">
        <v>-1.5031638554662099</v>
      </c>
      <c r="AG6109">
        <v>-1.1092391403149999</v>
      </c>
      <c r="AH6109">
        <v>38.953389511599802</v>
      </c>
      <c r="AI6109">
        <v>91.629904955207493</v>
      </c>
      <c r="AJ6109">
        <v>92.209877874197801</v>
      </c>
      <c r="AK6109">
        <v>38.9981597961904</v>
      </c>
      <c r="AL6109">
        <v>89.773029154736506</v>
      </c>
      <c r="AM6109">
        <v>87.992075734420595</v>
      </c>
      <c r="AN6109">
        <v>0.99999995073851</v>
      </c>
    </row>
    <row r="6110" spans="1:40" x14ac:dyDescent="0.25">
      <c r="A6110" t="str">
        <f>"20190312154725698"</f>
        <v>20190312154725698</v>
      </c>
      <c r="B6110" t="str">
        <f>"1552376845684544"</f>
        <v>1552376845684544</v>
      </c>
      <c r="C6110" t="s">
        <v>40</v>
      </c>
      <c r="D6110">
        <v>4.7597079999999998</v>
      </c>
      <c r="E6110">
        <v>0.47298960000000001</v>
      </c>
      <c r="F6110" t="s">
        <v>42</v>
      </c>
      <c r="G6110">
        <v>-189.26949999999999</v>
      </c>
      <c r="H6110" s="1">
        <v>-2.4121990000000001E-6</v>
      </c>
      <c r="I6110">
        <v>84.953630000000004</v>
      </c>
      <c r="J6110">
        <v>-188.46600000000001</v>
      </c>
      <c r="K6110">
        <v>1.1092409999999999</v>
      </c>
      <c r="L6110">
        <v>45.64282</v>
      </c>
      <c r="M6110">
        <v>1.750028E-2</v>
      </c>
      <c r="N6110">
        <v>0</v>
      </c>
      <c r="O6110">
        <v>0.99974379999999996</v>
      </c>
      <c r="P6110">
        <v>5.261387E-2</v>
      </c>
      <c r="Q6110">
        <v>-1.0375799999999999E-2</v>
      </c>
      <c r="R6110">
        <v>0.99856100000000003</v>
      </c>
      <c r="S6110">
        <v>-6.0531620000000001E-2</v>
      </c>
      <c r="T6110">
        <v>-8.4175230000000004E-2</v>
      </c>
      <c r="U6110">
        <v>3.0064700000000002</v>
      </c>
      <c r="V6110">
        <v>3.5134220000000001E-2</v>
      </c>
      <c r="W6110">
        <v>3.9246619999999998E-3</v>
      </c>
      <c r="X6110">
        <v>0.99937489999999995</v>
      </c>
      <c r="Y6110">
        <v>-3.7617280000000003E-2</v>
      </c>
      <c r="Z6110">
        <v>-2.79679E-2</v>
      </c>
      <c r="AA6110">
        <v>0.99890080000000003</v>
      </c>
      <c r="AB6110">
        <v>31</v>
      </c>
      <c r="AC6110">
        <v>-0.80350000000001298</v>
      </c>
      <c r="AD6110">
        <v>-1.109243412199</v>
      </c>
      <c r="AE6110">
        <v>39.310809999999996</v>
      </c>
      <c r="AF6110">
        <v>-1.4902119709199699</v>
      </c>
      <c r="AG6110">
        <v>-1.109243412199</v>
      </c>
      <c r="AH6110">
        <v>39.259479825714003</v>
      </c>
      <c r="AI6110">
        <v>91.617249208510799</v>
      </c>
      <c r="AJ6110">
        <v>92.173790520228806</v>
      </c>
      <c r="AK6110">
        <v>39.303408361762003</v>
      </c>
      <c r="AL6110">
        <v>89.775132854914105</v>
      </c>
      <c r="AM6110">
        <v>87.986527586852901</v>
      </c>
      <c r="AN6110">
        <v>1.00000000356841</v>
      </c>
    </row>
    <row r="6111" spans="1:40" x14ac:dyDescent="0.25">
      <c r="A6111" t="str">
        <f>"20190312154725721"</f>
        <v>20190312154725721</v>
      </c>
      <c r="B6111" t="str">
        <f>"1552376845713824"</f>
        <v>1552376845713824</v>
      </c>
      <c r="C6111" t="s">
        <v>40</v>
      </c>
      <c r="D6111">
        <v>4.7076229999999999</v>
      </c>
      <c r="E6111">
        <v>0.47290569999999998</v>
      </c>
      <c r="F6111" t="s">
        <v>42</v>
      </c>
      <c r="G6111">
        <v>-189.262</v>
      </c>
      <c r="H6111" s="1">
        <v>-2.934746E-6</v>
      </c>
      <c r="I6111">
        <v>86.168559999999999</v>
      </c>
      <c r="J6111">
        <v>-188.45949999999999</v>
      </c>
      <c r="K6111">
        <v>1.109248</v>
      </c>
      <c r="L6111">
        <v>45.972630000000002</v>
      </c>
      <c r="M6111">
        <v>1.8163100000000001E-2</v>
      </c>
      <c r="N6111">
        <v>0</v>
      </c>
      <c r="O6111">
        <v>0.99973199999999995</v>
      </c>
      <c r="P6111">
        <v>5.3518589999999998E-2</v>
      </c>
      <c r="Q6111">
        <v>-9.9199749999999993E-3</v>
      </c>
      <c r="R6111">
        <v>0.99851760000000001</v>
      </c>
      <c r="S6111">
        <v>-5.9051510000000001E-2</v>
      </c>
      <c r="T6111">
        <v>-8.229446E-2</v>
      </c>
      <c r="U6111">
        <v>3.0065919999999999</v>
      </c>
      <c r="V6111">
        <v>3.5377619999999999E-2</v>
      </c>
      <c r="W6111">
        <v>4.3795600000000002E-3</v>
      </c>
      <c r="X6111">
        <v>0.99936440000000004</v>
      </c>
      <c r="Y6111">
        <v>-3.778778E-2</v>
      </c>
      <c r="Z6111">
        <v>-2.7341919999999999E-2</v>
      </c>
      <c r="AA6111">
        <v>0.99891169999999996</v>
      </c>
      <c r="AB6111">
        <v>31</v>
      </c>
      <c r="AC6111">
        <v>-0.80250000000000898</v>
      </c>
      <c r="AD6111">
        <v>-1.109250934746</v>
      </c>
      <c r="AE6111">
        <v>40.195929999999997</v>
      </c>
      <c r="AF6111">
        <v>-1.5313597730227899</v>
      </c>
      <c r="AG6111">
        <v>-1.109250934746</v>
      </c>
      <c r="AH6111">
        <v>40.144161018990602</v>
      </c>
      <c r="AI6111">
        <v>91.581626612892407</v>
      </c>
      <c r="AJ6111">
        <v>92.184574994413595</v>
      </c>
      <c r="AK6111">
        <v>40.188669601136503</v>
      </c>
      <c r="AL6111">
        <v>89.7490688887532</v>
      </c>
      <c r="AM6111">
        <v>87.972569132958</v>
      </c>
      <c r="AN6111">
        <v>0.99999998026500803</v>
      </c>
    </row>
    <row r="6112" spans="1:40" x14ac:dyDescent="0.25">
      <c r="A6112" t="str">
        <f>"20190312154725746"</f>
        <v>20190312154725746</v>
      </c>
      <c r="B6112" t="str">
        <f>"1552376845734320"</f>
        <v>1552376845734320</v>
      </c>
      <c r="C6112" t="s">
        <v>40</v>
      </c>
      <c r="D6112">
        <v>4.7167770000000004</v>
      </c>
      <c r="E6112">
        <v>0.47284300000000001</v>
      </c>
      <c r="F6112" t="s">
        <v>42</v>
      </c>
      <c r="G6112">
        <v>-189.2585</v>
      </c>
      <c r="H6112" s="1">
        <v>-3.793747E-6</v>
      </c>
      <c r="I6112">
        <v>88.169489999999996</v>
      </c>
      <c r="J6112">
        <v>-188.4528</v>
      </c>
      <c r="K6112">
        <v>1.1092550000000001</v>
      </c>
      <c r="L6112">
        <v>46.301760000000002</v>
      </c>
      <c r="M6112">
        <v>1.882021E-2</v>
      </c>
      <c r="N6112">
        <v>0</v>
      </c>
      <c r="O6112">
        <v>0.99971989999999999</v>
      </c>
      <c r="P6112">
        <v>5.4230970000000003E-2</v>
      </c>
      <c r="Q6112">
        <v>-9.5780239999999992E-3</v>
      </c>
      <c r="R6112">
        <v>0.99848250000000005</v>
      </c>
      <c r="S6112">
        <v>-5.6930540000000002E-2</v>
      </c>
      <c r="T6112">
        <v>-7.9039100000000001E-2</v>
      </c>
      <c r="U6112">
        <v>3.0067140000000001</v>
      </c>
      <c r="V6112">
        <v>3.5434100000000003E-2</v>
      </c>
      <c r="W6112">
        <v>4.7200189999999998E-3</v>
      </c>
      <c r="X6112">
        <v>0.9993609</v>
      </c>
      <c r="Y6112">
        <v>-3.7739969999999998E-2</v>
      </c>
      <c r="Z6112">
        <v>-2.6259770000000002E-2</v>
      </c>
      <c r="AA6112">
        <v>0.99894249999999996</v>
      </c>
      <c r="AB6112">
        <v>31</v>
      </c>
      <c r="AC6112">
        <v>-0.80570000000000097</v>
      </c>
      <c r="AD6112">
        <v>-1.109258793747</v>
      </c>
      <c r="AE6112">
        <v>41.867730000000002</v>
      </c>
      <c r="AF6112">
        <v>-1.5924804507535</v>
      </c>
      <c r="AG6112">
        <v>-1.109258793747</v>
      </c>
      <c r="AH6112">
        <v>41.815806239886101</v>
      </c>
      <c r="AI6112">
        <v>91.518443506929302</v>
      </c>
      <c r="AJ6112">
        <v>92.180953681209999</v>
      </c>
      <c r="AK6112">
        <v>41.860818202099601</v>
      </c>
      <c r="AL6112">
        <v>89.729561836356396</v>
      </c>
      <c r="AM6112">
        <v>87.969327962562801</v>
      </c>
      <c r="AN6112">
        <v>1.00000003123548</v>
      </c>
    </row>
    <row r="6113" spans="1:40" x14ac:dyDescent="0.25">
      <c r="A6113" t="str">
        <f>"20190312154725766"</f>
        <v>20190312154725766</v>
      </c>
      <c r="B6113" t="str">
        <f>"1552376845753840"</f>
        <v>1552376845753840</v>
      </c>
      <c r="C6113" t="s">
        <v>40</v>
      </c>
      <c r="D6113">
        <v>4.6900440000000003</v>
      </c>
      <c r="E6113">
        <v>0.47274660000000002</v>
      </c>
      <c r="F6113" t="s">
        <v>42</v>
      </c>
      <c r="G6113">
        <v>-189.25579999999999</v>
      </c>
      <c r="H6113" s="1">
        <v>-2.97396E-7</v>
      </c>
      <c r="I6113">
        <v>89.940100000000001</v>
      </c>
      <c r="J6113">
        <v>-188.44649999999999</v>
      </c>
      <c r="K6113">
        <v>1.109264</v>
      </c>
      <c r="L6113">
        <v>46.604370000000003</v>
      </c>
      <c r="M6113">
        <v>1.941729E-2</v>
      </c>
      <c r="N6113">
        <v>0</v>
      </c>
      <c r="O6113">
        <v>0.9997085</v>
      </c>
      <c r="P6113">
        <v>5.488473E-2</v>
      </c>
      <c r="Q6113">
        <v>-9.5806799999999994E-3</v>
      </c>
      <c r="R6113">
        <v>0.99844670000000002</v>
      </c>
      <c r="S6113">
        <v>-5.5328370000000002E-2</v>
      </c>
      <c r="T6113">
        <v>-7.643163E-2</v>
      </c>
      <c r="U6113">
        <v>3.0068359999999998</v>
      </c>
      <c r="V6113">
        <v>3.5491500000000002E-2</v>
      </c>
      <c r="W6113">
        <v>4.7166810000000003E-3</v>
      </c>
      <c r="X6113">
        <v>0.99935879999999999</v>
      </c>
      <c r="Y6113">
        <v>-3.7804339999999999E-2</v>
      </c>
      <c r="Z6113">
        <v>-2.5392660000000001E-2</v>
      </c>
      <c r="AA6113">
        <v>0.99896249999999998</v>
      </c>
      <c r="AB6113">
        <v>31</v>
      </c>
      <c r="AC6113">
        <v>-0.80930000000000701</v>
      </c>
      <c r="AD6113">
        <v>-1.1092642973960001</v>
      </c>
      <c r="AE6113">
        <v>43.335729999999998</v>
      </c>
      <c r="AF6113">
        <v>-1.64961599905629</v>
      </c>
      <c r="AG6113">
        <v>-1.1092642973960001</v>
      </c>
      <c r="AH6113">
        <v>43.283492341666602</v>
      </c>
      <c r="AI6113">
        <v>91.466983660632806</v>
      </c>
      <c r="AJ6113">
        <v>92.182594500902297</v>
      </c>
      <c r="AK6113">
        <v>43.329117340616698</v>
      </c>
      <c r="AL6113">
        <v>89.729753070484705</v>
      </c>
      <c r="AM6113">
        <v>87.966036949882493</v>
      </c>
      <c r="AN6113">
        <v>0.99999995239467099</v>
      </c>
    </row>
    <row r="6114" spans="1:40" x14ac:dyDescent="0.25">
      <c r="A6114" t="str">
        <f>"20190312154725810"</f>
        <v>20190312154725810</v>
      </c>
      <c r="B6114" t="str">
        <f>"1552376845804592"</f>
        <v>1552376845804592</v>
      </c>
      <c r="C6114" t="s">
        <v>40</v>
      </c>
      <c r="D6114">
        <v>4.6434610000000003</v>
      </c>
      <c r="E6114">
        <v>0.50700429999999996</v>
      </c>
      <c r="F6114" t="s">
        <v>42</v>
      </c>
      <c r="G6114">
        <v>-189.23939999999999</v>
      </c>
      <c r="H6114" s="1">
        <v>-6.4784149999999899E-7</v>
      </c>
      <c r="I6114">
        <v>90.828389999999999</v>
      </c>
      <c r="J6114">
        <v>-188.4332</v>
      </c>
      <c r="K6114">
        <v>1.1092850000000001</v>
      </c>
      <c r="L6114">
        <v>47.210720000000002</v>
      </c>
      <c r="M6114">
        <v>2.059482E-2</v>
      </c>
      <c r="N6114">
        <v>0</v>
      </c>
      <c r="O6114">
        <v>0.99968489999999999</v>
      </c>
      <c r="P6114">
        <v>5.5833920000000002E-2</v>
      </c>
      <c r="Q6114">
        <v>-9.922887E-3</v>
      </c>
      <c r="R6114">
        <v>0.99839069999999996</v>
      </c>
      <c r="S6114">
        <v>-5.39093E-2</v>
      </c>
      <c r="T6114">
        <v>-7.5421569999999993E-2</v>
      </c>
      <c r="U6114">
        <v>3.0068969999999999</v>
      </c>
      <c r="V6114">
        <v>3.5263910000000002E-2</v>
      </c>
      <c r="W6114">
        <v>4.3719309999999999E-3</v>
      </c>
      <c r="X6114">
        <v>0.99936849999999999</v>
      </c>
      <c r="Y6114">
        <v>-3.8509870000000002E-2</v>
      </c>
      <c r="Z6114">
        <v>-2.505568E-2</v>
      </c>
      <c r="AA6114">
        <v>0.99894400000000005</v>
      </c>
      <c r="AB6114">
        <v>31</v>
      </c>
      <c r="AC6114">
        <v>-0.80619999999998904</v>
      </c>
      <c r="AD6114">
        <v>-1.1092856478415001</v>
      </c>
      <c r="AE6114">
        <v>43.617669999999997</v>
      </c>
      <c r="AF6114">
        <v>-1.70331824465907</v>
      </c>
      <c r="AG6114">
        <v>-1.1092856478415001</v>
      </c>
      <c r="AH6114">
        <v>43.563644901496701</v>
      </c>
      <c r="AI6114">
        <v>91.457526322316397</v>
      </c>
      <c r="AJ6114">
        <v>92.239097758419504</v>
      </c>
      <c r="AK6114">
        <v>43.611041776077698</v>
      </c>
      <c r="AL6114">
        <v>89.749506014396005</v>
      </c>
      <c r="AM6114">
        <v>87.979088530487402</v>
      </c>
      <c r="AN6114">
        <v>1.0000000279607</v>
      </c>
    </row>
    <row r="6115" spans="1:40" x14ac:dyDescent="0.25">
      <c r="A6115" t="str">
        <f>"20190312154725832"</f>
        <v>20190312154725832</v>
      </c>
      <c r="B6115" t="str">
        <f>"1552376845824113"</f>
        <v>1552376845824113</v>
      </c>
      <c r="C6115" t="s">
        <v>40</v>
      </c>
      <c r="D6115">
        <v>4.6257840000000003</v>
      </c>
      <c r="E6115">
        <v>0.51305840000000003</v>
      </c>
      <c r="F6115" t="s">
        <v>41</v>
      </c>
      <c r="G6115">
        <v>-188.36750000000001</v>
      </c>
      <c r="H6115">
        <v>1.0321910000000001</v>
      </c>
      <c r="I6115">
        <v>48.118870000000001</v>
      </c>
      <c r="J6115">
        <v>-188.4264</v>
      </c>
      <c r="K6115">
        <v>1.109291</v>
      </c>
      <c r="L6115">
        <v>47.512270000000001</v>
      </c>
      <c r="M6115">
        <v>2.116668E-2</v>
      </c>
      <c r="N6115">
        <v>0</v>
      </c>
      <c r="O6115">
        <v>0.99967300000000003</v>
      </c>
      <c r="P6115">
        <v>5.6319059999999997E-2</v>
      </c>
      <c r="Q6115">
        <v>-9.8513750000000008E-3</v>
      </c>
      <c r="R6115">
        <v>0.99836420000000003</v>
      </c>
      <c r="S6115">
        <v>0.21632390000000001</v>
      </c>
      <c r="T6115">
        <v>-0.25383699999999998</v>
      </c>
      <c r="U6115">
        <v>2.9902039999999999</v>
      </c>
      <c r="V6115">
        <v>3.5177849999999997E-2</v>
      </c>
      <c r="W6115">
        <v>4.4420249999999996E-3</v>
      </c>
      <c r="X6115">
        <v>0.99937120000000002</v>
      </c>
      <c r="Y6115">
        <v>5.076833E-2</v>
      </c>
      <c r="Z6115">
        <v>-8.4392990000000001E-2</v>
      </c>
      <c r="AA6115">
        <v>0.99513839999999998</v>
      </c>
      <c r="AB6115">
        <v>31</v>
      </c>
      <c r="AC6115">
        <v>5.8899999999994103E-2</v>
      </c>
      <c r="AD6115">
        <v>-7.7099999999999905E-2</v>
      </c>
      <c r="AE6115">
        <v>0.60660000000000003</v>
      </c>
      <c r="AF6115">
        <v>4.5320462776039301E-2</v>
      </c>
      <c r="AG6115">
        <v>-7.7099999999999905E-2</v>
      </c>
      <c r="AH6115">
        <v>0.59813831015957097</v>
      </c>
      <c r="AI6115">
        <v>97.324157969222696</v>
      </c>
      <c r="AJ6115">
        <v>85.667023652645298</v>
      </c>
      <c r="AK6115">
        <v>0.60478739440135698</v>
      </c>
      <c r="AL6115">
        <v>89.745489879053807</v>
      </c>
      <c r="AM6115">
        <v>87.984021842368904</v>
      </c>
      <c r="AN6115">
        <v>1.0000000040530801</v>
      </c>
    </row>
    <row r="6116" spans="1:40" x14ac:dyDescent="0.25">
      <c r="A6116" t="str">
        <f>"20190312154725854"</f>
        <v>20190312154725854</v>
      </c>
      <c r="B6116" t="str">
        <f>"1552376845844607"</f>
        <v>1552376845844607</v>
      </c>
      <c r="C6116" t="s">
        <v>40</v>
      </c>
      <c r="D6116">
        <v>4.5197599999999998</v>
      </c>
      <c r="E6116">
        <v>0.52378199999999997</v>
      </c>
      <c r="F6116" t="s">
        <v>41</v>
      </c>
      <c r="G6116">
        <v>-188.34870000000001</v>
      </c>
      <c r="H6116">
        <v>1.017604</v>
      </c>
      <c r="I6116">
        <v>48.389200000000002</v>
      </c>
      <c r="J6116">
        <v>-188.41929999999999</v>
      </c>
      <c r="K6116">
        <v>1.1093029999999999</v>
      </c>
      <c r="L6116">
        <v>47.817259999999997</v>
      </c>
      <c r="M6116">
        <v>2.1733769999999999E-2</v>
      </c>
      <c r="N6116">
        <v>0</v>
      </c>
      <c r="O6116">
        <v>0.99966089999999996</v>
      </c>
      <c r="P6116">
        <v>5.675616E-2</v>
      </c>
      <c r="Q6116">
        <v>-9.5114489999999999E-3</v>
      </c>
      <c r="R6116">
        <v>0.99834279999999997</v>
      </c>
      <c r="S6116">
        <v>0.26406859999999999</v>
      </c>
      <c r="T6116">
        <v>-0.31229479999999998</v>
      </c>
      <c r="U6116">
        <v>2.9869379999999999</v>
      </c>
      <c r="V6116">
        <v>3.5048719999999998E-2</v>
      </c>
      <c r="W6116">
        <v>4.7810539999999999E-3</v>
      </c>
      <c r="X6116">
        <v>0.99937419999999999</v>
      </c>
      <c r="Y6116">
        <v>6.5917749999999997E-2</v>
      </c>
      <c r="Z6116">
        <v>-0.1036372</v>
      </c>
      <c r="AA6116">
        <v>0.99242839999999999</v>
      </c>
      <c r="AB6116">
        <v>31</v>
      </c>
      <c r="AC6116">
        <v>7.0599999999984606E-2</v>
      </c>
      <c r="AD6116">
        <v>-9.1698999999999906E-2</v>
      </c>
      <c r="AE6116">
        <v>0.571940000000005</v>
      </c>
      <c r="AF6116">
        <v>5.6715600128717299E-2</v>
      </c>
      <c r="AG6116">
        <v>-9.1698999999999906E-2</v>
      </c>
      <c r="AH6116">
        <v>0.55918107199254596</v>
      </c>
      <c r="AI6116">
        <v>99.266221539819995</v>
      </c>
      <c r="AJ6116">
        <v>84.208513287610003</v>
      </c>
      <c r="AK6116">
        <v>0.56948120001778202</v>
      </c>
      <c r="AL6116">
        <v>89.726064749157402</v>
      </c>
      <c r="AM6116">
        <v>87.991421998106702</v>
      </c>
      <c r="AN6116">
        <v>1.00000003143831</v>
      </c>
    </row>
    <row r="6117" spans="1:40" x14ac:dyDescent="0.25">
      <c r="A6117" t="str">
        <f>"20190312154725888"</f>
        <v>20190312154725888</v>
      </c>
      <c r="B6117" t="str">
        <f>"1552376845884624"</f>
        <v>1552376845884624</v>
      </c>
      <c r="C6117" t="s">
        <v>40</v>
      </c>
      <c r="D6117">
        <v>4.4571889999999996</v>
      </c>
      <c r="E6117">
        <v>0.53010709999999905</v>
      </c>
      <c r="F6117" t="s">
        <v>41</v>
      </c>
      <c r="G6117">
        <v>-188.32220000000001</v>
      </c>
      <c r="H6117">
        <v>0.98719970000000001</v>
      </c>
      <c r="I6117">
        <v>48.651240000000001</v>
      </c>
      <c r="J6117">
        <v>-188.40790000000001</v>
      </c>
      <c r="K6117">
        <v>1.109321</v>
      </c>
      <c r="L6117">
        <v>48.295810000000003</v>
      </c>
      <c r="M6117">
        <v>2.2588150000000001E-2</v>
      </c>
      <c r="N6117">
        <v>0</v>
      </c>
      <c r="O6117">
        <v>0.99964200000000003</v>
      </c>
      <c r="P6117">
        <v>5.7323939999999997E-2</v>
      </c>
      <c r="Q6117">
        <v>-9.4844019999999994E-3</v>
      </c>
      <c r="R6117">
        <v>0.99831060000000005</v>
      </c>
      <c r="S6117">
        <v>0.34671020000000002</v>
      </c>
      <c r="T6117">
        <v>-0.43645600000000001</v>
      </c>
      <c r="U6117">
        <v>2.9811100000000001</v>
      </c>
      <c r="V6117">
        <v>3.4762729999999999E-2</v>
      </c>
      <c r="W6117">
        <v>4.8058490000000001E-3</v>
      </c>
      <c r="X6117">
        <v>0.99938400000000005</v>
      </c>
      <c r="Y6117">
        <v>9.1850749999999995E-2</v>
      </c>
      <c r="Z6117">
        <v>-0.14402719999999999</v>
      </c>
      <c r="AA6117">
        <v>0.98530180000000001</v>
      </c>
      <c r="AB6117">
        <v>31</v>
      </c>
      <c r="AC6117">
        <v>8.5700000000002705E-2</v>
      </c>
      <c r="AD6117">
        <v>-0.1221213</v>
      </c>
      <c r="AE6117">
        <v>0.35543000000000502</v>
      </c>
      <c r="AF6117">
        <v>6.9855305296985595E-2</v>
      </c>
      <c r="AG6117">
        <v>-0.1221213</v>
      </c>
      <c r="AH6117">
        <v>0.32141611692967298</v>
      </c>
      <c r="AI6117">
        <v>110.368960745873</v>
      </c>
      <c r="AJ6117">
        <v>77.738249959406701</v>
      </c>
      <c r="AK6117">
        <v>0.35085851252887401</v>
      </c>
      <c r="AL6117">
        <v>89.724644064774594</v>
      </c>
      <c r="AM6117">
        <v>88.007817820598405</v>
      </c>
      <c r="AN6117">
        <v>0.99999996151883097</v>
      </c>
    </row>
    <row r="6118" spans="1:40" x14ac:dyDescent="0.25">
      <c r="A6118" t="str">
        <f>"20190312154725911"</f>
        <v>20190312154725911</v>
      </c>
      <c r="B6118" t="str">
        <f>"1552376845904144"</f>
        <v>1552376845904144</v>
      </c>
      <c r="C6118" t="s">
        <v>40</v>
      </c>
      <c r="D6118">
        <v>4.4831519999999996</v>
      </c>
      <c r="E6118">
        <v>0.53178159999999997</v>
      </c>
      <c r="F6118" t="s">
        <v>41</v>
      </c>
      <c r="G6118">
        <v>-188.28880000000001</v>
      </c>
      <c r="H6118">
        <v>0.95671019999999896</v>
      </c>
      <c r="I6118">
        <v>49.19003</v>
      </c>
      <c r="J6118">
        <v>-188.40010000000001</v>
      </c>
      <c r="K6118">
        <v>1.109337</v>
      </c>
      <c r="L6118">
        <v>48.614170000000001</v>
      </c>
      <c r="M6118">
        <v>2.3125779999999999E-2</v>
      </c>
      <c r="N6118">
        <v>0</v>
      </c>
      <c r="O6118">
        <v>0.99962969999999896</v>
      </c>
      <c r="P6118">
        <v>5.807665E-2</v>
      </c>
      <c r="Q6118">
        <v>-9.3910920000000002E-3</v>
      </c>
      <c r="R6118">
        <v>0.99826789999999999</v>
      </c>
      <c r="S6118">
        <v>0.39646910000000002</v>
      </c>
      <c r="T6118">
        <v>-0.50814440000000005</v>
      </c>
      <c r="U6118">
        <v>2.9774780000000001</v>
      </c>
      <c r="V6118">
        <v>3.4978639999999998E-2</v>
      </c>
      <c r="W6118">
        <v>4.8978779999999996E-3</v>
      </c>
      <c r="X6118">
        <v>0.99937609999999999</v>
      </c>
      <c r="Y6118">
        <v>0.1071776</v>
      </c>
      <c r="Z6118">
        <v>-0.16696440000000001</v>
      </c>
      <c r="AA6118">
        <v>0.98012030000000006</v>
      </c>
      <c r="AB6118">
        <v>31</v>
      </c>
      <c r="AC6118">
        <v>0.111299999999999</v>
      </c>
      <c r="AD6118">
        <v>-0.15262680000000001</v>
      </c>
      <c r="AE6118">
        <v>0.57585999999999804</v>
      </c>
      <c r="AF6118">
        <v>9.1739302517921201E-2</v>
      </c>
      <c r="AG6118">
        <v>-0.15262680000000001</v>
      </c>
      <c r="AH6118">
        <v>0.54160411932895902</v>
      </c>
      <c r="AI6118">
        <v>105.527814753396</v>
      </c>
      <c r="AJ6118">
        <v>80.386237328475602</v>
      </c>
      <c r="AK6118">
        <v>0.57012810997074304</v>
      </c>
      <c r="AL6118">
        <v>89.719371151758295</v>
      </c>
      <c r="AM6118">
        <v>87.995438682835797</v>
      </c>
      <c r="AN6118">
        <v>1.00000004185818</v>
      </c>
    </row>
    <row r="6119" spans="1:40" x14ac:dyDescent="0.25">
      <c r="A6119" t="str">
        <f>"20190312154725934"</f>
        <v>20190312154725934</v>
      </c>
      <c r="B6119" t="str">
        <f>"1552376845924641"</f>
        <v>1552376845924641</v>
      </c>
      <c r="C6119" t="s">
        <v>40</v>
      </c>
      <c r="D6119">
        <v>4.4297959999999996</v>
      </c>
      <c r="E6119">
        <v>0.53308959999999905</v>
      </c>
      <c r="F6119" t="s">
        <v>41</v>
      </c>
      <c r="G6119">
        <v>-188.28200000000001</v>
      </c>
      <c r="H6119">
        <v>0.95837570000000005</v>
      </c>
      <c r="I6119">
        <v>49.467370000000003</v>
      </c>
      <c r="J6119">
        <v>-188.39230000000001</v>
      </c>
      <c r="K6119">
        <v>1.109362</v>
      </c>
      <c r="L6119">
        <v>48.924680000000002</v>
      </c>
      <c r="M6119">
        <v>2.3625509999999999E-2</v>
      </c>
      <c r="N6119">
        <v>0</v>
      </c>
      <c r="O6119">
        <v>0.99961809999999995</v>
      </c>
      <c r="P6119">
        <v>5.8924789999999998E-2</v>
      </c>
      <c r="Q6119">
        <v>-9.9201979999999999E-3</v>
      </c>
      <c r="R6119">
        <v>0.99821309999999996</v>
      </c>
      <c r="S6119">
        <v>0.41122439999999999</v>
      </c>
      <c r="T6119">
        <v>-0.52660799999999997</v>
      </c>
      <c r="U6119">
        <v>2.976318</v>
      </c>
      <c r="V6119">
        <v>3.532739E-2</v>
      </c>
      <c r="W6119">
        <v>4.3671630000000003E-3</v>
      </c>
      <c r="X6119">
        <v>0.99936619999999998</v>
      </c>
      <c r="Y6119">
        <v>0.1113628</v>
      </c>
      <c r="Z6119">
        <v>-0.17281830000000001</v>
      </c>
      <c r="AA6119">
        <v>0.97863789999999995</v>
      </c>
      <c r="AB6119">
        <v>31</v>
      </c>
      <c r="AC6119">
        <v>0.110299999999995</v>
      </c>
      <c r="AD6119">
        <v>-0.15098629999999999</v>
      </c>
      <c r="AE6119">
        <v>0.54269000000000001</v>
      </c>
      <c r="AF6119">
        <v>9.0704097245770499E-2</v>
      </c>
      <c r="AG6119">
        <v>-0.15098629999999999</v>
      </c>
      <c r="AH6119">
        <v>0.50742533328600903</v>
      </c>
      <c r="AI6119">
        <v>106.325880728835</v>
      </c>
      <c r="AJ6119">
        <v>79.865214412188195</v>
      </c>
      <c r="AK6119">
        <v>0.53712620947527501</v>
      </c>
      <c r="AL6119">
        <v>89.749779183552803</v>
      </c>
      <c r="AM6119">
        <v>87.975448974591401</v>
      </c>
      <c r="AN6119">
        <v>0.99999994914965895</v>
      </c>
    </row>
    <row r="6120" spans="1:40" x14ac:dyDescent="0.25">
      <c r="A6120" t="str">
        <f>"20190312154725955"</f>
        <v>20190312154725955</v>
      </c>
      <c r="B6120" t="str">
        <f>"1552376845944160"</f>
        <v>1552376845944160</v>
      </c>
      <c r="C6120" t="s">
        <v>40</v>
      </c>
      <c r="D6120">
        <v>4.3843550000000002</v>
      </c>
      <c r="E6120">
        <v>0.53404459999999998</v>
      </c>
      <c r="F6120" t="s">
        <v>41</v>
      </c>
      <c r="G6120">
        <v>-188.27549999999999</v>
      </c>
      <c r="H6120">
        <v>0.9597</v>
      </c>
      <c r="I6120">
        <v>49.744190000000003</v>
      </c>
      <c r="J6120">
        <v>-188.38470000000001</v>
      </c>
      <c r="K6120">
        <v>1.1093900000000001</v>
      </c>
      <c r="L6120">
        <v>49.223750000000003</v>
      </c>
      <c r="M6120">
        <v>2.406987E-2</v>
      </c>
      <c r="N6120">
        <v>0</v>
      </c>
      <c r="O6120">
        <v>0.99960760000000004</v>
      </c>
      <c r="P6120">
        <v>6.0568469999999999E-2</v>
      </c>
      <c r="Q6120">
        <v>-9.626852E-3</v>
      </c>
      <c r="R6120">
        <v>0.99811760000000005</v>
      </c>
      <c r="S6120">
        <v>0.4236298</v>
      </c>
      <c r="T6120">
        <v>-0.54329659999999902</v>
      </c>
      <c r="U6120">
        <v>2.9749759999999998</v>
      </c>
      <c r="V6120">
        <v>3.6528669999999999E-2</v>
      </c>
      <c r="W6120">
        <v>4.658031E-3</v>
      </c>
      <c r="X6120">
        <v>0.99932180000000004</v>
      </c>
      <c r="Y6120">
        <v>0.1148493</v>
      </c>
      <c r="Z6120">
        <v>-0.17811199999999999</v>
      </c>
      <c r="AA6120">
        <v>0.97728490000000001</v>
      </c>
      <c r="AB6120">
        <v>31</v>
      </c>
      <c r="AC6120">
        <v>0.10920000000001499</v>
      </c>
      <c r="AD6120">
        <v>-0.14968999999999899</v>
      </c>
      <c r="AE6120">
        <v>0.52044000000000001</v>
      </c>
      <c r="AF6120">
        <v>8.9544801615358799E-2</v>
      </c>
      <c r="AG6120">
        <v>-0.14968999999999899</v>
      </c>
      <c r="AH6120">
        <v>0.48452511643043</v>
      </c>
      <c r="AI6120">
        <v>106.898634987145</v>
      </c>
      <c r="AJ6120">
        <v>79.529340767057306</v>
      </c>
      <c r="AK6120">
        <v>0.51496597562193902</v>
      </c>
      <c r="AL6120">
        <v>89.733113531205504</v>
      </c>
      <c r="AM6120">
        <v>87.906573032809902</v>
      </c>
      <c r="AN6120">
        <v>1.00000005047</v>
      </c>
    </row>
    <row r="6121" spans="1:40" x14ac:dyDescent="0.25">
      <c r="A6121" t="str">
        <f>"20190312154725978"</f>
        <v>20190312154725978</v>
      </c>
      <c r="B6121" t="str">
        <f>"1552376845964656"</f>
        <v>1552376845964656</v>
      </c>
      <c r="C6121" t="s">
        <v>40</v>
      </c>
      <c r="D6121">
        <v>4.3519230000000002</v>
      </c>
      <c r="E6121">
        <v>0.53481829999999997</v>
      </c>
      <c r="F6121" t="s">
        <v>41</v>
      </c>
      <c r="G6121">
        <v>-188.26779999999999</v>
      </c>
      <c r="H6121">
        <v>0.96085679999999996</v>
      </c>
      <c r="I6121">
        <v>50.020589999999999</v>
      </c>
      <c r="J6121">
        <v>-188.3767</v>
      </c>
      <c r="K6121">
        <v>1.1094349999999999</v>
      </c>
      <c r="L6121">
        <v>49.53848</v>
      </c>
      <c r="M6121">
        <v>2.4484410000000002E-2</v>
      </c>
      <c r="N6121">
        <v>0</v>
      </c>
      <c r="O6121">
        <v>0.99959750000000003</v>
      </c>
      <c r="P6121">
        <v>6.2387020000000001E-2</v>
      </c>
      <c r="Q6121">
        <v>-8.5958739999999999E-3</v>
      </c>
      <c r="R6121">
        <v>0.99801499999999999</v>
      </c>
      <c r="S6121">
        <v>0.43560789999999999</v>
      </c>
      <c r="T6121">
        <v>-0.55433750000000004</v>
      </c>
      <c r="U6121">
        <v>2.9738769999999999</v>
      </c>
      <c r="V6121">
        <v>3.793531E-2</v>
      </c>
      <c r="W6121">
        <v>5.6870319999999999E-3</v>
      </c>
      <c r="X6121">
        <v>0.99926400000000004</v>
      </c>
      <c r="Y6121">
        <v>0.118251</v>
      </c>
      <c r="Z6121">
        <v>-0.18158750000000001</v>
      </c>
      <c r="AA6121">
        <v>0.97623910000000003</v>
      </c>
      <c r="AB6121">
        <v>31</v>
      </c>
      <c r="AC6121">
        <v>0.10890000000000501</v>
      </c>
      <c r="AD6121">
        <v>-0.14857819999999899</v>
      </c>
      <c r="AE6121">
        <v>0.48211000000000498</v>
      </c>
      <c r="AF6121">
        <v>8.9017762298085903E-2</v>
      </c>
      <c r="AG6121">
        <v>-0.14857819999999899</v>
      </c>
      <c r="AH6121">
        <v>0.44446726721833102</v>
      </c>
      <c r="AI6121">
        <v>108.147828503599</v>
      </c>
      <c r="AJ6121">
        <v>78.674660166831202</v>
      </c>
      <c r="AK6121">
        <v>0.47702284552034802</v>
      </c>
      <c r="AL6121">
        <v>89.674155307399701</v>
      </c>
      <c r="AM6121">
        <v>87.825909981664694</v>
      </c>
      <c r="AN6121">
        <v>0.99999998588688199</v>
      </c>
    </row>
    <row r="6122" spans="1:40" x14ac:dyDescent="0.25">
      <c r="A6122" t="str">
        <f>"20190312154726002"</f>
        <v>20190312154726002</v>
      </c>
      <c r="B6122" t="str">
        <f>"1552376845993936"</f>
        <v>1552376845993936</v>
      </c>
      <c r="C6122" t="s">
        <v>40</v>
      </c>
      <c r="D6122">
        <v>4.3353020000000004</v>
      </c>
      <c r="E6122">
        <v>0.53464560000000005</v>
      </c>
      <c r="F6122" t="s">
        <v>41</v>
      </c>
      <c r="G6122">
        <v>-188.26240000000001</v>
      </c>
      <c r="H6122">
        <v>0.96605680000000005</v>
      </c>
      <c r="I6122">
        <v>50.298670000000001</v>
      </c>
      <c r="J6122">
        <v>-188.3681</v>
      </c>
      <c r="K6122">
        <v>1.109494</v>
      </c>
      <c r="L6122">
        <v>49.869230000000002</v>
      </c>
      <c r="M6122">
        <v>2.4848680000000001E-2</v>
      </c>
      <c r="N6122">
        <v>0</v>
      </c>
      <c r="O6122">
        <v>0.99958860000000005</v>
      </c>
      <c r="P6122">
        <v>6.4764470000000005E-2</v>
      </c>
      <c r="Q6122">
        <v>-7.1040349999999999E-3</v>
      </c>
      <c r="R6122">
        <v>0.99787530000000002</v>
      </c>
      <c r="S6122">
        <v>0.44665529999999998</v>
      </c>
      <c r="T6122">
        <v>-0.56077489999999997</v>
      </c>
      <c r="U6122">
        <v>2.9732059999999998</v>
      </c>
      <c r="V6122">
        <v>3.9951819999999999E-2</v>
      </c>
      <c r="W6122">
        <v>7.1771159999999999E-3</v>
      </c>
      <c r="X6122">
        <v>0.99917579999999995</v>
      </c>
      <c r="Y6122">
        <v>0.12141449999999999</v>
      </c>
      <c r="Z6122">
        <v>-0.18357889999999999</v>
      </c>
      <c r="AA6122">
        <v>0.97547799999999996</v>
      </c>
      <c r="AB6122">
        <v>31</v>
      </c>
      <c r="AC6122">
        <v>0.105699999999984</v>
      </c>
      <c r="AD6122">
        <v>-0.14343719999999899</v>
      </c>
      <c r="AE6122">
        <v>0.42943999999999899</v>
      </c>
      <c r="AF6122">
        <v>8.5953770234849194E-2</v>
      </c>
      <c r="AG6122">
        <v>-0.14343719999999899</v>
      </c>
      <c r="AH6122">
        <v>0.390823445416496</v>
      </c>
      <c r="AI6122">
        <v>109.72002893657201</v>
      </c>
      <c r="AJ6122">
        <v>77.596411288159103</v>
      </c>
      <c r="AK6122">
        <v>0.42509439710333302</v>
      </c>
      <c r="AL6122">
        <v>89.588778000961099</v>
      </c>
      <c r="AM6122">
        <v>87.7102608667862</v>
      </c>
      <c r="AN6122">
        <v>0.99999996911051403</v>
      </c>
    </row>
    <row r="6123" spans="1:40" x14ac:dyDescent="0.25">
      <c r="A6123" t="str">
        <f>"20190312154726021"</f>
        <v>20190312154726021</v>
      </c>
      <c r="B6123" t="str">
        <f>"1552376846014433"</f>
        <v>1552376846014433</v>
      </c>
      <c r="C6123" t="s">
        <v>40</v>
      </c>
      <c r="D6123">
        <v>4.3160540000000003</v>
      </c>
      <c r="E6123">
        <v>0.49884119999999998</v>
      </c>
      <c r="F6123" t="s">
        <v>41</v>
      </c>
      <c r="G6123">
        <v>-188.2602</v>
      </c>
      <c r="H6123">
        <v>0.97640660000000001</v>
      </c>
      <c r="I6123">
        <v>50.578949999999999</v>
      </c>
      <c r="J6123">
        <v>-188.3613</v>
      </c>
      <c r="K6123">
        <v>1.1095600000000001</v>
      </c>
      <c r="L6123">
        <v>50.131129999999999</v>
      </c>
      <c r="M6123">
        <v>2.5067409999999998E-2</v>
      </c>
      <c r="N6123">
        <v>0</v>
      </c>
      <c r="O6123">
        <v>0.99958320000000001</v>
      </c>
      <c r="P6123">
        <v>6.6614140000000002E-2</v>
      </c>
      <c r="Q6123">
        <v>-5.5395919999999899E-3</v>
      </c>
      <c r="R6123">
        <v>0.99776350000000003</v>
      </c>
      <c r="S6123">
        <v>0.45172119999999999</v>
      </c>
      <c r="T6123">
        <v>-0.55752279999999999</v>
      </c>
      <c r="U6123">
        <v>2.9731139999999998</v>
      </c>
      <c r="V6123">
        <v>4.1585209999999997E-2</v>
      </c>
      <c r="W6123">
        <v>8.7420459999999998E-3</v>
      </c>
      <c r="X6123">
        <v>0.99909669999999895</v>
      </c>
      <c r="Y6123">
        <v>0.12285649999999999</v>
      </c>
      <c r="Z6123">
        <v>-0.1825155</v>
      </c>
      <c r="AA6123">
        <v>0.97549699999999995</v>
      </c>
      <c r="AB6123">
        <v>31</v>
      </c>
      <c r="AC6123">
        <v>0.10110000000000199</v>
      </c>
      <c r="AD6123">
        <v>-0.13315340000000001</v>
      </c>
      <c r="AE6123">
        <v>0.44782</v>
      </c>
      <c r="AF6123">
        <v>8.2870201268035001E-2</v>
      </c>
      <c r="AG6123">
        <v>-0.13315340000000001</v>
      </c>
      <c r="AH6123">
        <v>0.41527977395130899</v>
      </c>
      <c r="AI6123">
        <v>107.45501974167701</v>
      </c>
      <c r="AJ6123">
        <v>78.714712190092598</v>
      </c>
      <c r="AK6123">
        <v>0.44390831130179997</v>
      </c>
      <c r="AL6123">
        <v>89.499111272057206</v>
      </c>
      <c r="AM6123">
        <v>87.616564542268307</v>
      </c>
      <c r="AN6123">
        <v>0.99999998450494898</v>
      </c>
    </row>
    <row r="6124" spans="1:40" x14ac:dyDescent="0.25">
      <c r="A6124" t="str">
        <f>"20190312154726044"</f>
        <v>20190312154726044</v>
      </c>
      <c r="B6124" t="str">
        <f>"1552376846033952"</f>
        <v>1552376846033952</v>
      </c>
      <c r="C6124" t="s">
        <v>40</v>
      </c>
      <c r="D6124">
        <v>4.3227789999999997</v>
      </c>
      <c r="E6124">
        <v>0.49095519999999998</v>
      </c>
      <c r="F6124" t="s">
        <v>42</v>
      </c>
      <c r="G6124">
        <v>-186.6841</v>
      </c>
      <c r="H6124" s="1">
        <v>-3.750527E-6</v>
      </c>
      <c r="I6124">
        <v>77.004249999999999</v>
      </c>
      <c r="J6124">
        <v>-188.35339999999999</v>
      </c>
      <c r="K6124">
        <v>1.1096360000000001</v>
      </c>
      <c r="L6124">
        <v>50.43835</v>
      </c>
      <c r="M6124">
        <v>2.5245879999999998E-2</v>
      </c>
      <c r="N6124">
        <v>0</v>
      </c>
      <c r="O6124">
        <v>0.99957870000000004</v>
      </c>
      <c r="P6124">
        <v>6.8475919999999996E-2</v>
      </c>
      <c r="Q6124">
        <v>-3.8164520000000001E-3</v>
      </c>
      <c r="R6124">
        <v>0.99764549999999996</v>
      </c>
      <c r="S6124">
        <v>0.18684390000000001</v>
      </c>
      <c r="T6124">
        <v>-0.12360110000000001</v>
      </c>
      <c r="U6124">
        <v>2.9935610000000001</v>
      </c>
      <c r="V6124">
        <v>4.3270389999999999E-2</v>
      </c>
      <c r="W6124">
        <v>1.046716E-2</v>
      </c>
      <c r="X6124">
        <v>0.99900849999999997</v>
      </c>
      <c r="Y6124">
        <v>3.7021900000000003E-2</v>
      </c>
      <c r="Z6124">
        <v>-4.1180000000000001E-2</v>
      </c>
      <c r="AA6124">
        <v>0.99846559999999995</v>
      </c>
      <c r="AB6124">
        <v>31</v>
      </c>
      <c r="AC6124">
        <v>1.66929999999999</v>
      </c>
      <c r="AD6124">
        <v>-1.1096397505269999</v>
      </c>
      <c r="AE6124">
        <v>26.565899999999999</v>
      </c>
      <c r="AF6124">
        <v>0.99628817202643405</v>
      </c>
      <c r="AG6124">
        <v>-1.1096397505269999</v>
      </c>
      <c r="AH6124">
        <v>26.5534332789858</v>
      </c>
      <c r="AI6124">
        <v>92.391256817141198</v>
      </c>
      <c r="AJ6124">
        <v>87.851263036201502</v>
      </c>
      <c r="AK6124">
        <v>26.595276073002498</v>
      </c>
      <c r="AL6124">
        <v>89.400264918230206</v>
      </c>
      <c r="AM6124">
        <v>87.5198788625014</v>
      </c>
      <c r="AN6124">
        <v>0.99999993558073097</v>
      </c>
    </row>
    <row r="6125" spans="1:40" x14ac:dyDescent="0.25">
      <c r="A6125" t="str">
        <f>"20190312154726066"</f>
        <v>20190312154726066</v>
      </c>
      <c r="B6125" t="str">
        <f>"1552376846054449"</f>
        <v>1552376846054449</v>
      </c>
      <c r="C6125" t="s">
        <v>40</v>
      </c>
      <c r="D6125">
        <v>4.3567790000000004</v>
      </c>
      <c r="E6125">
        <v>0.48755169999999998</v>
      </c>
      <c r="F6125" t="s">
        <v>42</v>
      </c>
      <c r="G6125">
        <v>-186.0909</v>
      </c>
      <c r="H6125" s="1">
        <v>-1.8440959999999999E-6</v>
      </c>
      <c r="I6125">
        <v>102.0106</v>
      </c>
      <c r="J6125">
        <v>-188.34569999999999</v>
      </c>
      <c r="K6125">
        <v>1.109704</v>
      </c>
      <c r="L6125">
        <v>50.738430000000001</v>
      </c>
      <c r="M6125">
        <v>2.534347E-2</v>
      </c>
      <c r="N6125">
        <v>0</v>
      </c>
      <c r="O6125">
        <v>0.99957629999999997</v>
      </c>
      <c r="P6125">
        <v>6.9549459999999994E-2</v>
      </c>
      <c r="Q6125">
        <v>-2.746812E-3</v>
      </c>
      <c r="R6125">
        <v>0.99757470000000004</v>
      </c>
      <c r="S6125">
        <v>0.13151550000000001</v>
      </c>
      <c r="T6125">
        <v>-6.4501290000000003E-2</v>
      </c>
      <c r="U6125">
        <v>2.9978030000000002</v>
      </c>
      <c r="V6125">
        <v>4.4246590000000002E-2</v>
      </c>
      <c r="W6125">
        <v>1.1539499999999999E-2</v>
      </c>
      <c r="X6125">
        <v>0.99895400000000001</v>
      </c>
      <c r="Y6125">
        <v>1.848257E-2</v>
      </c>
      <c r="Z6125">
        <v>-2.148868E-2</v>
      </c>
      <c r="AA6125">
        <v>0.99959830000000005</v>
      </c>
      <c r="AB6125">
        <v>31</v>
      </c>
      <c r="AC6125">
        <v>2.2547999999999799</v>
      </c>
      <c r="AD6125">
        <v>-1.1097058440959999</v>
      </c>
      <c r="AE6125">
        <v>51.272170000000003</v>
      </c>
      <c r="AF6125">
        <v>0.95408168356294099</v>
      </c>
      <c r="AG6125">
        <v>-1.1097058440959999</v>
      </c>
      <c r="AH6125">
        <v>51.288869160114402</v>
      </c>
      <c r="AI6125">
        <v>91.239265962252503</v>
      </c>
      <c r="AJ6125">
        <v>88.934299964204101</v>
      </c>
      <c r="AK6125">
        <v>51.309743895703299</v>
      </c>
      <c r="AL6125">
        <v>89.338820682902295</v>
      </c>
      <c r="AM6125">
        <v>87.463860251693504</v>
      </c>
      <c r="AN6125">
        <v>1.0000000074514299</v>
      </c>
    </row>
    <row r="6126" spans="1:40" x14ac:dyDescent="0.25">
      <c r="A6126" t="str">
        <f>"20190312154726088"</f>
        <v>20190312154726088</v>
      </c>
      <c r="B6126" t="str">
        <f>"1552376846084704"</f>
        <v>1552376846084704</v>
      </c>
      <c r="C6126" t="s">
        <v>40</v>
      </c>
      <c r="D6126">
        <v>4.2748720000000002</v>
      </c>
      <c r="E6126">
        <v>0.48506159999999998</v>
      </c>
      <c r="F6126" t="s">
        <v>42</v>
      </c>
      <c r="G6126">
        <v>-185.90719999999999</v>
      </c>
      <c r="H6126" s="1">
        <v>-4.497632E-6</v>
      </c>
      <c r="I6126">
        <v>118.4246</v>
      </c>
      <c r="J6126">
        <v>-188.33760000000001</v>
      </c>
      <c r="K6126">
        <v>1.1097629999999901</v>
      </c>
      <c r="L6126">
        <v>51.051969999999997</v>
      </c>
      <c r="M6126">
        <v>2.538694E-2</v>
      </c>
      <c r="N6126">
        <v>0</v>
      </c>
      <c r="O6126">
        <v>0.99957530000000006</v>
      </c>
      <c r="P6126">
        <v>6.9645299999999993E-2</v>
      </c>
      <c r="Q6126">
        <v>-2.2599510000000001E-3</v>
      </c>
      <c r="R6126">
        <v>0.99756929999999999</v>
      </c>
      <c r="S6126">
        <v>0.1080627</v>
      </c>
      <c r="T6126">
        <v>-4.9178239999999998E-2</v>
      </c>
      <c r="U6126">
        <v>2.999603</v>
      </c>
      <c r="V6126">
        <v>4.4297740000000002E-2</v>
      </c>
      <c r="W6126">
        <v>1.2028230000000001E-2</v>
      </c>
      <c r="X6126">
        <v>0.998946</v>
      </c>
      <c r="Y6126">
        <v>1.06128E-2</v>
      </c>
      <c r="Z6126">
        <v>-1.6379009999999999E-2</v>
      </c>
      <c r="AA6126">
        <v>0.99980950000000002</v>
      </c>
      <c r="AB6126">
        <v>31</v>
      </c>
      <c r="AC6126">
        <v>2.4304000000000201</v>
      </c>
      <c r="AD6126">
        <v>-1.10976749763199</v>
      </c>
      <c r="AE6126">
        <v>67.372629999999901</v>
      </c>
      <c r="AF6126">
        <v>0.718861706216126</v>
      </c>
      <c r="AG6126">
        <v>-1.10976749763199</v>
      </c>
      <c r="AH6126">
        <v>67.394355758900403</v>
      </c>
      <c r="AI6126">
        <v>90.943337629353707</v>
      </c>
      <c r="AJ6126">
        <v>89.3888779048483</v>
      </c>
      <c r="AK6126">
        <v>67.407325523333895</v>
      </c>
      <c r="AL6126">
        <v>89.310816594214302</v>
      </c>
      <c r="AM6126">
        <v>87.4609119474799</v>
      </c>
      <c r="AN6126">
        <v>1.00000003950101</v>
      </c>
    </row>
    <row r="6127" spans="1:40" x14ac:dyDescent="0.25">
      <c r="A6127" t="str">
        <f>"20190312154726121"</f>
        <v>20190312154726121</v>
      </c>
      <c r="B6127" t="str">
        <f>"1552376846113984"</f>
        <v>1552376846113984</v>
      </c>
      <c r="C6127" t="s">
        <v>40</v>
      </c>
      <c r="D6127">
        <v>4.3445419999999997</v>
      </c>
      <c r="E6127">
        <v>0.48336659999999998</v>
      </c>
      <c r="F6127" t="s">
        <v>52</v>
      </c>
      <c r="G6127">
        <v>-186.03700000000001</v>
      </c>
      <c r="H6127" s="1">
        <v>-4.772604E-6</v>
      </c>
      <c r="I6127">
        <v>128.89009999999999</v>
      </c>
      <c r="J6127">
        <v>-188.3262</v>
      </c>
      <c r="K6127">
        <v>1.109828</v>
      </c>
      <c r="L6127">
        <v>51.501370000000001</v>
      </c>
      <c r="M6127">
        <v>2.534788E-2</v>
      </c>
      <c r="N6127">
        <v>0</v>
      </c>
      <c r="O6127">
        <v>0.99957629999999997</v>
      </c>
      <c r="P6127">
        <v>6.8352179999999998E-2</v>
      </c>
      <c r="Q6127">
        <v>-1.0908160000000001E-3</v>
      </c>
      <c r="R6127">
        <v>0.99766060000000001</v>
      </c>
      <c r="S6127">
        <v>8.8699340000000002E-2</v>
      </c>
      <c r="T6127">
        <v>-4.2786480000000002E-2</v>
      </c>
      <c r="U6127">
        <v>3.001007</v>
      </c>
      <c r="V6127">
        <v>4.3040059999999998E-2</v>
      </c>
      <c r="W6127">
        <v>1.319973E-2</v>
      </c>
      <c r="X6127">
        <v>0.99898609999999999</v>
      </c>
      <c r="Y6127">
        <v>4.191719E-3</v>
      </c>
      <c r="Z6127">
        <v>-1.4245880000000001E-2</v>
      </c>
      <c r="AA6127">
        <v>0.99988969999999999</v>
      </c>
      <c r="AB6127">
        <v>31</v>
      </c>
      <c r="AC6127">
        <v>2.2891999999999899</v>
      </c>
      <c r="AD6127">
        <v>-1.109832772604</v>
      </c>
      <c r="AE6127">
        <v>77.388729999999896</v>
      </c>
      <c r="AF6127">
        <v>0.32655615471813598</v>
      </c>
      <c r="AG6127">
        <v>-1.109832772604</v>
      </c>
      <c r="AH6127">
        <v>77.405985752144801</v>
      </c>
      <c r="AI6127">
        <v>90.821432743654697</v>
      </c>
      <c r="AJ6127">
        <v>89.758285121518597</v>
      </c>
      <c r="AK6127">
        <v>77.414630387069394</v>
      </c>
      <c r="AL6127">
        <v>89.2436891819046</v>
      </c>
      <c r="AM6127">
        <v>87.533009045022993</v>
      </c>
      <c r="AN6127">
        <v>0.99999995381504203</v>
      </c>
    </row>
    <row r="6128" spans="1:40" x14ac:dyDescent="0.25">
      <c r="A6128" t="str">
        <f>"20190312154726146"</f>
        <v>20190312154726146</v>
      </c>
      <c r="B6128" t="str">
        <f>"1552376846134480"</f>
        <v>1552376846134480</v>
      </c>
      <c r="C6128" t="s">
        <v>40</v>
      </c>
      <c r="D6128">
        <v>4.3309059999999997</v>
      </c>
      <c r="E6128">
        <v>0.48244389999999998</v>
      </c>
      <c r="F6128" t="s">
        <v>52</v>
      </c>
      <c r="G6128">
        <v>-186.4331</v>
      </c>
      <c r="H6128" s="1">
        <v>-5.5643180000000003E-6</v>
      </c>
      <c r="I6128">
        <v>131.20490000000001</v>
      </c>
      <c r="J6128">
        <v>-188.31809999999999</v>
      </c>
      <c r="K6128">
        <v>1.1098749999999999</v>
      </c>
      <c r="L6128">
        <v>51.824890000000003</v>
      </c>
      <c r="M6128">
        <v>2.524042E-2</v>
      </c>
      <c r="N6128">
        <v>0</v>
      </c>
      <c r="O6128">
        <v>0.99957910000000005</v>
      </c>
      <c r="P6128">
        <v>6.7256090000000004E-2</v>
      </c>
      <c r="Q6128">
        <v>-1.309672E-3</v>
      </c>
      <c r="R6128">
        <v>0.99773489999999998</v>
      </c>
      <c r="S6128">
        <v>7.1304320000000004E-2</v>
      </c>
      <c r="T6128">
        <v>-4.1802880000000001E-2</v>
      </c>
      <c r="U6128">
        <v>3.0021059999999999</v>
      </c>
      <c r="V6128">
        <v>4.204836E-2</v>
      </c>
      <c r="W6128">
        <v>1.298326E-2</v>
      </c>
      <c r="X6128">
        <v>0.99903120000000001</v>
      </c>
      <c r="Y6128">
        <v>-1.5010170000000001E-3</v>
      </c>
      <c r="Z6128">
        <v>-1.3914549999999999E-2</v>
      </c>
      <c r="AA6128">
        <v>0.99990210000000002</v>
      </c>
      <c r="AB6128">
        <v>31</v>
      </c>
      <c r="AC6128">
        <v>1.88499999999999</v>
      </c>
      <c r="AD6128">
        <v>-1.1098805643180001</v>
      </c>
      <c r="AE6128">
        <v>79.380009999999999</v>
      </c>
      <c r="AF6128">
        <v>-0.11936707720404301</v>
      </c>
      <c r="AG6128">
        <v>-1.1098805643180001</v>
      </c>
      <c r="AH6128">
        <v>79.386787415887099</v>
      </c>
      <c r="AI6128">
        <v>90.800980359636995</v>
      </c>
      <c r="AJ6128">
        <v>90.086150665684599</v>
      </c>
      <c r="AK6128">
        <v>79.394635206551698</v>
      </c>
      <c r="AL6128">
        <v>89.256093085399598</v>
      </c>
      <c r="AM6128">
        <v>87.589892639426196</v>
      </c>
      <c r="AN6128">
        <v>0.99999998409617796</v>
      </c>
    </row>
    <row r="6129" spans="1:40" x14ac:dyDescent="0.25">
      <c r="A6129" t="str">
        <f>"20190312154726168"</f>
        <v>20190312154726168</v>
      </c>
      <c r="B6129" t="str">
        <f>"1552376846164737"</f>
        <v>1552376846164737</v>
      </c>
      <c r="C6129" t="s">
        <v>40</v>
      </c>
      <c r="D6129">
        <v>4.3346539999999996</v>
      </c>
      <c r="E6129">
        <v>0.48153809999999903</v>
      </c>
      <c r="F6129" t="s">
        <v>52</v>
      </c>
      <c r="G6129">
        <v>-186.9075</v>
      </c>
      <c r="H6129" s="1">
        <v>-1.667663E-6</v>
      </c>
      <c r="I6129">
        <v>121.8836</v>
      </c>
      <c r="J6129">
        <v>-188.31020000000001</v>
      </c>
      <c r="K6129">
        <v>1.109926</v>
      </c>
      <c r="L6129">
        <v>52.143680000000003</v>
      </c>
      <c r="M6129">
        <v>2.507117E-2</v>
      </c>
      <c r="N6129">
        <v>0</v>
      </c>
      <c r="O6129">
        <v>0.99958340000000001</v>
      </c>
      <c r="P6129">
        <v>6.5972069999999994E-2</v>
      </c>
      <c r="Q6129">
        <v>-1.788911E-3</v>
      </c>
      <c r="R6129">
        <v>0.99781980000000003</v>
      </c>
      <c r="S6129">
        <v>6.045532E-2</v>
      </c>
      <c r="T6129">
        <v>-4.7568800000000001E-2</v>
      </c>
      <c r="U6129">
        <v>3.0026860000000002</v>
      </c>
      <c r="V6129">
        <v>4.0930220000000003E-2</v>
      </c>
      <c r="W6129">
        <v>1.250646E-2</v>
      </c>
      <c r="X6129">
        <v>0.99908379999999997</v>
      </c>
      <c r="Y6129">
        <v>-4.9478400000000002E-3</v>
      </c>
      <c r="Z6129">
        <v>-1.583093E-2</v>
      </c>
      <c r="AA6129">
        <v>0.99986240000000004</v>
      </c>
      <c r="AB6129">
        <v>31</v>
      </c>
      <c r="AC6129">
        <v>1.40270000000001</v>
      </c>
      <c r="AD6129">
        <v>-1.1099276676630001</v>
      </c>
      <c r="AE6129">
        <v>69.739919999999998</v>
      </c>
      <c r="AF6129">
        <v>-0.34629348887355199</v>
      </c>
      <c r="AG6129">
        <v>-1.1099276676630001</v>
      </c>
      <c r="AH6129">
        <v>69.735508503908406</v>
      </c>
      <c r="AI6129">
        <v>90.911845617564396</v>
      </c>
      <c r="AJ6129">
        <v>90.284517783317796</v>
      </c>
      <c r="AK6129">
        <v>69.745200586897397</v>
      </c>
      <c r="AL6129">
        <v>89.283413992102993</v>
      </c>
      <c r="AM6129">
        <v>87.654032432115599</v>
      </c>
      <c r="AN6129">
        <v>1.0000000669367</v>
      </c>
    </row>
    <row r="6130" spans="1:40" x14ac:dyDescent="0.25">
      <c r="A6130" t="str">
        <f>"20190312154726212"</f>
        <v>20190312154726212</v>
      </c>
      <c r="B6130" t="str">
        <f>"1552376846204752"</f>
        <v>1552376846204752</v>
      </c>
      <c r="C6130" t="s">
        <v>40</v>
      </c>
      <c r="D6130">
        <v>4.3514900000000001</v>
      </c>
      <c r="E6130">
        <v>0.48062139999999998</v>
      </c>
      <c r="F6130" t="s">
        <v>42</v>
      </c>
      <c r="G6130">
        <v>-187.30179999999999</v>
      </c>
      <c r="H6130" s="1">
        <v>-2.1839820000000001E-6</v>
      </c>
      <c r="I6130">
        <v>113.608</v>
      </c>
      <c r="J6130">
        <v>-188.29589999999999</v>
      </c>
      <c r="K6130">
        <v>1.1100209999999999</v>
      </c>
      <c r="L6130">
        <v>52.73019</v>
      </c>
      <c r="M6130">
        <v>2.4639149999999999E-2</v>
      </c>
      <c r="N6130">
        <v>0</v>
      </c>
      <c r="O6130">
        <v>0.99959419999999999</v>
      </c>
      <c r="P6130">
        <v>6.3637639999999995E-2</v>
      </c>
      <c r="Q6130">
        <v>-1.2642440000000001E-3</v>
      </c>
      <c r="R6130">
        <v>0.99797219999999998</v>
      </c>
      <c r="S6130">
        <v>4.9270630000000003E-2</v>
      </c>
      <c r="T6130">
        <v>-5.4232120000000002E-2</v>
      </c>
      <c r="U6130">
        <v>3.0032040000000002</v>
      </c>
      <c r="V6130">
        <v>3.9021729999999998E-2</v>
      </c>
      <c r="W6130">
        <v>1.3034280000000001E-2</v>
      </c>
      <c r="X6130">
        <v>0.99915339999999997</v>
      </c>
      <c r="Y6130">
        <v>-8.2421930000000001E-3</v>
      </c>
      <c r="Z6130">
        <v>-1.80454E-2</v>
      </c>
      <c r="AA6130">
        <v>0.9998032</v>
      </c>
      <c r="AB6130">
        <v>30</v>
      </c>
      <c r="AC6130">
        <v>0.99410000000000298</v>
      </c>
      <c r="AD6130">
        <v>-1.1100231839819901</v>
      </c>
      <c r="AE6130">
        <v>60.877809999999897</v>
      </c>
      <c r="AF6130">
        <v>-0.50616439748297803</v>
      </c>
      <c r="AG6130">
        <v>-1.1100231839819901</v>
      </c>
      <c r="AH6130">
        <v>60.863590987889097</v>
      </c>
      <c r="AI6130">
        <v>91.044801891705703</v>
      </c>
      <c r="AJ6130">
        <v>90.476482157572903</v>
      </c>
      <c r="AK6130">
        <v>60.875816723944801</v>
      </c>
      <c r="AL6130">
        <v>89.253169658243394</v>
      </c>
      <c r="AM6130">
        <v>87.7634617973942</v>
      </c>
      <c r="AN6130">
        <v>1.0000000522994299</v>
      </c>
    </row>
    <row r="6131" spans="1:40" x14ac:dyDescent="0.25">
      <c r="A6131" t="str">
        <f>"20190312154726233"</f>
        <v>20190312154726233</v>
      </c>
      <c r="B6131" t="str">
        <f>"1552376846224273"</f>
        <v>1552376846224273</v>
      </c>
      <c r="C6131" t="s">
        <v>40</v>
      </c>
      <c r="D6131">
        <v>4.3681890000000001</v>
      </c>
      <c r="E6131">
        <v>0.48032570000000002</v>
      </c>
      <c r="F6131" t="s">
        <v>42</v>
      </c>
      <c r="G6131">
        <v>-187.61500000000001</v>
      </c>
      <c r="H6131" s="1">
        <v>-1.2633080000000001E-6</v>
      </c>
      <c r="I6131">
        <v>111.4956</v>
      </c>
      <c r="J6131">
        <v>-188.28919999999999</v>
      </c>
      <c r="K6131">
        <v>1.110052</v>
      </c>
      <c r="L6131">
        <v>53.013579999999997</v>
      </c>
      <c r="M6131">
        <v>2.4375890000000001E-2</v>
      </c>
      <c r="N6131">
        <v>0</v>
      </c>
      <c r="O6131">
        <v>0.99960070000000001</v>
      </c>
      <c r="P6131">
        <v>6.2579860000000001E-2</v>
      </c>
      <c r="Q6131">
        <v>-1.8781780000000001E-4</v>
      </c>
      <c r="R6131">
        <v>0.99804000000000004</v>
      </c>
      <c r="S6131">
        <v>3.4805299999999997E-2</v>
      </c>
      <c r="T6131">
        <v>-5.6739209999999998E-2</v>
      </c>
      <c r="U6131">
        <v>3.0038149999999999</v>
      </c>
      <c r="V6131">
        <v>3.8224250000000001E-2</v>
      </c>
      <c r="W6131">
        <v>1.41104E-2</v>
      </c>
      <c r="X6131">
        <v>0.99916950000000004</v>
      </c>
      <c r="Y6131">
        <v>-1.279599E-2</v>
      </c>
      <c r="Z6131">
        <v>-1.8875860000000001E-2</v>
      </c>
      <c r="AA6131">
        <v>0.99973990000000001</v>
      </c>
      <c r="AB6131">
        <v>30</v>
      </c>
      <c r="AC6131">
        <v>0.67419999999998403</v>
      </c>
      <c r="AD6131">
        <v>-1.110053263308</v>
      </c>
      <c r="AE6131">
        <v>58.482019999999899</v>
      </c>
      <c r="AF6131">
        <v>-0.75142657831457904</v>
      </c>
      <c r="AG6131">
        <v>-1.110053263308</v>
      </c>
      <c r="AH6131">
        <v>58.460015921533397</v>
      </c>
      <c r="AI6131">
        <v>91.087725897743994</v>
      </c>
      <c r="AJ6131">
        <v>90.736421296578698</v>
      </c>
      <c r="AK6131">
        <v>58.475382185120601</v>
      </c>
      <c r="AL6131">
        <v>89.191506756366195</v>
      </c>
      <c r="AM6131">
        <v>87.809159784894803</v>
      </c>
      <c r="AN6131">
        <v>0.99999994320323404</v>
      </c>
    </row>
    <row r="6132" spans="1:40" x14ac:dyDescent="0.25">
      <c r="A6132" t="str">
        <f>"20190312154726256"</f>
        <v>20190312154726256</v>
      </c>
      <c r="B6132" t="str">
        <f>"1552376846244769"</f>
        <v>1552376846244769</v>
      </c>
      <c r="C6132" t="s">
        <v>40</v>
      </c>
      <c r="D6132">
        <v>4.3786579999999997</v>
      </c>
      <c r="E6132">
        <v>0.48017530000000003</v>
      </c>
      <c r="F6132" t="s">
        <v>42</v>
      </c>
      <c r="G6132">
        <v>-187.6996</v>
      </c>
      <c r="H6132" s="1">
        <v>-2.0662659999999999E-6</v>
      </c>
      <c r="I6132">
        <v>113.49809999999999</v>
      </c>
      <c r="J6132">
        <v>-188.2818</v>
      </c>
      <c r="K6132">
        <v>1.1100890000000001</v>
      </c>
      <c r="L6132">
        <v>53.32996</v>
      </c>
      <c r="M6132">
        <v>2.404593E-2</v>
      </c>
      <c r="N6132">
        <v>0</v>
      </c>
      <c r="O6132">
        <v>0.99960879999999996</v>
      </c>
      <c r="P6132">
        <v>6.2102659999999997E-2</v>
      </c>
      <c r="Q6132">
        <v>7.2280719999999997E-4</v>
      </c>
      <c r="R6132">
        <v>0.99806950000000005</v>
      </c>
      <c r="S6132">
        <v>2.9281620000000001E-2</v>
      </c>
      <c r="T6132">
        <v>-5.5132029999999999E-2</v>
      </c>
      <c r="U6132">
        <v>3.0040279999999999</v>
      </c>
      <c r="V6132">
        <v>3.807485E-2</v>
      </c>
      <c r="W6132">
        <v>1.502059E-2</v>
      </c>
      <c r="X6132">
        <v>0.99916199999999999</v>
      </c>
      <c r="Y6132">
        <v>-1.430472E-2</v>
      </c>
      <c r="Z6132">
        <v>-1.834028E-2</v>
      </c>
      <c r="AA6132">
        <v>0.99972950000000005</v>
      </c>
      <c r="AB6132">
        <v>30</v>
      </c>
      <c r="AC6132">
        <v>0.58220000000000005</v>
      </c>
      <c r="AD6132">
        <v>-1.110091066266</v>
      </c>
      <c r="AE6132">
        <v>60.168140000000001</v>
      </c>
      <c r="AF6132">
        <v>-0.86462059695578997</v>
      </c>
      <c r="AG6132">
        <v>-1.110091066266</v>
      </c>
      <c r="AH6132">
        <v>60.144269157539199</v>
      </c>
      <c r="AI6132">
        <v>91.057286817657499</v>
      </c>
      <c r="AJ6132">
        <v>90.823614611490996</v>
      </c>
      <c r="AK6132">
        <v>60.160726254314802</v>
      </c>
      <c r="AL6132">
        <v>89.139351228411201</v>
      </c>
      <c r="AM6132">
        <v>87.817698053269496</v>
      </c>
      <c r="AN6132">
        <v>1.00000000728523</v>
      </c>
    </row>
    <row r="6133" spans="1:40" x14ac:dyDescent="0.25">
      <c r="A6133" t="str">
        <f>"20190312154726277"</f>
        <v>20190312154726277</v>
      </c>
      <c r="B6133" t="str">
        <f>"1552376846274048"</f>
        <v>1552376846274048</v>
      </c>
      <c r="C6133" t="s">
        <v>40</v>
      </c>
      <c r="D6133">
        <v>4.3878709999999996</v>
      </c>
      <c r="E6133">
        <v>0.47996060000000001</v>
      </c>
      <c r="F6133" t="s">
        <v>42</v>
      </c>
      <c r="G6133">
        <v>-187.7312</v>
      </c>
      <c r="H6133" s="1">
        <v>-2.900484E-6</v>
      </c>
      <c r="I6133">
        <v>115.45569999999999</v>
      </c>
      <c r="J6133">
        <v>-188.27520000000001</v>
      </c>
      <c r="K6133">
        <v>1.110117</v>
      </c>
      <c r="L6133">
        <v>53.619199999999999</v>
      </c>
      <c r="M6133">
        <v>2.3713479999999999E-2</v>
      </c>
      <c r="N6133">
        <v>0</v>
      </c>
      <c r="O6133">
        <v>0.99961670000000002</v>
      </c>
      <c r="P6133">
        <v>6.0854329999999998E-2</v>
      </c>
      <c r="Q6133">
        <v>1.9785610000000002E-3</v>
      </c>
      <c r="R6133">
        <v>0.9981447</v>
      </c>
      <c r="S6133">
        <v>2.6626589999999999E-2</v>
      </c>
      <c r="T6133">
        <v>-5.3680060000000002E-2</v>
      </c>
      <c r="U6133">
        <v>3.004181</v>
      </c>
      <c r="V6133">
        <v>3.7155840000000002E-2</v>
      </c>
      <c r="W6133">
        <v>1.627547E-2</v>
      </c>
      <c r="X6133">
        <v>0.99917690000000003</v>
      </c>
      <c r="Y6133">
        <v>-1.4856039999999999E-2</v>
      </c>
      <c r="Z6133">
        <v>-1.7856730000000001E-2</v>
      </c>
      <c r="AA6133">
        <v>0.99973020000000001</v>
      </c>
      <c r="AB6133">
        <v>30</v>
      </c>
      <c r="AC6133">
        <v>0.54400000000001103</v>
      </c>
      <c r="AD6133">
        <v>-1.1101199004839899</v>
      </c>
      <c r="AE6133">
        <v>61.836500000000001</v>
      </c>
      <c r="AF6133">
        <v>-0.92236404680240502</v>
      </c>
      <c r="AG6133">
        <v>-1.1101199004839899</v>
      </c>
      <c r="AH6133">
        <v>61.812089200825703</v>
      </c>
      <c r="AI6133">
        <v>91.0287837005352</v>
      </c>
      <c r="AJ6133">
        <v>90.854907927810004</v>
      </c>
      <c r="AK6133">
        <v>61.828937343279001</v>
      </c>
      <c r="AL6133">
        <v>89.067443050302998</v>
      </c>
      <c r="AM6133">
        <v>87.870354750458404</v>
      </c>
      <c r="AN6133">
        <v>0.99999996243171696</v>
      </c>
    </row>
    <row r="6134" spans="1:40" x14ac:dyDescent="0.25">
      <c r="A6134" t="str">
        <f>"20190312154726300"</f>
        <v>20190312154726300</v>
      </c>
      <c r="B6134" t="str">
        <f>"1552376846294545"</f>
        <v>1552376846294545</v>
      </c>
      <c r="C6134" t="s">
        <v>40</v>
      </c>
      <c r="D6134">
        <v>4.4062400000000004</v>
      </c>
      <c r="E6134">
        <v>0.47986420000000002</v>
      </c>
      <c r="F6134" t="s">
        <v>42</v>
      </c>
      <c r="G6134">
        <v>-187.8297</v>
      </c>
      <c r="H6134" s="1">
        <v>-3.5658619999999998E-6</v>
      </c>
      <c r="I6134">
        <v>117.0475</v>
      </c>
      <c r="J6134">
        <v>-188.268</v>
      </c>
      <c r="K6134">
        <v>1.1101460000000001</v>
      </c>
      <c r="L6134">
        <v>53.93768</v>
      </c>
      <c r="M6134">
        <v>2.3320730000000001E-2</v>
      </c>
      <c r="N6134">
        <v>0</v>
      </c>
      <c r="O6134">
        <v>0.99962600000000001</v>
      </c>
      <c r="P6134">
        <v>6.038483E-2</v>
      </c>
      <c r="Q6134">
        <v>3.1535090000000001E-3</v>
      </c>
      <c r="R6134">
        <v>0.99817020000000001</v>
      </c>
      <c r="S6134">
        <v>2.1102909999999999E-2</v>
      </c>
      <c r="T6134">
        <v>-5.2582860000000002E-2</v>
      </c>
      <c r="U6134">
        <v>3.0043950000000001</v>
      </c>
      <c r="V6134">
        <v>3.7076770000000002E-2</v>
      </c>
      <c r="W6134">
        <v>1.7449269999999999E-2</v>
      </c>
      <c r="X6134">
        <v>0.9991601</v>
      </c>
      <c r="Y6134">
        <v>-1.6301679999999999E-2</v>
      </c>
      <c r="Z6134">
        <v>-1.7490789999999999E-2</v>
      </c>
      <c r="AA6134">
        <v>0.99971410000000005</v>
      </c>
      <c r="AB6134">
        <v>30</v>
      </c>
      <c r="AC6134">
        <v>0.43829999999999802</v>
      </c>
      <c r="AD6134">
        <v>-1.11014956586199</v>
      </c>
      <c r="AE6134">
        <v>63.1098199999999</v>
      </c>
      <c r="AF6134">
        <v>-1.03341668553919</v>
      </c>
      <c r="AG6134">
        <v>-1.11014956586199</v>
      </c>
      <c r="AH6134">
        <v>63.083356098928903</v>
      </c>
      <c r="AI6134">
        <v>91.008059703677404</v>
      </c>
      <c r="AJ6134">
        <v>90.938522020088399</v>
      </c>
      <c r="AK6134">
        <v>63.101586341460603</v>
      </c>
      <c r="AL6134">
        <v>89.000179766650007</v>
      </c>
      <c r="AM6134">
        <v>87.874846912592702</v>
      </c>
      <c r="AN6134">
        <v>1.0000000346645801</v>
      </c>
    </row>
    <row r="6135" spans="1:40" x14ac:dyDescent="0.25">
      <c r="A6135" t="str">
        <f>"20190312154726321"</f>
        <v>20190312154726321</v>
      </c>
      <c r="B6135" t="str">
        <f>"1552376846314065"</f>
        <v>1552376846314065</v>
      </c>
      <c r="C6135" t="s">
        <v>40</v>
      </c>
      <c r="D6135">
        <v>4.4815079999999998</v>
      </c>
      <c r="E6135">
        <v>0.4798152</v>
      </c>
      <c r="F6135" t="s">
        <v>52</v>
      </c>
      <c r="G6135">
        <v>-187.85419999999999</v>
      </c>
      <c r="H6135" s="1">
        <v>-7.7579669999999899E-7</v>
      </c>
      <c r="I6135">
        <v>120.35</v>
      </c>
      <c r="J6135">
        <v>-188.2619</v>
      </c>
      <c r="K6135">
        <v>1.1101700000000001</v>
      </c>
      <c r="L6135">
        <v>54.214599999999997</v>
      </c>
      <c r="M6135">
        <v>2.2960230000000002E-2</v>
      </c>
      <c r="N6135">
        <v>0</v>
      </c>
      <c r="O6135">
        <v>0.99963440000000003</v>
      </c>
      <c r="P6135">
        <v>6.000548E-2</v>
      </c>
      <c r="Q6135">
        <v>3.9327290000000003E-3</v>
      </c>
      <c r="R6135">
        <v>0.99819029999999997</v>
      </c>
      <c r="S6135">
        <v>1.8722530000000001E-2</v>
      </c>
      <c r="T6135">
        <v>-5.0223469999999999E-2</v>
      </c>
      <c r="U6135">
        <v>3.0045169999999999</v>
      </c>
      <c r="V6135">
        <v>3.705605E-2</v>
      </c>
      <c r="W6135">
        <v>1.822735E-2</v>
      </c>
      <c r="X6135">
        <v>0.99914689999999995</v>
      </c>
      <c r="Y6135">
        <v>-1.67333E-2</v>
      </c>
      <c r="Z6135">
        <v>-1.6705709999999999E-2</v>
      </c>
      <c r="AA6135">
        <v>0.99972039999999995</v>
      </c>
      <c r="AB6135">
        <v>30</v>
      </c>
      <c r="AC6135">
        <v>0.407700000000005</v>
      </c>
      <c r="AD6135">
        <v>-1.1101707757966901</v>
      </c>
      <c r="AE6135">
        <v>66.135400000000004</v>
      </c>
      <c r="AF6135">
        <v>-1.1107333523795599</v>
      </c>
      <c r="AG6135">
        <v>-1.1101707757966901</v>
      </c>
      <c r="AH6135">
        <v>66.108696152651305</v>
      </c>
      <c r="AI6135">
        <v>90.961948301536907</v>
      </c>
      <c r="AJ6135">
        <v>90.962571485056799</v>
      </c>
      <c r="AK6135">
        <v>66.127346194559294</v>
      </c>
      <c r="AL6135">
        <v>88.955591891698006</v>
      </c>
      <c r="AM6135">
        <v>87.876005411546302</v>
      </c>
      <c r="AN6135">
        <v>0.99999995745461601</v>
      </c>
    </row>
    <row r="6136" spans="1:40" x14ac:dyDescent="0.25">
      <c r="A6136" t="str">
        <f>"20190312154726346"</f>
        <v>20190312154726346</v>
      </c>
      <c r="B6136" t="str">
        <f>"1552376846334561"</f>
        <v>1552376846334561</v>
      </c>
      <c r="C6136" t="s">
        <v>40</v>
      </c>
      <c r="D6136">
        <v>4.452</v>
      </c>
      <c r="E6136">
        <v>0.47976089999999999</v>
      </c>
      <c r="F6136" t="s">
        <v>52</v>
      </c>
      <c r="G6136">
        <v>-187.85120000000001</v>
      </c>
      <c r="H6136" s="1">
        <v>-3.2746310000000002E-6</v>
      </c>
      <c r="I6136">
        <v>125.5415</v>
      </c>
      <c r="J6136">
        <v>-188.25479999999999</v>
      </c>
      <c r="K6136">
        <v>1.110195</v>
      </c>
      <c r="L6136">
        <v>54.544890000000002</v>
      </c>
      <c r="M6136">
        <v>2.2508960000000001E-2</v>
      </c>
      <c r="N6136">
        <v>0</v>
      </c>
      <c r="O6136">
        <v>0.99964470000000005</v>
      </c>
      <c r="P6136">
        <v>5.9319629999999998E-2</v>
      </c>
      <c r="Q6136">
        <v>4.5001360000000001E-3</v>
      </c>
      <c r="R6136">
        <v>0.99822889999999997</v>
      </c>
      <c r="S6136">
        <v>1.7303470000000001E-2</v>
      </c>
      <c r="T6136">
        <v>-4.6764970000000003E-2</v>
      </c>
      <c r="U6136">
        <v>3.004578</v>
      </c>
      <c r="V6136">
        <v>3.6819270000000001E-2</v>
      </c>
      <c r="W6136">
        <v>1.8792779999999999E-2</v>
      </c>
      <c r="X6136">
        <v>0.99914519999999996</v>
      </c>
      <c r="Y6136">
        <v>-1.6754100000000001E-2</v>
      </c>
      <c r="Z6136">
        <v>-1.555555E-2</v>
      </c>
      <c r="AA6136">
        <v>0.99973860000000003</v>
      </c>
      <c r="AB6136">
        <v>30</v>
      </c>
      <c r="AC6136">
        <v>0.40359999999998297</v>
      </c>
      <c r="AD6136">
        <v>-1.110198274631</v>
      </c>
      <c r="AE6136">
        <v>70.996610000000004</v>
      </c>
      <c r="AF6136">
        <v>-1.19443295359336</v>
      </c>
      <c r="AG6136">
        <v>-1.110198274631</v>
      </c>
      <c r="AH6136">
        <v>70.970350695171902</v>
      </c>
      <c r="AI6136">
        <v>90.896085231542102</v>
      </c>
      <c r="AJ6136">
        <v>90.964198515125602</v>
      </c>
      <c r="AK6136">
        <v>70.989082879590001</v>
      </c>
      <c r="AL6136">
        <v>88.923189609074399</v>
      </c>
      <c r="AM6136">
        <v>87.889561369928003</v>
      </c>
      <c r="AN6136">
        <v>0.99999997895324999</v>
      </c>
    </row>
    <row r="6137" spans="1:40" x14ac:dyDescent="0.25">
      <c r="A6137" t="str">
        <f>"20190312154726369"</f>
        <v>20190312154726369</v>
      </c>
      <c r="B6137" t="str">
        <f>"1552376846364817"</f>
        <v>1552376846364817</v>
      </c>
      <c r="C6137" t="s">
        <v>40</v>
      </c>
      <c r="D6137">
        <v>4.4896250000000002</v>
      </c>
      <c r="E6137">
        <v>0.5078201</v>
      </c>
      <c r="F6137" t="s">
        <v>52</v>
      </c>
      <c r="G6137">
        <v>-187.89609999999999</v>
      </c>
      <c r="H6137" s="1">
        <v>-4.3754100000000003E-6</v>
      </c>
      <c r="I6137">
        <v>128.20480000000001</v>
      </c>
      <c r="J6137">
        <v>-188.2484</v>
      </c>
      <c r="K6137">
        <v>1.110214</v>
      </c>
      <c r="L6137">
        <v>54.85324</v>
      </c>
      <c r="M6137">
        <v>2.2067650000000001E-2</v>
      </c>
      <c r="N6137">
        <v>0</v>
      </c>
      <c r="O6137">
        <v>0.99965459999999995</v>
      </c>
      <c r="P6137">
        <v>5.8654919999999999E-2</v>
      </c>
      <c r="Q6137">
        <v>5.1673750000000001E-3</v>
      </c>
      <c r="R6137">
        <v>0.99826499999999996</v>
      </c>
      <c r="S6137">
        <v>1.4633180000000001E-2</v>
      </c>
      <c r="T6137">
        <v>-4.5286300000000002E-2</v>
      </c>
      <c r="U6137">
        <v>3.0046689999999998</v>
      </c>
      <c r="V6137">
        <v>3.6593800000000003E-2</v>
      </c>
      <c r="W6137">
        <v>1.9458320000000001E-2</v>
      </c>
      <c r="X6137">
        <v>0.99914069999999999</v>
      </c>
      <c r="Y6137">
        <v>-1.7201299999999999E-2</v>
      </c>
      <c r="Z6137">
        <v>-1.506356E-2</v>
      </c>
      <c r="AA6137">
        <v>0.99973860000000003</v>
      </c>
      <c r="AB6137">
        <v>30</v>
      </c>
      <c r="AC6137">
        <v>0.35230000000001299</v>
      </c>
      <c r="AD6137">
        <v>-1.1102183754099999</v>
      </c>
      <c r="AE6137">
        <v>73.351559999999907</v>
      </c>
      <c r="AF6137">
        <v>-1.2663571540327001</v>
      </c>
      <c r="AG6137">
        <v>-1.1102183754099999</v>
      </c>
      <c r="AH6137">
        <v>73.324671744403801</v>
      </c>
      <c r="AI6137">
        <v>90.867327231533096</v>
      </c>
      <c r="AJ6137">
        <v>90.989431059876594</v>
      </c>
      <c r="AK6137">
        <v>73.344009514801101</v>
      </c>
      <c r="AL6137">
        <v>88.885049949792105</v>
      </c>
      <c r="AM6137">
        <v>87.902464035736102</v>
      </c>
      <c r="AN6137">
        <v>0.99999993540607401</v>
      </c>
    </row>
    <row r="6138" spans="1:40" x14ac:dyDescent="0.25">
      <c r="A6138" t="str">
        <f>"20190312154726390"</f>
        <v>20190312154726390</v>
      </c>
      <c r="B6138" t="str">
        <f>"1552376846384337"</f>
        <v>1552376846384337</v>
      </c>
      <c r="C6138" t="s">
        <v>40</v>
      </c>
      <c r="D6138">
        <v>4.4305849999999998</v>
      </c>
      <c r="E6138">
        <v>0.51878959999999996</v>
      </c>
      <c r="F6138" t="s">
        <v>42</v>
      </c>
      <c r="G6138">
        <v>-183.79669999999999</v>
      </c>
      <c r="H6138" s="1">
        <v>-2.2316899999999999E-6</v>
      </c>
      <c r="I6138">
        <v>111.3558</v>
      </c>
      <c r="J6138">
        <v>-188.24270000000001</v>
      </c>
      <c r="K6138">
        <v>1.110222</v>
      </c>
      <c r="L6138">
        <v>55.132599999999996</v>
      </c>
      <c r="M6138">
        <v>2.1655009999999999E-2</v>
      </c>
      <c r="N6138">
        <v>0</v>
      </c>
      <c r="O6138">
        <v>0.99966370000000004</v>
      </c>
      <c r="P6138">
        <v>5.7850800000000001E-2</v>
      </c>
      <c r="Q6138">
        <v>4.6805220000000003E-3</v>
      </c>
      <c r="R6138">
        <v>0.99831429999999999</v>
      </c>
      <c r="S6138">
        <v>0.23570250000000001</v>
      </c>
      <c r="T6138">
        <v>-5.8783170000000003E-2</v>
      </c>
      <c r="U6138">
        <v>2.9916689999999999</v>
      </c>
      <c r="V6138">
        <v>3.6201150000000001E-2</v>
      </c>
      <c r="W6138">
        <v>1.8969659999999999E-2</v>
      </c>
      <c r="X6138">
        <v>0.99916450000000001</v>
      </c>
      <c r="Y6138">
        <v>5.69191E-2</v>
      </c>
      <c r="Z6138">
        <v>-1.959199E-2</v>
      </c>
      <c r="AA6138">
        <v>0.99818649999999998</v>
      </c>
      <c r="AB6138">
        <v>30</v>
      </c>
      <c r="AC6138">
        <v>4.4460000000000202</v>
      </c>
      <c r="AD6138">
        <v>-1.11022423169</v>
      </c>
      <c r="AE6138">
        <v>56.223199999999999</v>
      </c>
      <c r="AF6138">
        <v>3.2260691907374399</v>
      </c>
      <c r="AG6138">
        <v>-1.11022423169</v>
      </c>
      <c r="AH6138">
        <v>56.284490299899403</v>
      </c>
      <c r="AI6138">
        <v>91.128174421187296</v>
      </c>
      <c r="AJ6138">
        <v>86.719555776782798</v>
      </c>
      <c r="AK6138">
        <v>56.387799820417897</v>
      </c>
      <c r="AL6138">
        <v>88.913053384970098</v>
      </c>
      <c r="AM6138">
        <v>87.925000114894601</v>
      </c>
      <c r="AN6138">
        <v>1.00000003466104</v>
      </c>
    </row>
    <row r="6139" spans="1:40" x14ac:dyDescent="0.25">
      <c r="A6139" t="str">
        <f>"20190312154726411"</f>
        <v>20190312154726411</v>
      </c>
      <c r="B6139" t="str">
        <f>"1552376846404833"</f>
        <v>1552376846404833</v>
      </c>
      <c r="C6139" t="s">
        <v>40</v>
      </c>
      <c r="D6139">
        <v>4.4319259999999998</v>
      </c>
      <c r="E6139">
        <v>0.5231382</v>
      </c>
      <c r="F6139" t="s">
        <v>42</v>
      </c>
      <c r="G6139">
        <v>-181.61680000000001</v>
      </c>
      <c r="H6139" s="1">
        <v>-4.6615659999999999E-6</v>
      </c>
      <c r="I6139">
        <v>116.79170000000001</v>
      </c>
      <c r="J6139">
        <v>-188.23670000000001</v>
      </c>
      <c r="K6139">
        <v>1.1102289999999999</v>
      </c>
      <c r="L6139">
        <v>55.430329999999998</v>
      </c>
      <c r="M6139">
        <v>2.120141E-2</v>
      </c>
      <c r="N6139">
        <v>0</v>
      </c>
      <c r="O6139">
        <v>0.99967340000000005</v>
      </c>
      <c r="P6139">
        <v>5.714516E-2</v>
      </c>
      <c r="Q6139">
        <v>4.0375369999999999E-3</v>
      </c>
      <c r="R6139">
        <v>0.99835770000000001</v>
      </c>
      <c r="S6139">
        <v>0.3209534</v>
      </c>
      <c r="T6139">
        <v>-5.3778649999999997E-2</v>
      </c>
      <c r="U6139">
        <v>2.9867249999999999</v>
      </c>
      <c r="V6139">
        <v>3.5948239999999999E-2</v>
      </c>
      <c r="W6139">
        <v>1.8324610000000002E-2</v>
      </c>
      <c r="X6139">
        <v>0.99918560000000001</v>
      </c>
      <c r="Y6139">
        <v>8.5721480000000003E-2</v>
      </c>
      <c r="Z6139">
        <v>-1.7912230000000001E-2</v>
      </c>
      <c r="AA6139">
        <v>0.99615810000000005</v>
      </c>
      <c r="AB6139">
        <v>30</v>
      </c>
      <c r="AC6139">
        <v>6.6199000000000003</v>
      </c>
      <c r="AD6139">
        <v>-1.110233661566</v>
      </c>
      <c r="AE6139">
        <v>61.361369999999901</v>
      </c>
      <c r="AF6139">
        <v>5.3156115416036602</v>
      </c>
      <c r="AG6139">
        <v>-1.110233661566</v>
      </c>
      <c r="AH6139">
        <v>61.468048909837002</v>
      </c>
      <c r="AI6139">
        <v>91.030914995691106</v>
      </c>
      <c r="AJ6139">
        <v>85.057492628753096</v>
      </c>
      <c r="AK6139">
        <v>61.707449968594702</v>
      </c>
      <c r="AL6139">
        <v>88.950018381261799</v>
      </c>
      <c r="AM6139">
        <v>87.939527501652805</v>
      </c>
      <c r="AN6139">
        <v>0.99999996526905399</v>
      </c>
    </row>
    <row r="6140" spans="1:40" x14ac:dyDescent="0.25">
      <c r="A6140" t="str">
        <f>"20190312154726434"</f>
        <v>20190312154726434</v>
      </c>
      <c r="B6140" t="str">
        <f>"1552376846424353"</f>
        <v>1552376846424353</v>
      </c>
      <c r="C6140" t="s">
        <v>40</v>
      </c>
      <c r="D6140">
        <v>4.3742869999999998</v>
      </c>
      <c r="E6140">
        <v>0.5256691</v>
      </c>
      <c r="F6140" t="s">
        <v>42</v>
      </c>
      <c r="G6140">
        <v>-180.66210000000001</v>
      </c>
      <c r="H6140" s="1">
        <v>-5.8393369999999997E-6</v>
      </c>
      <c r="I6140">
        <v>119.38330000000001</v>
      </c>
      <c r="J6140">
        <v>-188.23099999999999</v>
      </c>
      <c r="K6140">
        <v>1.110241</v>
      </c>
      <c r="L6140">
        <v>55.723019999999998</v>
      </c>
      <c r="M6140">
        <v>2.0741450000000002E-2</v>
      </c>
      <c r="N6140">
        <v>0</v>
      </c>
      <c r="O6140">
        <v>0.99968310000000005</v>
      </c>
      <c r="P6140">
        <v>5.621959E-2</v>
      </c>
      <c r="Q6140">
        <v>2.9873220000000002E-3</v>
      </c>
      <c r="R6140">
        <v>0.99841400000000002</v>
      </c>
      <c r="S6140">
        <v>0.35353089999999998</v>
      </c>
      <c r="T6140">
        <v>-5.1818250000000003E-2</v>
      </c>
      <c r="U6140">
        <v>2.9848940000000002</v>
      </c>
      <c r="V6140">
        <v>3.5481909999999998E-2</v>
      </c>
      <c r="W6140">
        <v>1.72724E-2</v>
      </c>
      <c r="X6140">
        <v>0.99922100000000003</v>
      </c>
      <c r="Y6140">
        <v>9.6975539999999999E-2</v>
      </c>
      <c r="Z6140">
        <v>-1.725078E-2</v>
      </c>
      <c r="AA6140">
        <v>0.9951373</v>
      </c>
      <c r="AB6140">
        <v>30</v>
      </c>
      <c r="AC6140">
        <v>7.5688999999999798</v>
      </c>
      <c r="AD6140">
        <v>-1.110246839337</v>
      </c>
      <c r="AE6140">
        <v>63.66028</v>
      </c>
      <c r="AF6140">
        <v>6.2448575534414497</v>
      </c>
      <c r="AG6140">
        <v>-1.110246839337</v>
      </c>
      <c r="AH6140">
        <v>63.784457852850402</v>
      </c>
      <c r="AI6140">
        <v>90.992458409812002</v>
      </c>
      <c r="AJ6140">
        <v>84.408241770717595</v>
      </c>
      <c r="AK6140">
        <v>64.099048023266903</v>
      </c>
      <c r="AL6140">
        <v>89.010315118798403</v>
      </c>
      <c r="AM6140">
        <v>87.966305889113102</v>
      </c>
      <c r="AN6140">
        <v>0.99999995429000299</v>
      </c>
    </row>
    <row r="6141" spans="1:40" x14ac:dyDescent="0.25">
      <c r="A6141" t="str">
        <f>"20190312154726457"</f>
        <v>20190312154726457</v>
      </c>
      <c r="B6141" t="str">
        <f>"1552376846443873"</f>
        <v>1552376846443873</v>
      </c>
      <c r="C6141" t="s">
        <v>40</v>
      </c>
      <c r="D6141">
        <v>4.4615039999999997</v>
      </c>
      <c r="E6141">
        <v>0.52729440000000005</v>
      </c>
      <c r="F6141" t="s">
        <v>42</v>
      </c>
      <c r="G6141">
        <v>-180.37540000000001</v>
      </c>
      <c r="H6141" s="1">
        <v>-5.7108189999999999E-6</v>
      </c>
      <c r="I6141">
        <v>118.90430000000001</v>
      </c>
      <c r="J6141">
        <v>-188.22499999999999</v>
      </c>
      <c r="K6141">
        <v>1.1102540000000001</v>
      </c>
      <c r="L6141">
        <v>56.033869999999901</v>
      </c>
      <c r="M6141">
        <v>2.0239119999999999E-2</v>
      </c>
      <c r="N6141">
        <v>0</v>
      </c>
      <c r="O6141">
        <v>0.99969350000000001</v>
      </c>
      <c r="P6141">
        <v>5.4933889999999999E-2</v>
      </c>
      <c r="Q6141">
        <v>2.6352960000000001E-3</v>
      </c>
      <c r="R6141">
        <v>0.99848650000000005</v>
      </c>
      <c r="S6141">
        <v>0.3710175</v>
      </c>
      <c r="T6141">
        <v>-5.2436709999999997E-2</v>
      </c>
      <c r="U6141">
        <v>2.9840390000000001</v>
      </c>
      <c r="V6141">
        <v>3.4696980000000002E-2</v>
      </c>
      <c r="W6141">
        <v>1.6917680000000001E-2</v>
      </c>
      <c r="X6141">
        <v>0.99925469999999905</v>
      </c>
      <c r="Y6141">
        <v>0.103253399999999</v>
      </c>
      <c r="Z6141">
        <v>-1.7450170000000001E-2</v>
      </c>
      <c r="AA6141">
        <v>0.994502</v>
      </c>
      <c r="AB6141">
        <v>30</v>
      </c>
      <c r="AC6141">
        <v>7.8495999999999801</v>
      </c>
      <c r="AD6141">
        <v>-1.110259710819</v>
      </c>
      <c r="AE6141">
        <v>62.870429999999999</v>
      </c>
      <c r="AF6141">
        <v>6.5734017935574904</v>
      </c>
      <c r="AG6141">
        <v>-1.110259710819</v>
      </c>
      <c r="AH6141">
        <v>62.997090085548798</v>
      </c>
      <c r="AI6141">
        <v>91.004224414150499</v>
      </c>
      <c r="AJ6141">
        <v>84.043055669587105</v>
      </c>
      <c r="AK6141">
        <v>63.348840928716001</v>
      </c>
      <c r="AL6141">
        <v>89.030642114674905</v>
      </c>
      <c r="AM6141">
        <v>88.011325705827701</v>
      </c>
      <c r="AN6141">
        <v>1.0000000218948899</v>
      </c>
    </row>
    <row r="6142" spans="1:40" x14ac:dyDescent="0.25">
      <c r="A6142" t="str">
        <f>"20190312154726479"</f>
        <v>20190312154726479</v>
      </c>
      <c r="B6142" t="str">
        <f>"1552376846474129"</f>
        <v>1552376846474129</v>
      </c>
      <c r="C6142" t="s">
        <v>40</v>
      </c>
      <c r="D6142">
        <v>4.4860350000000002</v>
      </c>
      <c r="E6142">
        <v>0.52855750000000001</v>
      </c>
      <c r="F6142" t="s">
        <v>52</v>
      </c>
      <c r="G6142">
        <v>-179.95779999999999</v>
      </c>
      <c r="H6142">
        <v>2.7005570000000001E-3</v>
      </c>
      <c r="I6142">
        <v>120.90349999999999</v>
      </c>
      <c r="J6142">
        <v>-188.21969999999999</v>
      </c>
      <c r="K6142">
        <v>1.1102639999999999</v>
      </c>
      <c r="L6142">
        <v>56.322780000000002</v>
      </c>
      <c r="M6142">
        <v>1.9761259999999999E-2</v>
      </c>
      <c r="N6142">
        <v>0</v>
      </c>
      <c r="O6142">
        <v>0.99970300000000001</v>
      </c>
      <c r="P6142">
        <v>5.3853400000000003E-2</v>
      </c>
      <c r="Q6142">
        <v>3.0064990000000002E-3</v>
      </c>
      <c r="R6142">
        <v>0.99854430000000005</v>
      </c>
      <c r="S6142">
        <v>0.3802643</v>
      </c>
      <c r="T6142">
        <v>-5.0943370000000002E-2</v>
      </c>
      <c r="U6142">
        <v>2.983765</v>
      </c>
      <c r="V6142">
        <v>3.4092499999999998E-2</v>
      </c>
      <c r="W6142">
        <v>1.7286699999999999E-2</v>
      </c>
      <c r="X6142">
        <v>0.99926919999999997</v>
      </c>
      <c r="Y6142">
        <v>0.10677440000000001</v>
      </c>
      <c r="Z6142">
        <v>-1.694872E-2</v>
      </c>
      <c r="AA6142">
        <v>0.99413879999999999</v>
      </c>
      <c r="AB6142">
        <v>30</v>
      </c>
      <c r="AC6142">
        <v>8.26189999999999</v>
      </c>
      <c r="AD6142">
        <v>-1.1075634430000001</v>
      </c>
      <c r="AE6142">
        <v>64.5807199999999</v>
      </c>
      <c r="AF6142">
        <v>6.9819396445369204</v>
      </c>
      <c r="AG6142">
        <v>-1.1075634430000001</v>
      </c>
      <c r="AH6142">
        <v>64.712661644632107</v>
      </c>
      <c r="AI6142">
        <v>90.974870558323204</v>
      </c>
      <c r="AJ6142">
        <v>83.842098225509403</v>
      </c>
      <c r="AK6142">
        <v>65.097640165468903</v>
      </c>
      <c r="AL6142">
        <v>89.009495743064704</v>
      </c>
      <c r="AM6142">
        <v>88.045973006916398</v>
      </c>
      <c r="AN6142">
        <v>1.0000000313108801</v>
      </c>
    </row>
    <row r="6143" spans="1:40" x14ac:dyDescent="0.25">
      <c r="A6143" t="str">
        <f>"20190312154726501"</f>
        <v>20190312154726501</v>
      </c>
      <c r="B6143" t="str">
        <f>"1552376846494625"</f>
        <v>1552376846494625</v>
      </c>
      <c r="C6143" t="s">
        <v>40</v>
      </c>
      <c r="D6143">
        <v>4.4353030000000002</v>
      </c>
      <c r="E6143">
        <v>0.52925630000000001</v>
      </c>
      <c r="F6143" t="s">
        <v>52</v>
      </c>
      <c r="G6143">
        <v>-179.95779999999999</v>
      </c>
      <c r="H6143">
        <v>3.5386939999999999E-2</v>
      </c>
      <c r="I6143">
        <v>119.98309999999999</v>
      </c>
      <c r="J6143">
        <v>-188.21420000000001</v>
      </c>
      <c r="K6143">
        <v>1.1102749999999999</v>
      </c>
      <c r="L6143">
        <v>56.630740000000003</v>
      </c>
      <c r="M6143">
        <v>1.9242309999999999E-2</v>
      </c>
      <c r="N6143">
        <v>0</v>
      </c>
      <c r="O6143">
        <v>0.99971319999999997</v>
      </c>
      <c r="P6143">
        <v>5.3145280000000003E-2</v>
      </c>
      <c r="Q6143">
        <v>2.661376E-3</v>
      </c>
      <c r="R6143">
        <v>0.99858329999999995</v>
      </c>
      <c r="S6143">
        <v>0.38722230000000002</v>
      </c>
      <c r="T6143">
        <v>-5.0377489999999997E-2</v>
      </c>
      <c r="U6143">
        <v>2.9836429999999998</v>
      </c>
      <c r="V6143">
        <v>3.3902519999999998E-2</v>
      </c>
      <c r="W6143">
        <v>1.693913E-2</v>
      </c>
      <c r="X6143">
        <v>0.99928159999999999</v>
      </c>
      <c r="Y6143">
        <v>0.1095763</v>
      </c>
      <c r="Z6143">
        <v>-1.6756389999999999E-2</v>
      </c>
      <c r="AA6143">
        <v>0.99383710000000003</v>
      </c>
      <c r="AB6143">
        <v>30</v>
      </c>
      <c r="AC6143">
        <v>8.25640000000001</v>
      </c>
      <c r="AD6143">
        <v>-1.0748880599999999</v>
      </c>
      <c r="AE6143">
        <v>63.352359999999898</v>
      </c>
      <c r="AF6143">
        <v>7.0337103593152097</v>
      </c>
      <c r="AG6143">
        <v>-1.0748880599999999</v>
      </c>
      <c r="AH6143">
        <v>63.481546840046001</v>
      </c>
      <c r="AI6143">
        <v>90.964157093466994</v>
      </c>
      <c r="AJ6143">
        <v>83.677456975862597</v>
      </c>
      <c r="AK6143">
        <v>63.879067424041402</v>
      </c>
      <c r="AL6143">
        <v>89.0294129379308</v>
      </c>
      <c r="AM6143">
        <v>88.056877519222198</v>
      </c>
      <c r="AN6143">
        <v>1.00000001554303</v>
      </c>
    </row>
    <row r="6144" spans="1:40" x14ac:dyDescent="0.25">
      <c r="A6144" t="str">
        <f>"20190312154726524"</f>
        <v>20190312154726524</v>
      </c>
      <c r="B6144" t="str">
        <f>"1552376846514145"</f>
        <v>1552376846514145</v>
      </c>
      <c r="C6144" t="s">
        <v>40</v>
      </c>
      <c r="D6144">
        <v>4.4616689999999997</v>
      </c>
      <c r="E6144">
        <v>0.52986149999999999</v>
      </c>
      <c r="F6144" t="s">
        <v>52</v>
      </c>
      <c r="G6144">
        <v>-179.95779999999999</v>
      </c>
      <c r="H6144">
        <v>8.8057099999999996E-3</v>
      </c>
      <c r="I6144">
        <v>119.6832</v>
      </c>
      <c r="J6144">
        <v>-188.20910000000001</v>
      </c>
      <c r="K6144">
        <v>1.110285</v>
      </c>
      <c r="L6144">
        <v>56.925719999999998</v>
      </c>
      <c r="M6144">
        <v>1.8738029999999999E-2</v>
      </c>
      <c r="N6144">
        <v>0</v>
      </c>
      <c r="O6144">
        <v>0.99972280000000002</v>
      </c>
      <c r="P6144">
        <v>5.2566479999999999E-2</v>
      </c>
      <c r="Q6144">
        <v>2.689987E-3</v>
      </c>
      <c r="R6144">
        <v>0.9986138</v>
      </c>
      <c r="S6144">
        <v>0.39068599999999998</v>
      </c>
      <c r="T6144">
        <v>-5.2120449999999999E-2</v>
      </c>
      <c r="U6144">
        <v>2.9835820000000002</v>
      </c>
      <c r="V6144">
        <v>3.3827129999999997E-2</v>
      </c>
      <c r="W6144">
        <v>1.6965350000000001E-2</v>
      </c>
      <c r="X6144">
        <v>0.9992837</v>
      </c>
      <c r="Y6144">
        <v>0.1112133</v>
      </c>
      <c r="Z6144">
        <v>-1.7333680000000001E-2</v>
      </c>
      <c r="AA6144">
        <v>0.99364540000000001</v>
      </c>
      <c r="AB6144">
        <v>30</v>
      </c>
      <c r="AC6144">
        <v>8.2513000000000094</v>
      </c>
      <c r="AD6144">
        <v>-1.1014792900000001</v>
      </c>
      <c r="AE6144">
        <v>62.757480000000001</v>
      </c>
      <c r="AF6144">
        <v>7.0716385597860398</v>
      </c>
      <c r="AG6144">
        <v>-1.1014792900000001</v>
      </c>
      <c r="AH6144">
        <v>62.882046437770299</v>
      </c>
      <c r="AI6144">
        <v>90.997239352306195</v>
      </c>
      <c r="AJ6144">
        <v>83.583545195306399</v>
      </c>
      <c r="AK6144">
        <v>63.288016975952502</v>
      </c>
      <c r="AL6144">
        <v>89.027910416897797</v>
      </c>
      <c r="AM6144">
        <v>88.061199265970899</v>
      </c>
      <c r="AN6144">
        <v>1.0000000054551701</v>
      </c>
    </row>
    <row r="6145" spans="1:40" x14ac:dyDescent="0.25">
      <c r="A6145" t="str">
        <f>"20190312154726548"</f>
        <v>20190312154726548</v>
      </c>
      <c r="B6145" t="str">
        <f>"1552376846544402"</f>
        <v>1552376846544402</v>
      </c>
      <c r="C6145" t="s">
        <v>40</v>
      </c>
      <c r="D6145">
        <v>4.5058040000000004</v>
      </c>
      <c r="E6145">
        <v>0.53053989999999995</v>
      </c>
      <c r="F6145" t="s">
        <v>42</v>
      </c>
      <c r="G6145">
        <v>-179.95779999999999</v>
      </c>
      <c r="H6145">
        <v>1.2028560000000001E-2</v>
      </c>
      <c r="I6145">
        <v>119.4508</v>
      </c>
      <c r="J6145">
        <v>-188.2037</v>
      </c>
      <c r="K6145">
        <v>1.1102959999999999</v>
      </c>
      <c r="L6145">
        <v>57.24615</v>
      </c>
      <c r="M6145">
        <v>1.818488E-2</v>
      </c>
      <c r="N6145">
        <v>0</v>
      </c>
      <c r="O6145">
        <v>0.99973310000000004</v>
      </c>
      <c r="P6145">
        <v>5.2395589999999999E-2</v>
      </c>
      <c r="Q6145">
        <v>2.99219999999999E-3</v>
      </c>
      <c r="R6145">
        <v>0.99862189999999995</v>
      </c>
      <c r="S6145">
        <v>0.39373780000000003</v>
      </c>
      <c r="T6145">
        <v>-5.2406790000000002E-2</v>
      </c>
      <c r="U6145">
        <v>2.9835820000000002</v>
      </c>
      <c r="V6145">
        <v>3.4208679999999998E-2</v>
      </c>
      <c r="W6145">
        <v>1.7264290000000002E-2</v>
      </c>
      <c r="X6145">
        <v>0.99926559999999998</v>
      </c>
      <c r="Y6145">
        <v>0.1127619</v>
      </c>
      <c r="Z6145">
        <v>-1.7426469999999999E-2</v>
      </c>
      <c r="AA6145">
        <v>0.99346920000000005</v>
      </c>
      <c r="AB6145">
        <v>30</v>
      </c>
      <c r="AC6145">
        <v>8.2459000000000007</v>
      </c>
      <c r="AD6145">
        <v>-1.0982674400000001</v>
      </c>
      <c r="AE6145">
        <v>62.204650000000001</v>
      </c>
      <c r="AF6145">
        <v>7.1110588329186699</v>
      </c>
      <c r="AG6145">
        <v>-1.0982674400000001</v>
      </c>
      <c r="AH6145">
        <v>62.325234985781996</v>
      </c>
      <c r="AI6145">
        <v>91.003029922946098</v>
      </c>
      <c r="AJ6145">
        <v>83.490929231959598</v>
      </c>
      <c r="AK6145">
        <v>62.739208355923203</v>
      </c>
      <c r="AL6145">
        <v>89.010779916375796</v>
      </c>
      <c r="AM6145">
        <v>88.039312228258098</v>
      </c>
      <c r="AN6145">
        <v>1.0000000144199499</v>
      </c>
    </row>
    <row r="6146" spans="1:40" x14ac:dyDescent="0.25">
      <c r="A6146" t="str">
        <f>"20190312154726571"</f>
        <v>20190312154726571</v>
      </c>
      <c r="B6146" t="str">
        <f>"1552376846563920"</f>
        <v>1552376846563920</v>
      </c>
      <c r="C6146" t="s">
        <v>40</v>
      </c>
      <c r="D6146">
        <v>4.5099140000000002</v>
      </c>
      <c r="E6146">
        <v>0.53092890000000004</v>
      </c>
      <c r="F6146" t="s">
        <v>42</v>
      </c>
      <c r="G6146">
        <v>-179.95779999999999</v>
      </c>
      <c r="H6146">
        <v>2.7066750000000001E-2</v>
      </c>
      <c r="I6146">
        <v>118.9495</v>
      </c>
      <c r="J6146">
        <v>-188.1986</v>
      </c>
      <c r="K6146">
        <v>1.110298</v>
      </c>
      <c r="L6146">
        <v>57.5599699999999</v>
      </c>
      <c r="M6146">
        <v>1.7640909999999999E-2</v>
      </c>
      <c r="N6146">
        <v>0</v>
      </c>
      <c r="O6146">
        <v>0.99974289999999999</v>
      </c>
      <c r="P6146">
        <v>5.2366969999999999E-2</v>
      </c>
      <c r="Q6146">
        <v>2.9688520000000001E-3</v>
      </c>
      <c r="R6146">
        <v>0.9986235</v>
      </c>
      <c r="S6146">
        <v>0.39869690000000002</v>
      </c>
      <c r="T6146">
        <v>-5.2374839999999999E-2</v>
      </c>
      <c r="U6146">
        <v>2.9833980000000002</v>
      </c>
      <c r="V6146">
        <v>3.4723810000000001E-2</v>
      </c>
      <c r="W6146">
        <v>1.723854E-2</v>
      </c>
      <c r="X6146">
        <v>0.99924829999999998</v>
      </c>
      <c r="Y6146">
        <v>0.11493299999999999</v>
      </c>
      <c r="Z6146">
        <v>-1.7413089999999999E-2</v>
      </c>
      <c r="AA6146">
        <v>0.99322060000000001</v>
      </c>
      <c r="AB6146">
        <v>30</v>
      </c>
      <c r="AC6146">
        <v>8.2408000000000001</v>
      </c>
      <c r="AD6146">
        <v>-1.0832312500000001</v>
      </c>
      <c r="AE6146">
        <v>61.389530000000001</v>
      </c>
      <c r="AF6146">
        <v>7.1542522167776896</v>
      </c>
      <c r="AG6146">
        <v>-1.0832312500000001</v>
      </c>
      <c r="AH6146">
        <v>61.506553714019397</v>
      </c>
      <c r="AI6146">
        <v>91.002212694431293</v>
      </c>
      <c r="AJ6146">
        <v>83.365346283218898</v>
      </c>
      <c r="AK6146">
        <v>61.930710188870002</v>
      </c>
      <c r="AL6146">
        <v>89.012255525214101</v>
      </c>
      <c r="AM6146">
        <v>88.009776430821105</v>
      </c>
      <c r="AN6146">
        <v>1.00000003764756</v>
      </c>
    </row>
    <row r="6147" spans="1:40" x14ac:dyDescent="0.25">
      <c r="A6147" t="str">
        <f>"20190312154726594"</f>
        <v>20190312154726594</v>
      </c>
      <c r="B6147" t="str">
        <f>"1552376846584416"</f>
        <v>1552376846584416</v>
      </c>
      <c r="C6147" t="s">
        <v>40</v>
      </c>
      <c r="D6147">
        <v>4.495787</v>
      </c>
      <c r="E6147">
        <v>0.53140419999999999</v>
      </c>
      <c r="F6147" t="s">
        <v>42</v>
      </c>
      <c r="G6147">
        <v>-179.95779999999999</v>
      </c>
      <c r="H6147">
        <v>2.452592E-2</v>
      </c>
      <c r="I6147">
        <v>118.77460000000001</v>
      </c>
      <c r="J6147">
        <v>-188.19399999999999</v>
      </c>
      <c r="K6147">
        <v>1.1102989999999999</v>
      </c>
      <c r="L6147">
        <v>57.854579999999999</v>
      </c>
      <c r="M6147">
        <v>1.7130200000000002E-2</v>
      </c>
      <c r="N6147">
        <v>0</v>
      </c>
      <c r="O6147">
        <v>0.99975179999999997</v>
      </c>
      <c r="P6147">
        <v>5.2154939999999997E-2</v>
      </c>
      <c r="Q6147">
        <v>2.9554149999999999E-3</v>
      </c>
      <c r="R6147">
        <v>0.99863460000000004</v>
      </c>
      <c r="S6147">
        <v>0.4016113</v>
      </c>
      <c r="T6147">
        <v>-5.2914259999999998E-2</v>
      </c>
      <c r="U6147">
        <v>2.9832459999999998</v>
      </c>
      <c r="V6147">
        <v>3.5022169999999998E-2</v>
      </c>
      <c r="W6147">
        <v>1.722185E-2</v>
      </c>
      <c r="X6147">
        <v>0.99923810000000002</v>
      </c>
      <c r="Y6147">
        <v>0.11639969999999999</v>
      </c>
      <c r="Z6147">
        <v>-1.759086E-2</v>
      </c>
      <c r="AA6147">
        <v>0.9930466</v>
      </c>
      <c r="AB6147">
        <v>30</v>
      </c>
      <c r="AC6147">
        <v>8.2362000000000197</v>
      </c>
      <c r="AD6147">
        <v>-1.0857730799999901</v>
      </c>
      <c r="AE6147">
        <v>60.920019999999901</v>
      </c>
      <c r="AF6147">
        <v>7.1890705602678597</v>
      </c>
      <c r="AG6147">
        <v>-1.0857730799999901</v>
      </c>
      <c r="AH6147">
        <v>61.033141719823199</v>
      </c>
      <c r="AI6147">
        <v>91.012182248470694</v>
      </c>
      <c r="AJ6147">
        <v>83.282106692023405</v>
      </c>
      <c r="AK6147">
        <v>61.464672999161003</v>
      </c>
      <c r="AL6147">
        <v>89.013211859556094</v>
      </c>
      <c r="AM6147">
        <v>87.992669139941299</v>
      </c>
      <c r="AN6147">
        <v>0.99999996250027001</v>
      </c>
    </row>
    <row r="6148" spans="1:40" x14ac:dyDescent="0.25">
      <c r="A6148" t="str">
        <f>"20190312154726614"</f>
        <v>20190312154726614</v>
      </c>
      <c r="B6148" t="str">
        <f>"1552376846603937"</f>
        <v>1552376846603937</v>
      </c>
      <c r="C6148" t="s">
        <v>40</v>
      </c>
      <c r="D6148">
        <v>4.5306150000000001</v>
      </c>
      <c r="E6148">
        <v>0.53196330000000003</v>
      </c>
      <c r="F6148" t="s">
        <v>42</v>
      </c>
      <c r="G6148">
        <v>-179.95779999999999</v>
      </c>
      <c r="H6148">
        <v>1.136852E-2</v>
      </c>
      <c r="I6148">
        <v>118.5458</v>
      </c>
      <c r="J6148">
        <v>-188.18969999999999</v>
      </c>
      <c r="K6148">
        <v>1.1102989999999999</v>
      </c>
      <c r="L6148">
        <v>58.132689999999997</v>
      </c>
      <c r="M6148">
        <v>1.6648989999999999E-2</v>
      </c>
      <c r="N6148">
        <v>0</v>
      </c>
      <c r="O6148">
        <v>0.99975999999999998</v>
      </c>
      <c r="P6148">
        <v>5.1383909999999998E-2</v>
      </c>
      <c r="Q6148">
        <v>3.6348499999999998E-3</v>
      </c>
      <c r="R6148">
        <v>0.99867240000000002</v>
      </c>
      <c r="S6148">
        <v>0.40483089999999999</v>
      </c>
      <c r="T6148">
        <v>-5.401516E-2</v>
      </c>
      <c r="U6148">
        <v>2.9831240000000001</v>
      </c>
      <c r="V6148">
        <v>3.4730999999999998E-2</v>
      </c>
      <c r="W6148">
        <v>1.7898379999999998E-2</v>
      </c>
      <c r="X6148">
        <v>0.99923640000000002</v>
      </c>
      <c r="Y6148">
        <v>0.1179347</v>
      </c>
      <c r="Z6148">
        <v>-1.7954749999999998E-2</v>
      </c>
      <c r="AA6148">
        <v>0.99285900000000005</v>
      </c>
      <c r="AB6148">
        <v>30</v>
      </c>
      <c r="AC6148">
        <v>8.2318999999999907</v>
      </c>
      <c r="AD6148">
        <v>-1.0989304799999999</v>
      </c>
      <c r="AE6148">
        <v>60.413110000000003</v>
      </c>
      <c r="AF6148">
        <v>7.22249329026394</v>
      </c>
      <c r="AG6148">
        <v>-1.0989304799999999</v>
      </c>
      <c r="AH6148">
        <v>60.522140644343899</v>
      </c>
      <c r="AI6148">
        <v>91.032906241163204</v>
      </c>
      <c r="AJ6148">
        <v>83.1947122884538</v>
      </c>
      <c r="AK6148">
        <v>60.961476078762402</v>
      </c>
      <c r="AL6148">
        <v>88.974443592836494</v>
      </c>
      <c r="AM6148">
        <v>88.009340974013796</v>
      </c>
      <c r="AN6148">
        <v>0.99999998872629203</v>
      </c>
    </row>
    <row r="6149" spans="1:40" x14ac:dyDescent="0.25">
      <c r="A6149" t="str">
        <f>"20190312154726637"</f>
        <v>20190312154726637</v>
      </c>
      <c r="B6149" t="str">
        <f>"1552376846624434"</f>
        <v>1552376846624434</v>
      </c>
      <c r="C6149" t="s">
        <v>40</v>
      </c>
      <c r="D6149">
        <v>4.5005240000000004</v>
      </c>
      <c r="E6149">
        <v>0.53236939999999999</v>
      </c>
      <c r="F6149" t="s">
        <v>42</v>
      </c>
      <c r="G6149">
        <v>-179.95779999999999</v>
      </c>
      <c r="H6149">
        <v>3.7267689999999999E-2</v>
      </c>
      <c r="I6149">
        <v>118.4812</v>
      </c>
      <c r="J6149">
        <v>-188.18549999999999</v>
      </c>
      <c r="K6149">
        <v>1.110293</v>
      </c>
      <c r="L6149">
        <v>58.4244699999999</v>
      </c>
      <c r="M6149">
        <v>1.6145070000000001E-2</v>
      </c>
      <c r="N6149">
        <v>0</v>
      </c>
      <c r="O6149">
        <v>0.99976830000000005</v>
      </c>
      <c r="P6149">
        <v>5.0477559999999998E-2</v>
      </c>
      <c r="Q6149">
        <v>3.9685720000000001E-3</v>
      </c>
      <c r="R6149">
        <v>0.99871730000000003</v>
      </c>
      <c r="S6149">
        <v>0.40693659999999998</v>
      </c>
      <c r="T6149">
        <v>-5.3043840000000002E-2</v>
      </c>
      <c r="U6149">
        <v>2.9832459999999998</v>
      </c>
      <c r="V6149">
        <v>3.4327490000000002E-2</v>
      </c>
      <c r="W6149">
        <v>1.8228769999999998E-2</v>
      </c>
      <c r="X6149">
        <v>0.99924440000000003</v>
      </c>
      <c r="Y6149">
        <v>0.11911860000000001</v>
      </c>
      <c r="Z6149">
        <v>-1.7629410000000002E-2</v>
      </c>
      <c r="AA6149">
        <v>0.99272349999999998</v>
      </c>
      <c r="AB6149">
        <v>30</v>
      </c>
      <c r="AC6149">
        <v>8.2276999999999898</v>
      </c>
      <c r="AD6149">
        <v>-1.07302531</v>
      </c>
      <c r="AE6149">
        <v>60.056730000000002</v>
      </c>
      <c r="AF6149">
        <v>7.2546358009810801</v>
      </c>
      <c r="AG6149">
        <v>-1.07302531</v>
      </c>
      <c r="AH6149">
        <v>60.162899200673301</v>
      </c>
      <c r="AI6149">
        <v>91.014434018584595</v>
      </c>
      <c r="AJ6149">
        <v>83.124287469527303</v>
      </c>
      <c r="AK6149">
        <v>60.608213669032999</v>
      </c>
      <c r="AL6149">
        <v>88.955510581182295</v>
      </c>
      <c r="AM6149">
        <v>88.032466206237899</v>
      </c>
      <c r="AN6149">
        <v>1.0000000177783801</v>
      </c>
    </row>
    <row r="6150" spans="1:40" x14ac:dyDescent="0.25">
      <c r="A6150" t="str">
        <f>"20190312154726660"</f>
        <v>20190312154726660</v>
      </c>
      <c r="B6150" t="str">
        <f>"1552376846654689"</f>
        <v>1552376846654689</v>
      </c>
      <c r="C6150" t="s">
        <v>40</v>
      </c>
      <c r="D6150">
        <v>4.4978910000000001</v>
      </c>
      <c r="E6150">
        <v>0.53281089999999998</v>
      </c>
      <c r="F6150" t="s">
        <v>42</v>
      </c>
      <c r="G6150">
        <v>-179.95779999999999</v>
      </c>
      <c r="H6150">
        <v>3.7036659999999999E-2</v>
      </c>
      <c r="I6150">
        <v>118.6922</v>
      </c>
      <c r="J6150">
        <v>-188.18100000000001</v>
      </c>
      <c r="K6150">
        <v>1.1103000000000001</v>
      </c>
      <c r="L6150">
        <v>58.734310000000001</v>
      </c>
      <c r="M6150">
        <v>1.561074E-2</v>
      </c>
      <c r="N6150">
        <v>0</v>
      </c>
      <c r="O6150">
        <v>0.99977680000000002</v>
      </c>
      <c r="P6150">
        <v>4.9763790000000002E-2</v>
      </c>
      <c r="Q6150">
        <v>4.5450009999999999E-3</v>
      </c>
      <c r="R6150">
        <v>0.99875069999999999</v>
      </c>
      <c r="S6150">
        <v>0.40730290000000002</v>
      </c>
      <c r="T6150">
        <v>-5.313039E-2</v>
      </c>
      <c r="U6150">
        <v>2.9834900000000002</v>
      </c>
      <c r="V6150">
        <v>3.4146900000000001E-2</v>
      </c>
      <c r="W6150">
        <v>1.880184E-2</v>
      </c>
      <c r="X6150">
        <v>0.99923989999999996</v>
      </c>
      <c r="Y6150">
        <v>0.1197579</v>
      </c>
      <c r="Z6150">
        <v>-1.7656129999999999E-2</v>
      </c>
      <c r="AA6150">
        <v>0.99264609999999998</v>
      </c>
      <c r="AB6150">
        <v>30</v>
      </c>
      <c r="AC6150">
        <v>8.2231999999999896</v>
      </c>
      <c r="AD6150">
        <v>-1.07326334</v>
      </c>
      <c r="AE6150">
        <v>59.957889999999999</v>
      </c>
      <c r="AF6150">
        <v>7.2838250763304302</v>
      </c>
      <c r="AG6150">
        <v>-1.07326334</v>
      </c>
      <c r="AH6150">
        <v>60.060076437907497</v>
      </c>
      <c r="AI6150">
        <v>91.016311873337301</v>
      </c>
      <c r="AJ6150">
        <v>83.085185430392997</v>
      </c>
      <c r="AK6150">
        <v>60.509658598168102</v>
      </c>
      <c r="AL6150">
        <v>88.922670385142993</v>
      </c>
      <c r="AM6150">
        <v>88.042800126030002</v>
      </c>
      <c r="AN6150">
        <v>0.99999994885950105</v>
      </c>
    </row>
    <row r="6151" spans="1:40" x14ac:dyDescent="0.25">
      <c r="A6151" t="str">
        <f>"20190312154726682"</f>
        <v>20190312154726682</v>
      </c>
      <c r="B6151" t="str">
        <f>"1552376846674209"</f>
        <v>1552376846674209</v>
      </c>
      <c r="C6151" t="s">
        <v>40</v>
      </c>
      <c r="D6151">
        <v>4.5226329999999999</v>
      </c>
      <c r="E6151">
        <v>0.53304309999999999</v>
      </c>
      <c r="F6151" t="s">
        <v>42</v>
      </c>
      <c r="G6151">
        <v>-179.95779999999999</v>
      </c>
      <c r="H6151">
        <v>4.3943919999999997E-2</v>
      </c>
      <c r="I6151">
        <v>118.7548</v>
      </c>
      <c r="J6151">
        <v>-188.17689999999999</v>
      </c>
      <c r="K6151">
        <v>1.110303</v>
      </c>
      <c r="L6151">
        <v>59.037599999999998</v>
      </c>
      <c r="M6151">
        <v>1.508834E-2</v>
      </c>
      <c r="N6151">
        <v>0</v>
      </c>
      <c r="O6151">
        <v>0.99978489999999998</v>
      </c>
      <c r="P6151">
        <v>4.9025350000000002E-2</v>
      </c>
      <c r="Q6151">
        <v>4.7683389999999999E-3</v>
      </c>
      <c r="R6151">
        <v>0.99878619999999996</v>
      </c>
      <c r="S6151">
        <v>0.40878300000000001</v>
      </c>
      <c r="T6151">
        <v>-5.3009029999999999E-2</v>
      </c>
      <c r="U6151">
        <v>2.9836429999999998</v>
      </c>
      <c r="V6151">
        <v>3.3930040000000002E-2</v>
      </c>
      <c r="W6151">
        <v>1.9021139999999999E-2</v>
      </c>
      <c r="X6151">
        <v>0.9992432</v>
      </c>
      <c r="Y6151">
        <v>0.1207532</v>
      </c>
      <c r="Z6151">
        <v>-1.7613480000000001E-2</v>
      </c>
      <c r="AA6151">
        <v>0.99252629999999997</v>
      </c>
      <c r="AB6151">
        <v>30</v>
      </c>
      <c r="AC6151">
        <v>8.2190999999999903</v>
      </c>
      <c r="AD6151">
        <v>-1.06635908</v>
      </c>
      <c r="AE6151">
        <v>59.717199999999998</v>
      </c>
      <c r="AF6151">
        <v>7.31475046362889</v>
      </c>
      <c r="AG6151">
        <v>-1.06635908</v>
      </c>
      <c r="AH6151">
        <v>59.815707218338503</v>
      </c>
      <c r="AI6151">
        <v>91.013776629313298</v>
      </c>
      <c r="AJ6151">
        <v>83.028023118510006</v>
      </c>
      <c r="AK6151">
        <v>60.270735237448797</v>
      </c>
      <c r="AL6151">
        <v>88.910103241424295</v>
      </c>
      <c r="AM6151">
        <v>88.055226745814906</v>
      </c>
      <c r="AN6151">
        <v>1.00000001206377</v>
      </c>
    </row>
    <row r="6152" spans="1:40" x14ac:dyDescent="0.25">
      <c r="A6152" t="str">
        <f>"20190312154726702"</f>
        <v>20190312154726702</v>
      </c>
      <c r="B6152" t="str">
        <f>"1552376846694705"</f>
        <v>1552376846694705</v>
      </c>
      <c r="C6152" t="s">
        <v>40</v>
      </c>
      <c r="D6152">
        <v>4.5155969999999996</v>
      </c>
      <c r="E6152">
        <v>0.53325040000000001</v>
      </c>
      <c r="F6152" t="s">
        <v>42</v>
      </c>
      <c r="G6152">
        <v>-179.95779999999999</v>
      </c>
      <c r="H6152">
        <v>3.0898129999999999E-2</v>
      </c>
      <c r="I6152">
        <v>119.0992</v>
      </c>
      <c r="J6152">
        <v>-188.17349999999999</v>
      </c>
      <c r="K6152">
        <v>1.110303</v>
      </c>
      <c r="L6152">
        <v>59.292789999999997</v>
      </c>
      <c r="M6152">
        <v>1.464881E-2</v>
      </c>
      <c r="N6152">
        <v>0</v>
      </c>
      <c r="O6152">
        <v>0.99979150000000006</v>
      </c>
      <c r="P6152">
        <v>4.8457649999999998E-2</v>
      </c>
      <c r="Q6152">
        <v>4.6012850000000001E-3</v>
      </c>
      <c r="R6152">
        <v>0.9988146</v>
      </c>
      <c r="S6152">
        <v>0.4083252</v>
      </c>
      <c r="T6152">
        <v>-5.3624749999999999E-2</v>
      </c>
      <c r="U6152">
        <v>2.9838559999999998</v>
      </c>
      <c r="V6152">
        <v>3.380155E-2</v>
      </c>
      <c r="W6152">
        <v>1.8851420000000001E-2</v>
      </c>
      <c r="X6152">
        <v>0.99925079999999999</v>
      </c>
      <c r="Y6152">
        <v>0.1210301</v>
      </c>
      <c r="Z6152">
        <v>-1.7816800000000001E-2</v>
      </c>
      <c r="AA6152">
        <v>0.99248890000000001</v>
      </c>
      <c r="AB6152">
        <v>30</v>
      </c>
      <c r="AC6152">
        <v>8.2156999999999893</v>
      </c>
      <c r="AD6152">
        <v>-1.0794048700000001</v>
      </c>
      <c r="AE6152">
        <v>59.8064099999999</v>
      </c>
      <c r="AF6152">
        <v>7.3362914088846196</v>
      </c>
      <c r="AG6152">
        <v>-1.0794048700000001</v>
      </c>
      <c r="AH6152">
        <v>59.901202986336301</v>
      </c>
      <c r="AI6152">
        <v>91.024689302639501</v>
      </c>
      <c r="AJ6152">
        <v>83.017575939719606</v>
      </c>
      <c r="AK6152">
        <v>60.358432763945402</v>
      </c>
      <c r="AL6152">
        <v>88.919829256282796</v>
      </c>
      <c r="AM6152">
        <v>88.062600527570098</v>
      </c>
      <c r="AN6152">
        <v>1.00000004105952</v>
      </c>
    </row>
    <row r="6153" spans="1:40" x14ac:dyDescent="0.25">
      <c r="A6153" t="str">
        <f>"20190312154726724"</f>
        <v>20190312154726724</v>
      </c>
      <c r="B6153" t="str">
        <f>"1552376846714225"</f>
        <v>1552376846714225</v>
      </c>
      <c r="C6153" t="s">
        <v>40</v>
      </c>
      <c r="D6153">
        <v>4.5163909999999996</v>
      </c>
      <c r="E6153">
        <v>0.53344669999999905</v>
      </c>
      <c r="F6153" t="s">
        <v>42</v>
      </c>
      <c r="G6153">
        <v>-179.95779999999999</v>
      </c>
      <c r="H6153">
        <v>2.1968069999999998E-3</v>
      </c>
      <c r="I6153">
        <v>119.324</v>
      </c>
      <c r="J6153">
        <v>-188.16980000000001</v>
      </c>
      <c r="K6153">
        <v>1.1103019999999999</v>
      </c>
      <c r="L6153">
        <v>59.58728</v>
      </c>
      <c r="M6153">
        <v>1.414164E-2</v>
      </c>
      <c r="N6153">
        <v>0</v>
      </c>
      <c r="O6153">
        <v>0.99979879999999999</v>
      </c>
      <c r="P6153">
        <v>4.7641740000000002E-2</v>
      </c>
      <c r="Q6153">
        <v>4.357395E-3</v>
      </c>
      <c r="R6153">
        <v>0.99885500000000005</v>
      </c>
      <c r="S6153">
        <v>0.40838619999999998</v>
      </c>
      <c r="T6153">
        <v>-5.5081369999999998E-2</v>
      </c>
      <c r="U6153">
        <v>2.9840089999999999</v>
      </c>
      <c r="V6153">
        <v>3.3492420000000002E-2</v>
      </c>
      <c r="W6153">
        <v>1.8603990000000001E-2</v>
      </c>
      <c r="X6153">
        <v>0.99926579999999998</v>
      </c>
      <c r="Y6153">
        <v>0.1215456</v>
      </c>
      <c r="Z6153">
        <v>-1.8299260000000001E-2</v>
      </c>
      <c r="AA6153">
        <v>0.9924172</v>
      </c>
      <c r="AB6153">
        <v>30</v>
      </c>
      <c r="AC6153">
        <v>8.2120000000000104</v>
      </c>
      <c r="AD6153">
        <v>-1.1081051929999901</v>
      </c>
      <c r="AE6153">
        <v>59.736719999999899</v>
      </c>
      <c r="AF6153">
        <v>7.36383110236339</v>
      </c>
      <c r="AG6153">
        <v>-1.1081051929999901</v>
      </c>
      <c r="AH6153">
        <v>59.826683855027902</v>
      </c>
      <c r="AI6153">
        <v>91.053160662108397</v>
      </c>
      <c r="AJ6153">
        <v>82.982982273846503</v>
      </c>
      <c r="AK6153">
        <v>60.2883571405984</v>
      </c>
      <c r="AL6153">
        <v>88.9340083879205</v>
      </c>
      <c r="AM6153">
        <v>88.080334372124497</v>
      </c>
      <c r="AN6153">
        <v>0.99999999484550794</v>
      </c>
    </row>
    <row r="6154" spans="1:40" x14ac:dyDescent="0.25">
      <c r="A6154" t="str">
        <f>"20190312154726749"</f>
        <v>20190312154726749</v>
      </c>
      <c r="B6154" t="str">
        <f>"1552376846744480"</f>
        <v>1552376846744480</v>
      </c>
      <c r="C6154" t="s">
        <v>40</v>
      </c>
      <c r="D6154">
        <v>4.5215920000000001</v>
      </c>
      <c r="E6154">
        <v>0.53373499999999996</v>
      </c>
      <c r="F6154" t="s">
        <v>42</v>
      </c>
      <c r="G6154">
        <v>-180.22020000000001</v>
      </c>
      <c r="H6154" s="1">
        <v>-5.3800879999999899E-6</v>
      </c>
      <c r="I6154">
        <v>117.8111</v>
      </c>
      <c r="J6154">
        <v>-188.16589999999999</v>
      </c>
      <c r="K6154">
        <v>1.110304</v>
      </c>
      <c r="L6154">
        <v>59.906190000000002</v>
      </c>
      <c r="M6154">
        <v>1.3592409999999999E-2</v>
      </c>
      <c r="N6154">
        <v>0</v>
      </c>
      <c r="O6154">
        <v>0.99980650000000004</v>
      </c>
      <c r="P6154">
        <v>4.6607089999999997E-2</v>
      </c>
      <c r="Q6154">
        <v>4.8430849999999996E-3</v>
      </c>
      <c r="R6154">
        <v>0.9989015</v>
      </c>
      <c r="S6154">
        <v>0.40745540000000002</v>
      </c>
      <c r="T6154">
        <v>-5.6908609999999998E-2</v>
      </c>
      <c r="U6154">
        <v>2.9842529999999998</v>
      </c>
      <c r="V6154">
        <v>3.3005840000000002E-2</v>
      </c>
      <c r="W6154">
        <v>1.9085979999999999E-2</v>
      </c>
      <c r="X6154">
        <v>0.99927290000000002</v>
      </c>
      <c r="Y6154">
        <v>0.1217746</v>
      </c>
      <c r="Z6154">
        <v>-1.8904919999999999E-2</v>
      </c>
      <c r="AA6154">
        <v>0.99237779999999998</v>
      </c>
      <c r="AB6154">
        <v>29</v>
      </c>
      <c r="AC6154">
        <v>7.94569999999998</v>
      </c>
      <c r="AD6154">
        <v>-1.110309380088</v>
      </c>
      <c r="AE6154">
        <v>57.904910000000001</v>
      </c>
      <c r="AF6154">
        <v>7.1552368131410198</v>
      </c>
      <c r="AG6154">
        <v>-1.110309380088</v>
      </c>
      <c r="AH6154">
        <v>57.986645849781503</v>
      </c>
      <c r="AI6154">
        <v>91.088691843083794</v>
      </c>
      <c r="AJ6154">
        <v>82.965571100186096</v>
      </c>
      <c r="AK6154">
        <v>58.436985699808503</v>
      </c>
      <c r="AL6154">
        <v>88.906387489257298</v>
      </c>
      <c r="AM6154">
        <v>88.108216413356601</v>
      </c>
      <c r="AN6154">
        <v>0.99999999439053799</v>
      </c>
    </row>
    <row r="6155" spans="1:40" x14ac:dyDescent="0.25">
      <c r="A6155" t="str">
        <f>"20190312154726771"</f>
        <v>20190312154726771</v>
      </c>
      <c r="B6155" t="str">
        <f>"1552376846764001"</f>
        <v>1552376846764001</v>
      </c>
      <c r="C6155" t="s">
        <v>40</v>
      </c>
      <c r="D6155">
        <v>4.5841430000000001</v>
      </c>
      <c r="E6155">
        <v>0.53384229999999999</v>
      </c>
      <c r="F6155" t="s">
        <v>42</v>
      </c>
      <c r="G6155">
        <v>-180.29769999999999</v>
      </c>
      <c r="H6155" s="1">
        <v>-5.3062839999999999E-6</v>
      </c>
      <c r="I6155">
        <v>117.6549</v>
      </c>
      <c r="J6155">
        <v>-188.1626</v>
      </c>
      <c r="K6155">
        <v>1.1103069999999999</v>
      </c>
      <c r="L6155">
        <v>60.191929999999999</v>
      </c>
      <c r="M6155">
        <v>1.310007E-2</v>
      </c>
      <c r="N6155">
        <v>0</v>
      </c>
      <c r="O6155">
        <v>0.99981310000000001</v>
      </c>
      <c r="P6155">
        <v>4.5167069999999997E-2</v>
      </c>
      <c r="Q6155">
        <v>5.4677500000000004E-3</v>
      </c>
      <c r="R6155">
        <v>0.99896450000000003</v>
      </c>
      <c r="S6155">
        <v>0.40664670000000003</v>
      </c>
      <c r="T6155">
        <v>-5.7383419999999997E-2</v>
      </c>
      <c r="U6155">
        <v>2.9845890000000002</v>
      </c>
      <c r="V6155">
        <v>3.2056750000000002E-2</v>
      </c>
      <c r="W6155">
        <v>1.9706709999999999E-2</v>
      </c>
      <c r="X6155">
        <v>0.99929179999999995</v>
      </c>
      <c r="Y6155">
        <v>0.121984</v>
      </c>
      <c r="Z6155">
        <v>-1.906076E-2</v>
      </c>
      <c r="AA6155">
        <v>0.99234900000000004</v>
      </c>
      <c r="AB6155">
        <v>29</v>
      </c>
      <c r="AC6155">
        <v>7.8648999999999996</v>
      </c>
      <c r="AD6155">
        <v>-1.1103123062839999</v>
      </c>
      <c r="AE6155">
        <v>57.462969999999899</v>
      </c>
      <c r="AF6155">
        <v>7.1087747068220102</v>
      </c>
      <c r="AG6155">
        <v>-1.1103123062839999</v>
      </c>
      <c r="AH6155">
        <v>57.5399918603988</v>
      </c>
      <c r="AI6155">
        <v>91.097123583418806</v>
      </c>
      <c r="AJ6155">
        <v>82.957084630525799</v>
      </c>
      <c r="AK6155">
        <v>57.988086143143299</v>
      </c>
      <c r="AL6155">
        <v>88.870815645065704</v>
      </c>
      <c r="AM6155">
        <v>88.1626119433989</v>
      </c>
      <c r="AN6155">
        <v>1.0000000455934099</v>
      </c>
    </row>
    <row r="6156" spans="1:40" x14ac:dyDescent="0.25">
      <c r="A6156" t="str">
        <f>"20190312154726794"</f>
        <v>20190312154726794</v>
      </c>
      <c r="B6156" t="str">
        <f>"1552376846784497"</f>
        <v>1552376846784497</v>
      </c>
      <c r="C6156" t="s">
        <v>40</v>
      </c>
      <c r="D6156">
        <v>4.6626949999999896</v>
      </c>
      <c r="E6156">
        <v>0.50419859999999905</v>
      </c>
      <c r="F6156" t="s">
        <v>42</v>
      </c>
      <c r="G6156">
        <v>-180.1429</v>
      </c>
      <c r="H6156" s="1">
        <v>-6.013694E-6</v>
      </c>
      <c r="I6156">
        <v>119.57510000000001</v>
      </c>
      <c r="J6156">
        <v>-188.1591</v>
      </c>
      <c r="K6156">
        <v>1.110312</v>
      </c>
      <c r="L6156">
        <v>60.501249999999999</v>
      </c>
      <c r="M6156">
        <v>1.2566910000000001E-2</v>
      </c>
      <c r="N6156">
        <v>0</v>
      </c>
      <c r="O6156">
        <v>0.99982000000000004</v>
      </c>
      <c r="P6156">
        <v>4.353162E-2</v>
      </c>
      <c r="Q6156">
        <v>6.5320439999999999E-3</v>
      </c>
      <c r="R6156">
        <v>0.99903070000000005</v>
      </c>
      <c r="S6156">
        <v>0.40315250000000002</v>
      </c>
      <c r="T6156">
        <v>-5.5815579999999997E-2</v>
      </c>
      <c r="U6156">
        <v>2.9851990000000002</v>
      </c>
      <c r="V6156">
        <v>3.09526E-2</v>
      </c>
      <c r="W6156">
        <v>2.07665E-2</v>
      </c>
      <c r="X6156">
        <v>0.99930509999999995</v>
      </c>
      <c r="Y6156">
        <v>0.1213468</v>
      </c>
      <c r="Z6156">
        <v>-1.853877E-2</v>
      </c>
      <c r="AA6156">
        <v>0.99243700000000001</v>
      </c>
      <c r="AB6156">
        <v>29</v>
      </c>
      <c r="AC6156">
        <v>8.0161999999999907</v>
      </c>
      <c r="AD6156">
        <v>-1.1103180136940001</v>
      </c>
      <c r="AE6156">
        <v>59.07385</v>
      </c>
      <c r="AF6156">
        <v>7.2705940690421196</v>
      </c>
      <c r="AG6156">
        <v>-1.1103180136940001</v>
      </c>
      <c r="AH6156">
        <v>59.149415451707704</v>
      </c>
      <c r="AI6156">
        <v>91.067364993663801</v>
      </c>
      <c r="AJ6156">
        <v>82.992404985925404</v>
      </c>
      <c r="AK6156">
        <v>59.604930102190799</v>
      </c>
      <c r="AL6156">
        <v>88.810081655743303</v>
      </c>
      <c r="AM6156">
        <v>88.225880641476195</v>
      </c>
      <c r="AN6156">
        <v>0.99999999692750896</v>
      </c>
    </row>
    <row r="6157" spans="1:40" x14ac:dyDescent="0.25">
      <c r="A6157" t="str">
        <f>"20190312154726814"</f>
        <v>20190312154726814</v>
      </c>
      <c r="B6157" t="str">
        <f>"1552376846804017"</f>
        <v>1552376846804017</v>
      </c>
      <c r="C6157" t="s">
        <v>40</v>
      </c>
      <c r="D6157">
        <v>4.7078249999999997</v>
      </c>
      <c r="E6157">
        <v>0.4895755</v>
      </c>
      <c r="F6157" t="s">
        <v>43</v>
      </c>
      <c r="G6157">
        <v>-172.4204</v>
      </c>
      <c r="H6157">
        <v>-0.05</v>
      </c>
      <c r="I6157">
        <v>349.56720000000001</v>
      </c>
      <c r="J6157">
        <v>-188.15629999999999</v>
      </c>
      <c r="K6157">
        <v>1.1103130000000001</v>
      </c>
      <c r="L6157">
        <v>60.765500000000003</v>
      </c>
      <c r="M6157">
        <v>1.2112039999999999E-2</v>
      </c>
      <c r="N6157">
        <v>0</v>
      </c>
      <c r="O6157">
        <v>0.99982570000000004</v>
      </c>
      <c r="P6157">
        <v>4.2606089999999999E-2</v>
      </c>
      <c r="Q6157">
        <v>6.7323239999999996E-3</v>
      </c>
      <c r="R6157">
        <v>0.99906930000000005</v>
      </c>
      <c r="S6157">
        <v>0.1631165</v>
      </c>
      <c r="T6157">
        <v>-1.202548E-2</v>
      </c>
      <c r="U6157">
        <v>2.9958800000000001</v>
      </c>
      <c r="V6157">
        <v>3.048126E-2</v>
      </c>
      <c r="W6157">
        <v>2.0963389999999998E-2</v>
      </c>
      <c r="X6157">
        <v>0.99931550000000002</v>
      </c>
      <c r="Y6157">
        <v>4.2266629999999999E-2</v>
      </c>
      <c r="Z6157">
        <v>-4.0087669999999999E-3</v>
      </c>
      <c r="AA6157">
        <v>0.99909829999999999</v>
      </c>
      <c r="AB6157">
        <v>29</v>
      </c>
      <c r="AC6157">
        <v>15.7358999999999</v>
      </c>
      <c r="AD6157">
        <v>-1.1603129999999999</v>
      </c>
      <c r="AE6157">
        <v>288.80169999999998</v>
      </c>
      <c r="AF6157">
        <v>12.2362176940099</v>
      </c>
      <c r="AG6157">
        <v>-1.1603129999999999</v>
      </c>
      <c r="AH6157">
        <v>288.96647359292501</v>
      </c>
      <c r="AI6157">
        <v>90.229857664120104</v>
      </c>
      <c r="AJ6157">
        <v>87.575272176835398</v>
      </c>
      <c r="AK6157">
        <v>289.227754910285</v>
      </c>
      <c r="AL6157">
        <v>88.798798260700096</v>
      </c>
      <c r="AM6157">
        <v>88.2528978744364</v>
      </c>
      <c r="AN6157">
        <v>1.0000000197358601</v>
      </c>
    </row>
    <row r="6158" spans="1:40" x14ac:dyDescent="0.25">
      <c r="A6158" t="str">
        <f>"20190312154726837"</f>
        <v>20190312154726837</v>
      </c>
      <c r="B6158" t="str">
        <f>"1552376846824523"</f>
        <v>1552376846824523</v>
      </c>
      <c r="C6158" t="s">
        <v>40</v>
      </c>
      <c r="D6158">
        <v>4.7061330000000003</v>
      </c>
      <c r="E6158">
        <v>0.48406749999999998</v>
      </c>
      <c r="F6158" t="s">
        <v>53</v>
      </c>
      <c r="G6158">
        <v>-185.86429999999999</v>
      </c>
      <c r="H6158" s="1">
        <v>2.9024349999999999E-6</v>
      </c>
      <c r="I6158">
        <v>218.5461</v>
      </c>
      <c r="J6158">
        <v>-188.1533</v>
      </c>
      <c r="K6158">
        <v>1.110309</v>
      </c>
      <c r="L6158">
        <v>61.062469999999998</v>
      </c>
      <c r="M6158">
        <v>1.160398E-2</v>
      </c>
      <c r="N6158">
        <v>0</v>
      </c>
      <c r="O6158">
        <v>0.99983169999999999</v>
      </c>
      <c r="P6158">
        <v>4.2108979999999997E-2</v>
      </c>
      <c r="Q6158">
        <v>7.2942190000000002E-3</v>
      </c>
      <c r="R6158">
        <v>0.99908640000000004</v>
      </c>
      <c r="S6158">
        <v>4.3594359999999999E-2</v>
      </c>
      <c r="T6158">
        <v>-2.111888E-2</v>
      </c>
      <c r="U6158">
        <v>3.001099</v>
      </c>
      <c r="V6158">
        <v>3.049149E-2</v>
      </c>
      <c r="W6158">
        <v>2.1522119999999999E-2</v>
      </c>
      <c r="X6158">
        <v>0.99930330000000001</v>
      </c>
      <c r="Y6158">
        <v>2.9193359999999998E-3</v>
      </c>
      <c r="Z6158">
        <v>-7.0357789999999998E-3</v>
      </c>
      <c r="AA6158">
        <v>0.99997100000000005</v>
      </c>
      <c r="AB6158">
        <v>29</v>
      </c>
      <c r="AC6158">
        <v>2.2890000000000099</v>
      </c>
      <c r="AD6158">
        <v>-1.1103060975650001</v>
      </c>
      <c r="AE6158">
        <v>157.48363000000001</v>
      </c>
      <c r="AF6158">
        <v>0.46120151591978797</v>
      </c>
      <c r="AG6158">
        <v>-1.1103060975650001</v>
      </c>
      <c r="AH6158">
        <v>157.49176218665801</v>
      </c>
      <c r="AI6158">
        <v>90.403922883417295</v>
      </c>
      <c r="AJ6158">
        <v>89.832214558627896</v>
      </c>
      <c r="AK6158">
        <v>157.496351205758</v>
      </c>
      <c r="AL6158">
        <v>88.766778151363894</v>
      </c>
      <c r="AM6158">
        <v>88.252290559077906</v>
      </c>
      <c r="AN6158">
        <v>1.0000000090012999</v>
      </c>
    </row>
    <row r="6159" spans="1:40" x14ac:dyDescent="0.25">
      <c r="A6159" t="str">
        <f>"20190312154726858"</f>
        <v>20190312154726858</v>
      </c>
      <c r="B6159" t="str">
        <f>"1552376846844033"</f>
        <v>1552376846844033</v>
      </c>
      <c r="C6159" t="s">
        <v>40</v>
      </c>
      <c r="D6159">
        <v>4.6288309999999999</v>
      </c>
      <c r="E6159">
        <v>0.4814311</v>
      </c>
      <c r="F6159" t="s">
        <v>52</v>
      </c>
      <c r="G6159">
        <v>-188.2193</v>
      </c>
      <c r="H6159" s="1">
        <v>-1.397961E-5</v>
      </c>
      <c r="I6159">
        <v>157.2902</v>
      </c>
      <c r="J6159">
        <v>-188.15049999999999</v>
      </c>
      <c r="K6159">
        <v>1.110312</v>
      </c>
      <c r="L6159">
        <v>61.342500000000001</v>
      </c>
      <c r="M6159">
        <v>1.1129750000000001E-2</v>
      </c>
      <c r="N6159">
        <v>0</v>
      </c>
      <c r="O6159">
        <v>0.99983719999999998</v>
      </c>
      <c r="P6159">
        <v>4.1531859999999997E-2</v>
      </c>
      <c r="Q6159">
        <v>7.9868779999999993E-3</v>
      </c>
      <c r="R6159">
        <v>0.99910529999999997</v>
      </c>
      <c r="S6159">
        <v>-2.059937E-3</v>
      </c>
      <c r="T6159">
        <v>-3.4651040000000001E-2</v>
      </c>
      <c r="U6159">
        <v>3.003082</v>
      </c>
      <c r="V6159">
        <v>3.0387850000000001E-2</v>
      </c>
      <c r="W6159">
        <v>2.2210980000000002E-2</v>
      </c>
      <c r="X6159">
        <v>0.99929140000000005</v>
      </c>
      <c r="Y6159">
        <v>-1.1816729999999999E-2</v>
      </c>
      <c r="Z6159">
        <v>-1.153625E-2</v>
      </c>
      <c r="AA6159">
        <v>0.99986359999999996</v>
      </c>
      <c r="AB6159">
        <v>29</v>
      </c>
      <c r="AC6159">
        <v>-6.8800000000010103E-2</v>
      </c>
      <c r="AD6159">
        <v>-1.11032597961</v>
      </c>
      <c r="AE6159">
        <v>95.947699999999998</v>
      </c>
      <c r="AF6159">
        <v>-1.13662515243771</v>
      </c>
      <c r="AG6159">
        <v>-1.11032597961</v>
      </c>
      <c r="AH6159">
        <v>95.928143939231802</v>
      </c>
      <c r="AI6159">
        <v>90.663097237253595</v>
      </c>
      <c r="AJ6159">
        <v>90.678849543874904</v>
      </c>
      <c r="AK6159">
        <v>95.941302576857495</v>
      </c>
      <c r="AL6159">
        <v>88.727299962071399</v>
      </c>
      <c r="AM6159">
        <v>88.258206596105296</v>
      </c>
      <c r="AN6159">
        <v>1.00000002558707</v>
      </c>
    </row>
    <row r="6160" spans="1:40" x14ac:dyDescent="0.25">
      <c r="A6160" t="str">
        <f>"20190312154726882"</f>
        <v>20190312154726882</v>
      </c>
      <c r="B6160" t="str">
        <f>"1552376846874289"</f>
        <v>1552376846874289</v>
      </c>
      <c r="C6160" t="s">
        <v>40</v>
      </c>
      <c r="D6160">
        <v>4.6766889999999997</v>
      </c>
      <c r="E6160">
        <v>0.47933439999999999</v>
      </c>
      <c r="F6160" t="s">
        <v>52</v>
      </c>
      <c r="G6160">
        <v>-188.90969999999999</v>
      </c>
      <c r="H6160" s="1">
        <v>-1.169042E-5</v>
      </c>
      <c r="I6160">
        <v>151.9727</v>
      </c>
      <c r="J6160">
        <v>-188.14769999999999</v>
      </c>
      <c r="K6160">
        <v>1.1103069999999999</v>
      </c>
      <c r="L6160">
        <v>61.649929999999998</v>
      </c>
      <c r="M6160">
        <v>1.061643E-2</v>
      </c>
      <c r="N6160">
        <v>0</v>
      </c>
      <c r="O6160">
        <v>0.99984280000000003</v>
      </c>
      <c r="P6160">
        <v>4.1716959999999997E-2</v>
      </c>
      <c r="Q6160">
        <v>7.912189E-3</v>
      </c>
      <c r="R6160">
        <v>0.99909809999999999</v>
      </c>
      <c r="S6160">
        <v>-2.5161739999999998E-2</v>
      </c>
      <c r="T6160">
        <v>-3.6802769999999999E-2</v>
      </c>
      <c r="U6160">
        <v>3.0040279999999999</v>
      </c>
      <c r="V6160">
        <v>3.1086599999999999E-2</v>
      </c>
      <c r="W6160">
        <v>2.2132800000000001E-2</v>
      </c>
      <c r="X6160">
        <v>0.99927160000000004</v>
      </c>
      <c r="Y6160">
        <v>-1.899174E-2</v>
      </c>
      <c r="Z6160">
        <v>-1.2247869999999999E-2</v>
      </c>
      <c r="AA6160">
        <v>0.99974459999999998</v>
      </c>
      <c r="AB6160">
        <v>29</v>
      </c>
      <c r="AC6160">
        <v>-0.76200000000000001</v>
      </c>
      <c r="AD6160">
        <v>-1.11031869042</v>
      </c>
      <c r="AE6160">
        <v>90.322770000000006</v>
      </c>
      <c r="AF6160">
        <v>-1.72069911664734</v>
      </c>
      <c r="AG6160">
        <v>-1.11031869042</v>
      </c>
      <c r="AH6160">
        <v>90.295944330630803</v>
      </c>
      <c r="AI6160">
        <v>90.704370759488697</v>
      </c>
      <c r="AJ6160">
        <v>91.091708677506901</v>
      </c>
      <c r="AK6160">
        <v>90.319162837156</v>
      </c>
      <c r="AL6160">
        <v>88.7317803947371</v>
      </c>
      <c r="AM6160">
        <v>88.218145368836502</v>
      </c>
      <c r="AN6160">
        <v>0.99999998405098001</v>
      </c>
    </row>
    <row r="6161" spans="1:40" x14ac:dyDescent="0.25">
      <c r="A6161" t="str">
        <f>"20190312154726903"</f>
        <v>20190312154726903</v>
      </c>
      <c r="B6161" t="str">
        <f>"1552376846894784"</f>
        <v>1552376846894784</v>
      </c>
      <c r="C6161" t="s">
        <v>40</v>
      </c>
      <c r="D6161">
        <v>4.7045909999999997</v>
      </c>
      <c r="E6161">
        <v>0.47858089999999998</v>
      </c>
      <c r="F6161" t="s">
        <v>52</v>
      </c>
      <c r="G6161">
        <v>-189.11349999999999</v>
      </c>
      <c r="H6161" s="1">
        <v>-5.4764029999999996E-6</v>
      </c>
      <c r="I6161">
        <v>131.41640000000001</v>
      </c>
      <c r="J6161">
        <v>-188.14529999999999</v>
      </c>
      <c r="K6161">
        <v>1.1102970000000001</v>
      </c>
      <c r="L6161">
        <v>61.919620000000002</v>
      </c>
      <c r="M6161">
        <v>1.0177159999999999E-2</v>
      </c>
      <c r="N6161">
        <v>0</v>
      </c>
      <c r="O6161">
        <v>0.99984740000000005</v>
      </c>
      <c r="P6161">
        <v>4.1265040000000003E-2</v>
      </c>
      <c r="Q6161">
        <v>7.9478039999999993E-3</v>
      </c>
      <c r="R6161">
        <v>0.99911660000000002</v>
      </c>
      <c r="S6161">
        <v>-4.1595460000000001E-2</v>
      </c>
      <c r="T6161">
        <v>-4.7820809999999998E-2</v>
      </c>
      <c r="U6161">
        <v>3.0048219999999999</v>
      </c>
      <c r="V6161">
        <v>3.1074069999999999E-2</v>
      </c>
      <c r="W6161">
        <v>2.2164739999999999E-2</v>
      </c>
      <c r="X6161">
        <v>0.99927129999999997</v>
      </c>
      <c r="Y6161">
        <v>-2.4016320000000001E-2</v>
      </c>
      <c r="Z6161">
        <v>-1.5908390000000001E-2</v>
      </c>
      <c r="AA6161">
        <v>0.99958499999999995</v>
      </c>
      <c r="AB6161">
        <v>29</v>
      </c>
      <c r="AC6161">
        <v>-0.96819999999999595</v>
      </c>
      <c r="AD6161">
        <v>-1.1103024764029901</v>
      </c>
      <c r="AE6161">
        <v>69.496780000000001</v>
      </c>
      <c r="AF6161">
        <v>-1.6750735357736699</v>
      </c>
      <c r="AG6161">
        <v>-1.1103024764029901</v>
      </c>
      <c r="AH6161">
        <v>69.465598468187196</v>
      </c>
      <c r="AI6161">
        <v>90.915442294141201</v>
      </c>
      <c r="AJ6161">
        <v>91.381346312622199</v>
      </c>
      <c r="AK6161">
        <v>69.494661762489102</v>
      </c>
      <c r="AL6161">
        <v>88.729949941604602</v>
      </c>
      <c r="AM6161">
        <v>88.218862579534999</v>
      </c>
      <c r="AN6161">
        <v>1.00000000226466</v>
      </c>
    </row>
    <row r="6162" spans="1:40" x14ac:dyDescent="0.25">
      <c r="A6162" t="str">
        <f>"20190312154726926"</f>
        <v>20190312154726926</v>
      </c>
      <c r="B6162" t="str">
        <f>"1552376846914305"</f>
        <v>1552376846914305</v>
      </c>
      <c r="C6162" t="s">
        <v>40</v>
      </c>
      <c r="D6162">
        <v>4.7208209999999999</v>
      </c>
      <c r="E6162">
        <v>0.47802169999999999</v>
      </c>
      <c r="F6162" t="s">
        <v>52</v>
      </c>
      <c r="G6162">
        <v>-189.20269999999999</v>
      </c>
      <c r="H6162" s="1">
        <v>-3.6023970000000001E-6</v>
      </c>
      <c r="I6162">
        <v>126.5531</v>
      </c>
      <c r="J6162">
        <v>-188.14279999999999</v>
      </c>
      <c r="K6162">
        <v>1.11029</v>
      </c>
      <c r="L6162">
        <v>62.223419999999997</v>
      </c>
      <c r="M6162">
        <v>9.7004729999999994E-3</v>
      </c>
      <c r="N6162">
        <v>0</v>
      </c>
      <c r="O6162">
        <v>0.99985219999999997</v>
      </c>
      <c r="P6162">
        <v>4.0584580000000002E-2</v>
      </c>
      <c r="Q6162">
        <v>8.5516029999999996E-3</v>
      </c>
      <c r="R6162">
        <v>0.99913949999999996</v>
      </c>
      <c r="S6162">
        <v>-4.9163819999999997E-2</v>
      </c>
      <c r="T6162">
        <v>-5.1622750000000002E-2</v>
      </c>
      <c r="U6162">
        <v>3.005096</v>
      </c>
      <c r="V6162">
        <v>3.0870100000000001E-2</v>
      </c>
      <c r="W6162">
        <v>2.2763970000000001E-2</v>
      </c>
      <c r="X6162">
        <v>0.99926409999999999</v>
      </c>
      <c r="Y6162">
        <v>-2.605493E-2</v>
      </c>
      <c r="Z6162">
        <v>-1.7170589999999999E-2</v>
      </c>
      <c r="AA6162">
        <v>0.99951299999999998</v>
      </c>
      <c r="AB6162">
        <v>29</v>
      </c>
      <c r="AC6162">
        <v>-1.0598999999999901</v>
      </c>
      <c r="AD6162">
        <v>-1.110293602397</v>
      </c>
      <c r="AE6162">
        <v>64.329679999999996</v>
      </c>
      <c r="AF6162">
        <v>-1.6834399783126299</v>
      </c>
      <c r="AG6162">
        <v>-1.110293602397</v>
      </c>
      <c r="AH6162">
        <v>64.297221898883905</v>
      </c>
      <c r="AI6162">
        <v>90.988954530598804</v>
      </c>
      <c r="AJ6162">
        <v>91.499784471567096</v>
      </c>
      <c r="AK6162">
        <v>64.328838524867095</v>
      </c>
      <c r="AL6162">
        <v>88.695607858555306</v>
      </c>
      <c r="AM6162">
        <v>88.230533756164604</v>
      </c>
      <c r="AN6162">
        <v>0.99999995147648901</v>
      </c>
    </row>
    <row r="6163" spans="1:40" x14ac:dyDescent="0.25">
      <c r="A6163" t="str">
        <f>"20190312154726949"</f>
        <v>20190312154726949</v>
      </c>
      <c r="B6163" t="str">
        <f>"1552376846944561"</f>
        <v>1552376846944561</v>
      </c>
      <c r="C6163" t="s">
        <v>40</v>
      </c>
      <c r="D6163">
        <v>4.7369890000000003</v>
      </c>
      <c r="E6163">
        <v>0.47728920000000002</v>
      </c>
      <c r="F6163" t="s">
        <v>52</v>
      </c>
      <c r="G6163">
        <v>-189.29079999999999</v>
      </c>
      <c r="H6163" s="1">
        <v>-2.6435799999999999E-6</v>
      </c>
      <c r="I6163">
        <v>124.26909999999999</v>
      </c>
      <c r="J6163">
        <v>-188.1404</v>
      </c>
      <c r="K6163">
        <v>1.110276</v>
      </c>
      <c r="L6163">
        <v>62.523589999999999</v>
      </c>
      <c r="M6163">
        <v>9.2517529999999997E-3</v>
      </c>
      <c r="N6163">
        <v>0</v>
      </c>
      <c r="O6163">
        <v>0.99985650000000004</v>
      </c>
      <c r="P6163">
        <v>3.9391530000000001E-2</v>
      </c>
      <c r="Q6163">
        <v>9.0631319999999998E-3</v>
      </c>
      <c r="R6163">
        <v>0.99918280000000004</v>
      </c>
      <c r="S6163">
        <v>-5.5603029999999998E-2</v>
      </c>
      <c r="T6163">
        <v>-5.3779239999999999E-2</v>
      </c>
      <c r="U6163">
        <v>3.0053100000000001</v>
      </c>
      <c r="V6163">
        <v>3.0125740000000002E-2</v>
      </c>
      <c r="W6163">
        <v>2.3270720000000002E-2</v>
      </c>
      <c r="X6163">
        <v>0.99927520000000003</v>
      </c>
      <c r="Y6163">
        <v>-2.7745780000000001E-2</v>
      </c>
      <c r="Z6163">
        <v>-1.7885749999999999E-2</v>
      </c>
      <c r="AA6163">
        <v>0.99945499999999998</v>
      </c>
      <c r="AB6163">
        <v>29</v>
      </c>
      <c r="AC6163">
        <v>-1.1503999999999901</v>
      </c>
      <c r="AD6163">
        <v>-1.1102786435800001</v>
      </c>
      <c r="AE6163">
        <v>61.745509999999904</v>
      </c>
      <c r="AF6163">
        <v>-1.72110619036441</v>
      </c>
      <c r="AG6163">
        <v>-1.1102786435800001</v>
      </c>
      <c r="AH6163">
        <v>61.712275734115998</v>
      </c>
      <c r="AI6163">
        <v>91.030308798125503</v>
      </c>
      <c r="AJ6163">
        <v>91.597519528600003</v>
      </c>
      <c r="AK6163">
        <v>61.7462541492879</v>
      </c>
      <c r="AL6163">
        <v>88.666565598946207</v>
      </c>
      <c r="AM6163">
        <v>88.273193299742204</v>
      </c>
      <c r="AN6163">
        <v>1.0000000059774501</v>
      </c>
    </row>
    <row r="6164" spans="1:40" x14ac:dyDescent="0.25">
      <c r="A6164" t="str">
        <f>"20190312154726971"</f>
        <v>20190312154726971</v>
      </c>
      <c r="B6164" t="str">
        <f>"1552376846964083"</f>
        <v>1552376846964083</v>
      </c>
      <c r="C6164" t="s">
        <v>40</v>
      </c>
      <c r="D6164">
        <v>4.7703579999999999</v>
      </c>
      <c r="E6164">
        <v>0.47689409999999999</v>
      </c>
      <c r="F6164" t="s">
        <v>52</v>
      </c>
      <c r="G6164">
        <v>-189.40969999999999</v>
      </c>
      <c r="H6164" s="1">
        <v>-8.2385930000000002E-7</v>
      </c>
      <c r="I6164">
        <v>120.9799</v>
      </c>
      <c r="J6164">
        <v>-188.13820000000001</v>
      </c>
      <c r="K6164">
        <v>1.1102639999999999</v>
      </c>
      <c r="L6164">
        <v>62.816009999999999</v>
      </c>
      <c r="M6164">
        <v>8.8350519999999995E-3</v>
      </c>
      <c r="N6164">
        <v>0</v>
      </c>
      <c r="O6164">
        <v>0.99986030000000004</v>
      </c>
      <c r="P6164">
        <v>3.8586490000000001E-2</v>
      </c>
      <c r="Q6164">
        <v>8.916574E-3</v>
      </c>
      <c r="R6164">
        <v>0.99921550000000003</v>
      </c>
      <c r="S6164">
        <v>-6.5261840000000002E-2</v>
      </c>
      <c r="T6164">
        <v>-5.7085280000000002E-2</v>
      </c>
      <c r="U6164">
        <v>3.0055540000000001</v>
      </c>
      <c r="V6164">
        <v>2.9738069999999998E-2</v>
      </c>
      <c r="W6164">
        <v>2.3119600000000001E-2</v>
      </c>
      <c r="X6164">
        <v>0.99929029999999996</v>
      </c>
      <c r="Y6164">
        <v>-3.0537740000000001E-2</v>
      </c>
      <c r="Z6164">
        <v>-1.8982059999999999E-2</v>
      </c>
      <c r="AA6164">
        <v>0.9993533</v>
      </c>
      <c r="AB6164">
        <v>29</v>
      </c>
      <c r="AC6164">
        <v>-1.2714999999999701</v>
      </c>
      <c r="AD6164">
        <v>-1.11026482385929</v>
      </c>
      <c r="AE6164">
        <v>58.163890000000002</v>
      </c>
      <c r="AF6164">
        <v>-1.7847330938686501</v>
      </c>
      <c r="AG6164">
        <v>-1.11026482385929</v>
      </c>
      <c r="AH6164">
        <v>58.1292139133595</v>
      </c>
      <c r="AI6164">
        <v>91.0936979768491</v>
      </c>
      <c r="AJ6164">
        <v>91.758591825325496</v>
      </c>
      <c r="AK6164">
        <v>58.167202703762101</v>
      </c>
      <c r="AL6164">
        <v>88.675226441041701</v>
      </c>
      <c r="AM6164">
        <v>88.2954270821851</v>
      </c>
      <c r="AN6164">
        <v>0.99999998619278696</v>
      </c>
    </row>
    <row r="6165" spans="1:40" x14ac:dyDescent="0.25">
      <c r="A6165" t="str">
        <f>"20190312154726995"</f>
        <v>20190312154726995</v>
      </c>
      <c r="B6165" t="str">
        <f>"1552376846984577"</f>
        <v>1552376846984577</v>
      </c>
      <c r="C6165" t="s">
        <v>40</v>
      </c>
      <c r="D6165">
        <v>4.763039</v>
      </c>
      <c r="E6165">
        <v>0.47661179999999997</v>
      </c>
      <c r="F6165" t="s">
        <v>42</v>
      </c>
      <c r="G6165">
        <v>-189.45070000000001</v>
      </c>
      <c r="H6165" s="1">
        <v>-3.9014259999999999E-6</v>
      </c>
      <c r="I6165">
        <v>118.5</v>
      </c>
      <c r="J6165">
        <v>-188.13589999999999</v>
      </c>
      <c r="K6165">
        <v>1.110244</v>
      </c>
      <c r="L6165">
        <v>63.119199999999999</v>
      </c>
      <c r="M6165">
        <v>8.4309529999999997E-3</v>
      </c>
      <c r="N6165">
        <v>0</v>
      </c>
      <c r="O6165">
        <v>0.99986390000000003</v>
      </c>
      <c r="P6165">
        <v>3.7655569999999999E-2</v>
      </c>
      <c r="Q6165">
        <v>9.2051010000000003E-3</v>
      </c>
      <c r="R6165">
        <v>0.99924840000000004</v>
      </c>
      <c r="S6165">
        <v>-7.0846560000000003E-2</v>
      </c>
      <c r="T6165">
        <v>-5.9928769999999999E-2</v>
      </c>
      <c r="U6165">
        <v>3.005646</v>
      </c>
      <c r="V6165">
        <v>2.921178E-2</v>
      </c>
      <c r="W6165">
        <v>2.3403239999999999E-2</v>
      </c>
      <c r="X6165">
        <v>0.99929920000000005</v>
      </c>
      <c r="Y6165">
        <v>-3.1988559999999999E-2</v>
      </c>
      <c r="Z6165">
        <v>-1.992584E-2</v>
      </c>
      <c r="AA6165">
        <v>0.9992896</v>
      </c>
      <c r="AB6165">
        <v>29</v>
      </c>
      <c r="AC6165">
        <v>-1.31480000000001</v>
      </c>
      <c r="AD6165">
        <v>-1.1102479014260001</v>
      </c>
      <c r="AE6165">
        <v>55.380800000000001</v>
      </c>
      <c r="AF6165">
        <v>-1.7809977528493499</v>
      </c>
      <c r="AG6165">
        <v>-1.1102479014260001</v>
      </c>
      <c r="AH6165">
        <v>55.345514167502401</v>
      </c>
      <c r="AI6165">
        <v>91.148622279502803</v>
      </c>
      <c r="AJ6165">
        <v>91.843120529990202</v>
      </c>
      <c r="AK6165">
        <v>55.385291746667598</v>
      </c>
      <c r="AL6165">
        <v>88.658970639465693</v>
      </c>
      <c r="AM6165">
        <v>88.325591367121504</v>
      </c>
      <c r="AN6165">
        <v>0.99999996542695202</v>
      </c>
    </row>
    <row r="6166" spans="1:40" x14ac:dyDescent="0.25">
      <c r="A6166" t="str">
        <f>"20190312154727018"</f>
        <v>20190312154727018</v>
      </c>
      <c r="B6166" t="str">
        <f>"1552376847014835"</f>
        <v>1552376847014835</v>
      </c>
      <c r="C6166" t="s">
        <v>40</v>
      </c>
      <c r="D6166">
        <v>4.786232</v>
      </c>
      <c r="E6166">
        <v>0.47623769999999999</v>
      </c>
      <c r="F6166" t="s">
        <v>42</v>
      </c>
      <c r="G6166">
        <v>-189.50360000000001</v>
      </c>
      <c r="H6166" s="1">
        <v>-3.3265470000000001E-6</v>
      </c>
      <c r="I6166">
        <v>117.1818</v>
      </c>
      <c r="J6166">
        <v>-188.13390000000001</v>
      </c>
      <c r="K6166">
        <v>1.1102240000000001</v>
      </c>
      <c r="L6166">
        <v>63.418790000000001</v>
      </c>
      <c r="M6166">
        <v>8.0667220000000001E-3</v>
      </c>
      <c r="N6166">
        <v>0</v>
      </c>
      <c r="O6166">
        <v>0.9998669</v>
      </c>
      <c r="P6166">
        <v>3.7007360000000003E-2</v>
      </c>
      <c r="Q6166">
        <v>9.7257990000000002E-3</v>
      </c>
      <c r="R6166">
        <v>0.99926760000000003</v>
      </c>
      <c r="S6166">
        <v>-7.6034550000000006E-2</v>
      </c>
      <c r="T6166">
        <v>-6.1725620000000002E-2</v>
      </c>
      <c r="U6166">
        <v>3.0056759999999998</v>
      </c>
      <c r="V6166">
        <v>2.8928559999999999E-2</v>
      </c>
      <c r="W6166">
        <v>2.3919030000000001E-2</v>
      </c>
      <c r="X6166">
        <v>0.99929520000000005</v>
      </c>
      <c r="Y6166">
        <v>-3.3347700000000001E-2</v>
      </c>
      <c r="Z6166">
        <v>-2.052203E-2</v>
      </c>
      <c r="AA6166">
        <v>0.99923309999999999</v>
      </c>
      <c r="AB6166">
        <v>29</v>
      </c>
      <c r="AC6166">
        <v>-1.3696999999999899</v>
      </c>
      <c r="AD6166">
        <v>-1.110227326547</v>
      </c>
      <c r="AE6166">
        <v>53.763010000000001</v>
      </c>
      <c r="AF6166">
        <v>-1.8026220884455399</v>
      </c>
      <c r="AG6166">
        <v>-1.110227326547</v>
      </c>
      <c r="AH6166">
        <v>53.727313737954702</v>
      </c>
      <c r="AI6166">
        <v>91.183132488557703</v>
      </c>
      <c r="AJ6166">
        <v>91.921627975127294</v>
      </c>
      <c r="AK6166">
        <v>53.769008663048503</v>
      </c>
      <c r="AL6166">
        <v>88.629409736019795</v>
      </c>
      <c r="AM6166">
        <v>88.341809693511607</v>
      </c>
      <c r="AN6166">
        <v>0.99999993916142504</v>
      </c>
    </row>
    <row r="6167" spans="1:40" x14ac:dyDescent="0.25">
      <c r="A6167" t="str">
        <f>"20190312154727060"</f>
        <v>20190312154727060</v>
      </c>
      <c r="B6167" t="str">
        <f>"1552376847053873"</f>
        <v>1552376847053873</v>
      </c>
      <c r="C6167" t="s">
        <v>40</v>
      </c>
      <c r="D6167">
        <v>4.8183150000000001</v>
      </c>
      <c r="E6167">
        <v>0.47592200000000001</v>
      </c>
      <c r="F6167" t="s">
        <v>42</v>
      </c>
      <c r="G6167">
        <v>-189.5498</v>
      </c>
      <c r="H6167" s="1">
        <v>-2.8148620000000002E-6</v>
      </c>
      <c r="I6167">
        <v>116.0081</v>
      </c>
      <c r="J6167">
        <v>-188.1302</v>
      </c>
      <c r="K6167">
        <v>1.110182</v>
      </c>
      <c r="L6167">
        <v>63.959899999999998</v>
      </c>
      <c r="M6167">
        <v>7.5163219999999998E-3</v>
      </c>
      <c r="N6167">
        <v>0</v>
      </c>
      <c r="O6167">
        <v>0.99987130000000002</v>
      </c>
      <c r="P6167">
        <v>3.5892250000000001E-2</v>
      </c>
      <c r="Q6167">
        <v>1.187904E-2</v>
      </c>
      <c r="R6167">
        <v>0.99928499999999998</v>
      </c>
      <c r="S6167">
        <v>-8.0932619999999997E-2</v>
      </c>
      <c r="T6167">
        <v>-6.3456769999999996E-2</v>
      </c>
      <c r="U6167">
        <v>3.0058289999999999</v>
      </c>
      <c r="V6167">
        <v>2.836578E-2</v>
      </c>
      <c r="W6167">
        <v>2.6061270000000001E-2</v>
      </c>
      <c r="X6167">
        <v>0.99925779999999997</v>
      </c>
      <c r="Y6167">
        <v>-3.442307E-2</v>
      </c>
      <c r="Z6167">
        <v>-2.1095570000000001E-2</v>
      </c>
      <c r="AA6167">
        <v>0.99918470000000004</v>
      </c>
      <c r="AB6167">
        <v>29</v>
      </c>
      <c r="AC6167">
        <v>-1.4196</v>
      </c>
      <c r="AD6167">
        <v>-1.1101848148619999</v>
      </c>
      <c r="AE6167">
        <v>52.048200000000001</v>
      </c>
      <c r="AF6167">
        <v>-1.80998735173586</v>
      </c>
      <c r="AG6167">
        <v>-1.1101848148619999</v>
      </c>
      <c r="AH6167">
        <v>52.012411908341299</v>
      </c>
      <c r="AI6167">
        <v>91.222031100968096</v>
      </c>
      <c r="AJ6167">
        <v>91.993039764693606</v>
      </c>
      <c r="AK6167">
        <v>52.0557351024799</v>
      </c>
      <c r="AL6167">
        <v>88.506630109508095</v>
      </c>
      <c r="AM6167">
        <v>88.373990034327093</v>
      </c>
      <c r="AN6167">
        <v>0.99999997906492999</v>
      </c>
    </row>
    <row r="6168" spans="1:40" x14ac:dyDescent="0.25">
      <c r="A6168" t="str">
        <f>"20190312154727081"</f>
        <v>20190312154727081</v>
      </c>
      <c r="B6168" t="str">
        <f>"1552376847074369"</f>
        <v>1552376847074369</v>
      </c>
      <c r="C6168" t="s">
        <v>40</v>
      </c>
      <c r="D6168">
        <v>4.7977780000000001</v>
      </c>
      <c r="E6168">
        <v>0.47584939999999998</v>
      </c>
      <c r="F6168" t="s">
        <v>42</v>
      </c>
      <c r="G6168">
        <v>-189.679</v>
      </c>
      <c r="H6168" s="1">
        <v>-3.4391210000000002E-6</v>
      </c>
      <c r="I6168">
        <v>117.5167</v>
      </c>
      <c r="J6168">
        <v>-188.1284</v>
      </c>
      <c r="K6168">
        <v>1.1101570000000001</v>
      </c>
      <c r="L6168">
        <v>64.232640000000004</v>
      </c>
      <c r="M6168">
        <v>7.2903990000000004E-3</v>
      </c>
      <c r="N6168">
        <v>0</v>
      </c>
      <c r="O6168">
        <v>0.99987300000000001</v>
      </c>
      <c r="P6168">
        <v>3.5499210000000003E-2</v>
      </c>
      <c r="Q6168">
        <v>1.287262E-2</v>
      </c>
      <c r="R6168">
        <v>0.99928680000000003</v>
      </c>
      <c r="S6168">
        <v>-8.6929320000000004E-2</v>
      </c>
      <c r="T6168">
        <v>-6.2312010000000001E-2</v>
      </c>
      <c r="U6168">
        <v>3.0060120000000001</v>
      </c>
      <c r="V6168">
        <v>2.8200090000000001E-2</v>
      </c>
      <c r="W6168">
        <v>2.7049879999999998E-2</v>
      </c>
      <c r="X6168">
        <v>0.99923620000000002</v>
      </c>
      <c r="Y6168">
        <v>-3.6187509999999999E-2</v>
      </c>
      <c r="Z6168">
        <v>-2.0712729999999999E-2</v>
      </c>
      <c r="AA6168">
        <v>0.99913039999999997</v>
      </c>
      <c r="AB6168">
        <v>29</v>
      </c>
      <c r="AC6168">
        <v>-1.5506</v>
      </c>
      <c r="AD6168">
        <v>-1.110160439121</v>
      </c>
      <c r="AE6168">
        <v>53.284059999999997</v>
      </c>
      <c r="AF6168">
        <v>-1.9382192117916199</v>
      </c>
      <c r="AG6168">
        <v>-1.110160439121</v>
      </c>
      <c r="AH6168">
        <v>53.248243229467903</v>
      </c>
      <c r="AI6168">
        <v>91.193583343011099</v>
      </c>
      <c r="AJ6168">
        <v>92.084627910525299</v>
      </c>
      <c r="AK6168">
        <v>53.2950706626619</v>
      </c>
      <c r="AL6168">
        <v>88.449966916418305</v>
      </c>
      <c r="AM6168">
        <v>88.383447893487599</v>
      </c>
      <c r="AN6168">
        <v>0.99999996223722998</v>
      </c>
    </row>
    <row r="6169" spans="1:40" x14ac:dyDescent="0.25">
      <c r="A6169" t="str">
        <f>"20190312154727104"</f>
        <v>20190312154727104</v>
      </c>
      <c r="B6169" t="str">
        <f>"1552376847093890"</f>
        <v>1552376847093890</v>
      </c>
      <c r="C6169" t="s">
        <v>40</v>
      </c>
      <c r="D6169">
        <v>4.8283820000000004</v>
      </c>
      <c r="E6169">
        <v>0.47576970000000002</v>
      </c>
      <c r="F6169" t="s">
        <v>42</v>
      </c>
      <c r="G6169">
        <v>-189.7287</v>
      </c>
      <c r="H6169" s="1">
        <v>-3.8462020000000002E-6</v>
      </c>
      <c r="I6169">
        <v>118.4862</v>
      </c>
      <c r="J6169">
        <v>-188.1266</v>
      </c>
      <c r="K6169">
        <v>1.1101289999999999</v>
      </c>
      <c r="L6169">
        <v>64.52252</v>
      </c>
      <c r="M6169">
        <v>7.0887270000000004E-3</v>
      </c>
      <c r="N6169">
        <v>0</v>
      </c>
      <c r="O6169">
        <v>0.9998745</v>
      </c>
      <c r="P6169">
        <v>3.4706099999999997E-2</v>
      </c>
      <c r="Q6169">
        <v>1.387881E-2</v>
      </c>
      <c r="R6169">
        <v>0.9993012</v>
      </c>
      <c r="S6169">
        <v>-8.8668819999999995E-2</v>
      </c>
      <c r="T6169">
        <v>-6.1511639999999999E-2</v>
      </c>
      <c r="U6169">
        <v>3.0060730000000002</v>
      </c>
      <c r="V6169">
        <v>2.7610229999999999E-2</v>
      </c>
      <c r="W6169">
        <v>2.8049910000000001E-2</v>
      </c>
      <c r="X6169">
        <v>0.99922509999999998</v>
      </c>
      <c r="Y6169">
        <v>-3.6563190000000002E-2</v>
      </c>
      <c r="Z6169">
        <v>-2.0446120000000002E-2</v>
      </c>
      <c r="AA6169">
        <v>0.99912210000000001</v>
      </c>
      <c r="AB6169">
        <v>29</v>
      </c>
      <c r="AC6169">
        <v>-1.6021000000000001</v>
      </c>
      <c r="AD6169">
        <v>-1.1101328462019999</v>
      </c>
      <c r="AE6169">
        <v>53.963679999999997</v>
      </c>
      <c r="AF6169">
        <v>-1.98379312952473</v>
      </c>
      <c r="AG6169">
        <v>-1.1101328462019999</v>
      </c>
      <c r="AH6169">
        <v>53.928163522348399</v>
      </c>
      <c r="AI6169">
        <v>91.178493137928299</v>
      </c>
      <c r="AJ6169">
        <v>92.106723804290098</v>
      </c>
      <c r="AK6169">
        <v>53.9760562750755</v>
      </c>
      <c r="AL6169">
        <v>88.392647655368705</v>
      </c>
      <c r="AM6169">
        <v>88.417226284132497</v>
      </c>
      <c r="AN6169">
        <v>0.99999996136083402</v>
      </c>
    </row>
    <row r="6170" spans="1:40" x14ac:dyDescent="0.25">
      <c r="A6170" t="str">
        <f>"20190312154727127"</f>
        <v>20190312154727127</v>
      </c>
      <c r="B6170" t="str">
        <f>"1552376847114385"</f>
        <v>1552376847114385</v>
      </c>
      <c r="C6170" t="s">
        <v>40</v>
      </c>
      <c r="D6170">
        <v>4.9601819999999996</v>
      </c>
      <c r="E6170">
        <v>0.47569460000000002</v>
      </c>
      <c r="F6170" t="s">
        <v>42</v>
      </c>
      <c r="G6170">
        <v>-189.81049999999999</v>
      </c>
      <c r="H6170" s="1">
        <v>-4.3148190000000001E-6</v>
      </c>
      <c r="I6170">
        <v>119.61239999999999</v>
      </c>
      <c r="J6170">
        <v>-188.12459999999999</v>
      </c>
      <c r="K6170">
        <v>1.1101049999999999</v>
      </c>
      <c r="L6170">
        <v>64.821200000000005</v>
      </c>
      <c r="M6170">
        <v>6.9251679999999998E-3</v>
      </c>
      <c r="N6170">
        <v>0</v>
      </c>
      <c r="O6170">
        <v>0.99987570000000003</v>
      </c>
      <c r="P6170">
        <v>3.4813879999999998E-2</v>
      </c>
      <c r="Q6170">
        <v>1.482848E-2</v>
      </c>
      <c r="R6170">
        <v>0.99928380000000006</v>
      </c>
      <c r="S6170">
        <v>-9.1888429999999993E-2</v>
      </c>
      <c r="T6170">
        <v>-6.0576919999999999E-2</v>
      </c>
      <c r="U6170">
        <v>3.0061040000000001</v>
      </c>
      <c r="V6170">
        <v>2.7883359999999999E-2</v>
      </c>
      <c r="W6170">
        <v>2.8994619999999999E-2</v>
      </c>
      <c r="X6170">
        <v>0.99919060000000004</v>
      </c>
      <c r="Y6170">
        <v>-3.7468719999999997E-2</v>
      </c>
      <c r="Z6170">
        <v>-2.0134719999999998E-2</v>
      </c>
      <c r="AA6170">
        <v>0.99909499999999996</v>
      </c>
      <c r="AB6170">
        <v>29</v>
      </c>
      <c r="AC6170">
        <v>-1.6859</v>
      </c>
      <c r="AD6170">
        <v>-1.110109314819</v>
      </c>
      <c r="AE6170">
        <v>54.791199999999897</v>
      </c>
      <c r="AF6170">
        <v>-2.0644892337874201</v>
      </c>
      <c r="AG6170">
        <v>-1.110109314819</v>
      </c>
      <c r="AH6170">
        <v>54.755753765483703</v>
      </c>
      <c r="AI6170">
        <v>91.160621846128706</v>
      </c>
      <c r="AJ6170">
        <v>92.159234583491795</v>
      </c>
      <c r="AK6170">
        <v>54.805903230523903</v>
      </c>
      <c r="AL6170">
        <v>88.3384978097897</v>
      </c>
      <c r="AM6170">
        <v>88.401521857196599</v>
      </c>
      <c r="AN6170">
        <v>1.0000000124410899</v>
      </c>
    </row>
    <row r="6171" spans="1:40" x14ac:dyDescent="0.25">
      <c r="A6171" t="str">
        <f>"20190312154727149"</f>
        <v>20190312154727149</v>
      </c>
      <c r="B6171" t="str">
        <f>"1552376847144641"</f>
        <v>1552376847144641</v>
      </c>
      <c r="C6171" t="s">
        <v>40</v>
      </c>
      <c r="D6171">
        <v>4.7814350000000001</v>
      </c>
      <c r="E6171">
        <v>0.43085800000000002</v>
      </c>
      <c r="F6171" t="s">
        <v>52</v>
      </c>
      <c r="G6171">
        <v>-189.8681</v>
      </c>
      <c r="H6171" s="1">
        <v>-1.164958E-6</v>
      </c>
      <c r="I6171">
        <v>121.7186</v>
      </c>
      <c r="J6171">
        <v>-188.12280000000001</v>
      </c>
      <c r="K6171">
        <v>1.110085</v>
      </c>
      <c r="L6171">
        <v>65.10812</v>
      </c>
      <c r="M6171">
        <v>6.795171E-3</v>
      </c>
      <c r="N6171">
        <v>0</v>
      </c>
      <c r="O6171">
        <v>0.9998766</v>
      </c>
      <c r="P6171">
        <v>3.4826349999999999E-2</v>
      </c>
      <c r="Q6171">
        <v>1.5817959999999999E-2</v>
      </c>
      <c r="R6171">
        <v>0.99926820000000005</v>
      </c>
      <c r="S6171">
        <v>-9.2117309999999994E-2</v>
      </c>
      <c r="T6171">
        <v>-5.8654070000000003E-2</v>
      </c>
      <c r="U6171">
        <v>3.006256</v>
      </c>
      <c r="V6171">
        <v>2.8027280000000002E-2</v>
      </c>
      <c r="W6171">
        <v>2.9978850000000001E-2</v>
      </c>
      <c r="X6171">
        <v>0.99915750000000003</v>
      </c>
      <c r="Y6171">
        <v>-3.7413630000000003E-2</v>
      </c>
      <c r="Z6171">
        <v>-1.9494879999999999E-2</v>
      </c>
      <c r="AA6171">
        <v>0.99910969999999999</v>
      </c>
      <c r="AB6171">
        <v>29</v>
      </c>
      <c r="AC6171">
        <v>-1.7452999999999801</v>
      </c>
      <c r="AD6171">
        <v>-1.1100861649580001</v>
      </c>
      <c r="AE6171">
        <v>56.610480000000003</v>
      </c>
      <c r="AF6171">
        <v>-2.12915825244401</v>
      </c>
      <c r="AG6171">
        <v>-1.1100861649580001</v>
      </c>
      <c r="AH6171">
        <v>56.575578122691098</v>
      </c>
      <c r="AI6171">
        <v>91.123278241248101</v>
      </c>
      <c r="AJ6171">
        <v>92.155245108398304</v>
      </c>
      <c r="AK6171">
        <v>56.626510099725401</v>
      </c>
      <c r="AL6171">
        <v>88.282081004101499</v>
      </c>
      <c r="AM6171">
        <v>88.393222424254105</v>
      </c>
      <c r="AN6171">
        <v>0.99999998483888497</v>
      </c>
    </row>
    <row r="6172" spans="1:40" x14ac:dyDescent="0.25">
      <c r="A6172" t="str">
        <f>"20190312154727173"</f>
        <v>20190312154727173</v>
      </c>
      <c r="B6172" t="str">
        <f>"1552376847164162"</f>
        <v>1552376847164162</v>
      </c>
      <c r="C6172" t="s">
        <v>40</v>
      </c>
      <c r="D6172">
        <v>4.7992699999999999</v>
      </c>
      <c r="E6172">
        <v>0.42385800000000001</v>
      </c>
      <c r="F6172" t="s">
        <v>52</v>
      </c>
      <c r="G6172">
        <v>-198.50790000000001</v>
      </c>
      <c r="H6172" s="1">
        <v>-7.7962849999999992E-6</v>
      </c>
      <c r="I6172">
        <v>134.85310000000001</v>
      </c>
      <c r="J6172">
        <v>-188.12090000000001</v>
      </c>
      <c r="K6172">
        <v>1.1100760000000001</v>
      </c>
      <c r="L6172">
        <v>65.415710000000004</v>
      </c>
      <c r="M6172">
        <v>6.6744589999999998E-3</v>
      </c>
      <c r="N6172">
        <v>0</v>
      </c>
      <c r="O6172">
        <v>0.99987749999999997</v>
      </c>
      <c r="P6172">
        <v>3.5160249999999997E-2</v>
      </c>
      <c r="Q6172">
        <v>1.7297819999999998E-2</v>
      </c>
      <c r="R6172">
        <v>0.99923200000000001</v>
      </c>
      <c r="S6172">
        <v>-0.44947809999999999</v>
      </c>
      <c r="T6172">
        <v>-4.8046110000000003E-2</v>
      </c>
      <c r="U6172">
        <v>3.0186459999999999</v>
      </c>
      <c r="V6172">
        <v>2.8483080000000001E-2</v>
      </c>
      <c r="W6172">
        <v>3.1453490000000001E-2</v>
      </c>
      <c r="X6172">
        <v>0.99909930000000002</v>
      </c>
      <c r="Y6172">
        <v>-0.15385769999999999</v>
      </c>
      <c r="Z6172">
        <v>-1.5732449999999999E-2</v>
      </c>
      <c r="AA6172">
        <v>0.98796779999999995</v>
      </c>
      <c r="AB6172">
        <v>29</v>
      </c>
      <c r="AC6172">
        <v>-10.387</v>
      </c>
      <c r="AD6172">
        <v>-1.1100837962850001</v>
      </c>
      <c r="AE6172">
        <v>69.437389999999994</v>
      </c>
      <c r="AF6172">
        <v>-10.8475603285638</v>
      </c>
      <c r="AG6172">
        <v>-1.1100837962850001</v>
      </c>
      <c r="AH6172">
        <v>69.349172206390904</v>
      </c>
      <c r="AI6172">
        <v>90.906049477117904</v>
      </c>
      <c r="AJ6172">
        <v>98.890137063212293</v>
      </c>
      <c r="AK6172">
        <v>70.201207516881595</v>
      </c>
      <c r="AL6172">
        <v>88.197550505445506</v>
      </c>
      <c r="AM6172">
        <v>88.367010804462794</v>
      </c>
      <c r="AN6172">
        <v>1.0000000095699699</v>
      </c>
    </row>
    <row r="6173" spans="1:40" x14ac:dyDescent="0.25">
      <c r="A6173" t="str">
        <f>"20190312154727195"</f>
        <v>20190312154727195</v>
      </c>
      <c r="B6173" t="str">
        <f>"1552376847184658"</f>
        <v>1552376847184658</v>
      </c>
      <c r="C6173" t="s">
        <v>40</v>
      </c>
      <c r="D6173">
        <v>4.7852759999999996</v>
      </c>
      <c r="E6173">
        <v>0.42110370000000003</v>
      </c>
      <c r="F6173" t="s">
        <v>52</v>
      </c>
      <c r="G6173">
        <v>-199.0121</v>
      </c>
      <c r="H6173" s="1">
        <v>-6.5645590000000001E-6</v>
      </c>
      <c r="I6173">
        <v>130.58860000000001</v>
      </c>
      <c r="J6173">
        <v>-188.11920000000001</v>
      </c>
      <c r="K6173">
        <v>1.1100730000000001</v>
      </c>
      <c r="L6173">
        <v>65.693389999999994</v>
      </c>
      <c r="M6173">
        <v>6.5744139999999998E-3</v>
      </c>
      <c r="N6173">
        <v>0</v>
      </c>
      <c r="O6173">
        <v>0.99987820000000005</v>
      </c>
      <c r="P6173">
        <v>3.5739119999999999E-2</v>
      </c>
      <c r="Q6173">
        <v>2.0376209999999999E-2</v>
      </c>
      <c r="R6173">
        <v>0.99915339999999997</v>
      </c>
      <c r="S6173">
        <v>-0.50483699999999998</v>
      </c>
      <c r="T6173">
        <v>-5.145574E-2</v>
      </c>
      <c r="U6173">
        <v>3.020966</v>
      </c>
      <c r="V6173">
        <v>2.9162609999999999E-2</v>
      </c>
      <c r="W6173">
        <v>3.4526939999999999E-2</v>
      </c>
      <c r="X6173">
        <v>0.99897820000000004</v>
      </c>
      <c r="Y6173">
        <v>-0.17128389999999999</v>
      </c>
      <c r="Z6173">
        <v>-1.6787650000000001E-2</v>
      </c>
      <c r="AA6173">
        <v>0.98507869999999997</v>
      </c>
      <c r="AB6173">
        <v>29</v>
      </c>
      <c r="AC6173">
        <v>-10.8928999999999</v>
      </c>
      <c r="AD6173">
        <v>-1.11007956455899</v>
      </c>
      <c r="AE6173">
        <v>64.895209999999906</v>
      </c>
      <c r="AF6173">
        <v>-11.316134832972701</v>
      </c>
      <c r="AG6173">
        <v>-1.11007956455899</v>
      </c>
      <c r="AH6173">
        <v>64.8037432729746</v>
      </c>
      <c r="AI6173">
        <v>90.966747301663901</v>
      </c>
      <c r="AJ6173">
        <v>99.905208959226499</v>
      </c>
      <c r="AK6173">
        <v>65.793710386231297</v>
      </c>
      <c r="AL6173">
        <v>88.021358810807698</v>
      </c>
      <c r="AM6173">
        <v>88.327871348390005</v>
      </c>
      <c r="AN6173">
        <v>1.0000000057414999</v>
      </c>
    </row>
    <row r="6174" spans="1:40" x14ac:dyDescent="0.25">
      <c r="A6174" t="str">
        <f>"20190312154727238"</f>
        <v>20190312154727238</v>
      </c>
      <c r="B6174" t="str">
        <f>"1552376847234433"</f>
        <v>1552376847234433</v>
      </c>
      <c r="C6174" t="s">
        <v>40</v>
      </c>
      <c r="D6174">
        <v>4.7659880000000001</v>
      </c>
      <c r="E6174">
        <v>0.418323</v>
      </c>
      <c r="F6174" t="s">
        <v>52</v>
      </c>
      <c r="G6174">
        <v>-200.32759999999999</v>
      </c>
      <c r="H6174" s="1">
        <v>-8.2195880000000006E-6</v>
      </c>
      <c r="I6174">
        <v>135.9468</v>
      </c>
      <c r="J6174">
        <v>-188.11580000000001</v>
      </c>
      <c r="K6174">
        <v>1.1100840000000001</v>
      </c>
      <c r="L6174">
        <v>66.244450000000001</v>
      </c>
      <c r="M6174">
        <v>6.3830759999999997E-3</v>
      </c>
      <c r="N6174">
        <v>0</v>
      </c>
      <c r="O6174">
        <v>0.99987950000000003</v>
      </c>
      <c r="P6174">
        <v>3.4606739999999997E-2</v>
      </c>
      <c r="Q6174">
        <v>2.3510380000000001E-2</v>
      </c>
      <c r="R6174">
        <v>0.99912440000000002</v>
      </c>
      <c r="S6174">
        <v>-0.52520749999999905</v>
      </c>
      <c r="T6174">
        <v>-4.7755840000000001E-2</v>
      </c>
      <c r="U6174">
        <v>3.0223080000000002</v>
      </c>
      <c r="V6174">
        <v>2.8221670000000001E-2</v>
      </c>
      <c r="W6174">
        <v>3.7653430000000002E-2</v>
      </c>
      <c r="X6174">
        <v>0.99889220000000001</v>
      </c>
      <c r="Y6174">
        <v>-0.1774763</v>
      </c>
      <c r="Z6174">
        <v>-1.555671E-2</v>
      </c>
      <c r="AA6174">
        <v>0.98400209999999999</v>
      </c>
      <c r="AB6174">
        <v>29</v>
      </c>
      <c r="AC6174">
        <v>-12.211799999999901</v>
      </c>
      <c r="AD6174">
        <v>-1.1100922195880001</v>
      </c>
      <c r="AE6174">
        <v>69.702349999999996</v>
      </c>
      <c r="AF6174">
        <v>-12.653397251349</v>
      </c>
      <c r="AG6174">
        <v>-1.1100922195880001</v>
      </c>
      <c r="AH6174">
        <v>69.6058438118787</v>
      </c>
      <c r="AI6174">
        <v>90.898960181977301</v>
      </c>
      <c r="AJ6174">
        <v>100.303084949636</v>
      </c>
      <c r="AK6174">
        <v>70.755312588526493</v>
      </c>
      <c r="AL6174">
        <v>87.842107129078002</v>
      </c>
      <c r="AM6174">
        <v>88.3816546507325</v>
      </c>
      <c r="AN6174">
        <v>0.99999993533459397</v>
      </c>
    </row>
    <row r="6175" spans="1:40" x14ac:dyDescent="0.25">
      <c r="A6175" t="str">
        <f>"20190312154727261"</f>
        <v>20190312154727261</v>
      </c>
      <c r="B6175" t="str">
        <f>"1552376847253954"</f>
        <v>1552376847253954</v>
      </c>
      <c r="C6175" t="s">
        <v>40</v>
      </c>
      <c r="D6175">
        <v>4.7422380000000004</v>
      </c>
      <c r="E6175">
        <v>0.41762100000000002</v>
      </c>
      <c r="F6175" t="s">
        <v>52</v>
      </c>
      <c r="G6175">
        <v>-204.89089999999999</v>
      </c>
      <c r="H6175">
        <v>7.9983739999999998E-2</v>
      </c>
      <c r="I6175">
        <v>158.33090000000001</v>
      </c>
      <c r="J6175">
        <v>-188.114</v>
      </c>
      <c r="K6175">
        <v>1.1100969999999999</v>
      </c>
      <c r="L6175">
        <v>66.541499999999999</v>
      </c>
      <c r="M6175">
        <v>6.2769200000000001E-3</v>
      </c>
      <c r="N6175">
        <v>0</v>
      </c>
      <c r="O6175">
        <v>0.9998802</v>
      </c>
      <c r="P6175">
        <v>3.3425980000000001E-2</v>
      </c>
      <c r="Q6175">
        <v>2.5136789999999999E-2</v>
      </c>
      <c r="R6175">
        <v>0.99912509999999999</v>
      </c>
      <c r="S6175">
        <v>-0.55059809999999998</v>
      </c>
      <c r="T6175">
        <v>-3.3810260000000002E-2</v>
      </c>
      <c r="U6175">
        <v>3.022491</v>
      </c>
      <c r="V6175">
        <v>2.7146799999999999E-2</v>
      </c>
      <c r="W6175">
        <v>3.9276329999999998E-2</v>
      </c>
      <c r="X6175">
        <v>0.99885959999999996</v>
      </c>
      <c r="Y6175">
        <v>-0.18537909999999999</v>
      </c>
      <c r="Z6175">
        <v>-1.099777E-2</v>
      </c>
      <c r="AA6175">
        <v>0.98260550000000002</v>
      </c>
      <c r="AB6175">
        <v>29</v>
      </c>
      <c r="AC6175">
        <v>-16.776899999999898</v>
      </c>
      <c r="AD6175">
        <v>-1.03011325999999</v>
      </c>
      <c r="AE6175">
        <v>91.789400000000001</v>
      </c>
      <c r="AF6175">
        <v>-17.3506672193848</v>
      </c>
      <c r="AG6175">
        <v>-1.03011325999999</v>
      </c>
      <c r="AH6175">
        <v>91.671101194804606</v>
      </c>
      <c r="AI6175">
        <v>90.632578817134103</v>
      </c>
      <c r="AJ6175">
        <v>100.717640080669</v>
      </c>
      <c r="AK6175">
        <v>93.304327769693401</v>
      </c>
      <c r="AL6175">
        <v>87.749053162703603</v>
      </c>
      <c r="AM6175">
        <v>88.443210355764094</v>
      </c>
      <c r="AN6175">
        <v>1.0000000396803299</v>
      </c>
    </row>
    <row r="6176" spans="1:40" x14ac:dyDescent="0.25">
      <c r="A6176" t="str">
        <f>"20190312154727283"</f>
        <v>20190312154727283</v>
      </c>
      <c r="B6176" t="str">
        <f>"1552376847274449"</f>
        <v>1552376847274449</v>
      </c>
      <c r="C6176" t="s">
        <v>40</v>
      </c>
      <c r="D6176">
        <v>4.7408060000000001</v>
      </c>
      <c r="E6176">
        <v>0.41706130000000002</v>
      </c>
      <c r="F6176" t="s">
        <v>52</v>
      </c>
      <c r="G6176">
        <v>-204.50989999999999</v>
      </c>
      <c r="H6176">
        <v>7.9984219999999995E-2</v>
      </c>
      <c r="I6176">
        <v>155.03489999999999</v>
      </c>
      <c r="J6176">
        <v>-188.11240000000001</v>
      </c>
      <c r="K6176">
        <v>1.1101080000000001</v>
      </c>
      <c r="L6176">
        <v>66.815550000000002</v>
      </c>
      <c r="M6176">
        <v>6.1751430000000001E-3</v>
      </c>
      <c r="N6176">
        <v>0</v>
      </c>
      <c r="O6176">
        <v>0.99988089999999996</v>
      </c>
      <c r="P6176">
        <v>3.242652E-2</v>
      </c>
      <c r="Q6176">
        <v>2.694943E-2</v>
      </c>
      <c r="R6176">
        <v>0.99911079999999997</v>
      </c>
      <c r="S6176">
        <v>-0.5599518</v>
      </c>
      <c r="T6176">
        <v>-3.5180330000000003E-2</v>
      </c>
      <c r="U6176">
        <v>3.0222169999999999</v>
      </c>
      <c r="V6176">
        <v>2.6248879999999999E-2</v>
      </c>
      <c r="W6176">
        <v>4.1085900000000002E-2</v>
      </c>
      <c r="X6176">
        <v>0.9988108</v>
      </c>
      <c r="Y6176">
        <v>-0.18823500000000001</v>
      </c>
      <c r="Z6176">
        <v>-1.143809E-2</v>
      </c>
      <c r="AA6176">
        <v>0.98205739999999997</v>
      </c>
      <c r="AB6176">
        <v>29</v>
      </c>
      <c r="AC6176">
        <v>-16.397499999999901</v>
      </c>
      <c r="AD6176">
        <v>-1.03012378</v>
      </c>
      <c r="AE6176">
        <v>88.219349999999906</v>
      </c>
      <c r="AF6176">
        <v>-16.939776312648199</v>
      </c>
      <c r="AG6176">
        <v>-1.03012378</v>
      </c>
      <c r="AH6176">
        <v>88.104788795150498</v>
      </c>
      <c r="AI6176">
        <v>90.657825859822395</v>
      </c>
      <c r="AJ6176">
        <v>100.88336202571401</v>
      </c>
      <c r="AK6176">
        <v>89.724416883938304</v>
      </c>
      <c r="AL6176">
        <v>87.645288617840393</v>
      </c>
      <c r="AM6176">
        <v>88.4946058329446</v>
      </c>
      <c r="AN6176">
        <v>1.00000003453835</v>
      </c>
    </row>
    <row r="6177" spans="1:40" x14ac:dyDescent="0.25">
      <c r="A6177" t="str">
        <f>"20190312154727306"</f>
        <v>20190312154727306</v>
      </c>
      <c r="B6177" t="str">
        <f>"1552376847293969"</f>
        <v>1552376847293969</v>
      </c>
      <c r="C6177" t="s">
        <v>40</v>
      </c>
      <c r="D6177">
        <v>4.7422269999999997</v>
      </c>
      <c r="E6177">
        <v>0.41658509999999999</v>
      </c>
      <c r="F6177" t="s">
        <v>52</v>
      </c>
      <c r="G6177">
        <v>-204.62860000000001</v>
      </c>
      <c r="H6177">
        <v>7.9984269999999996E-2</v>
      </c>
      <c r="I6177">
        <v>154.7825</v>
      </c>
      <c r="J6177">
        <v>-188.11070000000001</v>
      </c>
      <c r="K6177">
        <v>1.110112</v>
      </c>
      <c r="L6177">
        <v>67.114649999999997</v>
      </c>
      <c r="M6177">
        <v>6.0604020000000003E-3</v>
      </c>
      <c r="N6177">
        <v>0</v>
      </c>
      <c r="O6177">
        <v>0.99988160000000004</v>
      </c>
      <c r="P6177">
        <v>3.1147270000000001E-2</v>
      </c>
      <c r="Q6177">
        <v>2.8530799999999999E-2</v>
      </c>
      <c r="R6177">
        <v>0.99910750000000004</v>
      </c>
      <c r="S6177">
        <v>-0.56739810000000002</v>
      </c>
      <c r="T6177">
        <v>-3.5389070000000002E-2</v>
      </c>
      <c r="U6177">
        <v>3.0220340000000001</v>
      </c>
      <c r="V6177">
        <v>2.5084059999999998E-2</v>
      </c>
      <c r="W6177">
        <v>4.2663319999999998E-2</v>
      </c>
      <c r="X6177">
        <v>0.99877459999999996</v>
      </c>
      <c r="Y6177">
        <v>-0.1904708</v>
      </c>
      <c r="Z6177">
        <v>-1.1501569999999999E-2</v>
      </c>
      <c r="AA6177">
        <v>0.98162550000000004</v>
      </c>
      <c r="AB6177">
        <v>29</v>
      </c>
      <c r="AC6177">
        <v>-16.517899999999901</v>
      </c>
      <c r="AD6177">
        <v>-1.03012773</v>
      </c>
      <c r="AE6177">
        <v>87.667850000000001</v>
      </c>
      <c r="AF6177">
        <v>-17.046679208448001</v>
      </c>
      <c r="AG6177">
        <v>-1.03012773</v>
      </c>
      <c r="AH6177">
        <v>87.554450315895593</v>
      </c>
      <c r="AI6177">
        <v>90.661663061245605</v>
      </c>
      <c r="AJ6177">
        <v>101.017540380257</v>
      </c>
      <c r="AK6177">
        <v>89.204440502110003</v>
      </c>
      <c r="AL6177">
        <v>87.554829760976403</v>
      </c>
      <c r="AM6177">
        <v>88.561328342337006</v>
      </c>
      <c r="AN6177">
        <v>1.0000000352723299</v>
      </c>
    </row>
    <row r="6178" spans="1:40" x14ac:dyDescent="0.25">
      <c r="A6178" t="str">
        <f>"20190312154727328"</f>
        <v>20190312154727328</v>
      </c>
      <c r="B6178" t="str">
        <f>"1552376847314469"</f>
        <v>1552376847314469</v>
      </c>
      <c r="C6178" t="s">
        <v>40</v>
      </c>
      <c r="D6178">
        <v>4.758324</v>
      </c>
      <c r="E6178">
        <v>0.4161224</v>
      </c>
      <c r="F6178" t="s">
        <v>52</v>
      </c>
      <c r="G6178">
        <v>-204.28890000000001</v>
      </c>
      <c r="H6178">
        <v>7.9984589999999994E-2</v>
      </c>
      <c r="I6178">
        <v>152.0823</v>
      </c>
      <c r="J6178">
        <v>-188.10919999999999</v>
      </c>
      <c r="K6178">
        <v>1.1101160000000001</v>
      </c>
      <c r="L6178">
        <v>67.384119999999996</v>
      </c>
      <c r="M6178">
        <v>5.9553660000000001E-3</v>
      </c>
      <c r="N6178">
        <v>0</v>
      </c>
      <c r="O6178">
        <v>0.9998823</v>
      </c>
      <c r="P6178">
        <v>2.999336E-2</v>
      </c>
      <c r="Q6178">
        <v>2.9586149999999999E-2</v>
      </c>
      <c r="R6178">
        <v>0.99911209999999995</v>
      </c>
      <c r="S6178">
        <v>-0.57533259999999997</v>
      </c>
      <c r="T6178">
        <v>-3.6633609999999997E-2</v>
      </c>
      <c r="U6178">
        <v>3.0216370000000001</v>
      </c>
      <c r="V6178">
        <v>2.403489E-2</v>
      </c>
      <c r="W6178">
        <v>4.3715669999999998E-2</v>
      </c>
      <c r="X6178">
        <v>0.9987549</v>
      </c>
      <c r="Y6178">
        <v>-0.1928783</v>
      </c>
      <c r="Z6178">
        <v>-1.190184E-2</v>
      </c>
      <c r="AA6178">
        <v>0.98115050000000004</v>
      </c>
      <c r="AB6178">
        <v>28</v>
      </c>
      <c r="AC6178">
        <v>-16.1797</v>
      </c>
      <c r="AD6178">
        <v>-1.0301314100000001</v>
      </c>
      <c r="AE6178">
        <v>84.698179999999994</v>
      </c>
      <c r="AF6178">
        <v>-16.681491403623099</v>
      </c>
      <c r="AG6178">
        <v>-1.0301314100000001</v>
      </c>
      <c r="AH6178">
        <v>84.588239990909997</v>
      </c>
      <c r="AI6178">
        <v>90.684541219116298</v>
      </c>
      <c r="AJ6178">
        <v>101.156042059566</v>
      </c>
      <c r="AK6178">
        <v>86.223567955233705</v>
      </c>
      <c r="AL6178">
        <v>87.494478252020002</v>
      </c>
      <c r="AM6178">
        <v>88.621451552582002</v>
      </c>
      <c r="AN6178">
        <v>1.0000000430074301</v>
      </c>
    </row>
    <row r="6179" spans="1:40" x14ac:dyDescent="0.25">
      <c r="A6179" t="str">
        <f>"20190312154727351"</f>
        <v>20190312154727351</v>
      </c>
      <c r="B6179" t="str">
        <f>"1552376847344721"</f>
        <v>1552376847344721</v>
      </c>
      <c r="C6179" t="s">
        <v>40</v>
      </c>
      <c r="D6179">
        <v>4.7638809999999996</v>
      </c>
      <c r="E6179">
        <v>0.4156089</v>
      </c>
      <c r="F6179" t="s">
        <v>52</v>
      </c>
      <c r="G6179">
        <v>-204.43340000000001</v>
      </c>
      <c r="H6179">
        <v>7.998458E-2</v>
      </c>
      <c r="I6179">
        <v>152.0188</v>
      </c>
      <c r="J6179">
        <v>-188.10759999999999</v>
      </c>
      <c r="K6179">
        <v>1.110123</v>
      </c>
      <c r="L6179">
        <v>67.681700000000006</v>
      </c>
      <c r="M6179">
        <v>5.8387659999999996E-3</v>
      </c>
      <c r="N6179">
        <v>0</v>
      </c>
      <c r="O6179">
        <v>0.99988310000000002</v>
      </c>
      <c r="P6179">
        <v>2.9357939999999999E-2</v>
      </c>
      <c r="Q6179">
        <v>3.0396320000000001E-2</v>
      </c>
      <c r="R6179">
        <v>0.99910670000000001</v>
      </c>
      <c r="S6179">
        <v>-0.58273319999999995</v>
      </c>
      <c r="T6179">
        <v>-3.6773090000000001E-2</v>
      </c>
      <c r="U6179">
        <v>3.0212400000000001</v>
      </c>
      <c r="V6179">
        <v>2.351578E-2</v>
      </c>
      <c r="W6179">
        <v>4.4522649999999997E-2</v>
      </c>
      <c r="X6179">
        <v>0.99873160000000005</v>
      </c>
      <c r="Y6179">
        <v>-0.1951051</v>
      </c>
      <c r="Z6179">
        <v>-1.194331E-2</v>
      </c>
      <c r="AA6179">
        <v>0.98070959999999996</v>
      </c>
      <c r="AB6179">
        <v>28</v>
      </c>
      <c r="AC6179">
        <v>-16.325800000000001</v>
      </c>
      <c r="AD6179">
        <v>-1.0301384200000001</v>
      </c>
      <c r="AE6179">
        <v>84.337099999999893</v>
      </c>
      <c r="AF6179">
        <v>-16.8155772434021</v>
      </c>
      <c r="AG6179">
        <v>-1.0301384200000001</v>
      </c>
      <c r="AH6179">
        <v>84.228217548630099</v>
      </c>
      <c r="AI6179">
        <v>90.687152139392495</v>
      </c>
      <c r="AJ6179">
        <v>101.290265344414</v>
      </c>
      <c r="AK6179">
        <v>85.896550888918298</v>
      </c>
      <c r="AL6179">
        <v>87.448196614933593</v>
      </c>
      <c r="AM6179">
        <v>88.651183121954702</v>
      </c>
      <c r="AN6179">
        <v>1.0000000335552901</v>
      </c>
    </row>
    <row r="6180" spans="1:40" x14ac:dyDescent="0.25">
      <c r="A6180" t="str">
        <f>"20190312154727462"</f>
        <v>20190312154727462</v>
      </c>
      <c r="B6180" t="str">
        <f>"1552376847454034"</f>
        <v>1552376847454034</v>
      </c>
      <c r="C6180" t="s">
        <v>40</v>
      </c>
      <c r="D6180">
        <v>4.3613989999999996</v>
      </c>
      <c r="E6180">
        <v>0.39493719999999999</v>
      </c>
      <c r="F6180" t="s">
        <v>52</v>
      </c>
      <c r="G6180">
        <v>-203.5883</v>
      </c>
      <c r="H6180" s="1">
        <v>-1.0105170000000001E-5</v>
      </c>
      <c r="I6180">
        <v>147.108</v>
      </c>
      <c r="J6180">
        <v>-188.1003</v>
      </c>
      <c r="K6180">
        <v>1.1101369999999999</v>
      </c>
      <c r="L6180">
        <v>69.088470000000001</v>
      </c>
      <c r="M6180">
        <v>5.2859350000000003E-3</v>
      </c>
      <c r="N6180">
        <v>0</v>
      </c>
      <c r="O6180">
        <v>0.99988630000000001</v>
      </c>
      <c r="P6180">
        <v>2.914158E-2</v>
      </c>
      <c r="Q6180">
        <v>3.3305920000000003E-2</v>
      </c>
      <c r="R6180">
        <v>0.99902029999999997</v>
      </c>
      <c r="S6180">
        <v>-0.58886719999999904</v>
      </c>
      <c r="T6180">
        <v>-4.2227979999999998E-2</v>
      </c>
      <c r="U6180">
        <v>3.021271</v>
      </c>
      <c r="V6180">
        <v>2.385162E-2</v>
      </c>
      <c r="W6180">
        <v>4.7415890000000002E-2</v>
      </c>
      <c r="X6180">
        <v>0.99859039999999999</v>
      </c>
      <c r="Y6180">
        <v>-0.19647539999999999</v>
      </c>
      <c r="Z6180">
        <v>-1.371007E-2</v>
      </c>
      <c r="AA6180">
        <v>0.98041290000000003</v>
      </c>
      <c r="AB6180">
        <v>28</v>
      </c>
      <c r="AC6180">
        <v>-15.488</v>
      </c>
      <c r="AD6180">
        <v>-1.11014710517</v>
      </c>
      <c r="AE6180">
        <v>78.019530000000003</v>
      </c>
      <c r="AF6180">
        <v>-15.8971342612834</v>
      </c>
      <c r="AG6180">
        <v>-1.11014710517</v>
      </c>
      <c r="AH6180">
        <v>77.921384706114694</v>
      </c>
      <c r="AI6180">
        <v>90.799766472500906</v>
      </c>
      <c r="AJ6180">
        <v>101.530957575588</v>
      </c>
      <c r="AK6180">
        <v>79.534228473247396</v>
      </c>
      <c r="AL6180">
        <v>87.282250537395996</v>
      </c>
      <c r="AM6180">
        <v>88.631733927093407</v>
      </c>
      <c r="AN6180">
        <v>0.99999997668663798</v>
      </c>
    </row>
    <row r="6181" spans="1:40" x14ac:dyDescent="0.25">
      <c r="A6181" t="str">
        <f>"20190312154727528"</f>
        <v>20190312154727528</v>
      </c>
      <c r="B6181" t="str">
        <f>"1552376847524812"</f>
        <v>1552376847524812</v>
      </c>
      <c r="C6181" t="s">
        <v>40</v>
      </c>
      <c r="D6181">
        <v>4.6128549999999997</v>
      </c>
      <c r="E6181">
        <v>0.39093319999999998</v>
      </c>
      <c r="F6181" t="s">
        <v>42</v>
      </c>
      <c r="G6181">
        <v>-190.0598</v>
      </c>
      <c r="H6181" s="1">
        <v>-3.139717E-6</v>
      </c>
      <c r="I6181">
        <v>76.870739999999998</v>
      </c>
      <c r="J6181">
        <v>-188.09639999999999</v>
      </c>
      <c r="K6181">
        <v>1.110171</v>
      </c>
      <c r="L6181">
        <v>69.922700000000006</v>
      </c>
      <c r="M6181">
        <v>4.9588449999999999E-3</v>
      </c>
      <c r="N6181">
        <v>0</v>
      </c>
      <c r="O6181">
        <v>0.99988809999999995</v>
      </c>
      <c r="P6181">
        <v>2.7889810000000001E-2</v>
      </c>
      <c r="Q6181">
        <v>3.695963E-2</v>
      </c>
      <c r="R6181">
        <v>0.99892749999999997</v>
      </c>
      <c r="S6181">
        <v>-0.76539609999999902</v>
      </c>
      <c r="T6181">
        <v>-0.4336178</v>
      </c>
      <c r="U6181">
        <v>3.0397340000000002</v>
      </c>
      <c r="V6181">
        <v>2.292657E-2</v>
      </c>
      <c r="W6181">
        <v>5.1058319999999997E-2</v>
      </c>
      <c r="X6181">
        <v>0.99843249999999995</v>
      </c>
      <c r="Y6181">
        <v>-0.2466806</v>
      </c>
      <c r="Z6181">
        <v>-0.13694000000000001</v>
      </c>
      <c r="AA6181">
        <v>0.95937280000000003</v>
      </c>
      <c r="AB6181">
        <v>28</v>
      </c>
      <c r="AC6181">
        <v>-1.9634</v>
      </c>
      <c r="AD6181">
        <v>-1.110174139717</v>
      </c>
      <c r="AE6181">
        <v>6.94803999999999</v>
      </c>
      <c r="AF6181">
        <v>-1.95169075241609</v>
      </c>
      <c r="AG6181">
        <v>-1.110174139717</v>
      </c>
      <c r="AH6181">
        <v>6.7779694572635796</v>
      </c>
      <c r="AI6181">
        <v>98.944764668326499</v>
      </c>
      <c r="AJ6181">
        <v>106.063555663331</v>
      </c>
      <c r="AK6181">
        <v>7.1401998135318898</v>
      </c>
      <c r="AL6181">
        <v>87.073301240965506</v>
      </c>
      <c r="AM6181">
        <v>88.684573173012794</v>
      </c>
      <c r="AN6181">
        <v>1.00000001835471</v>
      </c>
    </row>
    <row r="6182" spans="1:40" x14ac:dyDescent="0.25">
      <c r="A6182" t="str">
        <f>"20190312154727553"</f>
        <v>20190312154727553</v>
      </c>
      <c r="B6182" t="str">
        <f>"1552376847544332"</f>
        <v>1552376847544332</v>
      </c>
      <c r="C6182" t="s">
        <v>40</v>
      </c>
      <c r="D6182">
        <v>4.53932</v>
      </c>
      <c r="E6182">
        <v>0.38860090000000003</v>
      </c>
      <c r="F6182" t="s">
        <v>42</v>
      </c>
      <c r="G6182">
        <v>-191.03</v>
      </c>
      <c r="H6182" s="1">
        <v>-9.1957180000000004E-7</v>
      </c>
      <c r="I6182">
        <v>81.09384</v>
      </c>
      <c r="J6182">
        <v>-188.095</v>
      </c>
      <c r="K6182">
        <v>1.1101840000000001</v>
      </c>
      <c r="L6182">
        <v>70.223969999999994</v>
      </c>
      <c r="M6182">
        <v>4.8408959999999999E-3</v>
      </c>
      <c r="N6182">
        <v>0</v>
      </c>
      <c r="O6182">
        <v>0.99988880000000002</v>
      </c>
      <c r="P6182">
        <v>2.659131E-2</v>
      </c>
      <c r="Q6182">
        <v>3.8641929999999998E-2</v>
      </c>
      <c r="R6182">
        <v>0.99889919999999999</v>
      </c>
      <c r="S6182">
        <v>-0.79743960000000003</v>
      </c>
      <c r="T6182">
        <v>-0.30177809999999999</v>
      </c>
      <c r="U6182">
        <v>3.0366520000000001</v>
      </c>
      <c r="V6182">
        <v>2.1745799999999999E-2</v>
      </c>
      <c r="W6182">
        <v>5.2736430000000001E-2</v>
      </c>
      <c r="X6182">
        <v>0.99837169999999997</v>
      </c>
      <c r="Y6182">
        <v>-0.25750859999999998</v>
      </c>
      <c r="Z6182">
        <v>-9.5616660000000006E-2</v>
      </c>
      <c r="AA6182">
        <v>0.96153350000000004</v>
      </c>
      <c r="AB6182">
        <v>28</v>
      </c>
      <c r="AC6182">
        <v>-2.9350000000000001</v>
      </c>
      <c r="AD6182">
        <v>-1.1101849195718001</v>
      </c>
      <c r="AE6182">
        <v>10.869870000000001</v>
      </c>
      <c r="AF6182">
        <v>-2.95882345289243</v>
      </c>
      <c r="AG6182">
        <v>-1.1101849195718001</v>
      </c>
      <c r="AH6182">
        <v>10.7510060213933</v>
      </c>
      <c r="AI6182">
        <v>95.685724612176301</v>
      </c>
      <c r="AJ6182">
        <v>105.38763044351001</v>
      </c>
      <c r="AK6182">
        <v>11.2058590591291</v>
      </c>
      <c r="AL6182">
        <v>86.977022906882596</v>
      </c>
      <c r="AM6182">
        <v>88.752222660793606</v>
      </c>
      <c r="AN6182">
        <v>1.00000003111383</v>
      </c>
    </row>
    <row r="6183" spans="1:40" x14ac:dyDescent="0.25">
      <c r="A6183" t="str">
        <f>"20190312154727577"</f>
        <v>20190312154727577</v>
      </c>
      <c r="B6183" t="str">
        <f>"1552376847574588"</f>
        <v>1552376847574588</v>
      </c>
      <c r="C6183" t="s">
        <v>40</v>
      </c>
      <c r="D6183">
        <v>4.9154799999999996</v>
      </c>
      <c r="E6183">
        <v>0.39124700000000001</v>
      </c>
      <c r="F6183" t="s">
        <v>42</v>
      </c>
      <c r="G6183">
        <v>-191.72720000000001</v>
      </c>
      <c r="H6183" s="1">
        <v>-2.2177399999999998E-6</v>
      </c>
      <c r="I6183">
        <v>83.687430000000006</v>
      </c>
      <c r="J6183">
        <v>-188.09370000000001</v>
      </c>
      <c r="K6183">
        <v>1.1101840000000001</v>
      </c>
      <c r="L6183">
        <v>70.528440000000003</v>
      </c>
      <c r="M6183">
        <v>4.7216920000000004E-3</v>
      </c>
      <c r="N6183">
        <v>0</v>
      </c>
      <c r="O6183">
        <v>0.99988940000000004</v>
      </c>
      <c r="P6183">
        <v>2.5559169999999999E-2</v>
      </c>
      <c r="Q6183">
        <v>4.0150909999999998E-2</v>
      </c>
      <c r="R6183">
        <v>0.9988667</v>
      </c>
      <c r="S6183">
        <v>-0.81874080000000005</v>
      </c>
      <c r="T6183">
        <v>-0.25024639999999998</v>
      </c>
      <c r="U6183">
        <v>3.0347900000000001</v>
      </c>
      <c r="V6183">
        <v>2.0832690000000001E-2</v>
      </c>
      <c r="W6183">
        <v>5.4241079999999997E-2</v>
      </c>
      <c r="X6183">
        <v>0.99831049999999999</v>
      </c>
      <c r="Y6183">
        <v>-0.2642079</v>
      </c>
      <c r="Z6183">
        <v>-7.9310339999999993E-2</v>
      </c>
      <c r="AA6183">
        <v>0.96119929999999998</v>
      </c>
      <c r="AB6183">
        <v>28</v>
      </c>
      <c r="AC6183">
        <v>-3.63349999999999</v>
      </c>
      <c r="AD6183">
        <v>-1.1101862177399999</v>
      </c>
      <c r="AE6183">
        <v>13.158989999999999</v>
      </c>
      <c r="AF6183">
        <v>-3.6713178549059098</v>
      </c>
      <c r="AG6183">
        <v>-1.1101862177399999</v>
      </c>
      <c r="AH6183">
        <v>13.055342908900499</v>
      </c>
      <c r="AI6183">
        <v>94.679894033257398</v>
      </c>
      <c r="AJ6183">
        <v>105.70661514437199</v>
      </c>
      <c r="AK6183">
        <v>13.6070961890769</v>
      </c>
      <c r="AL6183">
        <v>86.890689041444105</v>
      </c>
      <c r="AM6183">
        <v>88.804528255455907</v>
      </c>
      <c r="AN6183">
        <v>0.99999997507122595</v>
      </c>
    </row>
    <row r="6184" spans="1:40" x14ac:dyDescent="0.25">
      <c r="A6184" t="str">
        <f>"20190312154727598"</f>
        <v>20190312154727598</v>
      </c>
      <c r="B6184" t="str">
        <f>"1552376847594108"</f>
        <v>1552376847594108</v>
      </c>
      <c r="C6184" t="s">
        <v>40</v>
      </c>
      <c r="D6184">
        <v>4.8955349999999997</v>
      </c>
      <c r="E6184">
        <v>0.39308949999999998</v>
      </c>
      <c r="F6184" t="s">
        <v>42</v>
      </c>
      <c r="G6184">
        <v>-192.19130000000001</v>
      </c>
      <c r="H6184" s="1">
        <v>-3.3618659999999999E-6</v>
      </c>
      <c r="I6184">
        <v>86.06662</v>
      </c>
      <c r="J6184">
        <v>-188.0925</v>
      </c>
      <c r="K6184">
        <v>1.1101829999999999</v>
      </c>
      <c r="L6184">
        <v>70.796480000000003</v>
      </c>
      <c r="M6184">
        <v>4.6166310000000004E-3</v>
      </c>
      <c r="N6184">
        <v>0</v>
      </c>
      <c r="O6184">
        <v>0.9998899</v>
      </c>
      <c r="P6184">
        <v>2.4816939999999999E-2</v>
      </c>
      <c r="Q6184">
        <v>4.0365320000000003E-2</v>
      </c>
      <c r="R6184">
        <v>0.99887680000000001</v>
      </c>
      <c r="S6184">
        <v>-0.79972840000000001</v>
      </c>
      <c r="T6184">
        <v>-0.2166758</v>
      </c>
      <c r="U6184">
        <v>3.0325929999999999</v>
      </c>
      <c r="V6184">
        <v>2.0195379999999999E-2</v>
      </c>
      <c r="W6184">
        <v>5.4452479999999998E-2</v>
      </c>
      <c r="X6184">
        <v>0.99831210000000004</v>
      </c>
      <c r="Y6184">
        <v>-0.25884950000000001</v>
      </c>
      <c r="Z6184">
        <v>-6.8880140000000006E-2</v>
      </c>
      <c r="AA6184">
        <v>0.96345860000000005</v>
      </c>
      <c r="AB6184">
        <v>28</v>
      </c>
      <c r="AC6184">
        <v>-4.0988000000000104</v>
      </c>
      <c r="AD6184">
        <v>-1.1101863618659999</v>
      </c>
      <c r="AE6184">
        <v>15.2701399999999</v>
      </c>
      <c r="AF6184">
        <v>-4.1488042368248399</v>
      </c>
      <c r="AG6184">
        <v>-1.1101863618659999</v>
      </c>
      <c r="AH6184">
        <v>15.1762262953599</v>
      </c>
      <c r="AI6184">
        <v>94.036314159712802</v>
      </c>
      <c r="AJ6184">
        <v>105.28966761413599</v>
      </c>
      <c r="AK6184">
        <v>15.7722203548372</v>
      </c>
      <c r="AL6184">
        <v>86.8785588250567</v>
      </c>
      <c r="AM6184">
        <v>88.841091642982903</v>
      </c>
      <c r="AN6184">
        <v>0.99999998747895202</v>
      </c>
    </row>
    <row r="6185" spans="1:40" x14ac:dyDescent="0.25">
      <c r="A6185" t="str">
        <f>"20190312154727620"</f>
        <v>20190312154727620</v>
      </c>
      <c r="B6185" t="str">
        <f>"1552376847614604"</f>
        <v>1552376847614604</v>
      </c>
      <c r="C6185" t="s">
        <v>40</v>
      </c>
      <c r="D6185">
        <v>4.9439229999999998</v>
      </c>
      <c r="E6185">
        <v>0.3944743</v>
      </c>
      <c r="F6185" t="s">
        <v>42</v>
      </c>
      <c r="G6185">
        <v>-192.29820000000001</v>
      </c>
      <c r="H6185" s="1">
        <v>-3.78846E-6</v>
      </c>
      <c r="I6185">
        <v>86.994709999999998</v>
      </c>
      <c r="J6185">
        <v>-188.09139999999999</v>
      </c>
      <c r="K6185">
        <v>1.110182</v>
      </c>
      <c r="L6185">
        <v>71.076999999999998</v>
      </c>
      <c r="M6185">
        <v>4.5066280000000004E-3</v>
      </c>
      <c r="N6185">
        <v>0</v>
      </c>
      <c r="O6185">
        <v>0.99989039999999996</v>
      </c>
      <c r="P6185">
        <v>2.4115899999999999E-2</v>
      </c>
      <c r="Q6185">
        <v>4.0008380000000003E-2</v>
      </c>
      <c r="R6185">
        <v>0.99890829999999997</v>
      </c>
      <c r="S6185">
        <v>-0.78704830000000003</v>
      </c>
      <c r="T6185">
        <v>-0.20776059999999999</v>
      </c>
      <c r="U6185">
        <v>3.031342</v>
      </c>
      <c r="V6185">
        <v>1.9604199999999999E-2</v>
      </c>
      <c r="W6185">
        <v>5.4093000000000002E-2</v>
      </c>
      <c r="X6185">
        <v>0.99834350000000005</v>
      </c>
      <c r="Y6185">
        <v>-0.2551139</v>
      </c>
      <c r="Z6185">
        <v>-6.6153110000000001E-2</v>
      </c>
      <c r="AA6185">
        <v>0.96464530000000004</v>
      </c>
      <c r="AB6185">
        <v>28</v>
      </c>
      <c r="AC6185">
        <v>-4.2068000000000101</v>
      </c>
      <c r="AD6185">
        <v>-1.1101857884599999</v>
      </c>
      <c r="AE6185">
        <v>15.91771</v>
      </c>
      <c r="AF6185">
        <v>-4.2591340408866198</v>
      </c>
      <c r="AG6185">
        <v>-1.1101857884599999</v>
      </c>
      <c r="AH6185">
        <v>15.8266269580122</v>
      </c>
      <c r="AI6185">
        <v>93.875112592331604</v>
      </c>
      <c r="AJ6185">
        <v>105.06213888978201</v>
      </c>
      <c r="AK6185">
        <v>16.427259544160599</v>
      </c>
      <c r="AL6185">
        <v>86.899186140617303</v>
      </c>
      <c r="AM6185">
        <v>88.875042928411702</v>
      </c>
      <c r="AN6185">
        <v>1.0000000606494399</v>
      </c>
    </row>
    <row r="6186" spans="1:40" x14ac:dyDescent="0.25">
      <c r="A6186" t="str">
        <f>"20190312154727662"</f>
        <v>20190312154727662</v>
      </c>
      <c r="B6186" t="str">
        <f>"1552376847654077"</f>
        <v>1552376847654077</v>
      </c>
      <c r="C6186" t="s">
        <v>40</v>
      </c>
      <c r="D6186">
        <v>4.9341670000000004</v>
      </c>
      <c r="E6186">
        <v>0.39627800000000002</v>
      </c>
      <c r="F6186" t="s">
        <v>42</v>
      </c>
      <c r="G6186">
        <v>-192.3646</v>
      </c>
      <c r="H6186" s="1">
        <v>-4.0726809999999997E-6</v>
      </c>
      <c r="I6186">
        <v>87.721999999999994</v>
      </c>
      <c r="J6186">
        <v>-188.08930000000001</v>
      </c>
      <c r="K6186">
        <v>1.1101909999999999</v>
      </c>
      <c r="L6186">
        <v>71.59366</v>
      </c>
      <c r="M6186">
        <v>4.303917E-3</v>
      </c>
      <c r="N6186">
        <v>0</v>
      </c>
      <c r="O6186">
        <v>0.99989139999999999</v>
      </c>
      <c r="P6186">
        <v>2.322656E-2</v>
      </c>
      <c r="Q6186">
        <v>4.1261440000000003E-2</v>
      </c>
      <c r="R6186">
        <v>0.99887840000000006</v>
      </c>
      <c r="S6186">
        <v>-0.77792359999999905</v>
      </c>
      <c r="T6186">
        <v>-0.2021046</v>
      </c>
      <c r="U6186">
        <v>3.030151</v>
      </c>
      <c r="V6186">
        <v>1.8917360000000001E-2</v>
      </c>
      <c r="W6186">
        <v>5.5339489999999998E-2</v>
      </c>
      <c r="X6186">
        <v>0.99828839999999996</v>
      </c>
      <c r="Y6186">
        <v>-0.25231379999999998</v>
      </c>
      <c r="Z6186">
        <v>-6.4432260000000005E-2</v>
      </c>
      <c r="AA6186">
        <v>0.96549790000000002</v>
      </c>
      <c r="AB6186">
        <v>28</v>
      </c>
      <c r="AC6186">
        <v>-4.2752999999999801</v>
      </c>
      <c r="AD6186">
        <v>-1.1101950726809999</v>
      </c>
      <c r="AE6186">
        <v>16.128340000000001</v>
      </c>
      <c r="AF6186">
        <v>-4.3255324268764799</v>
      </c>
      <c r="AG6186">
        <v>-1.1101950726809999</v>
      </c>
      <c r="AH6186">
        <v>16.0387816900739</v>
      </c>
      <c r="AI6186">
        <v>93.823483555834699</v>
      </c>
      <c r="AJ6186">
        <v>105.093130189859</v>
      </c>
      <c r="AK6186">
        <v>16.648882304143299</v>
      </c>
      <c r="AL6186">
        <v>86.827660269595199</v>
      </c>
      <c r="AM6186">
        <v>88.914386687889305</v>
      </c>
      <c r="AN6186">
        <v>1.00000002761869</v>
      </c>
    </row>
    <row r="6187" spans="1:40" x14ac:dyDescent="0.25">
      <c r="A6187" t="str">
        <f>"20190312154727685"</f>
        <v>20190312154727685</v>
      </c>
      <c r="B6187" t="str">
        <f>"1552376847674572"</f>
        <v>1552376847674572</v>
      </c>
      <c r="C6187" t="s">
        <v>40</v>
      </c>
      <c r="D6187">
        <v>4.9494089999999904</v>
      </c>
      <c r="E6187">
        <v>0.39666309999999999</v>
      </c>
      <c r="F6187" t="s">
        <v>42</v>
      </c>
      <c r="G6187">
        <v>-192.53219999999999</v>
      </c>
      <c r="H6187" s="1">
        <v>-4.5941639999999998E-6</v>
      </c>
      <c r="I6187">
        <v>89.167050000000003</v>
      </c>
      <c r="J6187">
        <v>-188.0882</v>
      </c>
      <c r="K6187">
        <v>1.1102000000000001</v>
      </c>
      <c r="L6187">
        <v>71.883330000000001</v>
      </c>
      <c r="M6187">
        <v>4.190231E-3</v>
      </c>
      <c r="N6187">
        <v>0</v>
      </c>
      <c r="O6187">
        <v>0.99989189999999994</v>
      </c>
      <c r="P6187">
        <v>2.2560009999999998E-2</v>
      </c>
      <c r="Q6187">
        <v>4.1620200000000003E-2</v>
      </c>
      <c r="R6187">
        <v>0.99887879999999996</v>
      </c>
      <c r="S6187">
        <v>-0.76580809999999999</v>
      </c>
      <c r="T6187">
        <v>-0.1913617</v>
      </c>
      <c r="U6187">
        <v>3.029083</v>
      </c>
      <c r="V6187">
        <v>1.8364370000000001E-2</v>
      </c>
      <c r="W6187">
        <v>5.569466E-2</v>
      </c>
      <c r="X6187">
        <v>0.99827900000000003</v>
      </c>
      <c r="Y6187">
        <v>-0.24870909999999999</v>
      </c>
      <c r="Z6187">
        <v>-6.1100219999999997E-2</v>
      </c>
      <c r="AA6187">
        <v>0.96664910000000004</v>
      </c>
      <c r="AB6187">
        <v>28</v>
      </c>
      <c r="AC6187">
        <v>-4.4439999999999804</v>
      </c>
      <c r="AD6187">
        <v>-1.110204594164</v>
      </c>
      <c r="AE6187">
        <v>17.283719999999999</v>
      </c>
      <c r="AF6187">
        <v>-4.4989791717066199</v>
      </c>
      <c r="AG6187">
        <v>-1.110204594164</v>
      </c>
      <c r="AH6187">
        <v>17.198384460000302</v>
      </c>
      <c r="AI6187">
        <v>93.573560261877105</v>
      </c>
      <c r="AJ6187">
        <v>104.65968265475701</v>
      </c>
      <c r="AK6187">
        <v>17.811731972560501</v>
      </c>
      <c r="AL6187">
        <v>86.807279177771605</v>
      </c>
      <c r="AM6187">
        <v>88.946104019643897</v>
      </c>
      <c r="AN6187">
        <v>1.0000000535394999</v>
      </c>
    </row>
    <row r="6188" spans="1:40" x14ac:dyDescent="0.25">
      <c r="A6188" t="str">
        <f>"20190312154727709"</f>
        <v>20190312154727709</v>
      </c>
      <c r="B6188" t="str">
        <f>"1552376847703853"</f>
        <v>1552376847703853</v>
      </c>
      <c r="C6188" t="s">
        <v>40</v>
      </c>
      <c r="D6188">
        <v>5.1257000000000001</v>
      </c>
      <c r="E6188">
        <v>0.4002405</v>
      </c>
      <c r="F6188" t="s">
        <v>42</v>
      </c>
      <c r="G6188">
        <v>-192.62809999999999</v>
      </c>
      <c r="H6188" s="1">
        <v>-8.1453930000000004E-7</v>
      </c>
      <c r="I6188">
        <v>89.857770000000002</v>
      </c>
      <c r="J6188">
        <v>-188.08709999999999</v>
      </c>
      <c r="K6188">
        <v>1.1102110000000001</v>
      </c>
      <c r="L6188">
        <v>72.179500000000004</v>
      </c>
      <c r="M6188">
        <v>4.0738980000000003E-3</v>
      </c>
      <c r="N6188">
        <v>0</v>
      </c>
      <c r="O6188">
        <v>0.99989249999999996</v>
      </c>
      <c r="P6188">
        <v>2.1774749999999999E-2</v>
      </c>
      <c r="Q6188">
        <v>4.4036350000000002E-2</v>
      </c>
      <c r="R6188">
        <v>0.99879260000000003</v>
      </c>
      <c r="S6188">
        <v>-0.76492309999999997</v>
      </c>
      <c r="T6188">
        <v>-0.18705340000000001</v>
      </c>
      <c r="U6188">
        <v>3.0284420000000001</v>
      </c>
      <c r="V6188">
        <v>1.769532E-2</v>
      </c>
      <c r="W6188">
        <v>5.8106400000000002E-2</v>
      </c>
      <c r="X6188">
        <v>0.99815359999999997</v>
      </c>
      <c r="Y6188">
        <v>-0.2483996</v>
      </c>
      <c r="Z6188">
        <v>-5.9746529999999999E-2</v>
      </c>
      <c r="AA6188">
        <v>0.96681329999999999</v>
      </c>
      <c r="AB6188">
        <v>28</v>
      </c>
      <c r="AC6188">
        <v>-4.5409999999999897</v>
      </c>
      <c r="AD6188">
        <v>-1.1102118145393001</v>
      </c>
      <c r="AE6188">
        <v>17.678269999999898</v>
      </c>
      <c r="AF6188">
        <v>-4.5959845367835497</v>
      </c>
      <c r="AG6188">
        <v>-1.1102118145393001</v>
      </c>
      <c r="AH6188">
        <v>17.594525015676201</v>
      </c>
      <c r="AI6188">
        <v>93.493646717592199</v>
      </c>
      <c r="AJ6188">
        <v>104.639496840509</v>
      </c>
      <c r="AK6188">
        <v>18.218752829509299</v>
      </c>
      <c r="AL6188">
        <v>86.668872355518204</v>
      </c>
      <c r="AM6188">
        <v>88.984363770136895</v>
      </c>
      <c r="AN6188">
        <v>1.0000000436319101</v>
      </c>
    </row>
    <row r="6189" spans="1:40" x14ac:dyDescent="0.25">
      <c r="A6189" t="str">
        <f>"20190312154727731"</f>
        <v>20190312154727731</v>
      </c>
      <c r="B6189" t="str">
        <f>"1552376847724349"</f>
        <v>1552376847724349</v>
      </c>
      <c r="C6189" t="s">
        <v>40</v>
      </c>
      <c r="D6189">
        <v>5.1048099999999996</v>
      </c>
      <c r="E6189">
        <v>0.47141329999999998</v>
      </c>
      <c r="F6189" t="s">
        <v>42</v>
      </c>
      <c r="G6189">
        <v>-192.86160000000001</v>
      </c>
      <c r="H6189" s="1">
        <v>-1.690166E-6</v>
      </c>
      <c r="I6189">
        <v>91.754069999999999</v>
      </c>
      <c r="J6189">
        <v>-188.08609999999999</v>
      </c>
      <c r="K6189">
        <v>1.110214</v>
      </c>
      <c r="L6189">
        <v>72.452359999999999</v>
      </c>
      <c r="M6189">
        <v>3.966649E-3</v>
      </c>
      <c r="N6189">
        <v>0</v>
      </c>
      <c r="O6189">
        <v>0.99989300000000003</v>
      </c>
      <c r="P6189">
        <v>2.090436E-2</v>
      </c>
      <c r="Q6189">
        <v>4.4939609999999998E-2</v>
      </c>
      <c r="R6189">
        <v>0.99877099999999996</v>
      </c>
      <c r="S6189">
        <v>-0.73840329999999998</v>
      </c>
      <c r="T6189">
        <v>-0.17169870000000001</v>
      </c>
      <c r="U6189">
        <v>3.0272830000000002</v>
      </c>
      <c r="V6189">
        <v>1.6932030000000001E-2</v>
      </c>
      <c r="W6189">
        <v>5.9006080000000002E-2</v>
      </c>
      <c r="X6189">
        <v>0.99811399999999995</v>
      </c>
      <c r="Y6189">
        <v>-0.24046229999999999</v>
      </c>
      <c r="Z6189">
        <v>-5.4991100000000001E-2</v>
      </c>
      <c r="AA6189">
        <v>0.9690995</v>
      </c>
      <c r="AB6189">
        <v>28</v>
      </c>
      <c r="AC6189">
        <v>-4.7755000000000196</v>
      </c>
      <c r="AD6189">
        <v>-1.1102156901660001</v>
      </c>
      <c r="AE6189">
        <v>19.30171</v>
      </c>
      <c r="AF6189">
        <v>-4.8369534342414804</v>
      </c>
      <c r="AG6189">
        <v>-1.1102156901660001</v>
      </c>
      <c r="AH6189">
        <v>19.222684859899601</v>
      </c>
      <c r="AI6189">
        <v>93.205761319554398</v>
      </c>
      <c r="AJ6189">
        <v>104.123965887306</v>
      </c>
      <c r="AK6189">
        <v>19.852967300298499</v>
      </c>
      <c r="AL6189">
        <v>86.617235684899597</v>
      </c>
      <c r="AM6189">
        <v>89.028126233519899</v>
      </c>
      <c r="AN6189">
        <v>0.99999998405644297</v>
      </c>
    </row>
    <row r="6190" spans="1:40" x14ac:dyDescent="0.25">
      <c r="A6190" t="str">
        <f>"20190312154727752"</f>
        <v>20190312154727752</v>
      </c>
      <c r="B6190" t="str">
        <f>"1552376847744845"</f>
        <v>1552376847744845</v>
      </c>
      <c r="C6190" t="s">
        <v>40</v>
      </c>
      <c r="D6190">
        <v>5.0701340000000004</v>
      </c>
      <c r="E6190">
        <v>0.47270129999999999</v>
      </c>
      <c r="F6190" t="s">
        <v>42</v>
      </c>
      <c r="G6190">
        <v>-190.17910000000001</v>
      </c>
      <c r="H6190" s="1">
        <v>-4.2094150000000001E-6</v>
      </c>
      <c r="I6190">
        <v>109.2903</v>
      </c>
      <c r="J6190">
        <v>-188.08519999999999</v>
      </c>
      <c r="K6190">
        <v>1.110217</v>
      </c>
      <c r="L6190">
        <v>72.712800000000001</v>
      </c>
      <c r="M6190">
        <v>3.8644899999999999E-3</v>
      </c>
      <c r="N6190">
        <v>0</v>
      </c>
      <c r="O6190">
        <v>0.99989340000000004</v>
      </c>
      <c r="P6190">
        <v>2.027197E-2</v>
      </c>
      <c r="Q6190">
        <v>4.3164389999999997E-2</v>
      </c>
      <c r="R6190">
        <v>0.99886229999999998</v>
      </c>
      <c r="S6190">
        <v>-0.17109679999999999</v>
      </c>
      <c r="T6190">
        <v>-9.0755939999999993E-2</v>
      </c>
      <c r="U6190">
        <v>3.0113530000000002</v>
      </c>
      <c r="V6190">
        <v>1.6401659999999998E-2</v>
      </c>
      <c r="W6190">
        <v>5.7229530000000001E-2</v>
      </c>
      <c r="X6190">
        <v>0.99822630000000001</v>
      </c>
      <c r="Y6190">
        <v>-6.0558340000000002E-2</v>
      </c>
      <c r="Z6190">
        <v>-3.0072040000000001E-2</v>
      </c>
      <c r="AA6190">
        <v>0.99771149999999997</v>
      </c>
      <c r="AB6190">
        <v>28</v>
      </c>
      <c r="AC6190">
        <v>-2.0939000000000099</v>
      </c>
      <c r="AD6190">
        <v>-1.1102212094149999</v>
      </c>
      <c r="AE6190">
        <v>36.577500000000001</v>
      </c>
      <c r="AF6190">
        <v>-2.2332010781584501</v>
      </c>
      <c r="AG6190">
        <v>-1.1102212094149999</v>
      </c>
      <c r="AH6190">
        <v>36.535584647524999</v>
      </c>
      <c r="AI6190">
        <v>91.737293461062393</v>
      </c>
      <c r="AJ6190">
        <v>93.497795473398</v>
      </c>
      <c r="AK6190">
        <v>36.620605179677</v>
      </c>
      <c r="AL6190">
        <v>86.719196877721799</v>
      </c>
      <c r="AM6190">
        <v>89.058669020677002</v>
      </c>
      <c r="AN6190">
        <v>0.99999998978323301</v>
      </c>
    </row>
    <row r="6191" spans="1:40" x14ac:dyDescent="0.25">
      <c r="A6191" t="str">
        <f>"20190312154727777"</f>
        <v>20190312154727777</v>
      </c>
      <c r="B6191" t="str">
        <f>"1552376847764365"</f>
        <v>1552376847764365</v>
      </c>
      <c r="C6191" t="s">
        <v>40</v>
      </c>
      <c r="D6191">
        <v>5.0380449999999897</v>
      </c>
      <c r="E6191">
        <v>0.4730819</v>
      </c>
      <c r="F6191" t="s">
        <v>42</v>
      </c>
      <c r="G6191">
        <v>-189.76</v>
      </c>
      <c r="H6191" s="1">
        <v>-1.752203E-6</v>
      </c>
      <c r="I6191">
        <v>103.61799999999999</v>
      </c>
      <c r="J6191">
        <v>-188.08420000000001</v>
      </c>
      <c r="K6191">
        <v>1.110217</v>
      </c>
      <c r="L6191">
        <v>73.011139999999997</v>
      </c>
      <c r="M6191">
        <v>3.747205E-3</v>
      </c>
      <c r="N6191">
        <v>0</v>
      </c>
      <c r="O6191">
        <v>0.9998939</v>
      </c>
      <c r="P6191">
        <v>1.9291139999999998E-2</v>
      </c>
      <c r="Q6191">
        <v>4.3138849999999999E-2</v>
      </c>
      <c r="R6191">
        <v>0.99888279999999996</v>
      </c>
      <c r="S6191">
        <v>-0.1631927</v>
      </c>
      <c r="T6191">
        <v>-0.1081792</v>
      </c>
      <c r="U6191">
        <v>3.0113829999999999</v>
      </c>
      <c r="V6191">
        <v>1.553796E-2</v>
      </c>
      <c r="W6191">
        <v>5.720049E-2</v>
      </c>
      <c r="X6191">
        <v>0.99824179999999996</v>
      </c>
      <c r="Y6191">
        <v>-5.7819500000000003E-2</v>
      </c>
      <c r="Z6191">
        <v>-3.5843600000000003E-2</v>
      </c>
      <c r="AA6191">
        <v>0.9976834</v>
      </c>
      <c r="AB6191">
        <v>28</v>
      </c>
      <c r="AC6191">
        <v>-1.67579999999998</v>
      </c>
      <c r="AD6191">
        <v>-1.110218752203</v>
      </c>
      <c r="AE6191">
        <v>30.606860000000001</v>
      </c>
      <c r="AF6191">
        <v>-1.78814402365984</v>
      </c>
      <c r="AG6191">
        <v>-1.110218752203</v>
      </c>
      <c r="AH6191">
        <v>30.560274813473701</v>
      </c>
      <c r="AI6191">
        <v>92.077023782826799</v>
      </c>
      <c r="AJ6191">
        <v>93.348674854604496</v>
      </c>
      <c r="AK6191">
        <v>30.632669511522</v>
      </c>
      <c r="AL6191">
        <v>86.7208635362867</v>
      </c>
      <c r="AM6191">
        <v>89.108244471920301</v>
      </c>
      <c r="AN6191">
        <v>1.00000000776222</v>
      </c>
    </row>
    <row r="6192" spans="1:40" x14ac:dyDescent="0.25">
      <c r="A6192" t="str">
        <f>"20190312154727800"</f>
        <v>20190312154727800</v>
      </c>
      <c r="B6192" t="str">
        <f>"1552376847794621"</f>
        <v>1552376847794621</v>
      </c>
      <c r="C6192" t="s">
        <v>40</v>
      </c>
      <c r="D6192">
        <v>5.0763749999999996</v>
      </c>
      <c r="E6192">
        <v>0.47307559999999899</v>
      </c>
      <c r="F6192" t="s">
        <v>42</v>
      </c>
      <c r="G6192">
        <v>-189.6771</v>
      </c>
      <c r="H6192" s="1">
        <v>-1.254943E-6</v>
      </c>
      <c r="I6192">
        <v>102.42449999999999</v>
      </c>
      <c r="J6192">
        <v>-188.08330000000001</v>
      </c>
      <c r="K6192">
        <v>1.1102110000000001</v>
      </c>
      <c r="L6192">
        <v>73.293880000000001</v>
      </c>
      <c r="M6192">
        <v>3.636064E-3</v>
      </c>
      <c r="N6192">
        <v>0</v>
      </c>
      <c r="O6192">
        <v>0.99989430000000001</v>
      </c>
      <c r="P6192">
        <v>1.8013330000000001E-2</v>
      </c>
      <c r="Q6192">
        <v>4.3873250000000003E-2</v>
      </c>
      <c r="R6192">
        <v>0.9988747</v>
      </c>
      <c r="S6192">
        <v>-0.16308590000000001</v>
      </c>
      <c r="T6192">
        <v>-0.1136668</v>
      </c>
      <c r="U6192">
        <v>3.0114139999999998</v>
      </c>
      <c r="V6192">
        <v>1.4371129999999999E-2</v>
      </c>
      <c r="W6192">
        <v>5.7931700000000003E-2</v>
      </c>
      <c r="X6192">
        <v>0.99821709999999997</v>
      </c>
      <c r="Y6192">
        <v>-5.7669089999999999E-2</v>
      </c>
      <c r="Z6192">
        <v>-3.7659150000000002E-2</v>
      </c>
      <c r="AA6192">
        <v>0.99762519999999999</v>
      </c>
      <c r="AB6192">
        <v>28</v>
      </c>
      <c r="AC6192">
        <v>-1.5937999999999799</v>
      </c>
      <c r="AD6192">
        <v>-1.110212254943</v>
      </c>
      <c r="AE6192">
        <v>29.13062</v>
      </c>
      <c r="AF6192">
        <v>-1.6972628608287701</v>
      </c>
      <c r="AG6192">
        <v>-1.110212254943</v>
      </c>
      <c r="AH6192">
        <v>29.082515724031701</v>
      </c>
      <c r="AI6192">
        <v>92.182469742889396</v>
      </c>
      <c r="AJ6192">
        <v>93.340007468846196</v>
      </c>
      <c r="AK6192">
        <v>29.1531472281867</v>
      </c>
      <c r="AL6192">
        <v>86.678898655854198</v>
      </c>
      <c r="AM6192">
        <v>89.1751812161354</v>
      </c>
      <c r="AN6192">
        <v>0.99999999498738801</v>
      </c>
    </row>
    <row r="6193" spans="1:40" x14ac:dyDescent="0.25">
      <c r="A6193" t="str">
        <f>"20190312154727819"</f>
        <v>20190312154727819</v>
      </c>
      <c r="B6193" t="str">
        <f>"1552376847814141"</f>
        <v>1552376847814141</v>
      </c>
      <c r="C6193" t="s">
        <v>40</v>
      </c>
      <c r="D6193">
        <v>5.1094049999999998</v>
      </c>
      <c r="E6193">
        <v>0.47315049999999997</v>
      </c>
      <c r="F6193" t="s">
        <v>42</v>
      </c>
      <c r="G6193">
        <v>-189.6592</v>
      </c>
      <c r="H6193" s="1">
        <v>-9.4891950000000004E-7</v>
      </c>
      <c r="I6193">
        <v>101.7038</v>
      </c>
      <c r="J6193">
        <v>-188.08240000000001</v>
      </c>
      <c r="K6193">
        <v>1.1102080000000001</v>
      </c>
      <c r="L6193">
        <v>73.54477</v>
      </c>
      <c r="M6193">
        <v>3.5374529999999999E-3</v>
      </c>
      <c r="N6193">
        <v>0</v>
      </c>
      <c r="O6193">
        <v>0.99989470000000003</v>
      </c>
      <c r="P6193">
        <v>1.7725080000000001E-2</v>
      </c>
      <c r="Q6193">
        <v>4.3446760000000001E-2</v>
      </c>
      <c r="R6193">
        <v>0.99889850000000002</v>
      </c>
      <c r="S6193">
        <v>-0.16705320000000001</v>
      </c>
      <c r="T6193">
        <v>-0.11768579999999999</v>
      </c>
      <c r="U6193">
        <v>3.011536</v>
      </c>
      <c r="V6193">
        <v>1.41814E-2</v>
      </c>
      <c r="W6193">
        <v>5.7502789999999998E-2</v>
      </c>
      <c r="X6193">
        <v>0.99824460000000004</v>
      </c>
      <c r="Y6193">
        <v>-5.8875879999999998E-2</v>
      </c>
      <c r="Z6193">
        <v>-3.8984369999999997E-2</v>
      </c>
      <c r="AA6193">
        <v>0.99750380000000005</v>
      </c>
      <c r="AB6193">
        <v>28</v>
      </c>
      <c r="AC6193">
        <v>-1.57679999999999</v>
      </c>
      <c r="AD6193">
        <v>-1.1102089489194999</v>
      </c>
      <c r="AE6193">
        <v>28.159029999999898</v>
      </c>
      <c r="AF6193">
        <v>-1.6738175274657801</v>
      </c>
      <c r="AG6193">
        <v>-1.1102089489194999</v>
      </c>
      <c r="AH6193">
        <v>28.109717072647399</v>
      </c>
      <c r="AI6193">
        <v>92.257758224339696</v>
      </c>
      <c r="AJ6193">
        <v>93.407703199853998</v>
      </c>
      <c r="AK6193">
        <v>28.1813843330983</v>
      </c>
      <c r="AL6193">
        <v>86.703514381964297</v>
      </c>
      <c r="AM6193">
        <v>89.186091552811305</v>
      </c>
      <c r="AN6193">
        <v>0.99999998219645103</v>
      </c>
    </row>
    <row r="6194" spans="1:40" x14ac:dyDescent="0.25">
      <c r="A6194" t="str">
        <f>"20190312154727841"</f>
        <v>20190312154727841</v>
      </c>
      <c r="B6194" t="str">
        <f>"1552376847834637"</f>
        <v>1552376847834637</v>
      </c>
      <c r="C6194" t="s">
        <v>40</v>
      </c>
      <c r="D6194">
        <v>5.0813649999999999</v>
      </c>
      <c r="E6194">
        <v>0.47343839999999998</v>
      </c>
      <c r="F6194" t="s">
        <v>42</v>
      </c>
      <c r="G6194">
        <v>-189.61420000000001</v>
      </c>
      <c r="H6194" s="1">
        <v>-6.9096360000000002E-7</v>
      </c>
      <c r="I6194">
        <v>101.0839</v>
      </c>
      <c r="J6194">
        <v>-188.08160000000001</v>
      </c>
      <c r="K6194">
        <v>1.1102069999999999</v>
      </c>
      <c r="L6194">
        <v>73.815460000000002</v>
      </c>
      <c r="M6194">
        <v>3.4312549999999998E-3</v>
      </c>
      <c r="N6194">
        <v>0</v>
      </c>
      <c r="O6194">
        <v>0.99989519999999998</v>
      </c>
      <c r="P6194">
        <v>1.8253129999999999E-2</v>
      </c>
      <c r="Q6194">
        <v>4.2574210000000001E-2</v>
      </c>
      <c r="R6194">
        <v>0.9989266</v>
      </c>
      <c r="S6194">
        <v>-0.16751099999999999</v>
      </c>
      <c r="T6194">
        <v>-0.12140769999999999</v>
      </c>
      <c r="U6194">
        <v>3.0115660000000002</v>
      </c>
      <c r="V6194">
        <v>1.48156E-2</v>
      </c>
      <c r="W6194">
        <v>5.6627789999999997E-2</v>
      </c>
      <c r="X6194">
        <v>0.99828539999999999</v>
      </c>
      <c r="Y6194">
        <v>-5.8917749999999998E-2</v>
      </c>
      <c r="Z6194">
        <v>-4.0214729999999997E-2</v>
      </c>
      <c r="AA6194">
        <v>0.99745249999999996</v>
      </c>
      <c r="AB6194">
        <v>28</v>
      </c>
      <c r="AC6194">
        <v>-1.5326</v>
      </c>
      <c r="AD6194">
        <v>-1.1102076909635901</v>
      </c>
      <c r="AE6194">
        <v>27.268439999999998</v>
      </c>
      <c r="AF6194">
        <v>-1.6234825420991901</v>
      </c>
      <c r="AG6194">
        <v>-1.1102076909635901</v>
      </c>
      <c r="AH6194">
        <v>27.218044780152901</v>
      </c>
      <c r="AI6194">
        <v>92.331626134736695</v>
      </c>
      <c r="AJ6194">
        <v>93.413493492042505</v>
      </c>
      <c r="AK6194">
        <v>27.289012776866599</v>
      </c>
      <c r="AL6194">
        <v>86.753729994622901</v>
      </c>
      <c r="AM6194">
        <v>89.149733096367498</v>
      </c>
      <c r="AN6194">
        <v>0.99999997422840103</v>
      </c>
    </row>
    <row r="6195" spans="1:40" x14ac:dyDescent="0.25">
      <c r="A6195" t="str">
        <f>"20190312154727864"</f>
        <v>20190312154727864</v>
      </c>
      <c r="B6195" t="str">
        <f>"1552376847854157"</f>
        <v>1552376847854157</v>
      </c>
      <c r="C6195" t="s">
        <v>40</v>
      </c>
      <c r="D6195">
        <v>5.1344659999999998</v>
      </c>
      <c r="E6195">
        <v>0.4735799</v>
      </c>
      <c r="F6195" t="s">
        <v>42</v>
      </c>
      <c r="G6195">
        <v>-189.5163</v>
      </c>
      <c r="H6195" s="1">
        <v>-3.3262890000000001E-7</v>
      </c>
      <c r="I6195">
        <v>100.2081</v>
      </c>
      <c r="J6195">
        <v>-188.08070000000001</v>
      </c>
      <c r="K6195">
        <v>1.110209</v>
      </c>
      <c r="L6195">
        <v>74.102050000000006</v>
      </c>
      <c r="M6195">
        <v>3.3186700000000001E-3</v>
      </c>
      <c r="N6195">
        <v>0</v>
      </c>
      <c r="O6195">
        <v>0.9998956</v>
      </c>
      <c r="P6195">
        <v>1.8895149999999999E-2</v>
      </c>
      <c r="Q6195">
        <v>4.2622750000000001E-2</v>
      </c>
      <c r="R6195">
        <v>0.99891260000000004</v>
      </c>
      <c r="S6195">
        <v>-0.16371150000000001</v>
      </c>
      <c r="T6195">
        <v>-0.12668409999999999</v>
      </c>
      <c r="U6195">
        <v>3.0116269999999998</v>
      </c>
      <c r="V6195">
        <v>1.557016E-2</v>
      </c>
      <c r="W6195">
        <v>5.667349E-2</v>
      </c>
      <c r="X6195">
        <v>0.99827129999999997</v>
      </c>
      <c r="Y6195">
        <v>-5.7545689999999997E-2</v>
      </c>
      <c r="Z6195">
        <v>-4.1961730000000003E-2</v>
      </c>
      <c r="AA6195">
        <v>0.99746060000000003</v>
      </c>
      <c r="AB6195">
        <v>28</v>
      </c>
      <c r="AC6195">
        <v>-1.43559999999999</v>
      </c>
      <c r="AD6195">
        <v>-1.1102093326289</v>
      </c>
      <c r="AE6195">
        <v>26.10605</v>
      </c>
      <c r="AF6195">
        <v>-1.51949824272264</v>
      </c>
      <c r="AG6195">
        <v>-1.1102093326289</v>
      </c>
      <c r="AH6195">
        <v>26.054163597990801</v>
      </c>
      <c r="AI6195">
        <v>92.435854137173905</v>
      </c>
      <c r="AJ6195">
        <v>93.337751755670496</v>
      </c>
      <c r="AK6195">
        <v>26.122038214173902</v>
      </c>
      <c r="AL6195">
        <v>86.751107291334307</v>
      </c>
      <c r="AM6195">
        <v>89.106423149619104</v>
      </c>
      <c r="AN6195">
        <v>0.99999995137744602</v>
      </c>
    </row>
    <row r="6196" spans="1:40" x14ac:dyDescent="0.25">
      <c r="A6196" t="str">
        <f>"20190312154727887"</f>
        <v>20190312154727887</v>
      </c>
      <c r="B6196" t="str">
        <f>"1552376847874653"</f>
        <v>1552376847874653</v>
      </c>
      <c r="C6196" t="s">
        <v>40</v>
      </c>
      <c r="D6196">
        <v>5.1578290000000004</v>
      </c>
      <c r="E6196">
        <v>0.47382489999999999</v>
      </c>
      <c r="F6196" t="s">
        <v>42</v>
      </c>
      <c r="G6196">
        <v>-189.4554</v>
      </c>
      <c r="H6196" s="1">
        <v>-2.1815659999999999E-7</v>
      </c>
      <c r="I6196">
        <v>99.86336</v>
      </c>
      <c r="J6196">
        <v>-188.07990000000001</v>
      </c>
      <c r="K6196">
        <v>1.110215</v>
      </c>
      <c r="L6196">
        <v>74.383449999999996</v>
      </c>
      <c r="M6196">
        <v>3.2080730000000001E-3</v>
      </c>
      <c r="N6196">
        <v>0</v>
      </c>
      <c r="O6196">
        <v>0.99989589999999995</v>
      </c>
      <c r="P6196">
        <v>1.980409E-2</v>
      </c>
      <c r="Q6196">
        <v>4.3119539999999998E-2</v>
      </c>
      <c r="R6196">
        <v>0.99887360000000003</v>
      </c>
      <c r="S6196">
        <v>-0.1607208</v>
      </c>
      <c r="T6196">
        <v>-0.12979830000000001</v>
      </c>
      <c r="U6196">
        <v>3.011841</v>
      </c>
      <c r="V6196">
        <v>1.6589659999999999E-2</v>
      </c>
      <c r="W6196">
        <v>5.7167160000000002E-2</v>
      </c>
      <c r="X6196">
        <v>0.99822679999999997</v>
      </c>
      <c r="Y6196">
        <v>-5.6441459999999999E-2</v>
      </c>
      <c r="Z6196">
        <v>-4.2990859999999999E-2</v>
      </c>
      <c r="AA6196">
        <v>0.99747989999999997</v>
      </c>
      <c r="AB6196">
        <v>28</v>
      </c>
      <c r="AC6196">
        <v>-1.37549999999998</v>
      </c>
      <c r="AD6196">
        <v>-1.1102152181565901</v>
      </c>
      <c r="AE6196">
        <v>25.47991</v>
      </c>
      <c r="AF6196">
        <v>-1.4544890470182199</v>
      </c>
      <c r="AG6196">
        <v>-1.1102152181565901</v>
      </c>
      <c r="AH6196">
        <v>25.427231505993099</v>
      </c>
      <c r="AI6196">
        <v>92.496011116718293</v>
      </c>
      <c r="AJ6196">
        <v>93.273866755195399</v>
      </c>
      <c r="AK6196">
        <v>25.492983706853298</v>
      </c>
      <c r="AL6196">
        <v>86.722776383324202</v>
      </c>
      <c r="AM6196">
        <v>89.047881697305996</v>
      </c>
      <c r="AN6196">
        <v>1.00000002261981</v>
      </c>
    </row>
    <row r="6197" spans="1:40" x14ac:dyDescent="0.25">
      <c r="A6197" t="str">
        <f>"20190312154727908"</f>
        <v>20190312154727908</v>
      </c>
      <c r="B6197" t="str">
        <f>"1552376847903933"</f>
        <v>1552376847903933</v>
      </c>
      <c r="C6197" t="s">
        <v>40</v>
      </c>
      <c r="D6197">
        <v>5.0762499999999999</v>
      </c>
      <c r="E6197">
        <v>0.47438530000000001</v>
      </c>
      <c r="F6197" t="s">
        <v>42</v>
      </c>
      <c r="G6197">
        <v>-189.3946</v>
      </c>
      <c r="H6197" s="1">
        <v>-2.041803E-7</v>
      </c>
      <c r="I6197">
        <v>99.774709999999999</v>
      </c>
      <c r="J6197">
        <v>-188.07919999999999</v>
      </c>
      <c r="K6197">
        <v>1.1102160000000001</v>
      </c>
      <c r="L6197">
        <v>74.64255</v>
      </c>
      <c r="M6197">
        <v>3.1061600000000002E-3</v>
      </c>
      <c r="N6197">
        <v>0</v>
      </c>
      <c r="O6197">
        <v>0.99989629999999996</v>
      </c>
      <c r="P6197">
        <v>2.013742E-2</v>
      </c>
      <c r="Q6197">
        <v>4.3337550000000002E-2</v>
      </c>
      <c r="R6197">
        <v>0.99885749999999995</v>
      </c>
      <c r="S6197">
        <v>-0.15596009999999999</v>
      </c>
      <c r="T6197">
        <v>-0.1317053</v>
      </c>
      <c r="U6197">
        <v>3.0121769999999999</v>
      </c>
      <c r="V6197">
        <v>1.7024850000000001E-2</v>
      </c>
      <c r="W6197">
        <v>5.7381870000000001E-2</v>
      </c>
      <c r="X6197">
        <v>0.99820719999999996</v>
      </c>
      <c r="Y6197">
        <v>-5.4760139999999999E-2</v>
      </c>
      <c r="Z6197">
        <v>-4.3620319999999997E-2</v>
      </c>
      <c r="AA6197">
        <v>0.9975463</v>
      </c>
      <c r="AB6197">
        <v>28</v>
      </c>
      <c r="AC6197">
        <v>-1.3154000000000099</v>
      </c>
      <c r="AD6197">
        <v>-1.1102162041803001</v>
      </c>
      <c r="AE6197">
        <v>25.132159999999999</v>
      </c>
      <c r="AF6197">
        <v>-1.3907593118497701</v>
      </c>
      <c r="AG6197">
        <v>-1.1102162041803001</v>
      </c>
      <c r="AH6197">
        <v>25.079145709212099</v>
      </c>
      <c r="AI6197">
        <v>92.530859956336897</v>
      </c>
      <c r="AJ6197">
        <v>93.174075671029897</v>
      </c>
      <c r="AK6197">
        <v>25.1422023893575</v>
      </c>
      <c r="AL6197">
        <v>86.710454333278506</v>
      </c>
      <c r="AM6197">
        <v>89.022890752492003</v>
      </c>
      <c r="AN6197">
        <v>1.0000000693270199</v>
      </c>
    </row>
    <row r="6198" spans="1:40" x14ac:dyDescent="0.25">
      <c r="A6198" t="str">
        <f>"20190312154727931"</f>
        <v>20190312154727931</v>
      </c>
      <c r="B6198" t="str">
        <f>"1552376847924429"</f>
        <v>1552376847924429</v>
      </c>
      <c r="C6198" t="s">
        <v>40</v>
      </c>
      <c r="D6198">
        <v>5.2657160000000003</v>
      </c>
      <c r="E6198">
        <v>0.47460829999999998</v>
      </c>
      <c r="F6198" t="s">
        <v>42</v>
      </c>
      <c r="G6198">
        <v>-189.35749999999999</v>
      </c>
      <c r="H6198" s="1">
        <v>-3.711201E-7</v>
      </c>
      <c r="I6198">
        <v>100.23220000000001</v>
      </c>
      <c r="J6198">
        <v>-188.07849999999999</v>
      </c>
      <c r="K6198">
        <v>1.1102080000000001</v>
      </c>
      <c r="L6198">
        <v>74.909610000000001</v>
      </c>
      <c r="M6198">
        <v>3.0009730000000001E-3</v>
      </c>
      <c r="N6198">
        <v>0</v>
      </c>
      <c r="O6198">
        <v>0.99989660000000002</v>
      </c>
      <c r="P6198">
        <v>2.098322E-2</v>
      </c>
      <c r="Q6198">
        <v>4.283812E-2</v>
      </c>
      <c r="R6198">
        <v>0.99886169999999996</v>
      </c>
      <c r="S6198">
        <v>-0.15046689999999999</v>
      </c>
      <c r="T6198">
        <v>-0.13068179999999999</v>
      </c>
      <c r="U6198">
        <v>3.0121150000000001</v>
      </c>
      <c r="V6198">
        <v>1.7975830000000002E-2</v>
      </c>
      <c r="W6198">
        <v>5.6880100000000003E-2</v>
      </c>
      <c r="X6198">
        <v>0.99821919999999997</v>
      </c>
      <c r="Y6198">
        <v>-5.2842229999999997E-2</v>
      </c>
      <c r="Z6198">
        <v>-4.328709E-2</v>
      </c>
      <c r="AA6198">
        <v>0.9976642</v>
      </c>
      <c r="AB6198">
        <v>27</v>
      </c>
      <c r="AC6198">
        <v>-1.2789999999999899</v>
      </c>
      <c r="AD6198">
        <v>-1.1102083711201001</v>
      </c>
      <c r="AE6198">
        <v>25.322590000000002</v>
      </c>
      <c r="AF6198">
        <v>-1.35240122864972</v>
      </c>
      <c r="AG6198">
        <v>-1.1102083711201001</v>
      </c>
      <c r="AH6198">
        <v>25.270187225354501</v>
      </c>
      <c r="AI6198">
        <v>92.511997662961903</v>
      </c>
      <c r="AJ6198">
        <v>93.0634134617966</v>
      </c>
      <c r="AK6198">
        <v>25.330691149572498</v>
      </c>
      <c r="AL6198">
        <v>86.739250519377194</v>
      </c>
      <c r="AM6198">
        <v>88.968334928011799</v>
      </c>
      <c r="AN6198">
        <v>1.00000002374441</v>
      </c>
    </row>
    <row r="6199" spans="1:40" x14ac:dyDescent="0.25">
      <c r="A6199" t="str">
        <f>"20190312154727953"</f>
        <v>20190312154727953</v>
      </c>
      <c r="B6199" t="str">
        <f>"1552376847943950"</f>
        <v>1552376847943950</v>
      </c>
      <c r="C6199" t="s">
        <v>40</v>
      </c>
      <c r="D6199">
        <v>5.1300980000000003</v>
      </c>
      <c r="E6199">
        <v>0.51694929999999994</v>
      </c>
      <c r="F6199" t="s">
        <v>42</v>
      </c>
      <c r="G6199">
        <v>-189.30009999999999</v>
      </c>
      <c r="H6199" s="1">
        <v>-3.3557350000000002E-7</v>
      </c>
      <c r="I6199">
        <v>100.0869</v>
      </c>
      <c r="J6199">
        <v>-188.0778</v>
      </c>
      <c r="K6199">
        <v>1.1102069999999999</v>
      </c>
      <c r="L6199">
        <v>75.185850000000002</v>
      </c>
      <c r="M6199">
        <v>2.892192E-3</v>
      </c>
      <c r="N6199">
        <v>0</v>
      </c>
      <c r="O6199">
        <v>0.99989709999999998</v>
      </c>
      <c r="P6199">
        <v>2.1688269999999999E-2</v>
      </c>
      <c r="Q6199">
        <v>4.1990180000000002E-2</v>
      </c>
      <c r="R6199">
        <v>0.99888259999999995</v>
      </c>
      <c r="S6199">
        <v>-0.14614869999999999</v>
      </c>
      <c r="T6199">
        <v>-0.13282369999999999</v>
      </c>
      <c r="U6199">
        <v>3.0121769999999999</v>
      </c>
      <c r="V6199">
        <v>1.8789650000000001E-2</v>
      </c>
      <c r="W6199">
        <v>5.6029830000000003E-2</v>
      </c>
      <c r="X6199">
        <v>0.99825229999999998</v>
      </c>
      <c r="Y6199">
        <v>-5.1304229999999999E-2</v>
      </c>
      <c r="Z6199">
        <v>-4.3997679999999997E-2</v>
      </c>
      <c r="AA6199">
        <v>0.99771339999999997</v>
      </c>
      <c r="AB6199">
        <v>27</v>
      </c>
      <c r="AC6199">
        <v>-1.22229999999999</v>
      </c>
      <c r="AD6199">
        <v>-1.1102073355735</v>
      </c>
      <c r="AE6199">
        <v>24.901050000000001</v>
      </c>
      <c r="AF6199">
        <v>-1.29175902703065</v>
      </c>
      <c r="AG6199">
        <v>-1.1102073355735</v>
      </c>
      <c r="AH6199">
        <v>24.8481359381082</v>
      </c>
      <c r="AI6199">
        <v>92.554811635737195</v>
      </c>
      <c r="AJ6199">
        <v>92.975908302264003</v>
      </c>
      <c r="AK6199">
        <v>24.9064461798664</v>
      </c>
      <c r="AL6199">
        <v>86.788045222163404</v>
      </c>
      <c r="AM6199">
        <v>88.921674879058799</v>
      </c>
      <c r="AN6199">
        <v>1.0000000236261199</v>
      </c>
    </row>
    <row r="6200" spans="1:40" x14ac:dyDescent="0.25">
      <c r="A6200" t="str">
        <f>"20190312154727977"</f>
        <v>20190312154727977</v>
      </c>
      <c r="B6200" t="str">
        <f>"1552376847964444"</f>
        <v>1552376847964444</v>
      </c>
      <c r="C6200" t="s">
        <v>40</v>
      </c>
      <c r="D6200">
        <v>5.1644709999999998</v>
      </c>
      <c r="E6200">
        <v>0.5351205</v>
      </c>
      <c r="F6200" t="s">
        <v>41</v>
      </c>
      <c r="G6200">
        <v>-188.02250000000001</v>
      </c>
      <c r="H6200">
        <v>1.0517259999999999</v>
      </c>
      <c r="I6200">
        <v>76.049779999999998</v>
      </c>
      <c r="J6200">
        <v>-188.0771</v>
      </c>
      <c r="K6200">
        <v>1.110201</v>
      </c>
      <c r="L6200">
        <v>75.478149999999999</v>
      </c>
      <c r="M6200">
        <v>2.7772550000000002E-3</v>
      </c>
      <c r="N6200">
        <v>0</v>
      </c>
      <c r="O6200">
        <v>0.99989740000000005</v>
      </c>
      <c r="P6200">
        <v>2.1971480000000002E-2</v>
      </c>
      <c r="Q6200">
        <v>4.1606730000000001E-2</v>
      </c>
      <c r="R6200">
        <v>0.99889240000000001</v>
      </c>
      <c r="S6200">
        <v>0.1918793</v>
      </c>
      <c r="T6200">
        <v>-0.20363400000000001</v>
      </c>
      <c r="U6200">
        <v>3.0077509999999998</v>
      </c>
      <c r="V6200">
        <v>1.9187760000000002E-2</v>
      </c>
      <c r="W6200">
        <v>5.5643720000000001E-2</v>
      </c>
      <c r="X6200">
        <v>0.99826630000000005</v>
      </c>
      <c r="Y6200">
        <v>6.074852E-2</v>
      </c>
      <c r="Z6200">
        <v>-6.7417469999999993E-2</v>
      </c>
      <c r="AA6200">
        <v>0.99587369999999997</v>
      </c>
      <c r="AB6200">
        <v>27</v>
      </c>
      <c r="AC6200">
        <v>5.4599999999993501E-2</v>
      </c>
      <c r="AD6200">
        <v>-5.8474999999999999E-2</v>
      </c>
      <c r="AE6200">
        <v>0.57162999999999897</v>
      </c>
      <c r="AF6200">
        <v>5.2467993016764601E-2</v>
      </c>
      <c r="AG6200">
        <v>-5.8474999999999999E-2</v>
      </c>
      <c r="AH6200">
        <v>0.56591111987334197</v>
      </c>
      <c r="AI6200">
        <v>95.874359936607604</v>
      </c>
      <c r="AJ6200">
        <v>84.703010883431801</v>
      </c>
      <c r="AK6200">
        <v>0.571338438679306</v>
      </c>
      <c r="AL6200">
        <v>86.810202185816493</v>
      </c>
      <c r="AM6200">
        <v>88.898848625928693</v>
      </c>
      <c r="AN6200">
        <v>0.999999999712473</v>
      </c>
    </row>
    <row r="6201" spans="1:40" x14ac:dyDescent="0.25">
      <c r="A6201" t="str">
        <f>"20190312154728001"</f>
        <v>20190312154728001</v>
      </c>
      <c r="B6201" t="str">
        <f>"1552376847994701"</f>
        <v>1552376847994701</v>
      </c>
      <c r="C6201" t="s">
        <v>40</v>
      </c>
      <c r="D6201">
        <v>5.0423</v>
      </c>
      <c r="E6201">
        <v>0.54584180000000004</v>
      </c>
      <c r="F6201" t="s">
        <v>42</v>
      </c>
      <c r="G6201">
        <v>-186.22550000000001</v>
      </c>
      <c r="H6201" s="1">
        <v>-1.7851089999999999E-6</v>
      </c>
      <c r="I6201">
        <v>91.942530000000005</v>
      </c>
      <c r="J6201">
        <v>-188.07640000000001</v>
      </c>
      <c r="K6201">
        <v>1.110198</v>
      </c>
      <c r="L6201">
        <v>75.771000000000001</v>
      </c>
      <c r="M6201">
        <v>2.6620189999999998E-3</v>
      </c>
      <c r="N6201">
        <v>0</v>
      </c>
      <c r="O6201">
        <v>0.99989779999999995</v>
      </c>
      <c r="P6201">
        <v>2.2188090000000001E-2</v>
      </c>
      <c r="Q6201">
        <v>4.0848189999999999E-2</v>
      </c>
      <c r="R6201">
        <v>0.998919</v>
      </c>
      <c r="S6201">
        <v>0.337860099999999</v>
      </c>
      <c r="T6201">
        <v>-0.20258399999999999</v>
      </c>
      <c r="U6201">
        <v>3.0043329999999999</v>
      </c>
      <c r="V6201">
        <v>1.951957E-2</v>
      </c>
      <c r="W6201">
        <v>5.4881939999999997E-2</v>
      </c>
      <c r="X6201">
        <v>0.99830200000000002</v>
      </c>
      <c r="Y6201">
        <v>0.1088571</v>
      </c>
      <c r="Z6201">
        <v>-6.6867780000000002E-2</v>
      </c>
      <c r="AA6201">
        <v>0.99180590000000002</v>
      </c>
      <c r="AB6201">
        <v>27</v>
      </c>
      <c r="AC6201">
        <v>1.85089999999999</v>
      </c>
      <c r="AD6201">
        <v>-1.110199785109</v>
      </c>
      <c r="AE6201">
        <v>16.171530000000001</v>
      </c>
      <c r="AF6201">
        <v>1.7994689865454701</v>
      </c>
      <c r="AG6201">
        <v>-1.110199785109</v>
      </c>
      <c r="AH6201">
        <v>16.101494750810001</v>
      </c>
      <c r="AI6201">
        <v>93.919980285437504</v>
      </c>
      <c r="AJ6201">
        <v>83.6232054056442</v>
      </c>
      <c r="AK6201">
        <v>16.239727996698601</v>
      </c>
      <c r="AL6201">
        <v>86.853915648544302</v>
      </c>
      <c r="AM6201">
        <v>88.879851500329195</v>
      </c>
      <c r="AN6201">
        <v>0.99999996207757302</v>
      </c>
    </row>
    <row r="6202" spans="1:40" x14ac:dyDescent="0.25">
      <c r="A6202" t="str">
        <f>"20190312154728023"</f>
        <v>20190312154728023</v>
      </c>
      <c r="B6202" t="str">
        <f>"1552376848014221"</f>
        <v>1552376848014221</v>
      </c>
      <c r="C6202" t="s">
        <v>40</v>
      </c>
      <c r="D6202">
        <v>5.0265769999999996</v>
      </c>
      <c r="E6202">
        <v>0.54919119999999999</v>
      </c>
      <c r="F6202" t="s">
        <v>42</v>
      </c>
      <c r="G6202">
        <v>-185.91759999999999</v>
      </c>
      <c r="H6202" s="1">
        <v>-1.5694810000000001E-6</v>
      </c>
      <c r="I6202">
        <v>91.068110000000004</v>
      </c>
      <c r="J6202">
        <v>-188.07579999999999</v>
      </c>
      <c r="K6202">
        <v>1.1102019999999999</v>
      </c>
      <c r="L6202">
        <v>76.033810000000003</v>
      </c>
      <c r="M6202">
        <v>2.558584E-3</v>
      </c>
      <c r="N6202">
        <v>0</v>
      </c>
      <c r="O6202">
        <v>0.99989810000000001</v>
      </c>
      <c r="P6202">
        <v>2.2547080000000001E-2</v>
      </c>
      <c r="Q6202">
        <v>4.1987589999999998E-2</v>
      </c>
      <c r="R6202">
        <v>0.99886370000000002</v>
      </c>
      <c r="S6202">
        <v>0.42376710000000001</v>
      </c>
      <c r="T6202">
        <v>-0.2179266</v>
      </c>
      <c r="U6202">
        <v>3.0027469999999998</v>
      </c>
      <c r="V6202">
        <v>1.998188E-2</v>
      </c>
      <c r="W6202">
        <v>5.6017919999999999E-2</v>
      </c>
      <c r="X6202">
        <v>0.99822979999999994</v>
      </c>
      <c r="Y6202">
        <v>0.136848</v>
      </c>
      <c r="Z6202">
        <v>-7.1691190000000002E-2</v>
      </c>
      <c r="AA6202">
        <v>0.98799440000000005</v>
      </c>
      <c r="AB6202">
        <v>27</v>
      </c>
      <c r="AC6202">
        <v>2.1581999999999901</v>
      </c>
      <c r="AD6202">
        <v>-1.110203569481</v>
      </c>
      <c r="AE6202">
        <v>15.0343</v>
      </c>
      <c r="AF6202">
        <v>2.1084572619598099</v>
      </c>
      <c r="AG6202">
        <v>-1.110203569481</v>
      </c>
      <c r="AH6202">
        <v>14.959843726286</v>
      </c>
      <c r="AI6202">
        <v>94.202880527457197</v>
      </c>
      <c r="AJ6202">
        <v>81.977510312257493</v>
      </c>
      <c r="AK6202">
        <v>15.1484345166786</v>
      </c>
      <c r="AL6202">
        <v>86.7887286388804</v>
      </c>
      <c r="AM6202">
        <v>88.853245502440799</v>
      </c>
      <c r="AN6202">
        <v>1.0000000082487499</v>
      </c>
    </row>
    <row r="6203" spans="1:40" x14ac:dyDescent="0.25">
      <c r="A6203" t="str">
        <f>"20190312154728044"</f>
        <v>20190312154728044</v>
      </c>
      <c r="B6203" t="str">
        <f>"1552376848034717"</f>
        <v>1552376848034717</v>
      </c>
      <c r="C6203" t="s">
        <v>40</v>
      </c>
      <c r="D6203">
        <v>4.9943280000000003</v>
      </c>
      <c r="E6203">
        <v>0.55155779999999999</v>
      </c>
      <c r="F6203" t="s">
        <v>42</v>
      </c>
      <c r="G6203">
        <v>-185.78800000000001</v>
      </c>
      <c r="H6203" s="1">
        <v>-1.6656589999999999E-6</v>
      </c>
      <c r="I6203">
        <v>91.249430000000004</v>
      </c>
      <c r="J6203">
        <v>-188.0753</v>
      </c>
      <c r="K6203">
        <v>1.110209</v>
      </c>
      <c r="L6203">
        <v>76.29813</v>
      </c>
      <c r="M6203">
        <v>2.454253E-3</v>
      </c>
      <c r="N6203">
        <v>0</v>
      </c>
      <c r="O6203">
        <v>0.99989839999999997</v>
      </c>
      <c r="P6203">
        <v>2.2776069999999999E-2</v>
      </c>
      <c r="Q6203">
        <v>4.3789340000000003E-2</v>
      </c>
      <c r="R6203">
        <v>0.99878109999999998</v>
      </c>
      <c r="S6203">
        <v>0.45144649999999997</v>
      </c>
      <c r="T6203">
        <v>-0.2190725</v>
      </c>
      <c r="U6203">
        <v>3.0024410000000001</v>
      </c>
      <c r="V6203">
        <v>2.0315050000000001E-2</v>
      </c>
      <c r="W6203">
        <v>5.7816020000000003E-2</v>
      </c>
      <c r="X6203">
        <v>0.99812049999999997</v>
      </c>
      <c r="Y6203">
        <v>0.14587510000000001</v>
      </c>
      <c r="Z6203">
        <v>-7.1979370000000001E-2</v>
      </c>
      <c r="AA6203">
        <v>0.98668100000000003</v>
      </c>
      <c r="AB6203">
        <v>27</v>
      </c>
      <c r="AC6203">
        <v>2.2873000000000099</v>
      </c>
      <c r="AD6203">
        <v>-1.1102106656590001</v>
      </c>
      <c r="AE6203">
        <v>14.9513</v>
      </c>
      <c r="AF6203">
        <v>2.2385345995582</v>
      </c>
      <c r="AG6203">
        <v>-1.1102106656590001</v>
      </c>
      <c r="AH6203">
        <v>14.876717395025</v>
      </c>
      <c r="AI6203">
        <v>94.220584414737402</v>
      </c>
      <c r="AJ6203">
        <v>81.442768199589693</v>
      </c>
      <c r="AK6203">
        <v>15.0851027615658</v>
      </c>
      <c r="AL6203">
        <v>86.685537653213501</v>
      </c>
      <c r="AM6203">
        <v>88.834002569396006</v>
      </c>
      <c r="AN6203">
        <v>0.999999962972695</v>
      </c>
    </row>
    <row r="6204" spans="1:40" x14ac:dyDescent="0.25">
      <c r="A6204" t="str">
        <f>"20190312154728064"</f>
        <v>20190312154728064</v>
      </c>
      <c r="B6204" t="str">
        <f>"1552376848054237"</f>
        <v>1552376848054237</v>
      </c>
      <c r="C6204" t="s">
        <v>40</v>
      </c>
      <c r="D6204">
        <v>4.9825650000000001</v>
      </c>
      <c r="E6204">
        <v>0.55340330000000004</v>
      </c>
      <c r="F6204" t="s">
        <v>42</v>
      </c>
      <c r="G6204">
        <v>-185.65199999999999</v>
      </c>
      <c r="H6204" s="1">
        <v>-1.869705E-6</v>
      </c>
      <c r="I6204">
        <v>91.742710000000002</v>
      </c>
      <c r="J6204">
        <v>-188.07470000000001</v>
      </c>
      <c r="K6204">
        <v>1.110215</v>
      </c>
      <c r="L6204">
        <v>76.551299999999998</v>
      </c>
      <c r="M6204">
        <v>2.3546819999999999E-3</v>
      </c>
      <c r="N6204">
        <v>0</v>
      </c>
      <c r="O6204">
        <v>0.99989870000000003</v>
      </c>
      <c r="P6204">
        <v>2.2679669999999999E-2</v>
      </c>
      <c r="Q6204">
        <v>4.4447140000000003E-2</v>
      </c>
      <c r="R6204">
        <v>0.99875429999999998</v>
      </c>
      <c r="S6204">
        <v>0.47106930000000002</v>
      </c>
      <c r="T6204">
        <v>-0.2158216</v>
      </c>
      <c r="U6204">
        <v>3.00238</v>
      </c>
      <c r="V6204">
        <v>2.031809E-2</v>
      </c>
      <c r="W6204">
        <v>5.8470559999999998E-2</v>
      </c>
      <c r="X6204">
        <v>0.99808229999999998</v>
      </c>
      <c r="Y6204">
        <v>0.15228599999999901</v>
      </c>
      <c r="Z6204">
        <v>-7.0848930000000004E-2</v>
      </c>
      <c r="AA6204">
        <v>0.98579380000000005</v>
      </c>
      <c r="AB6204">
        <v>27</v>
      </c>
      <c r="AC6204">
        <v>2.4226999999999901</v>
      </c>
      <c r="AD6204">
        <v>-1.1102168697050001</v>
      </c>
      <c r="AE6204">
        <v>15.191409999999999</v>
      </c>
      <c r="AF6204">
        <v>2.37455098671823</v>
      </c>
      <c r="AG6204">
        <v>-1.1102168697050001</v>
      </c>
      <c r="AH6204">
        <v>15.118329421012501</v>
      </c>
      <c r="AI6204">
        <v>94.149298278705601</v>
      </c>
      <c r="AJ6204">
        <v>81.073798189976102</v>
      </c>
      <c r="AK6204">
        <v>15.343889936015399</v>
      </c>
      <c r="AL6204">
        <v>86.647971690504406</v>
      </c>
      <c r="AM6204">
        <v>88.833783513479602</v>
      </c>
      <c r="AN6204">
        <v>0.99999995437062394</v>
      </c>
    </row>
    <row r="6205" spans="1:40" x14ac:dyDescent="0.25">
      <c r="A6205" t="str">
        <f>"20190312154728089"</f>
        <v>20190312154728089</v>
      </c>
      <c r="B6205" t="str">
        <f>"1552376848074732"</f>
        <v>1552376848074732</v>
      </c>
      <c r="C6205" t="s">
        <v>40</v>
      </c>
      <c r="D6205">
        <v>4.9602180000000002</v>
      </c>
      <c r="E6205">
        <v>0.5543941</v>
      </c>
      <c r="F6205" t="s">
        <v>42</v>
      </c>
      <c r="G6205">
        <v>-185.57409999999999</v>
      </c>
      <c r="H6205" s="1">
        <v>-1.9865310000000002E-6</v>
      </c>
      <c r="I6205">
        <v>92.025049999999993</v>
      </c>
      <c r="J6205">
        <v>-188.07419999999999</v>
      </c>
      <c r="K6205">
        <v>1.110222</v>
      </c>
      <c r="L6205">
        <v>76.834500000000006</v>
      </c>
      <c r="M6205">
        <v>2.2430689999999999E-3</v>
      </c>
      <c r="N6205">
        <v>0</v>
      </c>
      <c r="O6205">
        <v>0.99989899999999998</v>
      </c>
      <c r="P6205">
        <v>2.2831130000000002E-2</v>
      </c>
      <c r="Q6205">
        <v>4.4571050000000001E-2</v>
      </c>
      <c r="R6205">
        <v>0.99874529999999995</v>
      </c>
      <c r="S6205">
        <v>0.48519899999999999</v>
      </c>
      <c r="T6205">
        <v>-0.21541170000000001</v>
      </c>
      <c r="U6205">
        <v>3.002319</v>
      </c>
      <c r="V6205">
        <v>2.058107E-2</v>
      </c>
      <c r="W6205">
        <v>5.8590999999999997E-2</v>
      </c>
      <c r="X6205">
        <v>0.99806989999999995</v>
      </c>
      <c r="Y6205">
        <v>0.15692439999999999</v>
      </c>
      <c r="Z6205">
        <v>-7.0664790000000005E-2</v>
      </c>
      <c r="AA6205">
        <v>0.98507929999999999</v>
      </c>
      <c r="AB6205">
        <v>27</v>
      </c>
      <c r="AC6205">
        <v>2.5001000000000002</v>
      </c>
      <c r="AD6205">
        <v>-1.110223986531</v>
      </c>
      <c r="AE6205">
        <v>15.190549999999901</v>
      </c>
      <c r="AF6205">
        <v>2.4532580952288101</v>
      </c>
      <c r="AG6205">
        <v>-1.110223986531</v>
      </c>
      <c r="AH6205">
        <v>15.117497751372699</v>
      </c>
      <c r="AI6205">
        <v>94.146196013749403</v>
      </c>
      <c r="AJ6205">
        <v>80.782429825295495</v>
      </c>
      <c r="AK6205">
        <v>15.355448897535799</v>
      </c>
      <c r="AL6205">
        <v>86.641059307598695</v>
      </c>
      <c r="AM6205">
        <v>88.818678581157002</v>
      </c>
      <c r="AN6205">
        <v>1.0000000055046701</v>
      </c>
    </row>
    <row r="6206" spans="1:40" x14ac:dyDescent="0.25">
      <c r="A6206" t="str">
        <f>"20190312154728109"</f>
        <v>20190312154728109</v>
      </c>
      <c r="B6206" t="str">
        <f>"1552376848104013"</f>
        <v>1552376848104013</v>
      </c>
      <c r="C6206" t="s">
        <v>40</v>
      </c>
      <c r="D6206">
        <v>4.9028589999999896</v>
      </c>
      <c r="E6206">
        <v>0.55600930000000004</v>
      </c>
      <c r="F6206" t="s">
        <v>42</v>
      </c>
      <c r="G6206">
        <v>-185.5215</v>
      </c>
      <c r="H6206" s="1">
        <v>-2.1154169999999999E-6</v>
      </c>
      <c r="I6206">
        <v>92.362719999999996</v>
      </c>
      <c r="J6206">
        <v>-188.0737</v>
      </c>
      <c r="K6206">
        <v>1.110223</v>
      </c>
      <c r="L6206">
        <v>77.087649999999996</v>
      </c>
      <c r="M6206">
        <v>2.1433450000000001E-3</v>
      </c>
      <c r="N6206">
        <v>0</v>
      </c>
      <c r="O6206">
        <v>0.99989919999999999</v>
      </c>
      <c r="P6206">
        <v>2.2676129999999999E-2</v>
      </c>
      <c r="Q6206">
        <v>4.5528609999999997E-2</v>
      </c>
      <c r="R6206">
        <v>0.99870559999999997</v>
      </c>
      <c r="S6206">
        <v>0.49349979999999899</v>
      </c>
      <c r="T6206">
        <v>-0.21463779999999999</v>
      </c>
      <c r="U6206">
        <v>3.0020449999999999</v>
      </c>
      <c r="V6206">
        <v>2.0525649999999999E-2</v>
      </c>
      <c r="W6206">
        <v>5.9545389999999997E-2</v>
      </c>
      <c r="X6206">
        <v>0.99801459999999997</v>
      </c>
      <c r="Y6206">
        <v>0.1596929</v>
      </c>
      <c r="Z6206">
        <v>-7.0387350000000001E-2</v>
      </c>
      <c r="AA6206">
        <v>0.98465409999999998</v>
      </c>
      <c r="AB6206">
        <v>27</v>
      </c>
      <c r="AC6206">
        <v>2.5521999999999898</v>
      </c>
      <c r="AD6206">
        <v>-1.110225115417</v>
      </c>
      <c r="AE6206">
        <v>15.275069999999999</v>
      </c>
      <c r="AF6206">
        <v>2.5065693380018801</v>
      </c>
      <c r="AG6206">
        <v>-1.110225115417</v>
      </c>
      <c r="AH6206">
        <v>15.2023772261518</v>
      </c>
      <c r="AI6206">
        <v>94.121428661151995</v>
      </c>
      <c r="AJ6206">
        <v>80.637303234894105</v>
      </c>
      <c r="AK6206">
        <v>15.447581136842601</v>
      </c>
      <c r="AL6206">
        <v>86.586281289318407</v>
      </c>
      <c r="AM6206">
        <v>88.821793442781697</v>
      </c>
      <c r="AN6206">
        <v>1.00000004879566</v>
      </c>
    </row>
    <row r="6207" spans="1:40" x14ac:dyDescent="0.25">
      <c r="A6207" t="str">
        <f>"20190312154728131"</f>
        <v>20190312154728131</v>
      </c>
      <c r="B6207" t="str">
        <f>"1552376848124509"</f>
        <v>1552376848124509</v>
      </c>
      <c r="C6207" t="s">
        <v>40</v>
      </c>
      <c r="D6207">
        <v>4.8726739999999999</v>
      </c>
      <c r="E6207">
        <v>0.55686950000000002</v>
      </c>
      <c r="F6207" t="s">
        <v>42</v>
      </c>
      <c r="G6207">
        <v>-185.43109999999999</v>
      </c>
      <c r="H6207" s="1">
        <v>-2.2761239999999999E-6</v>
      </c>
      <c r="I6207">
        <v>92.764279999999999</v>
      </c>
      <c r="J6207">
        <v>-188.07329999999999</v>
      </c>
      <c r="K6207">
        <v>1.1102259999999999</v>
      </c>
      <c r="L6207">
        <v>77.359619999999893</v>
      </c>
      <c r="M6207">
        <v>2.0361799999999998E-3</v>
      </c>
      <c r="N6207">
        <v>0</v>
      </c>
      <c r="O6207">
        <v>0.99989939999999999</v>
      </c>
      <c r="P6207">
        <v>2.2697450000000001E-2</v>
      </c>
      <c r="Q6207">
        <v>4.6045429999999998E-2</v>
      </c>
      <c r="R6207">
        <v>0.99868140000000005</v>
      </c>
      <c r="S6207">
        <v>0.50605770000000005</v>
      </c>
      <c r="T6207">
        <v>-0.21260809999999999</v>
      </c>
      <c r="U6207">
        <v>3.002075</v>
      </c>
      <c r="V6207">
        <v>2.0653999999999999E-2</v>
      </c>
      <c r="W6207">
        <v>6.0058970000000003E-2</v>
      </c>
      <c r="X6207">
        <v>0.99798109999999995</v>
      </c>
      <c r="Y6207">
        <v>0.16381180000000001</v>
      </c>
      <c r="Z6207">
        <v>-6.9677020000000006E-2</v>
      </c>
      <c r="AA6207">
        <v>0.98402789999999996</v>
      </c>
      <c r="AB6207">
        <v>27</v>
      </c>
      <c r="AC6207">
        <v>2.6421999999999999</v>
      </c>
      <c r="AD6207">
        <v>-1.1102282761240001</v>
      </c>
      <c r="AE6207">
        <v>15.40466</v>
      </c>
      <c r="AF6207">
        <v>2.5977172645061</v>
      </c>
      <c r="AG6207">
        <v>-1.1102282761240001</v>
      </c>
      <c r="AH6207">
        <v>15.3326434629106</v>
      </c>
      <c r="AI6207">
        <v>94.083535610481107</v>
      </c>
      <c r="AJ6207">
        <v>80.3840350182506</v>
      </c>
      <c r="AK6207">
        <v>15.5907247224801</v>
      </c>
      <c r="AL6207">
        <v>86.556802298866998</v>
      </c>
      <c r="AM6207">
        <v>88.814388249272199</v>
      </c>
      <c r="AN6207">
        <v>0.99999997177533495</v>
      </c>
    </row>
    <row r="6208" spans="1:40" x14ac:dyDescent="0.25">
      <c r="A6208" t="str">
        <f>"20190312154728153"</f>
        <v>20190312154728153</v>
      </c>
      <c r="B6208" t="str">
        <f>"1552376848144029"</f>
        <v>1552376848144029</v>
      </c>
      <c r="C6208" t="s">
        <v>40</v>
      </c>
      <c r="D6208">
        <v>4.7923</v>
      </c>
      <c r="E6208">
        <v>0.55752119999999905</v>
      </c>
      <c r="F6208" t="s">
        <v>42</v>
      </c>
      <c r="G6208">
        <v>-185.3689</v>
      </c>
      <c r="H6208" s="1">
        <v>-2.4360539999999999E-6</v>
      </c>
      <c r="I6208">
        <v>93.185609999999997</v>
      </c>
      <c r="J6208">
        <v>-188.0728</v>
      </c>
      <c r="K6208">
        <v>1.110231</v>
      </c>
      <c r="L6208">
        <v>77.626339999999999</v>
      </c>
      <c r="M6208">
        <v>1.931063E-3</v>
      </c>
      <c r="N6208">
        <v>0</v>
      </c>
      <c r="O6208">
        <v>0.99989969999999995</v>
      </c>
      <c r="P6208">
        <v>2.2860140000000001E-2</v>
      </c>
      <c r="Q6208">
        <v>4.629697E-2</v>
      </c>
      <c r="R6208">
        <v>0.9986661</v>
      </c>
      <c r="S6208">
        <v>0.51298520000000003</v>
      </c>
      <c r="T6208">
        <v>-0.21059810000000001</v>
      </c>
      <c r="U6208">
        <v>3.002014</v>
      </c>
      <c r="V6208">
        <v>2.0921700000000001E-2</v>
      </c>
      <c r="W6208">
        <v>6.0307430000000002E-2</v>
      </c>
      <c r="X6208">
        <v>0.99796059999999998</v>
      </c>
      <c r="Y6208">
        <v>0.16613349999999999</v>
      </c>
      <c r="Z6208">
        <v>-6.8996249999999995E-2</v>
      </c>
      <c r="AA6208">
        <v>0.98368650000000002</v>
      </c>
      <c r="AB6208">
        <v>27</v>
      </c>
      <c r="AC6208">
        <v>2.7039</v>
      </c>
      <c r="AD6208">
        <v>-1.110233436054</v>
      </c>
      <c r="AE6208">
        <v>15.5592699999999</v>
      </c>
      <c r="AF6208">
        <v>2.6606961214887299</v>
      </c>
      <c r="AG6208">
        <v>-1.110233436054</v>
      </c>
      <c r="AH6208">
        <v>15.4879170299418</v>
      </c>
      <c r="AI6208">
        <v>94.041170075538602</v>
      </c>
      <c r="AJ6208">
        <v>80.252209027080099</v>
      </c>
      <c r="AK6208">
        <v>15.7539676291339</v>
      </c>
      <c r="AL6208">
        <v>86.542540944201093</v>
      </c>
      <c r="AM6208">
        <v>88.799001142968606</v>
      </c>
      <c r="AN6208">
        <v>1.00000003139822</v>
      </c>
    </row>
    <row r="6209" spans="1:40" x14ac:dyDescent="0.25">
      <c r="A6209" t="str">
        <f>"20190312154728178"</f>
        <v>20190312154728178</v>
      </c>
      <c r="B6209" t="str">
        <f>"1552376848164526"</f>
        <v>1552376848164526</v>
      </c>
      <c r="C6209" t="s">
        <v>40</v>
      </c>
      <c r="D6209">
        <v>4.8034100000000004</v>
      </c>
      <c r="E6209">
        <v>0.55819819999999998</v>
      </c>
      <c r="F6209" t="s">
        <v>42</v>
      </c>
      <c r="G6209">
        <v>-185.34780000000001</v>
      </c>
      <c r="H6209" s="1">
        <v>-2.5168179999999998E-6</v>
      </c>
      <c r="I6209">
        <v>93.406409999999994</v>
      </c>
      <c r="J6209">
        <v>-188.07239999999999</v>
      </c>
      <c r="K6209">
        <v>1.110231</v>
      </c>
      <c r="L6209">
        <v>77.917389999999997</v>
      </c>
      <c r="M6209">
        <v>1.81628E-3</v>
      </c>
      <c r="N6209">
        <v>0</v>
      </c>
      <c r="O6209">
        <v>0.99990000000000001</v>
      </c>
      <c r="P6209">
        <v>2.321138E-2</v>
      </c>
      <c r="Q6209">
        <v>4.6436440000000002E-2</v>
      </c>
      <c r="R6209">
        <v>0.99865159999999997</v>
      </c>
      <c r="S6209">
        <v>0.51840209999999998</v>
      </c>
      <c r="T6209">
        <v>-0.21120539999999999</v>
      </c>
      <c r="U6209">
        <v>3.0019230000000001</v>
      </c>
      <c r="V6209">
        <v>2.1387630000000001E-2</v>
      </c>
      <c r="W6209">
        <v>6.0444030000000003E-2</v>
      </c>
      <c r="X6209">
        <v>0.99794240000000001</v>
      </c>
      <c r="Y6209">
        <v>0.16797339999999999</v>
      </c>
      <c r="Z6209">
        <v>-6.9175E-2</v>
      </c>
      <c r="AA6209">
        <v>0.9833615</v>
      </c>
      <c r="AB6209">
        <v>27</v>
      </c>
      <c r="AC6209">
        <v>2.7245999999999801</v>
      </c>
      <c r="AD6209">
        <v>-1.110233516818</v>
      </c>
      <c r="AE6209">
        <v>15.489019999999901</v>
      </c>
      <c r="AF6209">
        <v>2.6830888039079501</v>
      </c>
      <c r="AG6209">
        <v>-1.110233516818</v>
      </c>
      <c r="AH6209">
        <v>15.4171103107109</v>
      </c>
      <c r="AI6209">
        <v>94.058146128447206</v>
      </c>
      <c r="AJ6209">
        <v>80.127511702822403</v>
      </c>
      <c r="AK6209">
        <v>15.688176258703599</v>
      </c>
      <c r="AL6209">
        <v>86.534699832955695</v>
      </c>
      <c r="AM6209">
        <v>88.772240397054304</v>
      </c>
      <c r="AN6209">
        <v>0.99999997259870799</v>
      </c>
    </row>
    <row r="6210" spans="1:40" x14ac:dyDescent="0.25">
      <c r="A6210" t="str">
        <f>"20190312154728200"</f>
        <v>20190312154728200</v>
      </c>
      <c r="B6210" t="str">
        <f>"1552376848194781"</f>
        <v>1552376848194781</v>
      </c>
      <c r="C6210" t="s">
        <v>40</v>
      </c>
      <c r="D6210">
        <v>4.7833459999999999</v>
      </c>
      <c r="E6210">
        <v>0.5591218</v>
      </c>
      <c r="F6210" t="s">
        <v>42</v>
      </c>
      <c r="G6210">
        <v>-185.3081</v>
      </c>
      <c r="H6210" s="1">
        <v>-2.6373120000000001E-6</v>
      </c>
      <c r="I6210">
        <v>93.729479999999995</v>
      </c>
      <c r="J6210">
        <v>-188.072</v>
      </c>
      <c r="K6210">
        <v>1.1102270000000001</v>
      </c>
      <c r="L6210">
        <v>78.188289999999995</v>
      </c>
      <c r="M6210">
        <v>1.70962E-3</v>
      </c>
      <c r="N6210">
        <v>0</v>
      </c>
      <c r="O6210">
        <v>0.99990020000000002</v>
      </c>
      <c r="P6210">
        <v>2.3517329999999999E-2</v>
      </c>
      <c r="Q6210">
        <v>4.6314950000000001E-2</v>
      </c>
      <c r="R6210">
        <v>0.99865000000000004</v>
      </c>
      <c r="S6210">
        <v>0.52474980000000004</v>
      </c>
      <c r="T6210">
        <v>-0.21075840000000001</v>
      </c>
      <c r="U6210">
        <v>3.0016479999999999</v>
      </c>
      <c r="V6210">
        <v>2.1800139999999999E-2</v>
      </c>
      <c r="W6210">
        <v>6.03198E-2</v>
      </c>
      <c r="X6210">
        <v>0.99794099999999997</v>
      </c>
      <c r="Y6210">
        <v>0.17011379999999901</v>
      </c>
      <c r="Z6210">
        <v>-6.9010459999999996E-2</v>
      </c>
      <c r="AA6210">
        <v>0.98300500000000002</v>
      </c>
      <c r="AB6210">
        <v>27</v>
      </c>
      <c r="AC6210">
        <v>2.7639</v>
      </c>
      <c r="AD6210">
        <v>-1.110229637312</v>
      </c>
      <c r="AE6210">
        <v>15.54119</v>
      </c>
      <c r="AF6210">
        <v>2.7238491862704999</v>
      </c>
      <c r="AG6210">
        <v>-1.110229637312</v>
      </c>
      <c r="AH6210">
        <v>15.469367428845301</v>
      </c>
      <c r="AI6210">
        <v>94.043067475569501</v>
      </c>
      <c r="AJ6210">
        <v>80.013714160825103</v>
      </c>
      <c r="AK6210">
        <v>15.7465327258331</v>
      </c>
      <c r="AL6210">
        <v>86.541830731501406</v>
      </c>
      <c r="AM6210">
        <v>88.748565912568907</v>
      </c>
      <c r="AN6210">
        <v>0.99999998192852901</v>
      </c>
    </row>
    <row r="6211" spans="1:40" x14ac:dyDescent="0.25">
      <c r="A6211" t="str">
        <f>"20190312154728224"</f>
        <v>20190312154728224</v>
      </c>
      <c r="B6211" t="str">
        <f>"1552376848214301"</f>
        <v>1552376848214301</v>
      </c>
      <c r="C6211" t="s">
        <v>40</v>
      </c>
      <c r="D6211">
        <v>4.7594779999999997</v>
      </c>
      <c r="E6211">
        <v>0.55974489999999999</v>
      </c>
      <c r="F6211" t="s">
        <v>42</v>
      </c>
      <c r="G6211">
        <v>-185.27119999999999</v>
      </c>
      <c r="H6211" s="1">
        <v>-2.7227109999999999E-6</v>
      </c>
      <c r="I6211">
        <v>93.951530000000005</v>
      </c>
      <c r="J6211">
        <v>-188.07169999999999</v>
      </c>
      <c r="K6211">
        <v>1.110215</v>
      </c>
      <c r="L6211">
        <v>78.471469999999997</v>
      </c>
      <c r="M6211">
        <v>1.5977439999999999E-3</v>
      </c>
      <c r="N6211">
        <v>0</v>
      </c>
      <c r="O6211">
        <v>0.99990040000000002</v>
      </c>
      <c r="P6211">
        <v>2.4538589999999999E-2</v>
      </c>
      <c r="Q6211">
        <v>4.4892979999999999E-2</v>
      </c>
      <c r="R6211">
        <v>0.99869039999999998</v>
      </c>
      <c r="S6211">
        <v>0.53327939999999996</v>
      </c>
      <c r="T6211">
        <v>-0.21138499999999999</v>
      </c>
      <c r="U6211">
        <v>3.0012819999999998</v>
      </c>
      <c r="V6211">
        <v>2.2933350000000002E-2</v>
      </c>
      <c r="W6211">
        <v>5.8895639999999999E-2</v>
      </c>
      <c r="X6211">
        <v>0.99800069999999996</v>
      </c>
      <c r="Y6211">
        <v>0.17295099999999999</v>
      </c>
      <c r="Z6211">
        <v>-6.9188830000000007E-2</v>
      </c>
      <c r="AA6211">
        <v>0.98249730000000002</v>
      </c>
      <c r="AB6211">
        <v>27</v>
      </c>
      <c r="AC6211">
        <v>2.8004999999999902</v>
      </c>
      <c r="AD6211">
        <v>-1.1102177227109999</v>
      </c>
      <c r="AE6211">
        <v>15.48006</v>
      </c>
      <c r="AF6211">
        <v>2.7620042793957</v>
      </c>
      <c r="AG6211">
        <v>-1.1102177227109999</v>
      </c>
      <c r="AH6211">
        <v>15.4077746294763</v>
      </c>
      <c r="AI6211">
        <v>94.056917036418596</v>
      </c>
      <c r="AJ6211">
        <v>79.837076059221502</v>
      </c>
      <c r="AK6211">
        <v>15.692697985494901</v>
      </c>
      <c r="AL6211">
        <v>86.623574562978007</v>
      </c>
      <c r="AM6211">
        <v>88.683615195701094</v>
      </c>
      <c r="AN6211">
        <v>1.0000000160768601</v>
      </c>
    </row>
    <row r="6212" spans="1:40" x14ac:dyDescent="0.25">
      <c r="A6212" t="str">
        <f>"20190312154728267"</f>
        <v>20190312154728267</v>
      </c>
      <c r="B6212" t="str">
        <f>"1552376848254317"</f>
        <v>1552376848254317</v>
      </c>
      <c r="C6212" t="s">
        <v>40</v>
      </c>
      <c r="D6212">
        <v>4.7557400000000003</v>
      </c>
      <c r="E6212">
        <v>0.56070529999999996</v>
      </c>
      <c r="F6212" t="s">
        <v>42</v>
      </c>
      <c r="G6212">
        <v>-185.30889999999999</v>
      </c>
      <c r="H6212" s="1">
        <v>-2.6565400000000001E-6</v>
      </c>
      <c r="I6212">
        <v>93.786609999999996</v>
      </c>
      <c r="J6212">
        <v>-188.0711</v>
      </c>
      <c r="K6212">
        <v>1.110206</v>
      </c>
      <c r="L6212">
        <v>78.98151</v>
      </c>
      <c r="M6212">
        <v>1.3961729999999999E-3</v>
      </c>
      <c r="N6212">
        <v>0</v>
      </c>
      <c r="O6212">
        <v>0.99990080000000003</v>
      </c>
      <c r="P6212">
        <v>2.575189E-2</v>
      </c>
      <c r="Q6212">
        <v>4.4090480000000001E-2</v>
      </c>
      <c r="R6212">
        <v>0.99869560000000002</v>
      </c>
      <c r="S6212">
        <v>0.54125979999999996</v>
      </c>
      <c r="T6212">
        <v>-0.21750559999999999</v>
      </c>
      <c r="U6212">
        <v>3.0004270000000002</v>
      </c>
      <c r="V6212">
        <v>2.4348160000000001E-2</v>
      </c>
      <c r="W6212">
        <v>5.8088309999999997E-2</v>
      </c>
      <c r="X6212">
        <v>0.99801450000000003</v>
      </c>
      <c r="Y6212">
        <v>0.17570439999999901</v>
      </c>
      <c r="Z6212">
        <v>-7.1167949999999994E-2</v>
      </c>
      <c r="AA6212">
        <v>0.98186709999999999</v>
      </c>
      <c r="AB6212">
        <v>27</v>
      </c>
      <c r="AC6212">
        <v>2.7622</v>
      </c>
      <c r="AD6212">
        <v>-1.11020865654</v>
      </c>
      <c r="AE6212">
        <v>14.8050999999999</v>
      </c>
      <c r="AF6212">
        <v>2.7267076334975102</v>
      </c>
      <c r="AG6212">
        <v>-1.11020865654</v>
      </c>
      <c r="AH6212">
        <v>14.7289043301706</v>
      </c>
      <c r="AI6212">
        <v>94.238831165688893</v>
      </c>
      <c r="AJ6212">
        <v>79.511784758796907</v>
      </c>
      <c r="AK6212">
        <v>15.020257006687601</v>
      </c>
      <c r="AL6212">
        <v>86.669910489101397</v>
      </c>
      <c r="AM6212">
        <v>88.602455043306904</v>
      </c>
      <c r="AN6212">
        <v>1.0000000134321401</v>
      </c>
    </row>
    <row r="6213" spans="1:40" x14ac:dyDescent="0.25">
      <c r="A6213" t="str">
        <f>"20190312154728288"</f>
        <v>20190312154728288</v>
      </c>
      <c r="B6213" t="str">
        <f>"1552376848274813"</f>
        <v>1552376848274813</v>
      </c>
      <c r="C6213" t="s">
        <v>40</v>
      </c>
      <c r="D6213">
        <v>4.7223790000000001</v>
      </c>
      <c r="E6213">
        <v>0.56120409999999998</v>
      </c>
      <c r="F6213" t="s">
        <v>42</v>
      </c>
      <c r="G6213">
        <v>-185.28100000000001</v>
      </c>
      <c r="H6213" s="1">
        <v>-2.778733E-6</v>
      </c>
      <c r="I6213">
        <v>94.123819999999995</v>
      </c>
      <c r="J6213">
        <v>-188.07089999999999</v>
      </c>
      <c r="K6213">
        <v>1.110206</v>
      </c>
      <c r="L6213">
        <v>79.242000000000004</v>
      </c>
      <c r="M6213">
        <v>1.2933059999999999E-3</v>
      </c>
      <c r="N6213">
        <v>0</v>
      </c>
      <c r="O6213">
        <v>0.99990100000000004</v>
      </c>
      <c r="P6213">
        <v>2.5881370000000001E-2</v>
      </c>
      <c r="Q6213">
        <v>4.412406E-2</v>
      </c>
      <c r="R6213">
        <v>0.99869070000000004</v>
      </c>
      <c r="S6213">
        <v>0.55267330000000003</v>
      </c>
      <c r="T6213">
        <v>-0.2199101</v>
      </c>
      <c r="U6213">
        <v>2.99939</v>
      </c>
      <c r="V6213">
        <v>2.4580439999999999E-2</v>
      </c>
      <c r="W6213">
        <v>5.8118780000000002E-2</v>
      </c>
      <c r="X6213">
        <v>0.99800699999999998</v>
      </c>
      <c r="Y6213">
        <v>0.17946979999999901</v>
      </c>
      <c r="Z6213">
        <v>-7.1926119999999996E-2</v>
      </c>
      <c r="AA6213">
        <v>0.98113059999999996</v>
      </c>
      <c r="AB6213">
        <v>27</v>
      </c>
      <c r="AC6213">
        <v>2.78990000000001</v>
      </c>
      <c r="AD6213">
        <v>-1.1102087787329999</v>
      </c>
      <c r="AE6213">
        <v>14.8818199999999</v>
      </c>
      <c r="AF6213">
        <v>2.7558324220295898</v>
      </c>
      <c r="AG6213">
        <v>-1.1102087787329999</v>
      </c>
      <c r="AH6213">
        <v>14.8058133184583</v>
      </c>
      <c r="AI6213">
        <v>94.216134562700006</v>
      </c>
      <c r="AJ6213">
        <v>79.456094142581605</v>
      </c>
      <c r="AK6213">
        <v>15.1009696341567</v>
      </c>
      <c r="AL6213">
        <v>86.6681616252407</v>
      </c>
      <c r="AM6213">
        <v>88.589117312477399</v>
      </c>
      <c r="AN6213">
        <v>0.99999998133414003</v>
      </c>
    </row>
    <row r="6214" spans="1:40" x14ac:dyDescent="0.25">
      <c r="A6214" t="str">
        <f>"20190312154728311"</f>
        <v>20190312154728311</v>
      </c>
      <c r="B6214" t="str">
        <f>"1552376848304094"</f>
        <v>1552376848304094</v>
      </c>
      <c r="C6214" t="s">
        <v>40</v>
      </c>
      <c r="D6214">
        <v>4.6967670000000004</v>
      </c>
      <c r="E6214">
        <v>0.5617704</v>
      </c>
      <c r="F6214" t="s">
        <v>42</v>
      </c>
      <c r="G6214">
        <v>-185.25030000000001</v>
      </c>
      <c r="H6214" s="1">
        <v>-2.9009620000000001E-6</v>
      </c>
      <c r="I6214">
        <v>94.431049999999999</v>
      </c>
      <c r="J6214">
        <v>-188.07060000000001</v>
      </c>
      <c r="K6214">
        <v>1.110204</v>
      </c>
      <c r="L6214">
        <v>79.520110000000003</v>
      </c>
      <c r="M6214">
        <v>1.1835000000000001E-3</v>
      </c>
      <c r="N6214">
        <v>0</v>
      </c>
      <c r="O6214">
        <v>0.99990120000000005</v>
      </c>
      <c r="P6214">
        <v>2.6429890000000001E-2</v>
      </c>
      <c r="Q6214">
        <v>4.3964019999999999E-2</v>
      </c>
      <c r="R6214">
        <v>0.99868349999999995</v>
      </c>
      <c r="S6214">
        <v>0.55694580000000005</v>
      </c>
      <c r="T6214">
        <v>-0.2192181</v>
      </c>
      <c r="U6214">
        <v>2.9991759999999998</v>
      </c>
      <c r="V6214">
        <v>2.5238679999999999E-2</v>
      </c>
      <c r="W6214">
        <v>5.7955970000000002E-2</v>
      </c>
      <c r="X6214">
        <v>0.99800009999999995</v>
      </c>
      <c r="Y6214">
        <v>0.18094470000000001</v>
      </c>
      <c r="Z6214">
        <v>-7.1687059999999997E-2</v>
      </c>
      <c r="AA6214">
        <v>0.9808772</v>
      </c>
      <c r="AB6214">
        <v>27</v>
      </c>
      <c r="AC6214">
        <v>2.8203</v>
      </c>
      <c r="AD6214">
        <v>-1.1102069009619999</v>
      </c>
      <c r="AE6214">
        <v>14.910939999999901</v>
      </c>
      <c r="AF6214">
        <v>2.7877287136694702</v>
      </c>
      <c r="AG6214">
        <v>-1.1102069009619999</v>
      </c>
      <c r="AH6214">
        <v>14.834868522735</v>
      </c>
      <c r="AI6214">
        <v>94.206546945587405</v>
      </c>
      <c r="AJ6214">
        <v>79.357247937792707</v>
      </c>
      <c r="AK6214">
        <v>15.1353002887553</v>
      </c>
      <c r="AL6214">
        <v>86.677505905057004</v>
      </c>
      <c r="AM6214">
        <v>88.551341140713106</v>
      </c>
      <c r="AN6214">
        <v>1.0000000425133899</v>
      </c>
    </row>
    <row r="6215" spans="1:40" x14ac:dyDescent="0.25">
      <c r="A6215" t="str">
        <f>"20190312154728333"</f>
        <v>20190312154728333</v>
      </c>
      <c r="B6215" t="str">
        <f>"1552376848324589"</f>
        <v>1552376848324589</v>
      </c>
      <c r="C6215" t="s">
        <v>40</v>
      </c>
      <c r="D6215">
        <v>4.6904339999999998</v>
      </c>
      <c r="E6215">
        <v>0.56211659999999997</v>
      </c>
      <c r="F6215" t="s">
        <v>42</v>
      </c>
      <c r="G6215">
        <v>-185.2381</v>
      </c>
      <c r="H6215" s="1">
        <v>-2.9814069999999999E-6</v>
      </c>
      <c r="I6215">
        <v>94.613529999999997</v>
      </c>
      <c r="J6215">
        <v>-188.07040000000001</v>
      </c>
      <c r="K6215">
        <v>1.1102000000000001</v>
      </c>
      <c r="L6215">
        <v>79.779449999999997</v>
      </c>
      <c r="M6215">
        <v>1.0811250000000001E-3</v>
      </c>
      <c r="N6215">
        <v>0</v>
      </c>
      <c r="O6215">
        <v>0.99990129999999999</v>
      </c>
      <c r="P6215">
        <v>2.6141629999999999E-2</v>
      </c>
      <c r="Q6215">
        <v>4.4134510000000002E-2</v>
      </c>
      <c r="R6215">
        <v>0.99868349999999995</v>
      </c>
      <c r="S6215">
        <v>0.56277469999999996</v>
      </c>
      <c r="T6215">
        <v>-0.22057750000000001</v>
      </c>
      <c r="U6215">
        <v>2.9987789999999999</v>
      </c>
      <c r="V6215">
        <v>2.5052700000000001E-2</v>
      </c>
      <c r="W6215">
        <v>5.8123059999999997E-2</v>
      </c>
      <c r="X6215">
        <v>0.99799499999999997</v>
      </c>
      <c r="Y6215">
        <v>0.18290500000000001</v>
      </c>
      <c r="Z6215">
        <v>-7.2112689999999993E-2</v>
      </c>
      <c r="AA6215">
        <v>0.98048230000000003</v>
      </c>
      <c r="AB6215">
        <v>27</v>
      </c>
      <c r="AC6215">
        <v>2.8323</v>
      </c>
      <c r="AD6215">
        <v>-1.110202981407</v>
      </c>
      <c r="AE6215">
        <v>14.83408</v>
      </c>
      <c r="AF6215">
        <v>2.8011213973772402</v>
      </c>
      <c r="AG6215">
        <v>-1.110202981407</v>
      </c>
      <c r="AH6215">
        <v>14.757381550887599</v>
      </c>
      <c r="AI6215">
        <v>94.227084470564094</v>
      </c>
      <c r="AJ6215">
        <v>79.252454714113796</v>
      </c>
      <c r="AK6215">
        <v>15.0618439103998</v>
      </c>
      <c r="AL6215">
        <v>86.6679159594335</v>
      </c>
      <c r="AM6215">
        <v>88.562004243690794</v>
      </c>
      <c r="AN6215">
        <v>0.99999997395302598</v>
      </c>
    </row>
    <row r="6216" spans="1:40" x14ac:dyDescent="0.25">
      <c r="A6216" t="str">
        <f>"20190312154728354"</f>
        <v>20190312154728354</v>
      </c>
      <c r="B6216" t="str">
        <f>"1552376848344110"</f>
        <v>1552376848344110</v>
      </c>
      <c r="C6216" t="s">
        <v>40</v>
      </c>
      <c r="D6216">
        <v>4.6167759999999998</v>
      </c>
      <c r="E6216">
        <v>0.562276</v>
      </c>
      <c r="F6216" t="s">
        <v>42</v>
      </c>
      <c r="G6216">
        <v>-185.22110000000001</v>
      </c>
      <c r="H6216" s="1">
        <v>-3.1137919999999999E-6</v>
      </c>
      <c r="I6216">
        <v>94.915080000000003</v>
      </c>
      <c r="J6216">
        <v>-188.0703</v>
      </c>
      <c r="K6216">
        <v>1.1102069999999999</v>
      </c>
      <c r="L6216">
        <v>80.042540000000002</v>
      </c>
      <c r="M6216">
        <v>9.773707E-4</v>
      </c>
      <c r="N6216">
        <v>0</v>
      </c>
      <c r="O6216">
        <v>0.9999015</v>
      </c>
      <c r="P6216">
        <v>2.6233630000000001E-2</v>
      </c>
      <c r="Q6216">
        <v>4.4577659999999998E-2</v>
      </c>
      <c r="R6216">
        <v>0.99866140000000003</v>
      </c>
      <c r="S6216">
        <v>0.5645599</v>
      </c>
      <c r="T6216">
        <v>-0.2199702</v>
      </c>
      <c r="U6216">
        <v>2.998901</v>
      </c>
      <c r="V6216">
        <v>2.524829E-2</v>
      </c>
      <c r="W6216">
        <v>5.8562910000000003E-2</v>
      </c>
      <c r="X6216">
        <v>0.99796439999999997</v>
      </c>
      <c r="Y6216">
        <v>0.18356629999999999</v>
      </c>
      <c r="Z6216">
        <v>-7.1903990000000001E-2</v>
      </c>
      <c r="AA6216">
        <v>0.98037399999999997</v>
      </c>
      <c r="AB6216">
        <v>27</v>
      </c>
      <c r="AC6216">
        <v>2.84919999999999</v>
      </c>
      <c r="AD6216">
        <v>-1.110210113792</v>
      </c>
      <c r="AE6216">
        <v>14.8725399999999</v>
      </c>
      <c r="AF6216">
        <v>2.8195060989079201</v>
      </c>
      <c r="AG6216">
        <v>-1.110210113792</v>
      </c>
      <c r="AH6216">
        <v>14.795789031739799</v>
      </c>
      <c r="AI6216">
        <v>94.215600101196898</v>
      </c>
      <c r="AJ6216">
        <v>79.210991635448707</v>
      </c>
      <c r="AK6216">
        <v>15.102898867776901</v>
      </c>
      <c r="AL6216">
        <v>86.642671553409301</v>
      </c>
      <c r="AM6216">
        <v>88.550737957426406</v>
      </c>
      <c r="AN6216">
        <v>1.00000001712147</v>
      </c>
    </row>
    <row r="6217" spans="1:40" x14ac:dyDescent="0.25">
      <c r="A6217" t="str">
        <f>"20190312154728380"</f>
        <v>20190312154728380</v>
      </c>
      <c r="B6217" t="str">
        <f>"1552376848374365"</f>
        <v>1552376848374365</v>
      </c>
      <c r="C6217" t="s">
        <v>40</v>
      </c>
      <c r="D6217">
        <v>4.6621880000000004</v>
      </c>
      <c r="E6217">
        <v>0.56998979999999999</v>
      </c>
      <c r="F6217" t="s">
        <v>42</v>
      </c>
      <c r="G6217">
        <v>-185.1995</v>
      </c>
      <c r="H6217" s="1">
        <v>-3.2622229999999999E-6</v>
      </c>
      <c r="I6217">
        <v>95.25215</v>
      </c>
      <c r="J6217">
        <v>-188.0701</v>
      </c>
      <c r="K6217">
        <v>1.110206</v>
      </c>
      <c r="L6217">
        <v>80.33972</v>
      </c>
      <c r="M6217">
        <v>8.6015679999999902E-4</v>
      </c>
      <c r="N6217">
        <v>0</v>
      </c>
      <c r="O6217">
        <v>0.99990159999999995</v>
      </c>
      <c r="P6217">
        <v>2.616185E-2</v>
      </c>
      <c r="Q6217">
        <v>4.4326099999999903E-2</v>
      </c>
      <c r="R6217">
        <v>0.99867450000000002</v>
      </c>
      <c r="S6217">
        <v>0.56603999999999999</v>
      </c>
      <c r="T6217">
        <v>-0.21890180000000001</v>
      </c>
      <c r="U6217">
        <v>2.998901</v>
      </c>
      <c r="V6217">
        <v>2.5293639999999999E-2</v>
      </c>
      <c r="W6217">
        <v>5.8308239999999997E-2</v>
      </c>
      <c r="X6217">
        <v>0.99797820000000004</v>
      </c>
      <c r="Y6217">
        <v>0.18415339999999999</v>
      </c>
      <c r="Z6217">
        <v>-7.1549370000000001E-2</v>
      </c>
      <c r="AA6217">
        <v>0.98028990000000005</v>
      </c>
      <c r="AB6217">
        <v>27</v>
      </c>
      <c r="AC6217">
        <v>2.8705999999999898</v>
      </c>
      <c r="AD6217">
        <v>-1.110209262223</v>
      </c>
      <c r="AE6217">
        <v>14.912429999999899</v>
      </c>
      <c r="AF6217">
        <v>2.8425783549388699</v>
      </c>
      <c r="AG6217">
        <v>-1.110209262223</v>
      </c>
      <c r="AH6217">
        <v>14.8356042869249</v>
      </c>
      <c r="AI6217">
        <v>94.203517811338003</v>
      </c>
      <c r="AJ6217">
        <v>79.153294526526906</v>
      </c>
      <c r="AK6217">
        <v>15.146219689022001</v>
      </c>
      <c r="AL6217">
        <v>86.657288167622298</v>
      </c>
      <c r="AM6217">
        <v>88.5481560300057</v>
      </c>
      <c r="AN6217">
        <v>1.00000005337579</v>
      </c>
    </row>
    <row r="6218" spans="1:40" x14ac:dyDescent="0.25">
      <c r="A6218" t="str">
        <f>"20190312154728401"</f>
        <v>20190312154728401</v>
      </c>
      <c r="B6218" t="str">
        <f>"1552376848394861"</f>
        <v>1552376848394861</v>
      </c>
      <c r="C6218" t="s">
        <v>40</v>
      </c>
      <c r="D6218">
        <v>4.7678779999999996</v>
      </c>
      <c r="E6218">
        <v>0.55192039999999998</v>
      </c>
      <c r="F6218" t="s">
        <v>42</v>
      </c>
      <c r="G6218">
        <v>-185.17660000000001</v>
      </c>
      <c r="H6218" s="1">
        <v>-2.825143E-6</v>
      </c>
      <c r="I6218">
        <v>94.178579999999997</v>
      </c>
      <c r="J6218">
        <v>-188.07</v>
      </c>
      <c r="K6218">
        <v>1.110206</v>
      </c>
      <c r="L6218">
        <v>80.591949999999997</v>
      </c>
      <c r="M6218">
        <v>7.6054179999999897E-4</v>
      </c>
      <c r="N6218">
        <v>0</v>
      </c>
      <c r="O6218">
        <v>0.9999017</v>
      </c>
      <c r="P6218">
        <v>2.5743760000000001E-2</v>
      </c>
      <c r="Q6218">
        <v>4.3874610000000001E-2</v>
      </c>
      <c r="R6218">
        <v>0.99870530000000002</v>
      </c>
      <c r="S6218">
        <v>0.62689209999999995</v>
      </c>
      <c r="T6218">
        <v>-0.2405301</v>
      </c>
      <c r="U6218">
        <v>2.99823</v>
      </c>
      <c r="V6218">
        <v>2.497512E-2</v>
      </c>
      <c r="W6218">
        <v>5.7854099999999901E-2</v>
      </c>
      <c r="X6218">
        <v>0.99801260000000003</v>
      </c>
      <c r="Y6218">
        <v>0.20328889999999999</v>
      </c>
      <c r="Z6218">
        <v>-7.8291040000000006E-2</v>
      </c>
      <c r="AA6218">
        <v>0.97598370000000001</v>
      </c>
      <c r="AB6218">
        <v>27</v>
      </c>
      <c r="AC6218">
        <v>2.8933999999999802</v>
      </c>
      <c r="AD6218">
        <v>-1.110208825143</v>
      </c>
      <c r="AE6218">
        <v>13.58663</v>
      </c>
      <c r="AF6218">
        <v>2.8647665690292698</v>
      </c>
      <c r="AG6218">
        <v>-1.110208825143</v>
      </c>
      <c r="AH6218">
        <v>13.5025805900283</v>
      </c>
      <c r="AI6218">
        <v>94.598494045841704</v>
      </c>
      <c r="AJ6218">
        <v>78.0215010214893</v>
      </c>
      <c r="AK6218">
        <v>13.8477122197373</v>
      </c>
      <c r="AL6218">
        <v>86.683352300048298</v>
      </c>
      <c r="AM6218">
        <v>88.566480654224193</v>
      </c>
      <c r="AN6218">
        <v>1.0000000016322901</v>
      </c>
    </row>
    <row r="6219" spans="1:40" x14ac:dyDescent="0.25">
      <c r="A6219" t="str">
        <f>"20190312154728426"</f>
        <v>20190312154728426</v>
      </c>
      <c r="B6219" t="str">
        <f>"1552376848414382"</f>
        <v>1552376848414382</v>
      </c>
      <c r="C6219" t="s">
        <v>40</v>
      </c>
      <c r="D6219">
        <v>4.7255079999999996</v>
      </c>
      <c r="E6219">
        <v>0.55145149999999998</v>
      </c>
      <c r="F6219" t="s">
        <v>42</v>
      </c>
      <c r="G6219">
        <v>-184.76769999999999</v>
      </c>
      <c r="H6219" s="1">
        <v>-1.875774E-6</v>
      </c>
      <c r="I6219">
        <v>101.06910000000001</v>
      </c>
      <c r="J6219">
        <v>-188.06989999999999</v>
      </c>
      <c r="K6219">
        <v>1.110198</v>
      </c>
      <c r="L6219">
        <v>80.875309999999999</v>
      </c>
      <c r="M6219">
        <v>6.4856039999999998E-4</v>
      </c>
      <c r="N6219">
        <v>0</v>
      </c>
      <c r="O6219">
        <v>0.99990179999999995</v>
      </c>
      <c r="P6219">
        <v>2.5885269999999998E-2</v>
      </c>
      <c r="Q6219">
        <v>4.3321699999999998E-2</v>
      </c>
      <c r="R6219">
        <v>0.9987258</v>
      </c>
      <c r="S6219">
        <v>0.4835815</v>
      </c>
      <c r="T6219">
        <v>-0.1625731</v>
      </c>
      <c r="U6219">
        <v>2.9985659999999998</v>
      </c>
      <c r="V6219">
        <v>2.522858E-2</v>
      </c>
      <c r="W6219">
        <v>5.7298559999999998E-2</v>
      </c>
      <c r="X6219">
        <v>0.99803830000000004</v>
      </c>
      <c r="Y6219">
        <v>0.15834579999999901</v>
      </c>
      <c r="Z6219">
        <v>-5.3451609999999997E-2</v>
      </c>
      <c r="AA6219">
        <v>0.98593589999999998</v>
      </c>
      <c r="AB6219">
        <v>27</v>
      </c>
      <c r="AC6219">
        <v>3.3021999999999898</v>
      </c>
      <c r="AD6219">
        <v>-1.1101998757739999</v>
      </c>
      <c r="AE6219">
        <v>20.19379</v>
      </c>
      <c r="AF6219">
        <v>3.27944714524277</v>
      </c>
      <c r="AG6219">
        <v>-1.1101998757739999</v>
      </c>
      <c r="AH6219">
        <v>20.136649690494099</v>
      </c>
      <c r="AI6219">
        <v>93.114756317914299</v>
      </c>
      <c r="AJ6219">
        <v>80.7500402077861</v>
      </c>
      <c r="AK6219">
        <v>20.4321310220027</v>
      </c>
      <c r="AL6219">
        <v>86.715235372452995</v>
      </c>
      <c r="AM6219">
        <v>88.551976019030604</v>
      </c>
      <c r="AN6219">
        <v>1.0000000272468801</v>
      </c>
    </row>
    <row r="6220" spans="1:40" x14ac:dyDescent="0.25">
      <c r="A6220" t="str">
        <f>"20190312154728467"</f>
        <v>20190312154728467</v>
      </c>
      <c r="B6220" t="str">
        <f>"1552376848454399"</f>
        <v>1552376848454399</v>
      </c>
      <c r="C6220" t="s">
        <v>40</v>
      </c>
      <c r="D6220">
        <v>4.7601079999999998</v>
      </c>
      <c r="E6220">
        <v>0.55084330000000004</v>
      </c>
      <c r="F6220" t="s">
        <v>42</v>
      </c>
      <c r="G6220">
        <v>-184.6266</v>
      </c>
      <c r="H6220" s="1">
        <v>-2.3481739999999999E-6</v>
      </c>
      <c r="I6220">
        <v>102.34699999999999</v>
      </c>
      <c r="J6220">
        <v>-188.06989999999999</v>
      </c>
      <c r="K6220">
        <v>1.1102050000000001</v>
      </c>
      <c r="L6220">
        <v>81.37567</v>
      </c>
      <c r="M6220">
        <v>4.5042349999999999E-4</v>
      </c>
      <c r="N6220">
        <v>0</v>
      </c>
      <c r="O6220">
        <v>0.99990210000000002</v>
      </c>
      <c r="P6220">
        <v>2.5271620000000002E-2</v>
      </c>
      <c r="Q6220">
        <v>4.4086229999999997E-2</v>
      </c>
      <c r="R6220">
        <v>0.99870809999999999</v>
      </c>
      <c r="S6220">
        <v>0.48078920000000003</v>
      </c>
      <c r="T6220">
        <v>-0.15501809999999999</v>
      </c>
      <c r="U6220">
        <v>2.9981080000000002</v>
      </c>
      <c r="V6220">
        <v>2.4812810000000001E-2</v>
      </c>
      <c r="W6220">
        <v>5.8057379999999999E-2</v>
      </c>
      <c r="X6220">
        <v>0.99800489999999997</v>
      </c>
      <c r="Y6220">
        <v>0.15769040000000001</v>
      </c>
      <c r="Z6220">
        <v>-5.0988430000000001E-2</v>
      </c>
      <c r="AA6220">
        <v>0.98617140000000003</v>
      </c>
      <c r="AB6220">
        <v>27</v>
      </c>
      <c r="AC6220">
        <v>3.44329999999999</v>
      </c>
      <c r="AD6220">
        <v>-1.11020734817399</v>
      </c>
      <c r="AE6220">
        <v>20.971329999999998</v>
      </c>
      <c r="AF6220">
        <v>3.42450727164386</v>
      </c>
      <c r="AG6220">
        <v>-1.11020734817399</v>
      </c>
      <c r="AH6220">
        <v>20.915799780711399</v>
      </c>
      <c r="AI6220">
        <v>92.998548694074202</v>
      </c>
      <c r="AJ6220">
        <v>80.701564134174106</v>
      </c>
      <c r="AK6220">
        <v>21.223347777301498</v>
      </c>
      <c r="AL6220">
        <v>86.671685790777701</v>
      </c>
      <c r="AM6220">
        <v>88.575782073379102</v>
      </c>
      <c r="AN6220">
        <v>1.0000000576682799</v>
      </c>
    </row>
    <row r="6221" spans="1:40" x14ac:dyDescent="0.25">
      <c r="A6221" t="str">
        <f>"20190312154728489"</f>
        <v>20190312154728489</v>
      </c>
      <c r="B6221" t="str">
        <f>"1552376848484654"</f>
        <v>1552376848484654</v>
      </c>
      <c r="C6221" t="s">
        <v>40</v>
      </c>
      <c r="D6221">
        <v>4.764418</v>
      </c>
      <c r="E6221">
        <v>0.55105280000000001</v>
      </c>
      <c r="F6221" t="s">
        <v>42</v>
      </c>
      <c r="G6221">
        <v>-184.60640000000001</v>
      </c>
      <c r="H6221" s="1">
        <v>-2.6758139999999998E-6</v>
      </c>
      <c r="I6221">
        <v>103.29389999999999</v>
      </c>
      <c r="J6221">
        <v>-188.06989999999999</v>
      </c>
      <c r="K6221">
        <v>1.1102080000000001</v>
      </c>
      <c r="L6221">
        <v>81.63861</v>
      </c>
      <c r="M6221">
        <v>3.4628939999999998E-4</v>
      </c>
      <c r="N6221">
        <v>0</v>
      </c>
      <c r="O6221">
        <v>0.99990210000000002</v>
      </c>
      <c r="P6221">
        <v>2.457674E-2</v>
      </c>
      <c r="Q6221">
        <v>4.4448349999999998E-2</v>
      </c>
      <c r="R6221">
        <v>0.99870930000000002</v>
      </c>
      <c r="S6221">
        <v>0.47383120000000001</v>
      </c>
      <c r="T6221">
        <v>-0.1518854</v>
      </c>
      <c r="U6221">
        <v>2.998596</v>
      </c>
      <c r="V6221">
        <v>2.4221929999999999E-2</v>
      </c>
      <c r="W6221">
        <v>5.8416299999999997E-2</v>
      </c>
      <c r="X6221">
        <v>0.99799839999999995</v>
      </c>
      <c r="Y6221">
        <v>0.15554399999999999</v>
      </c>
      <c r="Z6221">
        <v>-4.9970229999999997E-2</v>
      </c>
      <c r="AA6221">
        <v>0.98656429999999995</v>
      </c>
      <c r="AB6221">
        <v>27</v>
      </c>
      <c r="AC6221">
        <v>3.4634999999999798</v>
      </c>
      <c r="AD6221">
        <v>-1.110210675814</v>
      </c>
      <c r="AE6221">
        <v>21.655289999999901</v>
      </c>
      <c r="AF6221">
        <v>3.4471656956871599</v>
      </c>
      <c r="AG6221">
        <v>-1.110210675814</v>
      </c>
      <c r="AH6221">
        <v>21.601129011556498</v>
      </c>
      <c r="AI6221">
        <v>92.905482908145203</v>
      </c>
      <c r="AJ6221">
        <v>80.933039375151395</v>
      </c>
      <c r="AK6221">
        <v>21.902609288669801</v>
      </c>
      <c r="AL6221">
        <v>86.651085989381201</v>
      </c>
      <c r="AM6221">
        <v>88.609675169775699</v>
      </c>
      <c r="AN6221">
        <v>0.99999998620058705</v>
      </c>
    </row>
    <row r="6222" spans="1:40" x14ac:dyDescent="0.25">
      <c r="A6222" t="str">
        <f>"20190312154728511"</f>
        <v>20190312154728511</v>
      </c>
      <c r="B6222" t="str">
        <f>"1552376848504174"</f>
        <v>1552376848504174</v>
      </c>
      <c r="C6222" t="s">
        <v>40</v>
      </c>
      <c r="D6222">
        <v>4.7484650000000004</v>
      </c>
      <c r="E6222">
        <v>0.55115289999999995</v>
      </c>
      <c r="F6222" t="s">
        <v>42</v>
      </c>
      <c r="G6222">
        <v>-184.5744</v>
      </c>
      <c r="H6222" s="1">
        <v>-2.847467E-6</v>
      </c>
      <c r="I6222">
        <v>103.77330000000001</v>
      </c>
      <c r="J6222">
        <v>-188.06989999999999</v>
      </c>
      <c r="K6222">
        <v>1.110209</v>
      </c>
      <c r="L6222">
        <v>81.895390000000006</v>
      </c>
      <c r="M6222">
        <v>2.4451289999999999E-4</v>
      </c>
      <c r="N6222">
        <v>0</v>
      </c>
      <c r="O6222">
        <v>0.99990219999999996</v>
      </c>
      <c r="P6222">
        <v>2.3920859999999999E-2</v>
      </c>
      <c r="Q6222">
        <v>4.4321729999999997E-2</v>
      </c>
      <c r="R6222">
        <v>0.99873089999999998</v>
      </c>
      <c r="S6222">
        <v>0.47358699999999998</v>
      </c>
      <c r="T6222">
        <v>-0.15041589999999999</v>
      </c>
      <c r="U6222">
        <v>2.998901</v>
      </c>
      <c r="V6222">
        <v>2.3667759999999999E-2</v>
      </c>
      <c r="W6222">
        <v>5.8286820000000003E-2</v>
      </c>
      <c r="X6222">
        <v>0.99801930000000005</v>
      </c>
      <c r="Y6222">
        <v>0.15555450000000001</v>
      </c>
      <c r="Z6222">
        <v>-4.9483289999999999E-2</v>
      </c>
      <c r="AA6222">
        <v>0.9865872</v>
      </c>
      <c r="AB6222">
        <v>27</v>
      </c>
      <c r="AC6222">
        <v>3.4954999999999901</v>
      </c>
      <c r="AD6222">
        <v>-1.110211847467</v>
      </c>
      <c r="AE6222">
        <v>21.87791</v>
      </c>
      <c r="AF6222">
        <v>3.4814080036821702</v>
      </c>
      <c r="AG6222">
        <v>-1.110211847467</v>
      </c>
      <c r="AH6222">
        <v>21.823963387292899</v>
      </c>
      <c r="AI6222">
        <v>92.875896439058494</v>
      </c>
      <c r="AJ6222">
        <v>80.936414200199394</v>
      </c>
      <c r="AK6222">
        <v>22.127768752503201</v>
      </c>
      <c r="AL6222">
        <v>86.658517421376601</v>
      </c>
      <c r="AM6222">
        <v>88.641500587308002</v>
      </c>
      <c r="AN6222">
        <v>1.0000000197108101</v>
      </c>
    </row>
    <row r="6223" spans="1:40" x14ac:dyDescent="0.25">
      <c r="A6223" t="str">
        <f>"20190312154728534"</f>
        <v>20190312154728534</v>
      </c>
      <c r="B6223" t="str">
        <f>"1552376848524670"</f>
        <v>1552376848524670</v>
      </c>
      <c r="C6223" t="s">
        <v>40</v>
      </c>
      <c r="D6223">
        <v>4.7711690000000004</v>
      </c>
      <c r="E6223">
        <v>0.55130419999999902</v>
      </c>
      <c r="F6223" t="s">
        <v>42</v>
      </c>
      <c r="G6223">
        <v>-184.65549999999999</v>
      </c>
      <c r="H6223" s="1">
        <v>-2.761349E-6</v>
      </c>
      <c r="I6223">
        <v>103.58369999999999</v>
      </c>
      <c r="J6223">
        <v>-188.07</v>
      </c>
      <c r="K6223">
        <v>1.110212</v>
      </c>
      <c r="L6223">
        <v>82.169399999999996</v>
      </c>
      <c r="M6223">
        <v>1.360585E-4</v>
      </c>
      <c r="N6223">
        <v>0</v>
      </c>
      <c r="O6223">
        <v>0.99990219999999996</v>
      </c>
      <c r="P6223">
        <v>2.363937E-2</v>
      </c>
      <c r="Q6223">
        <v>4.4042669999999999E-2</v>
      </c>
      <c r="R6223">
        <v>0.99874989999999997</v>
      </c>
      <c r="S6223">
        <v>0.47218320000000003</v>
      </c>
      <c r="T6223">
        <v>-0.1535337</v>
      </c>
      <c r="U6223">
        <v>2.9993289999999999</v>
      </c>
      <c r="V6223">
        <v>2.3494669999999999E-2</v>
      </c>
      <c r="W6223">
        <v>5.8005960000000002E-2</v>
      </c>
      <c r="X6223">
        <v>0.99803969999999997</v>
      </c>
      <c r="Y6223">
        <v>0.1551814</v>
      </c>
      <c r="Z6223">
        <v>-5.0502579999999998E-2</v>
      </c>
      <c r="AA6223">
        <v>0.98659430000000004</v>
      </c>
      <c r="AB6223">
        <v>26</v>
      </c>
      <c r="AC6223">
        <v>3.4144999999999999</v>
      </c>
      <c r="AD6223">
        <v>-1.1102147613490001</v>
      </c>
      <c r="AE6223">
        <v>21.414300000000001</v>
      </c>
      <c r="AF6223">
        <v>3.4026669633337501</v>
      </c>
      <c r="AG6223">
        <v>-1.1102147613490001</v>
      </c>
      <c r="AH6223">
        <v>21.358778462897199</v>
      </c>
      <c r="AI6223">
        <v>92.938528108678796</v>
      </c>
      <c r="AJ6223">
        <v>80.948274588637304</v>
      </c>
      <c r="AK6223">
        <v>21.656595685998301</v>
      </c>
      <c r="AL6223">
        <v>86.674636610630799</v>
      </c>
      <c r="AM6223">
        <v>88.651459606066197</v>
      </c>
      <c r="AN6223">
        <v>0.99999996684500903</v>
      </c>
    </row>
    <row r="6224" spans="1:40" x14ac:dyDescent="0.25">
      <c r="A6224" t="str">
        <f>"20190312154728556"</f>
        <v>20190312154728556</v>
      </c>
      <c r="B6224" t="str">
        <f>"1552376848544189"</f>
        <v>1552376848544189</v>
      </c>
      <c r="C6224" t="s">
        <v>40</v>
      </c>
      <c r="D6224">
        <v>4.8009409999999999</v>
      </c>
      <c r="E6224">
        <v>0.55151260000000002</v>
      </c>
      <c r="F6224" t="s">
        <v>42</v>
      </c>
      <c r="G6224">
        <v>-184.65700000000001</v>
      </c>
      <c r="H6224" s="1">
        <v>-2.844744E-6</v>
      </c>
      <c r="I6224">
        <v>103.82989999999999</v>
      </c>
      <c r="J6224">
        <v>-188.0701</v>
      </c>
      <c r="K6224">
        <v>1.1102099999999999</v>
      </c>
      <c r="L6224">
        <v>82.440159999999906</v>
      </c>
      <c r="M6224" s="1">
        <v>2.910572E-5</v>
      </c>
      <c r="N6224">
        <v>0</v>
      </c>
      <c r="O6224">
        <v>0.99990230000000002</v>
      </c>
      <c r="P6224">
        <v>2.3194949999999999E-2</v>
      </c>
      <c r="Q6224">
        <v>4.3693580000000003E-2</v>
      </c>
      <c r="R6224">
        <v>0.99877570000000004</v>
      </c>
      <c r="S6224">
        <v>0.47259519999999999</v>
      </c>
      <c r="T6224">
        <v>-0.1537328</v>
      </c>
      <c r="U6224">
        <v>2.9993590000000001</v>
      </c>
      <c r="V6224">
        <v>2.315714E-2</v>
      </c>
      <c r="W6224">
        <v>5.7653700000000002E-2</v>
      </c>
      <c r="X6224">
        <v>0.99806799999999996</v>
      </c>
      <c r="Y6224">
        <v>0.15541729999999901</v>
      </c>
      <c r="Z6224">
        <v>-5.0565909999999999E-2</v>
      </c>
      <c r="AA6224">
        <v>0.98655389999999998</v>
      </c>
      <c r="AB6224">
        <v>26</v>
      </c>
      <c r="AC6224">
        <v>3.41309999999998</v>
      </c>
      <c r="AD6224">
        <v>-1.1102128447440001</v>
      </c>
      <c r="AE6224">
        <v>21.38974</v>
      </c>
      <c r="AF6224">
        <v>3.4035358328569298</v>
      </c>
      <c r="AG6224">
        <v>-1.1102128447440001</v>
      </c>
      <c r="AH6224">
        <v>21.3337926321148</v>
      </c>
      <c r="AI6224">
        <v>92.941854773176402</v>
      </c>
      <c r="AJ6224">
        <v>80.9355735529806</v>
      </c>
      <c r="AK6224">
        <v>21.632090439813101</v>
      </c>
      <c r="AL6224">
        <v>86.694853458470305</v>
      </c>
      <c r="AM6224">
        <v>88.670863731370403</v>
      </c>
      <c r="AN6224">
        <v>0.99999996744033404</v>
      </c>
    </row>
    <row r="6225" spans="1:40" x14ac:dyDescent="0.25">
      <c r="A6225" t="str">
        <f>"20190312154728581"</f>
        <v>20190312154728581</v>
      </c>
      <c r="B6225" t="str">
        <f>"1552376848574446"</f>
        <v>1552376848574446</v>
      </c>
      <c r="C6225" t="s">
        <v>40</v>
      </c>
      <c r="D6225">
        <v>4.9063019999999904</v>
      </c>
      <c r="E6225">
        <v>0.51809380000000005</v>
      </c>
      <c r="F6225" t="s">
        <v>42</v>
      </c>
      <c r="G6225">
        <v>-184.6601</v>
      </c>
      <c r="H6225" s="1">
        <v>-2.9200340000000001E-6</v>
      </c>
      <c r="I6225">
        <v>104.0536</v>
      </c>
      <c r="J6225">
        <v>-188.0702</v>
      </c>
      <c r="K6225">
        <v>1.1102069999999999</v>
      </c>
      <c r="L6225">
        <v>82.726869999999906</v>
      </c>
      <c r="M6225" s="1">
        <v>-8.4141170000000005E-5</v>
      </c>
      <c r="N6225">
        <v>0</v>
      </c>
      <c r="O6225">
        <v>0.99990239999999997</v>
      </c>
      <c r="P6225">
        <v>2.2787709999999999E-2</v>
      </c>
      <c r="Q6225">
        <v>4.3812839999999999E-2</v>
      </c>
      <c r="R6225">
        <v>0.9987798</v>
      </c>
      <c r="S6225">
        <v>0.4732208</v>
      </c>
      <c r="T6225">
        <v>-0.1540706</v>
      </c>
      <c r="U6225">
        <v>2.9994200000000002</v>
      </c>
      <c r="V6225">
        <v>2.286301E-2</v>
      </c>
      <c r="W6225">
        <v>5.777032E-2</v>
      </c>
      <c r="X6225">
        <v>0.99806810000000001</v>
      </c>
      <c r="Y6225">
        <v>0.155726</v>
      </c>
      <c r="Z6225">
        <v>-5.0673669999999997E-2</v>
      </c>
      <c r="AA6225">
        <v>0.98649969999999998</v>
      </c>
      <c r="AB6225">
        <v>26</v>
      </c>
      <c r="AC6225">
        <v>3.4100999999999999</v>
      </c>
      <c r="AD6225">
        <v>-1.1102099200340001</v>
      </c>
      <c r="AE6225">
        <v>21.326730000000001</v>
      </c>
      <c r="AF6225">
        <v>3.4029028110740098</v>
      </c>
      <c r="AG6225">
        <v>-1.1102099200340001</v>
      </c>
      <c r="AH6225">
        <v>21.270238627966801</v>
      </c>
      <c r="AI6225">
        <v>92.950416498594393</v>
      </c>
      <c r="AJ6225">
        <v>80.910603918635701</v>
      </c>
      <c r="AK6225">
        <v>21.569315355356299</v>
      </c>
      <c r="AL6225">
        <v>86.688160675373993</v>
      </c>
      <c r="AM6225">
        <v>88.687739922303194</v>
      </c>
      <c r="AN6225">
        <v>1.00000002966838</v>
      </c>
    </row>
    <row r="6226" spans="1:40" x14ac:dyDescent="0.25">
      <c r="A6226" t="str">
        <f>"20190312154728604"</f>
        <v>20190312154728604</v>
      </c>
      <c r="B6226" t="str">
        <f>"1552376848594941"</f>
        <v>1552376848594941</v>
      </c>
      <c r="C6226" t="s">
        <v>40</v>
      </c>
      <c r="D6226">
        <v>4.9250829999999999</v>
      </c>
      <c r="E6226">
        <v>0.50189399999999995</v>
      </c>
      <c r="F6226" t="s">
        <v>42</v>
      </c>
      <c r="G6226">
        <v>-186.27500000000001</v>
      </c>
      <c r="H6226" s="1">
        <v>-4.6382699999999997E-6</v>
      </c>
      <c r="I6226">
        <v>108.9045</v>
      </c>
      <c r="J6226">
        <v>-188.0703</v>
      </c>
      <c r="K6226">
        <v>1.110209</v>
      </c>
      <c r="L6226">
        <v>82.995509999999996</v>
      </c>
      <c r="M6226">
        <v>-1.903773E-4</v>
      </c>
      <c r="N6226">
        <v>0</v>
      </c>
      <c r="O6226">
        <v>0.99990239999999997</v>
      </c>
      <c r="P6226">
        <v>2.237805E-2</v>
      </c>
      <c r="Q6226">
        <v>4.3845019999999998E-2</v>
      </c>
      <c r="R6226">
        <v>0.99878769999999994</v>
      </c>
      <c r="S6226">
        <v>0.20603940000000001</v>
      </c>
      <c r="T6226">
        <v>-0.1274264</v>
      </c>
      <c r="U6226">
        <v>3.004578</v>
      </c>
      <c r="V6226">
        <v>2.25595E-2</v>
      </c>
      <c r="W6226">
        <v>5.7799370000000003E-2</v>
      </c>
      <c r="X6226">
        <v>0.99807330000000005</v>
      </c>
      <c r="Y6226">
        <v>6.8543290000000007E-2</v>
      </c>
      <c r="Z6226">
        <v>-4.2273280000000003E-2</v>
      </c>
      <c r="AA6226">
        <v>0.99675210000000003</v>
      </c>
      <c r="AB6226">
        <v>26</v>
      </c>
      <c r="AC6226">
        <v>1.7952999999999899</v>
      </c>
      <c r="AD6226">
        <v>-1.1102136382700001</v>
      </c>
      <c r="AE6226">
        <v>25.908989999999999</v>
      </c>
      <c r="AF6226">
        <v>1.79694920048316</v>
      </c>
      <c r="AG6226">
        <v>-1.1102136382700001</v>
      </c>
      <c r="AH6226">
        <v>25.861388798773302</v>
      </c>
      <c r="AI6226">
        <v>92.452258124651294</v>
      </c>
      <c r="AJ6226">
        <v>86.025256378740195</v>
      </c>
      <c r="AK6226">
        <v>25.947505301146698</v>
      </c>
      <c r="AL6226">
        <v>86.686493365999496</v>
      </c>
      <c r="AM6226">
        <v>88.705161151354304</v>
      </c>
      <c r="AN6226">
        <v>1.00000000519276</v>
      </c>
    </row>
    <row r="6227" spans="1:40" x14ac:dyDescent="0.25">
      <c r="A6227" t="str">
        <f>"20190312154728626"</f>
        <v>20190312154728626</v>
      </c>
      <c r="B6227" t="str">
        <f>"1552376848614462"</f>
        <v>1552376848614462</v>
      </c>
      <c r="C6227" t="s">
        <v>40</v>
      </c>
      <c r="D6227">
        <v>4.944941</v>
      </c>
      <c r="E6227">
        <v>0.4943304</v>
      </c>
      <c r="F6227" t="s">
        <v>42</v>
      </c>
      <c r="G6227">
        <v>-187.23869999999999</v>
      </c>
      <c r="H6227" s="1">
        <v>-3.0902020000000001E-6</v>
      </c>
      <c r="I6227">
        <v>115.6943</v>
      </c>
      <c r="J6227">
        <v>-188.07050000000001</v>
      </c>
      <c r="K6227">
        <v>1.110206</v>
      </c>
      <c r="L6227">
        <v>83.254269999999906</v>
      </c>
      <c r="M6227">
        <v>-2.928103E-4</v>
      </c>
      <c r="N6227">
        <v>0</v>
      </c>
      <c r="O6227">
        <v>0.99990239999999997</v>
      </c>
      <c r="P6227">
        <v>2.2460500000000001E-2</v>
      </c>
      <c r="Q6227">
        <v>4.347409E-2</v>
      </c>
      <c r="R6227">
        <v>0.99880210000000003</v>
      </c>
      <c r="S6227">
        <v>7.6461790000000002E-2</v>
      </c>
      <c r="T6227">
        <v>-0.1020756</v>
      </c>
      <c r="U6227">
        <v>3.0064090000000001</v>
      </c>
      <c r="V6227">
        <v>2.274437E-2</v>
      </c>
      <c r="W6227">
        <v>5.7426140000000001E-2</v>
      </c>
      <c r="X6227">
        <v>0.99809060000000005</v>
      </c>
      <c r="Y6227">
        <v>2.5702820000000001E-2</v>
      </c>
      <c r="Z6227">
        <v>-3.3922019999999997E-2</v>
      </c>
      <c r="AA6227">
        <v>0.99909389999999998</v>
      </c>
      <c r="AB6227">
        <v>26</v>
      </c>
      <c r="AC6227">
        <v>0.83180000000001497</v>
      </c>
      <c r="AD6227">
        <v>-1.1102090902020001</v>
      </c>
      <c r="AE6227">
        <v>32.44003</v>
      </c>
      <c r="AF6227">
        <v>0.840316098207048</v>
      </c>
      <c r="AG6227">
        <v>-1.1102090902020001</v>
      </c>
      <c r="AH6227">
        <v>32.401859504588302</v>
      </c>
      <c r="AI6227">
        <v>91.961741242101596</v>
      </c>
      <c r="AJ6227">
        <v>88.514413160342002</v>
      </c>
      <c r="AK6227">
        <v>32.4317621279503</v>
      </c>
      <c r="AL6227">
        <v>86.7079132891607</v>
      </c>
      <c r="AM6227">
        <v>88.694576516417797</v>
      </c>
      <c r="AN6227">
        <v>0.99999995686517695</v>
      </c>
    </row>
    <row r="6228" spans="1:40" x14ac:dyDescent="0.25">
      <c r="A6228" t="str">
        <f>"20190312154728647"</f>
        <v>20190312154728647</v>
      </c>
      <c r="B6228" t="str">
        <f>"1552376848634959"</f>
        <v>1552376848634959</v>
      </c>
      <c r="C6228" t="s">
        <v>40</v>
      </c>
      <c r="D6228">
        <v>4.9213339999999999</v>
      </c>
      <c r="E6228">
        <v>0.49077169999999998</v>
      </c>
      <c r="F6228" t="s">
        <v>42</v>
      </c>
      <c r="G6228">
        <v>-187.89869999999999</v>
      </c>
      <c r="H6228" s="1">
        <v>-2.8603960000000001E-6</v>
      </c>
      <c r="I6228">
        <v>115.4316</v>
      </c>
      <c r="J6228">
        <v>-188.07069999999999</v>
      </c>
      <c r="K6228">
        <v>1.1101989999999999</v>
      </c>
      <c r="L6228">
        <v>83.504999999999995</v>
      </c>
      <c r="M6228">
        <v>-3.9217160000000001E-4</v>
      </c>
      <c r="N6228">
        <v>0</v>
      </c>
      <c r="O6228">
        <v>0.99990239999999997</v>
      </c>
      <c r="P6228">
        <v>2.272882E-2</v>
      </c>
      <c r="Q6228">
        <v>4.2842570000000003E-2</v>
      </c>
      <c r="R6228">
        <v>0.99882329999999997</v>
      </c>
      <c r="S6228">
        <v>1.6052250000000001E-2</v>
      </c>
      <c r="T6228">
        <v>-0.10377599999999999</v>
      </c>
      <c r="U6228">
        <v>3.0077509999999998</v>
      </c>
      <c r="V6228">
        <v>2.3112069999999998E-2</v>
      </c>
      <c r="W6228">
        <v>5.6792509999999997E-2</v>
      </c>
      <c r="X6228">
        <v>0.99811850000000002</v>
      </c>
      <c r="Y6228">
        <v>5.725913E-3</v>
      </c>
      <c r="Z6228">
        <v>-3.44818E-2</v>
      </c>
      <c r="AA6228">
        <v>0.99938890000000002</v>
      </c>
      <c r="AB6228">
        <v>26</v>
      </c>
      <c r="AC6228">
        <v>0.17199999999999699</v>
      </c>
      <c r="AD6228">
        <v>-1.110201860396</v>
      </c>
      <c r="AE6228">
        <v>31.926600000000001</v>
      </c>
      <c r="AF6228">
        <v>0.18429906557421499</v>
      </c>
      <c r="AG6228">
        <v>-1.110201860396</v>
      </c>
      <c r="AH6228">
        <v>31.887972230005701</v>
      </c>
      <c r="AI6228">
        <v>91.993953611705095</v>
      </c>
      <c r="AJ6228">
        <v>89.668858183384501</v>
      </c>
      <c r="AK6228">
        <v>31.907824859397898</v>
      </c>
      <c r="AL6228">
        <v>86.744277262840498</v>
      </c>
      <c r="AM6228">
        <v>88.673516754567004</v>
      </c>
      <c r="AN6228">
        <v>1.00000004850701</v>
      </c>
    </row>
    <row r="6229" spans="1:40" x14ac:dyDescent="0.25">
      <c r="A6229" t="str">
        <f>"20190312154728670"</f>
        <v>20190312154728670</v>
      </c>
      <c r="B6229" t="str">
        <f>"1552376848664238"</f>
        <v>1552376848664238</v>
      </c>
      <c r="C6229" t="s">
        <v>40</v>
      </c>
      <c r="D6229">
        <v>4.9523409999999997</v>
      </c>
      <c r="E6229">
        <v>0.48811189999999999</v>
      </c>
      <c r="F6229" t="s">
        <v>42</v>
      </c>
      <c r="G6229">
        <v>-188.1891</v>
      </c>
      <c r="H6229" s="1">
        <v>-2.4894010000000001E-6</v>
      </c>
      <c r="I6229">
        <v>114.68689999999999</v>
      </c>
      <c r="J6229">
        <v>-188.07089999999999</v>
      </c>
      <c r="K6229">
        <v>1.1102000000000001</v>
      </c>
      <c r="L6229">
        <v>83.761719999999997</v>
      </c>
      <c r="M6229">
        <v>-4.9391330000000001E-4</v>
      </c>
      <c r="N6229">
        <v>0</v>
      </c>
      <c r="O6229">
        <v>0.99990239999999997</v>
      </c>
      <c r="P6229">
        <v>2.2703879999999999E-2</v>
      </c>
      <c r="Q6229">
        <v>4.2409210000000003E-2</v>
      </c>
      <c r="R6229">
        <v>0.99884229999999996</v>
      </c>
      <c r="S6229">
        <v>-1.1428829999999999E-2</v>
      </c>
      <c r="T6229">
        <v>-0.1071111</v>
      </c>
      <c r="U6229">
        <v>3.0083920000000002</v>
      </c>
      <c r="V6229">
        <v>2.318887E-2</v>
      </c>
      <c r="W6229">
        <v>5.6356910000000003E-2</v>
      </c>
      <c r="X6229">
        <v>0.99814130000000001</v>
      </c>
      <c r="Y6229">
        <v>-3.302592E-3</v>
      </c>
      <c r="Z6229">
        <v>-3.5581330000000001E-2</v>
      </c>
      <c r="AA6229">
        <v>0.99936130000000001</v>
      </c>
      <c r="AB6229">
        <v>26</v>
      </c>
      <c r="AC6229">
        <v>-0.118200000000001</v>
      </c>
      <c r="AD6229">
        <v>-1.1102024894010001</v>
      </c>
      <c r="AE6229">
        <v>30.925180000000001</v>
      </c>
      <c r="AF6229">
        <v>-0.10279166456168499</v>
      </c>
      <c r="AG6229">
        <v>-1.1102024894010001</v>
      </c>
      <c r="AH6229">
        <v>30.885430565789498</v>
      </c>
      <c r="AI6229">
        <v>92.058646695774399</v>
      </c>
      <c r="AJ6229">
        <v>90.1906888359769</v>
      </c>
      <c r="AK6229">
        <v>30.9055486430508</v>
      </c>
      <c r="AL6229">
        <v>86.769274989779007</v>
      </c>
      <c r="AM6229">
        <v>88.669140904164706</v>
      </c>
      <c r="AN6229">
        <v>0.99999993988115499</v>
      </c>
    </row>
    <row r="6230" spans="1:40" x14ac:dyDescent="0.25">
      <c r="A6230" t="str">
        <f>"20190312154728690"</f>
        <v>20190312154728690</v>
      </c>
      <c r="B6230" t="str">
        <f>"1552376848684733"</f>
        <v>1552376848684733</v>
      </c>
      <c r="C6230" t="s">
        <v>40</v>
      </c>
      <c r="D6230">
        <v>4.9384690000000004</v>
      </c>
      <c r="E6230">
        <v>0.48721330000000002</v>
      </c>
      <c r="F6230" t="s">
        <v>42</v>
      </c>
      <c r="G6230">
        <v>-188.40790000000001</v>
      </c>
      <c r="H6230" s="1">
        <v>-2.5358419999999998E-6</v>
      </c>
      <c r="I6230">
        <v>114.8856</v>
      </c>
      <c r="J6230">
        <v>-188.0711</v>
      </c>
      <c r="K6230">
        <v>1.1102019999999999</v>
      </c>
      <c r="L6230">
        <v>84.005129999999994</v>
      </c>
      <c r="M6230">
        <v>-5.9034349999999996E-4</v>
      </c>
      <c r="N6230">
        <v>0</v>
      </c>
      <c r="O6230">
        <v>0.99990239999999997</v>
      </c>
      <c r="P6230">
        <v>2.22854E-2</v>
      </c>
      <c r="Q6230">
        <v>4.2077749999999997E-2</v>
      </c>
      <c r="R6230">
        <v>0.99886580000000003</v>
      </c>
      <c r="S6230">
        <v>-3.2577509999999997E-2</v>
      </c>
      <c r="T6230">
        <v>-0.107325</v>
      </c>
      <c r="U6230">
        <v>3.0087890000000002</v>
      </c>
      <c r="V6230">
        <v>2.28668E-2</v>
      </c>
      <c r="W6230">
        <v>5.6023169999999997E-2</v>
      </c>
      <c r="X6230">
        <v>0.99816760000000004</v>
      </c>
      <c r="Y6230">
        <v>-1.022957E-2</v>
      </c>
      <c r="Z6230">
        <v>-3.5645820000000002E-2</v>
      </c>
      <c r="AA6230">
        <v>0.99931210000000004</v>
      </c>
      <c r="AB6230">
        <v>26</v>
      </c>
      <c r="AC6230">
        <v>-0.33680000000000998</v>
      </c>
      <c r="AD6230">
        <v>-1.1102045358419901</v>
      </c>
      <c r="AE6230">
        <v>30.880469999999899</v>
      </c>
      <c r="AF6230">
        <v>-0.31815690418478998</v>
      </c>
      <c r="AG6230">
        <v>-1.1102045358419901</v>
      </c>
      <c r="AH6230">
        <v>30.840805763555299</v>
      </c>
      <c r="AI6230">
        <v>92.061528472534405</v>
      </c>
      <c r="AJ6230">
        <v>90.591048150841004</v>
      </c>
      <c r="AK6230">
        <v>30.862421779122101</v>
      </c>
      <c r="AL6230">
        <v>86.7884274068238</v>
      </c>
      <c r="AM6230">
        <v>88.687653250594707</v>
      </c>
      <c r="AN6230">
        <v>1.0000000219044201</v>
      </c>
    </row>
    <row r="6231" spans="1:40" x14ac:dyDescent="0.25">
      <c r="A6231" t="str">
        <f>"20190312154728713"</f>
        <v>20190312154728713</v>
      </c>
      <c r="B6231" t="str">
        <f>"1552376848704254"</f>
        <v>1552376848704254</v>
      </c>
      <c r="C6231" t="s">
        <v>40</v>
      </c>
      <c r="D6231">
        <v>4.947203</v>
      </c>
      <c r="E6231">
        <v>0.48664079999999899</v>
      </c>
      <c r="F6231" t="s">
        <v>42</v>
      </c>
      <c r="G6231">
        <v>-188.49619999999999</v>
      </c>
      <c r="H6231" s="1">
        <v>-2.7110290000000001E-6</v>
      </c>
      <c r="I6231">
        <v>115.3305</v>
      </c>
      <c r="J6231">
        <v>-188.07140000000001</v>
      </c>
      <c r="K6231">
        <v>1.110204</v>
      </c>
      <c r="L6231">
        <v>84.272459999999995</v>
      </c>
      <c r="M6231">
        <v>-6.9624550000000002E-4</v>
      </c>
      <c r="N6231">
        <v>0</v>
      </c>
      <c r="O6231">
        <v>0.99990230000000002</v>
      </c>
      <c r="P6231">
        <v>2.1514149999999999E-2</v>
      </c>
      <c r="Q6231">
        <v>4.233601E-2</v>
      </c>
      <c r="R6231">
        <v>0.99887170000000003</v>
      </c>
      <c r="S6231">
        <v>-4.0832519999999997E-2</v>
      </c>
      <c r="T6231">
        <v>-0.10663590000000001</v>
      </c>
      <c r="U6231">
        <v>3.0088200000000001</v>
      </c>
      <c r="V6231">
        <v>2.220134E-2</v>
      </c>
      <c r="W6231">
        <v>5.6278349999999998E-2</v>
      </c>
      <c r="X6231">
        <v>0.99816819999999895</v>
      </c>
      <c r="Y6231">
        <v>-1.286493E-2</v>
      </c>
      <c r="Z6231">
        <v>-3.5415780000000001E-2</v>
      </c>
      <c r="AA6231">
        <v>0.99928989999999995</v>
      </c>
      <c r="AB6231">
        <v>26</v>
      </c>
      <c r="AC6231">
        <v>-0.42479999999997597</v>
      </c>
      <c r="AD6231">
        <v>-1.1102067110289999</v>
      </c>
      <c r="AE6231">
        <v>31.058039999999998</v>
      </c>
      <c r="AF6231">
        <v>-0.40265935079802301</v>
      </c>
      <c r="AG6231">
        <v>-1.1102067110289999</v>
      </c>
      <c r="AH6231">
        <v>31.0187002819982</v>
      </c>
      <c r="AI6231">
        <v>92.049656013488999</v>
      </c>
      <c r="AJ6231">
        <v>90.743725088905506</v>
      </c>
      <c r="AK6231">
        <v>31.041173635647802</v>
      </c>
      <c r="AL6231">
        <v>86.773783346681299</v>
      </c>
      <c r="AM6231">
        <v>88.725832600635101</v>
      </c>
      <c r="AN6231">
        <v>0.99999995383387696</v>
      </c>
    </row>
    <row r="6232" spans="1:40" x14ac:dyDescent="0.25">
      <c r="A6232" t="str">
        <f>"20190312154728734"</f>
        <v>20190312154728734</v>
      </c>
      <c r="B6232" t="str">
        <f>"1552376848724749"</f>
        <v>1552376848724749</v>
      </c>
      <c r="C6232" t="s">
        <v>40</v>
      </c>
      <c r="D6232">
        <v>4.9592890000000001</v>
      </c>
      <c r="E6232">
        <v>0.48609819999999998</v>
      </c>
      <c r="F6232" t="s">
        <v>42</v>
      </c>
      <c r="G6232">
        <v>-188.5839</v>
      </c>
      <c r="H6232" s="1">
        <v>-3.2650929999999999E-6</v>
      </c>
      <c r="I6232">
        <v>116.65819999999999</v>
      </c>
      <c r="J6232">
        <v>-188.07169999999999</v>
      </c>
      <c r="K6232">
        <v>1.110201</v>
      </c>
      <c r="L6232">
        <v>84.529390000000006</v>
      </c>
      <c r="M6232">
        <v>-7.9803729999999905E-4</v>
      </c>
      <c r="N6232">
        <v>0</v>
      </c>
      <c r="O6232">
        <v>0.99990230000000002</v>
      </c>
      <c r="P6232">
        <v>2.0820149999999999E-2</v>
      </c>
      <c r="Q6232">
        <v>4.2494079999999997E-2</v>
      </c>
      <c r="R6232">
        <v>0.99887969999999904</v>
      </c>
      <c r="S6232">
        <v>-4.7607419999999998E-2</v>
      </c>
      <c r="T6232">
        <v>-0.1031435</v>
      </c>
      <c r="U6232">
        <v>3.0087890000000002</v>
      </c>
      <c r="V6232">
        <v>2.1609030000000001E-2</v>
      </c>
      <c r="W6232">
        <v>5.6434020000000001E-2</v>
      </c>
      <c r="X6232">
        <v>0.99817250000000002</v>
      </c>
      <c r="Y6232">
        <v>-1.5013500000000001E-2</v>
      </c>
      <c r="Z6232">
        <v>-3.4256500000000002E-2</v>
      </c>
      <c r="AA6232">
        <v>0.99930030000000003</v>
      </c>
      <c r="AB6232">
        <v>26</v>
      </c>
      <c r="AC6232">
        <v>-0.51220000000000698</v>
      </c>
      <c r="AD6232">
        <v>-1.110204265093</v>
      </c>
      <c r="AE6232">
        <v>32.128809999999902</v>
      </c>
      <c r="AF6232">
        <v>-0.48597722534209598</v>
      </c>
      <c r="AG6232">
        <v>-1.110204265093</v>
      </c>
      <c r="AH6232">
        <v>32.090900687978099</v>
      </c>
      <c r="AI6232">
        <v>91.9811651992501</v>
      </c>
      <c r="AJ6232">
        <v>90.867607798172401</v>
      </c>
      <c r="AK6232">
        <v>32.113776394866001</v>
      </c>
      <c r="AL6232">
        <v>86.764850207500004</v>
      </c>
      <c r="AM6232">
        <v>88.759820717220407</v>
      </c>
      <c r="AN6232">
        <v>1.0000000442735699</v>
      </c>
    </row>
    <row r="6233" spans="1:40" x14ac:dyDescent="0.25">
      <c r="A6233" t="str">
        <f>"20190312154728757"</f>
        <v>20190312154728757</v>
      </c>
      <c r="B6233" t="str">
        <f>"1552376848744270"</f>
        <v>1552376848744270</v>
      </c>
      <c r="C6233" t="s">
        <v>40</v>
      </c>
      <c r="D6233">
        <v>4.9513299999999996</v>
      </c>
      <c r="E6233">
        <v>0.4856569</v>
      </c>
      <c r="F6233" t="s">
        <v>42</v>
      </c>
      <c r="G6233">
        <v>-188.66130000000001</v>
      </c>
      <c r="H6233" s="1">
        <v>-3.5846400000000002E-6</v>
      </c>
      <c r="I6233">
        <v>117.43510000000001</v>
      </c>
      <c r="J6233">
        <v>-188.07210000000001</v>
      </c>
      <c r="K6233">
        <v>1.110201</v>
      </c>
      <c r="L6233">
        <v>84.789550000000006</v>
      </c>
      <c r="M6233">
        <v>-9.011488E-4</v>
      </c>
      <c r="N6233">
        <v>0</v>
      </c>
      <c r="O6233">
        <v>0.99990219999999996</v>
      </c>
      <c r="P6233">
        <v>1.9994620000000001E-2</v>
      </c>
      <c r="Q6233">
        <v>4.2707120000000001E-2</v>
      </c>
      <c r="R6233">
        <v>0.99888750000000004</v>
      </c>
      <c r="S6233">
        <v>-5.39093E-2</v>
      </c>
      <c r="T6233">
        <v>-0.10151449999999999</v>
      </c>
      <c r="U6233">
        <v>3.0088200000000001</v>
      </c>
      <c r="V6233">
        <v>2.088651E-2</v>
      </c>
      <c r="W6233">
        <v>5.6644449999999999E-2</v>
      </c>
      <c r="X6233">
        <v>0.9981759</v>
      </c>
      <c r="Y6233">
        <v>-1.7002929999999999E-2</v>
      </c>
      <c r="Z6233">
        <v>-3.3714609999999999E-2</v>
      </c>
      <c r="AA6233">
        <v>0.99928680000000003</v>
      </c>
      <c r="AB6233">
        <v>26</v>
      </c>
      <c r="AC6233">
        <v>-0.58920000000000505</v>
      </c>
      <c r="AD6233">
        <v>-1.1102045846399999</v>
      </c>
      <c r="AE6233">
        <v>32.64555</v>
      </c>
      <c r="AF6233">
        <v>-0.55913195303288898</v>
      </c>
      <c r="AG6233">
        <v>-1.1102045846399999</v>
      </c>
      <c r="AH6233">
        <v>32.608367376456101</v>
      </c>
      <c r="AI6233">
        <v>91.949687846228201</v>
      </c>
      <c r="AJ6233">
        <v>90.982347923087701</v>
      </c>
      <c r="AK6233">
        <v>32.632051815945999</v>
      </c>
      <c r="AL6233">
        <v>86.752773943009998</v>
      </c>
      <c r="AM6233">
        <v>88.801279152214903</v>
      </c>
      <c r="AN6233">
        <v>0.99999998367829601</v>
      </c>
    </row>
    <row r="6234" spans="1:40" x14ac:dyDescent="0.25">
      <c r="A6234" t="str">
        <f>"20190312154728782"</f>
        <v>20190312154728782</v>
      </c>
      <c r="B6234" t="str">
        <f>"1552376848775502"</f>
        <v>1552376848775502</v>
      </c>
      <c r="C6234" t="s">
        <v>40</v>
      </c>
      <c r="D6234">
        <v>4.9432219999999996</v>
      </c>
      <c r="E6234">
        <v>0.48521560000000002</v>
      </c>
      <c r="F6234" t="s">
        <v>42</v>
      </c>
      <c r="G6234">
        <v>-188.7424</v>
      </c>
      <c r="H6234" s="1">
        <v>-4.0542530000000001E-6</v>
      </c>
      <c r="I6234">
        <v>118.5634</v>
      </c>
      <c r="J6234">
        <v>-188.07239999999999</v>
      </c>
      <c r="K6234">
        <v>1.1101989999999999</v>
      </c>
      <c r="L6234">
        <v>85.071749999999994</v>
      </c>
      <c r="M6234">
        <v>-1.0130549999999999E-3</v>
      </c>
      <c r="N6234">
        <v>0</v>
      </c>
      <c r="O6234">
        <v>0.99990219999999996</v>
      </c>
      <c r="P6234">
        <v>2.0121389999999999E-2</v>
      </c>
      <c r="Q6234">
        <v>4.2657420000000001E-2</v>
      </c>
      <c r="R6234">
        <v>0.99888710000000003</v>
      </c>
      <c r="S6234">
        <v>-5.9722900000000002E-2</v>
      </c>
      <c r="T6234">
        <v>-9.8904249999999999E-2</v>
      </c>
      <c r="U6234">
        <v>3.0087890000000002</v>
      </c>
      <c r="V6234">
        <v>2.1125100000000001E-2</v>
      </c>
      <c r="W6234">
        <v>5.6591599999999902E-2</v>
      </c>
      <c r="X6234">
        <v>0.99817389999999995</v>
      </c>
      <c r="Y6234">
        <v>-1.8821899999999999E-2</v>
      </c>
      <c r="Z6234">
        <v>-3.2847870000000001E-2</v>
      </c>
      <c r="AA6234">
        <v>0.99928309999999998</v>
      </c>
      <c r="AB6234">
        <v>26</v>
      </c>
      <c r="AC6234">
        <v>-0.67000000000001503</v>
      </c>
      <c r="AD6234">
        <v>-1.1102030542529999</v>
      </c>
      <c r="AE6234">
        <v>33.49165</v>
      </c>
      <c r="AF6234">
        <v>-0.63536958562338797</v>
      </c>
      <c r="AG6234">
        <v>-1.1102030542529999</v>
      </c>
      <c r="AH6234">
        <v>33.455564247319003</v>
      </c>
      <c r="AI6234">
        <v>91.900286589538894</v>
      </c>
      <c r="AJ6234">
        <v>91.087998985572597</v>
      </c>
      <c r="AK6234">
        <v>33.480009325543797</v>
      </c>
      <c r="AL6234">
        <v>86.755806965342302</v>
      </c>
      <c r="AM6234">
        <v>88.787587604670506</v>
      </c>
      <c r="AN6234">
        <v>1.0000000068408801</v>
      </c>
    </row>
    <row r="6235" spans="1:40" x14ac:dyDescent="0.25">
      <c r="A6235" t="str">
        <f>"20190312154728804"</f>
        <v>20190312154728804</v>
      </c>
      <c r="B6235" t="str">
        <f>"1552376848794046"</f>
        <v>1552376848794046</v>
      </c>
      <c r="C6235" t="s">
        <v>40</v>
      </c>
      <c r="D6235">
        <v>4.9118469999999999</v>
      </c>
      <c r="E6235">
        <v>0.48499880000000001</v>
      </c>
      <c r="F6235" t="s">
        <v>42</v>
      </c>
      <c r="G6235">
        <v>-188.7808</v>
      </c>
      <c r="H6235" s="1">
        <v>-4.2069310000000001E-6</v>
      </c>
      <c r="I6235">
        <v>118.93510000000001</v>
      </c>
      <c r="J6235">
        <v>-188.0728</v>
      </c>
      <c r="K6235">
        <v>1.110201</v>
      </c>
      <c r="L6235">
        <v>85.328369999999893</v>
      </c>
      <c r="M6235">
        <v>-1.114826E-3</v>
      </c>
      <c r="N6235">
        <v>0</v>
      </c>
      <c r="O6235">
        <v>0.99990210000000002</v>
      </c>
      <c r="P6235">
        <v>1.986009E-2</v>
      </c>
      <c r="Q6235">
        <v>4.2579840000000001E-2</v>
      </c>
      <c r="R6235">
        <v>0.99889559999999999</v>
      </c>
      <c r="S6235">
        <v>-6.2942499999999998E-2</v>
      </c>
      <c r="T6235">
        <v>-9.8643540000000002E-2</v>
      </c>
      <c r="U6235">
        <v>3.0088200000000001</v>
      </c>
      <c r="V6235">
        <v>2.096553E-2</v>
      </c>
      <c r="W6235">
        <v>5.6511619999999999E-2</v>
      </c>
      <c r="X6235">
        <v>0.99818180000000001</v>
      </c>
      <c r="Y6235">
        <v>-1.978883E-2</v>
      </c>
      <c r="Z6235">
        <v>-3.2760369999999997E-2</v>
      </c>
      <c r="AA6235">
        <v>0.99926729999999997</v>
      </c>
      <c r="AB6235">
        <v>26</v>
      </c>
      <c r="AC6235">
        <v>-0.70799999999999796</v>
      </c>
      <c r="AD6235">
        <v>-1.110205206931</v>
      </c>
      <c r="AE6235">
        <v>33.606729999999999</v>
      </c>
      <c r="AF6235">
        <v>-0.66979961399402999</v>
      </c>
      <c r="AG6235">
        <v>-1.110205206931</v>
      </c>
      <c r="AH6235">
        <v>33.5708780086768</v>
      </c>
      <c r="AI6235">
        <v>91.8937322868899</v>
      </c>
      <c r="AJ6235">
        <v>91.143002573430607</v>
      </c>
      <c r="AK6235">
        <v>33.595908045442997</v>
      </c>
      <c r="AL6235">
        <v>86.760396841307895</v>
      </c>
      <c r="AM6235">
        <v>88.796752468638601</v>
      </c>
      <c r="AN6235">
        <v>1.00000001124722</v>
      </c>
    </row>
    <row r="6236" spans="1:40" x14ac:dyDescent="0.25">
      <c r="A6236" t="str">
        <f>"20190312154728825"</f>
        <v>20190312154728825</v>
      </c>
      <c r="B6236" t="str">
        <f>"1552376848814542"</f>
        <v>1552376848814542</v>
      </c>
      <c r="C6236" t="s">
        <v>40</v>
      </c>
      <c r="D6236">
        <v>4.9360720000000002</v>
      </c>
      <c r="E6236">
        <v>0.4848172</v>
      </c>
      <c r="F6236" t="s">
        <v>42</v>
      </c>
      <c r="G6236">
        <v>-188.80940000000001</v>
      </c>
      <c r="H6236" s="1">
        <v>-4.3507679999999999E-6</v>
      </c>
      <c r="I6236">
        <v>119.2822</v>
      </c>
      <c r="J6236">
        <v>-188.07320000000001</v>
      </c>
      <c r="K6236">
        <v>1.1101989999999999</v>
      </c>
      <c r="L6236">
        <v>85.582309999999893</v>
      </c>
      <c r="M6236">
        <v>-1.2155379999999999E-3</v>
      </c>
      <c r="N6236">
        <v>0</v>
      </c>
      <c r="O6236">
        <v>0.99990199999999996</v>
      </c>
      <c r="P6236">
        <v>1.9980660000000001E-2</v>
      </c>
      <c r="Q6236">
        <v>4.252272E-2</v>
      </c>
      <c r="R6236">
        <v>0.99889570000000005</v>
      </c>
      <c r="S6236">
        <v>-6.5277099999999894E-2</v>
      </c>
      <c r="T6236">
        <v>-9.8379729999999999E-2</v>
      </c>
      <c r="U6236">
        <v>3.0087890000000002</v>
      </c>
      <c r="V6236">
        <v>2.1186730000000001E-2</v>
      </c>
      <c r="W6236">
        <v>5.6452120000000001E-2</v>
      </c>
      <c r="X6236">
        <v>0.99818050000000003</v>
      </c>
      <c r="Y6236">
        <v>-2.04634E-2</v>
      </c>
      <c r="Z6236">
        <v>-3.2672689999999997E-2</v>
      </c>
      <c r="AA6236">
        <v>0.99925660000000005</v>
      </c>
      <c r="AB6236">
        <v>26</v>
      </c>
      <c r="AC6236">
        <v>-0.73619999999999597</v>
      </c>
      <c r="AD6236">
        <v>-1.110203350768</v>
      </c>
      <c r="AE6236">
        <v>33.699890000000003</v>
      </c>
      <c r="AF6236">
        <v>-0.694478619416248</v>
      </c>
      <c r="AG6236">
        <v>-1.110203350768</v>
      </c>
      <c r="AH6236">
        <v>33.664241834323299</v>
      </c>
      <c r="AI6236">
        <v>91.888454954643294</v>
      </c>
      <c r="AJ6236">
        <v>91.181819296515002</v>
      </c>
      <c r="AK6236">
        <v>33.689702140456603</v>
      </c>
      <c r="AL6236">
        <v>86.763811403147102</v>
      </c>
      <c r="AM6236">
        <v>88.784059631662998</v>
      </c>
      <c r="AN6236">
        <v>1.00000001498041</v>
      </c>
    </row>
    <row r="6237" spans="1:40" x14ac:dyDescent="0.25">
      <c r="A6237" t="str">
        <f>"20190312154728847"</f>
        <v>20190312154728847</v>
      </c>
      <c r="B6237" t="str">
        <f>"1552376848834062"</f>
        <v>1552376848834062</v>
      </c>
      <c r="C6237" t="s">
        <v>40</v>
      </c>
      <c r="D6237">
        <v>4.9425189999999999</v>
      </c>
      <c r="E6237">
        <v>0.48461690000000002</v>
      </c>
      <c r="F6237" t="s">
        <v>52</v>
      </c>
      <c r="G6237">
        <v>-188.82689999999999</v>
      </c>
      <c r="H6237" s="1">
        <v>-3.1121279999999998E-7</v>
      </c>
      <c r="I6237">
        <v>119.65130000000001</v>
      </c>
      <c r="J6237">
        <v>-188.0737</v>
      </c>
      <c r="K6237">
        <v>1.1102000000000001</v>
      </c>
      <c r="L6237">
        <v>85.837620000000001</v>
      </c>
      <c r="M6237">
        <v>-1.3168030000000001E-3</v>
      </c>
      <c r="N6237">
        <v>0</v>
      </c>
      <c r="O6237">
        <v>0.99990190000000001</v>
      </c>
      <c r="P6237">
        <v>2.061636E-2</v>
      </c>
      <c r="Q6237">
        <v>4.2355980000000001E-2</v>
      </c>
      <c r="R6237">
        <v>0.9988899</v>
      </c>
      <c r="S6237">
        <v>-6.6558839999999994E-2</v>
      </c>
      <c r="T6237">
        <v>-9.804773E-2</v>
      </c>
      <c r="U6237">
        <v>3.0088200000000001</v>
      </c>
      <c r="V6237">
        <v>2.1923640000000001E-2</v>
      </c>
      <c r="W6237">
        <v>5.6282159999999998E-2</v>
      </c>
      <c r="X6237">
        <v>0.99817420000000001</v>
      </c>
      <c r="Y6237">
        <v>-2.0787480000000001E-2</v>
      </c>
      <c r="Z6237">
        <v>-3.2561949999999999E-2</v>
      </c>
      <c r="AA6237">
        <v>0.99925350000000002</v>
      </c>
      <c r="AB6237">
        <v>26</v>
      </c>
      <c r="AC6237">
        <v>-0.75319999999999199</v>
      </c>
      <c r="AD6237">
        <v>-1.1102003112128001</v>
      </c>
      <c r="AE6237">
        <v>33.813679999999998</v>
      </c>
      <c r="AF6237">
        <v>-0.70790631889322997</v>
      </c>
      <c r="AG6237">
        <v>-1.1102003112128001</v>
      </c>
      <c r="AH6237">
        <v>33.778247777413199</v>
      </c>
      <c r="AI6237">
        <v>91.882067800737801</v>
      </c>
      <c r="AJ6237">
        <v>91.2005983258546</v>
      </c>
      <c r="AK6237">
        <v>33.803900647701397</v>
      </c>
      <c r="AL6237">
        <v>86.773564950937896</v>
      </c>
      <c r="AM6237">
        <v>88.741772614950193</v>
      </c>
      <c r="AN6237">
        <v>1.00000003053537</v>
      </c>
    </row>
    <row r="6238" spans="1:40" x14ac:dyDescent="0.25">
      <c r="A6238" t="str">
        <f>"20190312154728869"</f>
        <v>20190312154728869</v>
      </c>
      <c r="B6238" t="str">
        <f>"1552376848864318"</f>
        <v>1552376848864318</v>
      </c>
      <c r="C6238" t="s">
        <v>40</v>
      </c>
      <c r="D6238">
        <v>4.8974630000000001</v>
      </c>
      <c r="E6238">
        <v>0.48431059999999998</v>
      </c>
      <c r="F6238" t="s">
        <v>52</v>
      </c>
      <c r="G6238">
        <v>-188.82769999999999</v>
      </c>
      <c r="H6238" s="1">
        <v>-4.2602990000000002E-7</v>
      </c>
      <c r="I6238">
        <v>120.0419</v>
      </c>
      <c r="J6238">
        <v>-188.07409999999999</v>
      </c>
      <c r="K6238">
        <v>1.1102000000000001</v>
      </c>
      <c r="L6238">
        <v>86.079589999999996</v>
      </c>
      <c r="M6238">
        <v>-1.41280299999999E-3</v>
      </c>
      <c r="N6238">
        <v>0</v>
      </c>
      <c r="O6238">
        <v>0.99990179999999995</v>
      </c>
      <c r="P6238">
        <v>2.0583690000000002E-2</v>
      </c>
      <c r="Q6238">
        <v>4.2446560000000001E-2</v>
      </c>
      <c r="R6238">
        <v>0.99888670000000002</v>
      </c>
      <c r="S6238">
        <v>-6.6329959999999993E-2</v>
      </c>
      <c r="T6238">
        <v>-9.7660060000000007E-2</v>
      </c>
      <c r="U6238">
        <v>3.0088200000000001</v>
      </c>
      <c r="V6238">
        <v>2.198688E-2</v>
      </c>
      <c r="W6238">
        <v>5.6370709999999997E-2</v>
      </c>
      <c r="X6238">
        <v>0.99816780000000005</v>
      </c>
      <c r="Y6238">
        <v>-2.0615609999999999E-2</v>
      </c>
      <c r="Z6238">
        <v>-3.2433419999999998E-2</v>
      </c>
      <c r="AA6238">
        <v>0.99926130000000002</v>
      </c>
      <c r="AB6238">
        <v>26</v>
      </c>
      <c r="AC6238">
        <v>-0.75360000000000504</v>
      </c>
      <c r="AD6238">
        <v>-1.1102004260298901</v>
      </c>
      <c r="AE6238">
        <v>33.962309999999903</v>
      </c>
      <c r="AF6238">
        <v>-0.70485969934649795</v>
      </c>
      <c r="AG6238">
        <v>-1.1102004260298901</v>
      </c>
      <c r="AH6238">
        <v>33.927104798344999</v>
      </c>
      <c r="AI6238">
        <v>91.873823317507203</v>
      </c>
      <c r="AJ6238">
        <v>91.190189293628706</v>
      </c>
      <c r="AK6238">
        <v>33.9525818190547</v>
      </c>
      <c r="AL6238">
        <v>86.768483303019394</v>
      </c>
      <c r="AM6238">
        <v>88.738136269439096</v>
      </c>
      <c r="AN6238">
        <v>1.00000001839743</v>
      </c>
    </row>
    <row r="6239" spans="1:40" x14ac:dyDescent="0.25">
      <c r="A6239" t="str">
        <f>"20190312154728891"</f>
        <v>20190312154728891</v>
      </c>
      <c r="B6239" t="str">
        <f>"1552376848884813"</f>
        <v>1552376848884813</v>
      </c>
      <c r="C6239" t="s">
        <v>40</v>
      </c>
      <c r="D6239">
        <v>4.8654419999999998</v>
      </c>
      <c r="E6239">
        <v>0.46117219999999998</v>
      </c>
      <c r="F6239" t="s">
        <v>52</v>
      </c>
      <c r="G6239">
        <v>-188.85570000000001</v>
      </c>
      <c r="H6239" s="1">
        <v>-5.7168460000000001E-7</v>
      </c>
      <c r="I6239">
        <v>120.3792</v>
      </c>
      <c r="J6239">
        <v>-188.0746</v>
      </c>
      <c r="K6239">
        <v>1.1101989999999999</v>
      </c>
      <c r="L6239">
        <v>86.345730000000003</v>
      </c>
      <c r="M6239">
        <v>-1.518443E-3</v>
      </c>
      <c r="N6239">
        <v>0</v>
      </c>
      <c r="O6239">
        <v>0.9999017</v>
      </c>
      <c r="P6239">
        <v>2.0470729999999999E-2</v>
      </c>
      <c r="Q6239">
        <v>4.1778120000000002E-2</v>
      </c>
      <c r="R6239">
        <v>0.99891719999999895</v>
      </c>
      <c r="S6239">
        <v>-6.8572999999999995E-2</v>
      </c>
      <c r="T6239">
        <v>-9.7390530000000003E-2</v>
      </c>
      <c r="U6239">
        <v>3.0088810000000001</v>
      </c>
      <c r="V6239">
        <v>2.197961E-2</v>
      </c>
      <c r="W6239">
        <v>5.5699419999999999E-2</v>
      </c>
      <c r="X6239">
        <v>0.99820560000000003</v>
      </c>
      <c r="Y6239">
        <v>-2.1254140000000001E-2</v>
      </c>
      <c r="Z6239">
        <v>-3.2342849999999999E-2</v>
      </c>
      <c r="AA6239">
        <v>0.99925079999999999</v>
      </c>
      <c r="AB6239">
        <v>26</v>
      </c>
      <c r="AC6239">
        <v>-0.78110000000000901</v>
      </c>
      <c r="AD6239">
        <v>-1.1101995716846</v>
      </c>
      <c r="AE6239">
        <v>34.033469999999902</v>
      </c>
      <c r="AF6239">
        <v>-0.72864124240939099</v>
      </c>
      <c r="AG6239">
        <v>-1.1101995716846</v>
      </c>
      <c r="AH6239">
        <v>33.998457616258399</v>
      </c>
      <c r="AI6239">
        <v>91.8698662150194</v>
      </c>
      <c r="AJ6239">
        <v>91.227752105295707</v>
      </c>
      <c r="AK6239">
        <v>34.024382160938998</v>
      </c>
      <c r="AL6239">
        <v>86.807005772457501</v>
      </c>
      <c r="AM6239">
        <v>88.738601124995498</v>
      </c>
      <c r="AN6239">
        <v>0.99999997425772402</v>
      </c>
    </row>
    <row r="6240" spans="1:40" x14ac:dyDescent="0.25">
      <c r="A6240" t="str">
        <f>"20190312154728914"</f>
        <v>20190312154728914</v>
      </c>
      <c r="B6240" t="str">
        <f>"1552376848904334"</f>
        <v>1552376848904334</v>
      </c>
      <c r="C6240" t="s">
        <v>40</v>
      </c>
      <c r="D6240">
        <v>4.8513129999999904</v>
      </c>
      <c r="E6240">
        <v>0.45795200000000003</v>
      </c>
      <c r="F6240" t="s">
        <v>42</v>
      </c>
      <c r="G6240">
        <v>-190.69560000000001</v>
      </c>
      <c r="H6240" s="1">
        <v>-3.5735339999999998E-6</v>
      </c>
      <c r="I6240">
        <v>117.4876</v>
      </c>
      <c r="J6240">
        <v>-188.07509999999999</v>
      </c>
      <c r="K6240">
        <v>1.110196</v>
      </c>
      <c r="L6240">
        <v>86.602109999999996</v>
      </c>
      <c r="M6240">
        <v>-1.6201919999999999E-3</v>
      </c>
      <c r="N6240">
        <v>0</v>
      </c>
      <c r="O6240">
        <v>0.99990159999999995</v>
      </c>
      <c r="P6240">
        <v>2.032432E-2</v>
      </c>
      <c r="Q6240">
        <v>4.1540830000000001E-2</v>
      </c>
      <c r="R6240">
        <v>0.99893010000000004</v>
      </c>
      <c r="S6240">
        <v>-0.25358579999999997</v>
      </c>
      <c r="T6240">
        <v>-0.1074107</v>
      </c>
      <c r="U6240">
        <v>3.0129389999999998</v>
      </c>
      <c r="V6240">
        <v>2.193494E-2</v>
      </c>
      <c r="W6240">
        <v>5.5459469999999997E-2</v>
      </c>
      <c r="X6240">
        <v>0.99822</v>
      </c>
      <c r="Y6240">
        <v>-8.2201410000000003E-2</v>
      </c>
      <c r="Z6240">
        <v>-3.550412E-2</v>
      </c>
      <c r="AA6240">
        <v>0.99598310000000001</v>
      </c>
      <c r="AB6240">
        <v>26</v>
      </c>
      <c r="AC6240">
        <v>-2.6205000000000198</v>
      </c>
      <c r="AD6240">
        <v>-1.110199573534</v>
      </c>
      <c r="AE6240">
        <v>30.885490000000001</v>
      </c>
      <c r="AF6240">
        <v>-2.5671579831673701</v>
      </c>
      <c r="AG6240">
        <v>-1.110199573534</v>
      </c>
      <c r="AH6240">
        <v>30.850119317740202</v>
      </c>
      <c r="AI6240">
        <v>92.053914166447697</v>
      </c>
      <c r="AJ6240">
        <v>94.756844387805998</v>
      </c>
      <c r="AK6240">
        <v>30.976647738617899</v>
      </c>
      <c r="AL6240">
        <v>86.820775360815801</v>
      </c>
      <c r="AM6240">
        <v>88.741182042023695</v>
      </c>
      <c r="AN6240">
        <v>1.00000003140274</v>
      </c>
    </row>
    <row r="6241" spans="1:40" x14ac:dyDescent="0.25">
      <c r="A6241" t="str">
        <f>"20190312154728947"</f>
        <v>20190312154728947</v>
      </c>
      <c r="B6241" t="str">
        <f>"1552376848934590"</f>
        <v>1552376848934590</v>
      </c>
      <c r="C6241" t="s">
        <v>40</v>
      </c>
      <c r="D6241">
        <v>4.812195</v>
      </c>
      <c r="E6241">
        <v>0.45589540000000001</v>
      </c>
      <c r="F6241" t="s">
        <v>42</v>
      </c>
      <c r="G6241">
        <v>-190.77850000000001</v>
      </c>
      <c r="H6241" s="1">
        <v>-2.8270190000000001E-6</v>
      </c>
      <c r="I6241">
        <v>115.6961</v>
      </c>
      <c r="J6241">
        <v>-188.07589999999999</v>
      </c>
      <c r="K6241">
        <v>1.1101920000000001</v>
      </c>
      <c r="L6241">
        <v>86.982669999999999</v>
      </c>
      <c r="M6241">
        <v>-1.771253E-3</v>
      </c>
      <c r="N6241">
        <v>0</v>
      </c>
      <c r="O6241">
        <v>0.99990140000000005</v>
      </c>
      <c r="P6241">
        <v>1.9930079999999999E-2</v>
      </c>
      <c r="Q6241">
        <v>4.1446440000000001E-2</v>
      </c>
      <c r="R6241">
        <v>0.998942</v>
      </c>
      <c r="S6241">
        <v>-0.28002929999999998</v>
      </c>
      <c r="T6241">
        <v>-0.1149999</v>
      </c>
      <c r="U6241">
        <v>3.0137019999999999</v>
      </c>
      <c r="V6241">
        <v>2.169169E-2</v>
      </c>
      <c r="W6241">
        <v>5.5361390000000003E-2</v>
      </c>
      <c r="X6241">
        <v>0.99823079999999997</v>
      </c>
      <c r="Y6241">
        <v>-9.068946E-2</v>
      </c>
      <c r="Z6241">
        <v>-3.7970940000000002E-2</v>
      </c>
      <c r="AA6241">
        <v>0.99515509999999996</v>
      </c>
      <c r="AB6241">
        <v>26</v>
      </c>
      <c r="AC6241">
        <v>-2.7026000000000101</v>
      </c>
      <c r="AD6241">
        <v>-1.1101948270190001</v>
      </c>
      <c r="AE6241">
        <v>28.713429999999999</v>
      </c>
      <c r="AF6241">
        <v>-2.6478084794284702</v>
      </c>
      <c r="AG6241">
        <v>-1.1101948270190001</v>
      </c>
      <c r="AH6241">
        <v>28.675679986186601</v>
      </c>
      <c r="AI6241">
        <v>92.207748210468196</v>
      </c>
      <c r="AJ6241">
        <v>95.275525740756706</v>
      </c>
      <c r="AK6241">
        <v>28.819056975686401</v>
      </c>
      <c r="AL6241">
        <v>86.8264037049004</v>
      </c>
      <c r="AM6241">
        <v>88.755150892912994</v>
      </c>
      <c r="AN6241">
        <v>1.00000007149321</v>
      </c>
    </row>
    <row r="6242" spans="1:40" x14ac:dyDescent="0.25">
      <c r="A6242" t="str">
        <f>"20190312154728969"</f>
        <v>20190312154728969</v>
      </c>
      <c r="B6242" t="str">
        <f>"1552376848964846"</f>
        <v>1552376848964846</v>
      </c>
      <c r="C6242" t="s">
        <v>40</v>
      </c>
      <c r="D6242">
        <v>4.839785</v>
      </c>
      <c r="E6242">
        <v>0.45452140000000002</v>
      </c>
      <c r="F6242" t="s">
        <v>42</v>
      </c>
      <c r="G6242">
        <v>-190.7894</v>
      </c>
      <c r="H6242" s="1">
        <v>-2.2935889999999999E-6</v>
      </c>
      <c r="I6242">
        <v>114.44589999999999</v>
      </c>
      <c r="J6242">
        <v>-188.07650000000001</v>
      </c>
      <c r="K6242">
        <v>1.1101909999999999</v>
      </c>
      <c r="L6242">
        <v>87.243319999999997</v>
      </c>
      <c r="M6242">
        <v>-1.874775E-3</v>
      </c>
      <c r="N6242">
        <v>0</v>
      </c>
      <c r="O6242">
        <v>0.99990120000000005</v>
      </c>
      <c r="P6242">
        <v>1.9752160000000001E-2</v>
      </c>
      <c r="Q6242">
        <v>4.1257299999999997E-2</v>
      </c>
      <c r="R6242">
        <v>0.99895330000000004</v>
      </c>
      <c r="S6242">
        <v>-0.297821</v>
      </c>
      <c r="T6242">
        <v>-0.1218467</v>
      </c>
      <c r="U6242">
        <v>3.01416</v>
      </c>
      <c r="V6242">
        <v>2.1617259999999999E-2</v>
      </c>
      <c r="W6242">
        <v>5.5169990000000002E-2</v>
      </c>
      <c r="X6242">
        <v>0.99824290000000004</v>
      </c>
      <c r="Y6242">
        <v>-9.6382949999999995E-2</v>
      </c>
      <c r="Z6242">
        <v>-4.0199909999999998E-2</v>
      </c>
      <c r="AA6242">
        <v>0.99453219999999998</v>
      </c>
      <c r="AB6242">
        <v>26</v>
      </c>
      <c r="AC6242">
        <v>-2.7128999999999901</v>
      </c>
      <c r="AD6242">
        <v>-1.110193293589</v>
      </c>
      <c r="AE6242">
        <v>27.202580000000001</v>
      </c>
      <c r="AF6242">
        <v>-2.65750874569712</v>
      </c>
      <c r="AG6242">
        <v>-1.110193293589</v>
      </c>
      <c r="AH6242">
        <v>27.1628212597969</v>
      </c>
      <c r="AI6242">
        <v>92.329369347192795</v>
      </c>
      <c r="AJ6242">
        <v>95.587821107387597</v>
      </c>
      <c r="AK6242">
        <v>27.315082659114498</v>
      </c>
      <c r="AL6242">
        <v>86.837386550942497</v>
      </c>
      <c r="AM6242">
        <v>88.759435999267893</v>
      </c>
      <c r="AN6242">
        <v>0.99999996056345797</v>
      </c>
    </row>
    <row r="6243" spans="1:40" x14ac:dyDescent="0.25">
      <c r="A6243" t="str">
        <f>"20190312154728996"</f>
        <v>20190312154728996</v>
      </c>
      <c r="B6243" t="str">
        <f>"1552376848984366"</f>
        <v>1552376848984366</v>
      </c>
      <c r="C6243" t="s">
        <v>40</v>
      </c>
      <c r="D6243">
        <v>4.8271689999999996</v>
      </c>
      <c r="E6243">
        <v>0.45381700000000003</v>
      </c>
      <c r="F6243" t="s">
        <v>42</v>
      </c>
      <c r="G6243">
        <v>-190.83799999999999</v>
      </c>
      <c r="H6243" s="1">
        <v>-2.1858049999999998E-6</v>
      </c>
      <c r="I6243">
        <v>114.1645</v>
      </c>
      <c r="J6243">
        <v>-188.0771</v>
      </c>
      <c r="K6243">
        <v>1.110185</v>
      </c>
      <c r="L6243">
        <v>87.541439999999994</v>
      </c>
      <c r="M6243">
        <v>-1.9932109999999999E-3</v>
      </c>
      <c r="N6243">
        <v>0</v>
      </c>
      <c r="O6243">
        <v>0.99990109999999999</v>
      </c>
      <c r="P6243">
        <v>1.978332E-2</v>
      </c>
      <c r="Q6243">
        <v>4.1049580000000002E-2</v>
      </c>
      <c r="R6243">
        <v>0.99896119999999999</v>
      </c>
      <c r="S6243">
        <v>-0.30921939999999998</v>
      </c>
      <c r="T6243">
        <v>-0.12431</v>
      </c>
      <c r="U6243">
        <v>3.0144039999999999</v>
      </c>
      <c r="V6243">
        <v>2.1766819999999999E-2</v>
      </c>
      <c r="W6243">
        <v>5.4958600000000003E-2</v>
      </c>
      <c r="X6243">
        <v>0.99825140000000001</v>
      </c>
      <c r="Y6243">
        <v>-9.9976129999999996E-2</v>
      </c>
      <c r="Z6243">
        <v>-4.0992929999999997E-2</v>
      </c>
      <c r="AA6243">
        <v>0.99414499999999995</v>
      </c>
      <c r="AB6243">
        <v>26</v>
      </c>
      <c r="AC6243">
        <v>-2.7608999999999901</v>
      </c>
      <c r="AD6243">
        <v>-1.1101871858050001</v>
      </c>
      <c r="AE6243">
        <v>26.623059999999899</v>
      </c>
      <c r="AF6243">
        <v>-2.70317344055572</v>
      </c>
      <c r="AG6243">
        <v>-1.1101871858050001</v>
      </c>
      <c r="AH6243">
        <v>26.582777534868299</v>
      </c>
      <c r="AI6243">
        <v>92.379221364981802</v>
      </c>
      <c r="AJ6243">
        <v>95.806385857192396</v>
      </c>
      <c r="AK6243">
        <v>26.742919132090801</v>
      </c>
      <c r="AL6243">
        <v>86.849516991710502</v>
      </c>
      <c r="AM6243">
        <v>88.750866443672706</v>
      </c>
      <c r="AN6243">
        <v>1.0000000498844099</v>
      </c>
    </row>
    <row r="6244" spans="1:40" x14ac:dyDescent="0.25">
      <c r="A6244" t="str">
        <f>"20190312154729017"</f>
        <v>20190312154729017</v>
      </c>
      <c r="B6244" t="str">
        <f>"1552376849004862"</f>
        <v>1552376849004862</v>
      </c>
      <c r="C6244" t="s">
        <v>40</v>
      </c>
      <c r="D6244">
        <v>4.8268680000000002</v>
      </c>
      <c r="E6244">
        <v>0.45330009999999998</v>
      </c>
      <c r="F6244" t="s">
        <v>42</v>
      </c>
      <c r="G6244">
        <v>-190.8768</v>
      </c>
      <c r="H6244" s="1">
        <v>-2.2763379999999999E-6</v>
      </c>
      <c r="I6244">
        <v>114.3515</v>
      </c>
      <c r="J6244">
        <v>-188.0778</v>
      </c>
      <c r="K6244">
        <v>1.1101840000000001</v>
      </c>
      <c r="L6244">
        <v>87.796169999999904</v>
      </c>
      <c r="M6244">
        <v>-2.0944100000000001E-3</v>
      </c>
      <c r="N6244">
        <v>0</v>
      </c>
      <c r="O6244">
        <v>0.99990089999999998</v>
      </c>
      <c r="P6244">
        <v>1.9955049999999998E-2</v>
      </c>
      <c r="Q6244">
        <v>4.0724709999999997E-2</v>
      </c>
      <c r="R6244">
        <v>0.9989711</v>
      </c>
      <c r="S6244">
        <v>-0.31478879999999998</v>
      </c>
      <c r="T6244">
        <v>-0.1248271</v>
      </c>
      <c r="U6244">
        <v>3.014465</v>
      </c>
      <c r="V6244">
        <v>2.2039739999999999E-2</v>
      </c>
      <c r="W6244">
        <v>5.4631510000000001E-2</v>
      </c>
      <c r="X6244">
        <v>0.99826329999999996</v>
      </c>
      <c r="Y6244">
        <v>-0.1016898</v>
      </c>
      <c r="Z6244">
        <v>-4.115485E-2</v>
      </c>
      <c r="AA6244">
        <v>0.99396450000000003</v>
      </c>
      <c r="AB6244">
        <v>26</v>
      </c>
      <c r="AC6244">
        <v>-2.7989999999999999</v>
      </c>
      <c r="AD6244">
        <v>-1.1101862763379999</v>
      </c>
      <c r="AE6244">
        <v>26.555330000000001</v>
      </c>
      <c r="AF6244">
        <v>-2.73863676222757</v>
      </c>
      <c r="AG6244">
        <v>-1.1101862763379999</v>
      </c>
      <c r="AH6244">
        <v>26.515300691502699</v>
      </c>
      <c r="AI6244">
        <v>92.384881451322997</v>
      </c>
      <c r="AJ6244">
        <v>95.896893397687506</v>
      </c>
      <c r="AK6244">
        <v>26.679464305798898</v>
      </c>
      <c r="AL6244">
        <v>86.868285859314199</v>
      </c>
      <c r="AM6244">
        <v>88.735224498728996</v>
      </c>
      <c r="AN6244">
        <v>0.99999998407551804</v>
      </c>
    </row>
    <row r="6245" spans="1:40" x14ac:dyDescent="0.25">
      <c r="A6245" t="str">
        <f>"20190312154729039"</f>
        <v>20190312154729039</v>
      </c>
      <c r="B6245" t="str">
        <f>"1552376849034143"</f>
        <v>1552376849034143</v>
      </c>
      <c r="C6245" t="s">
        <v>40</v>
      </c>
      <c r="D6245">
        <v>4.8105599999999997</v>
      </c>
      <c r="E6245">
        <v>0.45259830000000001</v>
      </c>
      <c r="F6245" t="s">
        <v>42</v>
      </c>
      <c r="G6245">
        <v>-190.89519999999999</v>
      </c>
      <c r="H6245" s="1">
        <v>-2.3417040000000001E-6</v>
      </c>
      <c r="I6245">
        <v>114.49250000000001</v>
      </c>
      <c r="J6245">
        <v>-188.07839999999999</v>
      </c>
      <c r="K6245">
        <v>1.1101859999999999</v>
      </c>
      <c r="L6245">
        <v>88.035340000000005</v>
      </c>
      <c r="M6245">
        <v>-2.189421E-3</v>
      </c>
      <c r="N6245">
        <v>0</v>
      </c>
      <c r="O6245">
        <v>0.99990069999999998</v>
      </c>
      <c r="P6245">
        <v>1.9711220000000002E-2</v>
      </c>
      <c r="Q6245">
        <v>4.1065480000000001E-2</v>
      </c>
      <c r="R6245">
        <v>0.99896200000000002</v>
      </c>
      <c r="S6245">
        <v>-0.31814579999999998</v>
      </c>
      <c r="T6245">
        <v>-0.1253628</v>
      </c>
      <c r="U6245">
        <v>3.0145569999999999</v>
      </c>
      <c r="V6245">
        <v>2.189079E-2</v>
      </c>
      <c r="W6245">
        <v>5.4969079999999997E-2</v>
      </c>
      <c r="X6245">
        <v>0.99824800000000002</v>
      </c>
      <c r="Y6245">
        <v>-0.10268620000000001</v>
      </c>
      <c r="Z6245">
        <v>-4.132537E-2</v>
      </c>
      <c r="AA6245">
        <v>0.99385500000000004</v>
      </c>
      <c r="AB6245">
        <v>26</v>
      </c>
      <c r="AC6245">
        <v>-2.8168000000000002</v>
      </c>
      <c r="AD6245">
        <v>-1.1101883417039999</v>
      </c>
      <c r="AE6245">
        <v>26.457159999999998</v>
      </c>
      <c r="AF6245">
        <v>-2.7540667979081399</v>
      </c>
      <c r="AG6245">
        <v>-1.1101883417039999</v>
      </c>
      <c r="AH6245">
        <v>26.417270487194902</v>
      </c>
      <c r="AI6245">
        <v>92.393488092959402</v>
      </c>
      <c r="AJ6245">
        <v>95.951728766467895</v>
      </c>
      <c r="AK6245">
        <v>26.5836337259415</v>
      </c>
      <c r="AL6245">
        <v>86.848915269912496</v>
      </c>
      <c r="AM6245">
        <v>88.743750167274399</v>
      </c>
      <c r="AN6245">
        <v>0.99999993797343301</v>
      </c>
    </row>
    <row r="6246" spans="1:40" x14ac:dyDescent="0.25">
      <c r="A6246" t="str">
        <f>"20190312154729058"</f>
        <v>20190312154729058</v>
      </c>
      <c r="B6246" t="str">
        <f>"1552376849044878"</f>
        <v>1552376849044878</v>
      </c>
      <c r="C6246" t="s">
        <v>40</v>
      </c>
      <c r="D6246">
        <v>4.7904619999999998</v>
      </c>
      <c r="E6246">
        <v>0.4523953</v>
      </c>
      <c r="F6246" t="s">
        <v>42</v>
      </c>
      <c r="G6246">
        <v>-190.99959999999999</v>
      </c>
      <c r="H6246" s="1">
        <v>-2.6556800000000001E-6</v>
      </c>
      <c r="I6246">
        <v>115.1596</v>
      </c>
      <c r="J6246">
        <v>-188.07900000000001</v>
      </c>
      <c r="K6246">
        <v>1.1101909999999999</v>
      </c>
      <c r="L6246">
        <v>88.262999999999906</v>
      </c>
      <c r="M6246">
        <v>-2.279891E-3</v>
      </c>
      <c r="N6246">
        <v>0</v>
      </c>
      <c r="O6246">
        <v>0.99990060000000003</v>
      </c>
      <c r="P6246">
        <v>1.9432410000000001E-2</v>
      </c>
      <c r="Q6246">
        <v>4.1197070000000002E-2</v>
      </c>
      <c r="R6246">
        <v>0.99896200000000002</v>
      </c>
      <c r="S6246">
        <v>-0.32466129999999999</v>
      </c>
      <c r="T6246">
        <v>-0.1233863</v>
      </c>
      <c r="U6246">
        <v>3.0145870000000001</v>
      </c>
      <c r="V6246">
        <v>2.1702369999999999E-2</v>
      </c>
      <c r="W6246">
        <v>5.5098580000000001E-2</v>
      </c>
      <c r="X6246">
        <v>0.9982451</v>
      </c>
      <c r="Y6246">
        <v>-0.1047217</v>
      </c>
      <c r="Z6246">
        <v>-4.0665529999999998E-2</v>
      </c>
      <c r="AA6246">
        <v>0.99366980000000005</v>
      </c>
      <c r="AB6246">
        <v>26</v>
      </c>
      <c r="AC6246">
        <v>-2.9205999999999701</v>
      </c>
      <c r="AD6246">
        <v>-1.1101936556799901</v>
      </c>
      <c r="AE6246">
        <v>26.896599999999999</v>
      </c>
      <c r="AF6246">
        <v>-2.8544585809040202</v>
      </c>
      <c r="AG6246">
        <v>-1.1101936556799901</v>
      </c>
      <c r="AH6246">
        <v>26.8579637087891</v>
      </c>
      <c r="AI6246">
        <v>92.353774572173194</v>
      </c>
      <c r="AJ6246">
        <v>96.0666098863869</v>
      </c>
      <c r="AK6246">
        <v>27.032030599380501</v>
      </c>
      <c r="AL6246">
        <v>86.841484599533899</v>
      </c>
      <c r="AM6246">
        <v>88.7545560147217</v>
      </c>
      <c r="AN6246">
        <v>1.0000000630278101</v>
      </c>
    </row>
    <row r="6247" spans="1:40" x14ac:dyDescent="0.25">
      <c r="A6247" t="str">
        <f>"20190312154729082"</f>
        <v>20190312154729082</v>
      </c>
      <c r="B6247" t="str">
        <f>"1552376849074157"</f>
        <v>1552376849074157</v>
      </c>
      <c r="C6247" t="s">
        <v>40</v>
      </c>
      <c r="D6247">
        <v>4.8298420000000002</v>
      </c>
      <c r="E6247">
        <v>0.45218720000000001</v>
      </c>
      <c r="F6247" t="s">
        <v>42</v>
      </c>
      <c r="G6247">
        <v>-191.03749999999999</v>
      </c>
      <c r="H6247" s="1">
        <v>-2.8228950000000002E-6</v>
      </c>
      <c r="I6247">
        <v>115.5258</v>
      </c>
      <c r="J6247">
        <v>-188.0797</v>
      </c>
      <c r="K6247">
        <v>1.11019</v>
      </c>
      <c r="L6247">
        <v>88.541349999999994</v>
      </c>
      <c r="M6247">
        <v>-2.3905340000000001E-3</v>
      </c>
      <c r="N6247">
        <v>0</v>
      </c>
      <c r="O6247">
        <v>0.99990029999999996</v>
      </c>
      <c r="P6247">
        <v>1.8913619999999999E-2</v>
      </c>
      <c r="Q6247">
        <v>4.0959139999999998E-2</v>
      </c>
      <c r="R6247">
        <v>0.99898180000000003</v>
      </c>
      <c r="S6247">
        <v>-0.32713320000000001</v>
      </c>
      <c r="T6247">
        <v>-0.12275709999999999</v>
      </c>
      <c r="U6247">
        <v>3.014526</v>
      </c>
      <c r="V6247">
        <v>2.1294219999999999E-2</v>
      </c>
      <c r="W6247">
        <v>5.485814E-2</v>
      </c>
      <c r="X6247">
        <v>0.99826709999999996</v>
      </c>
      <c r="Y6247">
        <v>-0.1054201</v>
      </c>
      <c r="Z6247">
        <v>-4.0456029999999997E-2</v>
      </c>
      <c r="AA6247">
        <v>0.9936045</v>
      </c>
      <c r="AB6247">
        <v>26</v>
      </c>
      <c r="AC6247">
        <v>-2.95779999999999</v>
      </c>
      <c r="AD6247">
        <v>-1.110192822895</v>
      </c>
      <c r="AE6247">
        <v>26.984449999999999</v>
      </c>
      <c r="AF6247">
        <v>-2.8884469400436501</v>
      </c>
      <c r="AG6247">
        <v>-1.110192822895</v>
      </c>
      <c r="AH6247">
        <v>26.946374735658701</v>
      </c>
      <c r="AI6247">
        <v>92.345833032563803</v>
      </c>
      <c r="AJ6247">
        <v>96.1183106905833</v>
      </c>
      <c r="AK6247">
        <v>27.123472587852799</v>
      </c>
      <c r="AL6247">
        <v>86.855281562952698</v>
      </c>
      <c r="AM6247">
        <v>88.777998460701198</v>
      </c>
      <c r="AN6247">
        <v>1.00000003113603</v>
      </c>
    </row>
    <row r="6248" spans="1:40" x14ac:dyDescent="0.25">
      <c r="A6248" t="str">
        <f>"20190312154729104"</f>
        <v>20190312154729104</v>
      </c>
      <c r="B6248" t="str">
        <f>"1552376849094654"</f>
        <v>1552376849094654</v>
      </c>
      <c r="C6248" t="s">
        <v>40</v>
      </c>
      <c r="D6248">
        <v>5.0679049999999997</v>
      </c>
      <c r="E6248">
        <v>0.45229239999999998</v>
      </c>
      <c r="F6248" t="s">
        <v>42</v>
      </c>
      <c r="G6248">
        <v>-191.10730000000001</v>
      </c>
      <c r="H6248" s="1">
        <v>-3.1206030000000001E-6</v>
      </c>
      <c r="I6248">
        <v>116.1765</v>
      </c>
      <c r="J6248">
        <v>-188.0804</v>
      </c>
      <c r="K6248">
        <v>1.1101840000000001</v>
      </c>
      <c r="L6248">
        <v>88.787379999999999</v>
      </c>
      <c r="M6248">
        <v>-2.4883449999999999E-3</v>
      </c>
      <c r="N6248">
        <v>0</v>
      </c>
      <c r="O6248">
        <v>0.99990009999999996</v>
      </c>
      <c r="P6248">
        <v>1.8625920000000001E-2</v>
      </c>
      <c r="Q6248">
        <v>4.0902939999999999E-2</v>
      </c>
      <c r="R6248">
        <v>0.99898949999999997</v>
      </c>
      <c r="S6248">
        <v>-0.33023069999999999</v>
      </c>
      <c r="T6248">
        <v>-0.1210934</v>
      </c>
      <c r="U6248">
        <v>3.0142820000000001</v>
      </c>
      <c r="V6248">
        <v>2.1104290000000001E-2</v>
      </c>
      <c r="W6248">
        <v>5.4799100000000003E-2</v>
      </c>
      <c r="X6248">
        <v>0.99827429999999995</v>
      </c>
      <c r="Y6248">
        <v>-0.1063429</v>
      </c>
      <c r="Z6248">
        <v>-3.9907640000000001E-2</v>
      </c>
      <c r="AA6248">
        <v>0.99352839999999998</v>
      </c>
      <c r="AB6248">
        <v>26</v>
      </c>
      <c r="AC6248">
        <v>-3.0269000000000101</v>
      </c>
      <c r="AD6248">
        <v>-1.1101871206029901</v>
      </c>
      <c r="AE6248">
        <v>27.389119999999998</v>
      </c>
      <c r="AF6248">
        <v>-2.9539357084117599</v>
      </c>
      <c r="AG6248">
        <v>-1.1101871206029901</v>
      </c>
      <c r="AH6248">
        <v>27.3521706581766</v>
      </c>
      <c r="AI6248">
        <v>92.310859088048602</v>
      </c>
      <c r="AJ6248">
        <v>96.163848028373195</v>
      </c>
      <c r="AK6248">
        <v>27.533606580435499</v>
      </c>
      <c r="AL6248">
        <v>86.858669163036495</v>
      </c>
      <c r="AM6248">
        <v>88.788903357136803</v>
      </c>
      <c r="AN6248">
        <v>0.99999995522885099</v>
      </c>
    </row>
    <row r="6249" spans="1:40" x14ac:dyDescent="0.25">
      <c r="A6249" t="str">
        <f>"20190312154729127"</f>
        <v>20190312154729127</v>
      </c>
      <c r="B6249" t="str">
        <f>"1552376849114174"</f>
        <v>1552376849114174</v>
      </c>
      <c r="C6249" t="s">
        <v>40</v>
      </c>
      <c r="D6249">
        <v>4.9225219999999998</v>
      </c>
      <c r="E6249">
        <v>0.4548741</v>
      </c>
      <c r="F6249" t="s">
        <v>42</v>
      </c>
      <c r="G6249">
        <v>-191.09729999999999</v>
      </c>
      <c r="H6249" s="1">
        <v>-3.1833640000000002E-6</v>
      </c>
      <c r="I6249">
        <v>116.32899999999999</v>
      </c>
      <c r="J6249">
        <v>-188.0812</v>
      </c>
      <c r="K6249">
        <v>1.110177</v>
      </c>
      <c r="L6249">
        <v>89.04477</v>
      </c>
      <c r="M6249">
        <v>-2.5906840000000002E-3</v>
      </c>
      <c r="N6249">
        <v>0</v>
      </c>
      <c r="O6249">
        <v>0.99989989999999995</v>
      </c>
      <c r="P6249">
        <v>1.8742080000000001E-2</v>
      </c>
      <c r="Q6249">
        <v>4.026192E-2</v>
      </c>
      <c r="R6249">
        <v>0.99901340000000005</v>
      </c>
      <c r="S6249">
        <v>-0.33016970000000001</v>
      </c>
      <c r="T6249">
        <v>-0.12150030000000001</v>
      </c>
      <c r="U6249">
        <v>3.0141909999999998</v>
      </c>
      <c r="V6249">
        <v>2.1322870000000001E-2</v>
      </c>
      <c r="W6249">
        <v>5.4155370000000001E-2</v>
      </c>
      <c r="X6249">
        <v>0.99830479999999999</v>
      </c>
      <c r="Y6249">
        <v>-0.1062239</v>
      </c>
      <c r="Z6249">
        <v>-4.0043000000000002E-2</v>
      </c>
      <c r="AA6249">
        <v>0.99353559999999996</v>
      </c>
      <c r="AB6249">
        <v>26</v>
      </c>
      <c r="AC6249">
        <v>-3.01609999999999</v>
      </c>
      <c r="AD6249">
        <v>-1.1101801833639999</v>
      </c>
      <c r="AE6249">
        <v>27.284229999999901</v>
      </c>
      <c r="AF6249">
        <v>-2.9405884649168299</v>
      </c>
      <c r="AG6249">
        <v>-1.1101801833639999</v>
      </c>
      <c r="AH6249">
        <v>27.2473859284434</v>
      </c>
      <c r="AI6249">
        <v>92.319740174475299</v>
      </c>
      <c r="AJ6249">
        <v>96.1596267149732</v>
      </c>
      <c r="AK6249">
        <v>27.428080510547399</v>
      </c>
      <c r="AL6249">
        <v>86.895607079662099</v>
      </c>
      <c r="AM6249">
        <v>88.776401031679498</v>
      </c>
      <c r="AN6249">
        <v>0.99999997129395601</v>
      </c>
    </row>
    <row r="6250" spans="1:40" x14ac:dyDescent="0.25">
      <c r="A6250" t="str">
        <f>"20190312154729147"</f>
        <v>20190312154729147</v>
      </c>
      <c r="B6250" t="str">
        <f>"1552376849134675"</f>
        <v>1552376849134675</v>
      </c>
      <c r="C6250" t="s">
        <v>40</v>
      </c>
      <c r="D6250">
        <v>4.6880949999999997</v>
      </c>
      <c r="E6250">
        <v>0.54390260000000001</v>
      </c>
      <c r="F6250" t="s">
        <v>42</v>
      </c>
      <c r="G6250">
        <v>-190.8691</v>
      </c>
      <c r="H6250" s="1">
        <v>-3.070896E-6</v>
      </c>
      <c r="I6250">
        <v>116.2084</v>
      </c>
      <c r="J6250">
        <v>-188.08189999999999</v>
      </c>
      <c r="K6250">
        <v>1.1101730000000001</v>
      </c>
      <c r="L6250">
        <v>89.282139999999998</v>
      </c>
      <c r="M6250">
        <v>-2.6850849999999998E-3</v>
      </c>
      <c r="N6250">
        <v>0</v>
      </c>
      <c r="O6250">
        <v>0.99989969999999995</v>
      </c>
      <c r="P6250">
        <v>1.999215E-2</v>
      </c>
      <c r="Q6250">
        <v>3.9794179999999998E-2</v>
      </c>
      <c r="R6250">
        <v>0.99900789999999995</v>
      </c>
      <c r="S6250">
        <v>-0.3093109</v>
      </c>
      <c r="T6250">
        <v>-0.12317160000000001</v>
      </c>
      <c r="U6250">
        <v>3.0137330000000002</v>
      </c>
      <c r="V6250">
        <v>2.2667320000000001E-2</v>
      </c>
      <c r="W6250">
        <v>5.3685419999999998E-2</v>
      </c>
      <c r="X6250">
        <v>0.99830059999999998</v>
      </c>
      <c r="Y6250">
        <v>-9.9341540000000006E-2</v>
      </c>
      <c r="Z6250">
        <v>-4.0628270000000001E-2</v>
      </c>
      <c r="AA6250">
        <v>0.99422359999999999</v>
      </c>
      <c r="AB6250">
        <v>25</v>
      </c>
      <c r="AC6250">
        <v>-2.7872000000000101</v>
      </c>
      <c r="AD6250">
        <v>-1.11017607089599</v>
      </c>
      <c r="AE6250">
        <v>26.926259999999999</v>
      </c>
      <c r="AF6250">
        <v>-2.7103251363149998</v>
      </c>
      <c r="AG6250">
        <v>-1.11017607089599</v>
      </c>
      <c r="AH6250">
        <v>26.8884235716753</v>
      </c>
      <c r="AI6250">
        <v>92.3523928710148</v>
      </c>
      <c r="AJ6250">
        <v>95.755913349980801</v>
      </c>
      <c r="AK6250">
        <v>27.047470776816699</v>
      </c>
      <c r="AL6250">
        <v>86.922572579231598</v>
      </c>
      <c r="AM6250">
        <v>88.699270895388295</v>
      </c>
      <c r="AN6250">
        <v>1.0000000098384501</v>
      </c>
    </row>
    <row r="6251" spans="1:40" x14ac:dyDescent="0.25">
      <c r="A6251" t="str">
        <f>"20190312154729171"</f>
        <v>20190312154729171</v>
      </c>
      <c r="B6251" t="str">
        <f>"1552376849164930"</f>
        <v>1552376849164930</v>
      </c>
      <c r="C6251" t="s">
        <v>40</v>
      </c>
      <c r="D6251">
        <v>4.7260039999999996</v>
      </c>
      <c r="E6251">
        <v>0.55947530000000001</v>
      </c>
      <c r="F6251" t="s">
        <v>42</v>
      </c>
      <c r="G6251">
        <v>-185.41059999999999</v>
      </c>
      <c r="H6251" s="1">
        <v>-4.8937570000000003E-6</v>
      </c>
      <c r="I6251">
        <v>109.1426</v>
      </c>
      <c r="J6251">
        <v>-188.08279999999999</v>
      </c>
      <c r="K6251">
        <v>1.1101719999999999</v>
      </c>
      <c r="L6251">
        <v>89.555790000000002</v>
      </c>
      <c r="M6251">
        <v>-2.7939269999999999E-3</v>
      </c>
      <c r="N6251">
        <v>0</v>
      </c>
      <c r="O6251">
        <v>0.99989939999999999</v>
      </c>
      <c r="P6251">
        <v>2.1546590000000001E-2</v>
      </c>
      <c r="Q6251">
        <v>3.8712799999999999E-2</v>
      </c>
      <c r="R6251">
        <v>0.99901810000000002</v>
      </c>
      <c r="S6251">
        <v>0.40373229999999999</v>
      </c>
      <c r="T6251">
        <v>-0.1677855</v>
      </c>
      <c r="U6251">
        <v>3.0015869999999998</v>
      </c>
      <c r="V6251">
        <v>2.43307E-2</v>
      </c>
      <c r="W6251">
        <v>5.2601200000000001E-2</v>
      </c>
      <c r="X6251">
        <v>0.99831910000000001</v>
      </c>
      <c r="Y6251">
        <v>0.13587050000000001</v>
      </c>
      <c r="Z6251">
        <v>-5.5304449999999998E-2</v>
      </c>
      <c r="AA6251">
        <v>0.9891818</v>
      </c>
      <c r="AB6251">
        <v>25</v>
      </c>
      <c r="AC6251">
        <v>2.6722000000000001</v>
      </c>
      <c r="AD6251">
        <v>-1.110176893757</v>
      </c>
      <c r="AE6251">
        <v>19.58681</v>
      </c>
      <c r="AF6251">
        <v>2.71834558918738</v>
      </c>
      <c r="AG6251">
        <v>-1.110176893757</v>
      </c>
      <c r="AH6251">
        <v>19.5177099894211</v>
      </c>
      <c r="AI6251">
        <v>93.2244473538926</v>
      </c>
      <c r="AJ6251">
        <v>82.071086970134701</v>
      </c>
      <c r="AK6251">
        <v>19.7373478134433</v>
      </c>
      <c r="AL6251">
        <v>86.984781531055006</v>
      </c>
      <c r="AM6251">
        <v>88.603882756626007</v>
      </c>
      <c r="AN6251">
        <v>0.99999994731436803</v>
      </c>
    </row>
    <row r="6252" spans="1:40" x14ac:dyDescent="0.25">
      <c r="A6252" t="str">
        <f>"20190312154729194"</f>
        <v>20190312154729194</v>
      </c>
      <c r="B6252" t="str">
        <f>"1552376849184451"</f>
        <v>1552376849184451</v>
      </c>
      <c r="C6252" t="s">
        <v>40</v>
      </c>
      <c r="D6252">
        <v>4.8187689999999996</v>
      </c>
      <c r="E6252">
        <v>0.56324490000000005</v>
      </c>
      <c r="F6252" t="s">
        <v>42</v>
      </c>
      <c r="G6252">
        <v>-185.66849999999999</v>
      </c>
      <c r="H6252" s="1">
        <v>-2.358971E-6</v>
      </c>
      <c r="I6252">
        <v>103.1934</v>
      </c>
      <c r="J6252">
        <v>-188.08359999999999</v>
      </c>
      <c r="K6252">
        <v>1.1101749999999999</v>
      </c>
      <c r="L6252">
        <v>89.804109999999994</v>
      </c>
      <c r="M6252">
        <v>-2.8927029999999999E-3</v>
      </c>
      <c r="N6252">
        <v>0</v>
      </c>
      <c r="O6252">
        <v>0.99989919999999999</v>
      </c>
      <c r="P6252">
        <v>2.2817549999999999E-2</v>
      </c>
      <c r="Q6252">
        <v>3.7758460000000001E-2</v>
      </c>
      <c r="R6252">
        <v>0.99902639999999998</v>
      </c>
      <c r="S6252">
        <v>0.53125</v>
      </c>
      <c r="T6252">
        <v>-0.2442936</v>
      </c>
      <c r="U6252">
        <v>3.0009459999999999</v>
      </c>
      <c r="V6252">
        <v>2.5700509999999999E-2</v>
      </c>
      <c r="W6252">
        <v>5.1645009999999998E-2</v>
      </c>
      <c r="X6252">
        <v>0.99833479999999997</v>
      </c>
      <c r="Y6252">
        <v>0.17660799999999999</v>
      </c>
      <c r="Z6252">
        <v>-7.9881930000000004E-2</v>
      </c>
      <c r="AA6252">
        <v>0.98103439999999997</v>
      </c>
      <c r="AB6252">
        <v>25</v>
      </c>
      <c r="AC6252">
        <v>2.41509999999999</v>
      </c>
      <c r="AD6252">
        <v>-1.110177358971</v>
      </c>
      <c r="AE6252">
        <v>13.389290000000001</v>
      </c>
      <c r="AF6252">
        <v>2.4375945885125199</v>
      </c>
      <c r="AG6252">
        <v>-1.110177358971</v>
      </c>
      <c r="AH6252">
        <v>13.2937331874493</v>
      </c>
      <c r="AI6252">
        <v>94.695838518129307</v>
      </c>
      <c r="AJ6252">
        <v>79.609431850715097</v>
      </c>
      <c r="AK6252">
        <v>13.5608887321373</v>
      </c>
      <c r="AL6252">
        <v>87.039642059361498</v>
      </c>
      <c r="AM6252">
        <v>88.525338803154199</v>
      </c>
      <c r="AN6252">
        <v>1.00000004808159</v>
      </c>
    </row>
    <row r="6253" spans="1:40" x14ac:dyDescent="0.25">
      <c r="A6253" t="str">
        <f>"20190312154729217"</f>
        <v>20190312154729217</v>
      </c>
      <c r="B6253" t="str">
        <f>"1552376849204947"</f>
        <v>1552376849204947</v>
      </c>
      <c r="C6253" t="s">
        <v>40</v>
      </c>
      <c r="D6253">
        <v>4.8043630000000004</v>
      </c>
      <c r="E6253">
        <v>0.56545389999999995</v>
      </c>
      <c r="F6253" t="s">
        <v>42</v>
      </c>
      <c r="G6253">
        <v>-185.57550000000001</v>
      </c>
      <c r="H6253" s="1">
        <v>-2.3598249999999999E-6</v>
      </c>
      <c r="I6253">
        <v>103.12309999999999</v>
      </c>
      <c r="J6253">
        <v>-188.08439999999999</v>
      </c>
      <c r="K6253">
        <v>1.1101749999999999</v>
      </c>
      <c r="L6253">
        <v>90.071039999999996</v>
      </c>
      <c r="M6253">
        <v>-2.9989040000000002E-3</v>
      </c>
      <c r="N6253">
        <v>0</v>
      </c>
      <c r="O6253">
        <v>0.99989890000000003</v>
      </c>
      <c r="P6253">
        <v>2.351265E-2</v>
      </c>
      <c r="Q6253">
        <v>3.6878340000000003E-2</v>
      </c>
      <c r="R6253">
        <v>0.99904309999999996</v>
      </c>
      <c r="S6253">
        <v>0.56481930000000002</v>
      </c>
      <c r="T6253">
        <v>-0.25001489999999998</v>
      </c>
      <c r="U6253">
        <v>2.9994809999999998</v>
      </c>
      <c r="V6253">
        <v>2.650191E-2</v>
      </c>
      <c r="W6253">
        <v>5.0762109999999999E-2</v>
      </c>
      <c r="X6253">
        <v>0.99835910000000005</v>
      </c>
      <c r="Y6253">
        <v>0.18738250000000001</v>
      </c>
      <c r="Z6253">
        <v>-8.1616099999999997E-2</v>
      </c>
      <c r="AA6253">
        <v>0.9788905</v>
      </c>
      <c r="AB6253">
        <v>25</v>
      </c>
      <c r="AC6253">
        <v>2.5088999999999801</v>
      </c>
      <c r="AD6253">
        <v>-1.110177359825</v>
      </c>
      <c r="AE6253">
        <v>13.0520599999999</v>
      </c>
      <c r="AF6253">
        <v>2.5303799005818099</v>
      </c>
      <c r="AG6253">
        <v>-1.110177359825</v>
      </c>
      <c r="AH6253">
        <v>12.954095835173099</v>
      </c>
      <c r="AI6253">
        <v>94.807902423868796</v>
      </c>
      <c r="AJ6253">
        <v>78.947337021431096</v>
      </c>
      <c r="AK6253">
        <v>13.245524342901099</v>
      </c>
      <c r="AL6253">
        <v>87.090294858691607</v>
      </c>
      <c r="AM6253">
        <v>88.479413791386904</v>
      </c>
      <c r="AN6253">
        <v>1.00000001779905</v>
      </c>
    </row>
    <row r="6254" spans="1:40" x14ac:dyDescent="0.25">
      <c r="A6254" t="str">
        <f>"20190312154729240"</f>
        <v>20190312154729240</v>
      </c>
      <c r="B6254" t="str">
        <f>"1552376849224467"</f>
        <v>1552376849224467</v>
      </c>
      <c r="C6254" t="s">
        <v>40</v>
      </c>
      <c r="D6254">
        <v>4.7745639999999998</v>
      </c>
      <c r="E6254">
        <v>0.56696219999999997</v>
      </c>
      <c r="F6254" t="s">
        <v>42</v>
      </c>
      <c r="G6254">
        <v>-185.5839</v>
      </c>
      <c r="H6254" s="1">
        <v>-2.284113E-6</v>
      </c>
      <c r="I6254">
        <v>102.9072</v>
      </c>
      <c r="J6254">
        <v>-188.08529999999999</v>
      </c>
      <c r="K6254">
        <v>1.1101749999999999</v>
      </c>
      <c r="L6254">
        <v>90.322969999999998</v>
      </c>
      <c r="M6254">
        <v>-3.0991619999999999E-3</v>
      </c>
      <c r="N6254">
        <v>0</v>
      </c>
      <c r="O6254">
        <v>0.99989870000000003</v>
      </c>
      <c r="P6254">
        <v>2.390012E-2</v>
      </c>
      <c r="Q6254">
        <v>3.663479E-2</v>
      </c>
      <c r="R6254">
        <v>0.99904289999999996</v>
      </c>
      <c r="S6254">
        <v>0.58416749999999995</v>
      </c>
      <c r="T6254">
        <v>-0.25935170000000002</v>
      </c>
      <c r="U6254">
        <v>2.998688</v>
      </c>
      <c r="V6254">
        <v>2.6989590000000001E-2</v>
      </c>
      <c r="W6254">
        <v>5.0515900000000002E-2</v>
      </c>
      <c r="X6254">
        <v>0.99835850000000004</v>
      </c>
      <c r="Y6254">
        <v>0.19356960000000001</v>
      </c>
      <c r="Z6254">
        <v>-8.4562239999999997E-2</v>
      </c>
      <c r="AA6254">
        <v>0.97743550000000001</v>
      </c>
      <c r="AB6254">
        <v>25</v>
      </c>
      <c r="AC6254">
        <v>2.5013999999999799</v>
      </c>
      <c r="AD6254">
        <v>-1.110177284113</v>
      </c>
      <c r="AE6254">
        <v>12.58423</v>
      </c>
      <c r="AF6254">
        <v>2.5215139736866798</v>
      </c>
      <c r="AG6254">
        <v>-1.110177284113</v>
      </c>
      <c r="AH6254">
        <v>12.4829578083936</v>
      </c>
      <c r="AI6254">
        <v>94.982149543712197</v>
      </c>
      <c r="AJ6254">
        <v>78.580117682501196</v>
      </c>
      <c r="AK6254">
        <v>12.783378347205099</v>
      </c>
      <c r="AL6254">
        <v>87.104419706259193</v>
      </c>
      <c r="AM6254">
        <v>88.451445002796206</v>
      </c>
      <c r="AN6254">
        <v>0.99999999432171405</v>
      </c>
    </row>
    <row r="6255" spans="1:40" x14ac:dyDescent="0.25">
      <c r="A6255" t="str">
        <f>"20190312154729260"</f>
        <v>20190312154729260</v>
      </c>
      <c r="B6255" t="str">
        <f>"1552376849254723"</f>
        <v>1552376849254723</v>
      </c>
      <c r="C6255" t="s">
        <v>40</v>
      </c>
      <c r="D6255">
        <v>4.9173819999999999</v>
      </c>
      <c r="E6255">
        <v>0.56818179999999996</v>
      </c>
      <c r="F6255" t="s">
        <v>42</v>
      </c>
      <c r="G6255">
        <v>-185.57919999999999</v>
      </c>
      <c r="H6255" s="1">
        <v>-2.2848129999999999E-6</v>
      </c>
      <c r="I6255">
        <v>102.90560000000001</v>
      </c>
      <c r="J6255">
        <v>-188.08609999999999</v>
      </c>
      <c r="K6255">
        <v>1.110171</v>
      </c>
      <c r="L6255">
        <v>90.560879999999997</v>
      </c>
      <c r="M6255">
        <v>-3.192336E-3</v>
      </c>
      <c r="N6255">
        <v>0</v>
      </c>
      <c r="O6255">
        <v>0.99989839999999997</v>
      </c>
      <c r="P6255">
        <v>2.421951E-2</v>
      </c>
      <c r="Q6255">
        <v>3.6254139999999997E-2</v>
      </c>
      <c r="R6255">
        <v>0.99904910000000002</v>
      </c>
      <c r="S6255">
        <v>0.59716800000000003</v>
      </c>
      <c r="T6255">
        <v>-0.26454169999999999</v>
      </c>
      <c r="U6255">
        <v>2.998291</v>
      </c>
      <c r="V6255">
        <v>2.740225E-2</v>
      </c>
      <c r="W6255">
        <v>5.0132530000000002E-2</v>
      </c>
      <c r="X6255">
        <v>0.99836659999999999</v>
      </c>
      <c r="Y6255">
        <v>0.1977361</v>
      </c>
      <c r="Z6255">
        <v>-8.6181129999999995E-2</v>
      </c>
      <c r="AA6255">
        <v>0.97645959999999998</v>
      </c>
      <c r="AB6255">
        <v>25</v>
      </c>
      <c r="AC6255">
        <v>2.5068999999999999</v>
      </c>
      <c r="AD6255">
        <v>-1.1101732848129999</v>
      </c>
      <c r="AE6255">
        <v>12.344719999999899</v>
      </c>
      <c r="AF6255">
        <v>2.5266741564900799</v>
      </c>
      <c r="AG6255">
        <v>-1.1101732848129999</v>
      </c>
      <c r="AH6255">
        <v>12.241569846920999</v>
      </c>
      <c r="AI6255">
        <v>95.075502569889593</v>
      </c>
      <c r="AJ6255">
        <v>78.337852493256804</v>
      </c>
      <c r="AK6255">
        <v>12.5488086818005</v>
      </c>
      <c r="AL6255">
        <v>87.126413104311595</v>
      </c>
      <c r="AM6255">
        <v>88.427792761924096</v>
      </c>
      <c r="AN6255">
        <v>1.0000000109324101</v>
      </c>
    </row>
    <row r="6256" spans="1:40" x14ac:dyDescent="0.25">
      <c r="A6256" t="str">
        <f>"20190312154729282"</f>
        <v>20190312154729282</v>
      </c>
      <c r="B6256" t="str">
        <f>"1552376849274243"</f>
        <v>1552376849274243</v>
      </c>
      <c r="C6256" t="s">
        <v>40</v>
      </c>
      <c r="D6256">
        <v>4.8151000000000002</v>
      </c>
      <c r="E6256">
        <v>0.56886729999999996</v>
      </c>
      <c r="F6256" t="s">
        <v>42</v>
      </c>
      <c r="G6256">
        <v>-185.56989999999999</v>
      </c>
      <c r="H6256" s="1">
        <v>-2.312219E-6</v>
      </c>
      <c r="I6256">
        <v>102.9789</v>
      </c>
      <c r="J6256">
        <v>-188.08699999999999</v>
      </c>
      <c r="K6256">
        <v>1.1101669999999999</v>
      </c>
      <c r="L6256">
        <v>90.802090000000007</v>
      </c>
      <c r="M6256">
        <v>-3.2821069999999998E-3</v>
      </c>
      <c r="N6256">
        <v>0</v>
      </c>
      <c r="O6256">
        <v>0.99989810000000001</v>
      </c>
      <c r="P6256">
        <v>2.5340029999999999E-2</v>
      </c>
      <c r="Q6256">
        <v>3.6071220000000001E-2</v>
      </c>
      <c r="R6256">
        <v>0.99902789999999997</v>
      </c>
      <c r="S6256">
        <v>0.60743709999999995</v>
      </c>
      <c r="T6256">
        <v>-0.26800740000000001</v>
      </c>
      <c r="U6256">
        <v>2.997833</v>
      </c>
      <c r="V6256">
        <v>2.8612760000000001E-2</v>
      </c>
      <c r="W6256">
        <v>4.9946320000000002E-2</v>
      </c>
      <c r="X6256">
        <v>0.99834199999999995</v>
      </c>
      <c r="Y6256">
        <v>0.201048</v>
      </c>
      <c r="Z6256">
        <v>-8.7255719999999995E-2</v>
      </c>
      <c r="AA6256">
        <v>0.97568750000000004</v>
      </c>
      <c r="AB6256">
        <v>25</v>
      </c>
      <c r="AC6256">
        <v>2.5171000000000201</v>
      </c>
      <c r="AD6256">
        <v>-1.1101693122189999</v>
      </c>
      <c r="AE6256">
        <v>12.1768099999999</v>
      </c>
      <c r="AF6256">
        <v>2.5368335493622198</v>
      </c>
      <c r="AG6256">
        <v>-1.1101693122189999</v>
      </c>
      <c r="AH6256">
        <v>12.072248413355201</v>
      </c>
      <c r="AI6256">
        <v>95.142475680528406</v>
      </c>
      <c r="AJ6256">
        <v>78.132669087455497</v>
      </c>
      <c r="AK6256">
        <v>12.385765301858401</v>
      </c>
      <c r="AL6256">
        <v>87.137095608318504</v>
      </c>
      <c r="AM6256">
        <v>88.358336383823399</v>
      </c>
      <c r="AN6256">
        <v>1.00000003694017</v>
      </c>
    </row>
    <row r="6257" spans="1:40" x14ac:dyDescent="0.25">
      <c r="A6257" t="str">
        <f>"20190312154729305"</f>
        <v>20190312154729305</v>
      </c>
      <c r="B6257" t="str">
        <f>"1552376849294739"</f>
        <v>1552376849294739</v>
      </c>
      <c r="C6257" t="s">
        <v>40</v>
      </c>
      <c r="D6257">
        <v>4.5893829999999998</v>
      </c>
      <c r="E6257">
        <v>0.56943350000000004</v>
      </c>
      <c r="F6257" t="s">
        <v>42</v>
      </c>
      <c r="G6257">
        <v>-185.51660000000001</v>
      </c>
      <c r="H6257" s="1">
        <v>-2.4357569999999999E-6</v>
      </c>
      <c r="I6257">
        <v>103.3002</v>
      </c>
      <c r="J6257">
        <v>-188.08799999999999</v>
      </c>
      <c r="K6257">
        <v>1.1101570000000001</v>
      </c>
      <c r="L6257">
        <v>91.062899999999999</v>
      </c>
      <c r="M6257">
        <v>-3.3693350000000002E-3</v>
      </c>
      <c r="N6257">
        <v>0</v>
      </c>
      <c r="O6257">
        <v>0.99989790000000001</v>
      </c>
      <c r="P6257">
        <v>2.7139440000000001E-2</v>
      </c>
      <c r="Q6257">
        <v>3.5958980000000001E-2</v>
      </c>
      <c r="R6257">
        <v>0.99898469999999995</v>
      </c>
      <c r="S6257">
        <v>0.61636349999999995</v>
      </c>
      <c r="T6257">
        <v>-0.26620759999999899</v>
      </c>
      <c r="U6257">
        <v>2.996918</v>
      </c>
      <c r="V6257">
        <v>3.049994E-2</v>
      </c>
      <c r="W6257">
        <v>4.9830600000000003E-2</v>
      </c>
      <c r="X6257">
        <v>0.99829190000000001</v>
      </c>
      <c r="Y6257">
        <v>0.20399110000000001</v>
      </c>
      <c r="Z6257">
        <v>-8.6647940000000007E-2</v>
      </c>
      <c r="AA6257">
        <v>0.97513059999999996</v>
      </c>
      <c r="AB6257">
        <v>25</v>
      </c>
      <c r="AC6257">
        <v>2.5713999999999801</v>
      </c>
      <c r="AD6257">
        <v>-1.1101594357569999</v>
      </c>
      <c r="AE6257">
        <v>12.237299999999999</v>
      </c>
      <c r="AF6257">
        <v>2.5921893702164001</v>
      </c>
      <c r="AG6257">
        <v>-1.1101594357569999</v>
      </c>
      <c r="AH6257">
        <v>12.132934303264401</v>
      </c>
      <c r="AI6257">
        <v>95.113222991208502</v>
      </c>
      <c r="AJ6257">
        <v>77.940126500778405</v>
      </c>
      <c r="AK6257">
        <v>12.4563234748939</v>
      </c>
      <c r="AL6257">
        <v>87.143734111657494</v>
      </c>
      <c r="AM6257">
        <v>88.250036475511294</v>
      </c>
      <c r="AN6257">
        <v>1.0000000263209801</v>
      </c>
    </row>
    <row r="6258" spans="1:40" x14ac:dyDescent="0.25">
      <c r="A6258" t="str">
        <f>"20190312154729326"</f>
        <v>20190312154729326</v>
      </c>
      <c r="B6258" t="str">
        <f>"1552376849314259"</f>
        <v>1552376849314259</v>
      </c>
      <c r="C6258" t="s">
        <v>40</v>
      </c>
      <c r="D6258">
        <v>4.5539360000000002</v>
      </c>
      <c r="E6258">
        <v>0.56977549999999999</v>
      </c>
      <c r="F6258" t="s">
        <v>42</v>
      </c>
      <c r="G6258">
        <v>-185.50020000000001</v>
      </c>
      <c r="H6258" s="1">
        <v>-2.4887259999999999E-6</v>
      </c>
      <c r="I6258">
        <v>103.443</v>
      </c>
      <c r="J6258">
        <v>-188.0889</v>
      </c>
      <c r="K6258">
        <v>1.1101479999999999</v>
      </c>
      <c r="L6258">
        <v>91.305599999999998</v>
      </c>
      <c r="M6258">
        <v>-3.4395990000000002E-3</v>
      </c>
      <c r="N6258">
        <v>0</v>
      </c>
      <c r="O6258">
        <v>0.9998977</v>
      </c>
      <c r="P6258">
        <v>2.8568900000000001E-2</v>
      </c>
      <c r="Q6258">
        <v>3.5757589999999999E-2</v>
      </c>
      <c r="R6258">
        <v>0.99895199999999995</v>
      </c>
      <c r="S6258">
        <v>0.62617489999999998</v>
      </c>
      <c r="T6258">
        <v>-0.26863169999999997</v>
      </c>
      <c r="U6258">
        <v>2.9956969999999998</v>
      </c>
      <c r="V6258">
        <v>3.2000559999999997E-2</v>
      </c>
      <c r="W6258">
        <v>4.9625809999999999E-2</v>
      </c>
      <c r="X6258">
        <v>0.99825509999999995</v>
      </c>
      <c r="Y6258">
        <v>0.2071856</v>
      </c>
      <c r="Z6258">
        <v>-8.7407219999999994E-2</v>
      </c>
      <c r="AA6258">
        <v>0.97438910000000001</v>
      </c>
      <c r="AB6258">
        <v>25</v>
      </c>
      <c r="AC6258">
        <v>2.5886999999999798</v>
      </c>
      <c r="AD6258">
        <v>-1.1101504887260001</v>
      </c>
      <c r="AE6258">
        <v>12.1374</v>
      </c>
      <c r="AF6258">
        <v>2.6095551197396998</v>
      </c>
      <c r="AG6258">
        <v>-1.1101504887260001</v>
      </c>
      <c r="AH6258">
        <v>12.032143333545701</v>
      </c>
      <c r="AI6258">
        <v>95.1523746125755</v>
      </c>
      <c r="AJ6258">
        <v>77.763094241450503</v>
      </c>
      <c r="AK6258">
        <v>12.3618237016051</v>
      </c>
      <c r="AL6258">
        <v>87.155482176250004</v>
      </c>
      <c r="AM6258">
        <v>88.163926864377601</v>
      </c>
      <c r="AN6258">
        <v>1.0000000007672301</v>
      </c>
    </row>
    <row r="6259" spans="1:40" x14ac:dyDescent="0.25">
      <c r="A6259" t="str">
        <f>"20190312154729348"</f>
        <v>20190312154729348</v>
      </c>
      <c r="B6259" t="str">
        <f>"1552376849334756"</f>
        <v>1552376849334756</v>
      </c>
      <c r="C6259" t="s">
        <v>40</v>
      </c>
      <c r="D6259">
        <v>4.5615819999999996</v>
      </c>
      <c r="E6259">
        <v>0.56978509999999905</v>
      </c>
      <c r="F6259" t="s">
        <v>42</v>
      </c>
      <c r="G6259">
        <v>-185.4768</v>
      </c>
      <c r="H6259" s="1">
        <v>-2.5699839999999999E-6</v>
      </c>
      <c r="I6259">
        <v>103.6635</v>
      </c>
      <c r="J6259">
        <v>-188.0898</v>
      </c>
      <c r="K6259">
        <v>1.1101379999999901</v>
      </c>
      <c r="L6259">
        <v>91.552549999999997</v>
      </c>
      <c r="M6259">
        <v>-3.501456E-3</v>
      </c>
      <c r="N6259">
        <v>0</v>
      </c>
      <c r="O6259">
        <v>0.99989749999999999</v>
      </c>
      <c r="P6259">
        <v>3.037523E-2</v>
      </c>
      <c r="Q6259">
        <v>3.5208200000000002E-2</v>
      </c>
      <c r="R6259">
        <v>0.99891830000000004</v>
      </c>
      <c r="S6259">
        <v>0.63298030000000005</v>
      </c>
      <c r="T6259">
        <v>-0.26902019999999999</v>
      </c>
      <c r="U6259">
        <v>2.994659</v>
      </c>
      <c r="V6259">
        <v>3.3869719999999999E-2</v>
      </c>
      <c r="W6259">
        <v>4.9072400000000002E-2</v>
      </c>
      <c r="X6259">
        <v>0.99822080000000002</v>
      </c>
      <c r="Y6259">
        <v>0.2094317</v>
      </c>
      <c r="Z6259">
        <v>-8.7520819999999999E-2</v>
      </c>
      <c r="AA6259">
        <v>0.97389859999999995</v>
      </c>
      <c r="AB6259">
        <v>25</v>
      </c>
      <c r="AC6259">
        <v>2.6129999999999902</v>
      </c>
      <c r="AD6259">
        <v>-1.1101405699839999</v>
      </c>
      <c r="AE6259">
        <v>12.110950000000001</v>
      </c>
      <c r="AF6259">
        <v>2.6342447464821501</v>
      </c>
      <c r="AG6259">
        <v>-1.1101405699839999</v>
      </c>
      <c r="AH6259">
        <v>12.0053395767649</v>
      </c>
      <c r="AI6259">
        <v>95.1610534168274</v>
      </c>
      <c r="AJ6259">
        <v>77.624131845022504</v>
      </c>
      <c r="AK6259">
        <v>12.340981963479701</v>
      </c>
      <c r="AL6259">
        <v>87.187228946015296</v>
      </c>
      <c r="AM6259">
        <v>88.056694650616905</v>
      </c>
      <c r="AN6259">
        <v>1.0000000119636301</v>
      </c>
    </row>
    <row r="6260" spans="1:40" x14ac:dyDescent="0.25">
      <c r="A6260" t="str">
        <f>"20190312154729371"</f>
        <v>20190312154729371</v>
      </c>
      <c r="B6260" t="str">
        <f>"1552376849364035"</f>
        <v>1552376849364035</v>
      </c>
      <c r="C6260" t="s">
        <v>40</v>
      </c>
      <c r="D6260">
        <v>4.7688269999999999</v>
      </c>
      <c r="E6260">
        <v>0.57006250000000003</v>
      </c>
      <c r="F6260" t="s">
        <v>42</v>
      </c>
      <c r="G6260">
        <v>-185.48589999999999</v>
      </c>
      <c r="H6260" s="1">
        <v>-2.6024139999999998E-6</v>
      </c>
      <c r="I6260">
        <v>103.7659</v>
      </c>
      <c r="J6260">
        <v>-188.0907</v>
      </c>
      <c r="K6260">
        <v>1.110131</v>
      </c>
      <c r="L6260">
        <v>91.811220000000006</v>
      </c>
      <c r="M6260">
        <v>-3.5558489999999998E-3</v>
      </c>
      <c r="N6260">
        <v>0</v>
      </c>
      <c r="O6260">
        <v>0.99989740000000005</v>
      </c>
      <c r="P6260">
        <v>3.2369330000000002E-2</v>
      </c>
      <c r="Q6260">
        <v>3.478668E-2</v>
      </c>
      <c r="R6260">
        <v>0.99887040000000005</v>
      </c>
      <c r="S6260">
        <v>0.63821410000000001</v>
      </c>
      <c r="T6260">
        <v>-0.27209080000000002</v>
      </c>
      <c r="U6260">
        <v>2.993439</v>
      </c>
      <c r="V6260">
        <v>3.5918970000000001E-2</v>
      </c>
      <c r="W6260">
        <v>4.8647099999999999E-2</v>
      </c>
      <c r="X6260">
        <v>0.99817</v>
      </c>
      <c r="Y6260">
        <v>0.2111759</v>
      </c>
      <c r="Z6260">
        <v>-8.8514280000000001E-2</v>
      </c>
      <c r="AA6260">
        <v>0.97343210000000002</v>
      </c>
      <c r="AB6260">
        <v>25</v>
      </c>
      <c r="AC6260">
        <v>2.6048000000000102</v>
      </c>
      <c r="AD6260">
        <v>-1.1101336024140001</v>
      </c>
      <c r="AE6260">
        <v>11.95468</v>
      </c>
      <c r="AF6260">
        <v>2.6256808005310401</v>
      </c>
      <c r="AG6260">
        <v>-1.1101336024140001</v>
      </c>
      <c r="AH6260">
        <v>11.8478044542754</v>
      </c>
      <c r="AI6260">
        <v>95.226867499164996</v>
      </c>
      <c r="AJ6260">
        <v>77.504214065805797</v>
      </c>
      <c r="AK6260">
        <v>12.1859372502994</v>
      </c>
      <c r="AL6260">
        <v>87.211626032178501</v>
      </c>
      <c r="AM6260">
        <v>87.939110806612007</v>
      </c>
      <c r="AN6260">
        <v>1.00000003082213</v>
      </c>
    </row>
    <row r="6261" spans="1:40" x14ac:dyDescent="0.25">
      <c r="A6261" t="str">
        <f>"20190312154729395"</f>
        <v>20190312154729395</v>
      </c>
      <c r="B6261" t="str">
        <f>"1552376849384531"</f>
        <v>1552376849384531</v>
      </c>
      <c r="C6261" t="s">
        <v>40</v>
      </c>
      <c r="D6261">
        <v>4.6688359999999998</v>
      </c>
      <c r="E6261">
        <v>0.56986119999999996</v>
      </c>
      <c r="F6261" t="s">
        <v>42</v>
      </c>
      <c r="G6261">
        <v>-185.49860000000001</v>
      </c>
      <c r="H6261" s="1">
        <v>-2.6169630000000001E-6</v>
      </c>
      <c r="I6261">
        <v>103.8186</v>
      </c>
      <c r="J6261">
        <v>-188.0917</v>
      </c>
      <c r="K6261">
        <v>1.110117</v>
      </c>
      <c r="L6261">
        <v>92.073179999999994</v>
      </c>
      <c r="M6261">
        <v>-3.6022739999999999E-3</v>
      </c>
      <c r="N6261">
        <v>0</v>
      </c>
      <c r="O6261">
        <v>0.99989720000000004</v>
      </c>
      <c r="P6261">
        <v>3.5776700000000002E-2</v>
      </c>
      <c r="Q6261">
        <v>3.4524199999999998E-2</v>
      </c>
      <c r="R6261">
        <v>0.99876330000000002</v>
      </c>
      <c r="S6261">
        <v>0.64593509999999998</v>
      </c>
      <c r="T6261">
        <v>-0.27663459999999901</v>
      </c>
      <c r="U6261">
        <v>2.9921259999999998</v>
      </c>
      <c r="V6261">
        <v>3.9372980000000002E-2</v>
      </c>
      <c r="W6261">
        <v>4.8379909999999998E-2</v>
      </c>
      <c r="X6261">
        <v>0.99805270000000001</v>
      </c>
      <c r="Y6261">
        <v>0.21368139999999999</v>
      </c>
      <c r="Z6261">
        <v>-8.9969820000000006E-2</v>
      </c>
      <c r="AA6261">
        <v>0.97275160000000005</v>
      </c>
      <c r="AB6261">
        <v>25</v>
      </c>
      <c r="AC6261">
        <v>2.59309999999999</v>
      </c>
      <c r="AD6261">
        <v>-1.1101196169630001</v>
      </c>
      <c r="AE6261">
        <v>11.7454199999999</v>
      </c>
      <c r="AF6261">
        <v>2.6131389435682899</v>
      </c>
      <c r="AG6261">
        <v>-1.1101196169630001</v>
      </c>
      <c r="AH6261">
        <v>11.636879737690601</v>
      </c>
      <c r="AI6261">
        <v>95.317698201224502</v>
      </c>
      <c r="AJ6261">
        <v>77.343795872278406</v>
      </c>
      <c r="AK6261">
        <v>11.9782231875948</v>
      </c>
      <c r="AL6261">
        <v>87.226952906990206</v>
      </c>
      <c r="AM6261">
        <v>87.740864391484095</v>
      </c>
      <c r="AN6261">
        <v>1.00000001961148</v>
      </c>
    </row>
    <row r="6262" spans="1:40" x14ac:dyDescent="0.25">
      <c r="A6262" t="str">
        <f>"20190312154729429"</f>
        <v>20190312154729429</v>
      </c>
      <c r="B6262" t="str">
        <f>"1552376849414787"</f>
        <v>1552376849414787</v>
      </c>
      <c r="C6262" t="s">
        <v>40</v>
      </c>
      <c r="D6262">
        <v>4.6111740000000001</v>
      </c>
      <c r="E6262">
        <v>0.56978229999999996</v>
      </c>
      <c r="F6262" t="s">
        <v>42</v>
      </c>
      <c r="G6262">
        <v>-185.47540000000001</v>
      </c>
      <c r="H6262" s="1">
        <v>-2.6941830000000001E-6</v>
      </c>
      <c r="I6262">
        <v>104.0274</v>
      </c>
      <c r="J6262">
        <v>-188.09309999999999</v>
      </c>
      <c r="K6262">
        <v>1.110112</v>
      </c>
      <c r="L6262">
        <v>92.454560000000001</v>
      </c>
      <c r="M6262">
        <v>-3.659748E-3</v>
      </c>
      <c r="N6262">
        <v>0</v>
      </c>
      <c r="O6262">
        <v>0.99989709999999998</v>
      </c>
      <c r="P6262">
        <v>4.0572749999999998E-2</v>
      </c>
      <c r="Q6262">
        <v>3.2823489999999997E-2</v>
      </c>
      <c r="R6262">
        <v>0.99863729999999995</v>
      </c>
      <c r="S6262">
        <v>0.65435790000000005</v>
      </c>
      <c r="T6262">
        <v>-0.2776515</v>
      </c>
      <c r="U6262">
        <v>2.989868</v>
      </c>
      <c r="V6262">
        <v>4.4226420000000002E-2</v>
      </c>
      <c r="W6262">
        <v>4.6673340000000001E-2</v>
      </c>
      <c r="X6262">
        <v>0.9979306</v>
      </c>
      <c r="Y6262">
        <v>0.2164982</v>
      </c>
      <c r="Z6262">
        <v>-9.0309039999999993E-2</v>
      </c>
      <c r="AA6262">
        <v>0.97209710000000005</v>
      </c>
      <c r="AB6262">
        <v>25</v>
      </c>
      <c r="AC6262">
        <v>2.6176999999999802</v>
      </c>
      <c r="AD6262">
        <v>-1.110114694183</v>
      </c>
      <c r="AE6262">
        <v>11.572839999999999</v>
      </c>
      <c r="AF6262">
        <v>2.6369574096154902</v>
      </c>
      <c r="AG6262">
        <v>-1.110114694183</v>
      </c>
      <c r="AH6262">
        <v>11.462840582202</v>
      </c>
      <c r="AI6262">
        <v>95.391578763349102</v>
      </c>
      <c r="AJ6262">
        <v>77.044842529861</v>
      </c>
      <c r="AK6262">
        <v>11.8145085901761</v>
      </c>
      <c r="AL6262">
        <v>87.324842553025405</v>
      </c>
      <c r="AM6262">
        <v>87.4624185664252</v>
      </c>
      <c r="AN6262">
        <v>0.99999992965456297</v>
      </c>
    </row>
    <row r="6263" spans="1:40" x14ac:dyDescent="0.25">
      <c r="A6263" t="str">
        <f>"20190312154729449"</f>
        <v>20190312154729449</v>
      </c>
      <c r="B6263" t="str">
        <f>"1552376849434712"</f>
        <v>1552376849434712</v>
      </c>
      <c r="C6263" t="s">
        <v>40</v>
      </c>
      <c r="D6263">
        <v>4.6255569999999997</v>
      </c>
      <c r="E6263">
        <v>0.56957049999999998</v>
      </c>
      <c r="F6263" t="s">
        <v>42</v>
      </c>
      <c r="G6263">
        <v>-185.46180000000001</v>
      </c>
      <c r="H6263" s="1">
        <v>-2.7724700000000002E-6</v>
      </c>
      <c r="I6263">
        <v>104.21899999999999</v>
      </c>
      <c r="J6263">
        <v>-188.09399999999999</v>
      </c>
      <c r="K6263">
        <v>1.110109</v>
      </c>
      <c r="L6263">
        <v>92.680179999999993</v>
      </c>
      <c r="M6263">
        <v>-3.6919280000000001E-3</v>
      </c>
      <c r="N6263">
        <v>0</v>
      </c>
      <c r="O6263">
        <v>0.99989700000000004</v>
      </c>
      <c r="P6263">
        <v>4.2857430000000002E-2</v>
      </c>
      <c r="Q6263">
        <v>3.1886589999999999E-2</v>
      </c>
      <c r="R6263">
        <v>0.99857220000000002</v>
      </c>
      <c r="S6263">
        <v>0.66793819999999904</v>
      </c>
      <c r="T6263">
        <v>-0.28178750000000002</v>
      </c>
      <c r="U6263">
        <v>2.986237</v>
      </c>
      <c r="V6263">
        <v>4.6543080000000001E-2</v>
      </c>
      <c r="W6263">
        <v>4.5733049999999997E-2</v>
      </c>
      <c r="X6263">
        <v>0.9978688</v>
      </c>
      <c r="Y6263">
        <v>0.2209614</v>
      </c>
      <c r="Z6263">
        <v>-9.1660130000000006E-2</v>
      </c>
      <c r="AA6263">
        <v>0.97096570000000004</v>
      </c>
      <c r="AB6263">
        <v>25</v>
      </c>
      <c r="AC6263">
        <v>2.6322000000000099</v>
      </c>
      <c r="AD6263">
        <v>-1.11011177247</v>
      </c>
      <c r="AE6263">
        <v>11.5388199999999</v>
      </c>
      <c r="AF6263">
        <v>2.6514593497974501</v>
      </c>
      <c r="AG6263">
        <v>-1.11011177247</v>
      </c>
      <c r="AH6263">
        <v>11.428475826477699</v>
      </c>
      <c r="AI6263">
        <v>95.405369733230103</v>
      </c>
      <c r="AJ6263">
        <v>76.938196976272494</v>
      </c>
      <c r="AK6263">
        <v>11.784423810581099</v>
      </c>
      <c r="AL6263">
        <v>87.378774872966403</v>
      </c>
      <c r="AM6263">
        <v>87.329517935662395</v>
      </c>
      <c r="AN6263">
        <v>0.99999995608581305</v>
      </c>
    </row>
    <row r="6264" spans="1:40" x14ac:dyDescent="0.25">
      <c r="A6264" t="str">
        <f>"20190312154729472"</f>
        <v>20190312154729472</v>
      </c>
      <c r="B6264" t="str">
        <f>"1552376849464968"</f>
        <v>1552376849464968</v>
      </c>
      <c r="C6264" t="s">
        <v>40</v>
      </c>
      <c r="D6264">
        <v>4.6428140000000004</v>
      </c>
      <c r="E6264">
        <v>0.56928789999999996</v>
      </c>
      <c r="F6264" t="s">
        <v>42</v>
      </c>
      <c r="G6264">
        <v>-185.45160000000001</v>
      </c>
      <c r="H6264" s="1">
        <v>-2.8488620000000002E-6</v>
      </c>
      <c r="I6264">
        <v>104.3929</v>
      </c>
      <c r="J6264">
        <v>-188.095</v>
      </c>
      <c r="K6264">
        <v>1.1101080000000001</v>
      </c>
      <c r="L6264">
        <v>92.941410000000005</v>
      </c>
      <c r="M6264">
        <v>-3.730208E-3</v>
      </c>
      <c r="N6264">
        <v>0</v>
      </c>
      <c r="O6264">
        <v>0.99989689999999998</v>
      </c>
      <c r="P6264">
        <v>4.4478990000000003E-2</v>
      </c>
      <c r="Q6264">
        <v>3.0836309999999999E-2</v>
      </c>
      <c r="R6264">
        <v>0.99853429999999999</v>
      </c>
      <c r="S6264">
        <v>0.67327879999999996</v>
      </c>
      <c r="T6264">
        <v>-0.28286050000000001</v>
      </c>
      <c r="U6264">
        <v>2.9844360000000001</v>
      </c>
      <c r="V6264">
        <v>4.8202729999999999E-2</v>
      </c>
      <c r="W6264">
        <v>4.4679370000000003E-2</v>
      </c>
      <c r="X6264">
        <v>0.9978378</v>
      </c>
      <c r="Y6264">
        <v>0.22276979999999999</v>
      </c>
      <c r="Z6264">
        <v>-9.2022960000000001E-2</v>
      </c>
      <c r="AA6264">
        <v>0.97051810000000005</v>
      </c>
      <c r="AB6264">
        <v>25</v>
      </c>
      <c r="AC6264">
        <v>2.6433999999999802</v>
      </c>
      <c r="AD6264">
        <v>-1.110110848862</v>
      </c>
      <c r="AE6264">
        <v>11.4514899999999</v>
      </c>
      <c r="AF6264">
        <v>2.66234863745512</v>
      </c>
      <c r="AG6264">
        <v>-1.110110848862</v>
      </c>
      <c r="AH6264">
        <v>11.340369980308299</v>
      </c>
      <c r="AI6264">
        <v>95.443799388666093</v>
      </c>
      <c r="AJ6264">
        <v>76.788081569735695</v>
      </c>
      <c r="AK6264">
        <v>11.701471602084901</v>
      </c>
      <c r="AL6264">
        <v>87.4392082214504</v>
      </c>
      <c r="AM6264">
        <v>87.234352431053594</v>
      </c>
      <c r="AN6264">
        <v>1.00000001219594</v>
      </c>
    </row>
    <row r="6265" spans="1:40" x14ac:dyDescent="0.25">
      <c r="A6265" t="str">
        <f>"20190312154729494"</f>
        <v>20190312154729494</v>
      </c>
      <c r="B6265" t="str">
        <f>"1552376849484488"</f>
        <v>1552376849484488</v>
      </c>
      <c r="C6265" t="s">
        <v>40</v>
      </c>
      <c r="D6265">
        <v>4.6167819999999997</v>
      </c>
      <c r="E6265">
        <v>0.56941359999999996</v>
      </c>
      <c r="F6265" t="s">
        <v>42</v>
      </c>
      <c r="G6265">
        <v>-185.46369999999999</v>
      </c>
      <c r="H6265" s="1">
        <v>-2.916334E-6</v>
      </c>
      <c r="I6265">
        <v>104.5551</v>
      </c>
      <c r="J6265">
        <v>-188.0959</v>
      </c>
      <c r="K6265">
        <v>1.1101030000000001</v>
      </c>
      <c r="L6265">
        <v>93.182010000000005</v>
      </c>
      <c r="M6265">
        <v>-3.7673110000000002E-3</v>
      </c>
      <c r="N6265">
        <v>0</v>
      </c>
      <c r="O6265">
        <v>0.99989680000000003</v>
      </c>
      <c r="P6265">
        <v>4.5748850000000001E-2</v>
      </c>
      <c r="Q6265">
        <v>2.9756089999999999E-2</v>
      </c>
      <c r="R6265">
        <v>0.99850969999999994</v>
      </c>
      <c r="S6265">
        <v>0.67587280000000005</v>
      </c>
      <c r="T6265">
        <v>-0.28514270000000003</v>
      </c>
      <c r="U6265">
        <v>2.9830930000000002</v>
      </c>
      <c r="V6265">
        <v>4.9509539999999998E-2</v>
      </c>
      <c r="W6265">
        <v>4.3596580000000003E-2</v>
      </c>
      <c r="X6265">
        <v>0.99782170000000003</v>
      </c>
      <c r="Y6265">
        <v>0.223687</v>
      </c>
      <c r="Z6265">
        <v>-9.2780639999999998E-2</v>
      </c>
      <c r="AA6265">
        <v>0.97023499999999996</v>
      </c>
      <c r="AB6265">
        <v>25</v>
      </c>
      <c r="AC6265">
        <v>2.6322000000000099</v>
      </c>
      <c r="AD6265">
        <v>-1.1101059163339999</v>
      </c>
      <c r="AE6265">
        <v>11.373089999999999</v>
      </c>
      <c r="AF6265">
        <v>2.65105799370316</v>
      </c>
      <c r="AG6265">
        <v>-1.1101059163339999</v>
      </c>
      <c r="AH6265">
        <v>11.261256923187</v>
      </c>
      <c r="AI6265">
        <v>95.4810021504194</v>
      </c>
      <c r="AJ6265">
        <v>76.752969633837907</v>
      </c>
      <c r="AK6265">
        <v>11.6222352033283</v>
      </c>
      <c r="AL6265">
        <v>87.501308011722301</v>
      </c>
      <c r="AM6265">
        <v>87.159449196390597</v>
      </c>
      <c r="AN6265">
        <v>1.00000000066479</v>
      </c>
    </row>
    <row r="6266" spans="1:40" x14ac:dyDescent="0.25">
      <c r="A6266" t="str">
        <f>"20190312154729516"</f>
        <v>20190312154729516</v>
      </c>
      <c r="B6266" t="str">
        <f>"1552376849514744"</f>
        <v>1552376849514744</v>
      </c>
      <c r="C6266" t="s">
        <v>40</v>
      </c>
      <c r="D6266">
        <v>4.6511079999999998</v>
      </c>
      <c r="E6266">
        <v>0.53848680000000004</v>
      </c>
      <c r="F6266" t="s">
        <v>42</v>
      </c>
      <c r="G6266">
        <v>-185.4829</v>
      </c>
      <c r="H6266" s="1">
        <v>-2.9454650000000001E-6</v>
      </c>
      <c r="I6266">
        <v>104.631</v>
      </c>
      <c r="J6266">
        <v>-188.09690000000001</v>
      </c>
      <c r="K6266">
        <v>1.1100989999999999</v>
      </c>
      <c r="L6266">
        <v>93.437870000000004</v>
      </c>
      <c r="M6266">
        <v>-3.8086729999999998E-3</v>
      </c>
      <c r="N6266">
        <v>0</v>
      </c>
      <c r="O6266">
        <v>0.99989660000000002</v>
      </c>
      <c r="P6266">
        <v>4.704142E-2</v>
      </c>
      <c r="Q6266">
        <v>2.885472E-2</v>
      </c>
      <c r="R6266">
        <v>0.99847609999999998</v>
      </c>
      <c r="S6266">
        <v>0.68057250000000002</v>
      </c>
      <c r="T6266">
        <v>-0.28912929999999998</v>
      </c>
      <c r="U6266">
        <v>2.981903</v>
      </c>
      <c r="V6266">
        <v>5.0843220000000001E-2</v>
      </c>
      <c r="W6266">
        <v>4.2692380000000002E-2</v>
      </c>
      <c r="X6266">
        <v>0.99779370000000001</v>
      </c>
      <c r="Y6266">
        <v>0.2252374</v>
      </c>
      <c r="Z6266">
        <v>-9.4069269999999997E-2</v>
      </c>
      <c r="AA6266">
        <v>0.96975210000000001</v>
      </c>
      <c r="AB6266">
        <v>25</v>
      </c>
      <c r="AC6266">
        <v>2.6139999999999999</v>
      </c>
      <c r="AD6266">
        <v>-1.1101019454650001</v>
      </c>
      <c r="AE6266">
        <v>11.19313</v>
      </c>
      <c r="AF6266">
        <v>2.6320658149243599</v>
      </c>
      <c r="AG6266">
        <v>-1.1101019454650001</v>
      </c>
      <c r="AH6266">
        <v>11.079746898188301</v>
      </c>
      <c r="AI6266">
        <v>95.5675574427746</v>
      </c>
      <c r="AJ6266">
        <v>76.636717618977698</v>
      </c>
      <c r="AK6266">
        <v>11.442066601420001</v>
      </c>
      <c r="AL6266">
        <v>87.553163067581494</v>
      </c>
      <c r="AM6266">
        <v>87.082979602423293</v>
      </c>
      <c r="AN6266">
        <v>0.99999997004486096</v>
      </c>
    </row>
    <row r="6267" spans="1:40" x14ac:dyDescent="0.25">
      <c r="A6267" t="str">
        <f>"20190312154729550"</f>
        <v>20190312154729550</v>
      </c>
      <c r="B6267" t="str">
        <f>"1552376849544024"</f>
        <v>1552376849544024</v>
      </c>
      <c r="C6267" t="s">
        <v>40</v>
      </c>
      <c r="D6267">
        <v>4.6283130000000003</v>
      </c>
      <c r="E6267">
        <v>0.53701199999999905</v>
      </c>
      <c r="F6267" t="s">
        <v>42</v>
      </c>
      <c r="G6267">
        <v>-186.0094</v>
      </c>
      <c r="H6267" s="1">
        <v>-4.1446479999999997E-6</v>
      </c>
      <c r="I6267">
        <v>107.64400000000001</v>
      </c>
      <c r="J6267">
        <v>-188.0984</v>
      </c>
      <c r="K6267">
        <v>1.1100909999999999</v>
      </c>
      <c r="L6267">
        <v>93.806730000000002</v>
      </c>
      <c r="M6267">
        <v>-3.8706539999999998E-3</v>
      </c>
      <c r="N6267">
        <v>0</v>
      </c>
      <c r="O6267">
        <v>0.99989649999999997</v>
      </c>
      <c r="P6267">
        <v>4.8542589999999997E-2</v>
      </c>
      <c r="Q6267">
        <v>2.7412180000000001E-2</v>
      </c>
      <c r="R6267">
        <v>0.99844489999999997</v>
      </c>
      <c r="S6267">
        <v>0.43946839999999998</v>
      </c>
      <c r="T6267">
        <v>-0.2336956</v>
      </c>
      <c r="U6267">
        <v>2.990631</v>
      </c>
      <c r="V6267">
        <v>5.2406090000000002E-2</v>
      </c>
      <c r="W6267">
        <v>4.1245509999999999E-2</v>
      </c>
      <c r="X6267">
        <v>0.99777369999999999</v>
      </c>
      <c r="Y6267">
        <v>0.14878350000000001</v>
      </c>
      <c r="Z6267">
        <v>-7.7059349999999999E-2</v>
      </c>
      <c r="AA6267">
        <v>0.98586269999999998</v>
      </c>
      <c r="AB6267">
        <v>25</v>
      </c>
      <c r="AC6267">
        <v>2.0889999999999902</v>
      </c>
      <c r="AD6267">
        <v>-1.1100951446480001</v>
      </c>
      <c r="AE6267">
        <v>13.837269999999901</v>
      </c>
      <c r="AF6267">
        <v>2.1291508109628001</v>
      </c>
      <c r="AG6267">
        <v>-1.1100951446480001</v>
      </c>
      <c r="AH6267">
        <v>13.7426025993111</v>
      </c>
      <c r="AI6267">
        <v>94.563974488396099</v>
      </c>
      <c r="AJ6267">
        <v>81.193145431349294</v>
      </c>
      <c r="AK6267">
        <v>13.950796414849799</v>
      </c>
      <c r="AL6267">
        <v>87.636135735672994</v>
      </c>
      <c r="AM6267">
        <v>86.993415203913102</v>
      </c>
      <c r="AN6267">
        <v>0.99999997338796798</v>
      </c>
    </row>
    <row r="6268" spans="1:40" x14ac:dyDescent="0.25">
      <c r="A6268" t="str">
        <f>"20190312154729572"</f>
        <v>20190312154729572</v>
      </c>
      <c r="B6268" t="str">
        <f>"1552376849564520"</f>
        <v>1552376849564520</v>
      </c>
      <c r="C6268" t="s">
        <v>40</v>
      </c>
      <c r="D6268">
        <v>4.6609179999999997</v>
      </c>
      <c r="E6268">
        <v>0.53659609999999902</v>
      </c>
      <c r="F6268" t="s">
        <v>41</v>
      </c>
      <c r="G6268">
        <v>-187.97229999999999</v>
      </c>
      <c r="H6268">
        <v>1.0360910000000001</v>
      </c>
      <c r="I6268">
        <v>94.680639999999997</v>
      </c>
      <c r="J6268">
        <v>-188.0994</v>
      </c>
      <c r="K6268">
        <v>1.1100909999999999</v>
      </c>
      <c r="L6268">
        <v>94.050449999999998</v>
      </c>
      <c r="M6268">
        <v>-3.9117860000000004E-3</v>
      </c>
      <c r="N6268">
        <v>0</v>
      </c>
      <c r="O6268">
        <v>0.99989629999999996</v>
      </c>
      <c r="P6268">
        <v>5.0029690000000002E-2</v>
      </c>
      <c r="Q6268">
        <v>2.6808530000000001E-2</v>
      </c>
      <c r="R6268">
        <v>0.99838789999999999</v>
      </c>
      <c r="S6268">
        <v>0.43092350000000001</v>
      </c>
      <c r="T6268">
        <v>-0.25329580000000002</v>
      </c>
      <c r="U6268">
        <v>2.9906920000000001</v>
      </c>
      <c r="V6268">
        <v>5.3933990000000001E-2</v>
      </c>
      <c r="W6268">
        <v>4.0639000000000002E-2</v>
      </c>
      <c r="X6268">
        <v>0.99771719999999997</v>
      </c>
      <c r="Y6268">
        <v>0.14598820000000001</v>
      </c>
      <c r="Z6268">
        <v>-8.3511290000000002E-2</v>
      </c>
      <c r="AA6268">
        <v>0.98575520000000005</v>
      </c>
      <c r="AB6268">
        <v>25</v>
      </c>
      <c r="AC6268">
        <v>0.12710000000001201</v>
      </c>
      <c r="AD6268">
        <v>-7.3999999999999802E-2</v>
      </c>
      <c r="AE6268">
        <v>0.63018999999999803</v>
      </c>
      <c r="AF6268">
        <v>0.12787019685741099</v>
      </c>
      <c r="AG6268">
        <v>-7.3999999999999802E-2</v>
      </c>
      <c r="AH6268">
        <v>0.62145389332031697</v>
      </c>
      <c r="AI6268">
        <v>96.6524805012792</v>
      </c>
      <c r="AJ6268">
        <v>78.373105223243797</v>
      </c>
      <c r="AK6268">
        <v>0.63877361308004299</v>
      </c>
      <c r="AL6268">
        <v>87.670915441816604</v>
      </c>
      <c r="AM6268">
        <v>86.905751235797197</v>
      </c>
      <c r="AN6268">
        <v>1.0000000073870701</v>
      </c>
    </row>
    <row r="6269" spans="1:40" x14ac:dyDescent="0.25">
      <c r="A6269" t="str">
        <f>"20190312154729597"</f>
        <v>20190312154729597</v>
      </c>
      <c r="B6269" t="str">
        <f>"1552376849584041"</f>
        <v>1552376849584041</v>
      </c>
      <c r="C6269" t="s">
        <v>40</v>
      </c>
      <c r="D6269">
        <v>4.6650609999999997</v>
      </c>
      <c r="E6269">
        <v>0.5362595</v>
      </c>
      <c r="F6269" t="s">
        <v>41</v>
      </c>
      <c r="G6269">
        <v>-187.97640000000001</v>
      </c>
      <c r="H6269">
        <v>1.036403</v>
      </c>
      <c r="I6269">
        <v>94.902100000000004</v>
      </c>
      <c r="J6269">
        <v>-188.10050000000001</v>
      </c>
      <c r="K6269">
        <v>1.1100969999999999</v>
      </c>
      <c r="L6269">
        <v>94.322239999999994</v>
      </c>
      <c r="M6269">
        <v>-3.9556859999999999E-3</v>
      </c>
      <c r="N6269">
        <v>0</v>
      </c>
      <c r="O6269">
        <v>0.99989620000000001</v>
      </c>
      <c r="P6269">
        <v>5.1388839999999998E-2</v>
      </c>
      <c r="Q6269">
        <v>2.6414690000000001E-2</v>
      </c>
      <c r="R6269">
        <v>0.99832929999999998</v>
      </c>
      <c r="S6269">
        <v>0.43165589999999998</v>
      </c>
      <c r="T6269">
        <v>-0.25873370000000001</v>
      </c>
      <c r="U6269">
        <v>2.990173</v>
      </c>
      <c r="V6269">
        <v>5.5336799999999998E-2</v>
      </c>
      <c r="W6269">
        <v>4.024117E-2</v>
      </c>
      <c r="X6269">
        <v>0.99765649999999995</v>
      </c>
      <c r="Y6269">
        <v>0.1462706</v>
      </c>
      <c r="Z6269">
        <v>-8.5302420000000004E-2</v>
      </c>
      <c r="AA6269">
        <v>0.98555990000000004</v>
      </c>
      <c r="AB6269">
        <v>25</v>
      </c>
      <c r="AC6269">
        <v>0.124099999999998</v>
      </c>
      <c r="AD6269">
        <v>-7.3693999999999898E-2</v>
      </c>
      <c r="AE6269">
        <v>0.57985999999999605</v>
      </c>
      <c r="AF6269">
        <v>0.124470632673278</v>
      </c>
      <c r="AG6269">
        <v>-7.3693999999999898E-2</v>
      </c>
      <c r="AH6269">
        <v>0.57055273322087596</v>
      </c>
      <c r="AI6269">
        <v>97.192387374887204</v>
      </c>
      <c r="AJ6269">
        <v>77.693287865525903</v>
      </c>
      <c r="AK6269">
        <v>0.58860357238118999</v>
      </c>
      <c r="AL6269">
        <v>87.693728072239693</v>
      </c>
      <c r="AM6269">
        <v>86.825240352685796</v>
      </c>
      <c r="AN6269">
        <v>1.00000000259472</v>
      </c>
    </row>
    <row r="6270" spans="1:40" x14ac:dyDescent="0.25">
      <c r="A6270" t="str">
        <f>"20190312154729621"</f>
        <v>20190312154729621</v>
      </c>
      <c r="B6270" t="str">
        <f>"1552376849614296"</f>
        <v>1552376849614296</v>
      </c>
      <c r="C6270" t="s">
        <v>40</v>
      </c>
      <c r="D6270">
        <v>4.6654809999999998</v>
      </c>
      <c r="E6270">
        <v>0.53595159999999997</v>
      </c>
      <c r="F6270" t="s">
        <v>41</v>
      </c>
      <c r="G6270">
        <v>-187.98410000000001</v>
      </c>
      <c r="H6270">
        <v>1.0396780000000001</v>
      </c>
      <c r="I6270">
        <v>95.125370000000004</v>
      </c>
      <c r="J6270">
        <v>-188.10149999999999</v>
      </c>
      <c r="K6270">
        <v>1.11009</v>
      </c>
      <c r="L6270">
        <v>94.581180000000003</v>
      </c>
      <c r="M6270">
        <v>-3.9903200000000003E-3</v>
      </c>
      <c r="N6270">
        <v>0</v>
      </c>
      <c r="O6270">
        <v>0.99989609999999995</v>
      </c>
      <c r="P6270">
        <v>5.2200509999999999E-2</v>
      </c>
      <c r="Q6270">
        <v>2.6208479999999999E-2</v>
      </c>
      <c r="R6270">
        <v>0.99829259999999997</v>
      </c>
      <c r="S6270">
        <v>0.43254090000000001</v>
      </c>
      <c r="T6270">
        <v>-0.26218799999999998</v>
      </c>
      <c r="U6270">
        <v>2.9896850000000001</v>
      </c>
      <c r="V6270">
        <v>5.6183249999999997E-2</v>
      </c>
      <c r="W6270">
        <v>4.0031530000000003E-2</v>
      </c>
      <c r="X6270">
        <v>0.99761759999999999</v>
      </c>
      <c r="Y6270">
        <v>0.14659929999999999</v>
      </c>
      <c r="Z6270">
        <v>-8.6442599999999994E-2</v>
      </c>
      <c r="AA6270">
        <v>0.98541179999999995</v>
      </c>
      <c r="AB6270">
        <v>25</v>
      </c>
      <c r="AC6270">
        <v>0.117399999999975</v>
      </c>
      <c r="AD6270">
        <v>-7.0411999999999905E-2</v>
      </c>
      <c r="AE6270">
        <v>0.54418999999998596</v>
      </c>
      <c r="AF6270">
        <v>0.117688119806054</v>
      </c>
      <c r="AG6270">
        <v>-7.0411999999999905E-2</v>
      </c>
      <c r="AH6270">
        <v>0.53515631225500304</v>
      </c>
      <c r="AI6270">
        <v>97.322501900262694</v>
      </c>
      <c r="AJ6270">
        <v>77.597306582644194</v>
      </c>
      <c r="AK6270">
        <v>0.552449655474468</v>
      </c>
      <c r="AL6270">
        <v>87.705749190431305</v>
      </c>
      <c r="AM6270">
        <v>86.776654384527006</v>
      </c>
      <c r="AN6270">
        <v>0.99999997840223098</v>
      </c>
    </row>
    <row r="6271" spans="1:40" x14ac:dyDescent="0.25">
      <c r="A6271" t="str">
        <f>"20190312154729646"</f>
        <v>20190312154729646</v>
      </c>
      <c r="B6271" t="str">
        <f>"1552376849634792"</f>
        <v>1552376849634792</v>
      </c>
      <c r="C6271" t="s">
        <v>40</v>
      </c>
      <c r="D6271">
        <v>4.6358319999999997</v>
      </c>
      <c r="E6271">
        <v>0.53593389999999996</v>
      </c>
      <c r="F6271" t="s">
        <v>41</v>
      </c>
      <c r="G6271">
        <v>-187.9905</v>
      </c>
      <c r="H6271">
        <v>1.042483</v>
      </c>
      <c r="I6271">
        <v>95.348129999999998</v>
      </c>
      <c r="J6271">
        <v>-188.1027</v>
      </c>
      <c r="K6271">
        <v>1.11008</v>
      </c>
      <c r="L6271">
        <v>94.849699999999999</v>
      </c>
      <c r="M6271">
        <v>-4.015312E-3</v>
      </c>
      <c r="N6271">
        <v>0</v>
      </c>
      <c r="O6271">
        <v>0.99989600000000001</v>
      </c>
      <c r="P6271">
        <v>5.2972949999999998E-2</v>
      </c>
      <c r="Q6271">
        <v>2.5991029999999998E-2</v>
      </c>
      <c r="R6271">
        <v>0.99825759999999997</v>
      </c>
      <c r="S6271">
        <v>0.43266300000000002</v>
      </c>
      <c r="T6271">
        <v>-0.26351590000000003</v>
      </c>
      <c r="U6271">
        <v>2.9894409999999998</v>
      </c>
      <c r="V6271">
        <v>5.6981179999999999E-2</v>
      </c>
      <c r="W6271">
        <v>3.9809499999999998E-2</v>
      </c>
      <c r="X6271">
        <v>0.99758119999999995</v>
      </c>
      <c r="Y6271">
        <v>0.14666940000000001</v>
      </c>
      <c r="Z6271">
        <v>-8.6883370000000001E-2</v>
      </c>
      <c r="AA6271">
        <v>0.98536250000000003</v>
      </c>
      <c r="AB6271">
        <v>25</v>
      </c>
      <c r="AC6271">
        <v>0.11220000000000099</v>
      </c>
      <c r="AD6271">
        <v>-6.7596999999999893E-2</v>
      </c>
      <c r="AE6271">
        <v>0.49842999999999799</v>
      </c>
      <c r="AF6271">
        <v>0.112235874460642</v>
      </c>
      <c r="AG6271">
        <v>-6.7596999999999893E-2</v>
      </c>
      <c r="AH6271">
        <v>0.48940800200861101</v>
      </c>
      <c r="AI6271">
        <v>97.667355287166203</v>
      </c>
      <c r="AJ6271">
        <v>77.083707252057906</v>
      </c>
      <c r="AK6271">
        <v>0.50664231796703096</v>
      </c>
      <c r="AL6271">
        <v>87.718480658661406</v>
      </c>
      <c r="AM6271">
        <v>86.730855111324502</v>
      </c>
      <c r="AN6271">
        <v>0.99999995087894</v>
      </c>
    </row>
    <row r="6272" spans="1:40" x14ac:dyDescent="0.25">
      <c r="A6272" t="str">
        <f>"20190312154729686"</f>
        <v>20190312154729686</v>
      </c>
      <c r="B6272" t="str">
        <f>"1552376849674808"</f>
        <v>1552376849674808</v>
      </c>
      <c r="C6272" t="s">
        <v>40</v>
      </c>
      <c r="D6272">
        <v>4.6496750000000002</v>
      </c>
      <c r="E6272">
        <v>0.53586820000000002</v>
      </c>
      <c r="F6272" t="s">
        <v>41</v>
      </c>
      <c r="G6272">
        <v>-187.96690000000001</v>
      </c>
      <c r="H6272">
        <v>1.029145</v>
      </c>
      <c r="I6272">
        <v>95.781739999999999</v>
      </c>
      <c r="J6272">
        <v>-188.1045</v>
      </c>
      <c r="K6272">
        <v>1.110063</v>
      </c>
      <c r="L6272">
        <v>95.300290000000004</v>
      </c>
      <c r="M6272">
        <v>-4.0344639999999998E-3</v>
      </c>
      <c r="N6272">
        <v>0</v>
      </c>
      <c r="O6272">
        <v>0.99989600000000001</v>
      </c>
      <c r="P6272">
        <v>5.3727749999999998E-2</v>
      </c>
      <c r="Q6272">
        <v>2.5229689999999999E-2</v>
      </c>
      <c r="R6272">
        <v>0.99823680000000004</v>
      </c>
      <c r="S6272">
        <v>0.43504330000000002</v>
      </c>
      <c r="T6272">
        <v>-0.25955489999999998</v>
      </c>
      <c r="U6272">
        <v>2.9888919999999999</v>
      </c>
      <c r="V6272">
        <v>5.7756299999999997E-2</v>
      </c>
      <c r="W6272">
        <v>3.9041439999999997E-2</v>
      </c>
      <c r="X6272">
        <v>0.99756710000000004</v>
      </c>
      <c r="Y6272">
        <v>0.14749860000000001</v>
      </c>
      <c r="Z6272">
        <v>-8.5592409999999994E-2</v>
      </c>
      <c r="AA6272">
        <v>0.98535170000000005</v>
      </c>
      <c r="AB6272">
        <v>25</v>
      </c>
      <c r="AC6272">
        <v>0.13759999999999101</v>
      </c>
      <c r="AD6272">
        <v>-8.0918000000000004E-2</v>
      </c>
      <c r="AE6272">
        <v>0.48144999999999499</v>
      </c>
      <c r="AF6272">
        <v>0.13599009666845799</v>
      </c>
      <c r="AG6272">
        <v>-8.0918000000000004E-2</v>
      </c>
      <c r="AH6272">
        <v>0.468652102041551</v>
      </c>
      <c r="AI6272">
        <v>99.415178288415603</v>
      </c>
      <c r="AJ6272">
        <v>73.818708301689796</v>
      </c>
      <c r="AK6272">
        <v>0.49464716906484102</v>
      </c>
      <c r="AL6272">
        <v>87.762521769749497</v>
      </c>
      <c r="AM6272">
        <v>86.686436341759503</v>
      </c>
      <c r="AN6272">
        <v>1.00000007161468</v>
      </c>
    </row>
    <row r="6273" spans="1:40" x14ac:dyDescent="0.25">
      <c r="A6273" t="str">
        <f>"20190312154729707"</f>
        <v>20190312154729707</v>
      </c>
      <c r="B6273" t="str">
        <f>"1552376849694328"</f>
        <v>1552376849694328</v>
      </c>
      <c r="C6273" t="s">
        <v>40</v>
      </c>
      <c r="D6273">
        <v>4.6851289999999999</v>
      </c>
      <c r="E6273">
        <v>0.53581909999999999</v>
      </c>
      <c r="F6273" t="s">
        <v>41</v>
      </c>
      <c r="G6273">
        <v>-187.96950000000001</v>
      </c>
      <c r="H6273">
        <v>1.0308310000000001</v>
      </c>
      <c r="I6273">
        <v>96.222759999999994</v>
      </c>
      <c r="J6273">
        <v>-188.1054</v>
      </c>
      <c r="K6273">
        <v>1.1100540000000001</v>
      </c>
      <c r="L6273">
        <v>95.530119999999997</v>
      </c>
      <c r="M6273">
        <v>-4.0354730000000004E-3</v>
      </c>
      <c r="N6273">
        <v>0</v>
      </c>
      <c r="O6273">
        <v>0.99989600000000001</v>
      </c>
      <c r="P6273">
        <v>5.394695E-2</v>
      </c>
      <c r="Q6273">
        <v>2.5308509999999999E-2</v>
      </c>
      <c r="R6273">
        <v>0.99822299999999997</v>
      </c>
      <c r="S6273">
        <v>0.43713380000000002</v>
      </c>
      <c r="T6273">
        <v>-0.2566795</v>
      </c>
      <c r="U6273">
        <v>2.988251</v>
      </c>
      <c r="V6273">
        <v>5.7976850000000003E-2</v>
      </c>
      <c r="W6273">
        <v>3.9117199999999998E-2</v>
      </c>
      <c r="X6273">
        <v>0.99755130000000003</v>
      </c>
      <c r="Y6273">
        <v>0.14821609999999999</v>
      </c>
      <c r="Z6273">
        <v>-8.4660170000000007E-2</v>
      </c>
      <c r="AA6273">
        <v>0.98532459999999999</v>
      </c>
      <c r="AB6273">
        <v>25</v>
      </c>
      <c r="AC6273">
        <v>0.135899999999992</v>
      </c>
      <c r="AD6273">
        <v>-7.9223000000000002E-2</v>
      </c>
      <c r="AE6273">
        <v>0.69263999999999704</v>
      </c>
      <c r="AF6273">
        <v>0.13696883450901401</v>
      </c>
      <c r="AG6273">
        <v>-7.9223000000000002E-2</v>
      </c>
      <c r="AH6273">
        <v>0.68347583978458604</v>
      </c>
      <c r="AI6273">
        <v>96.483971381160202</v>
      </c>
      <c r="AJ6273">
        <v>78.668010122615001</v>
      </c>
      <c r="AK6273">
        <v>0.70155254181351501</v>
      </c>
      <c r="AL6273">
        <v>87.758177637502698</v>
      </c>
      <c r="AM6273">
        <v>86.673758856134299</v>
      </c>
      <c r="AN6273">
        <v>1.00000003330172</v>
      </c>
    </row>
    <row r="6274" spans="1:40" x14ac:dyDescent="0.25">
      <c r="A6274" t="str">
        <f>"20190312154729728"</f>
        <v>20190312154729728</v>
      </c>
      <c r="B6274" t="str">
        <f>"1552376849724584"</f>
        <v>1552376849724584</v>
      </c>
      <c r="C6274" t="s">
        <v>40</v>
      </c>
      <c r="D6274">
        <v>4.7153830000000001</v>
      </c>
      <c r="E6274">
        <v>0.53578440000000005</v>
      </c>
      <c r="F6274" t="s">
        <v>41</v>
      </c>
      <c r="G6274">
        <v>-187.9716</v>
      </c>
      <c r="H6274">
        <v>1.0324799999999901</v>
      </c>
      <c r="I6274">
        <v>96.443569999999994</v>
      </c>
      <c r="J6274">
        <v>-188.10640000000001</v>
      </c>
      <c r="K6274">
        <v>1.1100559999999999</v>
      </c>
      <c r="L6274">
        <v>95.765810000000002</v>
      </c>
      <c r="M6274">
        <v>-4.0306559999999996E-3</v>
      </c>
      <c r="N6274">
        <v>0</v>
      </c>
      <c r="O6274">
        <v>0.99989609999999995</v>
      </c>
      <c r="P6274">
        <v>5.4512739999999997E-2</v>
      </c>
      <c r="Q6274">
        <v>2.5978319999999999E-2</v>
      </c>
      <c r="R6274">
        <v>0.99817509999999998</v>
      </c>
      <c r="S6274">
        <v>0.43756099999999998</v>
      </c>
      <c r="T6274">
        <v>-0.25377139999999998</v>
      </c>
      <c r="U6274">
        <v>2.9881289999999998</v>
      </c>
      <c r="V6274">
        <v>5.8537909999999999E-2</v>
      </c>
      <c r="W6274">
        <v>3.9783770000000003E-2</v>
      </c>
      <c r="X6274">
        <v>0.99749209999999999</v>
      </c>
      <c r="Y6274">
        <v>0.14836669999999999</v>
      </c>
      <c r="Z6274">
        <v>-8.3709389999999995E-2</v>
      </c>
      <c r="AA6274">
        <v>0.98538320000000001</v>
      </c>
      <c r="AB6274">
        <v>25</v>
      </c>
      <c r="AC6274">
        <v>0.13480000000001199</v>
      </c>
      <c r="AD6274">
        <v>-7.7576000000000006E-2</v>
      </c>
      <c r="AE6274">
        <v>0.67775999999999204</v>
      </c>
      <c r="AF6274">
        <v>0.13581932979321401</v>
      </c>
      <c r="AG6274">
        <v>-7.7576000000000006E-2</v>
      </c>
      <c r="AH6274">
        <v>0.66878281792333905</v>
      </c>
      <c r="AI6274">
        <v>96.4852771055304</v>
      </c>
      <c r="AJ6274">
        <v>78.520244959808196</v>
      </c>
      <c r="AK6274">
        <v>0.68682995251442003</v>
      </c>
      <c r="AL6274">
        <v>87.719956074254895</v>
      </c>
      <c r="AM6274">
        <v>86.641444252646806</v>
      </c>
      <c r="AN6274">
        <v>0.999999962412494</v>
      </c>
    </row>
    <row r="6275" spans="1:40" x14ac:dyDescent="0.25">
      <c r="A6275" t="str">
        <f>"20190312154729750"</f>
        <v>20190312154729750</v>
      </c>
      <c r="B6275" t="str">
        <f>"1552376849744104"</f>
        <v>1552376849744104</v>
      </c>
      <c r="C6275" t="s">
        <v>40</v>
      </c>
      <c r="D6275">
        <v>4.7694169999999998</v>
      </c>
      <c r="E6275">
        <v>0.53579739999999998</v>
      </c>
      <c r="F6275" t="s">
        <v>41</v>
      </c>
      <c r="G6275">
        <v>-187.9743</v>
      </c>
      <c r="H6275">
        <v>1.035118</v>
      </c>
      <c r="I6275">
        <v>96.665059999999997</v>
      </c>
      <c r="J6275">
        <v>-188.10730000000001</v>
      </c>
      <c r="K6275">
        <v>1.1100540000000001</v>
      </c>
      <c r="L6275">
        <v>96.013000000000005</v>
      </c>
      <c r="M6275">
        <v>-4.0128400000000002E-3</v>
      </c>
      <c r="N6275">
        <v>0</v>
      </c>
      <c r="O6275">
        <v>0.99989620000000001</v>
      </c>
      <c r="P6275">
        <v>5.514732E-2</v>
      </c>
      <c r="Q6275">
        <v>2.6624510000000001E-2</v>
      </c>
      <c r="R6275">
        <v>0.99812319999999999</v>
      </c>
      <c r="S6275">
        <v>0.4387817</v>
      </c>
      <c r="T6275">
        <v>-0.24902179999999999</v>
      </c>
      <c r="U6275">
        <v>2.9880070000000001</v>
      </c>
      <c r="V6275">
        <v>5.9155050000000001E-2</v>
      </c>
      <c r="W6275">
        <v>4.0425559999999999E-2</v>
      </c>
      <c r="X6275">
        <v>0.99742989999999998</v>
      </c>
      <c r="Y6275">
        <v>0.14876779999999901</v>
      </c>
      <c r="Z6275">
        <v>-8.2151870000000002E-2</v>
      </c>
      <c r="AA6275">
        <v>0.98545380000000005</v>
      </c>
      <c r="AB6275">
        <v>25</v>
      </c>
      <c r="AC6275">
        <v>0.133000000000009</v>
      </c>
      <c r="AD6275">
        <v>-7.49360000000001E-2</v>
      </c>
      <c r="AE6275">
        <v>0.65206000000000497</v>
      </c>
      <c r="AF6275">
        <v>0.13391777602465699</v>
      </c>
      <c r="AG6275">
        <v>-7.49360000000001E-2</v>
      </c>
      <c r="AH6275">
        <v>0.64336343703843002</v>
      </c>
      <c r="AI6275">
        <v>96.5054083567275</v>
      </c>
      <c r="AJ6275">
        <v>78.2416356026215</v>
      </c>
      <c r="AK6275">
        <v>0.66141204022098998</v>
      </c>
      <c r="AL6275">
        <v>87.683154637177907</v>
      </c>
      <c r="AM6275">
        <v>86.605907631469094</v>
      </c>
      <c r="AN6275">
        <v>0.99999997562791199</v>
      </c>
    </row>
    <row r="6276" spans="1:40" x14ac:dyDescent="0.25">
      <c r="A6276" t="str">
        <f>"20190312154729774"</f>
        <v>20190312154729774</v>
      </c>
      <c r="B6276" t="str">
        <f>"1552376849764601"</f>
        <v>1552376849764601</v>
      </c>
      <c r="C6276" t="s">
        <v>40</v>
      </c>
      <c r="D6276">
        <v>4.9009839999999896</v>
      </c>
      <c r="E6276">
        <v>0.56228520000000004</v>
      </c>
      <c r="F6276" t="s">
        <v>41</v>
      </c>
      <c r="G6276">
        <v>-187.97839999999999</v>
      </c>
      <c r="H6276">
        <v>1.0376639999999999</v>
      </c>
      <c r="I6276">
        <v>96.885990000000007</v>
      </c>
      <c r="J6276">
        <v>-188.10830000000001</v>
      </c>
      <c r="K6276">
        <v>1.110036</v>
      </c>
      <c r="L6276">
        <v>96.276859999999999</v>
      </c>
      <c r="M6276">
        <v>-3.97037E-3</v>
      </c>
      <c r="N6276">
        <v>0</v>
      </c>
      <c r="O6276">
        <v>0.99989640000000002</v>
      </c>
      <c r="P6276">
        <v>5.6112889999999999E-2</v>
      </c>
      <c r="Q6276">
        <v>2.6743989999999999E-2</v>
      </c>
      <c r="R6276">
        <v>0.99806620000000001</v>
      </c>
      <c r="S6276">
        <v>0.44094850000000002</v>
      </c>
      <c r="T6276">
        <v>-0.24777270000000001</v>
      </c>
      <c r="U6276">
        <v>2.9878849999999999</v>
      </c>
      <c r="V6276">
        <v>6.0079319999999999E-2</v>
      </c>
      <c r="W6276">
        <v>4.0539899999999997E-2</v>
      </c>
      <c r="X6276">
        <v>0.99737010000000004</v>
      </c>
      <c r="Y6276">
        <v>0.14943600000000001</v>
      </c>
      <c r="Z6276">
        <v>-8.1737489999999996E-2</v>
      </c>
      <c r="AA6276">
        <v>0.98538709999999996</v>
      </c>
      <c r="AB6276">
        <v>25</v>
      </c>
      <c r="AC6276">
        <v>0.12990000000002</v>
      </c>
      <c r="AD6276">
        <v>-7.2372000000000103E-2</v>
      </c>
      <c r="AE6276">
        <v>0.60913000000000705</v>
      </c>
      <c r="AF6276">
        <v>0.130554893071512</v>
      </c>
      <c r="AG6276">
        <v>-7.2372000000000103E-2</v>
      </c>
      <c r="AH6276">
        <v>0.60050127434421896</v>
      </c>
      <c r="AI6276">
        <v>96.716681077761606</v>
      </c>
      <c r="AJ6276">
        <v>77.734211539674106</v>
      </c>
      <c r="AK6276">
        <v>0.61877626568732003</v>
      </c>
      <c r="AL6276">
        <v>87.676598264191497</v>
      </c>
      <c r="AM6276">
        <v>86.552797237519101</v>
      </c>
      <c r="AN6276">
        <v>1.0000000622788301</v>
      </c>
    </row>
    <row r="6277" spans="1:40" x14ac:dyDescent="0.25">
      <c r="A6277" t="str">
        <f>"20190312154729797"</f>
        <v>20190312154729797</v>
      </c>
      <c r="B6277" t="str">
        <f>"1552376849784120"</f>
        <v>1552376849784120</v>
      </c>
      <c r="C6277" t="s">
        <v>40</v>
      </c>
      <c r="D6277">
        <v>4.9469949999999896</v>
      </c>
      <c r="E6277">
        <v>0.56672259999999997</v>
      </c>
      <c r="F6277" t="s">
        <v>42</v>
      </c>
      <c r="G6277">
        <v>-184.73099999999999</v>
      </c>
      <c r="H6277" s="1">
        <v>-2.0661279999999999E-6</v>
      </c>
      <c r="I6277">
        <v>111.5998</v>
      </c>
      <c r="J6277">
        <v>-188.10929999999999</v>
      </c>
      <c r="K6277">
        <v>1.11002</v>
      </c>
      <c r="L6277">
        <v>96.524379999999994</v>
      </c>
      <c r="M6277">
        <v>-3.9006930000000002E-3</v>
      </c>
      <c r="N6277">
        <v>0</v>
      </c>
      <c r="O6277">
        <v>0.99989680000000003</v>
      </c>
      <c r="P6277">
        <v>5.7200790000000001E-2</v>
      </c>
      <c r="Q6277">
        <v>2.599607E-2</v>
      </c>
      <c r="R6277">
        <v>0.99802420000000003</v>
      </c>
      <c r="S6277">
        <v>0.65565490000000004</v>
      </c>
      <c r="T6277">
        <v>-0.215498</v>
      </c>
      <c r="U6277">
        <v>2.9747309999999998</v>
      </c>
      <c r="V6277">
        <v>6.1099510000000003E-2</v>
      </c>
      <c r="W6277">
        <v>3.9785189999999998E-2</v>
      </c>
      <c r="X6277">
        <v>0.99733850000000002</v>
      </c>
      <c r="Y6277">
        <v>0.2185136</v>
      </c>
      <c r="Z6277">
        <v>-7.0537429999999998E-2</v>
      </c>
      <c r="AA6277">
        <v>0.97328119999999996</v>
      </c>
      <c r="AB6277">
        <v>25</v>
      </c>
      <c r="AC6277">
        <v>3.3782999999999901</v>
      </c>
      <c r="AD6277">
        <v>-1.110022066128</v>
      </c>
      <c r="AE6277">
        <v>15.0754199999999</v>
      </c>
      <c r="AF6277">
        <v>3.4194322934712198</v>
      </c>
      <c r="AG6277">
        <v>-1.110022066128</v>
      </c>
      <c r="AH6277">
        <v>14.984770122551501</v>
      </c>
      <c r="AI6277">
        <v>94.130741163733603</v>
      </c>
      <c r="AJ6277">
        <v>77.145559988973005</v>
      </c>
      <c r="AK6277">
        <v>15.4099968144915</v>
      </c>
      <c r="AL6277">
        <v>87.719874843947096</v>
      </c>
      <c r="AM6277">
        <v>86.494295226668399</v>
      </c>
      <c r="AN6277">
        <v>1.0000000475239099</v>
      </c>
    </row>
    <row r="6278" spans="1:40" x14ac:dyDescent="0.25">
      <c r="A6278" t="str">
        <f>"20190312154729820"</f>
        <v>20190312154729820</v>
      </c>
      <c r="B6278" t="str">
        <f>"1552376849804615"</f>
        <v>1552376849804615</v>
      </c>
      <c r="C6278" t="s">
        <v>40</v>
      </c>
      <c r="D6278">
        <v>4.9352150000000004</v>
      </c>
      <c r="E6278">
        <v>0.56847040000000004</v>
      </c>
      <c r="F6278" t="s">
        <v>42</v>
      </c>
      <c r="G6278">
        <v>-184.6747</v>
      </c>
      <c r="H6278" s="1">
        <v>-1.956651E-6</v>
      </c>
      <c r="I6278">
        <v>111.2341</v>
      </c>
      <c r="J6278">
        <v>-188.11009999999999</v>
      </c>
      <c r="K6278">
        <v>1.109993</v>
      </c>
      <c r="L6278">
        <v>96.772580000000005</v>
      </c>
      <c r="M6278">
        <v>-3.7936659999999998E-3</v>
      </c>
      <c r="N6278">
        <v>0</v>
      </c>
      <c r="O6278">
        <v>0.99989720000000004</v>
      </c>
      <c r="P6278">
        <v>5.8530640000000002E-2</v>
      </c>
      <c r="Q6278">
        <v>2.5648480000000001E-2</v>
      </c>
      <c r="R6278">
        <v>0.99795610000000001</v>
      </c>
      <c r="S6278">
        <v>0.69392399999999999</v>
      </c>
      <c r="T6278">
        <v>-0.22427369999999999</v>
      </c>
      <c r="U6278">
        <v>2.9720149999999999</v>
      </c>
      <c r="V6278">
        <v>6.2324989999999997E-2</v>
      </c>
      <c r="W6278">
        <v>3.9429760000000001E-2</v>
      </c>
      <c r="X6278">
        <v>0.99727670000000002</v>
      </c>
      <c r="Y6278">
        <v>0.23045260000000001</v>
      </c>
      <c r="Z6278">
        <v>-7.3254689999999997E-2</v>
      </c>
      <c r="AA6278">
        <v>0.97032229999999997</v>
      </c>
      <c r="AB6278">
        <v>24</v>
      </c>
      <c r="AC6278">
        <v>3.43539999999998</v>
      </c>
      <c r="AD6278">
        <v>-1.1099949566509999</v>
      </c>
      <c r="AE6278">
        <v>14.461519999999901</v>
      </c>
      <c r="AF6278">
        <v>3.4708868146873</v>
      </c>
      <c r="AG6278">
        <v>-1.1099949566509999</v>
      </c>
      <c r="AH6278">
        <v>14.3682553401469</v>
      </c>
      <c r="AI6278">
        <v>94.294471450345995</v>
      </c>
      <c r="AJ6278">
        <v>76.419440170356694</v>
      </c>
      <c r="AK6278">
        <v>14.8231543742829</v>
      </c>
      <c r="AL6278">
        <v>87.740255284057298</v>
      </c>
      <c r="AM6278">
        <v>86.423940537402899</v>
      </c>
      <c r="AN6278">
        <v>0.99999996335752295</v>
      </c>
    </row>
    <row r="6279" spans="1:40" x14ac:dyDescent="0.25">
      <c r="A6279" t="str">
        <f>"20190312154729841"</f>
        <v>20190312154729841</v>
      </c>
      <c r="B6279" t="str">
        <f>"1552376849834872"</f>
        <v>1552376849834872</v>
      </c>
      <c r="C6279" t="s">
        <v>40</v>
      </c>
      <c r="D6279">
        <v>4.9965519999999897</v>
      </c>
      <c r="E6279">
        <v>0.56929479999999999</v>
      </c>
      <c r="F6279" t="s">
        <v>42</v>
      </c>
      <c r="G6279">
        <v>-184.7585</v>
      </c>
      <c r="H6279" s="1">
        <v>-1.7765320000000001E-6</v>
      </c>
      <c r="I6279">
        <v>110.77030000000001</v>
      </c>
      <c r="J6279">
        <v>-188.11080000000001</v>
      </c>
      <c r="K6279">
        <v>1.10996299999999</v>
      </c>
      <c r="L6279">
        <v>97.003050000000002</v>
      </c>
      <c r="M6279">
        <v>-3.6543690000000002E-3</v>
      </c>
      <c r="N6279">
        <v>0</v>
      </c>
      <c r="O6279">
        <v>0.9998977</v>
      </c>
      <c r="P6279">
        <v>6.0312039999999997E-2</v>
      </c>
      <c r="Q6279">
        <v>2.6008070000000001E-2</v>
      </c>
      <c r="R6279">
        <v>0.99784070000000002</v>
      </c>
      <c r="S6279">
        <v>0.71124270000000001</v>
      </c>
      <c r="T6279">
        <v>-0.23555419999999999</v>
      </c>
      <c r="U6279">
        <v>2.9704899999999999</v>
      </c>
      <c r="V6279">
        <v>6.3969960000000006E-2</v>
      </c>
      <c r="W6279">
        <v>3.9780429999999999E-2</v>
      </c>
      <c r="X6279">
        <v>0.99715860000000001</v>
      </c>
      <c r="Y6279">
        <v>0.23571829999999999</v>
      </c>
      <c r="Z6279">
        <v>-7.6855880000000001E-2</v>
      </c>
      <c r="AA6279">
        <v>0.96877760000000002</v>
      </c>
      <c r="AB6279">
        <v>24</v>
      </c>
      <c r="AC6279">
        <v>3.3523000000000098</v>
      </c>
      <c r="AD6279">
        <v>-1.10996477653199</v>
      </c>
      <c r="AE6279">
        <v>13.767250000000001</v>
      </c>
      <c r="AF6279">
        <v>3.3818409490215</v>
      </c>
      <c r="AG6279">
        <v>-1.10996477653199</v>
      </c>
      <c r="AH6279">
        <v>13.671016500459499</v>
      </c>
      <c r="AI6279">
        <v>94.506474301799699</v>
      </c>
      <c r="AJ6279">
        <v>76.1055036831401</v>
      </c>
      <c r="AK6279">
        <v>14.1267675766771</v>
      </c>
      <c r="AL6279">
        <v>87.7201475790893</v>
      </c>
      <c r="AM6279">
        <v>86.329377257395507</v>
      </c>
      <c r="AN6279">
        <v>0.99999995597367197</v>
      </c>
    </row>
    <row r="6280" spans="1:40" x14ac:dyDescent="0.25">
      <c r="A6280" t="str">
        <f>"20190312154729866"</f>
        <v>20190312154729866</v>
      </c>
      <c r="B6280" t="str">
        <f>"1552376849854392"</f>
        <v>1552376849854392</v>
      </c>
      <c r="C6280" t="s">
        <v>40</v>
      </c>
      <c r="D6280">
        <v>5.0038580000000001</v>
      </c>
      <c r="E6280">
        <v>0.56941419999999998</v>
      </c>
      <c r="F6280" t="s">
        <v>42</v>
      </c>
      <c r="G6280">
        <v>-184.8389</v>
      </c>
      <c r="H6280" s="1">
        <v>-1.6445519999999901E-6</v>
      </c>
      <c r="I6280">
        <v>110.4453</v>
      </c>
      <c r="J6280">
        <v>-188.11160000000001</v>
      </c>
      <c r="K6280">
        <v>1.109936</v>
      </c>
      <c r="L6280">
        <v>97.266720000000007</v>
      </c>
      <c r="M6280">
        <v>-3.4441739999999999E-3</v>
      </c>
      <c r="N6280">
        <v>0</v>
      </c>
      <c r="O6280">
        <v>0.99989850000000002</v>
      </c>
      <c r="P6280">
        <v>6.2867510000000001E-2</v>
      </c>
      <c r="Q6280">
        <v>2.6313429999999999E-2</v>
      </c>
      <c r="R6280">
        <v>0.99767490000000003</v>
      </c>
      <c r="S6280">
        <v>0.72271730000000001</v>
      </c>
      <c r="T6280">
        <v>-0.24517510000000001</v>
      </c>
      <c r="U6280">
        <v>2.9692080000000001</v>
      </c>
      <c r="V6280">
        <v>6.6318499999999905E-2</v>
      </c>
      <c r="W6280">
        <v>4.0074890000000002E-2</v>
      </c>
      <c r="X6280">
        <v>0.99699340000000003</v>
      </c>
      <c r="Y6280">
        <v>0.23908750000000001</v>
      </c>
      <c r="Z6280">
        <v>-7.9939209999999997E-2</v>
      </c>
      <c r="AA6280">
        <v>0.9677019</v>
      </c>
      <c r="AB6280">
        <v>24</v>
      </c>
      <c r="AC6280">
        <v>3.2727000000000102</v>
      </c>
      <c r="AD6280">
        <v>-1.1099376445519999</v>
      </c>
      <c r="AE6280">
        <v>13.17858</v>
      </c>
      <c r="AF6280">
        <v>3.2960518612110801</v>
      </c>
      <c r="AG6280">
        <v>-1.1099376445519999</v>
      </c>
      <c r="AH6280">
        <v>13.079836801961299</v>
      </c>
      <c r="AI6280">
        <v>94.704056284488402</v>
      </c>
      <c r="AJ6280">
        <v>75.856232529329105</v>
      </c>
      <c r="AK6280">
        <v>13.5343285837358</v>
      </c>
      <c r="AL6280">
        <v>87.703262876739402</v>
      </c>
      <c r="AM6280">
        <v>86.194377323465702</v>
      </c>
      <c r="AN6280">
        <v>0.99999998994716099</v>
      </c>
    </row>
    <row r="6281" spans="1:40" x14ac:dyDescent="0.25">
      <c r="A6281" t="str">
        <f>"20190312154729885"</f>
        <v>20190312154729885</v>
      </c>
      <c r="B6281" t="str">
        <f>"1552376849874888"</f>
        <v>1552376849874888</v>
      </c>
      <c r="C6281" t="s">
        <v>40</v>
      </c>
      <c r="D6281">
        <v>5.0364550000000001</v>
      </c>
      <c r="E6281">
        <v>0.569748699999999</v>
      </c>
      <c r="F6281" t="s">
        <v>42</v>
      </c>
      <c r="G6281">
        <v>-184.8347</v>
      </c>
      <c r="H6281" s="1">
        <v>-1.688938E-6</v>
      </c>
      <c r="I6281">
        <v>110.57250000000001</v>
      </c>
      <c r="J6281">
        <v>-188.1121</v>
      </c>
      <c r="K6281">
        <v>1.109915</v>
      </c>
      <c r="L6281">
        <v>97.481319999999997</v>
      </c>
      <c r="M6281">
        <v>-3.2357890000000002E-3</v>
      </c>
      <c r="N6281">
        <v>0</v>
      </c>
      <c r="O6281">
        <v>0.99989930000000005</v>
      </c>
      <c r="P6281">
        <v>6.5724370000000004E-2</v>
      </c>
      <c r="Q6281">
        <v>2.6632389999999999E-2</v>
      </c>
      <c r="R6281">
        <v>0.99748239999999999</v>
      </c>
      <c r="S6281">
        <v>0.73081969999999996</v>
      </c>
      <c r="T6281">
        <v>-0.24754019999999999</v>
      </c>
      <c r="U6281">
        <v>2.9674680000000002</v>
      </c>
      <c r="V6281">
        <v>6.8969370000000002E-2</v>
      </c>
      <c r="W6281">
        <v>4.0384110000000001E-2</v>
      </c>
      <c r="X6281">
        <v>0.9968011</v>
      </c>
      <c r="Y6281">
        <v>0.24149280000000001</v>
      </c>
      <c r="Z6281">
        <v>-8.0700889999999997E-2</v>
      </c>
      <c r="AA6281">
        <v>0.96704109999999999</v>
      </c>
      <c r="AB6281">
        <v>24</v>
      </c>
      <c r="AC6281">
        <v>3.2774000000000001</v>
      </c>
      <c r="AD6281">
        <v>-1.1099166889380001</v>
      </c>
      <c r="AE6281">
        <v>13.09118</v>
      </c>
      <c r="AF6281">
        <v>3.29744231918577</v>
      </c>
      <c r="AG6281">
        <v>-1.1099166889380001</v>
      </c>
      <c r="AH6281">
        <v>12.992619601561699</v>
      </c>
      <c r="AI6281">
        <v>94.733386830866706</v>
      </c>
      <c r="AJ6281">
        <v>75.7593740211978</v>
      </c>
      <c r="AK6281">
        <v>13.450397950084</v>
      </c>
      <c r="AL6281">
        <v>87.685531641143399</v>
      </c>
      <c r="AM6281">
        <v>86.041972786345994</v>
      </c>
      <c r="AN6281">
        <v>1.0000000416499399</v>
      </c>
    </row>
    <row r="6282" spans="1:40" x14ac:dyDescent="0.25">
      <c r="A6282" t="str">
        <f>"20190312154729907"</f>
        <v>20190312154729907</v>
      </c>
      <c r="B6282" t="str">
        <f>"1552376849894408"</f>
        <v>1552376849894408</v>
      </c>
      <c r="C6282" t="s">
        <v>40</v>
      </c>
      <c r="D6282">
        <v>5.0337440000000004</v>
      </c>
      <c r="E6282">
        <v>0.56988359999999905</v>
      </c>
      <c r="F6282" t="s">
        <v>42</v>
      </c>
      <c r="G6282">
        <v>-184.8407</v>
      </c>
      <c r="H6282" s="1">
        <v>-1.6839530000000001E-6</v>
      </c>
      <c r="I6282">
        <v>110.5625</v>
      </c>
      <c r="J6282">
        <v>-188.11250000000001</v>
      </c>
      <c r="K6282">
        <v>1.109901</v>
      </c>
      <c r="L6282">
        <v>97.722409999999996</v>
      </c>
      <c r="M6282">
        <v>-2.9710560000000001E-3</v>
      </c>
      <c r="N6282">
        <v>0</v>
      </c>
      <c r="O6282">
        <v>0.99990009999999996</v>
      </c>
      <c r="P6282">
        <v>6.903128E-2</v>
      </c>
      <c r="Q6282">
        <v>2.7676849999999999E-2</v>
      </c>
      <c r="R6282">
        <v>0.99723050000000002</v>
      </c>
      <c r="S6282">
        <v>0.74159240000000004</v>
      </c>
      <c r="T6282">
        <v>-0.25161090000000003</v>
      </c>
      <c r="U6282">
        <v>2.9654240000000001</v>
      </c>
      <c r="V6282">
        <v>7.2014049999999996E-2</v>
      </c>
      <c r="W6282">
        <v>4.1417500000000003E-2</v>
      </c>
      <c r="X6282">
        <v>0.99654330000000002</v>
      </c>
      <c r="Y6282">
        <v>0.24467269999999999</v>
      </c>
      <c r="Z6282">
        <v>-8.2005179999999997E-2</v>
      </c>
      <c r="AA6282">
        <v>0.96613170000000004</v>
      </c>
      <c r="AB6282">
        <v>24</v>
      </c>
      <c r="AC6282">
        <v>3.27180000000001</v>
      </c>
      <c r="AD6282">
        <v>-1.109902683953</v>
      </c>
      <c r="AE6282">
        <v>12.84009</v>
      </c>
      <c r="AF6282">
        <v>3.2868758565603202</v>
      </c>
      <c r="AG6282">
        <v>-1.109902683953</v>
      </c>
      <c r="AH6282">
        <v>12.7409165778193</v>
      </c>
      <c r="AI6282">
        <v>94.821574136520397</v>
      </c>
      <c r="AJ6282">
        <v>75.534354846181799</v>
      </c>
      <c r="AK6282">
        <v>13.204786711917601</v>
      </c>
      <c r="AL6282">
        <v>87.626273047672399</v>
      </c>
      <c r="AM6282">
        <v>85.866771371487602</v>
      </c>
      <c r="AN6282">
        <v>0.99999999073927104</v>
      </c>
    </row>
    <row r="6283" spans="1:40" x14ac:dyDescent="0.25">
      <c r="A6283" t="str">
        <f>"20190312154729929"</f>
        <v>20190312154729929</v>
      </c>
      <c r="B6283" t="str">
        <f>"1552376849914904"</f>
        <v>1552376849914904</v>
      </c>
      <c r="C6283" t="s">
        <v>40</v>
      </c>
      <c r="D6283">
        <v>5.0214629999999998</v>
      </c>
      <c r="E6283">
        <v>0.56996910000000001</v>
      </c>
      <c r="F6283" t="s">
        <v>42</v>
      </c>
      <c r="G6283">
        <v>-184.85550000000001</v>
      </c>
      <c r="H6283" s="1">
        <v>-1.676853E-6</v>
      </c>
      <c r="I6283">
        <v>110.55329999999999</v>
      </c>
      <c r="J6283">
        <v>-188.1129</v>
      </c>
      <c r="K6283">
        <v>1.109888</v>
      </c>
      <c r="L6283">
        <v>97.964600000000004</v>
      </c>
      <c r="M6283">
        <v>-2.6839889999999999E-3</v>
      </c>
      <c r="N6283">
        <v>0</v>
      </c>
      <c r="O6283">
        <v>0.99990089999999998</v>
      </c>
      <c r="P6283">
        <v>7.1409050000000002E-2</v>
      </c>
      <c r="Q6283">
        <v>2.8025129999999999E-2</v>
      </c>
      <c r="R6283">
        <v>0.99705330000000003</v>
      </c>
      <c r="S6283">
        <v>0.7522278</v>
      </c>
      <c r="T6283">
        <v>-0.25634010000000002</v>
      </c>
      <c r="U6283">
        <v>2.9633790000000002</v>
      </c>
      <c r="V6283">
        <v>7.4106630000000007E-2</v>
      </c>
      <c r="W6283">
        <v>4.1757669999999997E-2</v>
      </c>
      <c r="X6283">
        <v>0.99637569999999998</v>
      </c>
      <c r="Y6283">
        <v>0.24777930000000001</v>
      </c>
      <c r="Z6283">
        <v>-8.3521869999999998E-2</v>
      </c>
      <c r="AA6283">
        <v>0.9652096</v>
      </c>
      <c r="AB6283">
        <v>24</v>
      </c>
      <c r="AC6283">
        <v>3.2573999999999899</v>
      </c>
      <c r="AD6283">
        <v>-1.109889676853</v>
      </c>
      <c r="AE6283">
        <v>12.5886999999999</v>
      </c>
      <c r="AF6283">
        <v>3.2673753691176399</v>
      </c>
      <c r="AG6283">
        <v>-1.109889676853</v>
      </c>
      <c r="AH6283">
        <v>12.4889244879946</v>
      </c>
      <c r="AI6283">
        <v>94.913991961928502</v>
      </c>
      <c r="AJ6283">
        <v>75.338777745108999</v>
      </c>
      <c r="AK6283">
        <v>12.9568835668278</v>
      </c>
      <c r="AL6283">
        <v>87.606765925168006</v>
      </c>
      <c r="AM6283">
        <v>85.746389985121198</v>
      </c>
      <c r="AN6283">
        <v>1.00000001558213</v>
      </c>
    </row>
    <row r="6284" spans="1:40" x14ac:dyDescent="0.25">
      <c r="A6284" t="str">
        <f>"20190312154729951"</f>
        <v>20190312154729951</v>
      </c>
      <c r="B6284" t="str">
        <f>"1552376849944185"</f>
        <v>1552376849944185</v>
      </c>
      <c r="C6284" t="s">
        <v>40</v>
      </c>
      <c r="D6284">
        <v>5.0197289999999999</v>
      </c>
      <c r="E6284">
        <v>0.57008230000000004</v>
      </c>
      <c r="F6284" t="s">
        <v>42</v>
      </c>
      <c r="G6284">
        <v>-184.8391</v>
      </c>
      <c r="H6284" s="1">
        <v>-1.7397E-6</v>
      </c>
      <c r="I6284">
        <v>110.7251</v>
      </c>
      <c r="J6284">
        <v>-188.11330000000001</v>
      </c>
      <c r="K6284">
        <v>1.1098779999999999</v>
      </c>
      <c r="L6284">
        <v>98.206090000000003</v>
      </c>
      <c r="M6284">
        <v>-2.3868689999999998E-3</v>
      </c>
      <c r="N6284">
        <v>0</v>
      </c>
      <c r="O6284">
        <v>0.9999017</v>
      </c>
      <c r="P6284">
        <v>7.4078599999999994E-2</v>
      </c>
      <c r="Q6284">
        <v>2.7144939999999999E-2</v>
      </c>
      <c r="R6284">
        <v>0.99688290000000002</v>
      </c>
      <c r="S6284">
        <v>0.75985719999999901</v>
      </c>
      <c r="T6284">
        <v>-0.25760250000000001</v>
      </c>
      <c r="U6284">
        <v>2.9616699999999998</v>
      </c>
      <c r="V6284">
        <v>7.6479809999999995E-2</v>
      </c>
      <c r="W6284">
        <v>4.0870549999999999E-2</v>
      </c>
      <c r="X6284">
        <v>0.99623309999999998</v>
      </c>
      <c r="Y6284">
        <v>0.24994949999999999</v>
      </c>
      <c r="Z6284">
        <v>-8.3926940000000005E-2</v>
      </c>
      <c r="AA6284">
        <v>0.96461470000000005</v>
      </c>
      <c r="AB6284">
        <v>24</v>
      </c>
      <c r="AC6284">
        <v>3.2742</v>
      </c>
      <c r="AD6284">
        <v>-1.1098797397</v>
      </c>
      <c r="AE6284">
        <v>12.5190099999999</v>
      </c>
      <c r="AF6284">
        <v>3.2799455171961598</v>
      </c>
      <c r="AG6284">
        <v>-1.1098797397</v>
      </c>
      <c r="AH6284">
        <v>12.419791078014599</v>
      </c>
      <c r="AI6284">
        <v>94.938183037867006</v>
      </c>
      <c r="AJ6284">
        <v>75.206489382979399</v>
      </c>
      <c r="AK6284">
        <v>12.8934512855908</v>
      </c>
      <c r="AL6284">
        <v>87.657637499901597</v>
      </c>
      <c r="AM6284">
        <v>85.610071282816506</v>
      </c>
      <c r="AN6284">
        <v>0.99999997636527405</v>
      </c>
    </row>
    <row r="6285" spans="1:40" x14ac:dyDescent="0.25">
      <c r="A6285" t="str">
        <f>"20190312154729975"</f>
        <v>20190312154729975</v>
      </c>
      <c r="B6285" t="str">
        <f>"1552376849964680"</f>
        <v>1552376849964680</v>
      </c>
      <c r="C6285" t="s">
        <v>40</v>
      </c>
      <c r="D6285">
        <v>5.0393119999999998</v>
      </c>
      <c r="E6285">
        <v>0.56998870000000001</v>
      </c>
      <c r="F6285" t="s">
        <v>42</v>
      </c>
      <c r="G6285">
        <v>-184.9134</v>
      </c>
      <c r="H6285" s="1">
        <v>-1.6541569999999899E-6</v>
      </c>
      <c r="I6285">
        <v>110.5318</v>
      </c>
      <c r="J6285">
        <v>-188.11349999999999</v>
      </c>
      <c r="K6285">
        <v>1.1098709999999901</v>
      </c>
      <c r="L6285">
        <v>98.456909999999993</v>
      </c>
      <c r="M6285">
        <v>-2.075099E-3</v>
      </c>
      <c r="N6285">
        <v>0</v>
      </c>
      <c r="O6285">
        <v>0.99990250000000003</v>
      </c>
      <c r="P6285">
        <v>7.6308269999999997E-2</v>
      </c>
      <c r="Q6285">
        <v>2.5708330000000001E-2</v>
      </c>
      <c r="R6285">
        <v>0.99675279999999999</v>
      </c>
      <c r="S6285">
        <v>0.76832579999999995</v>
      </c>
      <c r="T6285">
        <v>-0.26649610000000001</v>
      </c>
      <c r="U6285">
        <v>2.9595639999999999</v>
      </c>
      <c r="V6285">
        <v>7.8397800000000004E-2</v>
      </c>
      <c r="W6285">
        <v>3.94288E-2</v>
      </c>
      <c r="X6285">
        <v>0.99614210000000003</v>
      </c>
      <c r="Y6285">
        <v>0.252337799999999</v>
      </c>
      <c r="Z6285">
        <v>-8.6804099999999995E-2</v>
      </c>
      <c r="AA6285">
        <v>0.96373779999999998</v>
      </c>
      <c r="AB6285">
        <v>24</v>
      </c>
      <c r="AC6285">
        <v>3.2000999999999902</v>
      </c>
      <c r="AD6285">
        <v>-1.1098726541570001</v>
      </c>
      <c r="AE6285">
        <v>12.07489</v>
      </c>
      <c r="AF6285">
        <v>3.1998919573072402</v>
      </c>
      <c r="AG6285">
        <v>-1.1098726541570001</v>
      </c>
      <c r="AH6285">
        <v>11.9737017430623</v>
      </c>
      <c r="AI6285">
        <v>95.117181189278895</v>
      </c>
      <c r="AJ6285">
        <v>75.037740290752794</v>
      </c>
      <c r="AK6285">
        <v>12.443498675159599</v>
      </c>
      <c r="AL6285">
        <v>87.740310333065494</v>
      </c>
      <c r="AM6285">
        <v>85.500016206446801</v>
      </c>
      <c r="AN6285">
        <v>0.99999996435334404</v>
      </c>
    </row>
    <row r="6286" spans="1:40" x14ac:dyDescent="0.25">
      <c r="A6286" t="str">
        <f>"20190312154729998"</f>
        <v>20190312154729998</v>
      </c>
      <c r="B6286" t="str">
        <f>"1552376849984201"</f>
        <v>1552376849984201</v>
      </c>
      <c r="C6286" t="s">
        <v>40</v>
      </c>
      <c r="D6286">
        <v>5.0281440000000002</v>
      </c>
      <c r="E6286">
        <v>0.56990909999999995</v>
      </c>
      <c r="F6286" t="s">
        <v>42</v>
      </c>
      <c r="G6286">
        <v>-184.9588</v>
      </c>
      <c r="H6286" s="1">
        <v>-1.6329249999999999E-6</v>
      </c>
      <c r="I6286">
        <v>110.50490000000001</v>
      </c>
      <c r="J6286">
        <v>-188.11369999999999</v>
      </c>
      <c r="K6286">
        <v>1.1098680000000001</v>
      </c>
      <c r="L6286">
        <v>98.709990000000005</v>
      </c>
      <c r="M6286">
        <v>-1.76333E-3</v>
      </c>
      <c r="N6286">
        <v>0</v>
      </c>
      <c r="O6286">
        <v>0.99990310000000004</v>
      </c>
      <c r="P6286">
        <v>7.807422E-2</v>
      </c>
      <c r="Q6286">
        <v>2.4999210000000001E-2</v>
      </c>
      <c r="R6286">
        <v>0.99663409999999997</v>
      </c>
      <c r="S6286">
        <v>0.77442929999999999</v>
      </c>
      <c r="T6286">
        <v>-0.27245019999999998</v>
      </c>
      <c r="U6286">
        <v>2.9575200000000001</v>
      </c>
      <c r="V6286">
        <v>7.9852210000000007E-2</v>
      </c>
      <c r="W6286">
        <v>3.8715050000000001E-2</v>
      </c>
      <c r="X6286">
        <v>0.99605460000000001</v>
      </c>
      <c r="Y6286">
        <v>0.25401669999999998</v>
      </c>
      <c r="Z6286">
        <v>-8.8744489999999995E-2</v>
      </c>
      <c r="AA6286">
        <v>0.96311990000000003</v>
      </c>
      <c r="AB6286">
        <v>24</v>
      </c>
      <c r="AC6286">
        <v>3.1548999999999898</v>
      </c>
      <c r="AD6286">
        <v>-1.109869632925</v>
      </c>
      <c r="AE6286">
        <v>11.79491</v>
      </c>
      <c r="AF6286">
        <v>3.1496692992622499</v>
      </c>
      <c r="AG6286">
        <v>-1.109869632925</v>
      </c>
      <c r="AH6286">
        <v>11.692709730007801</v>
      </c>
      <c r="AI6286">
        <v>95.236690427136907</v>
      </c>
      <c r="AJ6286">
        <v>74.924055286150093</v>
      </c>
      <c r="AK6286">
        <v>12.1602503315936</v>
      </c>
      <c r="AL6286">
        <v>87.7812365246659</v>
      </c>
      <c r="AM6286">
        <v>85.416485536020303</v>
      </c>
      <c r="AN6286">
        <v>0.99999999835977305</v>
      </c>
    </row>
    <row r="6287" spans="1:40" x14ac:dyDescent="0.25">
      <c r="A6287" t="str">
        <f>"20190312154730021"</f>
        <v>20190312154730021</v>
      </c>
      <c r="B6287" t="str">
        <f>"1552376850004696"</f>
        <v>1552376850004696</v>
      </c>
      <c r="C6287" t="s">
        <v>40</v>
      </c>
      <c r="D6287">
        <v>5.0424179999999996</v>
      </c>
      <c r="E6287">
        <v>0.56984259999999998</v>
      </c>
      <c r="F6287" t="s">
        <v>42</v>
      </c>
      <c r="G6287">
        <v>-184.97929999999999</v>
      </c>
      <c r="H6287" s="1">
        <v>-1.6588699999999999E-6</v>
      </c>
      <c r="I6287">
        <v>110.5972</v>
      </c>
      <c r="J6287">
        <v>-188.1138</v>
      </c>
      <c r="K6287">
        <v>1.1098600000000001</v>
      </c>
      <c r="L6287">
        <v>98.951080000000005</v>
      </c>
      <c r="M6287">
        <v>-1.4721389999999999E-3</v>
      </c>
      <c r="N6287">
        <v>0</v>
      </c>
      <c r="O6287">
        <v>0.9999036</v>
      </c>
      <c r="P6287">
        <v>7.9111840000000003E-2</v>
      </c>
      <c r="Q6287">
        <v>2.3963450000000001E-2</v>
      </c>
      <c r="R6287">
        <v>0.99657770000000001</v>
      </c>
      <c r="S6287">
        <v>0.77943419999999997</v>
      </c>
      <c r="T6287">
        <v>-0.27599220000000002</v>
      </c>
      <c r="U6287">
        <v>2.955994</v>
      </c>
      <c r="V6287">
        <v>8.0598680000000006E-2</v>
      </c>
      <c r="W6287">
        <v>3.7676300000000003E-2</v>
      </c>
      <c r="X6287">
        <v>0.99603430000000004</v>
      </c>
      <c r="Y6287">
        <v>0.25535570000000002</v>
      </c>
      <c r="Z6287">
        <v>-8.9898210000000006E-2</v>
      </c>
      <c r="AA6287">
        <v>0.96265869999999998</v>
      </c>
      <c r="AB6287">
        <v>24</v>
      </c>
      <c r="AC6287">
        <v>3.1345000000000001</v>
      </c>
      <c r="AD6287">
        <v>-1.1098616588700001</v>
      </c>
      <c r="AE6287">
        <v>11.6461199999999</v>
      </c>
      <c r="AF6287">
        <v>3.1251776229839399</v>
      </c>
      <c r="AG6287">
        <v>-1.1098616588700001</v>
      </c>
      <c r="AH6287">
        <v>11.543735301237801</v>
      </c>
      <c r="AI6287">
        <v>95.3020524392401</v>
      </c>
      <c r="AJ6287">
        <v>74.851715511808493</v>
      </c>
      <c r="AK6287">
        <v>12.0106766163307</v>
      </c>
      <c r="AL6287">
        <v>87.840795959534901</v>
      </c>
      <c r="AM6287">
        <v>85.3737294287655</v>
      </c>
      <c r="AN6287">
        <v>0.99999998878796104</v>
      </c>
    </row>
    <row r="6288" spans="1:40" x14ac:dyDescent="0.25">
      <c r="A6288" t="str">
        <f>"20190312154730065"</f>
        <v>20190312154730065</v>
      </c>
      <c r="B6288" t="str">
        <f>"1552376850054473"</f>
        <v>1552376850054473</v>
      </c>
      <c r="C6288" t="s">
        <v>40</v>
      </c>
      <c r="D6288">
        <v>5.0413769999999998</v>
      </c>
      <c r="E6288">
        <v>0.56964550000000003</v>
      </c>
      <c r="F6288" t="s">
        <v>42</v>
      </c>
      <c r="G6288">
        <v>-185.01509999999999</v>
      </c>
      <c r="H6288" s="1">
        <v>-1.6702229999999999E-6</v>
      </c>
      <c r="I6288">
        <v>110.6585</v>
      </c>
      <c r="J6288">
        <v>-188.1138</v>
      </c>
      <c r="K6288">
        <v>1.109858</v>
      </c>
      <c r="L6288">
        <v>99.420649999999995</v>
      </c>
      <c r="M6288">
        <v>-9.2248259999999996E-4</v>
      </c>
      <c r="N6288">
        <v>0</v>
      </c>
      <c r="O6288">
        <v>0.99990429999999997</v>
      </c>
      <c r="P6288">
        <v>7.8840640000000003E-2</v>
      </c>
      <c r="Q6288">
        <v>2.141028E-2</v>
      </c>
      <c r="R6288">
        <v>0.99665729999999997</v>
      </c>
      <c r="S6288">
        <v>0.78211980000000003</v>
      </c>
      <c r="T6288">
        <v>-0.28012930000000003</v>
      </c>
      <c r="U6288">
        <v>2.9549560000000001</v>
      </c>
      <c r="V6288">
        <v>7.9777780000000006E-2</v>
      </c>
      <c r="W6288">
        <v>3.5122149999999998E-2</v>
      </c>
      <c r="X6288">
        <v>0.99619369999999996</v>
      </c>
      <c r="Y6288">
        <v>0.25569399999999998</v>
      </c>
      <c r="Z6288">
        <v>-9.1250639999999994E-2</v>
      </c>
      <c r="AA6288">
        <v>0.96244160000000001</v>
      </c>
      <c r="AB6288">
        <v>24</v>
      </c>
      <c r="AC6288">
        <v>3.0987</v>
      </c>
      <c r="AD6288">
        <v>-1.1098596702229999</v>
      </c>
      <c r="AE6288">
        <v>11.23785</v>
      </c>
      <c r="AF6288">
        <v>3.08113736214227</v>
      </c>
      <c r="AG6288">
        <v>-1.1098596702229999</v>
      </c>
      <c r="AH6288">
        <v>11.134061536513601</v>
      </c>
      <c r="AI6288">
        <v>95.48760877382</v>
      </c>
      <c r="AJ6288">
        <v>74.531596225280197</v>
      </c>
      <c r="AK6288">
        <v>11.6057107593998</v>
      </c>
      <c r="AL6288">
        <v>87.987235027148799</v>
      </c>
      <c r="AM6288">
        <v>85.421376327238804</v>
      </c>
      <c r="AN6288">
        <v>0.99999997376102001</v>
      </c>
    </row>
    <row r="6289" spans="1:40" x14ac:dyDescent="0.25">
      <c r="A6289" t="str">
        <f>"20190312154730086"</f>
        <v>20190312154730086</v>
      </c>
      <c r="B6289" t="str">
        <f>"1552376850073993"</f>
        <v>1552376850073993</v>
      </c>
      <c r="C6289" t="s">
        <v>40</v>
      </c>
      <c r="D6289">
        <v>4.7777180000000001</v>
      </c>
      <c r="E6289">
        <v>0.54872980000000005</v>
      </c>
      <c r="F6289" t="s">
        <v>42</v>
      </c>
      <c r="G6289">
        <v>-185.1266</v>
      </c>
      <c r="H6289" s="1">
        <v>-1.6670220000000001E-6</v>
      </c>
      <c r="I6289">
        <v>110.7363</v>
      </c>
      <c r="J6289">
        <v>-188.11359999999999</v>
      </c>
      <c r="K6289">
        <v>1.1098589999999999</v>
      </c>
      <c r="L6289">
        <v>99.658690000000007</v>
      </c>
      <c r="M6289">
        <v>-6.4984570000000005E-4</v>
      </c>
      <c r="N6289">
        <v>0</v>
      </c>
      <c r="O6289">
        <v>0.99990460000000003</v>
      </c>
      <c r="P6289">
        <v>7.8846280000000005E-2</v>
      </c>
      <c r="Q6289">
        <v>1.97956E-2</v>
      </c>
      <c r="R6289">
        <v>0.99669019999999997</v>
      </c>
      <c r="S6289">
        <v>0.77996829999999995</v>
      </c>
      <c r="T6289">
        <v>-0.28979189999999999</v>
      </c>
      <c r="U6289">
        <v>2.95459</v>
      </c>
      <c r="V6289">
        <v>7.9510579999999997E-2</v>
      </c>
      <c r="W6289">
        <v>3.3506620000000001E-2</v>
      </c>
      <c r="X6289">
        <v>0.99627069999999995</v>
      </c>
      <c r="Y6289">
        <v>0.25472990000000001</v>
      </c>
      <c r="Z6289">
        <v>-9.4401669999999993E-2</v>
      </c>
      <c r="AA6289">
        <v>0.96239339999999995</v>
      </c>
      <c r="AB6289">
        <v>24</v>
      </c>
      <c r="AC6289">
        <v>2.9869999999999899</v>
      </c>
      <c r="AD6289">
        <v>-1.1098606670219999</v>
      </c>
      <c r="AE6289">
        <v>11.0776099999999</v>
      </c>
      <c r="AF6289">
        <v>2.9664400928626899</v>
      </c>
      <c r="AG6289">
        <v>-1.1098606670219999</v>
      </c>
      <c r="AH6289">
        <v>10.9729858002353</v>
      </c>
      <c r="AI6289">
        <v>95.576670586008404</v>
      </c>
      <c r="AJ6289">
        <v>74.872254365596802</v>
      </c>
      <c r="AK6289">
        <v>11.4209445711339</v>
      </c>
      <c r="AL6289">
        <v>88.079852620606403</v>
      </c>
      <c r="AM6289">
        <v>85.436997854177406</v>
      </c>
      <c r="AN6289">
        <v>0.999999966797124</v>
      </c>
    </row>
    <row r="6290" spans="1:40" x14ac:dyDescent="0.25">
      <c r="A6290" t="str">
        <f>"20190312154730108"</f>
        <v>20190312154730108</v>
      </c>
      <c r="B6290" t="str">
        <f>"1552376850104249"</f>
        <v>1552376850104249</v>
      </c>
      <c r="C6290" t="s">
        <v>40</v>
      </c>
      <c r="D6290">
        <v>4.8244420000000003</v>
      </c>
      <c r="E6290">
        <v>0.54534579999999999</v>
      </c>
      <c r="F6290" t="s">
        <v>42</v>
      </c>
      <c r="G6290">
        <v>-184.79329999999999</v>
      </c>
      <c r="H6290" s="1">
        <v>-3.498652E-6</v>
      </c>
      <c r="I6290">
        <v>115.6353</v>
      </c>
      <c r="J6290">
        <v>-188.11349999999999</v>
      </c>
      <c r="K6290">
        <v>1.1098619999999999</v>
      </c>
      <c r="L6290">
        <v>99.88785</v>
      </c>
      <c r="M6290">
        <v>-3.8908280000000001E-4</v>
      </c>
      <c r="N6290">
        <v>0</v>
      </c>
      <c r="O6290">
        <v>0.99990480000000004</v>
      </c>
      <c r="P6290">
        <v>7.8759309999999999E-2</v>
      </c>
      <c r="Q6290">
        <v>1.8172069999999999E-2</v>
      </c>
      <c r="R6290">
        <v>0.99672799999999995</v>
      </c>
      <c r="S6290">
        <v>0.61625669999999899</v>
      </c>
      <c r="T6290">
        <v>-0.20599310000000001</v>
      </c>
      <c r="U6290">
        <v>2.9653019999999999</v>
      </c>
      <c r="V6290">
        <v>7.9162640000000006E-2</v>
      </c>
      <c r="W6290">
        <v>3.1881949999999999E-2</v>
      </c>
      <c r="X6290">
        <v>0.99635180000000001</v>
      </c>
      <c r="Y6290">
        <v>0.20338700000000001</v>
      </c>
      <c r="Z6290">
        <v>-6.7855079999999998E-2</v>
      </c>
      <c r="AA6290">
        <v>0.97674430000000001</v>
      </c>
      <c r="AB6290">
        <v>24</v>
      </c>
      <c r="AC6290">
        <v>3.3201999999999998</v>
      </c>
      <c r="AD6290">
        <v>-1.109865498652</v>
      </c>
      <c r="AE6290">
        <v>15.747450000000001</v>
      </c>
      <c r="AF6290">
        <v>3.3105826545160002</v>
      </c>
      <c r="AG6290">
        <v>-1.109865498652</v>
      </c>
      <c r="AH6290">
        <v>15.6716244626434</v>
      </c>
      <c r="AI6290">
        <v>93.963739432749506</v>
      </c>
      <c r="AJ6290">
        <v>78.071811493278105</v>
      </c>
      <c r="AK6290">
        <v>16.055889020406301</v>
      </c>
      <c r="AL6290">
        <v>88.172989303426206</v>
      </c>
      <c r="AM6290">
        <v>85.457250124640595</v>
      </c>
      <c r="AN6290">
        <v>1.0000000458353999</v>
      </c>
    </row>
    <row r="6291" spans="1:40" x14ac:dyDescent="0.25">
      <c r="A6291" t="str">
        <f>"20190312154730130"</f>
        <v>20190312154730130</v>
      </c>
      <c r="B6291" t="str">
        <f>"1552376850124744"</f>
        <v>1552376850124744</v>
      </c>
      <c r="C6291" t="s">
        <v>40</v>
      </c>
      <c r="D6291">
        <v>4.8226000000000004</v>
      </c>
      <c r="E6291">
        <v>0.54466380000000003</v>
      </c>
      <c r="F6291" t="s">
        <v>42</v>
      </c>
      <c r="G6291">
        <v>-185.66820000000001</v>
      </c>
      <c r="H6291" s="1">
        <v>-2.0376810000000001E-6</v>
      </c>
      <c r="I6291">
        <v>112.24890000000001</v>
      </c>
      <c r="J6291">
        <v>-188.11330000000001</v>
      </c>
      <c r="K6291">
        <v>1.1098669999999999</v>
      </c>
      <c r="L6291">
        <v>100.13549999999999</v>
      </c>
      <c r="M6291">
        <v>-1.075613E-4</v>
      </c>
      <c r="N6291">
        <v>0</v>
      </c>
      <c r="O6291">
        <v>0.99990489999999999</v>
      </c>
      <c r="P6291">
        <v>7.9806580000000002E-2</v>
      </c>
      <c r="Q6291">
        <v>1.7387920000000001E-2</v>
      </c>
      <c r="R6291">
        <v>0.99665870000000001</v>
      </c>
      <c r="S6291">
        <v>0.58720399999999995</v>
      </c>
      <c r="T6291">
        <v>-0.26651619999999998</v>
      </c>
      <c r="U6291">
        <v>2.9683229999999998</v>
      </c>
      <c r="V6291">
        <v>7.9928719999999995E-2</v>
      </c>
      <c r="W6291">
        <v>3.1094130000000001E-2</v>
      </c>
      <c r="X6291">
        <v>0.99631550000000002</v>
      </c>
      <c r="Y6291">
        <v>0.1934198</v>
      </c>
      <c r="Z6291">
        <v>-8.7739269999999994E-2</v>
      </c>
      <c r="AA6291">
        <v>0.97718499999999997</v>
      </c>
      <c r="AB6291">
        <v>24</v>
      </c>
      <c r="AC6291">
        <v>2.4450999999999898</v>
      </c>
      <c r="AD6291">
        <v>-1.1098690376810001</v>
      </c>
      <c r="AE6291">
        <v>12.1134</v>
      </c>
      <c r="AF6291">
        <v>2.4268278294397301</v>
      </c>
      <c r="AG6291">
        <v>-1.1098690376810001</v>
      </c>
      <c r="AH6291">
        <v>12.0162120601758</v>
      </c>
      <c r="AI6291">
        <v>95.173244743247693</v>
      </c>
      <c r="AJ6291">
        <v>78.581973706743099</v>
      </c>
      <c r="AK6291">
        <v>12.3089664419748</v>
      </c>
      <c r="AL6291">
        <v>88.218150394449296</v>
      </c>
      <c r="AM6291">
        <v>85.413308883233</v>
      </c>
      <c r="AN6291">
        <v>1.00000001037077</v>
      </c>
    </row>
    <row r="6292" spans="1:40" x14ac:dyDescent="0.25">
      <c r="A6292" t="str">
        <f>"20190312154730152"</f>
        <v>20190312154730152</v>
      </c>
      <c r="B6292" t="str">
        <f>"1552376850144265"</f>
        <v>1552376850144265</v>
      </c>
      <c r="C6292" t="s">
        <v>40</v>
      </c>
      <c r="D6292">
        <v>4.8361239999999999</v>
      </c>
      <c r="E6292">
        <v>0.54452</v>
      </c>
      <c r="F6292" t="s">
        <v>42</v>
      </c>
      <c r="G6292">
        <v>-185.83850000000001</v>
      </c>
      <c r="H6292" s="1">
        <v>-1.8026290000000001E-6</v>
      </c>
      <c r="I6292">
        <v>111.6914</v>
      </c>
      <c r="J6292">
        <v>-188.113</v>
      </c>
      <c r="K6292">
        <v>1.1098680000000001</v>
      </c>
      <c r="L6292">
        <v>100.3573</v>
      </c>
      <c r="M6292">
        <v>1.447284E-4</v>
      </c>
      <c r="N6292">
        <v>0</v>
      </c>
      <c r="O6292">
        <v>0.99990489999999999</v>
      </c>
      <c r="P6292">
        <v>8.0528489999999994E-2</v>
      </c>
      <c r="Q6292">
        <v>1.6528910000000001E-2</v>
      </c>
      <c r="R6292">
        <v>0.99661520000000003</v>
      </c>
      <c r="S6292">
        <v>0.58430479999999996</v>
      </c>
      <c r="T6292">
        <v>-0.28508080000000002</v>
      </c>
      <c r="U6292">
        <v>2.9682309999999998</v>
      </c>
      <c r="V6292">
        <v>8.0398590000000006E-2</v>
      </c>
      <c r="W6292">
        <v>3.0232889999999998E-2</v>
      </c>
      <c r="X6292">
        <v>0.99630419999999997</v>
      </c>
      <c r="Y6292">
        <v>0.1921522</v>
      </c>
      <c r="Z6292">
        <v>-9.3821160000000001E-2</v>
      </c>
      <c r="AA6292">
        <v>0.97687009999999996</v>
      </c>
      <c r="AB6292">
        <v>24</v>
      </c>
      <c r="AC6292">
        <v>2.2744999999999802</v>
      </c>
      <c r="AD6292">
        <v>-1.1098698026289999</v>
      </c>
      <c r="AE6292">
        <v>11.334099999999999</v>
      </c>
      <c r="AF6292">
        <v>2.2521002352331001</v>
      </c>
      <c r="AG6292">
        <v>-1.1098698026289999</v>
      </c>
      <c r="AH6292">
        <v>11.2309058050977</v>
      </c>
      <c r="AI6292">
        <v>95.5343360436013</v>
      </c>
      <c r="AJ6292">
        <v>78.661035038886396</v>
      </c>
      <c r="AK6292">
        <v>11.5081280689477</v>
      </c>
      <c r="AL6292">
        <v>88.267519026750406</v>
      </c>
      <c r="AM6292">
        <v>85.386409460951896</v>
      </c>
      <c r="AN6292">
        <v>1.00000000992469</v>
      </c>
    </row>
    <row r="6293" spans="1:40" x14ac:dyDescent="0.25">
      <c r="A6293" t="str">
        <f>"20190312154730175"</f>
        <v>20190312154730175</v>
      </c>
      <c r="B6293" t="str">
        <f>"1552376850164761"</f>
        <v>1552376850164761</v>
      </c>
      <c r="C6293" t="s">
        <v>40</v>
      </c>
      <c r="D6293">
        <v>4.8194290000000004</v>
      </c>
      <c r="E6293">
        <v>0.54454199999999997</v>
      </c>
      <c r="F6293" t="s">
        <v>41</v>
      </c>
      <c r="G6293">
        <v>-187.94479999999999</v>
      </c>
      <c r="H6293">
        <v>1.024993</v>
      </c>
      <c r="I6293">
        <v>101.2089</v>
      </c>
      <c r="J6293">
        <v>-188.11259999999999</v>
      </c>
      <c r="K6293">
        <v>1.109872</v>
      </c>
      <c r="L6293">
        <v>100.61069999999999</v>
      </c>
      <c r="M6293">
        <v>4.3372179999999998E-4</v>
      </c>
      <c r="N6293">
        <v>0</v>
      </c>
      <c r="O6293">
        <v>0.99990489999999999</v>
      </c>
      <c r="P6293">
        <v>8.1259410000000004E-2</v>
      </c>
      <c r="Q6293">
        <v>1.6075519999999999E-2</v>
      </c>
      <c r="R6293">
        <v>0.99656330000000004</v>
      </c>
      <c r="S6293">
        <v>0.58525090000000002</v>
      </c>
      <c r="T6293">
        <v>-0.29583680000000001</v>
      </c>
      <c r="U6293">
        <v>2.9678040000000001</v>
      </c>
      <c r="V6293">
        <v>8.0841150000000001E-2</v>
      </c>
      <c r="W6293">
        <v>2.977629E-2</v>
      </c>
      <c r="X6293">
        <v>0.99628209999999995</v>
      </c>
      <c r="Y6293">
        <v>0.19212960000000001</v>
      </c>
      <c r="Z6293">
        <v>-9.7338330000000001E-2</v>
      </c>
      <c r="AA6293">
        <v>0.97653029999999996</v>
      </c>
      <c r="AB6293">
        <v>24</v>
      </c>
      <c r="AC6293">
        <v>0.16779999999999901</v>
      </c>
      <c r="AD6293">
        <v>-8.4878999999999899E-2</v>
      </c>
      <c r="AE6293">
        <v>0.59820000000000495</v>
      </c>
      <c r="AF6293">
        <v>0.16447076552430401</v>
      </c>
      <c r="AG6293">
        <v>-8.4878999999999899E-2</v>
      </c>
      <c r="AH6293">
        <v>0.58731094594445199</v>
      </c>
      <c r="AI6293">
        <v>97.922820420666397</v>
      </c>
      <c r="AJ6293">
        <v>74.355609514335498</v>
      </c>
      <c r="AK6293">
        <v>0.61578342343661496</v>
      </c>
      <c r="AL6293">
        <v>88.293691997126004</v>
      </c>
      <c r="AM6293">
        <v>85.361021692232001</v>
      </c>
      <c r="AN6293">
        <v>0.99999997087994696</v>
      </c>
    </row>
    <row r="6294" spans="1:40" x14ac:dyDescent="0.25">
      <c r="A6294" t="str">
        <f>"20190312154730196"</f>
        <v>20190312154730196</v>
      </c>
      <c r="B6294" t="str">
        <f>"1552376850184280"</f>
        <v>1552376850184280</v>
      </c>
      <c r="C6294" t="s">
        <v>40</v>
      </c>
      <c r="D6294">
        <v>4.7985419999999896</v>
      </c>
      <c r="E6294">
        <v>0.54478269999999995</v>
      </c>
      <c r="F6294" t="s">
        <v>41</v>
      </c>
      <c r="G6294">
        <v>-187.95189999999999</v>
      </c>
      <c r="H6294">
        <v>1.026459</v>
      </c>
      <c r="I6294">
        <v>101.42189999999999</v>
      </c>
      <c r="J6294">
        <v>-188.1122</v>
      </c>
      <c r="K6294">
        <v>1.109877</v>
      </c>
      <c r="L6294">
        <v>100.8402</v>
      </c>
      <c r="M6294">
        <v>6.9582039999999904E-4</v>
      </c>
      <c r="N6294">
        <v>0</v>
      </c>
      <c r="O6294">
        <v>0.99990480000000004</v>
      </c>
      <c r="P6294">
        <v>8.2349080000000005E-2</v>
      </c>
      <c r="Q6294">
        <v>1.6611219999999999E-2</v>
      </c>
      <c r="R6294">
        <v>0.99646509999999999</v>
      </c>
      <c r="S6294">
        <v>0.58741759999999998</v>
      </c>
      <c r="T6294">
        <v>-0.30514809999999998</v>
      </c>
      <c r="U6294">
        <v>2.9673769999999999</v>
      </c>
      <c r="V6294">
        <v>8.1669839999999994E-2</v>
      </c>
      <c r="W6294">
        <v>3.03082E-2</v>
      </c>
      <c r="X6294">
        <v>0.99619849999999999</v>
      </c>
      <c r="Y6294">
        <v>0.1925268</v>
      </c>
      <c r="Z6294">
        <v>-0.10037409999999999</v>
      </c>
      <c r="AA6294">
        <v>0.97614469999999998</v>
      </c>
      <c r="AB6294">
        <v>24</v>
      </c>
      <c r="AC6294">
        <v>0.16030000000000599</v>
      </c>
      <c r="AD6294">
        <v>-8.3417999999999895E-2</v>
      </c>
      <c r="AE6294">
        <v>0.581699999999997</v>
      </c>
      <c r="AF6294">
        <v>0.15689637174207299</v>
      </c>
      <c r="AG6294">
        <v>-8.3417999999999895E-2</v>
      </c>
      <c r="AH6294">
        <v>0.57089968785239398</v>
      </c>
      <c r="AI6294">
        <v>98.019781308169001</v>
      </c>
      <c r="AJ6294">
        <v>74.633176875810506</v>
      </c>
      <c r="AK6294">
        <v>0.59791428129773505</v>
      </c>
      <c r="AL6294">
        <v>88.263202087133607</v>
      </c>
      <c r="AM6294">
        <v>85.313287464869205</v>
      </c>
      <c r="AN6294">
        <v>1.00000000057755</v>
      </c>
    </row>
    <row r="6295" spans="1:40" x14ac:dyDescent="0.25">
      <c r="A6295" t="str">
        <f>"20190312154730221"</f>
        <v>20190312154730221</v>
      </c>
      <c r="B6295" t="str">
        <f>"1552376850214536"</f>
        <v>1552376850214536</v>
      </c>
      <c r="C6295" t="s">
        <v>40</v>
      </c>
      <c r="D6295">
        <v>4.7931540000000004</v>
      </c>
      <c r="E6295">
        <v>0.54507989999999995</v>
      </c>
      <c r="F6295" t="s">
        <v>41</v>
      </c>
      <c r="G6295">
        <v>-187.953</v>
      </c>
      <c r="H6295">
        <v>1.0274030000000001</v>
      </c>
      <c r="I6295">
        <v>101.63549999999999</v>
      </c>
      <c r="J6295">
        <v>-188.11160000000001</v>
      </c>
      <c r="K6295">
        <v>1.1098840000000001</v>
      </c>
      <c r="L6295">
        <v>101.09829999999999</v>
      </c>
      <c r="M6295">
        <v>9.9120020000000009E-4</v>
      </c>
      <c r="N6295">
        <v>0</v>
      </c>
      <c r="O6295">
        <v>0.99990449999999997</v>
      </c>
      <c r="P6295">
        <v>8.374856E-2</v>
      </c>
      <c r="Q6295">
        <v>1.7097580000000001E-2</v>
      </c>
      <c r="R6295">
        <v>0.99634020000000001</v>
      </c>
      <c r="S6295">
        <v>0.59292599999999995</v>
      </c>
      <c r="T6295">
        <v>-0.30768610000000002</v>
      </c>
      <c r="U6295">
        <v>2.9667659999999998</v>
      </c>
      <c r="V6295">
        <v>8.2775260000000003E-2</v>
      </c>
      <c r="W6295">
        <v>3.0790060000000001E-2</v>
      </c>
      <c r="X6295">
        <v>0.99609250000000005</v>
      </c>
      <c r="Y6295">
        <v>0.19400239999999999</v>
      </c>
      <c r="Z6295">
        <v>-0.10118770000000001</v>
      </c>
      <c r="AA6295">
        <v>0.97576850000000004</v>
      </c>
      <c r="AB6295">
        <v>24</v>
      </c>
      <c r="AC6295">
        <v>0.15860000000000599</v>
      </c>
      <c r="AD6295">
        <v>-8.2480999999999999E-2</v>
      </c>
      <c r="AE6295">
        <v>0.53719999999999801</v>
      </c>
      <c r="AF6295">
        <v>0.154712598466029</v>
      </c>
      <c r="AG6295">
        <v>-8.2480999999999999E-2</v>
      </c>
      <c r="AH6295">
        <v>0.52595216680784496</v>
      </c>
      <c r="AI6295">
        <v>98.5558812495794</v>
      </c>
      <c r="AJ6295">
        <v>73.608375733347799</v>
      </c>
      <c r="AK6295">
        <v>0.55440489288513495</v>
      </c>
      <c r="AL6295">
        <v>88.235580685010106</v>
      </c>
      <c r="AM6295">
        <v>85.249636908657607</v>
      </c>
      <c r="AN6295">
        <v>1.00000002000956</v>
      </c>
    </row>
    <row r="6296" spans="1:40" x14ac:dyDescent="0.25">
      <c r="A6296" t="str">
        <f>"20190312154730243"</f>
        <v>20190312154730243</v>
      </c>
      <c r="B6296" t="str">
        <f>"1552376850235033"</f>
        <v>1552376850235033</v>
      </c>
      <c r="C6296" t="s">
        <v>40</v>
      </c>
      <c r="D6296">
        <v>4.813313</v>
      </c>
      <c r="E6296">
        <v>0.54533019999999999</v>
      </c>
      <c r="F6296" t="s">
        <v>41</v>
      </c>
      <c r="G6296">
        <v>-187.95939999999999</v>
      </c>
      <c r="H6296">
        <v>1.03146</v>
      </c>
      <c r="I6296">
        <v>101.8503</v>
      </c>
      <c r="J6296">
        <v>-188.11109999999999</v>
      </c>
      <c r="K6296">
        <v>1.109896</v>
      </c>
      <c r="L6296">
        <v>101.33</v>
      </c>
      <c r="M6296">
        <v>1.256856E-3</v>
      </c>
      <c r="N6296">
        <v>0</v>
      </c>
      <c r="O6296">
        <v>0.99990429999999997</v>
      </c>
      <c r="P6296">
        <v>8.5287470000000004E-2</v>
      </c>
      <c r="Q6296">
        <v>1.7769469999999999E-2</v>
      </c>
      <c r="R6296">
        <v>0.99619789999999997</v>
      </c>
      <c r="S6296">
        <v>0.5996399</v>
      </c>
      <c r="T6296">
        <v>-0.30931839999999999</v>
      </c>
      <c r="U6296">
        <v>2.9659420000000001</v>
      </c>
      <c r="V6296">
        <v>8.4049899999999997E-2</v>
      </c>
      <c r="W6296">
        <v>3.1457300000000001E-2</v>
      </c>
      <c r="X6296">
        <v>0.99596490000000004</v>
      </c>
      <c r="Y6296">
        <v>0.195906</v>
      </c>
      <c r="Z6296">
        <v>-0.1017045</v>
      </c>
      <c r="AA6296">
        <v>0.97533429999999999</v>
      </c>
      <c r="AB6296">
        <v>24</v>
      </c>
      <c r="AC6296">
        <v>0.151700000000005</v>
      </c>
      <c r="AD6296">
        <v>-7.8435999999999895E-2</v>
      </c>
      <c r="AE6296">
        <v>0.52030000000000598</v>
      </c>
      <c r="AF6296">
        <v>0.14794705612054601</v>
      </c>
      <c r="AG6296">
        <v>-7.8435999999999895E-2</v>
      </c>
      <c r="AH6296">
        <v>0.50981202257735503</v>
      </c>
      <c r="AI6296">
        <v>98.405027951946195</v>
      </c>
      <c r="AJ6296">
        <v>73.817312067452605</v>
      </c>
      <c r="AK6296">
        <v>0.53660864312378498</v>
      </c>
      <c r="AL6296">
        <v>88.197332109743002</v>
      </c>
      <c r="AM6296">
        <v>85.176214472922595</v>
      </c>
      <c r="AN6296">
        <v>1.00000001472265</v>
      </c>
    </row>
    <row r="6297" spans="1:40" x14ac:dyDescent="0.25">
      <c r="A6297" t="str">
        <f>"20190312154730265"</f>
        <v>20190312154730265</v>
      </c>
      <c r="B6297" t="str">
        <f>"1552376850254552"</f>
        <v>1552376850254552</v>
      </c>
      <c r="C6297" t="s">
        <v>40</v>
      </c>
      <c r="D6297">
        <v>4.8048400000000004</v>
      </c>
      <c r="E6297">
        <v>0.54551470000000002</v>
      </c>
      <c r="F6297" t="s">
        <v>41</v>
      </c>
      <c r="G6297">
        <v>-187.96090000000001</v>
      </c>
      <c r="H6297">
        <v>1.0332889999999999</v>
      </c>
      <c r="I6297">
        <v>102.0641</v>
      </c>
      <c r="J6297">
        <v>-188.1105</v>
      </c>
      <c r="K6297">
        <v>1.1099049999999999</v>
      </c>
      <c r="L6297">
        <v>101.56319999999999</v>
      </c>
      <c r="M6297">
        <v>1.5244939999999999E-3</v>
      </c>
      <c r="N6297">
        <v>0</v>
      </c>
      <c r="O6297">
        <v>0.99990389999999996</v>
      </c>
      <c r="P6297">
        <v>8.6511589999999999E-2</v>
      </c>
      <c r="Q6297">
        <v>1.9193970000000001E-2</v>
      </c>
      <c r="R6297">
        <v>0.99606589999999995</v>
      </c>
      <c r="S6297">
        <v>0.60592650000000003</v>
      </c>
      <c r="T6297">
        <v>-0.30951830000000002</v>
      </c>
      <c r="U6297">
        <v>2.9650880000000002</v>
      </c>
      <c r="V6297">
        <v>8.5008169999999994E-2</v>
      </c>
      <c r="W6297">
        <v>3.2877070000000001E-2</v>
      </c>
      <c r="X6297">
        <v>0.99583770000000005</v>
      </c>
      <c r="Y6297">
        <v>0.19768269999999999</v>
      </c>
      <c r="Z6297">
        <v>-0.1017586</v>
      </c>
      <c r="AA6297">
        <v>0.97497009999999995</v>
      </c>
      <c r="AB6297">
        <v>24</v>
      </c>
      <c r="AC6297">
        <v>0.14959999999999199</v>
      </c>
      <c r="AD6297">
        <v>-7.6616000000000004E-2</v>
      </c>
      <c r="AE6297">
        <v>0.50090000000000101</v>
      </c>
      <c r="AF6297">
        <v>0.14570639521416001</v>
      </c>
      <c r="AG6297">
        <v>-7.6616000000000004E-2</v>
      </c>
      <c r="AH6297">
        <v>0.49058975043597303</v>
      </c>
      <c r="AI6297">
        <v>98.514393790566004</v>
      </c>
      <c r="AJ6297">
        <v>73.458447478422201</v>
      </c>
      <c r="AK6297">
        <v>0.51747335032360398</v>
      </c>
      <c r="AL6297">
        <v>88.115943143399605</v>
      </c>
      <c r="AM6297">
        <v>85.120861324384506</v>
      </c>
      <c r="AN6297">
        <v>1.00000000771991</v>
      </c>
    </row>
    <row r="6298" spans="1:40" x14ac:dyDescent="0.25">
      <c r="A6298" t="str">
        <f>"20190312154730286"</f>
        <v>20190312154730286</v>
      </c>
      <c r="B6298" t="str">
        <f>"1552376850275048"</f>
        <v>1552376850275048</v>
      </c>
      <c r="C6298" t="s">
        <v>40</v>
      </c>
      <c r="D6298">
        <v>4.8142559999999897</v>
      </c>
      <c r="E6298">
        <v>0.54569769999999995</v>
      </c>
      <c r="F6298" t="s">
        <v>42</v>
      </c>
      <c r="G6298">
        <v>-185.90469999999999</v>
      </c>
      <c r="H6298" s="1">
        <v>-1.9813649999999999E-6</v>
      </c>
      <c r="I6298">
        <v>112.2684</v>
      </c>
      <c r="J6298">
        <v>-188.10980000000001</v>
      </c>
      <c r="K6298">
        <v>1.1098969999999999</v>
      </c>
      <c r="L6298">
        <v>101.7933</v>
      </c>
      <c r="M6298">
        <v>1.789066E-3</v>
      </c>
      <c r="N6298">
        <v>0</v>
      </c>
      <c r="O6298">
        <v>0.99990349999999995</v>
      </c>
      <c r="P6298">
        <v>8.7545949999999997E-2</v>
      </c>
      <c r="Q6298">
        <v>1.944005E-2</v>
      </c>
      <c r="R6298">
        <v>0.99597080000000004</v>
      </c>
      <c r="S6298">
        <v>0.61088560000000003</v>
      </c>
      <c r="T6298">
        <v>-0.30738019999999999</v>
      </c>
      <c r="U6298">
        <v>2.9647220000000001</v>
      </c>
      <c r="V6298">
        <v>8.5779199999999903E-2</v>
      </c>
      <c r="W6298">
        <v>3.3120120000000003E-2</v>
      </c>
      <c r="X6298">
        <v>0.99576350000000002</v>
      </c>
      <c r="Y6298">
        <v>0.19902639999999999</v>
      </c>
      <c r="Z6298">
        <v>-0.1010445</v>
      </c>
      <c r="AA6298">
        <v>0.97477100000000005</v>
      </c>
      <c r="AB6298">
        <v>24</v>
      </c>
      <c r="AC6298">
        <v>2.2051000000000101</v>
      </c>
      <c r="AD6298">
        <v>-1.109898981365</v>
      </c>
      <c r="AE6298">
        <v>10.4750999999999</v>
      </c>
      <c r="AF6298">
        <v>2.1631001301462498</v>
      </c>
      <c r="AG6298">
        <v>-1.109898981365</v>
      </c>
      <c r="AH6298">
        <v>10.367574424203999</v>
      </c>
      <c r="AI6298">
        <v>95.982653557558805</v>
      </c>
      <c r="AJ6298">
        <v>78.214822494804395</v>
      </c>
      <c r="AK6298">
        <v>10.648825163523099</v>
      </c>
      <c r="AL6298">
        <v>88.102009764874893</v>
      </c>
      <c r="AM6298">
        <v>85.076458681268704</v>
      </c>
      <c r="AN6298">
        <v>0.99999998071685203</v>
      </c>
    </row>
    <row r="6299" spans="1:40" x14ac:dyDescent="0.25">
      <c r="A6299" t="str">
        <f>"20190312154730309"</f>
        <v>20190312154730309</v>
      </c>
      <c r="B6299" t="str">
        <f>"1552376850304329"</f>
        <v>1552376850304329</v>
      </c>
      <c r="C6299" t="s">
        <v>40</v>
      </c>
      <c r="D6299">
        <v>4.8690959999999999</v>
      </c>
      <c r="E6299">
        <v>0.50043769999999999</v>
      </c>
      <c r="F6299" t="s">
        <v>42</v>
      </c>
      <c r="G6299">
        <v>-185.9075</v>
      </c>
      <c r="H6299" s="1">
        <v>-2.0258289999999999E-6</v>
      </c>
      <c r="I6299">
        <v>112.40130000000001</v>
      </c>
      <c r="J6299">
        <v>-188.10910000000001</v>
      </c>
      <c r="K6299">
        <v>1.1098889999999999</v>
      </c>
      <c r="L6299">
        <v>102.03400000000001</v>
      </c>
      <c r="M6299">
        <v>2.06632E-3</v>
      </c>
      <c r="N6299">
        <v>0</v>
      </c>
      <c r="O6299">
        <v>0.99990299999999999</v>
      </c>
      <c r="P6299">
        <v>8.8944110000000007E-2</v>
      </c>
      <c r="Q6299">
        <v>1.8859319999999999E-2</v>
      </c>
      <c r="R6299">
        <v>0.99585809999999997</v>
      </c>
      <c r="S6299">
        <v>0.61537169999999997</v>
      </c>
      <c r="T6299">
        <v>-0.31012980000000001</v>
      </c>
      <c r="U6299">
        <v>2.9640810000000002</v>
      </c>
      <c r="V6299">
        <v>8.6901110000000004E-2</v>
      </c>
      <c r="W6299">
        <v>3.2534880000000002E-2</v>
      </c>
      <c r="X6299">
        <v>0.9956855</v>
      </c>
      <c r="Y6299">
        <v>0.2001926</v>
      </c>
      <c r="Z6299">
        <v>-0.1019326</v>
      </c>
      <c r="AA6299">
        <v>0.97443970000000002</v>
      </c>
      <c r="AB6299">
        <v>24</v>
      </c>
      <c r="AC6299">
        <v>2.2016000000000102</v>
      </c>
      <c r="AD6299">
        <v>-1.109891025829</v>
      </c>
      <c r="AE6299">
        <v>10.3673</v>
      </c>
      <c r="AF6299">
        <v>2.1565213546646498</v>
      </c>
      <c r="AG6299">
        <v>-1.109891025829</v>
      </c>
      <c r="AH6299">
        <v>10.2593174574579</v>
      </c>
      <c r="AI6299">
        <v>96.043396705323204</v>
      </c>
      <c r="AJ6299">
        <v>78.1291775746475</v>
      </c>
      <c r="AK6299">
        <v>10.5421078127308</v>
      </c>
      <c r="AL6299">
        <v>88.135559606807604</v>
      </c>
      <c r="AM6299">
        <v>85.011997456462197</v>
      </c>
      <c r="AN6299">
        <v>0.99999996812304703</v>
      </c>
    </row>
    <row r="6300" spans="1:40" x14ac:dyDescent="0.25">
      <c r="A6300" t="str">
        <f>"20190312154730332"</f>
        <v>20190312154730332</v>
      </c>
      <c r="B6300" t="str">
        <f>"1552376850324825"</f>
        <v>1552376850324825</v>
      </c>
      <c r="C6300" t="s">
        <v>40</v>
      </c>
      <c r="D6300">
        <v>4.8437049999999999</v>
      </c>
      <c r="E6300">
        <v>0.48448099999999999</v>
      </c>
      <c r="F6300" t="s">
        <v>41</v>
      </c>
      <c r="G6300">
        <v>-188.03229999999999</v>
      </c>
      <c r="H6300">
        <v>1.0375650000000001</v>
      </c>
      <c r="I6300">
        <v>102.9106</v>
      </c>
      <c r="J6300">
        <v>-188.10820000000001</v>
      </c>
      <c r="K6300">
        <v>1.1098809999999999</v>
      </c>
      <c r="L6300">
        <v>102.276</v>
      </c>
      <c r="M6300">
        <v>2.3483900000000001E-3</v>
      </c>
      <c r="N6300">
        <v>0</v>
      </c>
      <c r="O6300">
        <v>0.99990239999999997</v>
      </c>
      <c r="P6300">
        <v>9.0069549999999998E-2</v>
      </c>
      <c r="Q6300">
        <v>1.7608180000000001E-2</v>
      </c>
      <c r="R6300">
        <v>0.99577979999999999</v>
      </c>
      <c r="S6300">
        <v>0.2614746</v>
      </c>
      <c r="T6300">
        <v>-0.24705089999999999</v>
      </c>
      <c r="U6300">
        <v>2.993805</v>
      </c>
      <c r="V6300">
        <v>8.7745240000000002E-2</v>
      </c>
      <c r="W6300">
        <v>3.1280009999999997E-2</v>
      </c>
      <c r="X6300">
        <v>0.99565170000000003</v>
      </c>
      <c r="Y6300">
        <v>8.4374850000000001E-2</v>
      </c>
      <c r="Z6300">
        <v>-8.1939289999999998E-2</v>
      </c>
      <c r="AA6300">
        <v>0.99305929999999998</v>
      </c>
      <c r="AB6300">
        <v>24</v>
      </c>
      <c r="AC6300">
        <v>7.5900000000018494E-2</v>
      </c>
      <c r="AD6300">
        <v>-7.2315999999999797E-2</v>
      </c>
      <c r="AE6300">
        <v>0.63459999999999095</v>
      </c>
      <c r="AF6300">
        <v>7.3468765520861401E-2</v>
      </c>
      <c r="AG6300">
        <v>-7.2315999999999797E-2</v>
      </c>
      <c r="AH6300">
        <v>0.62675241253378899</v>
      </c>
      <c r="AI6300">
        <v>96.537431321973799</v>
      </c>
      <c r="AJ6300">
        <v>83.314222565965693</v>
      </c>
      <c r="AK6300">
        <v>0.63517387381730706</v>
      </c>
      <c r="AL6300">
        <v>88.207495029914597</v>
      </c>
      <c r="AM6300">
        <v>84.963623472981197</v>
      </c>
      <c r="AN6300">
        <v>0.99999998694057302</v>
      </c>
    </row>
    <row r="6301" spans="1:40" x14ac:dyDescent="0.25">
      <c r="A6301" t="str">
        <f>"20190312154730353"</f>
        <v>20190312154730353</v>
      </c>
      <c r="B6301" t="str">
        <f>"1552376850344345"</f>
        <v>1552376850344345</v>
      </c>
      <c r="C6301" t="s">
        <v>40</v>
      </c>
      <c r="D6301">
        <v>4.8644020000000001</v>
      </c>
      <c r="E6301">
        <v>0.47767739999999997</v>
      </c>
      <c r="F6301" t="s">
        <v>41</v>
      </c>
      <c r="G6301">
        <v>-188.06909999999999</v>
      </c>
      <c r="H6301">
        <v>1.04426</v>
      </c>
      <c r="I6301">
        <v>103.1264</v>
      </c>
      <c r="J6301">
        <v>-188.10740000000001</v>
      </c>
      <c r="K6301">
        <v>1.1098749999999999</v>
      </c>
      <c r="L6301">
        <v>102.4958</v>
      </c>
      <c r="M6301">
        <v>2.612671E-3</v>
      </c>
      <c r="N6301">
        <v>0</v>
      </c>
      <c r="O6301">
        <v>0.99990179999999995</v>
      </c>
      <c r="P6301">
        <v>9.2309509999999997E-2</v>
      </c>
      <c r="Q6301">
        <v>1.7031319999999999E-2</v>
      </c>
      <c r="R6301">
        <v>0.99558469999999999</v>
      </c>
      <c r="S6301">
        <v>0.13810729999999999</v>
      </c>
      <c r="T6301">
        <v>-0.23186080000000001</v>
      </c>
      <c r="U6301">
        <v>3.0043329999999999</v>
      </c>
      <c r="V6301">
        <v>8.9722469999999999E-2</v>
      </c>
      <c r="W6301">
        <v>3.0697120000000001E-2</v>
      </c>
      <c r="X6301">
        <v>0.99549370000000004</v>
      </c>
      <c r="Y6301">
        <v>4.317468E-2</v>
      </c>
      <c r="Z6301">
        <v>-7.6870019999999997E-2</v>
      </c>
      <c r="AA6301">
        <v>0.99610589999999999</v>
      </c>
      <c r="AB6301">
        <v>24</v>
      </c>
      <c r="AC6301">
        <v>3.8300000000020797E-2</v>
      </c>
      <c r="AD6301">
        <v>-6.5614999999999896E-2</v>
      </c>
      <c r="AE6301">
        <v>0.63060000000000105</v>
      </c>
      <c r="AF6301">
        <v>3.6261016455188103E-2</v>
      </c>
      <c r="AG6301">
        <v>-6.5614999999999896E-2</v>
      </c>
      <c r="AH6301">
        <v>0.62396721013730105</v>
      </c>
      <c r="AI6301">
        <v>95.992996286849007</v>
      </c>
      <c r="AJ6301">
        <v>86.674073456702402</v>
      </c>
      <c r="AK6301">
        <v>0.62845466731172395</v>
      </c>
      <c r="AL6301">
        <v>88.240908362301596</v>
      </c>
      <c r="AM6301">
        <v>84.849925549411097</v>
      </c>
      <c r="AN6301">
        <v>1.0000000707694401</v>
      </c>
    </row>
    <row r="6302" spans="1:40" x14ac:dyDescent="0.25">
      <c r="A6302" t="str">
        <f>"20190312154730376"</f>
        <v>20190312154730376</v>
      </c>
      <c r="B6302" t="str">
        <f>"1552376850364840"</f>
        <v>1552376850364840</v>
      </c>
      <c r="C6302" t="s">
        <v>40</v>
      </c>
      <c r="D6302">
        <v>4.8715080000000004</v>
      </c>
      <c r="E6302">
        <v>0.4746358</v>
      </c>
      <c r="F6302" t="s">
        <v>41</v>
      </c>
      <c r="G6302">
        <v>-188.08160000000001</v>
      </c>
      <c r="H6302">
        <v>1.047461</v>
      </c>
      <c r="I6302">
        <v>103.342</v>
      </c>
      <c r="J6302">
        <v>-188.10640000000001</v>
      </c>
      <c r="K6302">
        <v>1.109864</v>
      </c>
      <c r="L6302">
        <v>102.7407</v>
      </c>
      <c r="M6302">
        <v>2.9247909999999999E-3</v>
      </c>
      <c r="N6302">
        <v>0</v>
      </c>
      <c r="O6302">
        <v>0.99990100000000004</v>
      </c>
      <c r="P6302">
        <v>9.5096630000000001E-2</v>
      </c>
      <c r="Q6302">
        <v>1.7271669999999999E-2</v>
      </c>
      <c r="R6302">
        <v>0.99531820000000004</v>
      </c>
      <c r="S6302">
        <v>9.0988159999999998E-2</v>
      </c>
      <c r="T6302">
        <v>-0.22196730000000001</v>
      </c>
      <c r="U6302">
        <v>3.008667</v>
      </c>
      <c r="V6302">
        <v>9.2200409999999997E-2</v>
      </c>
      <c r="W6302">
        <v>3.0928279999999999E-2</v>
      </c>
      <c r="X6302">
        <v>0.99526000000000003</v>
      </c>
      <c r="Y6302">
        <v>2.722248E-2</v>
      </c>
      <c r="Z6302">
        <v>-7.3545200000000005E-2</v>
      </c>
      <c r="AA6302">
        <v>0.99692029999999998</v>
      </c>
      <c r="AB6302">
        <v>24</v>
      </c>
      <c r="AC6302">
        <v>2.4799999999999E-2</v>
      </c>
      <c r="AD6302">
        <v>-6.2402999999999903E-2</v>
      </c>
      <c r="AE6302">
        <v>0.60130000000000905</v>
      </c>
      <c r="AF6302">
        <v>2.2795947801667701E-2</v>
      </c>
      <c r="AG6302">
        <v>-6.2402999999999903E-2</v>
      </c>
      <c r="AH6302">
        <v>0.59497280494601601</v>
      </c>
      <c r="AI6302">
        <v>95.9831487839555</v>
      </c>
      <c r="AJ6302">
        <v>87.8058273690731</v>
      </c>
      <c r="AK6302">
        <v>0.59867055069587805</v>
      </c>
      <c r="AL6302">
        <v>88.227657401887498</v>
      </c>
      <c r="AM6302">
        <v>84.707252843791395</v>
      </c>
      <c r="AN6302">
        <v>0.99999997085396197</v>
      </c>
    </row>
    <row r="6303" spans="1:40" x14ac:dyDescent="0.25">
      <c r="A6303" t="str">
        <f>"20190312154730398"</f>
        <v>20190312154730398</v>
      </c>
      <c r="B6303" t="str">
        <f>"1552376850384361"</f>
        <v>1552376850384361</v>
      </c>
      <c r="C6303" t="s">
        <v>40</v>
      </c>
      <c r="D6303">
        <v>4.8455440000000003</v>
      </c>
      <c r="E6303">
        <v>0.47234330000000002</v>
      </c>
      <c r="F6303" t="s">
        <v>42</v>
      </c>
      <c r="G6303">
        <v>-187.72219999999999</v>
      </c>
      <c r="H6303" s="1">
        <v>-4.0271379999999997E-6</v>
      </c>
      <c r="I6303">
        <v>118.0783</v>
      </c>
      <c r="J6303">
        <v>-188.1054</v>
      </c>
      <c r="K6303">
        <v>1.1098440000000001</v>
      </c>
      <c r="L6303">
        <v>102.9716</v>
      </c>
      <c r="M6303">
        <v>3.2468039999999998E-3</v>
      </c>
      <c r="N6303">
        <v>0</v>
      </c>
      <c r="O6303">
        <v>0.99990000000000001</v>
      </c>
      <c r="P6303">
        <v>9.7620960000000007E-2</v>
      </c>
      <c r="Q6303">
        <v>1.7177230000000002E-2</v>
      </c>
      <c r="R6303">
        <v>0.99507540000000005</v>
      </c>
      <c r="S6303">
        <v>7.5408939999999994E-2</v>
      </c>
      <c r="T6303">
        <v>-0.21786</v>
      </c>
      <c r="U6303">
        <v>3.0106809999999999</v>
      </c>
      <c r="V6303">
        <v>9.4406190000000001E-2</v>
      </c>
      <c r="W6303">
        <v>3.0823420000000001E-2</v>
      </c>
      <c r="X6303">
        <v>0.99505650000000001</v>
      </c>
      <c r="Y6303">
        <v>2.1727799999999999E-2</v>
      </c>
      <c r="Z6303">
        <v>-7.2153309999999998E-2</v>
      </c>
      <c r="AA6303">
        <v>0.99715690000000001</v>
      </c>
      <c r="AB6303">
        <v>24</v>
      </c>
      <c r="AC6303">
        <v>0.38320000000001597</v>
      </c>
      <c r="AD6303">
        <v>-1.109848027138</v>
      </c>
      <c r="AE6303">
        <v>15.1067</v>
      </c>
      <c r="AF6303">
        <v>0.33235214186721801</v>
      </c>
      <c r="AG6303">
        <v>-1.109848027138</v>
      </c>
      <c r="AH6303">
        <v>15.026810499062901</v>
      </c>
      <c r="AI6303">
        <v>94.223044866047601</v>
      </c>
      <c r="AJ6303">
        <v>88.7329799000333</v>
      </c>
      <c r="AK6303">
        <v>15.071405188777</v>
      </c>
      <c r="AL6303">
        <v>88.233668399117903</v>
      </c>
      <c r="AM6303">
        <v>84.580273824975094</v>
      </c>
      <c r="AN6303">
        <v>1.00000002506153</v>
      </c>
    </row>
    <row r="6304" spans="1:40" x14ac:dyDescent="0.25">
      <c r="A6304" t="str">
        <f>"20190312154730422"</f>
        <v>20190312154730422</v>
      </c>
      <c r="B6304" t="str">
        <f>"1552376850414616"</f>
        <v>1552376850414616</v>
      </c>
      <c r="C6304" t="s">
        <v>40</v>
      </c>
      <c r="D6304">
        <v>4.864179</v>
      </c>
      <c r="E6304">
        <v>0.47033239999999998</v>
      </c>
      <c r="F6304" t="s">
        <v>42</v>
      </c>
      <c r="G6304">
        <v>-187.78149999999999</v>
      </c>
      <c r="H6304" s="1">
        <v>-3.9594840000000004E-6</v>
      </c>
      <c r="I6304">
        <v>117.9451</v>
      </c>
      <c r="J6304">
        <v>-188.10409999999999</v>
      </c>
      <c r="K6304">
        <v>1.109804</v>
      </c>
      <c r="L6304">
        <v>103.22329999999999</v>
      </c>
      <c r="M6304">
        <v>3.6443619999999999E-3</v>
      </c>
      <c r="N6304">
        <v>0</v>
      </c>
      <c r="O6304">
        <v>0.99989870000000003</v>
      </c>
      <c r="P6304">
        <v>9.9824789999999997E-2</v>
      </c>
      <c r="Q6304">
        <v>1.669083E-2</v>
      </c>
      <c r="R6304">
        <v>0.99486509999999995</v>
      </c>
      <c r="S6304">
        <v>6.5155030000000003E-2</v>
      </c>
      <c r="T6304">
        <v>-0.22327379999999999</v>
      </c>
      <c r="U6304">
        <v>3.0122990000000001</v>
      </c>
      <c r="V6304">
        <v>9.6216979999999994E-2</v>
      </c>
      <c r="W6304">
        <v>3.0323929999999999E-2</v>
      </c>
      <c r="X6304">
        <v>0.99489839999999996</v>
      </c>
      <c r="Y6304">
        <v>1.792148E-2</v>
      </c>
      <c r="Z6304">
        <v>-7.3902689999999993E-2</v>
      </c>
      <c r="AA6304">
        <v>0.9971044</v>
      </c>
      <c r="AB6304">
        <v>24</v>
      </c>
      <c r="AC6304">
        <v>0.322599999999994</v>
      </c>
      <c r="AD6304">
        <v>-1.109807959484</v>
      </c>
      <c r="AE6304">
        <v>14.7218</v>
      </c>
      <c r="AF6304">
        <v>0.26742219217304197</v>
      </c>
      <c r="AG6304">
        <v>-1.109807959484</v>
      </c>
      <c r="AH6304">
        <v>14.6397211264823</v>
      </c>
      <c r="AI6304">
        <v>94.334466161374195</v>
      </c>
      <c r="AJ6304">
        <v>88.953500620755804</v>
      </c>
      <c r="AK6304">
        <v>14.6841623185312</v>
      </c>
      <c r="AL6304">
        <v>88.262300473643506</v>
      </c>
      <c r="AM6304">
        <v>84.476083467354599</v>
      </c>
      <c r="AN6304">
        <v>1.0000000371467599</v>
      </c>
    </row>
    <row r="6305" spans="1:40" x14ac:dyDescent="0.25">
      <c r="A6305" t="str">
        <f>"20190312154730444"</f>
        <v>20190312154730444</v>
      </c>
      <c r="B6305" t="str">
        <f>"1552376850434137"</f>
        <v>1552376850434137</v>
      </c>
      <c r="C6305" t="s">
        <v>40</v>
      </c>
      <c r="D6305">
        <v>4.867845</v>
      </c>
      <c r="E6305">
        <v>0.46933150000000001</v>
      </c>
      <c r="F6305" t="s">
        <v>42</v>
      </c>
      <c r="G6305">
        <v>-187.83580000000001</v>
      </c>
      <c r="H6305" s="1">
        <v>-3.8354959999999998E-6</v>
      </c>
      <c r="I6305">
        <v>117.6786</v>
      </c>
      <c r="J6305">
        <v>-188.1028</v>
      </c>
      <c r="K6305">
        <v>1.109756</v>
      </c>
      <c r="L6305">
        <v>103.45659999999999</v>
      </c>
      <c r="M6305">
        <v>4.0877910000000003E-3</v>
      </c>
      <c r="N6305">
        <v>0</v>
      </c>
      <c r="O6305">
        <v>0.99989700000000004</v>
      </c>
      <c r="P6305">
        <v>0.1012002</v>
      </c>
      <c r="Q6305">
        <v>1.5332119999999999E-2</v>
      </c>
      <c r="R6305">
        <v>0.99474790000000002</v>
      </c>
      <c r="S6305">
        <v>5.5938719999999997E-2</v>
      </c>
      <c r="T6305">
        <v>-0.23138239999999999</v>
      </c>
      <c r="U6305">
        <v>3.013763</v>
      </c>
      <c r="V6305">
        <v>9.7153790000000004E-2</v>
      </c>
      <c r="W6305">
        <v>2.895172E-2</v>
      </c>
      <c r="X6305">
        <v>0.99484819999999996</v>
      </c>
      <c r="Y6305">
        <v>1.4415819999999999E-2</v>
      </c>
      <c r="Z6305">
        <v>-7.6538469999999997E-2</v>
      </c>
      <c r="AA6305">
        <v>0.99696240000000003</v>
      </c>
      <c r="AB6305">
        <v>24</v>
      </c>
      <c r="AC6305">
        <v>0.26699999999999502</v>
      </c>
      <c r="AD6305">
        <v>-1.1097598354960001</v>
      </c>
      <c r="AE6305">
        <v>14.222</v>
      </c>
      <c r="AF6305">
        <v>0.207592146253015</v>
      </c>
      <c r="AG6305">
        <v>-1.1097598354960001</v>
      </c>
      <c r="AH6305">
        <v>14.136925132736501</v>
      </c>
      <c r="AI6305">
        <v>94.488077295247294</v>
      </c>
      <c r="AJ6305">
        <v>89.158706796438494</v>
      </c>
      <c r="AK6305">
        <v>14.1819361724788</v>
      </c>
      <c r="AL6305">
        <v>88.340956812074396</v>
      </c>
      <c r="AM6305">
        <v>84.422358070366997</v>
      </c>
      <c r="AN6305">
        <v>1.0000000010227801</v>
      </c>
    </row>
    <row r="6306" spans="1:40" x14ac:dyDescent="0.25">
      <c r="A6306" t="str">
        <f>"20190312154730467"</f>
        <v>20190312154730467</v>
      </c>
      <c r="B6306" t="str">
        <f>"1552376850454632"</f>
        <v>1552376850454632</v>
      </c>
      <c r="C6306" t="s">
        <v>40</v>
      </c>
      <c r="D6306">
        <v>4.8154940000000002</v>
      </c>
      <c r="E6306">
        <v>0.4684044</v>
      </c>
      <c r="F6306" t="s">
        <v>41</v>
      </c>
      <c r="G6306">
        <v>-188.08670000000001</v>
      </c>
      <c r="H6306">
        <v>1.0350760000000001</v>
      </c>
      <c r="I6306">
        <v>104.3843</v>
      </c>
      <c r="J6306">
        <v>-188.10120000000001</v>
      </c>
      <c r="K6306">
        <v>1.1096919999999999</v>
      </c>
      <c r="L6306">
        <v>103.6931</v>
      </c>
      <c r="M6306">
        <v>4.6532509999999997E-3</v>
      </c>
      <c r="N6306">
        <v>0</v>
      </c>
      <c r="O6306">
        <v>0.99989459999999997</v>
      </c>
      <c r="P6306">
        <v>0.10311869999999999</v>
      </c>
      <c r="Q6306">
        <v>1.4854569999999999E-2</v>
      </c>
      <c r="R6306">
        <v>0.99455819999999995</v>
      </c>
      <c r="S6306">
        <v>5.2246090000000002E-2</v>
      </c>
      <c r="T6306">
        <v>-0.24264050000000001</v>
      </c>
      <c r="U6306">
        <v>3.0142669999999998</v>
      </c>
      <c r="V6306">
        <v>9.8514939999999995E-2</v>
      </c>
      <c r="W6306">
        <v>2.8452669999999999E-2</v>
      </c>
      <c r="X6306">
        <v>0.99472870000000002</v>
      </c>
      <c r="Y6306">
        <v>1.262129E-2</v>
      </c>
      <c r="Z6306">
        <v>-8.0227329999999999E-2</v>
      </c>
      <c r="AA6306">
        <v>0.99669669999999999</v>
      </c>
      <c r="AB6306">
        <v>23</v>
      </c>
      <c r="AC6306">
        <v>1.4499999999998099E-2</v>
      </c>
      <c r="AD6306">
        <v>-7.4615999999999794E-2</v>
      </c>
      <c r="AE6306">
        <v>0.69119999999999404</v>
      </c>
      <c r="AF6306">
        <v>1.1153293927506301E-2</v>
      </c>
      <c r="AG6306">
        <v>-7.4615999999999794E-2</v>
      </c>
      <c r="AH6306">
        <v>0.68330065084979197</v>
      </c>
      <c r="AI6306">
        <v>96.231146714188</v>
      </c>
      <c r="AJ6306">
        <v>89.064862699589796</v>
      </c>
      <c r="AK6306">
        <v>0.687453069578704</v>
      </c>
      <c r="AL6306">
        <v>88.369562001134796</v>
      </c>
      <c r="AM6306">
        <v>84.344041952621893</v>
      </c>
      <c r="AN6306">
        <v>0.99999996721851003</v>
      </c>
    </row>
    <row r="6307" spans="1:40" x14ac:dyDescent="0.25">
      <c r="A6307" t="str">
        <f>"20190312154730488"</f>
        <v>20190312154730488</v>
      </c>
      <c r="B6307" t="str">
        <f>"1552376850474153"</f>
        <v>1552376850474153</v>
      </c>
      <c r="C6307" t="s">
        <v>40</v>
      </c>
      <c r="D6307">
        <v>4.8817180000000002</v>
      </c>
      <c r="E6307">
        <v>0.46753670000000003</v>
      </c>
      <c r="F6307" t="s">
        <v>41</v>
      </c>
      <c r="G6307">
        <v>-188.08590000000001</v>
      </c>
      <c r="H6307">
        <v>1.035401</v>
      </c>
      <c r="I6307">
        <v>104.5943</v>
      </c>
      <c r="J6307">
        <v>-188.09950000000001</v>
      </c>
      <c r="K6307">
        <v>1.1096200000000001</v>
      </c>
      <c r="L6307">
        <v>103.91630000000001</v>
      </c>
      <c r="M6307">
        <v>5.2852159999999997E-3</v>
      </c>
      <c r="N6307">
        <v>0</v>
      </c>
      <c r="O6307">
        <v>0.99989139999999999</v>
      </c>
      <c r="P6307">
        <v>0.1060315</v>
      </c>
      <c r="Q6307">
        <v>1.5093209999999999E-2</v>
      </c>
      <c r="R6307">
        <v>0.99424820000000003</v>
      </c>
      <c r="S6307">
        <v>5.0613400000000003E-2</v>
      </c>
      <c r="T6307">
        <v>-0.2485549</v>
      </c>
      <c r="U6307">
        <v>3.0148769999999998</v>
      </c>
      <c r="V6307">
        <v>0.10080600000000001</v>
      </c>
      <c r="W6307">
        <v>2.866573E-2</v>
      </c>
      <c r="X6307">
        <v>0.99449310000000002</v>
      </c>
      <c r="Y6307">
        <v>1.144357E-2</v>
      </c>
      <c r="Z6307">
        <v>-8.2153900000000002E-2</v>
      </c>
      <c r="AA6307">
        <v>0.99655400000000005</v>
      </c>
      <c r="AB6307">
        <v>23</v>
      </c>
      <c r="AC6307">
        <v>1.35999999999967E-2</v>
      </c>
      <c r="AD6307">
        <v>-7.4218999999999993E-2</v>
      </c>
      <c r="AE6307">
        <v>0.67799999999999705</v>
      </c>
      <c r="AF6307">
        <v>9.8975384983073997E-3</v>
      </c>
      <c r="AG6307">
        <v>-7.4218999999999993E-2</v>
      </c>
      <c r="AH6307">
        <v>0.67003649932486498</v>
      </c>
      <c r="AI6307">
        <v>96.320121566926304</v>
      </c>
      <c r="AJ6307">
        <v>89.153708875424996</v>
      </c>
      <c r="AK6307">
        <v>0.67420718748530495</v>
      </c>
      <c r="AL6307">
        <v>88.357349716255598</v>
      </c>
      <c r="AM6307">
        <v>84.212028205415095</v>
      </c>
      <c r="AN6307">
        <v>1.0000000498300201</v>
      </c>
    </row>
    <row r="6308" spans="1:40" x14ac:dyDescent="0.25">
      <c r="A6308" t="str">
        <f>"20190312154730511"</f>
        <v>20190312154730511</v>
      </c>
      <c r="B6308" t="str">
        <f>"1552376850505385"</f>
        <v>1552376850505385</v>
      </c>
      <c r="C6308" t="s">
        <v>40</v>
      </c>
      <c r="D6308">
        <v>4.8889430000000003</v>
      </c>
      <c r="E6308">
        <v>0.46628649999999999</v>
      </c>
      <c r="F6308" t="s">
        <v>41</v>
      </c>
      <c r="G6308">
        <v>-188.08410000000001</v>
      </c>
      <c r="H6308">
        <v>1.0370109999999999</v>
      </c>
      <c r="I6308">
        <v>104.8053</v>
      </c>
      <c r="J6308">
        <v>-188.09729999999999</v>
      </c>
      <c r="K6308">
        <v>1.109526</v>
      </c>
      <c r="L6308">
        <v>104.1606</v>
      </c>
      <c r="M6308">
        <v>6.1253030000000003E-3</v>
      </c>
      <c r="N6308">
        <v>0</v>
      </c>
      <c r="O6308">
        <v>0.99988659999999996</v>
      </c>
      <c r="P6308">
        <v>0.1099768</v>
      </c>
      <c r="Q6308">
        <v>1.511611E-2</v>
      </c>
      <c r="R6308">
        <v>0.99381920000000001</v>
      </c>
      <c r="S6308">
        <v>5.1925659999999998E-2</v>
      </c>
      <c r="T6308">
        <v>-0.24628510000000001</v>
      </c>
      <c r="U6308">
        <v>3.0155639999999999</v>
      </c>
      <c r="V6308">
        <v>0.1039249</v>
      </c>
      <c r="W6308">
        <v>2.865477E-2</v>
      </c>
      <c r="X6308">
        <v>0.99417230000000001</v>
      </c>
      <c r="Y6308">
        <v>1.1034250000000001E-2</v>
      </c>
      <c r="Z6308">
        <v>-8.1389539999999996E-2</v>
      </c>
      <c r="AA6308">
        <v>0.99662130000000004</v>
      </c>
      <c r="AB6308">
        <v>23</v>
      </c>
      <c r="AC6308">
        <v>1.31999999999834E-2</v>
      </c>
      <c r="AD6308">
        <v>-7.2514999999999802E-2</v>
      </c>
      <c r="AE6308">
        <v>0.64470000000000005</v>
      </c>
      <c r="AF6308">
        <v>9.1348747196020406E-3</v>
      </c>
      <c r="AG6308">
        <v>-7.2514999999999802E-2</v>
      </c>
      <c r="AH6308">
        <v>0.63671674917742405</v>
      </c>
      <c r="AI6308">
        <v>96.496697879688497</v>
      </c>
      <c r="AJ6308">
        <v>89.178042885122494</v>
      </c>
      <c r="AK6308">
        <v>0.64089787785903096</v>
      </c>
      <c r="AL6308">
        <v>88.357977889314398</v>
      </c>
      <c r="AM6308">
        <v>84.032311714812906</v>
      </c>
      <c r="AN6308">
        <v>1.00000002138552</v>
      </c>
    </row>
    <row r="6309" spans="1:40" x14ac:dyDescent="0.25">
      <c r="A6309" t="str">
        <f>"20190312154730531"</f>
        <v>20190312154730531</v>
      </c>
      <c r="B6309" t="str">
        <f>"1552376850524904"</f>
        <v>1552376850524904</v>
      </c>
      <c r="C6309" t="s">
        <v>40</v>
      </c>
      <c r="D6309">
        <v>4.8872450000000001</v>
      </c>
      <c r="E6309">
        <v>0.46563060000000001</v>
      </c>
      <c r="F6309" t="s">
        <v>41</v>
      </c>
      <c r="G6309">
        <v>-188.08189999999999</v>
      </c>
      <c r="H6309">
        <v>1.0385</v>
      </c>
      <c r="I6309">
        <v>105.01600000000001</v>
      </c>
      <c r="J6309">
        <v>-188.095</v>
      </c>
      <c r="K6309">
        <v>1.109426</v>
      </c>
      <c r="L6309">
        <v>104.37479999999999</v>
      </c>
      <c r="M6309">
        <v>7.0263620000000004E-3</v>
      </c>
      <c r="N6309">
        <v>0</v>
      </c>
      <c r="O6309">
        <v>0.99988069999999896</v>
      </c>
      <c r="P6309">
        <v>0.1139585</v>
      </c>
      <c r="Q6309">
        <v>1.537548E-2</v>
      </c>
      <c r="R6309">
        <v>0.99336650000000004</v>
      </c>
      <c r="S6309">
        <v>5.386353E-2</v>
      </c>
      <c r="T6309">
        <v>-0.25047049999999998</v>
      </c>
      <c r="U6309">
        <v>3.0165099999999998</v>
      </c>
      <c r="V6309">
        <v>0.1070212</v>
      </c>
      <c r="W6309">
        <v>2.8877360000000001E-2</v>
      </c>
      <c r="X6309">
        <v>0.99383730000000003</v>
      </c>
      <c r="Y6309">
        <v>1.0765830000000001E-2</v>
      </c>
      <c r="Z6309">
        <v>-8.2736450000000003E-2</v>
      </c>
      <c r="AA6309">
        <v>0.99651330000000005</v>
      </c>
      <c r="AB6309">
        <v>23</v>
      </c>
      <c r="AC6309">
        <v>1.3100000000008501E-2</v>
      </c>
      <c r="AD6309">
        <v>-7.0926000000000003E-2</v>
      </c>
      <c r="AE6309">
        <v>0.64120000000001198</v>
      </c>
      <c r="AF6309">
        <v>8.4901090402694293E-3</v>
      </c>
      <c r="AG6309">
        <v>-7.0926000000000003E-2</v>
      </c>
      <c r="AH6309">
        <v>0.63352788759484002</v>
      </c>
      <c r="AI6309">
        <v>96.387325232218899</v>
      </c>
      <c r="AJ6309">
        <v>89.232206968239296</v>
      </c>
      <c r="AK6309">
        <v>0.637542283921542</v>
      </c>
      <c r="AL6309">
        <v>88.345219121594297</v>
      </c>
      <c r="AM6309">
        <v>83.853797908762701</v>
      </c>
      <c r="AN6309">
        <v>1.00000000902064</v>
      </c>
    </row>
    <row r="6310" spans="1:40" x14ac:dyDescent="0.25">
      <c r="A6310" t="str">
        <f>"20190312154730555"</f>
        <v>20190312154730555</v>
      </c>
      <c r="B6310" t="str">
        <f>"1552376850544425"</f>
        <v>1552376850544425</v>
      </c>
      <c r="C6310" t="s">
        <v>40</v>
      </c>
      <c r="D6310">
        <v>4.9280900000000001</v>
      </c>
      <c r="E6310">
        <v>0.46501199999999998</v>
      </c>
      <c r="F6310" t="s">
        <v>41</v>
      </c>
      <c r="G6310">
        <v>-188.07769999999999</v>
      </c>
      <c r="H6310">
        <v>1.0381229999999999</v>
      </c>
      <c r="I6310">
        <v>105.22450000000001</v>
      </c>
      <c r="J6310">
        <v>-188.09190000000001</v>
      </c>
      <c r="K6310">
        <v>1.1092770000000001</v>
      </c>
      <c r="L6310">
        <v>104.6199</v>
      </c>
      <c r="M6310">
        <v>8.2962269999999998E-3</v>
      </c>
      <c r="N6310">
        <v>0</v>
      </c>
      <c r="O6310">
        <v>0.99987099999999995</v>
      </c>
      <c r="P6310">
        <v>0.11891400000000001</v>
      </c>
      <c r="Q6310">
        <v>1.559704E-2</v>
      </c>
      <c r="R6310">
        <v>0.9927821</v>
      </c>
      <c r="S6310">
        <v>6.1279300000000002E-2</v>
      </c>
      <c r="T6310">
        <v>-0.25313140000000001</v>
      </c>
      <c r="U6310">
        <v>3.0169220000000001</v>
      </c>
      <c r="V6310">
        <v>0.11072990000000001</v>
      </c>
      <c r="W6310">
        <v>2.904609E-2</v>
      </c>
      <c r="X6310">
        <v>0.99342600000000003</v>
      </c>
      <c r="Y6310">
        <v>1.1940589999999999E-2</v>
      </c>
      <c r="Z6310">
        <v>-8.3594230000000005E-2</v>
      </c>
      <c r="AA6310">
        <v>0.99642830000000004</v>
      </c>
      <c r="AB6310">
        <v>23</v>
      </c>
      <c r="AC6310">
        <v>1.42000000000166E-2</v>
      </c>
      <c r="AD6310">
        <v>-7.1154000000000106E-2</v>
      </c>
      <c r="AE6310">
        <v>0.60460000000000402</v>
      </c>
      <c r="AF6310">
        <v>9.0577535634863808E-3</v>
      </c>
      <c r="AG6310">
        <v>-7.1154000000000106E-2</v>
      </c>
      <c r="AH6310">
        <v>0.59644061928647596</v>
      </c>
      <c r="AI6310">
        <v>96.802326075182407</v>
      </c>
      <c r="AJ6310">
        <v>89.129953353477802</v>
      </c>
      <c r="AK6310">
        <v>0.60073816838157701</v>
      </c>
      <c r="AL6310">
        <v>88.335547535730001</v>
      </c>
      <c r="AM6310">
        <v>83.639912647171798</v>
      </c>
      <c r="AN6310">
        <v>1.00000000178714</v>
      </c>
    </row>
    <row r="6311" spans="1:40" x14ac:dyDescent="0.25">
      <c r="A6311" t="str">
        <f>"20190312154730578"</f>
        <v>20190312154730578</v>
      </c>
      <c r="B6311" t="str">
        <f>"1552376850574680"</f>
        <v>1552376850574680</v>
      </c>
      <c r="C6311" t="s">
        <v>40</v>
      </c>
      <c r="D6311">
        <v>5.2015820000000001</v>
      </c>
      <c r="E6311">
        <v>0.5110017</v>
      </c>
      <c r="F6311" t="s">
        <v>41</v>
      </c>
      <c r="G6311">
        <v>-188.07239999999999</v>
      </c>
      <c r="H6311">
        <v>1.0408649999999999</v>
      </c>
      <c r="I6311">
        <v>105.43559999999999</v>
      </c>
      <c r="J6311">
        <v>-188.08840000000001</v>
      </c>
      <c r="K6311">
        <v>1.1090930000000001</v>
      </c>
      <c r="L6311">
        <v>104.8552</v>
      </c>
      <c r="M6311">
        <v>9.7928210000000002E-3</v>
      </c>
      <c r="N6311">
        <v>0</v>
      </c>
      <c r="O6311">
        <v>0.99985740000000001</v>
      </c>
      <c r="P6311">
        <v>0.1242075</v>
      </c>
      <c r="Q6311">
        <v>1.678408E-2</v>
      </c>
      <c r="R6311">
        <v>0.9921143</v>
      </c>
      <c r="S6311">
        <v>7.2113040000000003E-2</v>
      </c>
      <c r="T6311">
        <v>-0.2530346</v>
      </c>
      <c r="U6311">
        <v>3.0171510000000001</v>
      </c>
      <c r="V6311">
        <v>0.1145578</v>
      </c>
      <c r="W6311">
        <v>3.0171409999999999E-2</v>
      </c>
      <c r="X6311">
        <v>0.99295829999999996</v>
      </c>
      <c r="Y6311">
        <v>1.4018569999999999E-2</v>
      </c>
      <c r="Z6311">
        <v>-8.3550079999999999E-2</v>
      </c>
      <c r="AA6311">
        <v>0.99640490000000004</v>
      </c>
      <c r="AB6311">
        <v>23</v>
      </c>
      <c r="AC6311">
        <v>1.6000000000019499E-2</v>
      </c>
      <c r="AD6311">
        <v>-6.8228000000000094E-2</v>
      </c>
      <c r="AE6311">
        <v>0.58039999999999703</v>
      </c>
      <c r="AF6311">
        <v>1.0174449385060499E-2</v>
      </c>
      <c r="AG6311">
        <v>-6.8228000000000094E-2</v>
      </c>
      <c r="AH6311">
        <v>0.57262192250031896</v>
      </c>
      <c r="AI6311">
        <v>96.793705885509695</v>
      </c>
      <c r="AJ6311">
        <v>88.982065391382704</v>
      </c>
      <c r="AK6311">
        <v>0.57676203544638005</v>
      </c>
      <c r="AL6311">
        <v>88.271043152296002</v>
      </c>
      <c r="AM6311">
        <v>83.418870301984896</v>
      </c>
      <c r="AN6311">
        <v>0.99999999453055799</v>
      </c>
    </row>
    <row r="6312" spans="1:40" x14ac:dyDescent="0.25">
      <c r="A6312" t="str">
        <f>"20190312154730600"</f>
        <v>20190312154730600</v>
      </c>
      <c r="B6312" t="str">
        <f>"1552376850584441"</f>
        <v>1552376850584441</v>
      </c>
      <c r="C6312" t="s">
        <v>40</v>
      </c>
      <c r="D6312">
        <v>5.0591759999999999</v>
      </c>
      <c r="E6312">
        <v>0.52514550000000004</v>
      </c>
      <c r="F6312" t="s">
        <v>41</v>
      </c>
      <c r="G6312">
        <v>-187.96879999999999</v>
      </c>
      <c r="H6312">
        <v>1.0394650000000001</v>
      </c>
      <c r="I6312">
        <v>105.6405</v>
      </c>
      <c r="J6312">
        <v>-188.08430000000001</v>
      </c>
      <c r="K6312">
        <v>1.108878</v>
      </c>
      <c r="L6312">
        <v>105.08410000000001</v>
      </c>
      <c r="M6312">
        <v>1.1549729999999999E-2</v>
      </c>
      <c r="N6312">
        <v>0</v>
      </c>
      <c r="O6312">
        <v>0.99983869999999997</v>
      </c>
      <c r="P6312">
        <v>0.1300636</v>
      </c>
      <c r="Q6312">
        <v>1.669168E-2</v>
      </c>
      <c r="R6312">
        <v>0.9913651</v>
      </c>
      <c r="S6312">
        <v>0.45242310000000002</v>
      </c>
      <c r="T6312">
        <v>-0.26345829999999998</v>
      </c>
      <c r="U6312">
        <v>2.9716490000000002</v>
      </c>
      <c r="V6312">
        <v>0.1186913</v>
      </c>
      <c r="W6312">
        <v>3.0007450000000001E-2</v>
      </c>
      <c r="X6312">
        <v>0.99247770000000002</v>
      </c>
      <c r="Y6312">
        <v>0.1385073</v>
      </c>
      <c r="Z6312">
        <v>-8.7377060000000006E-2</v>
      </c>
      <c r="AA6312">
        <v>0.98649940000000003</v>
      </c>
      <c r="AB6312">
        <v>23</v>
      </c>
      <c r="AC6312">
        <v>0.115500000000025</v>
      </c>
      <c r="AD6312">
        <v>-6.94130000000001E-2</v>
      </c>
      <c r="AE6312">
        <v>0.55639999999999601</v>
      </c>
      <c r="AF6312">
        <v>0.107462023608053</v>
      </c>
      <c r="AG6312">
        <v>-6.94130000000001E-2</v>
      </c>
      <c r="AH6312">
        <v>0.54949818155102903</v>
      </c>
      <c r="AI6312">
        <v>97.067030766633195</v>
      </c>
      <c r="AJ6312">
        <v>78.934667130273795</v>
      </c>
      <c r="AK6312">
        <v>0.56419367473840598</v>
      </c>
      <c r="AL6312">
        <v>88.280441682109</v>
      </c>
      <c r="AM6312">
        <v>83.180334745705693</v>
      </c>
      <c r="AN6312">
        <v>1.0000000283742401</v>
      </c>
    </row>
    <row r="6313" spans="1:40" x14ac:dyDescent="0.25">
      <c r="A6313" t="str">
        <f>"20190312154730623"</f>
        <v>20190312154730623</v>
      </c>
      <c r="B6313" t="str">
        <f>"1552376850614697"</f>
        <v>1552376850614697</v>
      </c>
      <c r="C6313" t="s">
        <v>40</v>
      </c>
      <c r="D6313">
        <v>5.2234610000000004</v>
      </c>
      <c r="E6313">
        <v>0.59440369999999998</v>
      </c>
      <c r="F6313" t="s">
        <v>42</v>
      </c>
      <c r="G6313">
        <v>-185.41309999999999</v>
      </c>
      <c r="H6313" s="1">
        <v>-4.675817E-6</v>
      </c>
      <c r="I6313">
        <v>118.6356</v>
      </c>
      <c r="J6313">
        <v>-188.07910000000001</v>
      </c>
      <c r="K6313">
        <v>1.108627</v>
      </c>
      <c r="L6313">
        <v>105.32550000000001</v>
      </c>
      <c r="M6313">
        <v>1.3749050000000001E-2</v>
      </c>
      <c r="N6313">
        <v>0</v>
      </c>
      <c r="O6313">
        <v>0.99981070000000005</v>
      </c>
      <c r="P6313">
        <v>0.13602790000000001</v>
      </c>
      <c r="Q6313">
        <v>1.4804680000000001E-2</v>
      </c>
      <c r="R6313">
        <v>0.99059439999999999</v>
      </c>
      <c r="S6313">
        <v>0.58224489999999995</v>
      </c>
      <c r="T6313">
        <v>-0.241704</v>
      </c>
      <c r="U6313">
        <v>2.953827</v>
      </c>
      <c r="V6313">
        <v>0.12249210000000001</v>
      </c>
      <c r="W6313">
        <v>2.803895E-2</v>
      </c>
      <c r="X6313">
        <v>0.99207339999999999</v>
      </c>
      <c r="Y6313">
        <v>0.1792637</v>
      </c>
      <c r="Z6313">
        <v>-8.0117190000000005E-2</v>
      </c>
      <c r="AA6313">
        <v>0.9805334</v>
      </c>
      <c r="AB6313">
        <v>23</v>
      </c>
      <c r="AC6313">
        <v>2.6660000000000199</v>
      </c>
      <c r="AD6313">
        <v>-1.1086316758170001</v>
      </c>
      <c r="AE6313">
        <v>13.310099999999901</v>
      </c>
      <c r="AF6313">
        <v>2.46627919274699</v>
      </c>
      <c r="AG6313">
        <v>-1.1086316758170001</v>
      </c>
      <c r="AH6313">
        <v>13.257074842786601</v>
      </c>
      <c r="AI6313">
        <v>94.700006125636406</v>
      </c>
      <c r="AJ6313">
        <v>79.461456805545396</v>
      </c>
      <c r="AK6313">
        <v>13.530027000580899</v>
      </c>
      <c r="AL6313">
        <v>88.393276029395693</v>
      </c>
      <c r="AM6313">
        <v>82.9612683749572</v>
      </c>
      <c r="AN6313">
        <v>1.00000006413353</v>
      </c>
    </row>
    <row r="6314" spans="1:40" x14ac:dyDescent="0.25">
      <c r="A6314" t="str">
        <f>"20190312154730646"</f>
        <v>20190312154730646</v>
      </c>
      <c r="B6314" t="str">
        <f>"1552376850634217"</f>
        <v>1552376850634217</v>
      </c>
      <c r="C6314" t="s">
        <v>40</v>
      </c>
      <c r="D6314">
        <v>5.1183820000000004</v>
      </c>
      <c r="E6314">
        <v>0.59309309999999904</v>
      </c>
      <c r="F6314" t="s">
        <v>42</v>
      </c>
      <c r="G6314">
        <v>-185.19749999999999</v>
      </c>
      <c r="H6314" s="1">
        <v>-2.2761659999999998E-6</v>
      </c>
      <c r="I6314">
        <v>112.5817</v>
      </c>
      <c r="J6314">
        <v>-188.07300000000001</v>
      </c>
      <c r="K6314">
        <v>1.1083670000000001</v>
      </c>
      <c r="L6314">
        <v>105.5654</v>
      </c>
      <c r="M6314">
        <v>1.6345760000000001E-2</v>
      </c>
      <c r="N6314">
        <v>0</v>
      </c>
      <c r="O6314">
        <v>0.99977150000000004</v>
      </c>
      <c r="P6314">
        <v>0.14228299999999999</v>
      </c>
      <c r="Q6314">
        <v>1.155751E-2</v>
      </c>
      <c r="R6314">
        <v>0.98975860000000004</v>
      </c>
      <c r="S6314">
        <v>1.14296</v>
      </c>
      <c r="T6314">
        <v>-0.439724</v>
      </c>
      <c r="U6314">
        <v>2.8781129999999999</v>
      </c>
      <c r="V6314">
        <v>0.12618550000000001</v>
      </c>
      <c r="W6314">
        <v>2.4707010000000001E-2</v>
      </c>
      <c r="X6314">
        <v>0.99169890000000005</v>
      </c>
      <c r="Y6314">
        <v>0.35015879999999999</v>
      </c>
      <c r="Z6314">
        <v>-0.1409841</v>
      </c>
      <c r="AA6314">
        <v>0.92601960000000005</v>
      </c>
      <c r="AB6314">
        <v>23</v>
      </c>
      <c r="AC6314">
        <v>2.8754999999999802</v>
      </c>
      <c r="AD6314">
        <v>-1.108369276166</v>
      </c>
      <c r="AE6314">
        <v>7.0163000000000002</v>
      </c>
      <c r="AF6314">
        <v>2.7026727065371801</v>
      </c>
      <c r="AG6314">
        <v>-1.108369276166</v>
      </c>
      <c r="AH6314">
        <v>6.9146308547350399</v>
      </c>
      <c r="AI6314">
        <v>98.491221507299997</v>
      </c>
      <c r="AJ6314">
        <v>68.651315246857905</v>
      </c>
      <c r="AK6314">
        <v>7.5063334637000798</v>
      </c>
      <c r="AL6314">
        <v>88.584248486910496</v>
      </c>
      <c r="AM6314">
        <v>82.748552168912596</v>
      </c>
      <c r="AN6314">
        <v>0.99999996250729895</v>
      </c>
    </row>
    <row r="6315" spans="1:40" x14ac:dyDescent="0.25">
      <c r="A6315" t="str">
        <f>"20190312154730669"</f>
        <v>20190312154730669</v>
      </c>
      <c r="B6315" t="str">
        <f>"1552376850664474"</f>
        <v>1552376850664474</v>
      </c>
      <c r="C6315" t="s">
        <v>40</v>
      </c>
      <c r="D6315">
        <v>5.0840519999999998</v>
      </c>
      <c r="E6315">
        <v>0.59325209999999995</v>
      </c>
      <c r="F6315" t="s">
        <v>42</v>
      </c>
      <c r="G6315">
        <v>-185.34299999999999</v>
      </c>
      <c r="H6315" s="1">
        <v>-2.1700649999999999E-6</v>
      </c>
      <c r="I6315">
        <v>112.3837</v>
      </c>
      <c r="J6315">
        <v>-188.0658</v>
      </c>
      <c r="K6315">
        <v>1.108128</v>
      </c>
      <c r="L6315">
        <v>105.8038</v>
      </c>
      <c r="M6315">
        <v>1.9284550000000001E-2</v>
      </c>
      <c r="N6315">
        <v>0</v>
      </c>
      <c r="O6315">
        <v>0.99971900000000002</v>
      </c>
      <c r="P6315">
        <v>0.14912429999999999</v>
      </c>
      <c r="Q6315">
        <v>8.3515680000000002E-3</v>
      </c>
      <c r="R6315">
        <v>0.98878319999999997</v>
      </c>
      <c r="S6315">
        <v>1.149597</v>
      </c>
      <c r="T6315">
        <v>-0.46673750000000003</v>
      </c>
      <c r="U6315">
        <v>2.8712309999999999</v>
      </c>
      <c r="V6315">
        <v>0.13012679999999999</v>
      </c>
      <c r="W6315">
        <v>2.141533E-2</v>
      </c>
      <c r="X6315">
        <v>0.99126610000000004</v>
      </c>
      <c r="Y6315">
        <v>0.3495415</v>
      </c>
      <c r="Z6315">
        <v>-0.1497156</v>
      </c>
      <c r="AA6315">
        <v>0.92488159999999997</v>
      </c>
      <c r="AB6315">
        <v>23</v>
      </c>
      <c r="AC6315">
        <v>2.7227999999999999</v>
      </c>
      <c r="AD6315">
        <v>-1.1081301700649999</v>
      </c>
      <c r="AE6315">
        <v>6.5799000000000003</v>
      </c>
      <c r="AF6315">
        <v>2.53402757880517</v>
      </c>
      <c r="AG6315">
        <v>-1.1081301700649999</v>
      </c>
      <c r="AH6315">
        <v>6.4744061588873096</v>
      </c>
      <c r="AI6315">
        <v>99.055782250010395</v>
      </c>
      <c r="AJ6315">
        <v>68.625047159798399</v>
      </c>
      <c r="AK6315">
        <v>7.0403965338744596</v>
      </c>
      <c r="AL6315">
        <v>88.772898217079401</v>
      </c>
      <c r="AM6315">
        <v>82.521355729594106</v>
      </c>
      <c r="AN6315">
        <v>1.0000000407232199</v>
      </c>
    </row>
    <row r="6316" spans="1:40" x14ac:dyDescent="0.25">
      <c r="A6316" t="str">
        <f>"20190312154730689"</f>
        <v>20190312154730689</v>
      </c>
      <c r="B6316" t="str">
        <f>"1552376850684968"</f>
        <v>1552376850684968</v>
      </c>
      <c r="C6316" t="s">
        <v>40</v>
      </c>
      <c r="D6316">
        <v>5.0895539999999997</v>
      </c>
      <c r="E6316">
        <v>0.59258290000000002</v>
      </c>
      <c r="F6316" t="s">
        <v>42</v>
      </c>
      <c r="G6316">
        <v>-185.19030000000001</v>
      </c>
      <c r="H6316" s="1">
        <v>-2.3647739999999999E-6</v>
      </c>
      <c r="I6316">
        <v>112.8365</v>
      </c>
      <c r="J6316">
        <v>-188.05860000000001</v>
      </c>
      <c r="K6316">
        <v>1.1079460000000001</v>
      </c>
      <c r="L6316">
        <v>106.0167</v>
      </c>
      <c r="M6316">
        <v>2.214969E-2</v>
      </c>
      <c r="N6316">
        <v>0</v>
      </c>
      <c r="O6316">
        <v>0.99965950000000003</v>
      </c>
      <c r="P6316">
        <v>0.15622800000000001</v>
      </c>
      <c r="Q6316">
        <v>6.8314880000000001E-3</v>
      </c>
      <c r="R6316">
        <v>0.98769739999999995</v>
      </c>
      <c r="S6316">
        <v>1.169983</v>
      </c>
      <c r="T6316">
        <v>-0.45086799999999999</v>
      </c>
      <c r="U6316">
        <v>2.861389</v>
      </c>
      <c r="V6316">
        <v>0.134411999999999</v>
      </c>
      <c r="W6316">
        <v>1.9820170000000002E-2</v>
      </c>
      <c r="X6316">
        <v>0.99072729999999998</v>
      </c>
      <c r="Y6316">
        <v>0.35388740000000002</v>
      </c>
      <c r="Z6316">
        <v>-0.1448747</v>
      </c>
      <c r="AA6316">
        <v>0.92399949999999997</v>
      </c>
      <c r="AB6316">
        <v>23</v>
      </c>
      <c r="AC6316">
        <v>2.8683000000000001</v>
      </c>
      <c r="AD6316">
        <v>-1.1079483647739901</v>
      </c>
      <c r="AE6316">
        <v>6.8197999999999999</v>
      </c>
      <c r="AF6316">
        <v>2.65693975866506</v>
      </c>
      <c r="AG6316">
        <v>-1.1079483647739901</v>
      </c>
      <c r="AH6316">
        <v>6.7307187799683801</v>
      </c>
      <c r="AI6316">
        <v>98.705117230136196</v>
      </c>
      <c r="AJ6316">
        <v>68.458456373012694</v>
      </c>
      <c r="AK6316">
        <v>7.3204817980239296</v>
      </c>
      <c r="AL6316">
        <v>88.864313548932401</v>
      </c>
      <c r="AM6316">
        <v>82.273852968884995</v>
      </c>
      <c r="AN6316">
        <v>1.00000000392405</v>
      </c>
    </row>
    <row r="6317" spans="1:40" x14ac:dyDescent="0.25">
      <c r="A6317" t="str">
        <f>"20190312154730712"</f>
        <v>20190312154730712</v>
      </c>
      <c r="B6317" t="str">
        <f>"1552376850704489"</f>
        <v>1552376850704489</v>
      </c>
      <c r="C6317" t="s">
        <v>40</v>
      </c>
      <c r="D6317">
        <v>5.1202560000000004</v>
      </c>
      <c r="E6317">
        <v>0.59221420000000002</v>
      </c>
      <c r="F6317" t="s">
        <v>42</v>
      </c>
      <c r="G6317">
        <v>-185.14869999999999</v>
      </c>
      <c r="H6317" s="1">
        <v>-2.4391999999999999E-6</v>
      </c>
      <c r="I6317">
        <v>113.0227</v>
      </c>
      <c r="J6317">
        <v>-188.0496</v>
      </c>
      <c r="K6317">
        <v>1.1077900000000001</v>
      </c>
      <c r="L6317">
        <v>106.2495</v>
      </c>
      <c r="M6317">
        <v>2.5528329999999998E-2</v>
      </c>
      <c r="N6317">
        <v>0</v>
      </c>
      <c r="O6317">
        <v>0.99957879999999999</v>
      </c>
      <c r="P6317">
        <v>0.16253509999999999</v>
      </c>
      <c r="Q6317">
        <v>7.0173149999999997E-3</v>
      </c>
      <c r="R6317">
        <v>0.98667780000000005</v>
      </c>
      <c r="S6317">
        <v>1.184982</v>
      </c>
      <c r="T6317">
        <v>-0.45119140000000002</v>
      </c>
      <c r="U6317">
        <v>2.853043</v>
      </c>
      <c r="V6317">
        <v>0.13740139999999901</v>
      </c>
      <c r="W6317">
        <v>1.9941739999999999E-2</v>
      </c>
      <c r="X6317">
        <v>0.99031469999999999</v>
      </c>
      <c r="Y6317">
        <v>0.3558133</v>
      </c>
      <c r="Z6317">
        <v>-0.14515069999999999</v>
      </c>
      <c r="AA6317">
        <v>0.92321620000000004</v>
      </c>
      <c r="AB6317">
        <v>23</v>
      </c>
      <c r="AC6317">
        <v>2.9009</v>
      </c>
      <c r="AD6317">
        <v>-1.1077924392</v>
      </c>
      <c r="AE6317">
        <v>6.7732000000000001</v>
      </c>
      <c r="AF6317">
        <v>2.66675023509343</v>
      </c>
      <c r="AG6317">
        <v>-1.1077924392</v>
      </c>
      <c r="AH6317">
        <v>6.6937488820959796</v>
      </c>
      <c r="AI6317">
        <v>98.740483175214806</v>
      </c>
      <c r="AJ6317">
        <v>68.277953208698406</v>
      </c>
      <c r="AK6317">
        <v>7.2900641287495302</v>
      </c>
      <c r="AL6317">
        <v>88.8573467325933</v>
      </c>
      <c r="AM6317">
        <v>82.100915047339797</v>
      </c>
      <c r="AN6317">
        <v>1.00000001137613</v>
      </c>
    </row>
    <row r="6318" spans="1:40" x14ac:dyDescent="0.25">
      <c r="A6318" t="str">
        <f>"20190312154730732"</f>
        <v>20190312154730732</v>
      </c>
      <c r="B6318" t="str">
        <f>"1552376850724985"</f>
        <v>1552376850724985</v>
      </c>
      <c r="C6318" t="s">
        <v>40</v>
      </c>
      <c r="D6318">
        <v>5.1233760000000004</v>
      </c>
      <c r="E6318">
        <v>0.59188540000000001</v>
      </c>
      <c r="F6318" t="s">
        <v>42</v>
      </c>
      <c r="G6318">
        <v>-185.04179999999999</v>
      </c>
      <c r="H6318" s="1">
        <v>-2.5900760000000002E-6</v>
      </c>
      <c r="I6318">
        <v>113.3824</v>
      </c>
      <c r="J6318">
        <v>-188.04069999999999</v>
      </c>
      <c r="K6318">
        <v>1.1076820000000001</v>
      </c>
      <c r="L6318">
        <v>106.4597</v>
      </c>
      <c r="M6318">
        <v>2.8773989999999999E-2</v>
      </c>
      <c r="N6318">
        <v>0</v>
      </c>
      <c r="O6318">
        <v>0.99949060000000001</v>
      </c>
      <c r="P6318">
        <v>0.16864770000000001</v>
      </c>
      <c r="Q6318">
        <v>7.2527829999999996E-3</v>
      </c>
      <c r="R6318">
        <v>0.98564969999999996</v>
      </c>
      <c r="S6318">
        <v>1.2001040000000001</v>
      </c>
      <c r="T6318">
        <v>-0.44199939999999999</v>
      </c>
      <c r="U6318">
        <v>2.8459629999999998</v>
      </c>
      <c r="V6318">
        <v>0.14033090000000001</v>
      </c>
      <c r="W6318">
        <v>2.012243E-2</v>
      </c>
      <c r="X6318">
        <v>0.98990020000000001</v>
      </c>
      <c r="Y6318">
        <v>0.35792679999999999</v>
      </c>
      <c r="Z6318">
        <v>-0.14236209999999999</v>
      </c>
      <c r="AA6318">
        <v>0.92283340000000003</v>
      </c>
      <c r="AB6318">
        <v>23</v>
      </c>
      <c r="AC6318">
        <v>2.9988999999999901</v>
      </c>
      <c r="AD6318">
        <v>-1.107684590076</v>
      </c>
      <c r="AE6318">
        <v>6.9226999999999999</v>
      </c>
      <c r="AF6318">
        <v>2.7393922077986699</v>
      </c>
      <c r="AG6318">
        <v>-1.107684590076</v>
      </c>
      <c r="AH6318">
        <v>6.8582873147237899</v>
      </c>
      <c r="AI6318">
        <v>98.530103672667096</v>
      </c>
      <c r="AJ6318">
        <v>68.226847230233204</v>
      </c>
      <c r="AK6318">
        <v>7.4677533241625804</v>
      </c>
      <c r="AL6318">
        <v>88.8469919132705</v>
      </c>
      <c r="AM6318">
        <v>81.931361280320203</v>
      </c>
      <c r="AN6318">
        <v>1.0000000398219699</v>
      </c>
    </row>
    <row r="6319" spans="1:40" x14ac:dyDescent="0.25">
      <c r="A6319" t="str">
        <f>"20190312154730756"</f>
        <v>20190312154730756</v>
      </c>
      <c r="B6319" t="str">
        <f>"1552376850744505"</f>
        <v>1552376850744505</v>
      </c>
      <c r="C6319" t="s">
        <v>40</v>
      </c>
      <c r="D6319">
        <v>5.1164639999999997</v>
      </c>
      <c r="E6319">
        <v>0.59161719999999995</v>
      </c>
      <c r="F6319" t="s">
        <v>42</v>
      </c>
      <c r="G6319">
        <v>-184.9384</v>
      </c>
      <c r="H6319" s="1">
        <v>-2.727947E-6</v>
      </c>
      <c r="I6319">
        <v>113.7067</v>
      </c>
      <c r="J6319">
        <v>-188.0292</v>
      </c>
      <c r="K6319">
        <v>1.107578</v>
      </c>
      <c r="L6319">
        <v>106.7037</v>
      </c>
      <c r="M6319">
        <v>3.2748760000000002E-2</v>
      </c>
      <c r="N6319">
        <v>0</v>
      </c>
      <c r="O6319">
        <v>0.99936809999999998</v>
      </c>
      <c r="P6319">
        <v>0.17552970000000001</v>
      </c>
      <c r="Q6319">
        <v>8.6433969999999902E-3</v>
      </c>
      <c r="R6319">
        <v>0.98443619999999998</v>
      </c>
      <c r="S6319">
        <v>1.2153020000000001</v>
      </c>
      <c r="T6319">
        <v>-0.43391990000000003</v>
      </c>
      <c r="U6319">
        <v>2.8389280000000001</v>
      </c>
      <c r="V6319">
        <v>0.14332429999999999</v>
      </c>
      <c r="W6319">
        <v>2.1457279999999999E-2</v>
      </c>
      <c r="X6319">
        <v>0.98944310000000002</v>
      </c>
      <c r="Y6319">
        <v>0.35935800000000001</v>
      </c>
      <c r="Z6319">
        <v>-0.13992379999999999</v>
      </c>
      <c r="AA6319">
        <v>0.92265010000000003</v>
      </c>
      <c r="AB6319">
        <v>23</v>
      </c>
      <c r="AC6319">
        <v>3.0908000000000002</v>
      </c>
      <c r="AD6319">
        <v>-1.107580727947</v>
      </c>
      <c r="AE6319">
        <v>7.0029999999999903</v>
      </c>
      <c r="AF6319">
        <v>2.80113629909498</v>
      </c>
      <c r="AG6319">
        <v>-1.107580727947</v>
      </c>
      <c r="AH6319">
        <v>6.9548667258950703</v>
      </c>
      <c r="AI6319">
        <v>98.403040568575307</v>
      </c>
      <c r="AJ6319">
        <v>68.062437227835503</v>
      </c>
      <c r="AK6319">
        <v>7.57913390896279</v>
      </c>
      <c r="AL6319">
        <v>88.770494006289397</v>
      </c>
      <c r="AM6319">
        <v>81.757833705559804</v>
      </c>
      <c r="AN6319">
        <v>0.99999995898654803</v>
      </c>
    </row>
    <row r="6320" spans="1:40" x14ac:dyDescent="0.25">
      <c r="A6320" t="str">
        <f>"20190312154730776"</f>
        <v>20190312154730776</v>
      </c>
      <c r="B6320" t="str">
        <f>"1552376850765001"</f>
        <v>1552376850765001</v>
      </c>
      <c r="C6320" t="s">
        <v>40</v>
      </c>
      <c r="D6320">
        <v>5.140568</v>
      </c>
      <c r="E6320">
        <v>0.59123440000000005</v>
      </c>
      <c r="F6320" t="s">
        <v>42</v>
      </c>
      <c r="G6320">
        <v>-184.82079999999999</v>
      </c>
      <c r="H6320" s="1">
        <v>-2.8838490000000001E-6</v>
      </c>
      <c r="I6320">
        <v>114.0729</v>
      </c>
      <c r="J6320">
        <v>-188.0181</v>
      </c>
      <c r="K6320">
        <v>1.107488</v>
      </c>
      <c r="L6320">
        <v>106.9186</v>
      </c>
      <c r="M6320">
        <v>3.6404199999999998E-2</v>
      </c>
      <c r="N6320">
        <v>0</v>
      </c>
      <c r="O6320">
        <v>0.9992415</v>
      </c>
      <c r="P6320">
        <v>0.18257180000000001</v>
      </c>
      <c r="Q6320">
        <v>8.7427559999999904E-3</v>
      </c>
      <c r="R6320">
        <v>0.98315359999999996</v>
      </c>
      <c r="S6320">
        <v>1.232712</v>
      </c>
      <c r="T6320">
        <v>-0.4255488</v>
      </c>
      <c r="U6320">
        <v>2.8313600000000001</v>
      </c>
      <c r="V6320">
        <v>0.146792899999999</v>
      </c>
      <c r="W6320">
        <v>2.1501619999999999E-2</v>
      </c>
      <c r="X6320">
        <v>0.98893350000000002</v>
      </c>
      <c r="Y6320">
        <v>0.36176449999999999</v>
      </c>
      <c r="Z6320">
        <v>-0.13735990000000001</v>
      </c>
      <c r="AA6320">
        <v>0.92209479999999999</v>
      </c>
      <c r="AB6320">
        <v>23</v>
      </c>
      <c r="AC6320">
        <v>3.19730000000001</v>
      </c>
      <c r="AD6320">
        <v>-1.1074908838490001</v>
      </c>
      <c r="AE6320">
        <v>7.1543000000000001</v>
      </c>
      <c r="AF6320">
        <v>2.8772389185729401</v>
      </c>
      <c r="AG6320">
        <v>-1.1074908838490001</v>
      </c>
      <c r="AH6320">
        <v>7.1236750776654896</v>
      </c>
      <c r="AI6320">
        <v>98.202805785151298</v>
      </c>
      <c r="AJ6320">
        <v>68.006310557227096</v>
      </c>
      <c r="AK6320">
        <v>7.7622024235723099</v>
      </c>
      <c r="AL6320">
        <v>88.767952940226394</v>
      </c>
      <c r="AM6320">
        <v>81.556917707890307</v>
      </c>
      <c r="AN6320">
        <v>0.99999997128764095</v>
      </c>
    </row>
    <row r="6321" spans="1:40" x14ac:dyDescent="0.25">
      <c r="A6321" t="str">
        <f>"20190312154730800"</f>
        <v>20190312154730800</v>
      </c>
      <c r="B6321" t="str">
        <f>"1552376850794281"</f>
        <v>1552376850794281</v>
      </c>
      <c r="C6321" t="s">
        <v>40</v>
      </c>
      <c r="D6321">
        <v>5.1305209999999999</v>
      </c>
      <c r="E6321">
        <v>0.59081899999999998</v>
      </c>
      <c r="F6321" t="s">
        <v>42</v>
      </c>
      <c r="G6321">
        <v>-184.7415</v>
      </c>
      <c r="H6321" s="1">
        <v>-2.9901559999999998E-6</v>
      </c>
      <c r="I6321">
        <v>114.3233</v>
      </c>
      <c r="J6321">
        <v>-188.00470000000001</v>
      </c>
      <c r="K6321">
        <v>1.10738799999999</v>
      </c>
      <c r="L6321">
        <v>107.15779999999999</v>
      </c>
      <c r="M6321">
        <v>4.0628070000000002E-2</v>
      </c>
      <c r="N6321">
        <v>0</v>
      </c>
      <c r="O6321">
        <v>0.99907860000000004</v>
      </c>
      <c r="P6321">
        <v>0.18915409999999999</v>
      </c>
      <c r="Q6321">
        <v>9.292659E-3</v>
      </c>
      <c r="R6321">
        <v>0.98190339999999998</v>
      </c>
      <c r="S6321">
        <v>1.249268</v>
      </c>
      <c r="T6321">
        <v>-0.42224850000000003</v>
      </c>
      <c r="U6321">
        <v>2.8231660000000001</v>
      </c>
      <c r="V6321">
        <v>0.14924660000000001</v>
      </c>
      <c r="W6321">
        <v>2.200218E-2</v>
      </c>
      <c r="X6321">
        <v>0.98855519999999997</v>
      </c>
      <c r="Y6321">
        <v>0.36339199999999999</v>
      </c>
      <c r="Z6321">
        <v>-0.1364418</v>
      </c>
      <c r="AA6321">
        <v>0.92159089999999999</v>
      </c>
      <c r="AB6321">
        <v>23</v>
      </c>
      <c r="AC6321">
        <v>3.2632000000000101</v>
      </c>
      <c r="AD6321">
        <v>-1.10739099015599</v>
      </c>
      <c r="AE6321">
        <v>7.1654999999999998</v>
      </c>
      <c r="AF6321">
        <v>2.9117578245114002</v>
      </c>
      <c r="AG6321">
        <v>-1.10739099015599</v>
      </c>
      <c r="AH6321">
        <v>7.1507204778229996</v>
      </c>
      <c r="AI6321">
        <v>98.162215276482399</v>
      </c>
      <c r="AJ6321">
        <v>67.843953727186999</v>
      </c>
      <c r="AK6321">
        <v>7.79983665121516</v>
      </c>
      <c r="AL6321">
        <v>88.739266229621506</v>
      </c>
      <c r="AM6321">
        <v>81.414637644401097</v>
      </c>
      <c r="AN6321">
        <v>1.00000001349167</v>
      </c>
    </row>
    <row r="6322" spans="1:40" x14ac:dyDescent="0.25">
      <c r="A6322" t="str">
        <f>"20190312154730821"</f>
        <v>20190312154730821</v>
      </c>
      <c r="B6322" t="str">
        <f>"1552376850814777"</f>
        <v>1552376850814777</v>
      </c>
      <c r="C6322" t="s">
        <v>40</v>
      </c>
      <c r="D6322">
        <v>5.1034350000000002</v>
      </c>
      <c r="E6322">
        <v>0.59038930000000001</v>
      </c>
      <c r="F6322" t="s">
        <v>42</v>
      </c>
      <c r="G6322">
        <v>-184.63990000000001</v>
      </c>
      <c r="H6322" s="1">
        <v>-3.1278310000000002E-6</v>
      </c>
      <c r="I6322">
        <v>114.6484</v>
      </c>
      <c r="J6322">
        <v>-187.9913</v>
      </c>
      <c r="K6322">
        <v>1.1072959999999901</v>
      </c>
      <c r="L6322">
        <v>107.3762</v>
      </c>
      <c r="M6322">
        <v>4.4627310000000003E-2</v>
      </c>
      <c r="N6322">
        <v>0</v>
      </c>
      <c r="O6322">
        <v>0.99890789999999996</v>
      </c>
      <c r="P6322">
        <v>0.1946956</v>
      </c>
      <c r="Q6322">
        <v>1.000295E-2</v>
      </c>
      <c r="R6322">
        <v>0.98081269999999998</v>
      </c>
      <c r="S6322">
        <v>1.26474</v>
      </c>
      <c r="T6322">
        <v>-0.41624689999999998</v>
      </c>
      <c r="U6322">
        <v>2.815582</v>
      </c>
      <c r="V6322">
        <v>0.1508813</v>
      </c>
      <c r="W6322">
        <v>2.2672919999999999E-2</v>
      </c>
      <c r="X6322">
        <v>0.9882919</v>
      </c>
      <c r="Y6322">
        <v>0.36490990000000001</v>
      </c>
      <c r="Z6322">
        <v>-0.13464760000000001</v>
      </c>
      <c r="AA6322">
        <v>0.92125509999999999</v>
      </c>
      <c r="AB6322">
        <v>23</v>
      </c>
      <c r="AC6322">
        <v>3.35139999999998</v>
      </c>
      <c r="AD6322">
        <v>-1.10729912783099</v>
      </c>
      <c r="AE6322">
        <v>7.27219999999999</v>
      </c>
      <c r="AF6322">
        <v>2.96675700555656</v>
      </c>
      <c r="AG6322">
        <v>-1.10729912783099</v>
      </c>
      <c r="AH6322">
        <v>7.2754033898107897</v>
      </c>
      <c r="AI6322">
        <v>98.021906701876205</v>
      </c>
      <c r="AJ6322">
        <v>67.815394718090602</v>
      </c>
      <c r="AK6322">
        <v>7.9346866965863603</v>
      </c>
      <c r="AL6322">
        <v>88.700826119275703</v>
      </c>
      <c r="AM6322">
        <v>81.319749244959496</v>
      </c>
      <c r="AN6322">
        <v>1.00000005379831</v>
      </c>
    </row>
    <row r="6323" spans="1:40" x14ac:dyDescent="0.25">
      <c r="A6323" t="str">
        <f>"20190312154730846"</f>
        <v>20190312154730846</v>
      </c>
      <c r="B6323" t="str">
        <f>"1552376850834297"</f>
        <v>1552376850834297</v>
      </c>
      <c r="C6323" t="s">
        <v>40</v>
      </c>
      <c r="D6323">
        <v>5.0741949999999996</v>
      </c>
      <c r="E6323">
        <v>0.59006230000000004</v>
      </c>
      <c r="F6323" t="s">
        <v>42</v>
      </c>
      <c r="G6323">
        <v>-184.54849999999999</v>
      </c>
      <c r="H6323" s="1">
        <v>-3.2526029999999999E-6</v>
      </c>
      <c r="I6323">
        <v>114.9436</v>
      </c>
      <c r="J6323">
        <v>-187.9743</v>
      </c>
      <c r="K6323">
        <v>1.1071949999999999</v>
      </c>
      <c r="L6323">
        <v>107.6307</v>
      </c>
      <c r="M6323">
        <v>4.9467690000000002E-2</v>
      </c>
      <c r="N6323">
        <v>0</v>
      </c>
      <c r="O6323">
        <v>0.99867980000000001</v>
      </c>
      <c r="P6323">
        <v>0.20072309999999999</v>
      </c>
      <c r="Q6323">
        <v>1.012264E-2</v>
      </c>
      <c r="R6323">
        <v>0.97959569999999996</v>
      </c>
      <c r="S6323">
        <v>1.278046</v>
      </c>
      <c r="T6323">
        <v>-0.41105320000000001</v>
      </c>
      <c r="U6323">
        <v>2.8091740000000001</v>
      </c>
      <c r="V6323">
        <v>0.1521757</v>
      </c>
      <c r="W6323">
        <v>2.275253E-2</v>
      </c>
      <c r="X6323">
        <v>0.98809150000000001</v>
      </c>
      <c r="Y6323">
        <v>0.36489870000000002</v>
      </c>
      <c r="Z6323">
        <v>-0.13310350000000001</v>
      </c>
      <c r="AA6323">
        <v>0.92148379999999996</v>
      </c>
      <c r="AB6323">
        <v>23</v>
      </c>
      <c r="AC6323">
        <v>3.4258000000000002</v>
      </c>
      <c r="AD6323">
        <v>-1.107198252603</v>
      </c>
      <c r="AE6323">
        <v>7.3128999999999902</v>
      </c>
      <c r="AF6323">
        <v>3.00336169825716</v>
      </c>
      <c r="AG6323">
        <v>-1.107198252603</v>
      </c>
      <c r="AH6323">
        <v>7.3355363500702904</v>
      </c>
      <c r="AI6323">
        <v>97.951748238285603</v>
      </c>
      <c r="AJ6323">
        <v>67.734515439843904</v>
      </c>
      <c r="AK6323">
        <v>8.0035094180195596</v>
      </c>
      <c r="AL6323">
        <v>88.6962635121386</v>
      </c>
      <c r="AM6323">
        <v>81.244682728746994</v>
      </c>
      <c r="AN6323">
        <v>0.99999996683206904</v>
      </c>
    </row>
    <row r="6324" spans="1:40" x14ac:dyDescent="0.25">
      <c r="A6324" t="str">
        <f>"20190312154730867"</f>
        <v>20190312154730867</v>
      </c>
      <c r="B6324" t="str">
        <f>"1552376850854793"</f>
        <v>1552376850854793</v>
      </c>
      <c r="C6324" t="s">
        <v>40</v>
      </c>
      <c r="D6324">
        <v>5.0888479999999996</v>
      </c>
      <c r="E6324">
        <v>0.58972480000000005</v>
      </c>
      <c r="F6324" t="s">
        <v>42</v>
      </c>
      <c r="G6324">
        <v>-184.4639</v>
      </c>
      <c r="H6324" s="1">
        <v>-3.3861530000000001E-6</v>
      </c>
      <c r="I6324">
        <v>115.23690000000001</v>
      </c>
      <c r="J6324">
        <v>-187.95840000000001</v>
      </c>
      <c r="K6324">
        <v>1.1071059999999999</v>
      </c>
      <c r="L6324">
        <v>107.85120000000001</v>
      </c>
      <c r="M6324">
        <v>5.3814859999999999E-2</v>
      </c>
      <c r="N6324">
        <v>0</v>
      </c>
      <c r="O6324">
        <v>0.99845479999999998</v>
      </c>
      <c r="P6324">
        <v>0.20565059999999999</v>
      </c>
      <c r="Q6324">
        <v>1.091319E-2</v>
      </c>
      <c r="R6324">
        <v>0.97856460000000001</v>
      </c>
      <c r="S6324">
        <v>1.2930600000000001</v>
      </c>
      <c r="T6324">
        <v>-0.40784039999999999</v>
      </c>
      <c r="U6324">
        <v>2.801758</v>
      </c>
      <c r="V6324">
        <v>0.15285770000000001</v>
      </c>
      <c r="W6324">
        <v>2.3514790000000001E-2</v>
      </c>
      <c r="X6324">
        <v>0.98796839999999997</v>
      </c>
      <c r="Y6324">
        <v>0.3659019</v>
      </c>
      <c r="Z6324">
        <v>-0.13218440000000001</v>
      </c>
      <c r="AA6324">
        <v>0.92121830000000005</v>
      </c>
      <c r="AB6324">
        <v>23</v>
      </c>
      <c r="AC6324">
        <v>3.4945000000000102</v>
      </c>
      <c r="AD6324">
        <v>-1.1071093861529999</v>
      </c>
      <c r="AE6324">
        <v>7.3856999999999999</v>
      </c>
      <c r="AF6324">
        <v>3.0361932754591798</v>
      </c>
      <c r="AG6324">
        <v>-1.1071093861529999</v>
      </c>
      <c r="AH6324">
        <v>7.4267177805398701</v>
      </c>
      <c r="AI6324">
        <v>97.856371859364401</v>
      </c>
      <c r="AJ6324">
        <v>67.764257674989906</v>
      </c>
      <c r="AK6324">
        <v>8.0994010760449893</v>
      </c>
      <c r="AL6324">
        <v>88.652577569573594</v>
      </c>
      <c r="AM6324">
        <v>81.204977768935393</v>
      </c>
      <c r="AN6324">
        <v>0.99999999059829703</v>
      </c>
    </row>
    <row r="6325" spans="1:40" x14ac:dyDescent="0.25">
      <c r="A6325" t="str">
        <f>"20190312154730889"</f>
        <v>20190312154730889</v>
      </c>
      <c r="B6325" t="str">
        <f>"1552376850885049"</f>
        <v>1552376850885049</v>
      </c>
      <c r="C6325" t="s">
        <v>40</v>
      </c>
      <c r="D6325">
        <v>5.0914239999999999</v>
      </c>
      <c r="E6325">
        <v>0.58920439999999996</v>
      </c>
      <c r="F6325" t="s">
        <v>42</v>
      </c>
      <c r="G6325">
        <v>-184.38290000000001</v>
      </c>
      <c r="H6325" s="1">
        <v>-3.5195560000000002E-6</v>
      </c>
      <c r="I6325">
        <v>115.51439999999999</v>
      </c>
      <c r="J6325">
        <v>-187.94069999999999</v>
      </c>
      <c r="K6325">
        <v>1.1070420000000001</v>
      </c>
      <c r="L6325">
        <v>108.0797</v>
      </c>
      <c r="M6325">
        <v>5.8446209999999998E-2</v>
      </c>
      <c r="N6325">
        <v>0</v>
      </c>
      <c r="O6325">
        <v>0.99819429999999998</v>
      </c>
      <c r="P6325">
        <v>0.21101120000000001</v>
      </c>
      <c r="Q6325">
        <v>1.2134519999999999E-2</v>
      </c>
      <c r="R6325">
        <v>0.97740830000000001</v>
      </c>
      <c r="S6325">
        <v>1.3045960000000001</v>
      </c>
      <c r="T6325">
        <v>-0.4039526</v>
      </c>
      <c r="U6325">
        <v>2.7960660000000002</v>
      </c>
      <c r="V6325">
        <v>0.1537036</v>
      </c>
      <c r="W6325">
        <v>2.4709869999999998E-2</v>
      </c>
      <c r="X6325">
        <v>0.98780800000000002</v>
      </c>
      <c r="Y6325">
        <v>0.36549510000000002</v>
      </c>
      <c r="Z6325">
        <v>-0.13103770000000001</v>
      </c>
      <c r="AA6325">
        <v>0.92154349999999996</v>
      </c>
      <c r="AB6325">
        <v>23</v>
      </c>
      <c r="AC6325">
        <v>3.5577999999999799</v>
      </c>
      <c r="AD6325">
        <v>-1.1070455195559901</v>
      </c>
      <c r="AE6325">
        <v>7.4346999999999897</v>
      </c>
      <c r="AF6325">
        <v>3.0619064185848099</v>
      </c>
      <c r="AG6325">
        <v>-1.1070455195559901</v>
      </c>
      <c r="AH6325">
        <v>7.4947383741092404</v>
      </c>
      <c r="AI6325">
        <v>97.7862568227293</v>
      </c>
      <c r="AJ6325">
        <v>67.777981784473297</v>
      </c>
      <c r="AK6325">
        <v>8.1714089357273902</v>
      </c>
      <c r="AL6325">
        <v>88.584084637618801</v>
      </c>
      <c r="AM6325">
        <v>81.155660902421005</v>
      </c>
      <c r="AN6325">
        <v>1.0000000095961801</v>
      </c>
    </row>
    <row r="6326" spans="1:40" x14ac:dyDescent="0.25">
      <c r="A6326" t="str">
        <f>"20190312154730910"</f>
        <v>20190312154730910</v>
      </c>
      <c r="B6326" t="str">
        <f>"1552376850904570"</f>
        <v>1552376850904570</v>
      </c>
      <c r="C6326" t="s">
        <v>40</v>
      </c>
      <c r="D6326">
        <v>5.0582719999999997</v>
      </c>
      <c r="E6326">
        <v>0.58891990000000005</v>
      </c>
      <c r="F6326" t="s">
        <v>42</v>
      </c>
      <c r="G6326">
        <v>-184.28229999999999</v>
      </c>
      <c r="H6326" s="1">
        <v>-3.675791E-6</v>
      </c>
      <c r="I6326">
        <v>115.837</v>
      </c>
      <c r="J6326">
        <v>-187.92339999999999</v>
      </c>
      <c r="K6326">
        <v>1.106989</v>
      </c>
      <c r="L6326">
        <v>108.2899</v>
      </c>
      <c r="M6326">
        <v>6.2817599999999904E-2</v>
      </c>
      <c r="N6326">
        <v>0</v>
      </c>
      <c r="O6326">
        <v>0.99792860000000005</v>
      </c>
      <c r="P6326">
        <v>0.2157819</v>
      </c>
      <c r="Q6326">
        <v>1.3051979999999999E-2</v>
      </c>
      <c r="R6326">
        <v>0.97635439999999996</v>
      </c>
      <c r="S6326">
        <v>1.315887</v>
      </c>
      <c r="T6326">
        <v>-0.3981941</v>
      </c>
      <c r="U6326">
        <v>2.7902070000000001</v>
      </c>
      <c r="V6326">
        <v>0.15421219999999999</v>
      </c>
      <c r="W6326">
        <v>2.5608430000000001E-2</v>
      </c>
      <c r="X6326">
        <v>0.98770579999999997</v>
      </c>
      <c r="Y6326">
        <v>0.3653189</v>
      </c>
      <c r="Z6326">
        <v>-0.12929309999999999</v>
      </c>
      <c r="AA6326">
        <v>0.92185969999999995</v>
      </c>
      <c r="AB6326">
        <v>23</v>
      </c>
      <c r="AC6326">
        <v>3.64109999999999</v>
      </c>
      <c r="AD6326">
        <v>-1.106992675791</v>
      </c>
      <c r="AE6326">
        <v>7.5471000000000004</v>
      </c>
      <c r="AF6326">
        <v>3.1055719801293198</v>
      </c>
      <c r="AG6326">
        <v>-1.106992675791</v>
      </c>
      <c r="AH6326">
        <v>7.6278164193025804</v>
      </c>
      <c r="AI6326">
        <v>97.655387618724106</v>
      </c>
      <c r="AJ6326">
        <v>67.846906492407896</v>
      </c>
      <c r="AK6326">
        <v>8.3098491824221004</v>
      </c>
      <c r="AL6326">
        <v>88.532584581958403</v>
      </c>
      <c r="AM6326">
        <v>81.125956710199404</v>
      </c>
      <c r="AN6326">
        <v>0.99999997083477199</v>
      </c>
    </row>
    <row r="6327" spans="1:40" x14ac:dyDescent="0.25">
      <c r="A6327" t="str">
        <f>"20190312154730932"</f>
        <v>20190312154730932</v>
      </c>
      <c r="B6327" t="str">
        <f>"1552376850925065"</f>
        <v>1552376850925065</v>
      </c>
      <c r="C6327" t="s">
        <v>40</v>
      </c>
      <c r="D6327">
        <v>5.0453590000000004</v>
      </c>
      <c r="E6327">
        <v>0.58862910000000002</v>
      </c>
      <c r="F6327" t="s">
        <v>42</v>
      </c>
      <c r="G6327">
        <v>-184.1995</v>
      </c>
      <c r="H6327" s="1">
        <v>-3.804087E-6</v>
      </c>
      <c r="I6327">
        <v>116.1018</v>
      </c>
      <c r="J6327">
        <v>-187.9032</v>
      </c>
      <c r="K6327">
        <v>1.1069260000000001</v>
      </c>
      <c r="L6327">
        <v>108.52079999999999</v>
      </c>
      <c r="M6327">
        <v>6.7752030000000005E-2</v>
      </c>
      <c r="N6327">
        <v>0</v>
      </c>
      <c r="O6327">
        <v>0.99760570000000004</v>
      </c>
      <c r="P6327">
        <v>0.22161159999999999</v>
      </c>
      <c r="Q6327">
        <v>1.2894910000000001E-2</v>
      </c>
      <c r="R6327">
        <v>0.97504970000000002</v>
      </c>
      <c r="S6327">
        <v>1.327393</v>
      </c>
      <c r="T6327">
        <v>-0.39459060000000001</v>
      </c>
      <c r="U6327">
        <v>2.7845610000000001</v>
      </c>
      <c r="V6327">
        <v>0.1552316</v>
      </c>
      <c r="W6327">
        <v>2.542633E-2</v>
      </c>
      <c r="X6327">
        <v>0.98755090000000001</v>
      </c>
      <c r="Y6327">
        <v>0.36461139999999997</v>
      </c>
      <c r="Z6327">
        <v>-0.1282239</v>
      </c>
      <c r="AA6327">
        <v>0.92228909999999997</v>
      </c>
      <c r="AB6327">
        <v>23</v>
      </c>
      <c r="AC6327">
        <v>3.7036999999999898</v>
      </c>
      <c r="AD6327">
        <v>-1.1069298040869999</v>
      </c>
      <c r="AE6327">
        <v>7.5810000000000004</v>
      </c>
      <c r="AF6327">
        <v>3.12767726303233</v>
      </c>
      <c r="AG6327">
        <v>-1.1069298040869999</v>
      </c>
      <c r="AH6327">
        <v>7.6823075828615002</v>
      </c>
      <c r="AI6327">
        <v>97.601325278994395</v>
      </c>
      <c r="AJ6327">
        <v>67.847419117129405</v>
      </c>
      <c r="AK6327">
        <v>8.3681245479830704</v>
      </c>
      <c r="AL6327">
        <v>88.543021677983106</v>
      </c>
      <c r="AM6327">
        <v>81.066860323877904</v>
      </c>
      <c r="AN6327">
        <v>1.00000006399331</v>
      </c>
    </row>
    <row r="6328" spans="1:40" x14ac:dyDescent="0.25">
      <c r="A6328" t="str">
        <f>"20190312154730955"</f>
        <v>20190312154730955</v>
      </c>
      <c r="B6328" t="str">
        <f>"1552376850945019"</f>
        <v>1552376850945019</v>
      </c>
      <c r="C6328" t="s">
        <v>40</v>
      </c>
      <c r="D6328">
        <v>5.0276040000000002</v>
      </c>
      <c r="E6328">
        <v>0.58833579999999996</v>
      </c>
      <c r="F6328" t="s">
        <v>42</v>
      </c>
      <c r="G6328">
        <v>-184.13910000000001</v>
      </c>
      <c r="H6328" s="1">
        <v>-3.9054580000000002E-6</v>
      </c>
      <c r="I6328">
        <v>116.31310000000001</v>
      </c>
      <c r="J6328">
        <v>-187.881</v>
      </c>
      <c r="K6328">
        <v>1.106859</v>
      </c>
      <c r="L6328">
        <v>108.75839999999999</v>
      </c>
      <c r="M6328">
        <v>7.2982320000000003E-2</v>
      </c>
      <c r="N6328">
        <v>0</v>
      </c>
      <c r="O6328">
        <v>0.99723649999999997</v>
      </c>
      <c r="P6328">
        <v>0.22798460000000001</v>
      </c>
      <c r="Q6328">
        <v>1.2947439999999999E-2</v>
      </c>
      <c r="R6328">
        <v>0.97357859999999996</v>
      </c>
      <c r="S6328">
        <v>1.3414919999999999</v>
      </c>
      <c r="T6328">
        <v>-0.3944975</v>
      </c>
      <c r="U6328">
        <v>2.7770999999999999</v>
      </c>
      <c r="V6328">
        <v>0.15651770000000001</v>
      </c>
      <c r="W6328">
        <v>2.5447310000000001E-2</v>
      </c>
      <c r="X6328">
        <v>0.98734730000000004</v>
      </c>
      <c r="Y6328">
        <v>0.36449789999999999</v>
      </c>
      <c r="Z6328">
        <v>-0.12829869999999999</v>
      </c>
      <c r="AA6328">
        <v>0.92232349999999996</v>
      </c>
      <c r="AB6328">
        <v>23</v>
      </c>
      <c r="AC6328">
        <v>3.7418999999999598</v>
      </c>
      <c r="AD6328">
        <v>-1.1068629054579999</v>
      </c>
      <c r="AE6328">
        <v>7.5547000000000102</v>
      </c>
      <c r="AF6328">
        <v>3.1266122576922699</v>
      </c>
      <c r="AG6328">
        <v>-1.1068629054579999</v>
      </c>
      <c r="AH6328">
        <v>7.6753659012301299</v>
      </c>
      <c r="AI6328">
        <v>97.607062491657103</v>
      </c>
      <c r="AJ6328">
        <v>67.836142549876598</v>
      </c>
      <c r="AK6328">
        <v>8.3613450723670493</v>
      </c>
      <c r="AL6328">
        <v>88.5418191643368</v>
      </c>
      <c r="AM6328">
        <v>80.992230427984396</v>
      </c>
      <c r="AN6328">
        <v>1.0000000234084001</v>
      </c>
    </row>
    <row r="6329" spans="1:40" x14ac:dyDescent="0.25">
      <c r="A6329" t="str">
        <f>"20190312154730977"</f>
        <v>20190312154730977</v>
      </c>
      <c r="B6329" t="str">
        <f>"1552376850964534"</f>
        <v>1552376850964534</v>
      </c>
      <c r="C6329" t="s">
        <v>40</v>
      </c>
      <c r="D6329">
        <v>5.0273690000000002</v>
      </c>
      <c r="E6329">
        <v>0.58801700000000001</v>
      </c>
      <c r="F6329" t="s">
        <v>42</v>
      </c>
      <c r="G6329">
        <v>-184.066</v>
      </c>
      <c r="H6329" s="1">
        <v>-4.0173189999999999E-6</v>
      </c>
      <c r="I6329">
        <v>116.5436</v>
      </c>
      <c r="J6329">
        <v>-187.85980000000001</v>
      </c>
      <c r="K6329">
        <v>1.1067849999999999</v>
      </c>
      <c r="L6329">
        <v>108.9722</v>
      </c>
      <c r="M6329">
        <v>7.7825729999999996E-2</v>
      </c>
      <c r="N6329">
        <v>0</v>
      </c>
      <c r="O6329">
        <v>0.99687020000000004</v>
      </c>
      <c r="P6329">
        <v>0.23325709999999999</v>
      </c>
      <c r="Q6329">
        <v>1.260559E-2</v>
      </c>
      <c r="R6329">
        <v>0.97233340000000001</v>
      </c>
      <c r="S6329">
        <v>1.356857</v>
      </c>
      <c r="T6329">
        <v>-0.39367180000000002</v>
      </c>
      <c r="U6329">
        <v>2.7689210000000002</v>
      </c>
      <c r="V6329">
        <v>0.15707370000000001</v>
      </c>
      <c r="W6329">
        <v>2.508026E-2</v>
      </c>
      <c r="X6329">
        <v>0.98726840000000005</v>
      </c>
      <c r="Y6329">
        <v>0.3651932</v>
      </c>
      <c r="Z6329">
        <v>-0.12813440000000001</v>
      </c>
      <c r="AA6329">
        <v>0.92207130000000004</v>
      </c>
      <c r="AB6329">
        <v>23</v>
      </c>
      <c r="AC6329">
        <v>3.7938000000000298</v>
      </c>
      <c r="AD6329">
        <v>-1.106789017319</v>
      </c>
      <c r="AE6329">
        <v>7.5713999999999899</v>
      </c>
      <c r="AF6329">
        <v>3.1393632574995198</v>
      </c>
      <c r="AG6329">
        <v>-1.106789017319</v>
      </c>
      <c r="AH6329">
        <v>7.7119919901160801</v>
      </c>
      <c r="AI6329">
        <v>97.571590399572401</v>
      </c>
      <c r="AJ6329">
        <v>67.849964181454894</v>
      </c>
      <c r="AK6329">
        <v>8.3997264269147802</v>
      </c>
      <c r="AL6329">
        <v>88.562856304170793</v>
      </c>
      <c r="AM6329">
        <v>80.960048943847795</v>
      </c>
      <c r="AN6329">
        <v>1.00000003015595</v>
      </c>
    </row>
    <row r="6330" spans="1:40" x14ac:dyDescent="0.25">
      <c r="A6330" t="str">
        <f>"20190312154731000"</f>
        <v>20190312154731000</v>
      </c>
      <c r="B6330" t="str">
        <f>"1552376850994791"</f>
        <v>1552376850994791</v>
      </c>
      <c r="C6330" t="s">
        <v>40</v>
      </c>
      <c r="D6330">
        <v>5.0295079999999999</v>
      </c>
      <c r="E6330">
        <v>0.58755219999999997</v>
      </c>
      <c r="F6330" t="s">
        <v>42</v>
      </c>
      <c r="G6330">
        <v>-184.0222</v>
      </c>
      <c r="H6330" s="1">
        <v>-4.0985300000000002E-6</v>
      </c>
      <c r="I6330">
        <v>116.7148</v>
      </c>
      <c r="J6330">
        <v>-187.83500000000001</v>
      </c>
      <c r="K6330">
        <v>1.1066879999999999</v>
      </c>
      <c r="L6330">
        <v>109.209</v>
      </c>
      <c r="M6330">
        <v>8.3354129999999999E-2</v>
      </c>
      <c r="N6330">
        <v>0</v>
      </c>
      <c r="O6330">
        <v>0.9964229</v>
      </c>
      <c r="P6330">
        <v>0.23862050000000001</v>
      </c>
      <c r="Q6330">
        <v>1.3389649999999999E-2</v>
      </c>
      <c r="R6330">
        <v>0.97102060000000001</v>
      </c>
      <c r="S6330">
        <v>1.3690340000000001</v>
      </c>
      <c r="T6330">
        <v>-0.39483079999999998</v>
      </c>
      <c r="U6330">
        <v>2.762054</v>
      </c>
      <c r="V6330">
        <v>0.15706010000000001</v>
      </c>
      <c r="W6330">
        <v>2.583676E-2</v>
      </c>
      <c r="X6330">
        <v>0.98725099999999999</v>
      </c>
      <c r="Y6330">
        <v>0.36418400000000001</v>
      </c>
      <c r="Z6330">
        <v>-0.12860869999999999</v>
      </c>
      <c r="AA6330">
        <v>0.92240440000000001</v>
      </c>
      <c r="AB6330">
        <v>23</v>
      </c>
      <c r="AC6330">
        <v>3.8128000000000002</v>
      </c>
      <c r="AD6330">
        <v>-1.1066920985299999</v>
      </c>
      <c r="AE6330">
        <v>7.50579999999999</v>
      </c>
      <c r="AF6330">
        <v>3.1199142737210801</v>
      </c>
      <c r="AG6330">
        <v>-1.1066920985299999</v>
      </c>
      <c r="AH6330">
        <v>7.6650597154075797</v>
      </c>
      <c r="AI6330">
        <v>97.616866398721001</v>
      </c>
      <c r="AJ6330">
        <v>67.852170079362693</v>
      </c>
      <c r="AK6330">
        <v>8.3493576349969203</v>
      </c>
      <c r="AL6330">
        <v>88.519497912385006</v>
      </c>
      <c r="AM6330">
        <v>80.960662049073306</v>
      </c>
      <c r="AN6330">
        <v>0.99999997509015304</v>
      </c>
    </row>
    <row r="6331" spans="1:40" x14ac:dyDescent="0.25">
      <c r="A6331" t="str">
        <f>"20190312154731022"</f>
        <v>20190312154731022</v>
      </c>
      <c r="B6331" t="str">
        <f>"1552376851014311"</f>
        <v>1552376851014311</v>
      </c>
      <c r="C6331" t="s">
        <v>40</v>
      </c>
      <c r="D6331">
        <v>5.0009550000000003</v>
      </c>
      <c r="E6331">
        <v>0.58722669999999999</v>
      </c>
      <c r="F6331" t="s">
        <v>42</v>
      </c>
      <c r="G6331">
        <v>-183.92910000000001</v>
      </c>
      <c r="H6331" s="1">
        <v>-4.237558E-6</v>
      </c>
      <c r="I6331">
        <v>117.0004</v>
      </c>
      <c r="J6331">
        <v>-187.81020000000001</v>
      </c>
      <c r="K6331">
        <v>1.106582</v>
      </c>
      <c r="L6331">
        <v>109.4324</v>
      </c>
      <c r="M6331">
        <v>8.8745199999999996E-2</v>
      </c>
      <c r="N6331">
        <v>0</v>
      </c>
      <c r="O6331">
        <v>0.99595710000000004</v>
      </c>
      <c r="P6331">
        <v>0.24358440000000001</v>
      </c>
      <c r="Q6331">
        <v>1.362738E-2</v>
      </c>
      <c r="R6331">
        <v>0.96978399999999998</v>
      </c>
      <c r="S6331">
        <v>1.3813629999999999</v>
      </c>
      <c r="T6331">
        <v>-0.39138669999999998</v>
      </c>
      <c r="U6331">
        <v>2.7554630000000002</v>
      </c>
      <c r="V6331">
        <v>0.15677639999999901</v>
      </c>
      <c r="W6331">
        <v>2.604888E-2</v>
      </c>
      <c r="X6331">
        <v>0.98729060000000002</v>
      </c>
      <c r="Y6331">
        <v>0.3633922</v>
      </c>
      <c r="Z6331">
        <v>-0.12758630000000001</v>
      </c>
      <c r="AA6331">
        <v>0.92285850000000003</v>
      </c>
      <c r="AB6331">
        <v>23</v>
      </c>
      <c r="AC6331">
        <v>3.8811</v>
      </c>
      <c r="AD6331">
        <v>-1.106586237558</v>
      </c>
      <c r="AE6331">
        <v>7.5679999999999898</v>
      </c>
      <c r="AF6331">
        <v>3.1409251558164599</v>
      </c>
      <c r="AG6331">
        <v>-1.106586237558</v>
      </c>
      <c r="AH6331">
        <v>7.7513802973928003</v>
      </c>
      <c r="AI6331">
        <v>97.537042334432002</v>
      </c>
      <c r="AJ6331">
        <v>67.941790642839194</v>
      </c>
      <c r="AK6331">
        <v>8.4364589995093695</v>
      </c>
      <c r="AL6331">
        <v>88.507340360623601</v>
      </c>
      <c r="AM6331">
        <v>80.977077032465701</v>
      </c>
      <c r="AN6331">
        <v>1.0000000562972799</v>
      </c>
    </row>
    <row r="6332" spans="1:40" x14ac:dyDescent="0.25">
      <c r="A6332" t="str">
        <f>"20190312154731047"</f>
        <v>20190312154731047</v>
      </c>
      <c r="B6332" t="str">
        <f>"1552376851034806"</f>
        <v>1552376851034806</v>
      </c>
      <c r="C6332" t="s">
        <v>40</v>
      </c>
      <c r="D6332">
        <v>5.010097</v>
      </c>
      <c r="E6332">
        <v>0.58690830000000005</v>
      </c>
      <c r="F6332" t="s">
        <v>42</v>
      </c>
      <c r="G6332">
        <v>-183.85169999999999</v>
      </c>
      <c r="H6332" s="1">
        <v>-4.3547029999999999E-6</v>
      </c>
      <c r="I6332">
        <v>117.2415</v>
      </c>
      <c r="J6332">
        <v>-187.78210000000001</v>
      </c>
      <c r="K6332">
        <v>1.1064670000000001</v>
      </c>
      <c r="L6332">
        <v>109.6699</v>
      </c>
      <c r="M6332">
        <v>9.4694130000000001E-2</v>
      </c>
      <c r="N6332">
        <v>0</v>
      </c>
      <c r="O6332">
        <v>0.99540899999999999</v>
      </c>
      <c r="P6332">
        <v>0.24879979999999999</v>
      </c>
      <c r="Q6332">
        <v>1.3379769999999999E-2</v>
      </c>
      <c r="R6332">
        <v>0.9684625</v>
      </c>
      <c r="S6332">
        <v>1.393448</v>
      </c>
      <c r="T6332">
        <v>-0.38953840000000001</v>
      </c>
      <c r="U6332">
        <v>2.7489469999999998</v>
      </c>
      <c r="V6332">
        <v>0.1561958</v>
      </c>
      <c r="W6332">
        <v>2.5774789999999999E-2</v>
      </c>
      <c r="X6332">
        <v>0.98738970000000004</v>
      </c>
      <c r="Y6332">
        <v>0.36197259999999998</v>
      </c>
      <c r="Z6332">
        <v>-0.12707189999999999</v>
      </c>
      <c r="AA6332">
        <v>0.92348719999999995</v>
      </c>
      <c r="AB6332">
        <v>23</v>
      </c>
      <c r="AC6332">
        <v>3.9304000000000201</v>
      </c>
      <c r="AD6332">
        <v>-1.1064713547030001</v>
      </c>
      <c r="AE6332">
        <v>7.5716000000000001</v>
      </c>
      <c r="AF6332">
        <v>3.14281009514304</v>
      </c>
      <c r="AG6332">
        <v>-1.1064713547030001</v>
      </c>
      <c r="AH6332">
        <v>7.7789321871039903</v>
      </c>
      <c r="AI6332">
        <v>97.512961454052004</v>
      </c>
      <c r="AJ6332">
        <v>68.000522494490099</v>
      </c>
      <c r="AK6332">
        <v>8.4624653691742697</v>
      </c>
      <c r="AL6332">
        <v>88.523049668398102</v>
      </c>
      <c r="AM6332">
        <v>81.010833017424304</v>
      </c>
      <c r="AN6332">
        <v>0.99999994370163503</v>
      </c>
    </row>
    <row r="6333" spans="1:40" x14ac:dyDescent="0.25">
      <c r="A6333" t="str">
        <f>"20190312154731069"</f>
        <v>20190312154731069</v>
      </c>
      <c r="B6333" t="str">
        <f>"1552376851054835"</f>
        <v>1552376851054835</v>
      </c>
      <c r="C6333" t="s">
        <v>40</v>
      </c>
      <c r="D6333">
        <v>4.996594</v>
      </c>
      <c r="E6333">
        <v>0.58663509999999996</v>
      </c>
      <c r="F6333" t="s">
        <v>42</v>
      </c>
      <c r="G6333">
        <v>-183.77879999999999</v>
      </c>
      <c r="H6333" s="1">
        <v>-4.4671129999999997E-6</v>
      </c>
      <c r="I6333">
        <v>117.4734</v>
      </c>
      <c r="J6333">
        <v>-187.75370000000001</v>
      </c>
      <c r="K6333">
        <v>1.1063499999999999</v>
      </c>
      <c r="L6333">
        <v>109.8965</v>
      </c>
      <c r="M6333">
        <v>0.1005765</v>
      </c>
      <c r="N6333">
        <v>0</v>
      </c>
      <c r="O6333">
        <v>0.99483160000000004</v>
      </c>
      <c r="P6333">
        <v>0.25362669999999998</v>
      </c>
      <c r="Q6333">
        <v>1.2855729999999999E-2</v>
      </c>
      <c r="R6333">
        <v>0.96721670000000004</v>
      </c>
      <c r="S6333">
        <v>1.406525</v>
      </c>
      <c r="T6333">
        <v>-0.38875219999999999</v>
      </c>
      <c r="U6333">
        <v>2.741714</v>
      </c>
      <c r="V6333">
        <v>0.15528510000000001</v>
      </c>
      <c r="W6333">
        <v>2.5231369999999999E-2</v>
      </c>
      <c r="X6333">
        <v>0.98754739999999996</v>
      </c>
      <c r="Y6333">
        <v>0.36095539999999998</v>
      </c>
      <c r="Z6333">
        <v>-0.1268996</v>
      </c>
      <c r="AA6333">
        <v>0.92390890000000003</v>
      </c>
      <c r="AB6333">
        <v>23</v>
      </c>
      <c r="AC6333">
        <v>3.9749000000000101</v>
      </c>
      <c r="AD6333">
        <v>-1.1063544671129999</v>
      </c>
      <c r="AE6333">
        <v>7.5768999999999904</v>
      </c>
      <c r="AF6333">
        <v>3.1401075159796501</v>
      </c>
      <c r="AG6333">
        <v>-1.1063544671129999</v>
      </c>
      <c r="AH6333">
        <v>7.8077514247561997</v>
      </c>
      <c r="AI6333">
        <v>97.489479692051901</v>
      </c>
      <c r="AJ6333">
        <v>68.091083100889705</v>
      </c>
      <c r="AK6333">
        <v>8.4879489707228704</v>
      </c>
      <c r="AL6333">
        <v>88.554195519802406</v>
      </c>
      <c r="AM6333">
        <v>81.063800067578896</v>
      </c>
      <c r="AN6333">
        <v>0.99999997578042299</v>
      </c>
    </row>
    <row r="6334" spans="1:40" x14ac:dyDescent="0.25">
      <c r="A6334" t="str">
        <f>"20190312154731112"</f>
        <v>20190312154731112</v>
      </c>
      <c r="B6334" t="str">
        <f>"1552376851104609"</f>
        <v>1552376851104609</v>
      </c>
      <c r="C6334" t="s">
        <v>40</v>
      </c>
      <c r="D6334">
        <v>5.0049250000000001</v>
      </c>
      <c r="E6334">
        <v>0.57860429999999996</v>
      </c>
      <c r="F6334" t="s">
        <v>42</v>
      </c>
      <c r="G6334">
        <v>-183.7132</v>
      </c>
      <c r="H6334" s="1">
        <v>-4.5683960000000001E-6</v>
      </c>
      <c r="I6334">
        <v>117.6823</v>
      </c>
      <c r="J6334">
        <v>-187.69370000000001</v>
      </c>
      <c r="K6334">
        <v>1.106169</v>
      </c>
      <c r="L6334">
        <v>110.3394</v>
      </c>
      <c r="M6334">
        <v>0.11256579999999999</v>
      </c>
      <c r="N6334">
        <v>0</v>
      </c>
      <c r="O6334">
        <v>0.99354609999999999</v>
      </c>
      <c r="P6334">
        <v>0.26212729999999901</v>
      </c>
      <c r="Q6334">
        <v>1.173212E-2</v>
      </c>
      <c r="R6334">
        <v>0.96496199999999999</v>
      </c>
      <c r="S6334">
        <v>1.4192049999999901</v>
      </c>
      <c r="T6334">
        <v>-0.3885961</v>
      </c>
      <c r="U6334">
        <v>2.7346949999999999</v>
      </c>
      <c r="V6334">
        <v>0.15206329999999901</v>
      </c>
      <c r="W6334">
        <v>2.410209E-2</v>
      </c>
      <c r="X6334">
        <v>0.98807690000000004</v>
      </c>
      <c r="Y6334">
        <v>0.35405589999999998</v>
      </c>
      <c r="Z6334">
        <v>-0.12693450000000001</v>
      </c>
      <c r="AA6334">
        <v>0.92657009999999995</v>
      </c>
      <c r="AB6334">
        <v>23</v>
      </c>
      <c r="AC6334">
        <v>3.9805000000000001</v>
      </c>
      <c r="AD6334">
        <v>-1.1061735683959999</v>
      </c>
      <c r="AE6334">
        <v>7.3429000000000002</v>
      </c>
      <c r="AF6334">
        <v>3.0746277308835102</v>
      </c>
      <c r="AG6334">
        <v>-1.1061735683959999</v>
      </c>
      <c r="AH6334">
        <v>7.6108408011200996</v>
      </c>
      <c r="AI6334">
        <v>97.674985517335102</v>
      </c>
      <c r="AJ6334">
        <v>68.002275202293205</v>
      </c>
      <c r="AK6334">
        <v>8.2826235787297602</v>
      </c>
      <c r="AL6334">
        <v>88.618918311015804</v>
      </c>
      <c r="AM6334">
        <v>81.250922212476496</v>
      </c>
      <c r="AN6334">
        <v>1.00000005913143</v>
      </c>
    </row>
    <row r="6335" spans="1:40" x14ac:dyDescent="0.25">
      <c r="A6335" t="str">
        <f>"20190312154731134"</f>
        <v>20190312154731134</v>
      </c>
      <c r="B6335" t="str">
        <f>"1552376851124130"</f>
        <v>1552376851124130</v>
      </c>
      <c r="C6335" t="s">
        <v>40</v>
      </c>
      <c r="D6335">
        <v>5.0235010000000004</v>
      </c>
      <c r="E6335">
        <v>0.57924790000000004</v>
      </c>
      <c r="F6335" t="s">
        <v>42</v>
      </c>
      <c r="G6335">
        <v>-183.8716</v>
      </c>
      <c r="H6335" s="1">
        <v>-4.6353929999999997E-6</v>
      </c>
      <c r="I6335">
        <v>117.904</v>
      </c>
      <c r="J6335">
        <v>-187.6611</v>
      </c>
      <c r="K6335">
        <v>1.106085</v>
      </c>
      <c r="L6335">
        <v>110.5629</v>
      </c>
      <c r="M6335">
        <v>0.11884989999999999</v>
      </c>
      <c r="N6335">
        <v>0</v>
      </c>
      <c r="O6335">
        <v>0.99281379999999997</v>
      </c>
      <c r="P6335">
        <v>0.26653529999999998</v>
      </c>
      <c r="Q6335">
        <v>1.0709700000000001E-2</v>
      </c>
      <c r="R6335">
        <v>0.96376569999999995</v>
      </c>
      <c r="S6335">
        <v>1.3834229999999901</v>
      </c>
      <c r="T6335">
        <v>-0.40038010000000002</v>
      </c>
      <c r="U6335">
        <v>2.7380070000000001</v>
      </c>
      <c r="V6335">
        <v>0.1503207</v>
      </c>
      <c r="W6335">
        <v>2.308385E-2</v>
      </c>
      <c r="X6335">
        <v>0.98836769999999996</v>
      </c>
      <c r="Y6335">
        <v>0.33778780000000003</v>
      </c>
      <c r="Z6335">
        <v>-0.13119919999999999</v>
      </c>
      <c r="AA6335">
        <v>0.93203340000000001</v>
      </c>
      <c r="AB6335">
        <v>22</v>
      </c>
      <c r="AC6335">
        <v>3.7894999999999999</v>
      </c>
      <c r="AD6335">
        <v>-1.1060896353929901</v>
      </c>
      <c r="AE6335">
        <v>7.3410999999999902</v>
      </c>
      <c r="AF6335">
        <v>2.8391685861274998</v>
      </c>
      <c r="AG6335">
        <v>-1.1060896353929901</v>
      </c>
      <c r="AH6335">
        <v>7.6031944434721899</v>
      </c>
      <c r="AI6335">
        <v>97.760747377154402</v>
      </c>
      <c r="AJ6335">
        <v>69.523470093862898</v>
      </c>
      <c r="AK6335">
        <v>8.1910242514122302</v>
      </c>
      <c r="AL6335">
        <v>88.677275255763604</v>
      </c>
      <c r="AM6335">
        <v>81.352165445619093</v>
      </c>
      <c r="AN6335">
        <v>0.99999994369129896</v>
      </c>
    </row>
    <row r="6336" spans="1:40" x14ac:dyDescent="0.25">
      <c r="A6336" t="str">
        <f>"20190312154731156"</f>
        <v>20190312154731156</v>
      </c>
      <c r="B6336" t="str">
        <f>"1552376851144984"</f>
        <v>1552376851144984</v>
      </c>
      <c r="C6336" t="s">
        <v>40</v>
      </c>
      <c r="D6336">
        <v>5.0022849999999996</v>
      </c>
      <c r="E6336">
        <v>0.57942910000000003</v>
      </c>
      <c r="F6336" t="s">
        <v>42</v>
      </c>
      <c r="G6336">
        <v>-183.79069999999999</v>
      </c>
      <c r="H6336" s="1">
        <v>-4.7344269999999996E-6</v>
      </c>
      <c r="I6336">
        <v>118.1014</v>
      </c>
      <c r="J6336">
        <v>-187.6275</v>
      </c>
      <c r="K6336">
        <v>1.106015</v>
      </c>
      <c r="L6336">
        <v>110.7822</v>
      </c>
      <c r="M6336">
        <v>0.1251485</v>
      </c>
      <c r="N6336">
        <v>0</v>
      </c>
      <c r="O6336">
        <v>0.99203929999999996</v>
      </c>
      <c r="P6336">
        <v>0.27076030000000001</v>
      </c>
      <c r="Q6336">
        <v>1.009964E-2</v>
      </c>
      <c r="R6336">
        <v>0.96259380000000005</v>
      </c>
      <c r="S6336">
        <v>1.401443</v>
      </c>
      <c r="T6336">
        <v>-0.40050819999999998</v>
      </c>
      <c r="U6336">
        <v>2.7296450000000001</v>
      </c>
      <c r="V6336">
        <v>0.1483797</v>
      </c>
      <c r="W6336">
        <v>2.248414E-2</v>
      </c>
      <c r="X6336">
        <v>0.98867479999999996</v>
      </c>
      <c r="Y6336">
        <v>0.33784950000000002</v>
      </c>
      <c r="Z6336">
        <v>-0.1312536</v>
      </c>
      <c r="AA6336">
        <v>0.93200340000000004</v>
      </c>
      <c r="AB6336">
        <v>22</v>
      </c>
      <c r="AC6336">
        <v>3.83680000000001</v>
      </c>
      <c r="AD6336">
        <v>-1.106019734427</v>
      </c>
      <c r="AE6336">
        <v>7.3191999999999897</v>
      </c>
      <c r="AF6336">
        <v>2.8396865414810502</v>
      </c>
      <c r="AG6336">
        <v>-1.106019734427</v>
      </c>
      <c r="AH6336">
        <v>7.60562584818729</v>
      </c>
      <c r="AI6336">
        <v>97.757941043080194</v>
      </c>
      <c r="AJ6336">
        <v>69.526048429657493</v>
      </c>
      <c r="AK6336">
        <v>8.1934512782724997</v>
      </c>
      <c r="AL6336">
        <v>88.711645060956897</v>
      </c>
      <c r="AM6336">
        <v>81.464786441172095</v>
      </c>
      <c r="AN6336">
        <v>0.99999996603933405</v>
      </c>
    </row>
    <row r="6337" spans="1:40" x14ac:dyDescent="0.25">
      <c r="A6337" t="str">
        <f>"20190312154731178"</f>
        <v>20190312154731178</v>
      </c>
      <c r="B6337" t="str">
        <f>"1552376851164504"</f>
        <v>1552376851164504</v>
      </c>
      <c r="C6337" t="s">
        <v>40</v>
      </c>
      <c r="D6337">
        <v>4.9843229999999998</v>
      </c>
      <c r="E6337">
        <v>0.57946500000000001</v>
      </c>
      <c r="F6337" t="s">
        <v>42</v>
      </c>
      <c r="G6337">
        <v>-183.7397</v>
      </c>
      <c r="H6337" s="1">
        <v>-4.8120109999999999E-6</v>
      </c>
      <c r="I6337">
        <v>118.2612</v>
      </c>
      <c r="J6337">
        <v>-187.5932</v>
      </c>
      <c r="K6337">
        <v>1.10595</v>
      </c>
      <c r="L6337">
        <v>110.9965</v>
      </c>
      <c r="M6337">
        <v>0.13141920000000001</v>
      </c>
      <c r="N6337">
        <v>0</v>
      </c>
      <c r="O6337">
        <v>0.99122790000000005</v>
      </c>
      <c r="P6337">
        <v>0.2747366</v>
      </c>
      <c r="Q6337">
        <v>1.0287950000000001E-2</v>
      </c>
      <c r="R6337">
        <v>0.96146450000000006</v>
      </c>
      <c r="S6337">
        <v>1.4153290000000001</v>
      </c>
      <c r="T6337">
        <v>-0.40264149999999999</v>
      </c>
      <c r="U6337">
        <v>2.7226870000000001</v>
      </c>
      <c r="V6337">
        <v>0.14621889999999901</v>
      </c>
      <c r="W6337">
        <v>2.2688179999999999E-2</v>
      </c>
      <c r="X6337">
        <v>0.98899199999999998</v>
      </c>
      <c r="Y6337">
        <v>0.3365783</v>
      </c>
      <c r="Z6337">
        <v>-0.1319592</v>
      </c>
      <c r="AA6337">
        <v>0.93236359999999996</v>
      </c>
      <c r="AB6337">
        <v>22</v>
      </c>
      <c r="AC6337">
        <v>3.8534999999999902</v>
      </c>
      <c r="AD6337">
        <v>-1.1059548120110001</v>
      </c>
      <c r="AE6337">
        <v>7.2647000000000004</v>
      </c>
      <c r="AF6337">
        <v>2.8143537292056102</v>
      </c>
      <c r="AG6337">
        <v>-1.1059548120110001</v>
      </c>
      <c r="AH6337">
        <v>7.5712134181265203</v>
      </c>
      <c r="AI6337">
        <v>97.796470915894304</v>
      </c>
      <c r="AJ6337">
        <v>69.609010707932995</v>
      </c>
      <c r="AK6337">
        <v>8.1527293333044604</v>
      </c>
      <c r="AL6337">
        <v>88.6999514233827</v>
      </c>
      <c r="AM6337">
        <v>81.589949695475298</v>
      </c>
      <c r="AN6337">
        <v>0.99999994814645898</v>
      </c>
    </row>
    <row r="6338" spans="1:40" x14ac:dyDescent="0.25">
      <c r="A6338" t="str">
        <f>"20190312154731199"</f>
        <v>20190312154731199</v>
      </c>
      <c r="B6338" t="str">
        <f>"1552376851194759"</f>
        <v>1552376851194759</v>
      </c>
      <c r="C6338" t="s">
        <v>40</v>
      </c>
      <c r="D6338">
        <v>4.8375510000000004</v>
      </c>
      <c r="E6338">
        <v>0.56162019999999901</v>
      </c>
      <c r="F6338" t="s">
        <v>42</v>
      </c>
      <c r="G6338">
        <v>-183.66050000000001</v>
      </c>
      <c r="H6338" s="1">
        <v>-4.9208350000000003E-6</v>
      </c>
      <c r="I6338">
        <v>118.4821</v>
      </c>
      <c r="J6338">
        <v>-187.55680000000001</v>
      </c>
      <c r="K6338">
        <v>1.105899</v>
      </c>
      <c r="L6338">
        <v>111.2145</v>
      </c>
      <c r="M6338">
        <v>0.1378894</v>
      </c>
      <c r="N6338">
        <v>0</v>
      </c>
      <c r="O6338">
        <v>0.99034849999999996</v>
      </c>
      <c r="P6338">
        <v>0.27763690000000002</v>
      </c>
      <c r="Q6338">
        <v>9.3062820000000008E-3</v>
      </c>
      <c r="R6338">
        <v>0.96064099999999997</v>
      </c>
      <c r="S6338">
        <v>1.427292</v>
      </c>
      <c r="T6338">
        <v>-0.4013777</v>
      </c>
      <c r="U6338">
        <v>2.7167050000000001</v>
      </c>
      <c r="V6338">
        <v>0.14273520000000001</v>
      </c>
      <c r="W6338">
        <v>2.174189E-2</v>
      </c>
      <c r="X6338">
        <v>0.98952209999999996</v>
      </c>
      <c r="Y6338">
        <v>0.33452340000000003</v>
      </c>
      <c r="Z6338">
        <v>-0.13155459999999999</v>
      </c>
      <c r="AA6338">
        <v>0.93315990000000004</v>
      </c>
      <c r="AB6338">
        <v>22</v>
      </c>
      <c r="AC6338">
        <v>3.8962999999999899</v>
      </c>
      <c r="AD6338">
        <v>-1.1059039208350001</v>
      </c>
      <c r="AE6338">
        <v>7.2675999999999998</v>
      </c>
      <c r="AF6338">
        <v>2.8063752842265401</v>
      </c>
      <c r="AG6338">
        <v>-1.1059039208350001</v>
      </c>
      <c r="AH6338">
        <v>7.5988037162323199</v>
      </c>
      <c r="AI6338">
        <v>97.7741571560979</v>
      </c>
      <c r="AJ6338">
        <v>69.729902382029593</v>
      </c>
      <c r="AK6338">
        <v>8.1756090681894698</v>
      </c>
      <c r="AL6338">
        <v>88.754183320453294</v>
      </c>
      <c r="AM6338">
        <v>81.791894955669903</v>
      </c>
      <c r="AN6338">
        <v>1.0000000167441101</v>
      </c>
    </row>
    <row r="6339" spans="1:40" x14ac:dyDescent="0.25">
      <c r="A6339" t="str">
        <f>"20190312154731223"</f>
        <v>20190312154731223</v>
      </c>
      <c r="B6339" t="str">
        <f>"1552376851214283"</f>
        <v>1552376851214283</v>
      </c>
      <c r="C6339" t="s">
        <v>40</v>
      </c>
      <c r="D6339">
        <v>4.8365419999999997</v>
      </c>
      <c r="E6339">
        <v>0.56060330000000003</v>
      </c>
      <c r="F6339" t="s">
        <v>52</v>
      </c>
      <c r="G6339">
        <v>-183.34229999999999</v>
      </c>
      <c r="H6339" s="1">
        <v>-1.9113350000000001E-6</v>
      </c>
      <c r="I6339">
        <v>120.1294</v>
      </c>
      <c r="J6339">
        <v>-187.51599999999999</v>
      </c>
      <c r="K6339">
        <v>1.105858</v>
      </c>
      <c r="L6339">
        <v>111.4485</v>
      </c>
      <c r="M6339">
        <v>0.14489270000000001</v>
      </c>
      <c r="N6339">
        <v>0</v>
      </c>
      <c r="O6339">
        <v>0.98934800000000001</v>
      </c>
      <c r="P6339">
        <v>0.28182210000000002</v>
      </c>
      <c r="Q6339">
        <v>9.719498E-3</v>
      </c>
      <c r="R6339">
        <v>0.95941750000000003</v>
      </c>
      <c r="S6339">
        <v>1.300262</v>
      </c>
      <c r="T6339">
        <v>-0.34119090000000002</v>
      </c>
      <c r="U6339">
        <v>2.7504270000000002</v>
      </c>
      <c r="V6339">
        <v>0.1400535</v>
      </c>
      <c r="W6339">
        <v>2.2186190000000001E-2</v>
      </c>
      <c r="X6339">
        <v>0.98989530000000003</v>
      </c>
      <c r="Y6339">
        <v>0.28914810000000002</v>
      </c>
      <c r="Z6339">
        <v>-0.112676</v>
      </c>
      <c r="AA6339">
        <v>0.95063010000000003</v>
      </c>
      <c r="AB6339">
        <v>22</v>
      </c>
      <c r="AC6339">
        <v>4.1736999999999904</v>
      </c>
      <c r="AD6339">
        <v>-1.1058599113350001</v>
      </c>
      <c r="AE6339">
        <v>8.6808999999999994</v>
      </c>
      <c r="AF6339">
        <v>2.83436463797698</v>
      </c>
      <c r="AG6339">
        <v>-1.1058599113350001</v>
      </c>
      <c r="AH6339">
        <v>9.0744610984287295</v>
      </c>
      <c r="AI6339">
        <v>96.634992473056798</v>
      </c>
      <c r="AJ6339">
        <v>72.654054454445003</v>
      </c>
      <c r="AK6339">
        <v>9.5709139203844291</v>
      </c>
      <c r="AL6339">
        <v>88.728720587833095</v>
      </c>
      <c r="AM6339">
        <v>81.947062250286507</v>
      </c>
      <c r="AN6339">
        <v>0.99999995742552705</v>
      </c>
    </row>
    <row r="6340" spans="1:40" x14ac:dyDescent="0.25">
      <c r="A6340" t="str">
        <f>"20190312154731246"</f>
        <v>20190312154731246</v>
      </c>
      <c r="B6340" t="str">
        <f>"1552376851234775"</f>
        <v>1552376851234775</v>
      </c>
      <c r="C6340" t="s">
        <v>40</v>
      </c>
      <c r="D6340">
        <v>4.8050639999999998</v>
      </c>
      <c r="E6340">
        <v>0.55995329999999999</v>
      </c>
      <c r="F6340" t="s">
        <v>52</v>
      </c>
      <c r="G6340">
        <v>-183.05420000000001</v>
      </c>
      <c r="H6340" s="1">
        <v>-2.1955040000000001E-6</v>
      </c>
      <c r="I6340">
        <v>120.834</v>
      </c>
      <c r="J6340">
        <v>-187.47470000000001</v>
      </c>
      <c r="K6340">
        <v>1.1058600000000001</v>
      </c>
      <c r="L6340">
        <v>111.675</v>
      </c>
      <c r="M6340">
        <v>0.15168099999999901</v>
      </c>
      <c r="N6340">
        <v>0</v>
      </c>
      <c r="O6340">
        <v>0.98832989999999998</v>
      </c>
      <c r="P6340">
        <v>0.28821609999999998</v>
      </c>
      <c r="Q6340">
        <v>1.192268E-2</v>
      </c>
      <c r="R6340">
        <v>0.95749119999999999</v>
      </c>
      <c r="S6340">
        <v>1.3057099999999999</v>
      </c>
      <c r="T6340">
        <v>-0.32362350000000001</v>
      </c>
      <c r="U6340">
        <v>2.7466279999999998</v>
      </c>
      <c r="V6340">
        <v>0.13988699999999901</v>
      </c>
      <c r="W6340">
        <v>2.4399549999999999E-2</v>
      </c>
      <c r="X6340">
        <v>0.98986680000000005</v>
      </c>
      <c r="Y6340">
        <v>0.2848967</v>
      </c>
      <c r="Z6340">
        <v>-0.1069407</v>
      </c>
      <c r="AA6340">
        <v>0.95257420000000004</v>
      </c>
      <c r="AB6340">
        <v>22</v>
      </c>
      <c r="AC6340">
        <v>4.4204999999999997</v>
      </c>
      <c r="AD6340">
        <v>-1.105862195504</v>
      </c>
      <c r="AE6340">
        <v>9.1590000000000007</v>
      </c>
      <c r="AF6340">
        <v>2.9451361958277902</v>
      </c>
      <c r="AG6340">
        <v>-1.105862195504</v>
      </c>
      <c r="AH6340">
        <v>9.6099488781089093</v>
      </c>
      <c r="AI6340">
        <v>96.278646692084195</v>
      </c>
      <c r="AJ6340">
        <v>72.961404516223695</v>
      </c>
      <c r="AK6340">
        <v>10.1117691749409</v>
      </c>
      <c r="AL6340">
        <v>88.601870007704903</v>
      </c>
      <c r="AM6340">
        <v>81.956281917742004</v>
      </c>
      <c r="AN6340">
        <v>0.999999996275721</v>
      </c>
    </row>
    <row r="6341" spans="1:40" x14ac:dyDescent="0.25">
      <c r="A6341" t="str">
        <f>"20190312154731268"</f>
        <v>20190312154731268</v>
      </c>
      <c r="B6341" t="str">
        <f>"1552376851265031"</f>
        <v>1552376851265031</v>
      </c>
      <c r="C6341" t="s">
        <v>40</v>
      </c>
      <c r="D6341">
        <v>4.7659440000000002</v>
      </c>
      <c r="E6341">
        <v>0.55969630000000004</v>
      </c>
      <c r="F6341" t="s">
        <v>52</v>
      </c>
      <c r="G6341">
        <v>-182.8296</v>
      </c>
      <c r="H6341" s="1">
        <v>-2.4005020000000002E-6</v>
      </c>
      <c r="I6341">
        <v>121.3271</v>
      </c>
      <c r="J6341">
        <v>-187.4324</v>
      </c>
      <c r="K6341">
        <v>1.1059159999999999</v>
      </c>
      <c r="L6341">
        <v>111.89830000000001</v>
      </c>
      <c r="M6341">
        <v>0.15831719999999999</v>
      </c>
      <c r="N6341">
        <v>0</v>
      </c>
      <c r="O6341">
        <v>0.98728870000000002</v>
      </c>
      <c r="P6341">
        <v>0.29546280000000003</v>
      </c>
      <c r="Q6341">
        <v>1.2276520000000001E-2</v>
      </c>
      <c r="R6341">
        <v>0.9552754</v>
      </c>
      <c r="S6341">
        <v>1.318695</v>
      </c>
      <c r="T6341">
        <v>-0.31394470000000002</v>
      </c>
      <c r="U6341">
        <v>2.7401430000000002</v>
      </c>
      <c r="V6341">
        <v>0.14073820000000001</v>
      </c>
      <c r="W6341">
        <v>2.476279E-2</v>
      </c>
      <c r="X6341">
        <v>0.98973710000000004</v>
      </c>
      <c r="Y6341">
        <v>0.28315210000000002</v>
      </c>
      <c r="Z6341">
        <v>-0.1037621</v>
      </c>
      <c r="AA6341">
        <v>0.95344549999999995</v>
      </c>
      <c r="AB6341">
        <v>22</v>
      </c>
      <c r="AC6341">
        <v>4.6028000000000002</v>
      </c>
      <c r="AD6341">
        <v>-1.105918400502</v>
      </c>
      <c r="AE6341">
        <v>9.4287999999999901</v>
      </c>
      <c r="AF6341">
        <v>3.0183184587194698</v>
      </c>
      <c r="AG6341">
        <v>-1.105918400502</v>
      </c>
      <c r="AH6341">
        <v>9.9283356144044994</v>
      </c>
      <c r="AI6341">
        <v>96.083279407610306</v>
      </c>
      <c r="AJ6341">
        <v>73.090176505689698</v>
      </c>
      <c r="AK6341">
        <v>10.435763024286601</v>
      </c>
      <c r="AL6341">
        <v>88.581051577631996</v>
      </c>
      <c r="AM6341">
        <v>81.906936586124701</v>
      </c>
      <c r="AN6341">
        <v>0.99999998191211703</v>
      </c>
    </row>
    <row r="6342" spans="1:40" x14ac:dyDescent="0.25">
      <c r="A6342" t="str">
        <f>"20190312154731290"</f>
        <v>20190312154731290</v>
      </c>
      <c r="B6342" t="str">
        <f>"1552376851284552"</f>
        <v>1552376851284552</v>
      </c>
      <c r="C6342" t="s">
        <v>40</v>
      </c>
      <c r="D6342">
        <v>4.8300960000000002</v>
      </c>
      <c r="E6342">
        <v>0.55972849999999996</v>
      </c>
      <c r="F6342" t="s">
        <v>52</v>
      </c>
      <c r="G6342">
        <v>-182.7021</v>
      </c>
      <c r="H6342" s="1">
        <v>-2.504571E-6</v>
      </c>
      <c r="I6342">
        <v>121.5652</v>
      </c>
      <c r="J6342">
        <v>-187.39080000000001</v>
      </c>
      <c r="K6342">
        <v>1.1059859999999999</v>
      </c>
      <c r="L6342">
        <v>112.11109999999999</v>
      </c>
      <c r="M6342">
        <v>0.164563299999999</v>
      </c>
      <c r="N6342">
        <v>0</v>
      </c>
      <c r="O6342">
        <v>0.9862668</v>
      </c>
      <c r="P6342">
        <v>0.30300579999999999</v>
      </c>
      <c r="Q6342">
        <v>8.8536719999999999E-3</v>
      </c>
      <c r="R6342">
        <v>0.95294760000000001</v>
      </c>
      <c r="S6342">
        <v>1.3364259999999999</v>
      </c>
      <c r="T6342">
        <v>-0.31244539999999998</v>
      </c>
      <c r="U6342">
        <v>2.7311100000000001</v>
      </c>
      <c r="V6342">
        <v>0.14225370000000001</v>
      </c>
      <c r="W6342">
        <v>2.134811E-2</v>
      </c>
      <c r="X6342">
        <v>0.98960000000000004</v>
      </c>
      <c r="Y6342">
        <v>0.28334490000000001</v>
      </c>
      <c r="Z6342">
        <v>-0.10327500000000001</v>
      </c>
      <c r="AA6342">
        <v>0.95344110000000004</v>
      </c>
      <c r="AB6342">
        <v>22</v>
      </c>
      <c r="AC6342">
        <v>4.6887000000000096</v>
      </c>
      <c r="AD6342">
        <v>-1.1059885045710001</v>
      </c>
      <c r="AE6342">
        <v>9.4541000000000093</v>
      </c>
      <c r="AF6342">
        <v>3.0354717818201999</v>
      </c>
      <c r="AG6342">
        <v>-1.1059885045710001</v>
      </c>
      <c r="AH6342">
        <v>9.9871481914187807</v>
      </c>
      <c r="AI6342">
        <v>96.048224310931701</v>
      </c>
      <c r="AJ6342">
        <v>73.093990909779805</v>
      </c>
      <c r="AK6342">
        <v>10.4966865489939</v>
      </c>
      <c r="AL6342">
        <v>88.776750480471804</v>
      </c>
      <c r="AM6342">
        <v>81.819843860969996</v>
      </c>
      <c r="AN6342">
        <v>1.0000000084821301</v>
      </c>
    </row>
    <row r="6343" spans="1:40" x14ac:dyDescent="0.25">
      <c r="A6343" t="str">
        <f>"20190312154731311"</f>
        <v>20190312154731311</v>
      </c>
      <c r="B6343" t="str">
        <f>"1552376851305048"</f>
        <v>1552376851305048</v>
      </c>
      <c r="C6343" t="s">
        <v>40</v>
      </c>
      <c r="D6343">
        <v>4.7914479999999999</v>
      </c>
      <c r="E6343">
        <v>0.55987319999999996</v>
      </c>
      <c r="F6343" t="s">
        <v>52</v>
      </c>
      <c r="G6343">
        <v>-182.74299999999999</v>
      </c>
      <c r="H6343" s="1">
        <v>-2.451204E-6</v>
      </c>
      <c r="I6343">
        <v>121.4211</v>
      </c>
      <c r="J6343">
        <v>-187.34710000000001</v>
      </c>
      <c r="K6343">
        <v>1.1060970000000001</v>
      </c>
      <c r="L6343">
        <v>112.328</v>
      </c>
      <c r="M6343">
        <v>0.17078840000000001</v>
      </c>
      <c r="N6343">
        <v>0</v>
      </c>
      <c r="O6343">
        <v>0.98520799999999997</v>
      </c>
      <c r="P6343">
        <v>0.3111004</v>
      </c>
      <c r="Q6343">
        <v>5.4966850000000003E-3</v>
      </c>
      <c r="R6343">
        <v>0.95036120000000002</v>
      </c>
      <c r="S6343">
        <v>1.35762</v>
      </c>
      <c r="T6343">
        <v>-0.32306020000000002</v>
      </c>
      <c r="U6343">
        <v>2.719452</v>
      </c>
      <c r="V6343">
        <v>0.14437900000000001</v>
      </c>
      <c r="W6343">
        <v>1.8001840000000002E-2</v>
      </c>
      <c r="X6343">
        <v>0.98935870000000004</v>
      </c>
      <c r="Y6343">
        <v>0.284703599999999</v>
      </c>
      <c r="Z6343">
        <v>-0.1067801</v>
      </c>
      <c r="AA6343">
        <v>0.95265</v>
      </c>
      <c r="AB6343">
        <v>22</v>
      </c>
      <c r="AC6343">
        <v>4.6041000000000096</v>
      </c>
      <c r="AD6343">
        <v>-1.1060994512040001</v>
      </c>
      <c r="AE6343">
        <v>9.0930999999999997</v>
      </c>
      <c r="AF6343">
        <v>2.9485670291869601</v>
      </c>
      <c r="AG6343">
        <v>-1.1060994512040001</v>
      </c>
      <c r="AH6343">
        <v>9.6324349530614501</v>
      </c>
      <c r="AI6343">
        <v>96.266064923972294</v>
      </c>
      <c r="AJ6343">
        <v>72.980222456154195</v>
      </c>
      <c r="AK6343">
        <v>10.134165315728801</v>
      </c>
      <c r="AL6343">
        <v>88.968514827388105</v>
      </c>
      <c r="AM6343">
        <v>81.697324968550006</v>
      </c>
      <c r="AN6343">
        <v>0.99999999957503705</v>
      </c>
    </row>
    <row r="6344" spans="1:40" x14ac:dyDescent="0.25">
      <c r="A6344" t="str">
        <f>"20190312154731334"</f>
        <v>20190312154731334</v>
      </c>
      <c r="B6344" t="str">
        <f>"1552376851324572"</f>
        <v>1552376851324572</v>
      </c>
      <c r="C6344" t="s">
        <v>40</v>
      </c>
      <c r="D6344">
        <v>4.804532</v>
      </c>
      <c r="E6344">
        <v>0.55974780000000002</v>
      </c>
      <c r="F6344" t="s">
        <v>52</v>
      </c>
      <c r="G6344">
        <v>-182.79429999999999</v>
      </c>
      <c r="H6344" s="1">
        <v>-2.3880409999999999E-6</v>
      </c>
      <c r="I6344">
        <v>121.2529</v>
      </c>
      <c r="J6344">
        <v>-187.30350000000001</v>
      </c>
      <c r="K6344">
        <v>1.106257</v>
      </c>
      <c r="L6344">
        <v>112.5386</v>
      </c>
      <c r="M6344">
        <v>0.17662229999999901</v>
      </c>
      <c r="N6344">
        <v>0</v>
      </c>
      <c r="O6344">
        <v>0.98417900000000003</v>
      </c>
      <c r="P6344">
        <v>0.31877949999999999</v>
      </c>
      <c r="Q6344">
        <v>4.436756E-3</v>
      </c>
      <c r="R6344">
        <v>0.94781850000000001</v>
      </c>
      <c r="S6344">
        <v>1.3807529999999999</v>
      </c>
      <c r="T6344">
        <v>-0.33544770000000002</v>
      </c>
      <c r="U6344">
        <v>2.7066499999999998</v>
      </c>
      <c r="V6344">
        <v>0.14650469999999999</v>
      </c>
      <c r="W6344">
        <v>1.696249E-2</v>
      </c>
      <c r="X6344">
        <v>0.98906450000000001</v>
      </c>
      <c r="Y6344">
        <v>0.28710289999999999</v>
      </c>
      <c r="Z6344">
        <v>-0.11086989999999899</v>
      </c>
      <c r="AA6344">
        <v>0.95146189999999997</v>
      </c>
      <c r="AB6344">
        <v>22</v>
      </c>
      <c r="AC6344">
        <v>4.5092000000000203</v>
      </c>
      <c r="AD6344">
        <v>-1.1062593880410001</v>
      </c>
      <c r="AE6344">
        <v>8.7142999999999908</v>
      </c>
      <c r="AF6344">
        <v>2.8626151270151201</v>
      </c>
      <c r="AG6344">
        <v>-1.1062593880410001</v>
      </c>
      <c r="AH6344">
        <v>9.2561123962948706</v>
      </c>
      <c r="AI6344">
        <v>96.513868893613505</v>
      </c>
      <c r="AJ6344">
        <v>72.814859087795995</v>
      </c>
      <c r="AK6344">
        <v>9.7516148350869702</v>
      </c>
      <c r="AL6344">
        <v>89.028074271144305</v>
      </c>
      <c r="AM6344">
        <v>81.574355945872597</v>
      </c>
      <c r="AN6344">
        <v>0.99999996917466905</v>
      </c>
    </row>
    <row r="6345" spans="1:40" x14ac:dyDescent="0.25">
      <c r="A6345" t="str">
        <f>"20190312154731356"</f>
        <v>20190312154731356</v>
      </c>
      <c r="B6345" t="str">
        <f>"1552376851344595"</f>
        <v>1552376851344595</v>
      </c>
      <c r="C6345" t="s">
        <v>40</v>
      </c>
      <c r="D6345">
        <v>4.7702470000000003</v>
      </c>
      <c r="E6345">
        <v>0.55959669999999995</v>
      </c>
      <c r="F6345" t="s">
        <v>52</v>
      </c>
      <c r="G6345">
        <v>-182.77520000000001</v>
      </c>
      <c r="H6345" s="1">
        <v>-2.3952809999999999E-6</v>
      </c>
      <c r="I6345">
        <v>121.2602</v>
      </c>
      <c r="J6345">
        <v>-187.25720000000001</v>
      </c>
      <c r="K6345">
        <v>1.106454</v>
      </c>
      <c r="L6345">
        <v>112.7574</v>
      </c>
      <c r="M6345">
        <v>0.18240229999999999</v>
      </c>
      <c r="N6345">
        <v>0</v>
      </c>
      <c r="O6345">
        <v>0.98312440000000001</v>
      </c>
      <c r="P6345">
        <v>0.32559690000000002</v>
      </c>
      <c r="Q6345">
        <v>3.3773499999999999E-3</v>
      </c>
      <c r="R6345">
        <v>0.94550259999999997</v>
      </c>
      <c r="S6345">
        <v>1.39978</v>
      </c>
      <c r="T6345">
        <v>-0.34196159999999998</v>
      </c>
      <c r="U6345">
        <v>2.695999</v>
      </c>
      <c r="V6345">
        <v>0.14779719999999999</v>
      </c>
      <c r="W6345">
        <v>1.5946490000000001E-2</v>
      </c>
      <c r="X6345">
        <v>0.98888909999999997</v>
      </c>
      <c r="Y6345">
        <v>0.28818949999999999</v>
      </c>
      <c r="Z6345">
        <v>-0.1130148</v>
      </c>
      <c r="AA6345">
        <v>0.95088090000000003</v>
      </c>
      <c r="AB6345">
        <v>22</v>
      </c>
      <c r="AC6345">
        <v>4.4819999999999904</v>
      </c>
      <c r="AD6345">
        <v>-1.106456395281</v>
      </c>
      <c r="AE6345">
        <v>8.5027999999999899</v>
      </c>
      <c r="AF6345">
        <v>2.8183655190814298</v>
      </c>
      <c r="AG6345">
        <v>-1.106456395281</v>
      </c>
      <c r="AH6345">
        <v>9.0577082787357295</v>
      </c>
      <c r="AI6345">
        <v>96.652934311444099</v>
      </c>
      <c r="AJ6345">
        <v>72.716126453020493</v>
      </c>
      <c r="AK6345">
        <v>9.5503669676344494</v>
      </c>
      <c r="AL6345">
        <v>89.086294677151798</v>
      </c>
      <c r="AM6345">
        <v>81.499618372060596</v>
      </c>
      <c r="AN6345">
        <v>0.99999997748498404</v>
      </c>
    </row>
    <row r="6346" spans="1:40" x14ac:dyDescent="0.25">
      <c r="A6346" t="str">
        <f>"20190312154731378"</f>
        <v>20190312154731378</v>
      </c>
      <c r="B6346" t="str">
        <f>"1552376851364114"</f>
        <v>1552376851364114</v>
      </c>
      <c r="C6346" t="s">
        <v>40</v>
      </c>
      <c r="D6346">
        <v>4.8265789999999997</v>
      </c>
      <c r="E6346">
        <v>0.55937019999999904</v>
      </c>
      <c r="F6346" t="s">
        <v>52</v>
      </c>
      <c r="G6346">
        <v>-182.75370000000001</v>
      </c>
      <c r="H6346" s="1">
        <v>-2.4116490000000002E-6</v>
      </c>
      <c r="I6346">
        <v>121.29640000000001</v>
      </c>
      <c r="J6346">
        <v>-187.21109999999999</v>
      </c>
      <c r="K6346">
        <v>1.1066830000000001</v>
      </c>
      <c r="L6346">
        <v>112.97069999999999</v>
      </c>
      <c r="M6346">
        <v>0.18770390000000001</v>
      </c>
      <c r="N6346">
        <v>0</v>
      </c>
      <c r="O6346">
        <v>0.98212630000000001</v>
      </c>
      <c r="P6346">
        <v>0.33102310000000001</v>
      </c>
      <c r="Q6346">
        <v>8.9842220000000003E-4</v>
      </c>
      <c r="R6346">
        <v>0.94362219999999997</v>
      </c>
      <c r="S6346">
        <v>1.416763</v>
      </c>
      <c r="T6346">
        <v>-0.34808250000000002</v>
      </c>
      <c r="U6346">
        <v>2.6862789999999999</v>
      </c>
      <c r="V6346">
        <v>0.148112299999999</v>
      </c>
      <c r="W6346">
        <v>1.353062E-2</v>
      </c>
      <c r="X6346">
        <v>0.98887800000000003</v>
      </c>
      <c r="Y6346">
        <v>0.28903859999999998</v>
      </c>
      <c r="Z6346">
        <v>-0.11502610000000001</v>
      </c>
      <c r="AA6346">
        <v>0.9503819</v>
      </c>
      <c r="AB6346">
        <v>22</v>
      </c>
      <c r="AC6346">
        <v>4.4573999999999696</v>
      </c>
      <c r="AD6346">
        <v>-1.1066854116489999</v>
      </c>
      <c r="AE6346">
        <v>8.3257000000000101</v>
      </c>
      <c r="AF6346">
        <v>2.7771013010888899</v>
      </c>
      <c r="AG6346">
        <v>-1.1066854116489999</v>
      </c>
      <c r="AH6346">
        <v>8.8923251905995606</v>
      </c>
      <c r="AI6346">
        <v>96.774730852956495</v>
      </c>
      <c r="AJ6346">
        <v>72.6562503907316</v>
      </c>
      <c r="AK6346">
        <v>9.3813907035277992</v>
      </c>
      <c r="AL6346">
        <v>89.224728934392004</v>
      </c>
      <c r="AM6346">
        <v>81.481667144397306</v>
      </c>
      <c r="AN6346">
        <v>1.0000000149864301</v>
      </c>
    </row>
    <row r="6347" spans="1:40" x14ac:dyDescent="0.25">
      <c r="A6347" t="str">
        <f>"20190312154731401"</f>
        <v>20190312154731401</v>
      </c>
      <c r="B6347" t="str">
        <f>"1552376851394370"</f>
        <v>1552376851394370</v>
      </c>
      <c r="C6347" t="s">
        <v>40</v>
      </c>
      <c r="D6347">
        <v>4.829129</v>
      </c>
      <c r="E6347">
        <v>0.5590425</v>
      </c>
      <c r="F6347" t="s">
        <v>52</v>
      </c>
      <c r="G6347">
        <v>-182.75729999999999</v>
      </c>
      <c r="H6347" s="1">
        <v>-2.4134730000000002E-6</v>
      </c>
      <c r="I6347">
        <v>121.3058</v>
      </c>
      <c r="J6347">
        <v>-187.1611</v>
      </c>
      <c r="K6347">
        <v>1.1069639999999901</v>
      </c>
      <c r="L6347">
        <v>113.1978</v>
      </c>
      <c r="M6347">
        <v>0.19295390000000001</v>
      </c>
      <c r="N6347">
        <v>0</v>
      </c>
      <c r="O6347">
        <v>0.98110869999999994</v>
      </c>
      <c r="P6347">
        <v>0.33555299999999999</v>
      </c>
      <c r="Q6347">
        <v>-1.0205049999999999E-3</v>
      </c>
      <c r="R6347">
        <v>0.94202079999999999</v>
      </c>
      <c r="S6347">
        <v>1.4307859999999999</v>
      </c>
      <c r="T6347">
        <v>-0.35552329999999999</v>
      </c>
      <c r="U6347">
        <v>2.6776430000000002</v>
      </c>
      <c r="V6347">
        <v>0.14755099999999999</v>
      </c>
      <c r="W6347">
        <v>1.169685E-2</v>
      </c>
      <c r="X6347">
        <v>0.98898529999999996</v>
      </c>
      <c r="Y6347">
        <v>0.2889294</v>
      </c>
      <c r="Z6347">
        <v>-0.117465</v>
      </c>
      <c r="AA6347">
        <v>0.95011670000000004</v>
      </c>
      <c r="AB6347">
        <v>22</v>
      </c>
      <c r="AC6347">
        <v>4.4038000000000102</v>
      </c>
      <c r="AD6347">
        <v>-1.10696641347299</v>
      </c>
      <c r="AE6347">
        <v>8.1080000000000005</v>
      </c>
      <c r="AF6347">
        <v>2.7172926546135501</v>
      </c>
      <c r="AG6347">
        <v>-1.10696641347299</v>
      </c>
      <c r="AH6347">
        <v>8.6804726277656101</v>
      </c>
      <c r="AI6347">
        <v>96.938791688691694</v>
      </c>
      <c r="AJ6347">
        <v>72.6180480896669</v>
      </c>
      <c r="AK6347">
        <v>9.1629503465184197</v>
      </c>
      <c r="AL6347">
        <v>89.329804591106097</v>
      </c>
      <c r="AM6347">
        <v>81.514385384737494</v>
      </c>
      <c r="AN6347">
        <v>1.0000000187585001</v>
      </c>
    </row>
    <row r="6348" spans="1:40" x14ac:dyDescent="0.25">
      <c r="A6348" t="str">
        <f>"20190312154731424"</f>
        <v>20190312154731424</v>
      </c>
      <c r="B6348" t="str">
        <f>"1552376851414866"</f>
        <v>1552376851414866</v>
      </c>
      <c r="C6348" t="s">
        <v>40</v>
      </c>
      <c r="D6348">
        <v>4.8062860000000001</v>
      </c>
      <c r="E6348">
        <v>0.55876269999999995</v>
      </c>
      <c r="F6348" t="s">
        <v>52</v>
      </c>
      <c r="G6348">
        <v>-182.70760000000001</v>
      </c>
      <c r="H6348" s="1">
        <v>-2.4682899999999999E-6</v>
      </c>
      <c r="I6348">
        <v>121.44710000000001</v>
      </c>
      <c r="J6348">
        <v>-187.11250000000001</v>
      </c>
      <c r="K6348">
        <v>1.107256</v>
      </c>
      <c r="L6348">
        <v>113.4156</v>
      </c>
      <c r="M6348">
        <v>0.19756570000000001</v>
      </c>
      <c r="N6348">
        <v>0</v>
      </c>
      <c r="O6348">
        <v>0.98019080000000003</v>
      </c>
      <c r="P6348">
        <v>0.33990100000000001</v>
      </c>
      <c r="Q6348">
        <v>-8.1869099999999997E-4</v>
      </c>
      <c r="R6348">
        <v>0.94046090000000004</v>
      </c>
      <c r="S6348">
        <v>1.4418029999999999</v>
      </c>
      <c r="T6348">
        <v>-0.35837459999999999</v>
      </c>
      <c r="U6348">
        <v>2.6706699999999999</v>
      </c>
      <c r="V6348">
        <v>0.14746119999999999</v>
      </c>
      <c r="W6348">
        <v>1.1980070000000001E-2</v>
      </c>
      <c r="X6348">
        <v>0.98899530000000002</v>
      </c>
      <c r="Y6348">
        <v>0.28844699999999901</v>
      </c>
      <c r="Z6348">
        <v>-0.11839760000000001</v>
      </c>
      <c r="AA6348">
        <v>0.95014759999999998</v>
      </c>
      <c r="AB6348">
        <v>22</v>
      </c>
      <c r="AC6348">
        <v>4.4048999999999898</v>
      </c>
      <c r="AD6348">
        <v>-1.10725846829</v>
      </c>
      <c r="AE6348">
        <v>8.0314999999999994</v>
      </c>
      <c r="AF6348">
        <v>2.69182663611925</v>
      </c>
      <c r="AG6348">
        <v>-1.10725846829</v>
      </c>
      <c r="AH6348">
        <v>8.6175911199247004</v>
      </c>
      <c r="AI6348">
        <v>96.992072860622201</v>
      </c>
      <c r="AJ6348">
        <v>72.653066103927699</v>
      </c>
      <c r="AK6348">
        <v>9.0958687691020508</v>
      </c>
      <c r="AL6348">
        <v>89.313576141205999</v>
      </c>
      <c r="AM6348">
        <v>81.519559138859194</v>
      </c>
      <c r="AN6348">
        <v>1.0000000155023601</v>
      </c>
    </row>
    <row r="6349" spans="1:40" x14ac:dyDescent="0.25">
      <c r="A6349" t="str">
        <f>"20190312154731447"</f>
        <v>20190312154731447</v>
      </c>
      <c r="B6349" t="str">
        <f>"1552376851434390"</f>
        <v>1552376851434390</v>
      </c>
      <c r="C6349" t="s">
        <v>40</v>
      </c>
      <c r="D6349">
        <v>4.8346460000000002</v>
      </c>
      <c r="E6349">
        <v>0.558473</v>
      </c>
      <c r="F6349" t="s">
        <v>52</v>
      </c>
      <c r="G6349">
        <v>-182.60919999999999</v>
      </c>
      <c r="H6349" s="1">
        <v>-2.5628989999999998E-6</v>
      </c>
      <c r="I6349">
        <v>121.6794</v>
      </c>
      <c r="J6349">
        <v>-187.0624</v>
      </c>
      <c r="K6349">
        <v>1.107542</v>
      </c>
      <c r="L6349">
        <v>113.6373</v>
      </c>
      <c r="M6349">
        <v>0.2017989</v>
      </c>
      <c r="N6349">
        <v>0</v>
      </c>
      <c r="O6349">
        <v>0.97932850000000005</v>
      </c>
      <c r="P6349">
        <v>0.3437866</v>
      </c>
      <c r="Q6349">
        <v>-1.479188E-3</v>
      </c>
      <c r="R6349">
        <v>0.93904659999999995</v>
      </c>
      <c r="S6349">
        <v>1.452164</v>
      </c>
      <c r="T6349">
        <v>-0.35705379999999998</v>
      </c>
      <c r="U6349">
        <v>2.6647799999999999</v>
      </c>
      <c r="V6349">
        <v>0.14726500000000001</v>
      </c>
      <c r="W6349">
        <v>1.140028E-2</v>
      </c>
      <c r="X6349">
        <v>0.9890314</v>
      </c>
      <c r="Y6349">
        <v>0.28806859999999901</v>
      </c>
      <c r="Z6349">
        <v>-0.1179444</v>
      </c>
      <c r="AA6349">
        <v>0.95031869999999996</v>
      </c>
      <c r="AB6349">
        <v>22</v>
      </c>
      <c r="AC6349">
        <v>4.4532000000000096</v>
      </c>
      <c r="AD6349">
        <v>-1.1075445628989999</v>
      </c>
      <c r="AE6349">
        <v>8.0420999999999996</v>
      </c>
      <c r="AF6349">
        <v>2.69934050802188</v>
      </c>
      <c r="AG6349">
        <v>-1.1075445628989999</v>
      </c>
      <c r="AH6349">
        <v>8.6497985419931798</v>
      </c>
      <c r="AI6349">
        <v>96.968654414959303</v>
      </c>
      <c r="AJ6349">
        <v>72.668436189985997</v>
      </c>
      <c r="AK6349">
        <v>9.1286422294951599</v>
      </c>
      <c r="AL6349">
        <v>89.346797939709603</v>
      </c>
      <c r="AM6349">
        <v>81.530983429442799</v>
      </c>
      <c r="AN6349">
        <v>1.0000000283975099</v>
      </c>
    </row>
    <row r="6350" spans="1:40" x14ac:dyDescent="0.25">
      <c r="A6350" t="str">
        <f>"20190312154731469"</f>
        <v>20190312154731469</v>
      </c>
      <c r="B6350" t="str">
        <f>"1552376851464173"</f>
        <v>1552376851464173</v>
      </c>
      <c r="C6350" t="s">
        <v>40</v>
      </c>
      <c r="D6350">
        <v>4.8170820000000001</v>
      </c>
      <c r="E6350">
        <v>0.55804529999999997</v>
      </c>
      <c r="F6350" t="s">
        <v>52</v>
      </c>
      <c r="G6350">
        <v>-182.5453</v>
      </c>
      <c r="H6350" s="1">
        <v>-2.6320859999999998E-6</v>
      </c>
      <c r="I6350">
        <v>121.8566</v>
      </c>
      <c r="J6350">
        <v>-187.01349999999999</v>
      </c>
      <c r="K6350">
        <v>1.107775</v>
      </c>
      <c r="L6350">
        <v>113.85129999999999</v>
      </c>
      <c r="M6350">
        <v>0.2055546</v>
      </c>
      <c r="N6350">
        <v>0</v>
      </c>
      <c r="O6350">
        <v>0.97854730000000001</v>
      </c>
      <c r="P6350">
        <v>0.346989099999999</v>
      </c>
      <c r="Q6350">
        <v>-1.8847650000000001E-3</v>
      </c>
      <c r="R6350">
        <v>0.93786729999999996</v>
      </c>
      <c r="S6350">
        <v>1.461395</v>
      </c>
      <c r="T6350">
        <v>-0.35831980000000002</v>
      </c>
      <c r="U6350">
        <v>2.6591490000000002</v>
      </c>
      <c r="V6350">
        <v>0.14683689999999999</v>
      </c>
      <c r="W6350">
        <v>1.1058409999999999E-2</v>
      </c>
      <c r="X6350">
        <v>0.9890989</v>
      </c>
      <c r="Y6350">
        <v>0.28775580000000001</v>
      </c>
      <c r="Z6350">
        <v>-0.1183466</v>
      </c>
      <c r="AA6350">
        <v>0.95036350000000003</v>
      </c>
      <c r="AB6350">
        <v>22</v>
      </c>
      <c r="AC6350">
        <v>4.4681999999999897</v>
      </c>
      <c r="AD6350">
        <v>-1.107777632086</v>
      </c>
      <c r="AE6350">
        <v>8.0053000000000001</v>
      </c>
      <c r="AF6350">
        <v>2.6878373702639999</v>
      </c>
      <c r="AG6350">
        <v>-1.107777632086</v>
      </c>
      <c r="AH6350">
        <v>8.6269085732860393</v>
      </c>
      <c r="AI6350">
        <v>96.989411593314202</v>
      </c>
      <c r="AJ6350">
        <v>72.6948264353871</v>
      </c>
      <c r="AK6350">
        <v>9.10358130314515</v>
      </c>
      <c r="AL6350">
        <v>89.366386863745305</v>
      </c>
      <c r="AM6350">
        <v>81.555815385629003</v>
      </c>
      <c r="AN6350">
        <v>0.99999999880727397</v>
      </c>
    </row>
    <row r="6351" spans="1:40" x14ac:dyDescent="0.25">
      <c r="A6351" t="str">
        <f>"20190312154731491"</f>
        <v>20190312154731491</v>
      </c>
      <c r="B6351" t="str">
        <f>"1552376851484670"</f>
        <v>1552376851484670</v>
      </c>
      <c r="C6351" t="s">
        <v>40</v>
      </c>
      <c r="D6351">
        <v>4.8584509999999996</v>
      </c>
      <c r="E6351">
        <v>0.54098290000000004</v>
      </c>
      <c r="F6351" t="s">
        <v>52</v>
      </c>
      <c r="G6351">
        <v>-182.4701</v>
      </c>
      <c r="H6351" s="1">
        <v>-2.7152860000000001E-6</v>
      </c>
      <c r="I6351">
        <v>122.0711</v>
      </c>
      <c r="J6351">
        <v>-186.96469999999999</v>
      </c>
      <c r="K6351">
        <v>1.1079639999999999</v>
      </c>
      <c r="L6351">
        <v>114.0629</v>
      </c>
      <c r="M6351">
        <v>0.2089664</v>
      </c>
      <c r="N6351">
        <v>0</v>
      </c>
      <c r="O6351">
        <v>0.97782480000000005</v>
      </c>
      <c r="P6351">
        <v>0.34974060000000001</v>
      </c>
      <c r="Q6351">
        <v>-2.6722569999999999E-3</v>
      </c>
      <c r="R6351">
        <v>0.93684270000000003</v>
      </c>
      <c r="S6351">
        <v>1.4675750000000001</v>
      </c>
      <c r="T6351">
        <v>-0.35782330000000001</v>
      </c>
      <c r="U6351">
        <v>2.6550750000000001</v>
      </c>
      <c r="V6351">
        <v>0.14628189999999999</v>
      </c>
      <c r="W6351">
        <v>1.0320309999999999E-2</v>
      </c>
      <c r="X6351">
        <v>0.98918910000000004</v>
      </c>
      <c r="Y6351">
        <v>0.28673850000000001</v>
      </c>
      <c r="Z6351">
        <v>-0.1181688</v>
      </c>
      <c r="AA6351">
        <v>0.95069300000000001</v>
      </c>
      <c r="AB6351">
        <v>22</v>
      </c>
      <c r="AC6351">
        <v>4.4945999999999904</v>
      </c>
      <c r="AD6351">
        <v>-1.107966715286</v>
      </c>
      <c r="AE6351">
        <v>8.0082000000000004</v>
      </c>
      <c r="AF6351">
        <v>2.6826968004608398</v>
      </c>
      <c r="AG6351">
        <v>-1.107966715286</v>
      </c>
      <c r="AH6351">
        <v>8.6448389367964698</v>
      </c>
      <c r="AI6351">
        <v>96.978667162022802</v>
      </c>
      <c r="AJ6351">
        <v>72.759654480789493</v>
      </c>
      <c r="AK6351">
        <v>9.1190839785878008</v>
      </c>
      <c r="AL6351">
        <v>89.408679290286898</v>
      </c>
      <c r="AM6351">
        <v>81.588030449646297</v>
      </c>
      <c r="AN6351">
        <v>0.99999998931245804</v>
      </c>
    </row>
    <row r="6352" spans="1:40" x14ac:dyDescent="0.25">
      <c r="A6352" t="str">
        <f>"20190312154731512"</f>
        <v>20190312154731512</v>
      </c>
      <c r="B6352" t="str">
        <f>"1552376851504189"</f>
        <v>1552376851504189</v>
      </c>
      <c r="C6352" t="s">
        <v>40</v>
      </c>
      <c r="D6352">
        <v>4.8595069999999998</v>
      </c>
      <c r="E6352">
        <v>0.53919600000000001</v>
      </c>
      <c r="F6352" t="s">
        <v>52</v>
      </c>
      <c r="G6352">
        <v>-182.2749</v>
      </c>
      <c r="H6352" s="1">
        <v>-3.1703759999999999E-6</v>
      </c>
      <c r="I6352">
        <v>123.44</v>
      </c>
      <c r="J6352">
        <v>-186.91640000000001</v>
      </c>
      <c r="K6352">
        <v>1.108125</v>
      </c>
      <c r="L6352">
        <v>114.2702</v>
      </c>
      <c r="M6352">
        <v>0.2120311</v>
      </c>
      <c r="N6352">
        <v>0</v>
      </c>
      <c r="O6352">
        <v>0.97716510000000001</v>
      </c>
      <c r="P6352">
        <v>0.3514294</v>
      </c>
      <c r="Q6352">
        <v>-3.5253900000000002E-3</v>
      </c>
      <c r="R6352">
        <v>0.93620780000000003</v>
      </c>
      <c r="S6352">
        <v>1.3491820000000001</v>
      </c>
      <c r="T6352">
        <v>-0.31875130000000002</v>
      </c>
      <c r="U6352">
        <v>2.6976779999999998</v>
      </c>
      <c r="V6352">
        <v>0.14495669999999999</v>
      </c>
      <c r="W6352">
        <v>9.5116300000000001E-3</v>
      </c>
      <c r="X6352">
        <v>0.9893923</v>
      </c>
      <c r="Y6352">
        <v>0.2449414</v>
      </c>
      <c r="Z6352">
        <v>-0.1054961</v>
      </c>
      <c r="AA6352">
        <v>0.9637812</v>
      </c>
      <c r="AB6352">
        <v>22</v>
      </c>
      <c r="AC6352">
        <v>4.6414999999999997</v>
      </c>
      <c r="AD6352">
        <v>-1.108128170376</v>
      </c>
      <c r="AE6352">
        <v>9.1697999999999897</v>
      </c>
      <c r="AF6352">
        <v>2.5616967037310201</v>
      </c>
      <c r="AG6352">
        <v>-1.108128170376</v>
      </c>
      <c r="AH6352">
        <v>9.8312124932811908</v>
      </c>
      <c r="AI6352">
        <v>96.224833039285897</v>
      </c>
      <c r="AJ6352">
        <v>75.395319280156798</v>
      </c>
      <c r="AK6352">
        <v>10.2197346898995</v>
      </c>
      <c r="AL6352">
        <v>89.455015537644996</v>
      </c>
      <c r="AM6352">
        <v>81.664848638191998</v>
      </c>
      <c r="AN6352">
        <v>1.0000000196397101</v>
      </c>
    </row>
    <row r="6353" spans="1:40" x14ac:dyDescent="0.25">
      <c r="A6353" t="str">
        <f>"20190312154731534"</f>
        <v>20190312154731534</v>
      </c>
      <c r="B6353" t="str">
        <f>"1552376851524693"</f>
        <v>1552376851524693</v>
      </c>
      <c r="C6353" t="s">
        <v>40</v>
      </c>
      <c r="D6353">
        <v>4.8553240000000004</v>
      </c>
      <c r="E6353">
        <v>0.53814640000000002</v>
      </c>
      <c r="F6353" t="s">
        <v>52</v>
      </c>
      <c r="G6353">
        <v>-182.3674</v>
      </c>
      <c r="H6353" s="1">
        <v>-3.145761E-6</v>
      </c>
      <c r="I6353">
        <v>123.4268</v>
      </c>
      <c r="J6353">
        <v>-186.8672</v>
      </c>
      <c r="K6353">
        <v>1.1082669999999999</v>
      </c>
      <c r="L6353">
        <v>114.47969999999999</v>
      </c>
      <c r="M6353">
        <v>0.2148785</v>
      </c>
      <c r="N6353">
        <v>0</v>
      </c>
      <c r="O6353">
        <v>0.97654319999999895</v>
      </c>
      <c r="P6353">
        <v>0.35301830000000001</v>
      </c>
      <c r="Q6353">
        <v>-4.4437050000000001E-3</v>
      </c>
      <c r="R6353">
        <v>0.93560580000000004</v>
      </c>
      <c r="S6353">
        <v>1.3412170000000001</v>
      </c>
      <c r="T6353">
        <v>-0.32672119999999999</v>
      </c>
      <c r="U6353">
        <v>2.699722</v>
      </c>
      <c r="V6353">
        <v>0.14374600000000001</v>
      </c>
      <c r="W6353">
        <v>8.6338079999999998E-3</v>
      </c>
      <c r="X6353">
        <v>0.98957689999999998</v>
      </c>
      <c r="Y6353">
        <v>0.2394162</v>
      </c>
      <c r="Z6353">
        <v>-0.10807029999999999</v>
      </c>
      <c r="AA6353">
        <v>0.96488379999999996</v>
      </c>
      <c r="AB6353">
        <v>22</v>
      </c>
      <c r="AC6353">
        <v>4.4997999999999898</v>
      </c>
      <c r="AD6353">
        <v>-1.108270145761</v>
      </c>
      <c r="AE6353">
        <v>8.9471000000000007</v>
      </c>
      <c r="AF6353">
        <v>2.4420399528139898</v>
      </c>
      <c r="AG6353">
        <v>-1.108270145761</v>
      </c>
      <c r="AH6353">
        <v>9.5876541585140505</v>
      </c>
      <c r="AI6353">
        <v>96.391456059647794</v>
      </c>
      <c r="AJ6353">
        <v>75.710226964608495</v>
      </c>
      <c r="AK6353">
        <v>9.9556483520862002</v>
      </c>
      <c r="AL6353">
        <v>89.505313068783593</v>
      </c>
      <c r="AM6353">
        <v>81.735019791076795</v>
      </c>
      <c r="AN6353">
        <v>0.99999994808509396</v>
      </c>
    </row>
    <row r="6354" spans="1:40" x14ac:dyDescent="0.25">
      <c r="A6354" t="str">
        <f>"20190312154731558"</f>
        <v>20190312154731558</v>
      </c>
      <c r="B6354" t="str">
        <f>"1552376851544205"</f>
        <v>1552376851544205</v>
      </c>
      <c r="C6354" t="s">
        <v>40</v>
      </c>
      <c r="D6354">
        <v>4.8677070000000002</v>
      </c>
      <c r="E6354">
        <v>0.53704319999999905</v>
      </c>
      <c r="F6354" t="s">
        <v>52</v>
      </c>
      <c r="G6354">
        <v>-182.39580000000001</v>
      </c>
      <c r="H6354" s="1">
        <v>-3.1827020000000001E-6</v>
      </c>
      <c r="I6354">
        <v>123.5014</v>
      </c>
      <c r="J6354">
        <v>-186.81389999999999</v>
      </c>
      <c r="K6354">
        <v>1.108428</v>
      </c>
      <c r="L6354">
        <v>114.7046</v>
      </c>
      <c r="M6354">
        <v>0.21769830000000001</v>
      </c>
      <c r="N6354">
        <v>0</v>
      </c>
      <c r="O6354">
        <v>0.97591879999999998</v>
      </c>
      <c r="P6354">
        <v>0.35465809999999998</v>
      </c>
      <c r="Q6354">
        <v>-5.9685379999999998E-3</v>
      </c>
      <c r="R6354">
        <v>0.93497699999999995</v>
      </c>
      <c r="S6354">
        <v>1.3381809999999901</v>
      </c>
      <c r="T6354">
        <v>-0.33167970000000002</v>
      </c>
      <c r="U6354">
        <v>2.6999819999999999</v>
      </c>
      <c r="V6354">
        <v>0.1426152</v>
      </c>
      <c r="W6354">
        <v>7.1508910000000004E-3</v>
      </c>
      <c r="X6354">
        <v>0.98975239999999998</v>
      </c>
      <c r="Y6354">
        <v>0.2356239</v>
      </c>
      <c r="Z6354">
        <v>-0.10965419999999999</v>
      </c>
      <c r="AA6354">
        <v>0.96563829999999995</v>
      </c>
      <c r="AB6354">
        <v>22</v>
      </c>
      <c r="AC6354">
        <v>4.4180999999999804</v>
      </c>
      <c r="AD6354">
        <v>-1.1084311827019999</v>
      </c>
      <c r="AE6354">
        <v>8.7967999999999993</v>
      </c>
      <c r="AF6354">
        <v>2.36687688384752</v>
      </c>
      <c r="AG6354">
        <v>-1.1084311827019999</v>
      </c>
      <c r="AH6354">
        <v>9.4281444071921694</v>
      </c>
      <c r="AI6354">
        <v>96.505220966358493</v>
      </c>
      <c r="AJ6354">
        <v>75.907484798427106</v>
      </c>
      <c r="AK6354">
        <v>9.7836921881745091</v>
      </c>
      <c r="AL6354">
        <v>89.590280643018303</v>
      </c>
      <c r="AM6354">
        <v>81.800584106335805</v>
      </c>
      <c r="AN6354">
        <v>1.00000002190944</v>
      </c>
    </row>
    <row r="6355" spans="1:40" x14ac:dyDescent="0.25">
      <c r="A6355" t="str">
        <f>"20190312154731581"</f>
        <v>20190312154731581</v>
      </c>
      <c r="B6355" t="str">
        <f>"1552376851574462"</f>
        <v>1552376851574462</v>
      </c>
      <c r="C6355" t="s">
        <v>40</v>
      </c>
      <c r="D6355">
        <v>4.8278369999999997</v>
      </c>
      <c r="E6355">
        <v>0.53621750000000001</v>
      </c>
      <c r="F6355" t="s">
        <v>52</v>
      </c>
      <c r="G6355">
        <v>-182.43</v>
      </c>
      <c r="H6355" s="1">
        <v>-3.2156620000000002E-6</v>
      </c>
      <c r="I6355">
        <v>123.5702</v>
      </c>
      <c r="J6355">
        <v>-186.76310000000001</v>
      </c>
      <c r="K6355">
        <v>1.1085780000000001</v>
      </c>
      <c r="L6355">
        <v>114.9181</v>
      </c>
      <c r="M6355">
        <v>0.22016959999999999</v>
      </c>
      <c r="N6355">
        <v>0</v>
      </c>
      <c r="O6355">
        <v>0.97536449999999997</v>
      </c>
      <c r="P6355">
        <v>0.35565829999999998</v>
      </c>
      <c r="Q6355">
        <v>-7.7702369999999897E-3</v>
      </c>
      <c r="R6355">
        <v>0.93458379999999996</v>
      </c>
      <c r="S6355">
        <v>1.335129</v>
      </c>
      <c r="T6355">
        <v>-0.33757500000000001</v>
      </c>
      <c r="U6355">
        <v>2.700043</v>
      </c>
      <c r="V6355">
        <v>0.14116139999999999</v>
      </c>
      <c r="W6355">
        <v>5.3913969999999896E-3</v>
      </c>
      <c r="X6355">
        <v>0.98997190000000002</v>
      </c>
      <c r="Y6355">
        <v>0.23217989999999999</v>
      </c>
      <c r="Z6355">
        <v>-0.1115551</v>
      </c>
      <c r="AA6355">
        <v>0.96625459999999996</v>
      </c>
      <c r="AB6355">
        <v>22</v>
      </c>
      <c r="AC6355">
        <v>4.3331</v>
      </c>
      <c r="AD6355">
        <v>-1.1085812156620001</v>
      </c>
      <c r="AE6355">
        <v>8.6521000000000008</v>
      </c>
      <c r="AF6355">
        <v>2.2915656761247001</v>
      </c>
      <c r="AG6355">
        <v>-1.1085812156620001</v>
      </c>
      <c r="AH6355">
        <v>9.27216096358441</v>
      </c>
      <c r="AI6355">
        <v>96.620580471484999</v>
      </c>
      <c r="AJ6355">
        <v>76.117831605575105</v>
      </c>
      <c r="AK6355">
        <v>9.6152584205693703</v>
      </c>
      <c r="AL6355">
        <v>89.691094205195796</v>
      </c>
      <c r="AM6355">
        <v>81.884824117341296</v>
      </c>
      <c r="AN6355">
        <v>0.99999998540058999</v>
      </c>
    </row>
    <row r="6356" spans="1:40" x14ac:dyDescent="0.25">
      <c r="A6356" t="str">
        <f>"20190312154731603"</f>
        <v>20190312154731603</v>
      </c>
      <c r="B6356" t="str">
        <f>"1552376851594958"</f>
        <v>1552376851594958</v>
      </c>
      <c r="C6356" t="s">
        <v>40</v>
      </c>
      <c r="D6356">
        <v>4.8103980000000002</v>
      </c>
      <c r="E6356">
        <v>0.53615519999999905</v>
      </c>
      <c r="F6356" t="s">
        <v>52</v>
      </c>
      <c r="G6356">
        <v>-182.32230000000001</v>
      </c>
      <c r="H6356" s="1">
        <v>-3.4200380000000001E-6</v>
      </c>
      <c r="I6356">
        <v>123.9156</v>
      </c>
      <c r="J6356">
        <v>-186.71119999999999</v>
      </c>
      <c r="K6356">
        <v>1.108722</v>
      </c>
      <c r="L6356">
        <v>115.1345</v>
      </c>
      <c r="M6356">
        <v>0.22247520000000001</v>
      </c>
      <c r="N6356">
        <v>0</v>
      </c>
      <c r="O6356">
        <v>0.97484150000000003</v>
      </c>
      <c r="P6356">
        <v>0.35653020000000002</v>
      </c>
      <c r="Q6356">
        <v>-8.1279290000000008E-3</v>
      </c>
      <c r="R6356">
        <v>0.93424839999999998</v>
      </c>
      <c r="S6356">
        <v>1.332657</v>
      </c>
      <c r="T6356">
        <v>-0.33267629999999998</v>
      </c>
      <c r="U6356">
        <v>2.7000890000000002</v>
      </c>
      <c r="V6356">
        <v>0.13974200000000001</v>
      </c>
      <c r="W6356">
        <v>5.0738279999999998E-3</v>
      </c>
      <c r="X6356">
        <v>0.99017489999999997</v>
      </c>
      <c r="Y6356">
        <v>0.2292429</v>
      </c>
      <c r="Z6356">
        <v>-0.109928399999999</v>
      </c>
      <c r="AA6356">
        <v>0.9671419</v>
      </c>
      <c r="AB6356">
        <v>22</v>
      </c>
      <c r="AC6356">
        <v>4.3888999999999703</v>
      </c>
      <c r="AD6356">
        <v>-1.1087254200379999</v>
      </c>
      <c r="AE6356">
        <v>8.7810999999999897</v>
      </c>
      <c r="AF6356">
        <v>2.2958393099731298</v>
      </c>
      <c r="AG6356">
        <v>-1.1087254200379999</v>
      </c>
      <c r="AH6356">
        <v>9.4173771018772499</v>
      </c>
      <c r="AI6356">
        <v>96.525243431866002</v>
      </c>
      <c r="AJ6356">
        <v>76.299252103506205</v>
      </c>
      <c r="AK6356">
        <v>9.7563897868637</v>
      </c>
      <c r="AL6356">
        <v>89.709289808171803</v>
      </c>
      <c r="AM6356">
        <v>81.966978344397106</v>
      </c>
      <c r="AN6356">
        <v>0.99999995144229004</v>
      </c>
    </row>
    <row r="6357" spans="1:40" x14ac:dyDescent="0.25">
      <c r="A6357" t="str">
        <f>"20190312154731625"</f>
        <v>20190312154731625</v>
      </c>
      <c r="B6357" t="str">
        <f>"1552376851614478"</f>
        <v>1552376851614478</v>
      </c>
      <c r="C6357" t="s">
        <v>40</v>
      </c>
      <c r="D6357">
        <v>4.8383969999999996</v>
      </c>
      <c r="E6357">
        <v>0.53605740000000002</v>
      </c>
      <c r="F6357" t="s">
        <v>52</v>
      </c>
      <c r="G6357">
        <v>-182.17230000000001</v>
      </c>
      <c r="H6357" s="1">
        <v>-3.6542600000000001E-6</v>
      </c>
      <c r="I6357">
        <v>124.3048</v>
      </c>
      <c r="J6357">
        <v>-186.6617</v>
      </c>
      <c r="K6357">
        <v>1.1088469999999999</v>
      </c>
      <c r="L6357">
        <v>115.3403</v>
      </c>
      <c r="M6357">
        <v>0.22446050000000001</v>
      </c>
      <c r="N6357">
        <v>0</v>
      </c>
      <c r="O6357">
        <v>0.97438650000000004</v>
      </c>
      <c r="P6357">
        <v>0.3566822</v>
      </c>
      <c r="Q6357">
        <v>-7.8764619999999903E-3</v>
      </c>
      <c r="R6357">
        <v>0.93419260000000004</v>
      </c>
      <c r="S6357">
        <v>1.335693</v>
      </c>
      <c r="T6357">
        <v>-0.32626680000000002</v>
      </c>
      <c r="U6357">
        <v>2.698547</v>
      </c>
      <c r="V6357">
        <v>0.13788449999999999</v>
      </c>
      <c r="W6357">
        <v>5.3618340000000002E-3</v>
      </c>
      <c r="X6357">
        <v>0.99043380000000003</v>
      </c>
      <c r="Y6357">
        <v>0.2284592</v>
      </c>
      <c r="Z6357">
        <v>-0.1078018</v>
      </c>
      <c r="AA6357">
        <v>0.96756660000000005</v>
      </c>
      <c r="AB6357">
        <v>22</v>
      </c>
      <c r="AC6357">
        <v>4.4893999999999803</v>
      </c>
      <c r="AD6357">
        <v>-1.1088506542599901</v>
      </c>
      <c r="AE6357">
        <v>8.9644999999999992</v>
      </c>
      <c r="AF6357">
        <v>2.3339082203955299</v>
      </c>
      <c r="AG6357">
        <v>-1.1088506542599901</v>
      </c>
      <c r="AH6357">
        <v>9.6257540581811796</v>
      </c>
      <c r="AI6357">
        <v>96.387803605023905</v>
      </c>
      <c r="AJ6357">
        <v>76.370800880673897</v>
      </c>
      <c r="AK6357">
        <v>9.9665349316236398</v>
      </c>
      <c r="AL6357">
        <v>89.692788068825095</v>
      </c>
      <c r="AM6357">
        <v>82.074435511704607</v>
      </c>
      <c r="AN6357">
        <v>0.99999999839326603</v>
      </c>
    </row>
    <row r="6358" spans="1:40" x14ac:dyDescent="0.25">
      <c r="A6358" t="str">
        <f>"20190312154731646"</f>
        <v>20190312154731646</v>
      </c>
      <c r="B6358" t="str">
        <f>"1552376851634973"</f>
        <v>1552376851634973</v>
      </c>
      <c r="C6358" t="s">
        <v>40</v>
      </c>
      <c r="D6358">
        <v>4.8097059999999896</v>
      </c>
      <c r="E6358">
        <v>0.53592059999999997</v>
      </c>
      <c r="F6358" t="s">
        <v>52</v>
      </c>
      <c r="G6358">
        <v>-182.0307</v>
      </c>
      <c r="H6358" s="1">
        <v>-3.8656709999999999E-6</v>
      </c>
      <c r="I6358">
        <v>124.6969</v>
      </c>
      <c r="J6358">
        <v>-186.6112</v>
      </c>
      <c r="K6358">
        <v>1.1089599999999999</v>
      </c>
      <c r="L6358">
        <v>115.54900000000001</v>
      </c>
      <c r="M6358">
        <v>0.22628570000000001</v>
      </c>
      <c r="N6358">
        <v>0</v>
      </c>
      <c r="O6358">
        <v>0.97396439999999995</v>
      </c>
      <c r="P6358">
        <v>0.35728779999999999</v>
      </c>
      <c r="Q6358">
        <v>-7.9209859999999997E-3</v>
      </c>
      <c r="R6358">
        <v>0.93396080000000004</v>
      </c>
      <c r="S6358">
        <v>1.3356779999999999</v>
      </c>
      <c r="T6358">
        <v>-0.31981929999999997</v>
      </c>
      <c r="U6358">
        <v>2.6986539999999999</v>
      </c>
      <c r="V6358">
        <v>0.13666929999999999</v>
      </c>
      <c r="W6358">
        <v>5.3465750000000001E-3</v>
      </c>
      <c r="X6358">
        <v>0.99060230000000005</v>
      </c>
      <c r="Y6358">
        <v>0.22671959999999999</v>
      </c>
      <c r="Z6358">
        <v>-0.1056478</v>
      </c>
      <c r="AA6358">
        <v>0.96821310000000005</v>
      </c>
      <c r="AB6358">
        <v>22</v>
      </c>
      <c r="AC6358">
        <v>4.5804999999999998</v>
      </c>
      <c r="AD6358">
        <v>-1.1089638656709999</v>
      </c>
      <c r="AE6358">
        <v>9.1478999999999999</v>
      </c>
      <c r="AF6358">
        <v>2.3636572717809901</v>
      </c>
      <c r="AG6358">
        <v>-1.1089638656709999</v>
      </c>
      <c r="AH6358">
        <v>9.8316457395135703</v>
      </c>
      <c r="AI6358">
        <v>96.258642811185098</v>
      </c>
      <c r="AJ6358">
        <v>76.481884372906194</v>
      </c>
      <c r="AK6358">
        <v>10.1724104567748</v>
      </c>
      <c r="AL6358">
        <v>89.693662358179694</v>
      </c>
      <c r="AM6358">
        <v>82.1447285048949</v>
      </c>
      <c r="AN6358">
        <v>1.0000000000960001</v>
      </c>
    </row>
    <row r="6359" spans="1:40" x14ac:dyDescent="0.25">
      <c r="A6359" t="str">
        <f>"20190312154731671"</f>
        <v>20190312154731671</v>
      </c>
      <c r="B6359" t="str">
        <f>"1552376851664254"</f>
        <v>1552376851664254</v>
      </c>
      <c r="C6359" t="s">
        <v>40</v>
      </c>
      <c r="D6359">
        <v>4.8194780000000002</v>
      </c>
      <c r="E6359">
        <v>0.53584049999999905</v>
      </c>
      <c r="F6359" t="s">
        <v>52</v>
      </c>
      <c r="G6359">
        <v>-181.91229999999999</v>
      </c>
      <c r="H6359" s="1">
        <v>-3.9700540000000003E-6</v>
      </c>
      <c r="I6359">
        <v>125.03530000000001</v>
      </c>
      <c r="J6359">
        <v>-186.55600000000001</v>
      </c>
      <c r="K6359">
        <v>1.1090519999999999</v>
      </c>
      <c r="L6359">
        <v>115.7762</v>
      </c>
      <c r="M6359">
        <v>0.22810240000000001</v>
      </c>
      <c r="N6359">
        <v>0</v>
      </c>
      <c r="O6359">
        <v>0.97354070000000004</v>
      </c>
      <c r="P6359">
        <v>0.35727809999999999</v>
      </c>
      <c r="Q6359">
        <v>-8.696301E-3</v>
      </c>
      <c r="R6359">
        <v>0.93395760000000005</v>
      </c>
      <c r="S6359">
        <v>1.336517</v>
      </c>
      <c r="T6359">
        <v>-0.315424599999999</v>
      </c>
      <c r="U6359">
        <v>2.6981809999999999</v>
      </c>
      <c r="V6359">
        <v>0.1348095</v>
      </c>
      <c r="W6359">
        <v>4.5960419999999998E-3</v>
      </c>
      <c r="X6359">
        <v>0.99086090000000004</v>
      </c>
      <c r="Y6359">
        <v>0.22528200000000001</v>
      </c>
      <c r="Z6359">
        <v>-0.1041731</v>
      </c>
      <c r="AA6359">
        <v>0.96870840000000003</v>
      </c>
      <c r="AB6359">
        <v>22</v>
      </c>
      <c r="AC6359">
        <v>4.6436999999999902</v>
      </c>
      <c r="AD6359">
        <v>-1.1090559700539999</v>
      </c>
      <c r="AE6359">
        <v>9.2591000000000001</v>
      </c>
      <c r="AF6359">
        <v>2.3817305959783499</v>
      </c>
      <c r="AG6359">
        <v>-1.1090559700539999</v>
      </c>
      <c r="AH6359">
        <v>9.9601152438190503</v>
      </c>
      <c r="AI6359">
        <v>96.1808424797496</v>
      </c>
      <c r="AJ6359">
        <v>76.551581342401207</v>
      </c>
      <c r="AK6359">
        <v>10.300802951551301</v>
      </c>
      <c r="AL6359">
        <v>89.736665270158696</v>
      </c>
      <c r="AM6359">
        <v>82.252313510104003</v>
      </c>
      <c r="AN6359">
        <v>1.00000002402056</v>
      </c>
    </row>
    <row r="6360" spans="1:40" x14ac:dyDescent="0.25">
      <c r="A6360" t="str">
        <f>"20190312154731692"</f>
        <v>20190312154731692</v>
      </c>
      <c r="B6360" t="str">
        <f>"1552376851684749"</f>
        <v>1552376851684749</v>
      </c>
      <c r="C6360" t="s">
        <v>40</v>
      </c>
      <c r="D6360">
        <v>4.8311780000000004</v>
      </c>
      <c r="E6360">
        <v>0.53588159999999996</v>
      </c>
      <c r="F6360" t="s">
        <v>52</v>
      </c>
      <c r="G6360">
        <v>-181.82069999999999</v>
      </c>
      <c r="H6360" s="1">
        <v>-4.0611529999999999E-6</v>
      </c>
      <c r="I6360">
        <v>125.3369</v>
      </c>
      <c r="J6360">
        <v>-186.5069</v>
      </c>
      <c r="K6360">
        <v>1.1091169999999999</v>
      </c>
      <c r="L6360">
        <v>115.9777</v>
      </c>
      <c r="M6360">
        <v>0.2295789</v>
      </c>
      <c r="N6360">
        <v>0</v>
      </c>
      <c r="O6360">
        <v>0.9731938</v>
      </c>
      <c r="P6360">
        <v>0.35726000000000002</v>
      </c>
      <c r="Q6360">
        <v>-9.1684669999999996E-3</v>
      </c>
      <c r="R6360">
        <v>0.93396000000000001</v>
      </c>
      <c r="S6360">
        <v>1.3363039999999999</v>
      </c>
      <c r="T6360">
        <v>-0.3129729</v>
      </c>
      <c r="U6360">
        <v>2.698013</v>
      </c>
      <c r="V6360">
        <v>0.1332865</v>
      </c>
      <c r="W6360">
        <v>4.1411440000000002E-3</v>
      </c>
      <c r="X6360">
        <v>0.99106890000000003</v>
      </c>
      <c r="Y6360">
        <v>0.22380539999999999</v>
      </c>
      <c r="Z6360">
        <v>-0.10334359999999999</v>
      </c>
      <c r="AA6360">
        <v>0.96913950000000004</v>
      </c>
      <c r="AB6360">
        <v>22</v>
      </c>
      <c r="AC6360">
        <v>4.6862000000000101</v>
      </c>
      <c r="AD6360">
        <v>-1.10912106115299</v>
      </c>
      <c r="AE6360">
        <v>9.3591999999999995</v>
      </c>
      <c r="AF6360">
        <v>2.3853478204899998</v>
      </c>
      <c r="AG6360">
        <v>-1.10912106115299</v>
      </c>
      <c r="AH6360">
        <v>10.072027528697699</v>
      </c>
      <c r="AI6360">
        <v>96.116185287140695</v>
      </c>
      <c r="AJ6360">
        <v>76.676181818989207</v>
      </c>
      <c r="AK6360">
        <v>10.409888197855601</v>
      </c>
      <c r="AL6360">
        <v>89.762729248836393</v>
      </c>
      <c r="AM6360">
        <v>82.340385803923994</v>
      </c>
      <c r="AN6360">
        <v>1.0000000023515401</v>
      </c>
    </row>
    <row r="6361" spans="1:40" x14ac:dyDescent="0.25">
      <c r="A6361" t="str">
        <f>"20190312154731715"</f>
        <v>20190312154731715</v>
      </c>
      <c r="B6361" t="str">
        <f>"1552376851704269"</f>
        <v>1552376851704269</v>
      </c>
      <c r="C6361" t="s">
        <v>40</v>
      </c>
      <c r="D6361">
        <v>4.8160970000000001</v>
      </c>
      <c r="E6361">
        <v>0.5359235</v>
      </c>
      <c r="F6361" t="s">
        <v>52</v>
      </c>
      <c r="G6361">
        <v>-181.76439999999999</v>
      </c>
      <c r="H6361" s="1">
        <v>-4.1236779999999998E-6</v>
      </c>
      <c r="I6361">
        <v>125.5475</v>
      </c>
      <c r="J6361">
        <v>-186.45650000000001</v>
      </c>
      <c r="K6361">
        <v>1.109183</v>
      </c>
      <c r="L6361">
        <v>116.18389999999999</v>
      </c>
      <c r="M6361">
        <v>0.2309496</v>
      </c>
      <c r="N6361">
        <v>0</v>
      </c>
      <c r="O6361">
        <v>0.97286950000000005</v>
      </c>
      <c r="P6361">
        <v>0.35774109999999998</v>
      </c>
      <c r="Q6361">
        <v>-9.1182290000000003E-3</v>
      </c>
      <c r="R6361">
        <v>0.9337763</v>
      </c>
      <c r="S6361">
        <v>1.336884</v>
      </c>
      <c r="T6361">
        <v>-0.31265349999999997</v>
      </c>
      <c r="U6361">
        <v>2.6976619999999998</v>
      </c>
      <c r="V6361">
        <v>0.1324003</v>
      </c>
      <c r="W6361">
        <v>4.2064700000000003E-3</v>
      </c>
      <c r="X6361">
        <v>0.99118740000000005</v>
      </c>
      <c r="Y6361">
        <v>0.22265599999999999</v>
      </c>
      <c r="Z6361">
        <v>-0.1032096</v>
      </c>
      <c r="AA6361">
        <v>0.96941849999999996</v>
      </c>
      <c r="AB6361">
        <v>22</v>
      </c>
      <c r="AC6361">
        <v>4.6921000000000097</v>
      </c>
      <c r="AD6361">
        <v>-1.109187123678</v>
      </c>
      <c r="AE6361">
        <v>9.3635999999999999</v>
      </c>
      <c r="AF6361">
        <v>2.3758589787498798</v>
      </c>
      <c r="AG6361">
        <v>-1.109187123678</v>
      </c>
      <c r="AH6361">
        <v>10.0810860138125</v>
      </c>
      <c r="AI6361">
        <v>96.112658684691098</v>
      </c>
      <c r="AJ6361">
        <v>76.7388089104861</v>
      </c>
      <c r="AK6361">
        <v>10.4164915965082</v>
      </c>
      <c r="AL6361">
        <v>89.7589863110707</v>
      </c>
      <c r="AM6361">
        <v>82.391613697114806</v>
      </c>
      <c r="AN6361">
        <v>0.99999999787435501</v>
      </c>
    </row>
    <row r="6362" spans="1:40" x14ac:dyDescent="0.25">
      <c r="A6362" t="str">
        <f>"20190312154731736"</f>
        <v>20190312154731736</v>
      </c>
      <c r="B6362" t="str">
        <f>"1552376851724766"</f>
        <v>1552376851724766</v>
      </c>
      <c r="C6362" t="s">
        <v>40</v>
      </c>
      <c r="D6362">
        <v>5.0209530000000004</v>
      </c>
      <c r="E6362">
        <v>0.53587340000000006</v>
      </c>
      <c r="F6362" t="s">
        <v>52</v>
      </c>
      <c r="G6362">
        <v>-181.69149999999999</v>
      </c>
      <c r="H6362" s="1">
        <v>-4.1952860000000003E-6</v>
      </c>
      <c r="I6362">
        <v>125.7841</v>
      </c>
      <c r="J6362">
        <v>-186.40450000000001</v>
      </c>
      <c r="K6362">
        <v>1.1092709999999999</v>
      </c>
      <c r="L6362">
        <v>116.3955</v>
      </c>
      <c r="M6362">
        <v>0.2322043</v>
      </c>
      <c r="N6362">
        <v>0</v>
      </c>
      <c r="O6362">
        <v>0.97257099999999996</v>
      </c>
      <c r="P6362">
        <v>0.3587033</v>
      </c>
      <c r="Q6362">
        <v>-9.0555480000000001E-3</v>
      </c>
      <c r="R6362">
        <v>0.93340769999999995</v>
      </c>
      <c r="S6362">
        <v>1.3385929999999999</v>
      </c>
      <c r="T6362">
        <v>-0.31159520000000002</v>
      </c>
      <c r="U6362">
        <v>2.6968990000000002</v>
      </c>
      <c r="V6362">
        <v>0.13214239999999999</v>
      </c>
      <c r="W6362">
        <v>4.286102E-3</v>
      </c>
      <c r="X6362">
        <v>0.99122149999999998</v>
      </c>
      <c r="Y6362">
        <v>0.22201799999999999</v>
      </c>
      <c r="Z6362">
        <v>-0.10283730000000001</v>
      </c>
      <c r="AA6362">
        <v>0.96960429999999997</v>
      </c>
      <c r="AB6362">
        <v>22</v>
      </c>
      <c r="AC6362">
        <v>4.7130000000000196</v>
      </c>
      <c r="AD6362">
        <v>-1.1092751952859901</v>
      </c>
      <c r="AE6362">
        <v>9.3885999999999896</v>
      </c>
      <c r="AF6362">
        <v>2.3773707447739798</v>
      </c>
      <c r="AG6362">
        <v>-1.1092751952859901</v>
      </c>
      <c r="AH6362">
        <v>10.1136472528743</v>
      </c>
      <c r="AI6362">
        <v>96.0944290367256</v>
      </c>
      <c r="AJ6362">
        <v>76.771885968813905</v>
      </c>
      <c r="AK6362">
        <v>10.44836082228</v>
      </c>
      <c r="AL6362">
        <v>89.754423698656495</v>
      </c>
      <c r="AM6362">
        <v>82.406519009045098</v>
      </c>
      <c r="AN6362">
        <v>1.00000002330518</v>
      </c>
    </row>
    <row r="6363" spans="1:40" x14ac:dyDescent="0.25">
      <c r="A6363" t="str">
        <f>"20190312154731758"</f>
        <v>20190312154731758</v>
      </c>
      <c r="B6363" t="str">
        <f>"1552376851755021"</f>
        <v>1552376851755021</v>
      </c>
      <c r="C6363" t="s">
        <v>40</v>
      </c>
      <c r="D6363">
        <v>4.8126319999999998</v>
      </c>
      <c r="E6363">
        <v>0.53527829999999998</v>
      </c>
      <c r="F6363" t="s">
        <v>52</v>
      </c>
      <c r="G6363">
        <v>-181.6328</v>
      </c>
      <c r="H6363" s="1">
        <v>-4.2572170000000003E-6</v>
      </c>
      <c r="I6363">
        <v>125.9911</v>
      </c>
      <c r="J6363">
        <v>-186.35480000000001</v>
      </c>
      <c r="K6363">
        <v>1.1093660000000001</v>
      </c>
      <c r="L6363">
        <v>116.5979</v>
      </c>
      <c r="M6363">
        <v>0.23325889999999999</v>
      </c>
      <c r="N6363">
        <v>0</v>
      </c>
      <c r="O6363">
        <v>0.97231869999999998</v>
      </c>
      <c r="P6363">
        <v>0.36016969999999998</v>
      </c>
      <c r="Q6363">
        <v>-1.038919E-2</v>
      </c>
      <c r="R6363">
        <v>0.93282900000000002</v>
      </c>
      <c r="S6363">
        <v>1.3405910000000001</v>
      </c>
      <c r="T6363">
        <v>-0.3116448</v>
      </c>
      <c r="U6363">
        <v>2.6958160000000002</v>
      </c>
      <c r="V6363">
        <v>0.13262560000000001</v>
      </c>
      <c r="W6363">
        <v>2.9714699999999999E-3</v>
      </c>
      <c r="X6363">
        <v>0.99116179999999998</v>
      </c>
      <c r="Y6363">
        <v>0.22169230000000001</v>
      </c>
      <c r="Z6363">
        <v>-0.1028385</v>
      </c>
      <c r="AA6363">
        <v>0.9696787</v>
      </c>
      <c r="AB6363">
        <v>22</v>
      </c>
      <c r="AC6363">
        <v>4.7220000000000004</v>
      </c>
      <c r="AD6363">
        <v>-1.1093702572169899</v>
      </c>
      <c r="AE6363">
        <v>9.3932000000000002</v>
      </c>
      <c r="AF6363">
        <v>2.3740315068728099</v>
      </c>
      <c r="AG6363">
        <v>-1.1093702572169899</v>
      </c>
      <c r="AH6363">
        <v>10.1228735112064</v>
      </c>
      <c r="AI6363">
        <v>96.090165852039505</v>
      </c>
      <c r="AJ6363">
        <v>76.801432649351099</v>
      </c>
      <c r="AK6363">
        <v>10.4565432188227</v>
      </c>
      <c r="AL6363">
        <v>89.829747067437197</v>
      </c>
      <c r="AM6363">
        <v>82.378624344699304</v>
      </c>
      <c r="AN6363">
        <v>1.00000004659427</v>
      </c>
    </row>
    <row r="6364" spans="1:40" x14ac:dyDescent="0.25">
      <c r="A6364" t="str">
        <f>"20190312154731781"</f>
        <v>20190312154731781</v>
      </c>
      <c r="B6364" t="str">
        <f>"1552376851774541"</f>
        <v>1552376851774541</v>
      </c>
      <c r="C6364" t="s">
        <v>40</v>
      </c>
      <c r="D6364">
        <v>4.8228039999999996</v>
      </c>
      <c r="E6364">
        <v>0.535396599999999</v>
      </c>
      <c r="F6364" t="s">
        <v>52</v>
      </c>
      <c r="G6364">
        <v>-180.76990000000001</v>
      </c>
      <c r="H6364" s="1">
        <v>-4.8540800000000001E-6</v>
      </c>
      <c r="I6364">
        <v>127.8266</v>
      </c>
      <c r="J6364">
        <v>-186.303</v>
      </c>
      <c r="K6364">
        <v>1.1094740000000001</v>
      </c>
      <c r="L6364">
        <v>116.8081</v>
      </c>
      <c r="M6364">
        <v>0.23420279999999999</v>
      </c>
      <c r="N6364">
        <v>0</v>
      </c>
      <c r="O6364">
        <v>0.97209190000000001</v>
      </c>
      <c r="P6364">
        <v>0.36178389999999999</v>
      </c>
      <c r="Q6364">
        <v>-1.088428E-2</v>
      </c>
      <c r="R6364">
        <v>0.93219850000000004</v>
      </c>
      <c r="S6364">
        <v>1.3406370000000001</v>
      </c>
      <c r="T6364">
        <v>-0.2663027</v>
      </c>
      <c r="U6364">
        <v>2.6954189999999998</v>
      </c>
      <c r="V6364">
        <v>0.133379</v>
      </c>
      <c r="W6364">
        <v>2.5003569999999999E-3</v>
      </c>
      <c r="X6364">
        <v>0.99106190000000005</v>
      </c>
      <c r="Y6364">
        <v>0.2214633</v>
      </c>
      <c r="Z6364">
        <v>-8.7993660000000001E-2</v>
      </c>
      <c r="AA6364">
        <v>0.97119060000000001</v>
      </c>
      <c r="AB6364">
        <v>22</v>
      </c>
      <c r="AC6364">
        <v>5.5330999999999904</v>
      </c>
      <c r="AD6364">
        <v>-1.10947885408</v>
      </c>
      <c r="AE6364">
        <v>11.0185</v>
      </c>
      <c r="AF6364">
        <v>2.7759021549504399</v>
      </c>
      <c r="AG6364">
        <v>-1.10947885408</v>
      </c>
      <c r="AH6364">
        <v>11.9115322314896</v>
      </c>
      <c r="AI6364">
        <v>95.183260460025494</v>
      </c>
      <c r="AJ6364">
        <v>76.881741213126503</v>
      </c>
      <c r="AK6364">
        <v>12.280927334827901</v>
      </c>
      <c r="AL6364">
        <v>89.8567399401214</v>
      </c>
      <c r="AM6364">
        <v>82.335079758271704</v>
      </c>
      <c r="AN6364">
        <v>0.99999994952886695</v>
      </c>
    </row>
    <row r="6365" spans="1:40" x14ac:dyDescent="0.25">
      <c r="A6365" t="str">
        <f>"20190312154731803"</f>
        <v>20190312154731803</v>
      </c>
      <c r="B6365" t="str">
        <f>"1552376851795037"</f>
        <v>1552376851795037</v>
      </c>
      <c r="C6365" t="s">
        <v>40</v>
      </c>
      <c r="D6365">
        <v>4.8087869999999997</v>
      </c>
      <c r="E6365">
        <v>0.5353869</v>
      </c>
      <c r="F6365" t="s">
        <v>52</v>
      </c>
      <c r="G6365">
        <v>-180.66890000000001</v>
      </c>
      <c r="H6365" s="1">
        <v>-4.9330970000000004E-6</v>
      </c>
      <c r="I6365">
        <v>128.07660000000001</v>
      </c>
      <c r="J6365">
        <v>-186.25120000000001</v>
      </c>
      <c r="K6365">
        <v>1.1095820000000001</v>
      </c>
      <c r="L6365">
        <v>117.0189</v>
      </c>
      <c r="M6365">
        <v>0.23498730000000001</v>
      </c>
      <c r="N6365">
        <v>0</v>
      </c>
      <c r="O6365">
        <v>0.97190270000000001</v>
      </c>
      <c r="P6365">
        <v>0.36345300000000003</v>
      </c>
      <c r="Q6365">
        <v>-1.1164550000000001E-2</v>
      </c>
      <c r="R6365">
        <v>0.93154559999999997</v>
      </c>
      <c r="S6365">
        <v>1.3462829999999999</v>
      </c>
      <c r="T6365">
        <v>-0.26510909999999999</v>
      </c>
      <c r="U6365">
        <v>2.692612</v>
      </c>
      <c r="V6365">
        <v>0.1343539</v>
      </c>
      <c r="W6365">
        <v>2.2447729999999998E-3</v>
      </c>
      <c r="X6365">
        <v>0.99093089999999995</v>
      </c>
      <c r="Y6365">
        <v>0.2227259</v>
      </c>
      <c r="Z6365">
        <v>-8.7606699999999996E-2</v>
      </c>
      <c r="AA6365">
        <v>0.97093680000000004</v>
      </c>
      <c r="AB6365">
        <v>22</v>
      </c>
      <c r="AC6365">
        <v>5.5823</v>
      </c>
      <c r="AD6365">
        <v>-1.1095869330970001</v>
      </c>
      <c r="AE6365">
        <v>11.057700000000001</v>
      </c>
      <c r="AF6365">
        <v>2.8047904359089002</v>
      </c>
      <c r="AG6365">
        <v>-1.1095869330970001</v>
      </c>
      <c r="AH6365">
        <v>11.963900304928799</v>
      </c>
      <c r="AI6365">
        <v>95.1596088672935</v>
      </c>
      <c r="AJ6365">
        <v>76.805978662723504</v>
      </c>
      <c r="AK6365">
        <v>12.3382714777128</v>
      </c>
      <c r="AL6365">
        <v>89.871383876850203</v>
      </c>
      <c r="AM6365">
        <v>82.278719926618194</v>
      </c>
      <c r="AN6365">
        <v>1.0000000290129201</v>
      </c>
    </row>
    <row r="6366" spans="1:40" x14ac:dyDescent="0.25">
      <c r="A6366" t="str">
        <f>"20190312154731825"</f>
        <v>20190312154731825</v>
      </c>
      <c r="B6366" t="str">
        <f>"1552376851814561"</f>
        <v>1552376851814561</v>
      </c>
      <c r="C6366" t="s">
        <v>40</v>
      </c>
      <c r="D6366">
        <v>4.8686910000000001</v>
      </c>
      <c r="E6366">
        <v>0.53530809999999995</v>
      </c>
      <c r="F6366" t="s">
        <v>52</v>
      </c>
      <c r="G6366">
        <v>-180.6036</v>
      </c>
      <c r="H6366" s="1">
        <v>-4.9915929999999998E-6</v>
      </c>
      <c r="I6366">
        <v>128.26689999999999</v>
      </c>
      <c r="J6366">
        <v>-186.20140000000001</v>
      </c>
      <c r="K6366">
        <v>1.109675</v>
      </c>
      <c r="L6366">
        <v>117.2214</v>
      </c>
      <c r="M6366">
        <v>0.2355737</v>
      </c>
      <c r="N6366">
        <v>0</v>
      </c>
      <c r="O6366">
        <v>0.97176070000000003</v>
      </c>
      <c r="P6366">
        <v>0.36477589999999999</v>
      </c>
      <c r="Q6366">
        <v>-1.1546270000000001E-2</v>
      </c>
      <c r="R6366">
        <v>0.93102379999999996</v>
      </c>
      <c r="S6366">
        <v>1.3507690000000001</v>
      </c>
      <c r="T6366">
        <v>-0.2653857</v>
      </c>
      <c r="U6366">
        <v>2.6902469999999998</v>
      </c>
      <c r="V6366">
        <v>0.1351639</v>
      </c>
      <c r="W6366">
        <v>1.885715E-3</v>
      </c>
      <c r="X6366">
        <v>0.99082150000000002</v>
      </c>
      <c r="Y6366">
        <v>0.223769</v>
      </c>
      <c r="Z6366">
        <v>-8.7705140000000001E-2</v>
      </c>
      <c r="AA6366">
        <v>0.970688</v>
      </c>
      <c r="AB6366">
        <v>22</v>
      </c>
      <c r="AC6366">
        <v>5.5978000000000003</v>
      </c>
      <c r="AD6366">
        <v>-1.109679991593</v>
      </c>
      <c r="AE6366">
        <v>11.045499999999899</v>
      </c>
      <c r="AF6366">
        <v>2.815348179676</v>
      </c>
      <c r="AG6366">
        <v>-1.109679991593</v>
      </c>
      <c r="AH6366">
        <v>11.9573752142879</v>
      </c>
      <c r="AI6366">
        <v>95.161684233587593</v>
      </c>
      <c r="AJ6366">
        <v>76.751089308335594</v>
      </c>
      <c r="AK6366">
        <v>12.334358397250099</v>
      </c>
      <c r="AL6366">
        <v>89.891956429459697</v>
      </c>
      <c r="AM6366">
        <v>82.231888883614701</v>
      </c>
      <c r="AN6366">
        <v>1.0000000403232501</v>
      </c>
    </row>
    <row r="6367" spans="1:40" x14ac:dyDescent="0.25">
      <c r="A6367" t="str">
        <f>"20190312154731848"</f>
        <v>20190312154731848</v>
      </c>
      <c r="B6367" t="str">
        <f>"1552376851844814"</f>
        <v>1552376851844814</v>
      </c>
      <c r="C6367" t="s">
        <v>40</v>
      </c>
      <c r="D6367">
        <v>4.8735290000000004</v>
      </c>
      <c r="E6367">
        <v>0.53517950000000003</v>
      </c>
      <c r="F6367" t="s">
        <v>52</v>
      </c>
      <c r="G6367">
        <v>-180.7062</v>
      </c>
      <c r="H6367" s="1">
        <v>-4.9419339999999997E-6</v>
      </c>
      <c r="I6367">
        <v>128.13069999999999</v>
      </c>
      <c r="J6367">
        <v>-186.14789999999999</v>
      </c>
      <c r="K6367">
        <v>1.1097600000000001</v>
      </c>
      <c r="L6367">
        <v>117.4393</v>
      </c>
      <c r="M6367">
        <v>0.23605039999999999</v>
      </c>
      <c r="N6367">
        <v>0</v>
      </c>
      <c r="O6367">
        <v>0.97164519999999999</v>
      </c>
      <c r="P6367">
        <v>0.365815</v>
      </c>
      <c r="Q6367">
        <v>-1.1415359999999999E-2</v>
      </c>
      <c r="R6367">
        <v>0.93061760000000004</v>
      </c>
      <c r="S6367">
        <v>1.354141</v>
      </c>
      <c r="T6367">
        <v>-0.27345049999999999</v>
      </c>
      <c r="U6367">
        <v>2.6883089999999998</v>
      </c>
      <c r="V6367">
        <v>0.13578309999999999</v>
      </c>
      <c r="W6367">
        <v>2.0359179999999998E-3</v>
      </c>
      <c r="X6367">
        <v>0.99073650000000002</v>
      </c>
      <c r="Y6367">
        <v>0.2244341</v>
      </c>
      <c r="Z6367">
        <v>-9.0358110000000005E-2</v>
      </c>
      <c r="AA6367">
        <v>0.97029109999999996</v>
      </c>
      <c r="AB6367">
        <v>21</v>
      </c>
      <c r="AC6367">
        <v>5.4416999999999902</v>
      </c>
      <c r="AD6367">
        <v>-1.1097649419339899</v>
      </c>
      <c r="AE6367">
        <v>10.6913999999999</v>
      </c>
      <c r="AF6367">
        <v>2.7404974561936699</v>
      </c>
      <c r="AG6367">
        <v>-1.1097649419339899</v>
      </c>
      <c r="AH6367">
        <v>11.574796361655601</v>
      </c>
      <c r="AI6367">
        <v>95.330171050737505</v>
      </c>
      <c r="AJ6367">
        <v>76.6796951094652</v>
      </c>
      <c r="AK6367">
        <v>11.946456183636499</v>
      </c>
      <c r="AL6367">
        <v>89.8833504110261</v>
      </c>
      <c r="AM6367">
        <v>82.196078561680096</v>
      </c>
      <c r="AN6367">
        <v>1.0000000038199801</v>
      </c>
    </row>
    <row r="6368" spans="1:40" x14ac:dyDescent="0.25">
      <c r="A6368" t="str">
        <f>"20190312154731871"</f>
        <v>20190312154731871</v>
      </c>
      <c r="B6368" t="str">
        <f>"1552376851864334"</f>
        <v>1552376851864334</v>
      </c>
      <c r="C6368" t="s">
        <v>40</v>
      </c>
      <c r="D6368">
        <v>4.8614639999999998</v>
      </c>
      <c r="E6368">
        <v>0.53516039999999998</v>
      </c>
      <c r="F6368" t="s">
        <v>52</v>
      </c>
      <c r="G6368">
        <v>-180.89109999999999</v>
      </c>
      <c r="H6368" s="1">
        <v>-4.8449440000000003E-6</v>
      </c>
      <c r="I6368">
        <v>127.85639999999999</v>
      </c>
      <c r="J6368">
        <v>-186.09780000000001</v>
      </c>
      <c r="K6368">
        <v>1.1098159999999999</v>
      </c>
      <c r="L6368">
        <v>117.6433</v>
      </c>
      <c r="M6368">
        <v>0.23639389999999999</v>
      </c>
      <c r="N6368">
        <v>0</v>
      </c>
      <c r="O6368">
        <v>0.97156169999999997</v>
      </c>
      <c r="P6368">
        <v>0.36594890000000002</v>
      </c>
      <c r="Q6368">
        <v>-1.013618E-2</v>
      </c>
      <c r="R6368">
        <v>0.93057979999999996</v>
      </c>
      <c r="S6368">
        <v>1.3560179999999999</v>
      </c>
      <c r="T6368">
        <v>-0.28626950000000001</v>
      </c>
      <c r="U6368">
        <v>2.6871339999999999</v>
      </c>
      <c r="V6368">
        <v>0.135572</v>
      </c>
      <c r="W6368">
        <v>3.3281420000000001E-3</v>
      </c>
      <c r="X6368">
        <v>0.99076189999999997</v>
      </c>
      <c r="Y6368">
        <v>0.2246206</v>
      </c>
      <c r="Z6368">
        <v>-9.4562820000000006E-2</v>
      </c>
      <c r="AA6368">
        <v>0.96984709999999996</v>
      </c>
      <c r="AB6368">
        <v>21</v>
      </c>
      <c r="AC6368">
        <v>5.2067000000000103</v>
      </c>
      <c r="AD6368">
        <v>-1.1098208449439999</v>
      </c>
      <c r="AE6368">
        <v>10.213099999999899</v>
      </c>
      <c r="AF6368">
        <v>2.6200055313906598</v>
      </c>
      <c r="AG6368">
        <v>-1.1098208449439999</v>
      </c>
      <c r="AH6368">
        <v>11.050950519397899</v>
      </c>
      <c r="AI6368">
        <v>95.5811576999685</v>
      </c>
      <c r="AJ6368">
        <v>76.662336337400902</v>
      </c>
      <c r="AK6368">
        <v>11.4113819791719</v>
      </c>
      <c r="AL6368">
        <v>89.809311156434902</v>
      </c>
      <c r="AM6368">
        <v>82.208259357132306</v>
      </c>
      <c r="AN6368">
        <v>0.99999999310239096</v>
      </c>
    </row>
    <row r="6369" spans="1:40" x14ac:dyDescent="0.25">
      <c r="A6369" t="str">
        <f>"20190312154731893"</f>
        <v>20190312154731893</v>
      </c>
      <c r="B6369" t="str">
        <f>"1552376851884830"</f>
        <v>1552376851884830</v>
      </c>
      <c r="C6369" t="s">
        <v>40</v>
      </c>
      <c r="D6369">
        <v>4.8430900000000001</v>
      </c>
      <c r="E6369">
        <v>0.53533790000000003</v>
      </c>
      <c r="F6369" t="s">
        <v>52</v>
      </c>
      <c r="G6369">
        <v>-180.8783</v>
      </c>
      <c r="H6369" s="1">
        <v>-4.87959E-6</v>
      </c>
      <c r="I6369">
        <v>127.9829</v>
      </c>
      <c r="J6369">
        <v>-186.0453</v>
      </c>
      <c r="K6369">
        <v>1.1098509999999999</v>
      </c>
      <c r="L6369">
        <v>117.8571</v>
      </c>
      <c r="M6369">
        <v>0.23667820000000001</v>
      </c>
      <c r="N6369">
        <v>0</v>
      </c>
      <c r="O6369">
        <v>0.97149260000000004</v>
      </c>
      <c r="P6369">
        <v>0.36556280000000002</v>
      </c>
      <c r="Q6369">
        <v>-9.1211539999999994E-3</v>
      </c>
      <c r="R6369">
        <v>0.93074199999999996</v>
      </c>
      <c r="S6369">
        <v>1.356522</v>
      </c>
      <c r="T6369">
        <v>-0.28843740000000001</v>
      </c>
      <c r="U6369">
        <v>2.6872250000000002</v>
      </c>
      <c r="V6369">
        <v>0.13486860000000001</v>
      </c>
      <c r="W6369">
        <v>4.3495199999999999E-3</v>
      </c>
      <c r="X6369">
        <v>0.99085400000000001</v>
      </c>
      <c r="Y6369">
        <v>0.22443640000000001</v>
      </c>
      <c r="Z6369">
        <v>-9.5257359999999999E-2</v>
      </c>
      <c r="AA6369">
        <v>0.96982179999999996</v>
      </c>
      <c r="AB6369">
        <v>21</v>
      </c>
      <c r="AC6369">
        <v>5.1669999999999998</v>
      </c>
      <c r="AD6369">
        <v>-1.10985587959</v>
      </c>
      <c r="AE6369">
        <v>10.1257999999999</v>
      </c>
      <c r="AF6369">
        <v>2.5986202602027002</v>
      </c>
      <c r="AG6369">
        <v>-1.10985587959</v>
      </c>
      <c r="AH6369">
        <v>10.956646739412299</v>
      </c>
      <c r="AI6369">
        <v>95.6289525779587</v>
      </c>
      <c r="AJ6369">
        <v>76.657520753891703</v>
      </c>
      <c r="AK6369">
        <v>11.315154223538901</v>
      </c>
      <c r="AL6369">
        <v>89.750790088636805</v>
      </c>
      <c r="AM6369">
        <v>82.248904912490104</v>
      </c>
      <c r="AN6369">
        <v>1.00000005345309</v>
      </c>
    </row>
    <row r="6370" spans="1:40" x14ac:dyDescent="0.25">
      <c r="A6370" t="str">
        <f>"20190312154731915"</f>
        <v>20190312154731915</v>
      </c>
      <c r="B6370" t="str">
        <f>"1552376851904349"</f>
        <v>1552376851904349</v>
      </c>
      <c r="C6370" t="s">
        <v>40</v>
      </c>
      <c r="D6370">
        <v>4.8030869999999997</v>
      </c>
      <c r="E6370">
        <v>0.53547919999999904</v>
      </c>
      <c r="F6370" t="s">
        <v>52</v>
      </c>
      <c r="G6370">
        <v>-180.71100000000001</v>
      </c>
      <c r="H6370" s="1">
        <v>-5.0166899999999999E-6</v>
      </c>
      <c r="I6370">
        <v>128.4211</v>
      </c>
      <c r="J6370">
        <v>-185.99700000000001</v>
      </c>
      <c r="K6370">
        <v>1.109869</v>
      </c>
      <c r="L6370">
        <v>118.0539</v>
      </c>
      <c r="M6370">
        <v>0.2369009</v>
      </c>
      <c r="N6370">
        <v>0</v>
      </c>
      <c r="O6370">
        <v>0.97143840000000004</v>
      </c>
      <c r="P6370">
        <v>0.36456909999999998</v>
      </c>
      <c r="Q6370">
        <v>-7.7764540000000004E-3</v>
      </c>
      <c r="R6370">
        <v>0.93114390000000002</v>
      </c>
      <c r="S6370">
        <v>1.357056</v>
      </c>
      <c r="T6370">
        <v>-0.28234759999999998</v>
      </c>
      <c r="U6370">
        <v>2.6874690000000001</v>
      </c>
      <c r="V6370">
        <v>0.1335809</v>
      </c>
      <c r="W6370">
        <v>5.6965669999999996E-3</v>
      </c>
      <c r="X6370">
        <v>0.99102159999999995</v>
      </c>
      <c r="Y6370">
        <v>0.2244189</v>
      </c>
      <c r="Z6370">
        <v>-9.3246200000000001E-2</v>
      </c>
      <c r="AA6370">
        <v>0.97002129999999998</v>
      </c>
      <c r="AB6370">
        <v>21</v>
      </c>
      <c r="AC6370">
        <v>5.2860000000000298</v>
      </c>
      <c r="AD6370">
        <v>-1.1098740166900001</v>
      </c>
      <c r="AE6370">
        <v>10.367199999999899</v>
      </c>
      <c r="AF6370">
        <v>2.6551210967945198</v>
      </c>
      <c r="AG6370">
        <v>-1.1098740166900001</v>
      </c>
      <c r="AH6370">
        <v>11.2223230606289</v>
      </c>
      <c r="AI6370">
        <v>95.497319280781895</v>
      </c>
      <c r="AJ6370">
        <v>76.688993671221994</v>
      </c>
      <c r="AK6370">
        <v>11.5854228774218</v>
      </c>
      <c r="AL6370">
        <v>89.673609007374793</v>
      </c>
      <c r="AM6370">
        <v>82.323306933926503</v>
      </c>
      <c r="AN6370">
        <v>1.0000000596934699</v>
      </c>
    </row>
    <row r="6371" spans="1:40" x14ac:dyDescent="0.25">
      <c r="A6371" t="str">
        <f>"20190312154731937"</f>
        <v>20190312154731937</v>
      </c>
      <c r="B6371" t="str">
        <f>"1552376851924847"</f>
        <v>1552376851924847</v>
      </c>
      <c r="C6371" t="s">
        <v>40</v>
      </c>
      <c r="D6371">
        <v>4.8636109999999997</v>
      </c>
      <c r="E6371">
        <v>0.53547089999999997</v>
      </c>
      <c r="F6371" t="s">
        <v>52</v>
      </c>
      <c r="G6371">
        <v>-180.524</v>
      </c>
      <c r="H6371" s="1">
        <v>-5.169407E-6</v>
      </c>
      <c r="I6371">
        <v>128.90880000000001</v>
      </c>
      <c r="J6371">
        <v>-185.946</v>
      </c>
      <c r="K6371">
        <v>1.1098699999999999</v>
      </c>
      <c r="L6371">
        <v>118.2621</v>
      </c>
      <c r="M6371">
        <v>0.23712459999999999</v>
      </c>
      <c r="N6371">
        <v>0</v>
      </c>
      <c r="O6371">
        <v>0.97138389999999997</v>
      </c>
      <c r="P6371">
        <v>0.36324770000000001</v>
      </c>
      <c r="Q6371">
        <v>-6.7925520000000003E-3</v>
      </c>
      <c r="R6371">
        <v>0.93166789999999999</v>
      </c>
      <c r="S6371">
        <v>1.355667</v>
      </c>
      <c r="T6371">
        <v>-0.27491490000000002</v>
      </c>
      <c r="U6371">
        <v>2.6887660000000002</v>
      </c>
      <c r="V6371">
        <v>0.131944899999999</v>
      </c>
      <c r="W6371">
        <v>6.6793109999999899E-3</v>
      </c>
      <c r="X6371">
        <v>0.99123450000000002</v>
      </c>
      <c r="Y6371">
        <v>0.22371150000000001</v>
      </c>
      <c r="Z6371">
        <v>-9.0784710000000005E-2</v>
      </c>
      <c r="AA6371">
        <v>0.97041809999999995</v>
      </c>
      <c r="AB6371">
        <v>21</v>
      </c>
      <c r="AC6371">
        <v>5.4219999999999899</v>
      </c>
      <c r="AD6371">
        <v>-1.1098751694069999</v>
      </c>
      <c r="AE6371">
        <v>10.646699999999999</v>
      </c>
      <c r="AF6371">
        <v>2.71903987709404</v>
      </c>
      <c r="AG6371">
        <v>-1.1098751694069999</v>
      </c>
      <c r="AH6371">
        <v>11.5293107884634</v>
      </c>
      <c r="AI6371">
        <v>95.352710285938002</v>
      </c>
      <c r="AJ6371">
        <v>76.730002002691705</v>
      </c>
      <c r="AK6371">
        <v>11.897479060787299</v>
      </c>
      <c r="AL6371">
        <v>89.617300805632595</v>
      </c>
      <c r="AM6371">
        <v>82.417834371047505</v>
      </c>
      <c r="AN6371">
        <v>0.99999995191084601</v>
      </c>
    </row>
    <row r="6372" spans="1:40" x14ac:dyDescent="0.25">
      <c r="A6372" t="str">
        <f>"20190312154731970"</f>
        <v>20190312154731970</v>
      </c>
      <c r="B6372" t="str">
        <f>"1552376851964862"</f>
        <v>1552376851964862</v>
      </c>
      <c r="C6372" t="s">
        <v>40</v>
      </c>
      <c r="D6372">
        <v>4.8281999999999998</v>
      </c>
      <c r="E6372">
        <v>0.53575159999999999</v>
      </c>
      <c r="F6372" t="s">
        <v>52</v>
      </c>
      <c r="G6372">
        <v>-180.42570000000001</v>
      </c>
      <c r="H6372" s="1">
        <v>-5.2707709999999901E-6</v>
      </c>
      <c r="I6372">
        <v>129.24639999999999</v>
      </c>
      <c r="J6372">
        <v>-185.8715</v>
      </c>
      <c r="K6372">
        <v>1.109856</v>
      </c>
      <c r="L6372">
        <v>118.5651</v>
      </c>
      <c r="M6372">
        <v>0.23747090000000001</v>
      </c>
      <c r="N6372">
        <v>0</v>
      </c>
      <c r="O6372">
        <v>0.97129940000000003</v>
      </c>
      <c r="P6372">
        <v>0.36158459999999998</v>
      </c>
      <c r="Q6372">
        <v>-6.8491410000000004E-3</v>
      </c>
      <c r="R6372">
        <v>0.93231419999999998</v>
      </c>
      <c r="S6372">
        <v>1.3522799999999999</v>
      </c>
      <c r="T6372">
        <v>-0.27188220000000002</v>
      </c>
      <c r="U6372">
        <v>2.6907960000000002</v>
      </c>
      <c r="V6372">
        <v>0.12982289999999999</v>
      </c>
      <c r="W6372">
        <v>6.6144619999999998E-3</v>
      </c>
      <c r="X6372">
        <v>0.99151520000000004</v>
      </c>
      <c r="Y6372">
        <v>0.2221371</v>
      </c>
      <c r="Z6372">
        <v>-8.9760899999999894E-2</v>
      </c>
      <c r="AA6372">
        <v>0.97087489999999999</v>
      </c>
      <c r="AB6372">
        <v>21</v>
      </c>
      <c r="AC6372">
        <v>5.4457999999999904</v>
      </c>
      <c r="AD6372">
        <v>-1.1098612707709901</v>
      </c>
      <c r="AE6372">
        <v>10.681299999999901</v>
      </c>
      <c r="AF6372">
        <v>2.72986640555912</v>
      </c>
      <c r="AG6372">
        <v>-1.1098612707709901</v>
      </c>
      <c r="AH6372">
        <v>11.5698945977443</v>
      </c>
      <c r="AI6372">
        <v>95.333848040104897</v>
      </c>
      <c r="AJ6372">
        <v>76.724112981428505</v>
      </c>
      <c r="AK6372">
        <v>11.939280700087</v>
      </c>
      <c r="AL6372">
        <v>89.621016504437307</v>
      </c>
      <c r="AM6372">
        <v>82.540477861579802</v>
      </c>
      <c r="AN6372">
        <v>1.0000000641514899</v>
      </c>
    </row>
    <row r="6373" spans="1:40" x14ac:dyDescent="0.25">
      <c r="A6373" t="str">
        <f>"20190312154731993"</f>
        <v>20190312154731993</v>
      </c>
      <c r="B6373" t="str">
        <f>"1552376851984381"</f>
        <v>1552376851984381</v>
      </c>
      <c r="C6373" t="s">
        <v>40</v>
      </c>
      <c r="D6373">
        <v>4.7783319999999998</v>
      </c>
      <c r="E6373">
        <v>0.53589140000000002</v>
      </c>
      <c r="F6373" t="s">
        <v>52</v>
      </c>
      <c r="G6373">
        <v>-180.38040000000001</v>
      </c>
      <c r="H6373" s="1">
        <v>-5.3673530000000002E-6</v>
      </c>
      <c r="I6373">
        <v>129.5213</v>
      </c>
      <c r="J6373">
        <v>-185.8193</v>
      </c>
      <c r="K6373">
        <v>1.109831</v>
      </c>
      <c r="L6373">
        <v>118.7774</v>
      </c>
      <c r="M6373">
        <v>0.23774319999999999</v>
      </c>
      <c r="N6373">
        <v>0</v>
      </c>
      <c r="O6373">
        <v>0.97123280000000001</v>
      </c>
      <c r="P6373">
        <v>0.36065130000000001</v>
      </c>
      <c r="Q6373">
        <v>-6.6028900000000001E-3</v>
      </c>
      <c r="R6373">
        <v>0.93267739999999999</v>
      </c>
      <c r="S6373">
        <v>1.349426</v>
      </c>
      <c r="T6373">
        <v>-0.27274320000000002</v>
      </c>
      <c r="U6373">
        <v>2.6924440000000001</v>
      </c>
      <c r="V6373">
        <v>0.12855230000000001</v>
      </c>
      <c r="W6373">
        <v>6.852398E-3</v>
      </c>
      <c r="X6373">
        <v>0.99167910000000004</v>
      </c>
      <c r="Y6373">
        <v>0.22079219999999999</v>
      </c>
      <c r="Z6373">
        <v>-9.0018989999999993E-2</v>
      </c>
      <c r="AA6373">
        <v>0.97115770000000001</v>
      </c>
      <c r="AB6373">
        <v>21</v>
      </c>
      <c r="AC6373">
        <v>5.4388999999999896</v>
      </c>
      <c r="AD6373">
        <v>-1.1098363673530001</v>
      </c>
      <c r="AE6373">
        <v>10.743899999999901</v>
      </c>
      <c r="AF6373">
        <v>2.7054215451455299</v>
      </c>
      <c r="AG6373">
        <v>-1.1098363673530001</v>
      </c>
      <c r="AH6373">
        <v>11.6301881517753</v>
      </c>
      <c r="AI6373">
        <v>95.310133542931496</v>
      </c>
      <c r="AJ6373">
        <v>76.904710948903897</v>
      </c>
      <c r="AK6373">
        <v>11.992177406331599</v>
      </c>
      <c r="AL6373">
        <v>89.6073834594348</v>
      </c>
      <c r="AM6373">
        <v>82.613882664846898</v>
      </c>
      <c r="AN6373">
        <v>1.0000000432852201</v>
      </c>
    </row>
    <row r="6374" spans="1:40" x14ac:dyDescent="0.25">
      <c r="A6374" t="str">
        <f>"20190312154732014"</f>
        <v>20190312154732014</v>
      </c>
      <c r="B6374" t="str">
        <f>"1552376852004878"</f>
        <v>1552376852004878</v>
      </c>
      <c r="C6374" t="s">
        <v>40</v>
      </c>
      <c r="D6374">
        <v>4.7819739999999999</v>
      </c>
      <c r="E6374">
        <v>0.54144669999999995</v>
      </c>
      <c r="F6374" t="s">
        <v>52</v>
      </c>
      <c r="G6374">
        <v>-180.31100000000001</v>
      </c>
      <c r="H6374" s="1">
        <v>-5.465951E-6</v>
      </c>
      <c r="I6374">
        <v>129.78659999999999</v>
      </c>
      <c r="J6374">
        <v>-185.76990000000001</v>
      </c>
      <c r="K6374">
        <v>1.1098110000000001</v>
      </c>
      <c r="L6374">
        <v>118.97799999999999</v>
      </c>
      <c r="M6374">
        <v>0.23802570000000001</v>
      </c>
      <c r="N6374">
        <v>0</v>
      </c>
      <c r="O6374">
        <v>0.97116360000000002</v>
      </c>
      <c r="P6374">
        <v>0.36039589999999999</v>
      </c>
      <c r="Q6374">
        <v>-5.4987169999999898E-3</v>
      </c>
      <c r="R6374">
        <v>0.93278320000000003</v>
      </c>
      <c r="S6374">
        <v>1.347656</v>
      </c>
      <c r="T6374">
        <v>-0.27153169999999999</v>
      </c>
      <c r="U6374">
        <v>2.6934969999999998</v>
      </c>
      <c r="V6374">
        <v>0.12799150000000001</v>
      </c>
      <c r="W6374">
        <v>7.9467099999999992E-3</v>
      </c>
      <c r="X6374">
        <v>0.99174340000000005</v>
      </c>
      <c r="Y6374">
        <v>0.219863</v>
      </c>
      <c r="Z6374">
        <v>-8.9604149999999994E-2</v>
      </c>
      <c r="AA6374">
        <v>0.97140689999999996</v>
      </c>
      <c r="AB6374">
        <v>21</v>
      </c>
      <c r="AC6374">
        <v>5.4589000000000203</v>
      </c>
      <c r="AD6374">
        <v>-1.1098164659509999</v>
      </c>
      <c r="AE6374">
        <v>10.808599999999901</v>
      </c>
      <c r="AF6374">
        <v>2.7062794113357098</v>
      </c>
      <c r="AG6374">
        <v>-1.1098164659509999</v>
      </c>
      <c r="AH6374">
        <v>11.6990933553666</v>
      </c>
      <c r="AI6374">
        <v>95.280439642217004</v>
      </c>
      <c r="AJ6374">
        <v>76.975215814037995</v>
      </c>
      <c r="AK6374">
        <v>12.0592050392179</v>
      </c>
      <c r="AL6374">
        <v>89.544682251306895</v>
      </c>
      <c r="AM6374">
        <v>82.646222158720406</v>
      </c>
      <c r="AN6374">
        <v>0.99999997285781606</v>
      </c>
    </row>
    <row r="6375" spans="1:40" x14ac:dyDescent="0.25">
      <c r="A6375" t="str">
        <f>"20190312154732037"</f>
        <v>20190312154732037</v>
      </c>
      <c r="B6375" t="str">
        <f>"1552376852024398"</f>
        <v>1552376852024398</v>
      </c>
      <c r="C6375" t="s">
        <v>40</v>
      </c>
      <c r="D6375">
        <v>4.8070649999999997</v>
      </c>
      <c r="E6375">
        <v>0.54149530000000001</v>
      </c>
      <c r="F6375" t="s">
        <v>52</v>
      </c>
      <c r="G6375">
        <v>-180.18940000000001</v>
      </c>
      <c r="H6375" s="1">
        <v>-5.4602489999999997E-6</v>
      </c>
      <c r="I6375">
        <v>129.7467</v>
      </c>
      <c r="J6375">
        <v>-185.71879999999999</v>
      </c>
      <c r="K6375">
        <v>1.1097939999999999</v>
      </c>
      <c r="L6375">
        <v>119.1849</v>
      </c>
      <c r="M6375">
        <v>0.2383411</v>
      </c>
      <c r="N6375">
        <v>0</v>
      </c>
      <c r="O6375">
        <v>0.97108629999999996</v>
      </c>
      <c r="P6375">
        <v>0.3610158</v>
      </c>
      <c r="Q6375">
        <v>-4.1814520000000004E-3</v>
      </c>
      <c r="R6375">
        <v>0.9325504</v>
      </c>
      <c r="S6375">
        <v>1.3879239999999999</v>
      </c>
      <c r="T6375">
        <v>-0.27602399999999999</v>
      </c>
      <c r="U6375">
        <v>2.678299</v>
      </c>
      <c r="V6375">
        <v>0.12832779999999999</v>
      </c>
      <c r="W6375">
        <v>9.2517659999999998E-3</v>
      </c>
      <c r="X6375">
        <v>0.99168869999999998</v>
      </c>
      <c r="Y6375">
        <v>0.23325019999999999</v>
      </c>
      <c r="Z6375">
        <v>-9.1081019999999999E-2</v>
      </c>
      <c r="AA6375">
        <v>0.96814180000000005</v>
      </c>
      <c r="AB6375">
        <v>21</v>
      </c>
      <c r="AC6375">
        <v>5.5293999999999803</v>
      </c>
      <c r="AD6375">
        <v>-1.109799460249</v>
      </c>
      <c r="AE6375">
        <v>10.5618</v>
      </c>
      <c r="AF6375">
        <v>2.8279702767000199</v>
      </c>
      <c r="AG6375">
        <v>-1.109799460249</v>
      </c>
      <c r="AH6375">
        <v>11.475923159708101</v>
      </c>
      <c r="AI6375">
        <v>95.3642177555964</v>
      </c>
      <c r="AJ6375">
        <v>76.156626654513303</v>
      </c>
      <c r="AK6375">
        <v>11.8712207921255</v>
      </c>
      <c r="AL6375">
        <v>89.469905318461798</v>
      </c>
      <c r="AM6375">
        <v>82.626710094335394</v>
      </c>
      <c r="AN6375">
        <v>1.0000000485673199</v>
      </c>
    </row>
    <row r="6376" spans="1:40" x14ac:dyDescent="0.25">
      <c r="A6376" t="str">
        <f>"20190312154732059"</f>
        <v>20190312154732059</v>
      </c>
      <c r="B6376" t="str">
        <f>"1552376852054655"</f>
        <v>1552376852054655</v>
      </c>
      <c r="C6376" t="s">
        <v>40</v>
      </c>
      <c r="D6376">
        <v>4.762016</v>
      </c>
      <c r="E6376">
        <v>0.55140239999999996</v>
      </c>
      <c r="F6376" t="s">
        <v>52</v>
      </c>
      <c r="G6376">
        <v>-180.21850000000001</v>
      </c>
      <c r="H6376" s="1">
        <v>-5.4699360000000001E-6</v>
      </c>
      <c r="I6376">
        <v>129.78219999999999</v>
      </c>
      <c r="J6376">
        <v>-185.66849999999999</v>
      </c>
      <c r="K6376">
        <v>1.1097840000000001</v>
      </c>
      <c r="L6376">
        <v>119.3879</v>
      </c>
      <c r="M6376">
        <v>0.2386692</v>
      </c>
      <c r="N6376">
        <v>0</v>
      </c>
      <c r="O6376">
        <v>0.97100580000000003</v>
      </c>
      <c r="P6376">
        <v>0.3620543</v>
      </c>
      <c r="Q6376">
        <v>-2.9648130000000002E-3</v>
      </c>
      <c r="R6376">
        <v>0.93215230000000004</v>
      </c>
      <c r="S6376">
        <v>1.3898010000000001</v>
      </c>
      <c r="T6376">
        <v>-0.28042280000000003</v>
      </c>
      <c r="U6376">
        <v>2.6777190000000002</v>
      </c>
      <c r="V6376">
        <v>0.1290974</v>
      </c>
      <c r="W6376">
        <v>1.045667E-2</v>
      </c>
      <c r="X6376">
        <v>0.99157680000000004</v>
      </c>
      <c r="Y6376">
        <v>0.2334801</v>
      </c>
      <c r="Z6376">
        <v>-9.250891E-2</v>
      </c>
      <c r="AA6376">
        <v>0.96795100000000001</v>
      </c>
      <c r="AB6376">
        <v>21</v>
      </c>
      <c r="AC6376">
        <v>5.4499999999999797</v>
      </c>
      <c r="AD6376">
        <v>-1.109789469936</v>
      </c>
      <c r="AE6376">
        <v>10.3942999999999</v>
      </c>
      <c r="AF6376">
        <v>2.7865264387257702</v>
      </c>
      <c r="AG6376">
        <v>-1.109789469936</v>
      </c>
      <c r="AH6376">
        <v>11.2937427736057</v>
      </c>
      <c r="AI6376">
        <v>95.4497980356456</v>
      </c>
      <c r="AJ6376">
        <v>76.140126157479699</v>
      </c>
      <c r="AK6376">
        <v>11.6852465997799</v>
      </c>
      <c r="AL6376">
        <v>89.400866031754703</v>
      </c>
      <c r="AM6376">
        <v>82.582154642837295</v>
      </c>
      <c r="AN6376">
        <v>1.0000000154662401</v>
      </c>
    </row>
    <row r="6377" spans="1:40" x14ac:dyDescent="0.25">
      <c r="A6377" t="str">
        <f>"20190312154732082"</f>
        <v>20190312154732082</v>
      </c>
      <c r="B6377" t="str">
        <f>"1552376852074174"</f>
        <v>1552376852074174</v>
      </c>
      <c r="C6377" t="s">
        <v>40</v>
      </c>
      <c r="D6377">
        <v>4.8148920000000004</v>
      </c>
      <c r="E6377">
        <v>0.55284599999999995</v>
      </c>
      <c r="F6377" t="s">
        <v>52</v>
      </c>
      <c r="G6377">
        <v>-178.79810000000001</v>
      </c>
      <c r="H6377" s="1">
        <v>-5.4661899999999996E-6</v>
      </c>
      <c r="I6377">
        <v>131.79089999999999</v>
      </c>
      <c r="J6377">
        <v>-185.61600000000001</v>
      </c>
      <c r="K6377">
        <v>1.109769</v>
      </c>
      <c r="L6377">
        <v>119.6001</v>
      </c>
      <c r="M6377">
        <v>0.23902509999999999</v>
      </c>
      <c r="N6377">
        <v>0</v>
      </c>
      <c r="O6377">
        <v>0.97091830000000001</v>
      </c>
      <c r="P6377">
        <v>0.36299029999999999</v>
      </c>
      <c r="Q6377">
        <v>-2.1094949999999999E-3</v>
      </c>
      <c r="R6377">
        <v>0.93179049999999997</v>
      </c>
      <c r="S6377">
        <v>1.466766</v>
      </c>
      <c r="T6377">
        <v>-0.2369298</v>
      </c>
      <c r="U6377">
        <v>2.6479189999999999</v>
      </c>
      <c r="V6377">
        <v>0.12973009999999999</v>
      </c>
      <c r="W6377">
        <v>1.130158E-2</v>
      </c>
      <c r="X6377">
        <v>0.9914849</v>
      </c>
      <c r="Y6377">
        <v>0.25988270000000002</v>
      </c>
      <c r="Z6377">
        <v>-7.8247800000000006E-2</v>
      </c>
      <c r="AA6377">
        <v>0.96246469999999995</v>
      </c>
      <c r="AB6377">
        <v>21</v>
      </c>
      <c r="AC6377">
        <v>6.8178999999999803</v>
      </c>
      <c r="AD6377">
        <v>-1.10977446619</v>
      </c>
      <c r="AE6377">
        <v>12.1907999999999</v>
      </c>
      <c r="AF6377">
        <v>3.6828104830823398</v>
      </c>
      <c r="AG6377">
        <v>-1.10977446619</v>
      </c>
      <c r="AH6377">
        <v>13.3826829355628</v>
      </c>
      <c r="AI6377">
        <v>94.571297671802895</v>
      </c>
      <c r="AJ6377">
        <v>74.613509168222606</v>
      </c>
      <c r="AK6377">
        <v>13.924471084171</v>
      </c>
      <c r="AL6377">
        <v>89.352453356761799</v>
      </c>
      <c r="AM6377">
        <v>82.545524847788698</v>
      </c>
      <c r="AN6377">
        <v>0.99999996574225702</v>
      </c>
    </row>
    <row r="6378" spans="1:40" x14ac:dyDescent="0.25">
      <c r="A6378" t="str">
        <f>"20190312154732106"</f>
        <v>20190312154732106</v>
      </c>
      <c r="B6378" t="str">
        <f>"1552376852094670"</f>
        <v>1552376852094670</v>
      </c>
      <c r="C6378" t="s">
        <v>40</v>
      </c>
      <c r="D6378">
        <v>4.8129619999999997</v>
      </c>
      <c r="E6378">
        <v>0.55285830000000002</v>
      </c>
      <c r="F6378" t="s">
        <v>52</v>
      </c>
      <c r="G6378">
        <v>-178.36600000000001</v>
      </c>
      <c r="H6378" s="1">
        <v>-5.4569299999999998E-6</v>
      </c>
      <c r="I6378">
        <v>132.54339999999999</v>
      </c>
      <c r="J6378">
        <v>-185.56440000000001</v>
      </c>
      <c r="K6378">
        <v>1.1097600000000001</v>
      </c>
      <c r="L6378">
        <v>119.8078</v>
      </c>
      <c r="M6378">
        <v>0.23938470000000001</v>
      </c>
      <c r="N6378">
        <v>0</v>
      </c>
      <c r="O6378">
        <v>0.97082970000000002</v>
      </c>
      <c r="P6378">
        <v>0.36499779999999998</v>
      </c>
      <c r="Q6378">
        <v>-1.9049939999999999E-3</v>
      </c>
      <c r="R6378">
        <v>0.93100640000000001</v>
      </c>
      <c r="S6378">
        <v>1.480164</v>
      </c>
      <c r="T6378">
        <v>-0.22657169999999999</v>
      </c>
      <c r="U6378">
        <v>2.6425019999999999</v>
      </c>
      <c r="V6378">
        <v>0.13150010000000001</v>
      </c>
      <c r="W6378">
        <v>1.1495160000000001E-2</v>
      </c>
      <c r="X6378">
        <v>0.99124950000000001</v>
      </c>
      <c r="Y6378">
        <v>0.26421169999999999</v>
      </c>
      <c r="Z6378">
        <v>-7.4839450000000002E-2</v>
      </c>
      <c r="AA6378">
        <v>0.96155670000000004</v>
      </c>
      <c r="AB6378">
        <v>21</v>
      </c>
      <c r="AC6378">
        <v>7.1984000000000199</v>
      </c>
      <c r="AD6378">
        <v>-1.1097654569299999</v>
      </c>
      <c r="AE6378">
        <v>12.7355999999999</v>
      </c>
      <c r="AF6378">
        <v>3.91753227317722</v>
      </c>
      <c r="AG6378">
        <v>-1.1097654569299999</v>
      </c>
      <c r="AH6378">
        <v>14.007974594234399</v>
      </c>
      <c r="AI6378">
        <v>94.3630058243902</v>
      </c>
      <c r="AJ6378">
        <v>74.375583887986593</v>
      </c>
      <c r="AK6378">
        <v>14.5877342556511</v>
      </c>
      <c r="AL6378">
        <v>89.341361336825699</v>
      </c>
      <c r="AM6378">
        <v>82.443211786871402</v>
      </c>
      <c r="AN6378">
        <v>0.99999999312684196</v>
      </c>
    </row>
    <row r="6379" spans="1:40" x14ac:dyDescent="0.25">
      <c r="A6379" t="str">
        <f>"20190312154732126"</f>
        <v>20190312154732126</v>
      </c>
      <c r="B6379" t="str">
        <f>"1552376852114190"</f>
        <v>1552376852114190</v>
      </c>
      <c r="C6379" t="s">
        <v>40</v>
      </c>
      <c r="D6379">
        <v>4.7187340000000004</v>
      </c>
      <c r="E6379">
        <v>0.55328339999999998</v>
      </c>
      <c r="F6379" t="s">
        <v>52</v>
      </c>
      <c r="G6379">
        <v>-178.4212</v>
      </c>
      <c r="H6379" s="1">
        <v>-5.4769759999999996E-6</v>
      </c>
      <c r="I6379">
        <v>132.49680000000001</v>
      </c>
      <c r="J6379">
        <v>-185.5153</v>
      </c>
      <c r="K6379">
        <v>1.1097509999999999</v>
      </c>
      <c r="L6379">
        <v>120.0051</v>
      </c>
      <c r="M6379">
        <v>0.23973729999999999</v>
      </c>
      <c r="N6379">
        <v>0</v>
      </c>
      <c r="O6379">
        <v>0.97074280000000002</v>
      </c>
      <c r="P6379">
        <v>0.36606499999999997</v>
      </c>
      <c r="Q6379">
        <v>-1.576491E-3</v>
      </c>
      <c r="R6379">
        <v>0.93058790000000002</v>
      </c>
      <c r="S6379">
        <v>1.4857940000000001</v>
      </c>
      <c r="T6379">
        <v>-0.2308335</v>
      </c>
      <c r="U6379">
        <v>2.6393430000000002</v>
      </c>
      <c r="V6379">
        <v>0.1322769</v>
      </c>
      <c r="W6379">
        <v>1.181605E-2</v>
      </c>
      <c r="X6379">
        <v>0.99114239999999998</v>
      </c>
      <c r="Y6379">
        <v>0.26585710000000001</v>
      </c>
      <c r="Z6379">
        <v>-7.6252319999999998E-2</v>
      </c>
      <c r="AA6379">
        <v>0.96099199999999996</v>
      </c>
      <c r="AB6379">
        <v>21</v>
      </c>
      <c r="AC6379">
        <v>7.0940999999999903</v>
      </c>
      <c r="AD6379">
        <v>-1.109756476976</v>
      </c>
      <c r="AE6379">
        <v>12.4917</v>
      </c>
      <c r="AF6379">
        <v>3.86908923395093</v>
      </c>
      <c r="AG6379">
        <v>-1.109756476976</v>
      </c>
      <c r="AH6379">
        <v>13.746189585822901</v>
      </c>
      <c r="AI6379">
        <v>94.443655212263806</v>
      </c>
      <c r="AJ6379">
        <v>74.279877760179005</v>
      </c>
      <c r="AK6379">
        <v>14.3233773624746</v>
      </c>
      <c r="AL6379">
        <v>89.322974467997398</v>
      </c>
      <c r="AM6379">
        <v>82.398280843836403</v>
      </c>
      <c r="AN6379">
        <v>1.00000002719448</v>
      </c>
    </row>
    <row r="6380" spans="1:40" x14ac:dyDescent="0.25">
      <c r="A6380" t="str">
        <f>"20190312154732148"</f>
        <v>20190312154732148</v>
      </c>
      <c r="B6380" t="str">
        <f>"1552376852144447"</f>
        <v>1552376852144447</v>
      </c>
      <c r="C6380" t="s">
        <v>40</v>
      </c>
      <c r="D6380">
        <v>4.8193080000000004</v>
      </c>
      <c r="E6380">
        <v>0.55337769999999897</v>
      </c>
      <c r="F6380" t="s">
        <v>52</v>
      </c>
      <c r="G6380">
        <v>-178.1902</v>
      </c>
      <c r="H6380" s="1">
        <v>-5.4906719999999999E-6</v>
      </c>
      <c r="I6380">
        <v>132.94820000000001</v>
      </c>
      <c r="J6380">
        <v>-185.46690000000001</v>
      </c>
      <c r="K6380">
        <v>1.1097440000000001</v>
      </c>
      <c r="L6380">
        <v>120.1996</v>
      </c>
      <c r="M6380">
        <v>0.2400938</v>
      </c>
      <c r="N6380">
        <v>0</v>
      </c>
      <c r="O6380">
        <v>0.97065469999999998</v>
      </c>
      <c r="P6380">
        <v>0.36673670000000003</v>
      </c>
      <c r="Q6380">
        <v>-1.0434330000000001E-3</v>
      </c>
      <c r="R6380">
        <v>0.93032420000000005</v>
      </c>
      <c r="S6380">
        <v>1.492081</v>
      </c>
      <c r="T6380">
        <v>-0.22605030000000001</v>
      </c>
      <c r="U6380">
        <v>2.6364290000000001</v>
      </c>
      <c r="V6380">
        <v>0.132629</v>
      </c>
      <c r="W6380">
        <v>1.234244E-2</v>
      </c>
      <c r="X6380">
        <v>0.99108890000000005</v>
      </c>
      <c r="Y6380">
        <v>0.26775409999999999</v>
      </c>
      <c r="Z6380">
        <v>-7.4682120000000005E-2</v>
      </c>
      <c r="AA6380">
        <v>0.96058849999999996</v>
      </c>
      <c r="AB6380">
        <v>21</v>
      </c>
      <c r="AC6380">
        <v>7.2766999999999999</v>
      </c>
      <c r="AD6380">
        <v>-1.109749490672</v>
      </c>
      <c r="AE6380">
        <v>12.7486</v>
      </c>
      <c r="AF6380">
        <v>3.9799253698314598</v>
      </c>
      <c r="AG6380">
        <v>-1.109749490672</v>
      </c>
      <c r="AH6380">
        <v>14.0426218227365</v>
      </c>
      <c r="AI6380">
        <v>94.347977456984594</v>
      </c>
      <c r="AJ6380">
        <v>74.176339855119707</v>
      </c>
      <c r="AK6380">
        <v>14.637847435257299</v>
      </c>
      <c r="AL6380">
        <v>89.292812321620303</v>
      </c>
      <c r="AM6380">
        <v>82.377877241735504</v>
      </c>
      <c r="AN6380">
        <v>0.99999999758468106</v>
      </c>
    </row>
    <row r="6381" spans="1:40" x14ac:dyDescent="0.25">
      <c r="A6381" t="str">
        <f>"20190312154732172"</f>
        <v>20190312154732172</v>
      </c>
      <c r="B6381" t="str">
        <f>"1552376852164942"</f>
        <v>1552376852164942</v>
      </c>
      <c r="C6381" t="s">
        <v>40</v>
      </c>
      <c r="D6381">
        <v>4.7936709999999998</v>
      </c>
      <c r="E6381">
        <v>0.55346430000000002</v>
      </c>
      <c r="F6381" t="s">
        <v>52</v>
      </c>
      <c r="G6381">
        <v>-178.2877</v>
      </c>
      <c r="H6381" s="1">
        <v>-5.5230380000000001E-6</v>
      </c>
      <c r="I6381">
        <v>132.85830000000001</v>
      </c>
      <c r="J6381">
        <v>-185.4109</v>
      </c>
      <c r="K6381">
        <v>1.1097170000000001</v>
      </c>
      <c r="L6381">
        <v>120.4238</v>
      </c>
      <c r="M6381">
        <v>0.24052670000000001</v>
      </c>
      <c r="N6381">
        <v>0</v>
      </c>
      <c r="O6381">
        <v>0.97054759999999995</v>
      </c>
      <c r="P6381">
        <v>0.3675696</v>
      </c>
      <c r="Q6381">
        <v>-1.127875E-3</v>
      </c>
      <c r="R6381">
        <v>0.92999529999999997</v>
      </c>
      <c r="S6381">
        <v>1.494553</v>
      </c>
      <c r="T6381">
        <v>-0.2310257</v>
      </c>
      <c r="U6381">
        <v>2.6352540000000002</v>
      </c>
      <c r="V6381">
        <v>0.1330749</v>
      </c>
      <c r="W6381">
        <v>1.2248510000000001E-2</v>
      </c>
      <c r="X6381">
        <v>0.99103030000000003</v>
      </c>
      <c r="Y6381">
        <v>0.26812780000000003</v>
      </c>
      <c r="Z6381">
        <v>-7.6312019999999994E-2</v>
      </c>
      <c r="AA6381">
        <v>0.96035619999999999</v>
      </c>
      <c r="AB6381">
        <v>21</v>
      </c>
      <c r="AC6381">
        <v>7.12319999999999</v>
      </c>
      <c r="AD6381">
        <v>-1.1097225230379999</v>
      </c>
      <c r="AE6381">
        <v>12.4345</v>
      </c>
      <c r="AF6381">
        <v>3.89955201027426</v>
      </c>
      <c r="AG6381">
        <v>-1.1097225230379999</v>
      </c>
      <c r="AH6381">
        <v>13.7007033953959</v>
      </c>
      <c r="AI6381">
        <v>94.454539921116606</v>
      </c>
      <c r="AJ6381">
        <v>74.112363230220794</v>
      </c>
      <c r="AK6381">
        <v>14.288011180272299</v>
      </c>
      <c r="AL6381">
        <v>89.298194526445997</v>
      </c>
      <c r="AM6381">
        <v>82.352107513221398</v>
      </c>
      <c r="AN6381">
        <v>1.0000000052626601</v>
      </c>
    </row>
    <row r="6382" spans="1:40" x14ac:dyDescent="0.25">
      <c r="A6382" t="str">
        <f>"20190312154732194"</f>
        <v>20190312154732194</v>
      </c>
      <c r="B6382" t="str">
        <f>"1552376852184465"</f>
        <v>1552376852184465</v>
      </c>
      <c r="C6382" t="s">
        <v>40</v>
      </c>
      <c r="D6382">
        <v>4.8032079999999997</v>
      </c>
      <c r="E6382">
        <v>0.55386630000000003</v>
      </c>
      <c r="F6382" t="s">
        <v>52</v>
      </c>
      <c r="G6382">
        <v>-178.4186</v>
      </c>
      <c r="H6382" s="1">
        <v>-5.5615639999999899E-6</v>
      </c>
      <c r="I6382">
        <v>132.72710000000001</v>
      </c>
      <c r="J6382">
        <v>-185.36250000000001</v>
      </c>
      <c r="K6382">
        <v>1.1096969999999999</v>
      </c>
      <c r="L6382">
        <v>120.6169</v>
      </c>
      <c r="M6382">
        <v>0.2409384</v>
      </c>
      <c r="N6382">
        <v>0</v>
      </c>
      <c r="O6382">
        <v>0.97044549999999996</v>
      </c>
      <c r="P6382">
        <v>0.36855890000000002</v>
      </c>
      <c r="Q6382">
        <v>-5.8719429999999997E-4</v>
      </c>
      <c r="R6382">
        <v>0.92960419999999999</v>
      </c>
      <c r="S6382">
        <v>1.4969330000000001</v>
      </c>
      <c r="T6382">
        <v>-0.23757220000000001</v>
      </c>
      <c r="U6382">
        <v>2.6339109999999999</v>
      </c>
      <c r="V6382">
        <v>0.13371</v>
      </c>
      <c r="W6382">
        <v>1.2777760000000001E-2</v>
      </c>
      <c r="X6382">
        <v>0.99093810000000004</v>
      </c>
      <c r="Y6382">
        <v>0.2685014</v>
      </c>
      <c r="Z6382">
        <v>-7.8462000000000004E-2</v>
      </c>
      <c r="AA6382">
        <v>0.96007849999999995</v>
      </c>
      <c r="AB6382">
        <v>21</v>
      </c>
      <c r="AC6382">
        <v>6.94390000000001</v>
      </c>
      <c r="AD6382">
        <v>-1.1097025615639999</v>
      </c>
      <c r="AE6382">
        <v>12.110200000000001</v>
      </c>
      <c r="AF6382">
        <v>3.7972211235638502</v>
      </c>
      <c r="AG6382">
        <v>-1.1097025615639999</v>
      </c>
      <c r="AH6382">
        <v>13.342266419003399</v>
      </c>
      <c r="AI6382">
        <v>94.573655029536695</v>
      </c>
      <c r="AJ6382">
        <v>74.113598849662395</v>
      </c>
      <c r="AK6382">
        <v>13.9164076266847</v>
      </c>
      <c r="AL6382">
        <v>89.267868339681797</v>
      </c>
      <c r="AM6382">
        <v>82.315336603827305</v>
      </c>
      <c r="AN6382">
        <v>0.99999997664111295</v>
      </c>
    </row>
    <row r="6383" spans="1:40" x14ac:dyDescent="0.25">
      <c r="A6383" t="str">
        <f>"20190312154732216"</f>
        <v>20190312154732216</v>
      </c>
      <c r="B6383" t="str">
        <f>"1552376852204958"</f>
        <v>1552376852204958</v>
      </c>
      <c r="C6383" t="s">
        <v>40</v>
      </c>
      <c r="D6383">
        <v>4.7948930000000001</v>
      </c>
      <c r="E6383">
        <v>0.55396060000000003</v>
      </c>
      <c r="F6383" t="s">
        <v>52</v>
      </c>
      <c r="G6383">
        <v>-178.44370000000001</v>
      </c>
      <c r="H6383" s="1">
        <v>-5.5803869999999901E-6</v>
      </c>
      <c r="I6383">
        <v>132.7362</v>
      </c>
      <c r="J6383">
        <v>-185.31180000000001</v>
      </c>
      <c r="K6383">
        <v>1.1096619999999999</v>
      </c>
      <c r="L6383">
        <v>120.81870000000001</v>
      </c>
      <c r="M6383">
        <v>0.24144080000000001</v>
      </c>
      <c r="N6383">
        <v>0</v>
      </c>
      <c r="O6383">
        <v>0.97032059999999998</v>
      </c>
      <c r="P6383">
        <v>0.37003609999999998</v>
      </c>
      <c r="Q6383">
        <v>-4.104574E-4</v>
      </c>
      <c r="R6383">
        <v>0.92901730000000005</v>
      </c>
      <c r="S6383">
        <v>1.5022580000000001</v>
      </c>
      <c r="T6383">
        <v>-0.24094460000000001</v>
      </c>
      <c r="U6383">
        <v>2.6314090000000001</v>
      </c>
      <c r="V6383">
        <v>0.13477349999999999</v>
      </c>
      <c r="W6383">
        <v>1.293415E-2</v>
      </c>
      <c r="X6383">
        <v>0.99079200000000001</v>
      </c>
      <c r="Y6383">
        <v>0.26981690000000003</v>
      </c>
      <c r="Z6383">
        <v>-7.9566079999999997E-2</v>
      </c>
      <c r="AA6383">
        <v>0.95961870000000005</v>
      </c>
      <c r="AB6383">
        <v>21</v>
      </c>
      <c r="AC6383">
        <v>6.8680999999999903</v>
      </c>
      <c r="AD6383">
        <v>-1.109667580387</v>
      </c>
      <c r="AE6383">
        <v>11.917499999999899</v>
      </c>
      <c r="AF6383">
        <v>3.7627478994971399</v>
      </c>
      <c r="AG6383">
        <v>-1.109667580387</v>
      </c>
      <c r="AH6383">
        <v>13.1377487890119</v>
      </c>
      <c r="AI6383">
        <v>94.642194422964394</v>
      </c>
      <c r="AJ6383">
        <v>74.017897782807594</v>
      </c>
      <c r="AK6383">
        <v>13.7109473464569</v>
      </c>
      <c r="AL6383">
        <v>89.258907120283894</v>
      </c>
      <c r="AM6383">
        <v>82.253825265164807</v>
      </c>
      <c r="AN6383">
        <v>0.99999998790123601</v>
      </c>
    </row>
    <row r="6384" spans="1:40" x14ac:dyDescent="0.25">
      <c r="A6384" t="str">
        <f>"20190312154732237"</f>
        <v>20190312154732237</v>
      </c>
      <c r="B6384" t="str">
        <f>"1552376852224478"</f>
        <v>1552376852224478</v>
      </c>
      <c r="C6384" t="s">
        <v>40</v>
      </c>
      <c r="D6384">
        <v>4.9468120000000004</v>
      </c>
      <c r="E6384">
        <v>0.55395869999999903</v>
      </c>
      <c r="F6384" t="s">
        <v>52</v>
      </c>
      <c r="G6384">
        <v>-178.45769999999999</v>
      </c>
      <c r="H6384" s="1">
        <v>-5.6032019999999996E-6</v>
      </c>
      <c r="I6384">
        <v>132.7765</v>
      </c>
      <c r="J6384">
        <v>-185.2645</v>
      </c>
      <c r="K6384">
        <v>1.10959599999999</v>
      </c>
      <c r="L6384">
        <v>121.0065</v>
      </c>
      <c r="M6384">
        <v>0.2420137</v>
      </c>
      <c r="N6384">
        <v>0</v>
      </c>
      <c r="O6384">
        <v>0.97017790000000004</v>
      </c>
      <c r="P6384">
        <v>0.37135649999999998</v>
      </c>
      <c r="Q6384">
        <v>1.5052239999999999E-4</v>
      </c>
      <c r="R6384">
        <v>0.92849029999999999</v>
      </c>
      <c r="S6384">
        <v>1.506866</v>
      </c>
      <c r="T6384">
        <v>-0.2439576</v>
      </c>
      <c r="U6384">
        <v>2.6288909999999999</v>
      </c>
      <c r="V6384">
        <v>0.13559979999999999</v>
      </c>
      <c r="W6384">
        <v>1.3467679999999999E-2</v>
      </c>
      <c r="X6384">
        <v>0.9906722</v>
      </c>
      <c r="Y6384">
        <v>0.27087050000000001</v>
      </c>
      <c r="Z6384">
        <v>-8.0558050000000006E-2</v>
      </c>
      <c r="AA6384">
        <v>0.95923910000000001</v>
      </c>
      <c r="AB6384">
        <v>21</v>
      </c>
      <c r="AC6384">
        <v>6.8068000000000097</v>
      </c>
      <c r="AD6384">
        <v>-1.10960160320199</v>
      </c>
      <c r="AE6384">
        <v>11.7699999999999</v>
      </c>
      <c r="AF6384">
        <v>3.7308042156766699</v>
      </c>
      <c r="AG6384">
        <v>-1.10960160320199</v>
      </c>
      <c r="AH6384">
        <v>12.981081541717</v>
      </c>
      <c r="AI6384">
        <v>94.696458802420494</v>
      </c>
      <c r="AJ6384">
        <v>73.965180273373406</v>
      </c>
      <c r="AK6384">
        <v>13.552069724077001</v>
      </c>
      <c r="AL6384">
        <v>89.228335483259499</v>
      </c>
      <c r="AM6384">
        <v>82.205984267274204</v>
      </c>
      <c r="AN6384">
        <v>1.0000000460087299</v>
      </c>
    </row>
    <row r="6385" spans="1:40" x14ac:dyDescent="0.25">
      <c r="A6385" t="str">
        <f>"20190312154732261"</f>
        <v>20190312154732261</v>
      </c>
      <c r="B6385" t="str">
        <f>"1552376852254734"</f>
        <v>1552376852254734</v>
      </c>
      <c r="C6385" t="s">
        <v>40</v>
      </c>
      <c r="D6385">
        <v>4.772564</v>
      </c>
      <c r="E6385">
        <v>0.55383439999999995</v>
      </c>
      <c r="F6385" t="s">
        <v>52</v>
      </c>
      <c r="G6385">
        <v>-178.31649999999999</v>
      </c>
      <c r="H6385" s="1">
        <v>-5.6230769999999898E-6</v>
      </c>
      <c r="I6385">
        <v>133.08459999999999</v>
      </c>
      <c r="J6385">
        <v>-185.2097</v>
      </c>
      <c r="K6385">
        <v>1.1094809999999999</v>
      </c>
      <c r="L6385">
        <v>121.22239999999999</v>
      </c>
      <c r="M6385">
        <v>0.2428409</v>
      </c>
      <c r="N6385">
        <v>0</v>
      </c>
      <c r="O6385">
        <v>0.96997120000000003</v>
      </c>
      <c r="P6385">
        <v>0.37242799999999998</v>
      </c>
      <c r="Q6385">
        <v>8.5638749999999997E-4</v>
      </c>
      <c r="R6385">
        <v>0.92806069999999996</v>
      </c>
      <c r="S6385">
        <v>1.5110319999999999</v>
      </c>
      <c r="T6385">
        <v>-0.241316</v>
      </c>
      <c r="U6385">
        <v>2.6267550000000002</v>
      </c>
      <c r="V6385">
        <v>0.13590360000000001</v>
      </c>
      <c r="W6385">
        <v>1.413233E-2</v>
      </c>
      <c r="X6385">
        <v>0.99062130000000004</v>
      </c>
      <c r="Y6385">
        <v>0.27156590000000003</v>
      </c>
      <c r="Z6385">
        <v>-7.9685010000000001E-2</v>
      </c>
      <c r="AA6385">
        <v>0.95911539999999995</v>
      </c>
      <c r="AB6385">
        <v>21</v>
      </c>
      <c r="AC6385">
        <v>6.8932000000000002</v>
      </c>
      <c r="AD6385">
        <v>-1.109486623077</v>
      </c>
      <c r="AE6385">
        <v>11.8622</v>
      </c>
      <c r="AF6385">
        <v>3.7812005969839699</v>
      </c>
      <c r="AG6385">
        <v>-1.109486623077</v>
      </c>
      <c r="AH6385">
        <v>13.0955159337709</v>
      </c>
      <c r="AI6385">
        <v>94.6534720919297</v>
      </c>
      <c r="AJ6385">
        <v>73.894450322885604</v>
      </c>
      <c r="AK6385">
        <v>13.675561271591899</v>
      </c>
      <c r="AL6385">
        <v>89.190250209397206</v>
      </c>
      <c r="AM6385">
        <v>82.188341355530298</v>
      </c>
      <c r="AN6385">
        <v>1.00000003562893</v>
      </c>
    </row>
    <row r="6386" spans="1:40" x14ac:dyDescent="0.25">
      <c r="A6386" t="str">
        <f>"20190312154732284"</f>
        <v>20190312154732284</v>
      </c>
      <c r="B6386" t="str">
        <f>"1552376852274254"</f>
        <v>1552376852274254</v>
      </c>
      <c r="C6386" t="s">
        <v>40</v>
      </c>
      <c r="D6386">
        <v>4.9683479999999998</v>
      </c>
      <c r="E6386">
        <v>0.55380249999999998</v>
      </c>
      <c r="F6386" t="s">
        <v>52</v>
      </c>
      <c r="G6386">
        <v>-178.0478</v>
      </c>
      <c r="H6386" s="1">
        <v>-5.6515650000000003E-6</v>
      </c>
      <c r="I6386">
        <v>133.64449999999999</v>
      </c>
      <c r="J6386">
        <v>-185.15539999999999</v>
      </c>
      <c r="K6386">
        <v>1.1093309999999901</v>
      </c>
      <c r="L6386">
        <v>121.4344</v>
      </c>
      <c r="M6386">
        <v>0.24388679999999999</v>
      </c>
      <c r="N6386">
        <v>0</v>
      </c>
      <c r="O6386">
        <v>0.96970869999999998</v>
      </c>
      <c r="P6386">
        <v>0.3733166</v>
      </c>
      <c r="Q6386">
        <v>2.6285549999999999E-3</v>
      </c>
      <c r="R6386">
        <v>0.92770030000000003</v>
      </c>
      <c r="S6386">
        <v>1.5136259999999999</v>
      </c>
      <c r="T6386">
        <v>-0.234484</v>
      </c>
      <c r="U6386">
        <v>2.6253510000000002</v>
      </c>
      <c r="V6386">
        <v>0.135793</v>
      </c>
      <c r="W6386">
        <v>1.5853519999999999E-2</v>
      </c>
      <c r="X6386">
        <v>0.9906104</v>
      </c>
      <c r="Y6386">
        <v>0.27155200000000002</v>
      </c>
      <c r="Z6386">
        <v>-7.7430860000000004E-2</v>
      </c>
      <c r="AA6386">
        <v>0.95930389999999999</v>
      </c>
      <c r="AB6386">
        <v>21</v>
      </c>
      <c r="AC6386">
        <v>7.1075999999999899</v>
      </c>
      <c r="AD6386">
        <v>-1.1093366515649901</v>
      </c>
      <c r="AE6386">
        <v>12.210099999999899</v>
      </c>
      <c r="AF6386">
        <v>3.8907920181797802</v>
      </c>
      <c r="AG6386">
        <v>-1.1093366515649901</v>
      </c>
      <c r="AH6386">
        <v>13.491759619470299</v>
      </c>
      <c r="AI6386">
        <v>94.517196986536504</v>
      </c>
      <c r="AJ6386">
        <v>73.913346203591999</v>
      </c>
      <c r="AK6386">
        <v>14.0853281099449</v>
      </c>
      <c r="AL6386">
        <v>89.091622176858493</v>
      </c>
      <c r="AM6386">
        <v>82.194535358278003</v>
      </c>
      <c r="AN6386">
        <v>1.0000000187667699</v>
      </c>
    </row>
    <row r="6387" spans="1:40" x14ac:dyDescent="0.25">
      <c r="A6387" t="str">
        <f>"20190312154732306"</f>
        <v>20190312154732306</v>
      </c>
      <c r="B6387" t="str">
        <f>"1552376852294750"</f>
        <v>1552376852294750</v>
      </c>
      <c r="C6387" t="s">
        <v>40</v>
      </c>
      <c r="D6387">
        <v>4.7571159999999999</v>
      </c>
      <c r="E6387">
        <v>0.55410119999999996</v>
      </c>
      <c r="F6387" t="s">
        <v>52</v>
      </c>
      <c r="G6387">
        <v>-177.76310000000001</v>
      </c>
      <c r="H6387" s="1">
        <v>-5.6784590000000003E-6</v>
      </c>
      <c r="I6387">
        <v>134.22839999999999</v>
      </c>
      <c r="J6387">
        <v>-185.10480000000001</v>
      </c>
      <c r="K6387">
        <v>1.109164</v>
      </c>
      <c r="L6387">
        <v>121.6298</v>
      </c>
      <c r="M6387">
        <v>0.24512039999999999</v>
      </c>
      <c r="N6387">
        <v>0</v>
      </c>
      <c r="O6387">
        <v>0.96939759999999997</v>
      </c>
      <c r="P6387">
        <v>0.37353550000000002</v>
      </c>
      <c r="Q6387">
        <v>3.4930180000000001E-3</v>
      </c>
      <c r="R6387">
        <v>0.92760929999999997</v>
      </c>
      <c r="S6387">
        <v>1.5162960000000001</v>
      </c>
      <c r="T6387">
        <v>-0.22754340000000001</v>
      </c>
      <c r="U6387">
        <v>2.6242679999999998</v>
      </c>
      <c r="V6387">
        <v>0.13477510000000001</v>
      </c>
      <c r="W6387">
        <v>1.6667850000000001E-2</v>
      </c>
      <c r="X6387">
        <v>0.99073599999999995</v>
      </c>
      <c r="Y6387">
        <v>0.27132109999999998</v>
      </c>
      <c r="Z6387">
        <v>-7.5128879999999995E-2</v>
      </c>
      <c r="AA6387">
        <v>0.95955219999999997</v>
      </c>
      <c r="AB6387">
        <v>21</v>
      </c>
      <c r="AC6387">
        <v>7.3417000000000003</v>
      </c>
      <c r="AD6387">
        <v>-1.1091696784589999</v>
      </c>
      <c r="AE6387">
        <v>12.5985999999999</v>
      </c>
      <c r="AF6387">
        <v>4.0060446478868998</v>
      </c>
      <c r="AG6387">
        <v>-1.1091696784589999</v>
      </c>
      <c r="AH6387">
        <v>13.933325652970501</v>
      </c>
      <c r="AI6387">
        <v>94.374954881031897</v>
      </c>
      <c r="AJ6387">
        <v>73.959245696559705</v>
      </c>
      <c r="AK6387">
        <v>14.540158694051501</v>
      </c>
      <c r="AL6387">
        <v>89.044958300791393</v>
      </c>
      <c r="AM6387">
        <v>82.2533018901959</v>
      </c>
      <c r="AN6387">
        <v>0.99999998324981598</v>
      </c>
    </row>
    <row r="6388" spans="1:40" x14ac:dyDescent="0.25">
      <c r="A6388" t="str">
        <f>"20190312154732327"</f>
        <v>20190312154732327</v>
      </c>
      <c r="B6388" t="str">
        <f>"1552376852314270"</f>
        <v>1552376852314270</v>
      </c>
      <c r="C6388" t="s">
        <v>40</v>
      </c>
      <c r="D6388">
        <v>4.797193</v>
      </c>
      <c r="E6388">
        <v>0.55435349999999906</v>
      </c>
      <c r="F6388" t="s">
        <v>52</v>
      </c>
      <c r="G6388">
        <v>-177.69990000000001</v>
      </c>
      <c r="H6388" s="1">
        <v>-5.703434E-6</v>
      </c>
      <c r="I6388">
        <v>134.41229999999999</v>
      </c>
      <c r="J6388">
        <v>-185.05420000000001</v>
      </c>
      <c r="K6388">
        <v>1.109002</v>
      </c>
      <c r="L6388">
        <v>121.8233</v>
      </c>
      <c r="M6388">
        <v>0.2465676</v>
      </c>
      <c r="N6388">
        <v>0</v>
      </c>
      <c r="O6388">
        <v>0.96903050000000002</v>
      </c>
      <c r="P6388">
        <v>0.37423400000000001</v>
      </c>
      <c r="Q6388">
        <v>2.9272090000000001E-3</v>
      </c>
      <c r="R6388">
        <v>0.92732969999999904</v>
      </c>
      <c r="S6388">
        <v>1.5195620000000001</v>
      </c>
      <c r="T6388">
        <v>-0.22761229999999999</v>
      </c>
      <c r="U6388">
        <v>2.6230769999999999</v>
      </c>
      <c r="V6388">
        <v>0.13404639999999901</v>
      </c>
      <c r="W6388">
        <v>1.6055670000000001E-2</v>
      </c>
      <c r="X6388">
        <v>0.99084499999999998</v>
      </c>
      <c r="Y6388">
        <v>0.27096779999999998</v>
      </c>
      <c r="Z6388">
        <v>-7.512075E-2</v>
      </c>
      <c r="AA6388">
        <v>0.95965270000000003</v>
      </c>
      <c r="AB6388">
        <v>21</v>
      </c>
      <c r="AC6388">
        <v>7.3542999999999896</v>
      </c>
      <c r="AD6388">
        <v>-1.109007703434</v>
      </c>
      <c r="AE6388">
        <v>12.588999999999899</v>
      </c>
      <c r="AF6388">
        <v>3.99973024664226</v>
      </c>
      <c r="AG6388">
        <v>-1.109007703434</v>
      </c>
      <c r="AH6388">
        <v>13.933133025852401</v>
      </c>
      <c r="AI6388">
        <v>94.374898220160603</v>
      </c>
      <c r="AJ6388">
        <v>73.983021637571198</v>
      </c>
      <c r="AK6388">
        <v>14.538223276875399</v>
      </c>
      <c r="AL6388">
        <v>89.080038360065203</v>
      </c>
      <c r="AM6388">
        <v>82.295519551976</v>
      </c>
      <c r="AN6388">
        <v>1.00000001795855</v>
      </c>
    </row>
    <row r="6389" spans="1:40" x14ac:dyDescent="0.25">
      <c r="A6389" t="str">
        <f>"20190312154732349"</f>
        <v>20190312154732349</v>
      </c>
      <c r="B6389" t="str">
        <f>"1552376852344525"</f>
        <v>1552376852344525</v>
      </c>
      <c r="C6389" t="s">
        <v>40</v>
      </c>
      <c r="D6389">
        <v>4.7767489999999997</v>
      </c>
      <c r="E6389">
        <v>0.55462999999999996</v>
      </c>
      <c r="F6389" t="s">
        <v>52</v>
      </c>
      <c r="G6389">
        <v>-177.7876</v>
      </c>
      <c r="H6389" s="1">
        <v>-5.7285710000000003E-6</v>
      </c>
      <c r="I6389">
        <v>134.3279</v>
      </c>
      <c r="J6389">
        <v>-185.00239999999999</v>
      </c>
      <c r="K6389">
        <v>1.10883</v>
      </c>
      <c r="L6389">
        <v>122.0189</v>
      </c>
      <c r="M6389">
        <v>0.24827170000000001</v>
      </c>
      <c r="N6389">
        <v>0</v>
      </c>
      <c r="O6389">
        <v>0.96859530000000005</v>
      </c>
      <c r="P6389">
        <v>0.37578299999999998</v>
      </c>
      <c r="Q6389">
        <v>1.53986799999999E-3</v>
      </c>
      <c r="R6389">
        <v>0.92670640000000004</v>
      </c>
      <c r="S6389">
        <v>1.5231629999999901</v>
      </c>
      <c r="T6389">
        <v>-0.23246230000000001</v>
      </c>
      <c r="U6389">
        <v>2.62114</v>
      </c>
      <c r="V6389">
        <v>0.13396050000000001</v>
      </c>
      <c r="W6389">
        <v>1.462199E-2</v>
      </c>
      <c r="X6389">
        <v>0.99087879999999995</v>
      </c>
      <c r="Y6389">
        <v>0.2705072</v>
      </c>
      <c r="Z6389">
        <v>-7.6689530000000006E-2</v>
      </c>
      <c r="AA6389">
        <v>0.95965860000000003</v>
      </c>
      <c r="AB6389">
        <v>21</v>
      </c>
      <c r="AC6389">
        <v>7.2147999999999897</v>
      </c>
      <c r="AD6389">
        <v>-1.108835728571</v>
      </c>
      <c r="AE6389">
        <v>12.3089999999999</v>
      </c>
      <c r="AF6389">
        <v>3.9089973777549898</v>
      </c>
      <c r="AG6389">
        <v>-1.108835728571</v>
      </c>
      <c r="AH6389">
        <v>13.6325942761534</v>
      </c>
      <c r="AI6389">
        <v>94.470654110178103</v>
      </c>
      <c r="AJ6389">
        <v>74.000334477344893</v>
      </c>
      <c r="AK6389">
        <v>14.225238271131399</v>
      </c>
      <c r="AL6389">
        <v>89.162191834899005</v>
      </c>
      <c r="AM6389">
        <v>82.300657006364503</v>
      </c>
      <c r="AN6389">
        <v>1.0000000072206201</v>
      </c>
    </row>
    <row r="6390" spans="1:40" x14ac:dyDescent="0.25">
      <c r="A6390" t="str">
        <f>"20190312154732374"</f>
        <v>20190312154732374</v>
      </c>
      <c r="B6390" t="str">
        <f>"1552376852365022"</f>
        <v>1552376852365022</v>
      </c>
      <c r="C6390" t="s">
        <v>40</v>
      </c>
      <c r="D6390">
        <v>4.7405109999999997</v>
      </c>
      <c r="E6390">
        <v>0.55472559999999904</v>
      </c>
      <c r="F6390" t="s">
        <v>52</v>
      </c>
      <c r="G6390">
        <v>-177.94659999999999</v>
      </c>
      <c r="H6390" s="1">
        <v>-5.7461979999999997E-6</v>
      </c>
      <c r="I6390">
        <v>134.09530000000001</v>
      </c>
      <c r="J6390">
        <v>-184.94220000000001</v>
      </c>
      <c r="K6390">
        <v>1.108654</v>
      </c>
      <c r="L6390">
        <v>122.2436</v>
      </c>
      <c r="M6390">
        <v>0.25053439999999999</v>
      </c>
      <c r="N6390">
        <v>0</v>
      </c>
      <c r="O6390">
        <v>0.9680124</v>
      </c>
      <c r="P6390">
        <v>0.37877450000000001</v>
      </c>
      <c r="Q6390">
        <v>7.8138009999999996E-4</v>
      </c>
      <c r="R6390">
        <v>0.92548869999999905</v>
      </c>
      <c r="S6390">
        <v>1.5293270000000001</v>
      </c>
      <c r="T6390">
        <v>-0.2403381</v>
      </c>
      <c r="U6390">
        <v>2.6175229999999998</v>
      </c>
      <c r="V6390">
        <v>0.1348492</v>
      </c>
      <c r="W6390">
        <v>1.380811E-2</v>
      </c>
      <c r="X6390">
        <v>0.99076989999999998</v>
      </c>
      <c r="Y6390">
        <v>0.27041670000000001</v>
      </c>
      <c r="Z6390">
        <v>-7.9250970000000004E-2</v>
      </c>
      <c r="AA6390">
        <v>0.95947590000000005</v>
      </c>
      <c r="AB6390">
        <v>21</v>
      </c>
      <c r="AC6390">
        <v>6.99560000000002</v>
      </c>
      <c r="AD6390">
        <v>-1.1086597461979999</v>
      </c>
      <c r="AE6390">
        <v>11.851699999999999</v>
      </c>
      <c r="AF6390">
        <v>3.7783997771478601</v>
      </c>
      <c r="AG6390">
        <v>-1.1086597461979999</v>
      </c>
      <c r="AH6390">
        <v>13.141171123996401</v>
      </c>
      <c r="AI6390">
        <v>94.635427683074994</v>
      </c>
      <c r="AJ6390">
        <v>73.958795885348394</v>
      </c>
      <c r="AK6390">
        <v>13.718447791894899</v>
      </c>
      <c r="AL6390">
        <v>89.208828417586801</v>
      </c>
      <c r="AM6390">
        <v>82.249356457316296</v>
      </c>
      <c r="AN6390">
        <v>0.99999998269421098</v>
      </c>
    </row>
    <row r="6391" spans="1:40" x14ac:dyDescent="0.25">
      <c r="A6391" t="str">
        <f>"20190312154732394"</f>
        <v>20190312154732394</v>
      </c>
      <c r="B6391" t="str">
        <f>"1552376852384546"</f>
        <v>1552376852384546</v>
      </c>
      <c r="C6391" t="s">
        <v>40</v>
      </c>
      <c r="D6391">
        <v>4.9439099999999998</v>
      </c>
      <c r="E6391">
        <v>0.57859890000000003</v>
      </c>
      <c r="F6391" t="s">
        <v>52</v>
      </c>
      <c r="G6391">
        <v>-177.97550000000001</v>
      </c>
      <c r="H6391" s="1">
        <v>-5.7585370000000004E-6</v>
      </c>
      <c r="I6391">
        <v>134.07910000000001</v>
      </c>
      <c r="J6391">
        <v>-184.89359999999999</v>
      </c>
      <c r="K6391">
        <v>1.108535</v>
      </c>
      <c r="L6391">
        <v>122.42189999999999</v>
      </c>
      <c r="M6391">
        <v>0.25255169999999999</v>
      </c>
      <c r="N6391">
        <v>0</v>
      </c>
      <c r="O6391">
        <v>0.96748800000000001</v>
      </c>
      <c r="P6391">
        <v>0.38252130000000001</v>
      </c>
      <c r="Q6391">
        <v>1.2874760000000001E-3</v>
      </c>
      <c r="R6391">
        <v>0.92394580000000004</v>
      </c>
      <c r="S6391">
        <v>1.537704</v>
      </c>
      <c r="T6391">
        <v>-0.2447085</v>
      </c>
      <c r="U6391">
        <v>2.6123959999999999</v>
      </c>
      <c r="V6391">
        <v>0.13680439999999999</v>
      </c>
      <c r="W6391">
        <v>1.4264880000000001E-2</v>
      </c>
      <c r="X6391">
        <v>0.99049540000000003</v>
      </c>
      <c r="Y6391">
        <v>0.27145839999999999</v>
      </c>
      <c r="Z6391">
        <v>-8.0679819999999999E-2</v>
      </c>
      <c r="AA6391">
        <v>0.95906259999999999</v>
      </c>
      <c r="AB6391">
        <v>21</v>
      </c>
      <c r="AC6391">
        <v>6.9180999999999804</v>
      </c>
      <c r="AD6391">
        <v>-1.108540758537</v>
      </c>
      <c r="AE6391">
        <v>11.6572</v>
      </c>
      <c r="AF6391">
        <v>3.72457045759363</v>
      </c>
      <c r="AG6391">
        <v>-1.108540758537</v>
      </c>
      <c r="AH6391">
        <v>12.940042727959399</v>
      </c>
      <c r="AI6391">
        <v>94.7062675855056</v>
      </c>
      <c r="AJ6391">
        <v>73.942438917628493</v>
      </c>
      <c r="AK6391">
        <v>13.510958274983</v>
      </c>
      <c r="AL6391">
        <v>89.182654887141396</v>
      </c>
      <c r="AM6391">
        <v>82.136222514335003</v>
      </c>
      <c r="AN6391">
        <v>1.0000000340409601</v>
      </c>
    </row>
    <row r="6392" spans="1:40" x14ac:dyDescent="0.25">
      <c r="A6392" t="str">
        <f>"20190312154732416"</f>
        <v>20190312154732416</v>
      </c>
      <c r="B6392" t="str">
        <f>"1552376852405038"</f>
        <v>1552376852405038</v>
      </c>
      <c r="C6392" t="s">
        <v>40</v>
      </c>
      <c r="D6392">
        <v>4.8578570000000001</v>
      </c>
      <c r="E6392">
        <v>0.62079150000000005</v>
      </c>
      <c r="F6392" t="s">
        <v>52</v>
      </c>
      <c r="G6392">
        <v>-176.3691</v>
      </c>
      <c r="H6392" s="1">
        <v>-5.0074879999999996E-6</v>
      </c>
      <c r="I6392">
        <v>134.94839999999999</v>
      </c>
      <c r="J6392">
        <v>-184.83760000000001</v>
      </c>
      <c r="K6392">
        <v>1.1084000000000001</v>
      </c>
      <c r="L6392">
        <v>122.62520000000001</v>
      </c>
      <c r="M6392">
        <v>0.25507790000000002</v>
      </c>
      <c r="N6392">
        <v>0</v>
      </c>
      <c r="O6392">
        <v>0.96682489999999999</v>
      </c>
      <c r="P6392">
        <v>0.38729609999999998</v>
      </c>
      <c r="Q6392">
        <v>1.7199520000000001E-3</v>
      </c>
      <c r="R6392">
        <v>0.92195380000000005</v>
      </c>
      <c r="S6392">
        <v>1.7240599999999999</v>
      </c>
      <c r="T6392">
        <v>-0.2241995</v>
      </c>
      <c r="U6392">
        <v>2.5334629999999998</v>
      </c>
      <c r="V6392">
        <v>0.13934839999999901</v>
      </c>
      <c r="W6392">
        <v>1.464011E-2</v>
      </c>
      <c r="X6392">
        <v>0.99013519999999999</v>
      </c>
      <c r="Y6392">
        <v>0.33152290000000001</v>
      </c>
      <c r="Z6392">
        <v>-7.3739159999999998E-2</v>
      </c>
      <c r="AA6392">
        <v>0.94056110000000004</v>
      </c>
      <c r="AB6392">
        <v>21</v>
      </c>
      <c r="AC6392">
        <v>8.4685000000000006</v>
      </c>
      <c r="AD6392">
        <v>-1.1084050074879901</v>
      </c>
      <c r="AE6392">
        <v>12.3231999999999</v>
      </c>
      <c r="AF6392">
        <v>5.0170780210670003</v>
      </c>
      <c r="AG6392">
        <v>-1.1084050074879901</v>
      </c>
      <c r="AH6392">
        <v>13.998880701166399</v>
      </c>
      <c r="AI6392">
        <v>94.262706163697402</v>
      </c>
      <c r="AJ6392">
        <v>70.282758712351495</v>
      </c>
      <c r="AK6392">
        <v>14.9120184554468</v>
      </c>
      <c r="AL6392">
        <v>89.161153528117694</v>
      </c>
      <c r="AM6392">
        <v>81.988993172288303</v>
      </c>
      <c r="AN6392">
        <v>1.0000000118412</v>
      </c>
    </row>
    <row r="6393" spans="1:40" x14ac:dyDescent="0.25">
      <c r="A6393" t="str">
        <f>"20190312154732438"</f>
        <v>20190312154732438</v>
      </c>
      <c r="B6393" t="str">
        <f>"1552376852434319"</f>
        <v>1552376852434319</v>
      </c>
      <c r="C6393" t="s">
        <v>40</v>
      </c>
      <c r="D6393">
        <v>4.8619320000000004</v>
      </c>
      <c r="E6393">
        <v>0.62859370000000003</v>
      </c>
      <c r="F6393" t="s">
        <v>52</v>
      </c>
      <c r="G6393">
        <v>-181.12190000000001</v>
      </c>
      <c r="H6393" s="1">
        <v>-4.5861860000000003E-6</v>
      </c>
      <c r="I6393">
        <v>126.9838</v>
      </c>
      <c r="J6393">
        <v>-184.78450000000001</v>
      </c>
      <c r="K6393">
        <v>1.1082689999999999</v>
      </c>
      <c r="L6393">
        <v>122.81480000000001</v>
      </c>
      <c r="M6393">
        <v>0.25763819999999998</v>
      </c>
      <c r="N6393">
        <v>0</v>
      </c>
      <c r="O6393">
        <v>0.96614580000000005</v>
      </c>
      <c r="P6393">
        <v>0.39244250000000003</v>
      </c>
      <c r="Q6393">
        <v>1.9744850000000002E-3</v>
      </c>
      <c r="R6393">
        <v>0.91977439999999999</v>
      </c>
      <c r="S6393">
        <v>2.0432739999999998</v>
      </c>
      <c r="T6393">
        <v>-0.60950969999999904</v>
      </c>
      <c r="U6393">
        <v>2.3967740000000002</v>
      </c>
      <c r="V6393">
        <v>0.14226440000000001</v>
      </c>
      <c r="W6393">
        <v>1.48375E-2</v>
      </c>
      <c r="X6393">
        <v>0.98971750000000003</v>
      </c>
      <c r="Y6393">
        <v>0.41815950000000002</v>
      </c>
      <c r="Z6393">
        <v>-0.19456180000000001</v>
      </c>
      <c r="AA6393">
        <v>0.88729269999999905</v>
      </c>
      <c r="AB6393">
        <v>21</v>
      </c>
      <c r="AC6393">
        <v>3.6625999999999901</v>
      </c>
      <c r="AD6393">
        <v>-1.108273586186</v>
      </c>
      <c r="AE6393">
        <v>4.1689999999999898</v>
      </c>
      <c r="AF6393">
        <v>2.3702038920063102</v>
      </c>
      <c r="AG6393">
        <v>-1.108273586186</v>
      </c>
      <c r="AH6393">
        <v>4.7812464625077098</v>
      </c>
      <c r="AI6393">
        <v>101.73230727559699</v>
      </c>
      <c r="AJ6393">
        <v>63.631038174638498</v>
      </c>
      <c r="AK6393">
        <v>5.45036279221502</v>
      </c>
      <c r="AL6393">
        <v>89.1498426929506</v>
      </c>
      <c r="AM6393">
        <v>81.820194978708898</v>
      </c>
      <c r="AN6393">
        <v>1.00000002035993</v>
      </c>
    </row>
    <row r="6394" spans="1:40" x14ac:dyDescent="0.25">
      <c r="A6394" t="str">
        <f>"20190312154732460"</f>
        <v>20190312154732460</v>
      </c>
      <c r="B6394" t="str">
        <f>"1552376852454815"</f>
        <v>1552376852454815</v>
      </c>
      <c r="C6394" t="s">
        <v>40</v>
      </c>
      <c r="D6394">
        <v>4.8881750000000004</v>
      </c>
      <c r="E6394">
        <v>0.63073459999999903</v>
      </c>
      <c r="F6394" t="s">
        <v>52</v>
      </c>
      <c r="G6394">
        <v>-181.02789999999999</v>
      </c>
      <c r="H6394" s="1">
        <v>-4.6067579999999998E-6</v>
      </c>
      <c r="I6394">
        <v>127.01260000000001</v>
      </c>
      <c r="J6394">
        <v>-184.72720000000001</v>
      </c>
      <c r="K6394">
        <v>1.108128</v>
      </c>
      <c r="L6394">
        <v>123.0167</v>
      </c>
      <c r="M6394">
        <v>0.2605614</v>
      </c>
      <c r="N6394">
        <v>0</v>
      </c>
      <c r="O6394">
        <v>0.96536140000000004</v>
      </c>
      <c r="P6394">
        <v>0.39679189999999998</v>
      </c>
      <c r="Q6394">
        <v>2.3266129999999999E-3</v>
      </c>
      <c r="R6394">
        <v>0.91790559999999999</v>
      </c>
      <c r="S6394">
        <v>2.1132200000000001</v>
      </c>
      <c r="T6394">
        <v>-0.62343119999999996</v>
      </c>
      <c r="U6394">
        <v>2.3613590000000002</v>
      </c>
      <c r="V6394">
        <v>0.14396020000000001</v>
      </c>
      <c r="W6394">
        <v>1.5140259999999999E-2</v>
      </c>
      <c r="X6394">
        <v>0.98946769999999995</v>
      </c>
      <c r="Y6394">
        <v>0.43619469999999999</v>
      </c>
      <c r="Z6394">
        <v>-0.19819419999999999</v>
      </c>
      <c r="AA6394">
        <v>0.877754699999999</v>
      </c>
      <c r="AB6394">
        <v>21</v>
      </c>
      <c r="AC6394">
        <v>3.69930000000002</v>
      </c>
      <c r="AD6394">
        <v>-1.108132606758</v>
      </c>
      <c r="AE6394">
        <v>3.9958999999999998</v>
      </c>
      <c r="AF6394">
        <v>2.4296029914988</v>
      </c>
      <c r="AG6394">
        <v>-1.108132606758</v>
      </c>
      <c r="AH6394">
        <v>4.6300864032570903</v>
      </c>
      <c r="AI6394">
        <v>101.965506655545</v>
      </c>
      <c r="AJ6394">
        <v>62.312095441772399</v>
      </c>
      <c r="AK6394">
        <v>5.3449629252302904</v>
      </c>
      <c r="AL6394">
        <v>89.132493898053198</v>
      </c>
      <c r="AM6394">
        <v>81.721973598071301</v>
      </c>
      <c r="AN6394">
        <v>1.0000000480000899</v>
      </c>
    </row>
    <row r="6395" spans="1:40" x14ac:dyDescent="0.25">
      <c r="A6395" t="str">
        <f>"20190312154732485"</f>
        <v>20190312154732485</v>
      </c>
      <c r="B6395" t="str">
        <f>"1552376852474334"</f>
        <v>1552376852474334</v>
      </c>
      <c r="C6395" t="s">
        <v>40</v>
      </c>
      <c r="D6395">
        <v>4.888204</v>
      </c>
      <c r="E6395">
        <v>0.63148439999999995</v>
      </c>
      <c r="F6395" t="s">
        <v>52</v>
      </c>
      <c r="G6395">
        <v>-180.93960000000001</v>
      </c>
      <c r="H6395" s="1">
        <v>-4.6594450000000004E-6</v>
      </c>
      <c r="I6395">
        <v>127.1681</v>
      </c>
      <c r="J6395">
        <v>-184.6669</v>
      </c>
      <c r="K6395">
        <v>1.108001</v>
      </c>
      <c r="L6395">
        <v>123.2256</v>
      </c>
      <c r="M6395">
        <v>0.26379590000000003</v>
      </c>
      <c r="N6395">
        <v>0</v>
      </c>
      <c r="O6395">
        <v>0.96448250000000002</v>
      </c>
      <c r="P6395">
        <v>0.40170610000000001</v>
      </c>
      <c r="Q6395">
        <v>2.3062260000000002E-3</v>
      </c>
      <c r="R6395">
        <v>0.91576579999999996</v>
      </c>
      <c r="S6395">
        <v>2.139481</v>
      </c>
      <c r="T6395">
        <v>-0.62594490000000003</v>
      </c>
      <c r="U6395">
        <v>2.3450160000000002</v>
      </c>
      <c r="V6395">
        <v>0.145951</v>
      </c>
      <c r="W6395">
        <v>1.507065E-2</v>
      </c>
      <c r="X6395">
        <v>0.98917699999999997</v>
      </c>
      <c r="Y6395">
        <v>0.44153419999999999</v>
      </c>
      <c r="Z6395">
        <v>-0.19877590000000001</v>
      </c>
      <c r="AA6395">
        <v>0.87494899999999998</v>
      </c>
      <c r="AB6395">
        <v>21</v>
      </c>
      <c r="AC6395">
        <v>3.7272999999999801</v>
      </c>
      <c r="AD6395">
        <v>-1.1080056594450001</v>
      </c>
      <c r="AE6395">
        <v>3.9424999999999901</v>
      </c>
      <c r="AF6395">
        <v>2.4528375858238598</v>
      </c>
      <c r="AG6395">
        <v>-1.1080056594450001</v>
      </c>
      <c r="AH6395">
        <v>4.5945396772199301</v>
      </c>
      <c r="AI6395">
        <v>102.010009554173</v>
      </c>
      <c r="AJ6395">
        <v>61.904057617820399</v>
      </c>
      <c r="AK6395">
        <v>5.3248364866294802</v>
      </c>
      <c r="AL6395">
        <v>89.136482651818497</v>
      </c>
      <c r="AM6395">
        <v>81.606686356286701</v>
      </c>
      <c r="AN6395">
        <v>0.99999997811071095</v>
      </c>
    </row>
    <row r="6396" spans="1:40" x14ac:dyDescent="0.25">
      <c r="A6396" t="str">
        <f>"20190312154732507"</f>
        <v>20190312154732507</v>
      </c>
      <c r="B6396" t="str">
        <f>"1552376852504590"</f>
        <v>1552376852504590</v>
      </c>
      <c r="C6396" t="s">
        <v>40</v>
      </c>
      <c r="D6396">
        <v>4.8864349999999996</v>
      </c>
      <c r="E6396">
        <v>0.63223339999999995</v>
      </c>
      <c r="F6396" t="s">
        <v>52</v>
      </c>
      <c r="G6396">
        <v>-180.82140000000001</v>
      </c>
      <c r="H6396" s="1">
        <v>-4.7306220000000003E-6</v>
      </c>
      <c r="I6396">
        <v>127.3788</v>
      </c>
      <c r="J6396">
        <v>-184.60679999999999</v>
      </c>
      <c r="K6396">
        <v>1.107899</v>
      </c>
      <c r="L6396">
        <v>123.4298</v>
      </c>
      <c r="M6396">
        <v>0.26715949999999999</v>
      </c>
      <c r="N6396">
        <v>0</v>
      </c>
      <c r="O6396">
        <v>0.96355610000000003</v>
      </c>
      <c r="P6396">
        <v>0.4064952</v>
      </c>
      <c r="Q6396">
        <v>2.0683030000000001E-3</v>
      </c>
      <c r="R6396">
        <v>0.91365059999999998</v>
      </c>
      <c r="S6396">
        <v>2.1581269999999999</v>
      </c>
      <c r="T6396">
        <v>-0.62182700000000002</v>
      </c>
      <c r="U6396">
        <v>2.3308260000000001</v>
      </c>
      <c r="V6396">
        <v>0.1476808</v>
      </c>
      <c r="W6396">
        <v>1.4792680000000001E-2</v>
      </c>
      <c r="X6396">
        <v>0.98892440000000004</v>
      </c>
      <c r="Y6396">
        <v>0.4450308</v>
      </c>
      <c r="Z6396">
        <v>-0.19746830000000001</v>
      </c>
      <c r="AA6396">
        <v>0.87347229999999998</v>
      </c>
      <c r="AB6396">
        <v>21</v>
      </c>
      <c r="AC6396">
        <v>3.7853999999999801</v>
      </c>
      <c r="AD6396">
        <v>-1.1079037306220001</v>
      </c>
      <c r="AE6396">
        <v>3.9489999999999901</v>
      </c>
      <c r="AF6396">
        <v>2.4905140660964</v>
      </c>
      <c r="AG6396">
        <v>-1.1079037306220001</v>
      </c>
      <c r="AH6396">
        <v>4.6270381447898004</v>
      </c>
      <c r="AI6396">
        <v>101.905839417198</v>
      </c>
      <c r="AJ6396">
        <v>61.708537500032399</v>
      </c>
      <c r="AK6396">
        <v>5.3702507374507196</v>
      </c>
      <c r="AL6396">
        <v>89.152410916618805</v>
      </c>
      <c r="AM6396">
        <v>81.5065140572638</v>
      </c>
      <c r="AN6396">
        <v>0.99999995549278997</v>
      </c>
    </row>
    <row r="6397" spans="1:40" x14ac:dyDescent="0.25">
      <c r="A6397" t="str">
        <f>"20190312154732528"</f>
        <v>20190312154732528</v>
      </c>
      <c r="B6397" t="str">
        <f>"1552376852525087"</f>
        <v>1552376852525087</v>
      </c>
      <c r="C6397" t="s">
        <v>40</v>
      </c>
      <c r="D6397">
        <v>4.9604629999999998</v>
      </c>
      <c r="E6397">
        <v>0.63233629999999996</v>
      </c>
      <c r="F6397" t="s">
        <v>52</v>
      </c>
      <c r="G6397">
        <v>-180.7098</v>
      </c>
      <c r="H6397" s="1">
        <v>-4.7969039999999999E-6</v>
      </c>
      <c r="I6397">
        <v>127.5742</v>
      </c>
      <c r="J6397">
        <v>-184.55170000000001</v>
      </c>
      <c r="K6397">
        <v>1.1078300000000001</v>
      </c>
      <c r="L6397">
        <v>123.6143</v>
      </c>
      <c r="M6397">
        <v>0.27032119999999998</v>
      </c>
      <c r="N6397">
        <v>0</v>
      </c>
      <c r="O6397">
        <v>0.96267380000000002</v>
      </c>
      <c r="P6397">
        <v>0.41194839999999999</v>
      </c>
      <c r="Q6397">
        <v>1.8304560000000001E-3</v>
      </c>
      <c r="R6397">
        <v>0.91120540000000005</v>
      </c>
      <c r="S6397">
        <v>2.1777500000000001</v>
      </c>
      <c r="T6397">
        <v>-0.61912299999999998</v>
      </c>
      <c r="U6397">
        <v>2.3159939999999999</v>
      </c>
      <c r="V6397">
        <v>0.15034549999999999</v>
      </c>
      <c r="W6397">
        <v>1.451758E-2</v>
      </c>
      <c r="X6397">
        <v>0.98852689999999999</v>
      </c>
      <c r="Y6397">
        <v>0.44895390000000002</v>
      </c>
      <c r="Z6397">
        <v>-0.19658700000000001</v>
      </c>
      <c r="AA6397">
        <v>0.87166160000000004</v>
      </c>
      <c r="AB6397">
        <v>21</v>
      </c>
      <c r="AC6397">
        <v>3.8418999999999999</v>
      </c>
      <c r="AD6397">
        <v>-1.1078347969040001</v>
      </c>
      <c r="AE6397">
        <v>3.9599000000000002</v>
      </c>
      <c r="AF6397">
        <v>2.5264364715366798</v>
      </c>
      <c r="AG6397">
        <v>-1.1078347969040001</v>
      </c>
      <c r="AH6397">
        <v>4.6630863333588302</v>
      </c>
      <c r="AI6397">
        <v>101.798686403224</v>
      </c>
      <c r="AJ6397">
        <v>61.551390399101997</v>
      </c>
      <c r="AK6397">
        <v>5.4179842500970796</v>
      </c>
      <c r="AL6397">
        <v>89.168174700239803</v>
      </c>
      <c r="AM6397">
        <v>81.352132175136006</v>
      </c>
      <c r="AN6397">
        <v>0.99999998076145702</v>
      </c>
    </row>
    <row r="6398" spans="1:40" x14ac:dyDescent="0.25">
      <c r="A6398" t="str">
        <f>"20190312154732551"</f>
        <v>20190312154732551</v>
      </c>
      <c r="B6398" t="str">
        <f>"1552376852544606"</f>
        <v>1552376852544606</v>
      </c>
      <c r="C6398" t="s">
        <v>40</v>
      </c>
      <c r="D6398">
        <v>4.9597040000000003</v>
      </c>
      <c r="E6398">
        <v>0.63248319999999902</v>
      </c>
      <c r="F6398" t="s">
        <v>52</v>
      </c>
      <c r="G6398">
        <v>-180.63849999999999</v>
      </c>
      <c r="H6398" s="1">
        <v>-4.8456039999999999E-6</v>
      </c>
      <c r="I6398">
        <v>127.7235</v>
      </c>
      <c r="J6398">
        <v>-184.4907</v>
      </c>
      <c r="K6398">
        <v>1.1077779999999999</v>
      </c>
      <c r="L6398">
        <v>123.81570000000001</v>
      </c>
      <c r="M6398">
        <v>0.27390039999999999</v>
      </c>
      <c r="N6398">
        <v>0</v>
      </c>
      <c r="O6398">
        <v>0.96166149999999995</v>
      </c>
      <c r="P6398">
        <v>0.4183868</v>
      </c>
      <c r="Q6398">
        <v>1.8000970000000001E-3</v>
      </c>
      <c r="R6398">
        <v>0.90826709999999999</v>
      </c>
      <c r="S6398">
        <v>2.1925349999999999</v>
      </c>
      <c r="T6398">
        <v>-0.62071469999999995</v>
      </c>
      <c r="U6398">
        <v>2.302368</v>
      </c>
      <c r="V6398">
        <v>0.15366560000000001</v>
      </c>
      <c r="W6398">
        <v>1.4447969999999999E-2</v>
      </c>
      <c r="X6398">
        <v>0.98801729999999999</v>
      </c>
      <c r="Y6398">
        <v>0.45108690000000001</v>
      </c>
      <c r="Z6398">
        <v>-0.19710159999999999</v>
      </c>
      <c r="AA6398">
        <v>0.87044330000000003</v>
      </c>
      <c r="AB6398">
        <v>20</v>
      </c>
      <c r="AC6398">
        <v>3.8522000000000101</v>
      </c>
      <c r="AD6398">
        <v>-1.107782845604</v>
      </c>
      <c r="AE6398">
        <v>3.9077999999999902</v>
      </c>
      <c r="AF6398">
        <v>2.5312452043236302</v>
      </c>
      <c r="AG6398">
        <v>-1.107782845604</v>
      </c>
      <c r="AH6398">
        <v>4.6250476617940901</v>
      </c>
      <c r="AI6398">
        <v>101.86578991147501</v>
      </c>
      <c r="AJ6398">
        <v>61.308525715918897</v>
      </c>
      <c r="AK6398">
        <v>5.3875273541108797</v>
      </c>
      <c r="AL6398">
        <v>89.172163512662607</v>
      </c>
      <c r="AM6398">
        <v>81.159656448503696</v>
      </c>
      <c r="AN6398">
        <v>1.00000002277988</v>
      </c>
    </row>
    <row r="6399" spans="1:40" x14ac:dyDescent="0.25">
      <c r="A6399" t="str">
        <f>"20190312154732574"</f>
        <v>20190312154732574</v>
      </c>
      <c r="B6399" t="str">
        <f>"1552376852565102"</f>
        <v>1552376852565102</v>
      </c>
      <c r="C6399" t="s">
        <v>40</v>
      </c>
      <c r="D6399">
        <v>4.958971</v>
      </c>
      <c r="E6399">
        <v>0.63241919999999996</v>
      </c>
      <c r="F6399" t="s">
        <v>52</v>
      </c>
      <c r="G6399">
        <v>-180.55850000000001</v>
      </c>
      <c r="H6399" s="1">
        <v>-4.8986699999999998E-6</v>
      </c>
      <c r="I6399">
        <v>127.8849</v>
      </c>
      <c r="J6399">
        <v>-184.42789999999999</v>
      </c>
      <c r="K6399">
        <v>1.1077250000000001</v>
      </c>
      <c r="L6399">
        <v>124.01949999999999</v>
      </c>
      <c r="M6399">
        <v>0.27765959999999901</v>
      </c>
      <c r="N6399">
        <v>0</v>
      </c>
      <c r="O6399">
        <v>0.96058270000000001</v>
      </c>
      <c r="P6399">
        <v>0.42434339999999998</v>
      </c>
      <c r="Q6399">
        <v>1.8913109999999999E-3</v>
      </c>
      <c r="R6399">
        <v>0.90549930000000001</v>
      </c>
      <c r="S6399">
        <v>2.2094420000000001</v>
      </c>
      <c r="T6399">
        <v>-0.62245269999999897</v>
      </c>
      <c r="U6399">
        <v>2.2864689999999999</v>
      </c>
      <c r="V6399">
        <v>0.15629289999999901</v>
      </c>
      <c r="W6399">
        <v>1.450422E-2</v>
      </c>
      <c r="X6399">
        <v>0.98760429999999999</v>
      </c>
      <c r="Y6399">
        <v>0.45388489999999998</v>
      </c>
      <c r="Z6399">
        <v>-0.19768260000000001</v>
      </c>
      <c r="AA6399">
        <v>0.86885559999999995</v>
      </c>
      <c r="AB6399">
        <v>20</v>
      </c>
      <c r="AC6399">
        <v>3.8693999999999802</v>
      </c>
      <c r="AD6399">
        <v>-1.1077298986699999</v>
      </c>
      <c r="AE6399">
        <v>3.8654000000000002</v>
      </c>
      <c r="AF6399">
        <v>2.5396805923205799</v>
      </c>
      <c r="AG6399">
        <v>-1.1077298986699999</v>
      </c>
      <c r="AH6399">
        <v>4.5991970564117803</v>
      </c>
      <c r="AI6399">
        <v>101.906025278393</v>
      </c>
      <c r="AJ6399">
        <v>61.092482213100098</v>
      </c>
      <c r="AK6399">
        <v>5.3693255259039798</v>
      </c>
      <c r="AL6399">
        <v>89.168940308508397</v>
      </c>
      <c r="AM6399">
        <v>81.007258722949402</v>
      </c>
      <c r="AN6399">
        <v>1.00000004818335</v>
      </c>
    </row>
    <row r="6400" spans="1:40" x14ac:dyDescent="0.25">
      <c r="A6400" t="str">
        <f>"20190312154732596"</f>
        <v>20190312154732596</v>
      </c>
      <c r="B6400" t="str">
        <f>"1552376852584622"</f>
        <v>1552376852584622</v>
      </c>
      <c r="C6400" t="s">
        <v>40</v>
      </c>
      <c r="D6400">
        <v>4.992038</v>
      </c>
      <c r="E6400">
        <v>0.63225909999999996</v>
      </c>
      <c r="F6400" t="s">
        <v>52</v>
      </c>
      <c r="G6400">
        <v>-180.46979999999999</v>
      </c>
      <c r="H6400" s="1">
        <v>-4.9572809999999996E-6</v>
      </c>
      <c r="I6400">
        <v>128.06299999999999</v>
      </c>
      <c r="J6400">
        <v>-184.36879999999999</v>
      </c>
      <c r="K6400">
        <v>1.1076710000000001</v>
      </c>
      <c r="L6400">
        <v>124.2085</v>
      </c>
      <c r="M6400">
        <v>0.28127629999999998</v>
      </c>
      <c r="N6400">
        <v>0</v>
      </c>
      <c r="O6400">
        <v>0.95952979999999999</v>
      </c>
      <c r="P6400">
        <v>0.43014429999999998</v>
      </c>
      <c r="Q6400">
        <v>1.9560850000000002E-3</v>
      </c>
      <c r="R6400">
        <v>0.90275810000000001</v>
      </c>
      <c r="S6400">
        <v>2.2241209999999998</v>
      </c>
      <c r="T6400">
        <v>-0.62244560000000004</v>
      </c>
      <c r="U6400">
        <v>2.2721100000000001</v>
      </c>
      <c r="V6400">
        <v>0.158911</v>
      </c>
      <c r="W6400">
        <v>1.453188E-2</v>
      </c>
      <c r="X6400">
        <v>0.98718600000000001</v>
      </c>
      <c r="Y6400">
        <v>0.45615070000000002</v>
      </c>
      <c r="Z6400">
        <v>-0.19772890000000001</v>
      </c>
      <c r="AA6400">
        <v>0.86765769999999998</v>
      </c>
      <c r="AB6400">
        <v>20</v>
      </c>
      <c r="AC6400">
        <v>3.899</v>
      </c>
      <c r="AD6400">
        <v>-1.10767595728099</v>
      </c>
      <c r="AE6400">
        <v>3.8544999999999798</v>
      </c>
      <c r="AF6400">
        <v>2.55306507046746</v>
      </c>
      <c r="AG6400">
        <v>-1.10767595728099</v>
      </c>
      <c r="AH6400">
        <v>4.6075808483725602</v>
      </c>
      <c r="AI6400">
        <v>101.875126669518</v>
      </c>
      <c r="AJ6400">
        <v>61.009120293469003</v>
      </c>
      <c r="AK6400">
        <v>5.3828327630225496</v>
      </c>
      <c r="AL6400">
        <v>89.167355333487606</v>
      </c>
      <c r="AM6400">
        <v>80.855334042103607</v>
      </c>
      <c r="AN6400">
        <v>1.00000004002666</v>
      </c>
    </row>
    <row r="6401" spans="1:40" x14ac:dyDescent="0.25">
      <c r="A6401" t="str">
        <f>"20190312154732618"</f>
        <v>20190312154732618</v>
      </c>
      <c r="B6401" t="str">
        <f>"1552376852614879"</f>
        <v>1552376852614879</v>
      </c>
      <c r="C6401" t="s">
        <v>40</v>
      </c>
      <c r="D6401">
        <v>5.0062769999999999</v>
      </c>
      <c r="E6401">
        <v>0.63202400000000003</v>
      </c>
      <c r="F6401" t="s">
        <v>52</v>
      </c>
      <c r="G6401">
        <v>-180.37780000000001</v>
      </c>
      <c r="H6401" s="1">
        <v>-5.0146829999999998E-6</v>
      </c>
      <c r="I6401">
        <v>128.2347</v>
      </c>
      <c r="J6401">
        <v>-184.30690000000001</v>
      </c>
      <c r="K6401">
        <v>1.107594</v>
      </c>
      <c r="L6401">
        <v>124.40309999999999</v>
      </c>
      <c r="M6401">
        <v>0.2851437</v>
      </c>
      <c r="N6401">
        <v>0</v>
      </c>
      <c r="O6401">
        <v>0.95838760000000001</v>
      </c>
      <c r="P6401">
        <v>0.43573679999999898</v>
      </c>
      <c r="Q6401">
        <v>2.6429679999999999E-3</v>
      </c>
      <c r="R6401">
        <v>0.90007029999999999</v>
      </c>
      <c r="S6401">
        <v>2.2382200000000001</v>
      </c>
      <c r="T6401">
        <v>-0.62120759999999997</v>
      </c>
      <c r="U6401">
        <v>2.2580110000000002</v>
      </c>
      <c r="V6401">
        <v>0.16106139999999999</v>
      </c>
      <c r="W6401">
        <v>1.5179349999999999E-2</v>
      </c>
      <c r="X6401">
        <v>0.98682769999999997</v>
      </c>
      <c r="Y6401">
        <v>0.45807150000000002</v>
      </c>
      <c r="Z6401">
        <v>-0.19738829999999999</v>
      </c>
      <c r="AA6401">
        <v>0.86672280000000002</v>
      </c>
      <c r="AB6401">
        <v>20</v>
      </c>
      <c r="AC6401">
        <v>3.9291</v>
      </c>
      <c r="AD6401">
        <v>-1.1075990146829999</v>
      </c>
      <c r="AE6401">
        <v>3.8315999999999999</v>
      </c>
      <c r="AF6401">
        <v>2.5686687414398999</v>
      </c>
      <c r="AG6401">
        <v>-1.1075990146829999</v>
      </c>
      <c r="AH6401">
        <v>4.6053808316737097</v>
      </c>
      <c r="AI6401">
        <v>101.86194393243299</v>
      </c>
      <c r="AJ6401">
        <v>60.849240035629499</v>
      </c>
      <c r="AK6401">
        <v>5.3883547846559701</v>
      </c>
      <c r="AL6401">
        <v>89.130253949047002</v>
      </c>
      <c r="AM6401">
        <v>80.730414030173606</v>
      </c>
      <c r="AN6401">
        <v>1.0000000483618301</v>
      </c>
    </row>
    <row r="6402" spans="1:40" x14ac:dyDescent="0.25">
      <c r="A6402" t="str">
        <f>"20190312154732639"</f>
        <v>20190312154732639</v>
      </c>
      <c r="B6402" t="str">
        <f>"1552376852634398"</f>
        <v>1552376852634398</v>
      </c>
      <c r="C6402" t="s">
        <v>40</v>
      </c>
      <c r="D6402">
        <v>5.0216289999999999</v>
      </c>
      <c r="E6402">
        <v>0.63188449999999996</v>
      </c>
      <c r="F6402" t="s">
        <v>52</v>
      </c>
      <c r="G6402">
        <v>-180.26609999999999</v>
      </c>
      <c r="H6402" s="1">
        <v>-5.0814880000000001E-6</v>
      </c>
      <c r="I6402">
        <v>128.43209999999999</v>
      </c>
      <c r="J6402">
        <v>-184.24870000000001</v>
      </c>
      <c r="K6402">
        <v>1.1075120000000001</v>
      </c>
      <c r="L6402">
        <v>124.5829</v>
      </c>
      <c r="M6402">
        <v>0.28886000000000001</v>
      </c>
      <c r="N6402">
        <v>0</v>
      </c>
      <c r="O6402">
        <v>0.95727390000000001</v>
      </c>
      <c r="P6402">
        <v>0.44066240000000001</v>
      </c>
      <c r="Q6402">
        <v>3.9771149999999998E-3</v>
      </c>
      <c r="R6402">
        <v>0.89766409999999996</v>
      </c>
      <c r="S6402">
        <v>2.2514949999999998</v>
      </c>
      <c r="T6402">
        <v>-0.61714910000000001</v>
      </c>
      <c r="U6402">
        <v>2.244904</v>
      </c>
      <c r="V6402">
        <v>0.16265289999999999</v>
      </c>
      <c r="W6402">
        <v>1.6474280000000001E-2</v>
      </c>
      <c r="X6402">
        <v>0.98654580000000003</v>
      </c>
      <c r="Y6402">
        <v>0.45990490000000001</v>
      </c>
      <c r="Z6402">
        <v>-0.19616339999999999</v>
      </c>
      <c r="AA6402">
        <v>0.86602969999999901</v>
      </c>
      <c r="AB6402">
        <v>20</v>
      </c>
      <c r="AC6402">
        <v>3.9826000000000099</v>
      </c>
      <c r="AD6402">
        <v>-1.107517081488</v>
      </c>
      <c r="AE6402">
        <v>3.84919999999999</v>
      </c>
      <c r="AF6402">
        <v>2.5969747401185899</v>
      </c>
      <c r="AG6402">
        <v>-1.107517081488</v>
      </c>
      <c r="AH6402">
        <v>4.6496923125913296</v>
      </c>
      <c r="AI6402">
        <v>101.747458723411</v>
      </c>
      <c r="AJ6402">
        <v>60.815499572326502</v>
      </c>
      <c r="AK6402">
        <v>5.4397160301225798</v>
      </c>
      <c r="AL6402">
        <v>89.056050576028298</v>
      </c>
      <c r="AM6402">
        <v>80.6378042441643</v>
      </c>
      <c r="AN6402">
        <v>0.99999999163878395</v>
      </c>
    </row>
    <row r="6403" spans="1:40" x14ac:dyDescent="0.25">
      <c r="A6403" t="str">
        <f>"20190312154732662"</f>
        <v>20190312154732662</v>
      </c>
      <c r="B6403" t="str">
        <f>"1552376852654894"</f>
        <v>1552376852654894</v>
      </c>
      <c r="C6403" t="s">
        <v>40</v>
      </c>
      <c r="D6403">
        <v>5.1859909999999996</v>
      </c>
      <c r="E6403">
        <v>0.63171369999999905</v>
      </c>
      <c r="F6403" t="s">
        <v>52</v>
      </c>
      <c r="G6403">
        <v>-180.16229999999999</v>
      </c>
      <c r="H6403" s="1">
        <v>-5.1435989999999999E-6</v>
      </c>
      <c r="I6403">
        <v>128.6156</v>
      </c>
      <c r="J6403">
        <v>-184.1807</v>
      </c>
      <c r="K6403">
        <v>1.1074090000000001</v>
      </c>
      <c r="L6403">
        <v>124.78959999999999</v>
      </c>
      <c r="M6403">
        <v>0.29331079999999998</v>
      </c>
      <c r="N6403">
        <v>0</v>
      </c>
      <c r="O6403">
        <v>0.95591939999999997</v>
      </c>
      <c r="P6403">
        <v>0.44623990000000002</v>
      </c>
      <c r="Q6403">
        <v>5.3476740000000002E-3</v>
      </c>
      <c r="R6403">
        <v>0.89489730000000001</v>
      </c>
      <c r="S6403">
        <v>2.2633969999999999</v>
      </c>
      <c r="T6403">
        <v>-0.61343459999999905</v>
      </c>
      <c r="U6403">
        <v>2.2336119999999999</v>
      </c>
      <c r="V6403">
        <v>0.1642171</v>
      </c>
      <c r="W6403">
        <v>1.779731E-2</v>
      </c>
      <c r="X6403">
        <v>0.98626360000000002</v>
      </c>
      <c r="Y6403">
        <v>0.46043450000000002</v>
      </c>
      <c r="Z6403">
        <v>-0.194966</v>
      </c>
      <c r="AA6403">
        <v>0.86601870000000003</v>
      </c>
      <c r="AB6403">
        <v>20</v>
      </c>
      <c r="AC6403">
        <v>4.0184000000000104</v>
      </c>
      <c r="AD6403">
        <v>-1.1074141435989999</v>
      </c>
      <c r="AE6403">
        <v>3.8260000000000001</v>
      </c>
      <c r="AF6403">
        <v>2.6151383404135</v>
      </c>
      <c r="AG6403">
        <v>-1.1074141435989999</v>
      </c>
      <c r="AH6403">
        <v>4.6511587715455303</v>
      </c>
      <c r="AI6403">
        <v>101.724653576123</v>
      </c>
      <c r="AJ6403">
        <v>60.6529010781164</v>
      </c>
      <c r="AK6403">
        <v>5.4496415059220897</v>
      </c>
      <c r="AL6403">
        <v>88.980235354714097</v>
      </c>
      <c r="AM6403">
        <v>80.546731239214196</v>
      </c>
      <c r="AN6403">
        <v>0.99999994443030105</v>
      </c>
    </row>
    <row r="6404" spans="1:40" x14ac:dyDescent="0.25">
      <c r="A6404" t="str">
        <f>"20190312154732687"</f>
        <v>20190312154732687</v>
      </c>
      <c r="B6404" t="str">
        <f>"1552376852674414"</f>
        <v>1552376852674414</v>
      </c>
      <c r="C6404" t="s">
        <v>40</v>
      </c>
      <c r="D6404">
        <v>5.0058590000000001</v>
      </c>
      <c r="E6404">
        <v>0.65256080000000005</v>
      </c>
      <c r="F6404" t="s">
        <v>52</v>
      </c>
      <c r="G6404">
        <v>-180.0497</v>
      </c>
      <c r="H6404" s="1">
        <v>-5.2122370000000002E-6</v>
      </c>
      <c r="I6404">
        <v>128.81950000000001</v>
      </c>
      <c r="J6404">
        <v>-184.1112</v>
      </c>
      <c r="K6404">
        <v>1.1072949999999999</v>
      </c>
      <c r="L6404">
        <v>124.99639999999999</v>
      </c>
      <c r="M6404">
        <v>0.29799819999999999</v>
      </c>
      <c r="N6404">
        <v>0</v>
      </c>
      <c r="O6404">
        <v>0.95446839999999999</v>
      </c>
      <c r="P6404">
        <v>0.45204090000000002</v>
      </c>
      <c r="Q6404">
        <v>5.9789309999999998E-3</v>
      </c>
      <c r="R6404">
        <v>0.89197719999999903</v>
      </c>
      <c r="S6404">
        <v>2.276459</v>
      </c>
      <c r="T6404">
        <v>-0.61026389999999997</v>
      </c>
      <c r="U6404">
        <v>2.2207949999999999</v>
      </c>
      <c r="V6404">
        <v>0.16579099999999999</v>
      </c>
      <c r="W6404">
        <v>1.8380380000000002E-2</v>
      </c>
      <c r="X6404">
        <v>0.98598960000000002</v>
      </c>
      <c r="Y6404">
        <v>0.4612308</v>
      </c>
      <c r="Z6404">
        <v>-0.19394749999999999</v>
      </c>
      <c r="AA6404">
        <v>0.86582359999999903</v>
      </c>
      <c r="AB6404">
        <v>20</v>
      </c>
      <c r="AC6404">
        <v>4.0614999999999899</v>
      </c>
      <c r="AD6404">
        <v>-1.1073002122369999</v>
      </c>
      <c r="AE6404">
        <v>3.8231000000000099</v>
      </c>
      <c r="AF6404">
        <v>2.6337567537158999</v>
      </c>
      <c r="AG6404">
        <v>-1.1073002122369999</v>
      </c>
      <c r="AH6404">
        <v>4.6755403440744798</v>
      </c>
      <c r="AI6404">
        <v>101.65893497606299</v>
      </c>
      <c r="AJ6404">
        <v>60.6072074194648</v>
      </c>
      <c r="AK6404">
        <v>5.4793672907400897</v>
      </c>
      <c r="AL6404">
        <v>88.946822486136398</v>
      </c>
      <c r="AM6404">
        <v>80.455184071841501</v>
      </c>
      <c r="AN6404">
        <v>0.99999999267905204</v>
      </c>
    </row>
    <row r="6405" spans="1:40" x14ac:dyDescent="0.25">
      <c r="A6405" t="str">
        <f>"20190312154732707"</f>
        <v>20190312154732707</v>
      </c>
      <c r="B6405" t="str">
        <f>"1552376852694912"</f>
        <v>1552376852694912</v>
      </c>
      <c r="C6405" t="s">
        <v>40</v>
      </c>
      <c r="D6405">
        <v>4.9976159999999998</v>
      </c>
      <c r="E6405">
        <v>0.65722269999999905</v>
      </c>
      <c r="F6405" t="s">
        <v>52</v>
      </c>
      <c r="G6405">
        <v>-179.89769999999999</v>
      </c>
      <c r="H6405" s="1">
        <v>-5.1490259999999996E-6</v>
      </c>
      <c r="I6405">
        <v>128.67760000000001</v>
      </c>
      <c r="J6405">
        <v>-184.04939999999999</v>
      </c>
      <c r="K6405">
        <v>1.1071979999999999</v>
      </c>
      <c r="L6405">
        <v>125.1768</v>
      </c>
      <c r="M6405">
        <v>0.302262799999999</v>
      </c>
      <c r="N6405">
        <v>0</v>
      </c>
      <c r="O6405">
        <v>0.95312629999999998</v>
      </c>
      <c r="P6405">
        <v>0.45754070000000002</v>
      </c>
      <c r="Q6405">
        <v>5.5264449999999996E-3</v>
      </c>
      <c r="R6405">
        <v>0.8891715</v>
      </c>
      <c r="S6405">
        <v>2.4394990000000001</v>
      </c>
      <c r="T6405">
        <v>-0.64110330000000004</v>
      </c>
      <c r="U6405">
        <v>2.1313019999999998</v>
      </c>
      <c r="V6405">
        <v>0.16747200000000001</v>
      </c>
      <c r="W6405">
        <v>1.7884549999999999E-2</v>
      </c>
      <c r="X6405">
        <v>0.9857146</v>
      </c>
      <c r="Y6405">
        <v>0.50317389999999995</v>
      </c>
      <c r="Z6405">
        <v>-0.20131099999999999</v>
      </c>
      <c r="AA6405">
        <v>0.84041060000000001</v>
      </c>
      <c r="AB6405">
        <v>20</v>
      </c>
      <c r="AC6405">
        <v>4.1516999999999999</v>
      </c>
      <c r="AD6405">
        <v>-1.1072031490259999</v>
      </c>
      <c r="AE6405">
        <v>3.5008000000000101</v>
      </c>
      <c r="AF6405">
        <v>2.7835031052877199</v>
      </c>
      <c r="AG6405">
        <v>-1.1072031490259999</v>
      </c>
      <c r="AH6405">
        <v>4.4087802729373697</v>
      </c>
      <c r="AI6405">
        <v>101.988904320496</v>
      </c>
      <c r="AJ6405">
        <v>57.7335510087362</v>
      </c>
      <c r="AK6405">
        <v>5.3302093622484703</v>
      </c>
      <c r="AL6405">
        <v>88.975236132176093</v>
      </c>
      <c r="AM6405">
        <v>80.357574861303803</v>
      </c>
      <c r="AN6405">
        <v>1.0000000002829299</v>
      </c>
    </row>
    <row r="6406" spans="1:40" x14ac:dyDescent="0.25">
      <c r="A6406" t="str">
        <f>"20190312154732729"</f>
        <v>20190312154732729</v>
      </c>
      <c r="B6406" t="str">
        <f>"1552376852725166"</f>
        <v>1552376852725166</v>
      </c>
      <c r="C6406" t="s">
        <v>40</v>
      </c>
      <c r="D6406">
        <v>5.0087619999999999</v>
      </c>
      <c r="E6406">
        <v>0.65967200000000004</v>
      </c>
      <c r="F6406" t="s">
        <v>52</v>
      </c>
      <c r="G6406">
        <v>-179.7962</v>
      </c>
      <c r="H6406" s="1">
        <v>-5.106393E-6</v>
      </c>
      <c r="I6406">
        <v>128.76840000000001</v>
      </c>
      <c r="J6406">
        <v>-183.9846</v>
      </c>
      <c r="K6406">
        <v>1.1071139999999999</v>
      </c>
      <c r="L6406">
        <v>125.36279999999999</v>
      </c>
      <c r="M6406">
        <v>0.30680649999999998</v>
      </c>
      <c r="N6406">
        <v>0</v>
      </c>
      <c r="O6406">
        <v>0.95167330000000006</v>
      </c>
      <c r="P6406">
        <v>0.4633352</v>
      </c>
      <c r="Q6406">
        <v>4.9717720000000002E-3</v>
      </c>
      <c r="R6406">
        <v>0.88616919999999899</v>
      </c>
      <c r="S6406">
        <v>2.4856259999999999</v>
      </c>
      <c r="T6406">
        <v>-0.64706189999999997</v>
      </c>
      <c r="U6406">
        <v>2.098938</v>
      </c>
      <c r="V6406">
        <v>0.169202399999999</v>
      </c>
      <c r="W6406">
        <v>1.7290989999999999E-2</v>
      </c>
      <c r="X6406">
        <v>0.98542960000000002</v>
      </c>
      <c r="Y6406">
        <v>0.51298540000000004</v>
      </c>
      <c r="Z6406">
        <v>-0.20262069999999999</v>
      </c>
      <c r="AA6406">
        <v>0.83414080000000002</v>
      </c>
      <c r="AB6406">
        <v>20</v>
      </c>
      <c r="AC6406">
        <v>4.1883999999999997</v>
      </c>
      <c r="AD6406">
        <v>-1.1071191063929999</v>
      </c>
      <c r="AE6406">
        <v>3.4056000000000202</v>
      </c>
      <c r="AF6406">
        <v>2.8226775960377699</v>
      </c>
      <c r="AG6406">
        <v>-1.1071191063929999</v>
      </c>
      <c r="AH6406">
        <v>4.3437654766397298</v>
      </c>
      <c r="AI6406">
        <v>102.06354364099499</v>
      </c>
      <c r="AJ6406">
        <v>56.983272629103297</v>
      </c>
      <c r="AK6406">
        <v>5.2973125302327801</v>
      </c>
      <c r="AL6406">
        <v>89.009249840272901</v>
      </c>
      <c r="AM6406">
        <v>80.257080715067104</v>
      </c>
      <c r="AN6406">
        <v>0.99999996352854903</v>
      </c>
    </row>
    <row r="6407" spans="1:40" x14ac:dyDescent="0.25">
      <c r="A6407" t="str">
        <f>"20190312154732751"</f>
        <v>20190312154732751</v>
      </c>
      <c r="B6407" t="str">
        <f>"1552376852744693"</f>
        <v>1552376852744693</v>
      </c>
      <c r="C6407" t="s">
        <v>40</v>
      </c>
      <c r="D6407">
        <v>5.0173730000000001</v>
      </c>
      <c r="E6407">
        <v>0.66021200000000002</v>
      </c>
      <c r="F6407" t="s">
        <v>52</v>
      </c>
      <c r="G6407">
        <v>-179.7</v>
      </c>
      <c r="H6407" s="1">
        <v>-5.0757329999999998E-6</v>
      </c>
      <c r="I6407">
        <v>128.8921</v>
      </c>
      <c r="J6407">
        <v>-183.91650000000001</v>
      </c>
      <c r="K6407">
        <v>1.107046</v>
      </c>
      <c r="L6407">
        <v>125.5547</v>
      </c>
      <c r="M6407">
        <v>0.31164150000000002</v>
      </c>
      <c r="N6407">
        <v>0</v>
      </c>
      <c r="O6407">
        <v>0.95010079999999997</v>
      </c>
      <c r="P6407">
        <v>0.46910220000000002</v>
      </c>
      <c r="Q6407">
        <v>4.9888110000000001E-3</v>
      </c>
      <c r="R6407">
        <v>0.88312979999999996</v>
      </c>
      <c r="S6407">
        <v>2.516785</v>
      </c>
      <c r="T6407">
        <v>-0.65031000000000005</v>
      </c>
      <c r="U6407">
        <v>2.073105</v>
      </c>
      <c r="V6407">
        <v>0.17061860000000001</v>
      </c>
      <c r="W6407">
        <v>1.727716E-2</v>
      </c>
      <c r="X6407">
        <v>0.98518570000000005</v>
      </c>
      <c r="Y6407">
        <v>0.51872309999999999</v>
      </c>
      <c r="Z6407">
        <v>-0.20334749999999999</v>
      </c>
      <c r="AA6407">
        <v>0.83040720000000001</v>
      </c>
      <c r="AB6407">
        <v>20</v>
      </c>
      <c r="AC6407">
        <v>4.2165000000000203</v>
      </c>
      <c r="AD6407">
        <v>-1.1070510757330001</v>
      </c>
      <c r="AE6407">
        <v>3.3374000000000001</v>
      </c>
      <c r="AF6407">
        <v>2.8457004064362401</v>
      </c>
      <c r="AG6407">
        <v>-1.1070510757330001</v>
      </c>
      <c r="AH6407">
        <v>4.30295704485337</v>
      </c>
      <c r="AI6407">
        <v>102.111630301594</v>
      </c>
      <c r="AJ6407">
        <v>56.521900829845102</v>
      </c>
      <c r="AK6407">
        <v>5.2762687779648099</v>
      </c>
      <c r="AL6407">
        <v>89.010042430282397</v>
      </c>
      <c r="AM6407">
        <v>80.174731569374401</v>
      </c>
      <c r="AN6407">
        <v>1.0000000352040499</v>
      </c>
    </row>
    <row r="6408" spans="1:40" x14ac:dyDescent="0.25">
      <c r="A6408" t="str">
        <f>"20190312154732773"</f>
        <v>20190312154732773</v>
      </c>
      <c r="B6408" t="str">
        <f>"1552376852765183"</f>
        <v>1552376852765183</v>
      </c>
      <c r="C6408" t="s">
        <v>40</v>
      </c>
      <c r="D6408">
        <v>5.0547969999999998</v>
      </c>
      <c r="E6408">
        <v>0.66044930000000002</v>
      </c>
      <c r="F6408" t="s">
        <v>52</v>
      </c>
      <c r="G6408">
        <v>-179.6456</v>
      </c>
      <c r="H6408" s="1">
        <v>-5.0727339999999901E-6</v>
      </c>
      <c r="I6408">
        <v>129.0171</v>
      </c>
      <c r="J6408">
        <v>-183.84530000000001</v>
      </c>
      <c r="K6408">
        <v>1.1069910000000001</v>
      </c>
      <c r="L6408">
        <v>125.7517</v>
      </c>
      <c r="M6408">
        <v>0.31674370000000002</v>
      </c>
      <c r="N6408">
        <v>0</v>
      </c>
      <c r="O6408">
        <v>0.94841189999999997</v>
      </c>
      <c r="P6408">
        <v>0.47513499999999997</v>
      </c>
      <c r="Q6408">
        <v>5.4179650000000003E-3</v>
      </c>
      <c r="R6408">
        <v>0.87989629999999996</v>
      </c>
      <c r="S6408">
        <v>2.5342859999999998</v>
      </c>
      <c r="T6408">
        <v>-0.65690230000000005</v>
      </c>
      <c r="U6408">
        <v>2.054535</v>
      </c>
      <c r="V6408">
        <v>0.1720719</v>
      </c>
      <c r="W6408">
        <v>1.7678599999999899E-2</v>
      </c>
      <c r="X6408">
        <v>0.98492570000000002</v>
      </c>
      <c r="Y6408">
        <v>0.52032800000000001</v>
      </c>
      <c r="Z6408">
        <v>-0.20525350000000001</v>
      </c>
      <c r="AA6408">
        <v>0.82893289999999997</v>
      </c>
      <c r="AB6408">
        <v>20</v>
      </c>
      <c r="AC6408">
        <v>4.1997</v>
      </c>
      <c r="AD6408">
        <v>-1.106996072734</v>
      </c>
      <c r="AE6408">
        <v>3.2654000000000001</v>
      </c>
      <c r="AF6408">
        <v>2.8266314433763702</v>
      </c>
      <c r="AG6408">
        <v>-1.106996072734</v>
      </c>
      <c r="AH6408">
        <v>4.2438264361482503</v>
      </c>
      <c r="AI6408">
        <v>102.248845008145</v>
      </c>
      <c r="AJ6408">
        <v>56.334111855501597</v>
      </c>
      <c r="AK6408">
        <v>5.2177915291704799</v>
      </c>
      <c r="AL6408">
        <v>88.987038016119797</v>
      </c>
      <c r="AM6408">
        <v>80.090129601786302</v>
      </c>
      <c r="AN6408">
        <v>0.999999953094028</v>
      </c>
    </row>
    <row r="6409" spans="1:40" x14ac:dyDescent="0.25">
      <c r="A6409" t="str">
        <f>"20190312154732796"</f>
        <v>20190312154732796</v>
      </c>
      <c r="B6409" t="str">
        <f>"1552376852784702"</f>
        <v>1552376852784702</v>
      </c>
      <c r="C6409" t="s">
        <v>40</v>
      </c>
      <c r="D6409">
        <v>5.0384570000000002</v>
      </c>
      <c r="E6409">
        <v>0.66065759999999996</v>
      </c>
      <c r="F6409" t="s">
        <v>52</v>
      </c>
      <c r="G6409">
        <v>-179.59909999999999</v>
      </c>
      <c r="H6409" s="1">
        <v>-5.074828E-6</v>
      </c>
      <c r="I6409">
        <v>129.142</v>
      </c>
      <c r="J6409">
        <v>-183.7758</v>
      </c>
      <c r="K6409">
        <v>1.106946</v>
      </c>
      <c r="L6409">
        <v>125.94029999999999</v>
      </c>
      <c r="M6409">
        <v>0.32174469999999999</v>
      </c>
      <c r="N6409">
        <v>0</v>
      </c>
      <c r="O6409">
        <v>0.94672690000000004</v>
      </c>
      <c r="P6409">
        <v>0.48028860000000001</v>
      </c>
      <c r="Q6409">
        <v>6.0482089999999997E-3</v>
      </c>
      <c r="R6409">
        <v>0.87708969999999897</v>
      </c>
      <c r="S6409">
        <v>2.550446</v>
      </c>
      <c r="T6409">
        <v>-0.66490819999999995</v>
      </c>
      <c r="U6409">
        <v>2.036362</v>
      </c>
      <c r="V6409">
        <v>0.17265990000000001</v>
      </c>
      <c r="W6409">
        <v>1.8291709999999999E-2</v>
      </c>
      <c r="X6409">
        <v>0.98481169999999996</v>
      </c>
      <c r="Y6409">
        <v>0.52162940000000002</v>
      </c>
      <c r="Z6409">
        <v>-0.20760390000000001</v>
      </c>
      <c r="AA6409">
        <v>0.8275285</v>
      </c>
      <c r="AB6409">
        <v>20</v>
      </c>
      <c r="AC6409">
        <v>4.1767000000000101</v>
      </c>
      <c r="AD6409">
        <v>-1.106951074828</v>
      </c>
      <c r="AE6409">
        <v>3.2017000000000002</v>
      </c>
      <c r="AF6409">
        <v>2.8004400785460701</v>
      </c>
      <c r="AG6409">
        <v>-1.106951074828</v>
      </c>
      <c r="AH6409">
        <v>4.1900009119918202</v>
      </c>
      <c r="AI6409">
        <v>102.38808389005401</v>
      </c>
      <c r="AJ6409">
        <v>56.242712049977101</v>
      </c>
      <c r="AK6409">
        <v>5.1598365243563897</v>
      </c>
      <c r="AL6409">
        <v>88.951903823672893</v>
      </c>
      <c r="AM6409">
        <v>80.055812504723306</v>
      </c>
      <c r="AN6409">
        <v>1.0000000560898099</v>
      </c>
    </row>
    <row r="6410" spans="1:40" x14ac:dyDescent="0.25">
      <c r="A6410" t="str">
        <f>"20190312154732817"</f>
        <v>20190312154732817</v>
      </c>
      <c r="B6410" t="str">
        <f>"1552376852814959"</f>
        <v>1552376852814959</v>
      </c>
      <c r="C6410" t="s">
        <v>40</v>
      </c>
      <c r="D6410">
        <v>5.042465</v>
      </c>
      <c r="E6410">
        <v>0.66067940000000003</v>
      </c>
      <c r="F6410" t="s">
        <v>52</v>
      </c>
      <c r="G6410">
        <v>-179.53389999999999</v>
      </c>
      <c r="H6410" s="1">
        <v>-5.0664789999999997E-6</v>
      </c>
      <c r="I6410">
        <v>129.2841</v>
      </c>
      <c r="J6410">
        <v>-183.70740000000001</v>
      </c>
      <c r="K6410">
        <v>1.106911</v>
      </c>
      <c r="L6410">
        <v>126.1228</v>
      </c>
      <c r="M6410">
        <v>0.32668320000000001</v>
      </c>
      <c r="N6410">
        <v>0</v>
      </c>
      <c r="O6410">
        <v>0.94503400000000004</v>
      </c>
      <c r="P6410">
        <v>0.48539290000000002</v>
      </c>
      <c r="Q6410">
        <v>6.4836240000000003E-3</v>
      </c>
      <c r="R6410">
        <v>0.8742721</v>
      </c>
      <c r="S6410">
        <v>2.563904</v>
      </c>
      <c r="T6410">
        <v>-0.66906239999999995</v>
      </c>
      <c r="U6410">
        <v>2.021042</v>
      </c>
      <c r="V6410">
        <v>0.173265</v>
      </c>
      <c r="W6410">
        <v>1.8710299999999999E-2</v>
      </c>
      <c r="X6410">
        <v>0.9846975</v>
      </c>
      <c r="Y6410">
        <v>0.52217420000000003</v>
      </c>
      <c r="Z6410">
        <v>-0.20876649999999999</v>
      </c>
      <c r="AA6410">
        <v>0.82689210000000002</v>
      </c>
      <c r="AB6410">
        <v>20</v>
      </c>
      <c r="AC6410">
        <v>4.1735000000000104</v>
      </c>
      <c r="AD6410">
        <v>-1.1069160664790001</v>
      </c>
      <c r="AE6410">
        <v>3.16129999999999</v>
      </c>
      <c r="AF6410">
        <v>2.7870544218537501</v>
      </c>
      <c r="AG6410">
        <v>-1.1069160664790001</v>
      </c>
      <c r="AH6410">
        <v>4.1651830249234596</v>
      </c>
      <c r="AI6410">
        <v>102.454930219041</v>
      </c>
      <c r="AJ6410">
        <v>56.212279890857403</v>
      </c>
      <c r="AK6410">
        <v>5.1324151390660502</v>
      </c>
      <c r="AL6410">
        <v>88.9279162197939</v>
      </c>
      <c r="AM6410">
        <v>80.020527578181003</v>
      </c>
      <c r="AN6410">
        <v>1.00000000102867</v>
      </c>
    </row>
    <row r="6411" spans="1:40" x14ac:dyDescent="0.25">
      <c r="A6411" t="str">
        <f>"20190312154732840"</f>
        <v>20190312154732840</v>
      </c>
      <c r="B6411" t="str">
        <f>"1552376852834482"</f>
        <v>1552376852834482</v>
      </c>
      <c r="C6411" t="s">
        <v>40</v>
      </c>
      <c r="D6411">
        <v>5.1075739999999996</v>
      </c>
      <c r="E6411">
        <v>0.66048339999999905</v>
      </c>
      <c r="F6411" t="s">
        <v>52</v>
      </c>
      <c r="G6411">
        <v>-179.47290000000001</v>
      </c>
      <c r="H6411" s="1">
        <v>-5.0563089999999998E-6</v>
      </c>
      <c r="I6411">
        <v>129.42080000000001</v>
      </c>
      <c r="J6411">
        <v>-183.6336</v>
      </c>
      <c r="K6411">
        <v>1.1068629999999999</v>
      </c>
      <c r="L6411">
        <v>126.31610000000001</v>
      </c>
      <c r="M6411">
        <v>0.33201370000000002</v>
      </c>
      <c r="N6411">
        <v>0</v>
      </c>
      <c r="O6411">
        <v>0.94317439999999997</v>
      </c>
      <c r="P6411">
        <v>0.49074600000000002</v>
      </c>
      <c r="Q6411">
        <v>7.1400760000000004E-3</v>
      </c>
      <c r="R6411">
        <v>0.87127350000000003</v>
      </c>
      <c r="S6411">
        <v>2.5759280000000002</v>
      </c>
      <c r="T6411">
        <v>-0.67335449999999997</v>
      </c>
      <c r="U6411">
        <v>2.0062709999999999</v>
      </c>
      <c r="V6411">
        <v>0.17375380000000001</v>
      </c>
      <c r="W6411">
        <v>1.9349149999999999E-2</v>
      </c>
      <c r="X6411">
        <v>0.984599</v>
      </c>
      <c r="Y6411">
        <v>0.52201019999999998</v>
      </c>
      <c r="Z6411">
        <v>-0.20996999999999999</v>
      </c>
      <c r="AA6411">
        <v>0.82669099999999995</v>
      </c>
      <c r="AB6411">
        <v>20</v>
      </c>
      <c r="AC6411">
        <v>4.1606999999999896</v>
      </c>
      <c r="AD6411">
        <v>-1.1068680563090001</v>
      </c>
      <c r="AE6411">
        <v>3.1046999999999998</v>
      </c>
      <c r="AF6411">
        <v>2.7679087855359001</v>
      </c>
      <c r="AG6411">
        <v>-1.1068680563090001</v>
      </c>
      <c r="AH6411">
        <v>4.1226759043292702</v>
      </c>
      <c r="AI6411">
        <v>102.566056300421</v>
      </c>
      <c r="AJ6411">
        <v>56.123123253776299</v>
      </c>
      <c r="AK6411">
        <v>5.0875271548426397</v>
      </c>
      <c r="AL6411">
        <v>88.891306159640905</v>
      </c>
      <c r="AM6411">
        <v>79.991961772244494</v>
      </c>
      <c r="AN6411">
        <v>0.99999998171058102</v>
      </c>
    </row>
    <row r="6412" spans="1:40" x14ac:dyDescent="0.25">
      <c r="A6412" t="str">
        <f>"20190312154732862"</f>
        <v>20190312154732862</v>
      </c>
      <c r="B6412" t="str">
        <f>"1552376852854583"</f>
        <v>1552376852854583</v>
      </c>
      <c r="C6412" t="s">
        <v>40</v>
      </c>
      <c r="D6412">
        <v>5.4077199999999896</v>
      </c>
      <c r="E6412">
        <v>0.66043869999999905</v>
      </c>
      <c r="F6412" t="s">
        <v>52</v>
      </c>
      <c r="G6412">
        <v>-179.3922</v>
      </c>
      <c r="H6412" s="1">
        <v>-5.037926E-6</v>
      </c>
      <c r="I6412">
        <v>129.5804</v>
      </c>
      <c r="J6412">
        <v>-183.56129999999999</v>
      </c>
      <c r="K6412">
        <v>1.1068169999999999</v>
      </c>
      <c r="L6412">
        <v>126.5022</v>
      </c>
      <c r="M6412">
        <v>0.33723439999999999</v>
      </c>
      <c r="N6412">
        <v>0</v>
      </c>
      <c r="O6412">
        <v>0.94132020000000005</v>
      </c>
      <c r="P6412">
        <v>0.49573050000000002</v>
      </c>
      <c r="Q6412">
        <v>7.4342080000000003E-3</v>
      </c>
      <c r="R6412">
        <v>0.86844460000000001</v>
      </c>
      <c r="S6412">
        <v>2.5874790000000001</v>
      </c>
      <c r="T6412">
        <v>-0.67524280000000003</v>
      </c>
      <c r="U6412">
        <v>1.9913639999999999</v>
      </c>
      <c r="V6412">
        <v>0.17394589999999999</v>
      </c>
      <c r="W6412">
        <v>1.962947E-2</v>
      </c>
      <c r="X6412">
        <v>0.98455950000000003</v>
      </c>
      <c r="Y6412">
        <v>0.52200849999999999</v>
      </c>
      <c r="Z6412">
        <v>-0.21047270000000001</v>
      </c>
      <c r="AA6412">
        <v>0.82656419999999997</v>
      </c>
      <c r="AB6412">
        <v>20</v>
      </c>
      <c r="AC6412">
        <v>4.1690999999999798</v>
      </c>
      <c r="AD6412">
        <v>-1.1068220379260001</v>
      </c>
      <c r="AE6412">
        <v>3.0781999999999901</v>
      </c>
      <c r="AF6412">
        <v>2.7607271165321099</v>
      </c>
      <c r="AG6412">
        <v>-1.1068220379260001</v>
      </c>
      <c r="AH6412">
        <v>4.1161853569811404</v>
      </c>
      <c r="AI6412">
        <v>102.58860180472</v>
      </c>
      <c r="AJ6412">
        <v>56.150227372740098</v>
      </c>
      <c r="AK6412">
        <v>5.0783512214714204</v>
      </c>
      <c r="AL6412">
        <v>88.875241920269502</v>
      </c>
      <c r="AM6412">
        <v>79.980727259412106</v>
      </c>
      <c r="AN6412">
        <v>0.99999995062976899</v>
      </c>
    </row>
    <row r="6413" spans="1:40" x14ac:dyDescent="0.25">
      <c r="A6413" t="str">
        <f>"20190312154732886"</f>
        <v>20190312154732886</v>
      </c>
      <c r="B6413" t="str">
        <f>"1552376852875079"</f>
        <v>1552376852875079</v>
      </c>
      <c r="C6413" t="s">
        <v>40</v>
      </c>
      <c r="D6413">
        <v>5.0702569999999998</v>
      </c>
      <c r="E6413">
        <v>0.66052279999999997</v>
      </c>
      <c r="F6413" t="s">
        <v>52</v>
      </c>
      <c r="G6413">
        <v>-179.2919</v>
      </c>
      <c r="H6413" s="1">
        <v>-5.0283410000000003E-6</v>
      </c>
      <c r="I6413">
        <v>129.74959999999999</v>
      </c>
      <c r="J6413">
        <v>-183.4836</v>
      </c>
      <c r="K6413">
        <v>1.1067769999999999</v>
      </c>
      <c r="L6413">
        <v>126.69799999999999</v>
      </c>
      <c r="M6413">
        <v>0.3428312</v>
      </c>
      <c r="N6413">
        <v>0</v>
      </c>
      <c r="O6413">
        <v>0.93929620000000003</v>
      </c>
      <c r="P6413">
        <v>0.50121150000000003</v>
      </c>
      <c r="Q6413">
        <v>7.6323889999999998E-3</v>
      </c>
      <c r="R6413">
        <v>0.86529109999999998</v>
      </c>
      <c r="S6413">
        <v>2.5988310000000001</v>
      </c>
      <c r="T6413">
        <v>-0.67372849999999995</v>
      </c>
      <c r="U6413">
        <v>1.9767459999999999</v>
      </c>
      <c r="V6413">
        <v>0.1743152</v>
      </c>
      <c r="W6413">
        <v>1.9813020000000001E-2</v>
      </c>
      <c r="X6413">
        <v>0.98449059999999999</v>
      </c>
      <c r="Y6413">
        <v>0.52175369999999999</v>
      </c>
      <c r="Z6413">
        <v>-0.20992140000000001</v>
      </c>
      <c r="AA6413">
        <v>0.82686519999999997</v>
      </c>
      <c r="AB6413">
        <v>20</v>
      </c>
      <c r="AC6413">
        <v>4.1916999999999902</v>
      </c>
      <c r="AD6413">
        <v>-1.1067820283409999</v>
      </c>
      <c r="AE6413">
        <v>3.0515999999999899</v>
      </c>
      <c r="AF6413">
        <v>2.7653295962515698</v>
      </c>
      <c r="AG6413">
        <v>-1.1067820283409999</v>
      </c>
      <c r="AH6413">
        <v>4.1162435844970204</v>
      </c>
      <c r="AI6413">
        <v>102.58173822683101</v>
      </c>
      <c r="AJ6413">
        <v>56.106437862790003</v>
      </c>
      <c r="AK6413">
        <v>5.0808931774911699</v>
      </c>
      <c r="AL6413">
        <v>88.864723338697104</v>
      </c>
      <c r="AM6413">
        <v>79.959199582552799</v>
      </c>
      <c r="AN6413">
        <v>1.0000000431004501</v>
      </c>
    </row>
    <row r="6414" spans="1:40" x14ac:dyDescent="0.25">
      <c r="A6414" t="str">
        <f>"20190312154732909"</f>
        <v>20190312154732909</v>
      </c>
      <c r="B6414" t="str">
        <f>"1552376852904360"</f>
        <v>1552376852904360</v>
      </c>
      <c r="C6414" t="s">
        <v>40</v>
      </c>
      <c r="D6414">
        <v>5.2205130000000004</v>
      </c>
      <c r="E6414">
        <v>0.66042880000000004</v>
      </c>
      <c r="F6414" t="s">
        <v>52</v>
      </c>
      <c r="G6414">
        <v>-179.18870000000001</v>
      </c>
      <c r="H6414" s="1">
        <v>-5.0233769999999996E-6</v>
      </c>
      <c r="I6414">
        <v>129.92189999999999</v>
      </c>
      <c r="J6414">
        <v>-183.4084</v>
      </c>
      <c r="K6414">
        <v>1.1067419999999999</v>
      </c>
      <c r="L6414">
        <v>126.88420000000001</v>
      </c>
      <c r="M6414">
        <v>0.34824119999999997</v>
      </c>
      <c r="N6414">
        <v>0</v>
      </c>
      <c r="O6414">
        <v>0.93730380000000002</v>
      </c>
      <c r="P6414">
        <v>0.50742140000000002</v>
      </c>
      <c r="Q6414">
        <v>8.1764239999999998E-3</v>
      </c>
      <c r="R6414">
        <v>0.86165919999999896</v>
      </c>
      <c r="S6414">
        <v>2.61145</v>
      </c>
      <c r="T6414">
        <v>-0.67296409999999995</v>
      </c>
      <c r="U6414">
        <v>1.9602809999999999</v>
      </c>
      <c r="V6414">
        <v>0.17572679999999999</v>
      </c>
      <c r="W6414">
        <v>2.0335530000000001E-2</v>
      </c>
      <c r="X6414">
        <v>0.98422889999999996</v>
      </c>
      <c r="Y6414">
        <v>0.52218030000000004</v>
      </c>
      <c r="Z6414">
        <v>-0.20962130000000001</v>
      </c>
      <c r="AA6414">
        <v>0.82667209999999902</v>
      </c>
      <c r="AB6414">
        <v>20</v>
      </c>
      <c r="AC6414">
        <v>4.21969999999998</v>
      </c>
      <c r="AD6414">
        <v>-1.106747023377</v>
      </c>
      <c r="AE6414">
        <v>3.0376999999999801</v>
      </c>
      <c r="AF6414">
        <v>2.7719654166172001</v>
      </c>
      <c r="AG6414">
        <v>-1.106747023377</v>
      </c>
      <c r="AH6414">
        <v>4.1300000029863702</v>
      </c>
      <c r="AI6414">
        <v>102.54432082430699</v>
      </c>
      <c r="AJ6414">
        <v>56.131354307154901</v>
      </c>
      <c r="AK6414">
        <v>5.0956433616711303</v>
      </c>
      <c r="AL6414">
        <v>88.834779620057304</v>
      </c>
      <c r="AM6414">
        <v>79.876928320316196</v>
      </c>
      <c r="AN6414">
        <v>0.99999998480691499</v>
      </c>
    </row>
    <row r="6415" spans="1:40" x14ac:dyDescent="0.25">
      <c r="A6415" t="str">
        <f>"20190312154732929"</f>
        <v>20190312154732929</v>
      </c>
      <c r="B6415" t="str">
        <f>"1552376852924856"</f>
        <v>1552376852924856</v>
      </c>
      <c r="C6415" t="s">
        <v>40</v>
      </c>
      <c r="D6415">
        <v>5.5807580000000003</v>
      </c>
      <c r="E6415">
        <v>0.66050399999999998</v>
      </c>
      <c r="F6415" t="s">
        <v>52</v>
      </c>
      <c r="G6415">
        <v>-179.12889999999999</v>
      </c>
      <c r="H6415" s="1">
        <v>-5.0308439999999997E-6</v>
      </c>
      <c r="I6415">
        <v>130.04910000000001</v>
      </c>
      <c r="J6415">
        <v>-183.33600000000001</v>
      </c>
      <c r="K6415">
        <v>1.1067199999999999</v>
      </c>
      <c r="L6415">
        <v>127.0603</v>
      </c>
      <c r="M6415">
        <v>0.3534139</v>
      </c>
      <c r="N6415">
        <v>0</v>
      </c>
      <c r="O6415">
        <v>0.93536560000000002</v>
      </c>
      <c r="P6415">
        <v>0.51354999999999995</v>
      </c>
      <c r="Q6415">
        <v>8.3786420000000004E-3</v>
      </c>
      <c r="R6415">
        <v>0.85801879999999997</v>
      </c>
      <c r="S6415">
        <v>2.625702</v>
      </c>
      <c r="T6415">
        <v>-0.67906250000000001</v>
      </c>
      <c r="U6415">
        <v>1.9418329999999999</v>
      </c>
      <c r="V6415">
        <v>0.17730779999999999</v>
      </c>
      <c r="W6415">
        <v>2.051859E-2</v>
      </c>
      <c r="X6415">
        <v>0.98394159999999997</v>
      </c>
      <c r="Y6415">
        <v>0.52308980000000005</v>
      </c>
      <c r="Z6415">
        <v>-0.2113864</v>
      </c>
      <c r="AA6415">
        <v>0.82564689999999996</v>
      </c>
      <c r="AB6415">
        <v>20</v>
      </c>
      <c r="AC6415">
        <v>4.2070999999999898</v>
      </c>
      <c r="AD6415">
        <v>-1.106725030844</v>
      </c>
      <c r="AE6415">
        <v>2.9888000000000101</v>
      </c>
      <c r="AF6415">
        <v>2.7525748438906299</v>
      </c>
      <c r="AG6415">
        <v>-1.106725030844</v>
      </c>
      <c r="AH6415">
        <v>4.0945648060686803</v>
      </c>
      <c r="AI6415">
        <v>102.643081726392</v>
      </c>
      <c r="AJ6415">
        <v>56.088997382203701</v>
      </c>
      <c r="AK6415">
        <v>5.0563790914262396</v>
      </c>
      <c r="AL6415">
        <v>88.824288966126403</v>
      </c>
      <c r="AM6415">
        <v>79.784841199622605</v>
      </c>
      <c r="AN6415">
        <v>1.0000000703434899</v>
      </c>
    </row>
    <row r="6416" spans="1:40" x14ac:dyDescent="0.25">
      <c r="A6416" t="str">
        <f>"20190312154732952"</f>
        <v>20190312154732952</v>
      </c>
      <c r="B6416" t="str">
        <f>"1552376852944379"</f>
        <v>1552376852944379</v>
      </c>
      <c r="C6416" t="s">
        <v>40</v>
      </c>
      <c r="D6416">
        <v>5.1430170000000004</v>
      </c>
      <c r="E6416">
        <v>0.6604449</v>
      </c>
      <c r="F6416" t="s">
        <v>52</v>
      </c>
      <c r="G6416">
        <v>-179.01249999999999</v>
      </c>
      <c r="H6416" s="1">
        <v>-5.012345E-6</v>
      </c>
      <c r="I6416">
        <v>130.20959999999999</v>
      </c>
      <c r="J6416">
        <v>-183.256</v>
      </c>
      <c r="K6416">
        <v>1.1067070000000001</v>
      </c>
      <c r="L6416">
        <v>127.2516</v>
      </c>
      <c r="M6416">
        <v>0.35908879999999999</v>
      </c>
      <c r="N6416">
        <v>0</v>
      </c>
      <c r="O6416">
        <v>0.93320159999999996</v>
      </c>
      <c r="P6416">
        <v>0.52087289999999997</v>
      </c>
      <c r="Q6416">
        <v>8.2231430000000005E-3</v>
      </c>
      <c r="R6416">
        <v>0.85359459999999998</v>
      </c>
      <c r="S6416">
        <v>2.639923</v>
      </c>
      <c r="T6416">
        <v>-0.6757708</v>
      </c>
      <c r="U6416">
        <v>1.9229430000000001</v>
      </c>
      <c r="V6416">
        <v>0.17974909999999999</v>
      </c>
      <c r="W6416">
        <v>2.0339340000000001E-2</v>
      </c>
      <c r="X6416">
        <v>0.98350219999999999</v>
      </c>
      <c r="Y6416">
        <v>0.52412389999999998</v>
      </c>
      <c r="Z6416">
        <v>-0.2103303</v>
      </c>
      <c r="AA6416">
        <v>0.82526080000000002</v>
      </c>
      <c r="AB6416">
        <v>20</v>
      </c>
      <c r="AC6416">
        <v>4.2434999999999796</v>
      </c>
      <c r="AD6416">
        <v>-1.1067120123449901</v>
      </c>
      <c r="AE6416">
        <v>2.95799999999999</v>
      </c>
      <c r="AF6416">
        <v>2.7712757686452001</v>
      </c>
      <c r="AG6416">
        <v>-1.1067120123449901</v>
      </c>
      <c r="AH6416">
        <v>4.0970664073445704</v>
      </c>
      <c r="AI6416">
        <v>102.611937447651</v>
      </c>
      <c r="AJ6416">
        <v>55.925387108430101</v>
      </c>
      <c r="AK6416">
        <v>5.0686027670690503</v>
      </c>
      <c r="AL6416">
        <v>88.834561298660503</v>
      </c>
      <c r="AM6416">
        <v>79.642687878056805</v>
      </c>
      <c r="AN6416">
        <v>1.00000000255364</v>
      </c>
    </row>
    <row r="6417" spans="1:40" x14ac:dyDescent="0.25">
      <c r="A6417" t="str">
        <f>"20190312154732965"</f>
        <v>20190312154732965</v>
      </c>
      <c r="B6417" t="str">
        <f>"1552376852955112"</f>
        <v>1552376852955112</v>
      </c>
      <c r="C6417" t="s">
        <v>40</v>
      </c>
      <c r="D6417">
        <v>5.6253640000000003</v>
      </c>
      <c r="E6417">
        <v>0.66062010000000004</v>
      </c>
      <c r="F6417" t="s">
        <v>52</v>
      </c>
      <c r="G6417">
        <v>-178.9495</v>
      </c>
      <c r="H6417" s="1">
        <v>-5.016616E-6</v>
      </c>
      <c r="I6417">
        <v>130.33420000000001</v>
      </c>
      <c r="J6417">
        <v>-183.20939999999999</v>
      </c>
      <c r="K6417">
        <v>1.1067049999999901</v>
      </c>
      <c r="L6417">
        <v>127.3618</v>
      </c>
      <c r="M6417">
        <v>0.36237520000000001</v>
      </c>
      <c r="N6417">
        <v>0</v>
      </c>
      <c r="O6417">
        <v>0.93193040000000005</v>
      </c>
      <c r="P6417">
        <v>0.52520299999999998</v>
      </c>
      <c r="Q6417">
        <v>7.5836530000000001E-3</v>
      </c>
      <c r="R6417">
        <v>0.85094319999999901</v>
      </c>
      <c r="S6417">
        <v>2.6554410000000002</v>
      </c>
      <c r="T6417">
        <v>-0.68241189999999996</v>
      </c>
      <c r="U6417">
        <v>1.9007419999999999</v>
      </c>
      <c r="V6417">
        <v>0.18127270000000001</v>
      </c>
      <c r="W6417">
        <v>1.9686680000000002E-2</v>
      </c>
      <c r="X6417">
        <v>0.98323579999999999</v>
      </c>
      <c r="Y6417">
        <v>0.52760309999999999</v>
      </c>
      <c r="Z6417">
        <v>-0.21245810000000001</v>
      </c>
      <c r="AA6417">
        <v>0.82249409999999901</v>
      </c>
      <c r="AB6417">
        <v>20</v>
      </c>
      <c r="AC6417">
        <v>4.2598999999999796</v>
      </c>
      <c r="AD6417">
        <v>-1.10671001661599</v>
      </c>
      <c r="AE6417">
        <v>2.9723999999999999</v>
      </c>
      <c r="AF6417">
        <v>2.7674561374447002</v>
      </c>
      <c r="AG6417">
        <v>-1.10671001661599</v>
      </c>
      <c r="AH6417">
        <v>4.1268299520173199</v>
      </c>
      <c r="AI6417">
        <v>102.556490895498</v>
      </c>
      <c r="AJ6417">
        <v>56.154156731162502</v>
      </c>
      <c r="AK6417">
        <v>5.09061351768388</v>
      </c>
      <c r="AL6417">
        <v>88.871963448204298</v>
      </c>
      <c r="AM6417">
        <v>79.554053055450694</v>
      </c>
      <c r="AN6417">
        <v>0.99999999776817605</v>
      </c>
    </row>
    <row r="6418" spans="1:40" x14ac:dyDescent="0.25">
      <c r="A6418" t="str">
        <f>"20190312154732986"</f>
        <v>20190312154732986</v>
      </c>
      <c r="B6418" t="str">
        <f>"1552376852974632"</f>
        <v>1552376852974632</v>
      </c>
      <c r="C6418" t="s">
        <v>40</v>
      </c>
      <c r="D6418">
        <v>5.1734239999999998</v>
      </c>
      <c r="E6418">
        <v>0.66053039999999996</v>
      </c>
      <c r="F6418" t="s">
        <v>52</v>
      </c>
      <c r="G6418">
        <v>-178.9221</v>
      </c>
      <c r="H6418" s="1">
        <v>-5.0213469999999999E-6</v>
      </c>
      <c r="I6418">
        <v>130.39599999999999</v>
      </c>
      <c r="J6418">
        <v>-183.13659999999999</v>
      </c>
      <c r="K6418">
        <v>1.1067039999999999</v>
      </c>
      <c r="L6418">
        <v>127.5313</v>
      </c>
      <c r="M6418">
        <v>0.36745929999999999</v>
      </c>
      <c r="N6418">
        <v>0</v>
      </c>
      <c r="O6418">
        <v>0.92993740000000003</v>
      </c>
      <c r="P6418">
        <v>0.53276319999999999</v>
      </c>
      <c r="Q6418">
        <v>6.6196669999999897E-3</v>
      </c>
      <c r="R6418">
        <v>0.84623839999999995</v>
      </c>
      <c r="S6418">
        <v>2.665543</v>
      </c>
      <c r="T6418">
        <v>-0.68807240000000003</v>
      </c>
      <c r="U6418">
        <v>1.8864289999999999</v>
      </c>
      <c r="V6418">
        <v>0.1846515</v>
      </c>
      <c r="W6418">
        <v>1.869171E-2</v>
      </c>
      <c r="X6418">
        <v>0.98262629999999995</v>
      </c>
      <c r="Y6418">
        <v>0.52711799999999998</v>
      </c>
      <c r="Z6418">
        <v>-0.21403949999999999</v>
      </c>
      <c r="AA6418">
        <v>0.82239509999999905</v>
      </c>
      <c r="AB6418">
        <v>20</v>
      </c>
      <c r="AC6418">
        <v>4.2144999999999797</v>
      </c>
      <c r="AD6418">
        <v>-1.1067090213470001</v>
      </c>
      <c r="AE6418">
        <v>2.8647000000000098</v>
      </c>
      <c r="AF6418">
        <v>2.7377089918358402</v>
      </c>
      <c r="AG6418">
        <v>-1.1067090213470001</v>
      </c>
      <c r="AH6418">
        <v>4.0232908678760904</v>
      </c>
      <c r="AI6418">
        <v>102.81218507933001</v>
      </c>
      <c r="AJ6418">
        <v>55.7660798257265</v>
      </c>
      <c r="AK6418">
        <v>4.9906637624112502</v>
      </c>
      <c r="AL6418">
        <v>88.928981534565295</v>
      </c>
      <c r="AM6418">
        <v>79.357304225234799</v>
      </c>
      <c r="AN6418">
        <v>1.0000000009633301</v>
      </c>
    </row>
    <row r="6419" spans="1:40" x14ac:dyDescent="0.25">
      <c r="A6419" t="str">
        <f>"20190312154733007"</f>
        <v>20190312154733007</v>
      </c>
      <c r="B6419" t="str">
        <f>"1552376853004888"</f>
        <v>1552376853004888</v>
      </c>
      <c r="C6419" t="s">
        <v>40</v>
      </c>
      <c r="D6419">
        <v>5.1988339999999997</v>
      </c>
      <c r="E6419">
        <v>0.66018909999999997</v>
      </c>
      <c r="F6419" t="s">
        <v>52</v>
      </c>
      <c r="G6419">
        <v>-178.87559999999999</v>
      </c>
      <c r="H6419" s="1">
        <v>-5.0263859999999999E-6</v>
      </c>
      <c r="I6419">
        <v>130.49270000000001</v>
      </c>
      <c r="J6419">
        <v>-183.06049999999999</v>
      </c>
      <c r="K6419">
        <v>1.1067100000000001</v>
      </c>
      <c r="L6419">
        <v>127.7055</v>
      </c>
      <c r="M6419">
        <v>0.37270609999999998</v>
      </c>
      <c r="N6419">
        <v>0</v>
      </c>
      <c r="O6419">
        <v>0.92784699999999998</v>
      </c>
      <c r="P6419">
        <v>0.53995789999999999</v>
      </c>
      <c r="Q6419">
        <v>5.4726069999999896E-3</v>
      </c>
      <c r="R6419">
        <v>0.84167429999999999</v>
      </c>
      <c r="S6419">
        <v>2.6805270000000001</v>
      </c>
      <c r="T6419">
        <v>-0.69622539999999999</v>
      </c>
      <c r="U6419">
        <v>1.8630070000000001</v>
      </c>
      <c r="V6419">
        <v>0.18746479999999999</v>
      </c>
      <c r="W6419">
        <v>1.752126E-2</v>
      </c>
      <c r="X6419">
        <v>0.98211499999999996</v>
      </c>
      <c r="Y6419">
        <v>0.52888349999999995</v>
      </c>
      <c r="Z6419">
        <v>-0.2165396</v>
      </c>
      <c r="AA6419">
        <v>0.82060519999999904</v>
      </c>
      <c r="AB6419">
        <v>20</v>
      </c>
      <c r="AC6419">
        <v>4.1848999999999901</v>
      </c>
      <c r="AD6419">
        <v>-1.1067150263859999</v>
      </c>
      <c r="AE6419">
        <v>2.7872000000000101</v>
      </c>
      <c r="AF6419">
        <v>2.7129766365837802</v>
      </c>
      <c r="AG6419">
        <v>-1.1067150263859999</v>
      </c>
      <c r="AH6419">
        <v>3.9546386566066398</v>
      </c>
      <c r="AI6419">
        <v>102.99460420989</v>
      </c>
      <c r="AJ6419">
        <v>55.548946336592699</v>
      </c>
      <c r="AK6419">
        <v>4.9218113824694196</v>
      </c>
      <c r="AL6419">
        <v>88.996054337484495</v>
      </c>
      <c r="AM6419">
        <v>79.193451047875499</v>
      </c>
      <c r="AN6419">
        <v>0.99999995950801202</v>
      </c>
    </row>
    <row r="6420" spans="1:40" x14ac:dyDescent="0.25">
      <c r="A6420" t="str">
        <f>"20190312154733030"</f>
        <v>20190312154733030</v>
      </c>
      <c r="B6420" t="str">
        <f>"1552376853024412"</f>
        <v>1552376853024412</v>
      </c>
      <c r="C6420" t="s">
        <v>40</v>
      </c>
      <c r="D6420">
        <v>5.2055709999999999</v>
      </c>
      <c r="E6420">
        <v>0.65999810000000003</v>
      </c>
      <c r="F6420" t="s">
        <v>52</v>
      </c>
      <c r="G6420">
        <v>-178.852</v>
      </c>
      <c r="H6420" s="1">
        <v>-5.0444829999999999E-6</v>
      </c>
      <c r="I6420">
        <v>130.5829</v>
      </c>
      <c r="J6420">
        <v>-182.97790000000001</v>
      </c>
      <c r="K6420">
        <v>1.106714</v>
      </c>
      <c r="L6420">
        <v>127.8918</v>
      </c>
      <c r="M6420">
        <v>0.37832490000000002</v>
      </c>
      <c r="N6420">
        <v>0</v>
      </c>
      <c r="O6420">
        <v>0.92557009999999995</v>
      </c>
      <c r="P6420">
        <v>0.54700300000000002</v>
      </c>
      <c r="Q6420">
        <v>5.3572689999999996E-3</v>
      </c>
      <c r="R6420">
        <v>0.83711349999999995</v>
      </c>
      <c r="S6420">
        <v>2.6930540000000001</v>
      </c>
      <c r="T6420">
        <v>-0.70818459999999905</v>
      </c>
      <c r="U6420">
        <v>1.841248</v>
      </c>
      <c r="V6420">
        <v>0.18975110000000001</v>
      </c>
      <c r="W6420">
        <v>1.73892E-2</v>
      </c>
      <c r="X6420">
        <v>0.98167819999999995</v>
      </c>
      <c r="Y6420">
        <v>0.52937519999999905</v>
      </c>
      <c r="Z6420">
        <v>-0.22015270000000001</v>
      </c>
      <c r="AA6420">
        <v>0.81932569999999905</v>
      </c>
      <c r="AB6420">
        <v>20</v>
      </c>
      <c r="AC6420">
        <v>4.1258999999999997</v>
      </c>
      <c r="AD6420">
        <v>-1.106719044483</v>
      </c>
      <c r="AE6420">
        <v>2.6910999999999898</v>
      </c>
      <c r="AF6420">
        <v>2.6663754696795499</v>
      </c>
      <c r="AG6420">
        <v>-1.106719044483</v>
      </c>
      <c r="AH6420">
        <v>3.8574076727224602</v>
      </c>
      <c r="AI6420">
        <v>103.279459750453</v>
      </c>
      <c r="AJ6420">
        <v>55.346412006778301</v>
      </c>
      <c r="AK6420">
        <v>4.8180887437145001</v>
      </c>
      <c r="AL6420">
        <v>89.003621988123697</v>
      </c>
      <c r="AM6420">
        <v>79.060066145467204</v>
      </c>
      <c r="AN6420">
        <v>0.99999997629154402</v>
      </c>
    </row>
    <row r="6421" spans="1:40" x14ac:dyDescent="0.25">
      <c r="A6421" t="str">
        <f>"20190312154733054"</f>
        <v>20190312154733054</v>
      </c>
      <c r="B6421" t="str">
        <f>"1552376853044904"</f>
        <v>1552376853044904</v>
      </c>
      <c r="C6421" t="s">
        <v>40</v>
      </c>
      <c r="D6421">
        <v>5.2410310000000004</v>
      </c>
      <c r="E6421">
        <v>0.65963050000000001</v>
      </c>
      <c r="F6421" t="s">
        <v>52</v>
      </c>
      <c r="G6421">
        <v>-178.77599999999899</v>
      </c>
      <c r="H6421" s="1">
        <v>-5.0435269999999998E-6</v>
      </c>
      <c r="I6421">
        <v>130.71690000000001</v>
      </c>
      <c r="J6421">
        <v>-182.89349999999999</v>
      </c>
      <c r="K6421">
        <v>1.1067290000000001</v>
      </c>
      <c r="L6421">
        <v>128.07910000000001</v>
      </c>
      <c r="M6421">
        <v>0.38397179999999997</v>
      </c>
      <c r="N6421">
        <v>0</v>
      </c>
      <c r="O6421">
        <v>0.9232418</v>
      </c>
      <c r="P6421">
        <v>0.5546913</v>
      </c>
      <c r="Q6421">
        <v>4.9554120000000002E-3</v>
      </c>
      <c r="R6421">
        <v>0.83204149999999999</v>
      </c>
      <c r="S6421">
        <v>2.7065730000000001</v>
      </c>
      <c r="T6421">
        <v>-0.71287109999999998</v>
      </c>
      <c r="U6421">
        <v>1.8197019999999999</v>
      </c>
      <c r="V6421">
        <v>0.1927922</v>
      </c>
      <c r="W6421">
        <v>1.6963450000000001E-2</v>
      </c>
      <c r="X6421">
        <v>0.98109299999999999</v>
      </c>
      <c r="Y6421">
        <v>0.53035140000000003</v>
      </c>
      <c r="Z6421">
        <v>-0.22153200000000001</v>
      </c>
      <c r="AA6421">
        <v>0.81832209999999905</v>
      </c>
      <c r="AB6421">
        <v>20</v>
      </c>
      <c r="AC6421">
        <v>4.1174999999999997</v>
      </c>
      <c r="AD6421">
        <v>-1.1067340435269899</v>
      </c>
      <c r="AE6421">
        <v>2.6377999999999902</v>
      </c>
      <c r="AF6421">
        <v>2.6529762538091299</v>
      </c>
      <c r="AG6421">
        <v>-1.1067340435269899</v>
      </c>
      <c r="AH6421">
        <v>3.8209865773466398</v>
      </c>
      <c r="AI6421">
        <v>103.38304130329701</v>
      </c>
      <c r="AJ6421">
        <v>55.227092030377399</v>
      </c>
      <c r="AK6421">
        <v>4.7815354929813001</v>
      </c>
      <c r="AL6421">
        <v>89.028019321159604</v>
      </c>
      <c r="AM6421">
        <v>78.882601476585094</v>
      </c>
      <c r="AN6421">
        <v>1.00000003283287</v>
      </c>
    </row>
    <row r="6422" spans="1:40" x14ac:dyDescent="0.25">
      <c r="A6422" t="str">
        <f>"20190312154733075"</f>
        <v>20190312154733075</v>
      </c>
      <c r="B6422" t="str">
        <f>"1552376853064931"</f>
        <v>1552376853064931</v>
      </c>
      <c r="C6422" t="s">
        <v>40</v>
      </c>
      <c r="D6422">
        <v>5.0411910000000004</v>
      </c>
      <c r="E6422">
        <v>0.65957829999999995</v>
      </c>
      <c r="F6422" t="s">
        <v>52</v>
      </c>
      <c r="G6422">
        <v>-178.6859</v>
      </c>
      <c r="H6422" s="1">
        <v>-5.035626E-6</v>
      </c>
      <c r="I6422">
        <v>130.85810000000001</v>
      </c>
      <c r="J6422">
        <v>-182.8099</v>
      </c>
      <c r="K6422">
        <v>1.106749</v>
      </c>
      <c r="L6422">
        <v>128.26159999999999</v>
      </c>
      <c r="M6422">
        <v>0.38947470000000001</v>
      </c>
      <c r="N6422">
        <v>0</v>
      </c>
      <c r="O6422">
        <v>0.92093389999999997</v>
      </c>
      <c r="P6422">
        <v>0.56132360000000003</v>
      </c>
      <c r="Q6422">
        <v>4.3276019999999998E-3</v>
      </c>
      <c r="R6422">
        <v>0.82758509999999996</v>
      </c>
      <c r="S6422">
        <v>2.7200160000000002</v>
      </c>
      <c r="T6422">
        <v>-0.71544540000000001</v>
      </c>
      <c r="U6422">
        <v>1.7965089999999999</v>
      </c>
      <c r="V6422">
        <v>0.19477130000000001</v>
      </c>
      <c r="W6422">
        <v>1.632362E-2</v>
      </c>
      <c r="X6422">
        <v>0.98071280000000005</v>
      </c>
      <c r="Y6422">
        <v>0.53188789999999997</v>
      </c>
      <c r="Z6422">
        <v>-0.2223579</v>
      </c>
      <c r="AA6422">
        <v>0.81709989999999999</v>
      </c>
      <c r="AB6422">
        <v>20</v>
      </c>
      <c r="AC6422">
        <v>4.1239999999999899</v>
      </c>
      <c r="AD6422">
        <v>-1.1067540356259999</v>
      </c>
      <c r="AE6422">
        <v>2.5965000000000198</v>
      </c>
      <c r="AF6422">
        <v>2.6502350587528198</v>
      </c>
      <c r="AG6422">
        <v>-1.1067540356259999</v>
      </c>
      <c r="AH6422">
        <v>3.8016996789113402</v>
      </c>
      <c r="AI6422">
        <v>103.43169949675099</v>
      </c>
      <c r="AJ6422">
        <v>55.118934954568203</v>
      </c>
      <c r="AK6422">
        <v>4.7646165439258201</v>
      </c>
      <c r="AL6422">
        <v>89.064683887705897</v>
      </c>
      <c r="AM6422">
        <v>78.767119503368903</v>
      </c>
      <c r="AN6422">
        <v>0.99999995797871599</v>
      </c>
    </row>
    <row r="6423" spans="1:40" x14ac:dyDescent="0.25">
      <c r="A6423" t="str">
        <f>"20190312154733298"</f>
        <v>20190312154733298</v>
      </c>
      <c r="B6423" t="str">
        <f>"1552376853294291"</f>
        <v>1552376853294291</v>
      </c>
      <c r="C6423" t="s">
        <v>40</v>
      </c>
      <c r="D6423">
        <v>5.166347</v>
      </c>
      <c r="E6423">
        <v>0.65979489999999996</v>
      </c>
      <c r="F6423" t="s">
        <v>52</v>
      </c>
      <c r="G6423">
        <v>-178.57820000000001</v>
      </c>
      <c r="H6423" s="1">
        <v>-5.019093E-6</v>
      </c>
      <c r="I6423">
        <v>131.00810000000001</v>
      </c>
      <c r="J6423">
        <v>-181.93049999999999</v>
      </c>
      <c r="K6423">
        <v>1.1064700000000001</v>
      </c>
      <c r="L6423">
        <v>130.02359999999999</v>
      </c>
      <c r="M6423">
        <v>0.44438100000000003</v>
      </c>
      <c r="N6423">
        <v>0</v>
      </c>
      <c r="O6423">
        <v>0.89573139999999996</v>
      </c>
      <c r="P6423">
        <v>0.62029889999999999</v>
      </c>
      <c r="Q6423">
        <v>8.8300069999999904E-3</v>
      </c>
      <c r="R6423">
        <v>0.78431589999999995</v>
      </c>
      <c r="S6423">
        <v>2.733978</v>
      </c>
      <c r="T6423">
        <v>-0.71503850000000002</v>
      </c>
      <c r="U6423">
        <v>1.774384</v>
      </c>
      <c r="V6423">
        <v>0.20728949999999999</v>
      </c>
      <c r="W6423">
        <v>2.0570080000000001E-2</v>
      </c>
      <c r="X6423">
        <v>0.97806329999999997</v>
      </c>
      <c r="Y6423">
        <v>0.48771680000000001</v>
      </c>
      <c r="Z6423">
        <v>-0.21771280000000001</v>
      </c>
      <c r="AA6423">
        <v>0.84541909999999898</v>
      </c>
      <c r="AB6423">
        <v>19</v>
      </c>
      <c r="AC6423">
        <v>3.3522999999999801</v>
      </c>
      <c r="AD6423">
        <v>-1.1064750190929999</v>
      </c>
      <c r="AE6423">
        <v>0.98450000000002502</v>
      </c>
      <c r="AF6423">
        <v>2.3316635025232801</v>
      </c>
      <c r="AG6423">
        <v>-1.1064750190929999</v>
      </c>
      <c r="AH6423">
        <v>2.15558327061366</v>
      </c>
      <c r="AI6423">
        <v>109.21097679864801</v>
      </c>
      <c r="AJ6423">
        <v>42.752857977572802</v>
      </c>
      <c r="AK6423">
        <v>3.3626597944819601</v>
      </c>
      <c r="AL6423">
        <v>88.821338032455003</v>
      </c>
      <c r="AM6423">
        <v>78.033872835394007</v>
      </c>
      <c r="AN6423">
        <v>0.99999994190417096</v>
      </c>
    </row>
    <row r="6424" spans="1:40" x14ac:dyDescent="0.25">
      <c r="A6424" t="str">
        <f>"20190312154733320"</f>
        <v>20190312154733320</v>
      </c>
      <c r="B6424" t="str">
        <f>"1552376853314789"</f>
        <v>1552376853314789</v>
      </c>
      <c r="C6424" t="s">
        <v>40</v>
      </c>
      <c r="D6424">
        <v>5.1003299999999996</v>
      </c>
      <c r="E6424">
        <v>0.66664230000000002</v>
      </c>
      <c r="F6424" t="s">
        <v>52</v>
      </c>
      <c r="G6424">
        <v>-177.2724</v>
      </c>
      <c r="H6424" s="1">
        <v>-4.7220010000000001E-6</v>
      </c>
      <c r="I6424">
        <v>132.57239999999999</v>
      </c>
      <c r="J6424">
        <v>-181.83609999999999</v>
      </c>
      <c r="K6424">
        <v>1.106357</v>
      </c>
      <c r="L6424">
        <v>130.19630000000001</v>
      </c>
      <c r="M6424">
        <v>0.45040190000000002</v>
      </c>
      <c r="N6424">
        <v>0</v>
      </c>
      <c r="O6424">
        <v>0.89271889999999998</v>
      </c>
      <c r="P6424">
        <v>0.62646669999999904</v>
      </c>
      <c r="Q6424">
        <v>9.5157850000000006E-3</v>
      </c>
      <c r="R6424">
        <v>0.77939019999999903</v>
      </c>
      <c r="S6424">
        <v>2.8643190000000001</v>
      </c>
      <c r="T6424">
        <v>-0.68038869999999996</v>
      </c>
      <c r="U6424">
        <v>1.567307</v>
      </c>
      <c r="V6424">
        <v>0.2084357</v>
      </c>
      <c r="W6424">
        <v>2.1193650000000001E-2</v>
      </c>
      <c r="X6424">
        <v>0.97780639999999996</v>
      </c>
      <c r="Y6424">
        <v>0.54580779999999995</v>
      </c>
      <c r="Z6424">
        <v>-0.21036949999999999</v>
      </c>
      <c r="AA6424">
        <v>0.81107249999999997</v>
      </c>
      <c r="AB6424">
        <v>19</v>
      </c>
      <c r="AC6424">
        <v>4.5636999999999803</v>
      </c>
      <c r="AD6424">
        <v>-1.106361722001</v>
      </c>
      <c r="AE6424">
        <v>2.3760999999999801</v>
      </c>
      <c r="AF6424">
        <v>2.87142295759541</v>
      </c>
      <c r="AG6424">
        <v>-1.106361722001</v>
      </c>
      <c r="AH6424">
        <v>3.99248782653902</v>
      </c>
      <c r="AI6424">
        <v>102.678725635655</v>
      </c>
      <c r="AJ6424">
        <v>54.276068445018602</v>
      </c>
      <c r="AK6424">
        <v>5.0407405315466596</v>
      </c>
      <c r="AL6424">
        <v>88.785602359352197</v>
      </c>
      <c r="AM6424">
        <v>77.966560517047498</v>
      </c>
      <c r="AN6424">
        <v>0.99999998385788602</v>
      </c>
    </row>
    <row r="6425" spans="1:40" x14ac:dyDescent="0.25">
      <c r="A6425" t="str">
        <f>"20190312154733343"</f>
        <v>20190312154733343</v>
      </c>
      <c r="B6425" t="str">
        <f>"1552376853334311"</f>
        <v>1552376853334311</v>
      </c>
      <c r="C6425" t="s">
        <v>40</v>
      </c>
      <c r="D6425">
        <v>5.0045950000000001</v>
      </c>
      <c r="E6425">
        <v>0.6671861</v>
      </c>
      <c r="F6425" t="s">
        <v>52</v>
      </c>
      <c r="G6425">
        <v>-170.68690000000001</v>
      </c>
      <c r="H6425" s="1">
        <v>-2.3945819999999998E-6</v>
      </c>
      <c r="I6425">
        <v>135.958</v>
      </c>
      <c r="J6425">
        <v>-181.74</v>
      </c>
      <c r="K6425">
        <v>1.10622</v>
      </c>
      <c r="L6425">
        <v>130.36859999999999</v>
      </c>
      <c r="M6425">
        <v>0.45662829999999899</v>
      </c>
      <c r="N6425">
        <v>0</v>
      </c>
      <c r="O6425">
        <v>0.88954979999999995</v>
      </c>
      <c r="P6425">
        <v>0.6329224</v>
      </c>
      <c r="Q6425">
        <v>1.050631E-2</v>
      </c>
      <c r="R6425">
        <v>0.7741439</v>
      </c>
      <c r="S6425">
        <v>2.917465</v>
      </c>
      <c r="T6425">
        <v>-0.28950690000000001</v>
      </c>
      <c r="U6425">
        <v>1.50769</v>
      </c>
      <c r="V6425">
        <v>0.20975260000000001</v>
      </c>
      <c r="W6425">
        <v>2.2113730000000002E-2</v>
      </c>
      <c r="X6425">
        <v>0.97750440000000005</v>
      </c>
      <c r="Y6425">
        <v>0.57670639999999995</v>
      </c>
      <c r="Z6425">
        <v>-9.0933189999999997E-2</v>
      </c>
      <c r="AA6425">
        <v>0.81187489999999995</v>
      </c>
      <c r="AB6425">
        <v>19</v>
      </c>
      <c r="AC6425">
        <v>11.053100000000001</v>
      </c>
      <c r="AD6425">
        <v>-1.106222394582</v>
      </c>
      <c r="AE6425">
        <v>5.5894000000000101</v>
      </c>
      <c r="AF6425">
        <v>7.2230861990753397</v>
      </c>
      <c r="AG6425">
        <v>-1.106222394582</v>
      </c>
      <c r="AH6425">
        <v>9.9408730698077097</v>
      </c>
      <c r="AI6425">
        <v>95.144180366245394</v>
      </c>
      <c r="AJ6425">
        <v>53.997664417271402</v>
      </c>
      <c r="AK6425">
        <v>12.337652111142299</v>
      </c>
      <c r="AL6425">
        <v>88.732873327087106</v>
      </c>
      <c r="AM6425">
        <v>77.889139302017398</v>
      </c>
      <c r="AN6425">
        <v>1.00000001114031</v>
      </c>
    </row>
    <row r="6426" spans="1:40" x14ac:dyDescent="0.25">
      <c r="A6426" t="str">
        <f>"20190312154733365"</f>
        <v>20190312154733365</v>
      </c>
      <c r="B6426" t="str">
        <f>"1552376853354804"</f>
        <v>1552376853354804</v>
      </c>
      <c r="C6426" t="s">
        <v>40</v>
      </c>
      <c r="D6426">
        <v>5.3488569999999998</v>
      </c>
      <c r="E6426">
        <v>0.66423549999999998</v>
      </c>
      <c r="F6426" t="s">
        <v>52</v>
      </c>
      <c r="G6426">
        <v>-172.72460000000001</v>
      </c>
      <c r="H6426" s="1">
        <v>-3.0435160000000002E-6</v>
      </c>
      <c r="I6426">
        <v>134.91970000000001</v>
      </c>
      <c r="J6426">
        <v>-181.64420000000001</v>
      </c>
      <c r="K6426">
        <v>1.106069</v>
      </c>
      <c r="L6426">
        <v>130.53710000000001</v>
      </c>
      <c r="M6426">
        <v>0.46296120000000002</v>
      </c>
      <c r="N6426">
        <v>0</v>
      </c>
      <c r="O6426">
        <v>0.88627</v>
      </c>
      <c r="P6426">
        <v>0.63924029999999998</v>
      </c>
      <c r="Q6426">
        <v>1.2368270000000001E-2</v>
      </c>
      <c r="R6426">
        <v>0.76890769999999997</v>
      </c>
      <c r="S6426">
        <v>2.9341889999999999</v>
      </c>
      <c r="T6426">
        <v>-0.36003420000000003</v>
      </c>
      <c r="U6426">
        <v>1.4812160000000001</v>
      </c>
      <c r="V6426">
        <v>0.21082390000000001</v>
      </c>
      <c r="W6426">
        <v>2.390664E-2</v>
      </c>
      <c r="X6426">
        <v>0.97723170000000004</v>
      </c>
      <c r="Y6426">
        <v>0.57644359999999994</v>
      </c>
      <c r="Z6426">
        <v>-0.1126612</v>
      </c>
      <c r="AA6426">
        <v>0.80933330000000003</v>
      </c>
      <c r="AB6426">
        <v>19</v>
      </c>
      <c r="AC6426">
        <v>8.9196000000000009</v>
      </c>
      <c r="AD6426">
        <v>-1.1060720435160001</v>
      </c>
      <c r="AE6426">
        <v>4.3825999999999903</v>
      </c>
      <c r="AF6426">
        <v>5.8048621700904404</v>
      </c>
      <c r="AG6426">
        <v>-1.1060720435160001</v>
      </c>
      <c r="AH6426">
        <v>7.9163093472276902</v>
      </c>
      <c r="AI6426">
        <v>96.428652554800294</v>
      </c>
      <c r="AJ6426">
        <v>53.748192508259599</v>
      </c>
      <c r="AK6426">
        <v>9.8786524313895807</v>
      </c>
      <c r="AL6426">
        <v>88.630119944402395</v>
      </c>
      <c r="AM6426">
        <v>77.825828260196602</v>
      </c>
      <c r="AN6426">
        <v>1.0000000198660901</v>
      </c>
    </row>
    <row r="6427" spans="1:40" x14ac:dyDescent="0.25">
      <c r="A6427" t="str">
        <f>"20190312154733387"</f>
        <v>20190312154733387</v>
      </c>
      <c r="B6427" t="str">
        <f>"1552376853374323"</f>
        <v>1552376853374323</v>
      </c>
      <c r="C6427" t="s">
        <v>40</v>
      </c>
      <c r="D6427">
        <v>5.2933899999999996</v>
      </c>
      <c r="E6427">
        <v>0.66043039999999997</v>
      </c>
      <c r="F6427" t="s">
        <v>52</v>
      </c>
      <c r="G6427">
        <v>-174.2697</v>
      </c>
      <c r="H6427" s="1">
        <v>-3.4740390000000001E-6</v>
      </c>
      <c r="I6427">
        <v>134.24870000000001</v>
      </c>
      <c r="J6427">
        <v>-181.54820000000001</v>
      </c>
      <c r="K6427">
        <v>1.1059289999999999</v>
      </c>
      <c r="L6427">
        <v>130.70230000000001</v>
      </c>
      <c r="M6427">
        <v>0.4694102</v>
      </c>
      <c r="N6427">
        <v>0</v>
      </c>
      <c r="O6427">
        <v>0.88287099999999996</v>
      </c>
      <c r="P6427">
        <v>0.64557919999999902</v>
      </c>
      <c r="Q6427">
        <v>1.2972940000000001E-2</v>
      </c>
      <c r="R6427">
        <v>0.76358319999999902</v>
      </c>
      <c r="S6427">
        <v>2.9286189999999999</v>
      </c>
      <c r="T6427">
        <v>-0.4392509</v>
      </c>
      <c r="U6427">
        <v>1.4739690000000001</v>
      </c>
      <c r="V6427">
        <v>0.21180309999999999</v>
      </c>
      <c r="W6427">
        <v>2.4445789999999998E-2</v>
      </c>
      <c r="X6427">
        <v>0.97700659999999895</v>
      </c>
      <c r="Y6427">
        <v>0.56848880000000002</v>
      </c>
      <c r="Z6427">
        <v>-0.13697429999999999</v>
      </c>
      <c r="AA6427">
        <v>0.81120809999999999</v>
      </c>
      <c r="AB6427">
        <v>19</v>
      </c>
      <c r="AC6427">
        <v>7.2785000000000002</v>
      </c>
      <c r="AD6427">
        <v>-1.105932474039</v>
      </c>
      <c r="AE6427">
        <v>3.5464000000000002</v>
      </c>
      <c r="AF6427">
        <v>4.6745033290815599</v>
      </c>
      <c r="AG6427">
        <v>-1.105932474039</v>
      </c>
      <c r="AH6427">
        <v>6.42830901232107</v>
      </c>
      <c r="AI6427">
        <v>97.921402674405698</v>
      </c>
      <c r="AJ6427">
        <v>53.976302344416297</v>
      </c>
      <c r="AK6427">
        <v>8.0247881447809508</v>
      </c>
      <c r="AL6427">
        <v>88.599219897995596</v>
      </c>
      <c r="AM6427">
        <v>77.768248905439407</v>
      </c>
      <c r="AN6427">
        <v>1.0000000231309401</v>
      </c>
    </row>
    <row r="6428" spans="1:40" x14ac:dyDescent="0.25">
      <c r="A6428" t="str">
        <f>"20190312154733409"</f>
        <v>20190312154733409</v>
      </c>
      <c r="B6428" t="str">
        <f>"1552376853404580"</f>
        <v>1552376853404580</v>
      </c>
      <c r="C6428" t="s">
        <v>40</v>
      </c>
      <c r="D6428">
        <v>5.2715809999999896</v>
      </c>
      <c r="E6428">
        <v>0.65701350000000003</v>
      </c>
      <c r="F6428" t="s">
        <v>52</v>
      </c>
      <c r="G6428">
        <v>-175.18819999999999</v>
      </c>
      <c r="H6428" s="1">
        <v>-3.8064309999999999E-6</v>
      </c>
      <c r="I6428">
        <v>133.90629999999999</v>
      </c>
      <c r="J6428">
        <v>-181.44730000000001</v>
      </c>
      <c r="K6428">
        <v>1.1057999999999999</v>
      </c>
      <c r="L6428">
        <v>130.87270000000001</v>
      </c>
      <c r="M6428">
        <v>0.47626990000000002</v>
      </c>
      <c r="N6428">
        <v>0</v>
      </c>
      <c r="O6428">
        <v>0.879188999999999</v>
      </c>
      <c r="P6428">
        <v>0.65253249999999996</v>
      </c>
      <c r="Q6428">
        <v>1.226203E-2</v>
      </c>
      <c r="R6428">
        <v>0.75766160000000005</v>
      </c>
      <c r="S6428">
        <v>2.9183349999999999</v>
      </c>
      <c r="T6428">
        <v>-0.50746250000000004</v>
      </c>
      <c r="U6428">
        <v>1.470154</v>
      </c>
      <c r="V6428">
        <v>0.2131226</v>
      </c>
      <c r="W6428">
        <v>2.3674009999999999E-2</v>
      </c>
      <c r="X6428">
        <v>0.97673860000000001</v>
      </c>
      <c r="Y6428">
        <v>0.55875769999999902</v>
      </c>
      <c r="Z6428">
        <v>-0.15769839999999999</v>
      </c>
      <c r="AA6428">
        <v>0.81419969999999997</v>
      </c>
      <c r="AB6428">
        <v>19</v>
      </c>
      <c r="AC6428">
        <v>6.2591000000000099</v>
      </c>
      <c r="AD6428">
        <v>-1.1058038064309901</v>
      </c>
      <c r="AE6428">
        <v>3.0335999999999701</v>
      </c>
      <c r="AF6428">
        <v>3.9584607208126301</v>
      </c>
      <c r="AG6428">
        <v>-1.1058038064309901</v>
      </c>
      <c r="AH6428">
        <v>5.50942265865541</v>
      </c>
      <c r="AI6428">
        <v>99.257843276269995</v>
      </c>
      <c r="AJ6428">
        <v>54.303162305400903</v>
      </c>
      <c r="AK6428">
        <v>6.8735690414979702</v>
      </c>
      <c r="AL6428">
        <v>88.643452403898294</v>
      </c>
      <c r="AM6428">
        <v>77.691088473015299</v>
      </c>
      <c r="AN6428">
        <v>0.99999999705509901</v>
      </c>
    </row>
    <row r="6429" spans="1:40" x14ac:dyDescent="0.25">
      <c r="A6429" t="str">
        <f>"20190312154733431"</f>
        <v>20190312154733431</v>
      </c>
      <c r="B6429" t="str">
        <f>"1552376853425075"</f>
        <v>1552376853425075</v>
      </c>
      <c r="C6429" t="s">
        <v>40</v>
      </c>
      <c r="D6429">
        <v>5.2901550000000004</v>
      </c>
      <c r="E6429">
        <v>0.65539049999999999</v>
      </c>
      <c r="F6429" t="s">
        <v>52</v>
      </c>
      <c r="G6429">
        <v>-175.61920000000001</v>
      </c>
      <c r="H6429" s="1">
        <v>-4.0588710000000001E-6</v>
      </c>
      <c r="I6429">
        <v>133.79679999999999</v>
      </c>
      <c r="J6429">
        <v>-181.3449</v>
      </c>
      <c r="K6429">
        <v>1.105693</v>
      </c>
      <c r="L6429">
        <v>131.04179999999999</v>
      </c>
      <c r="M6429">
        <v>0.48328949999999998</v>
      </c>
      <c r="N6429">
        <v>0</v>
      </c>
      <c r="O6429">
        <v>0.87534959999999995</v>
      </c>
      <c r="P6429">
        <v>0.65934879999999996</v>
      </c>
      <c r="Q6429">
        <v>1.237595E-2</v>
      </c>
      <c r="R6429">
        <v>0.7517353</v>
      </c>
      <c r="S6429">
        <v>2.9116059999999999</v>
      </c>
      <c r="T6429">
        <v>-0.55243779999999998</v>
      </c>
      <c r="U6429">
        <v>1.4608460000000001</v>
      </c>
      <c r="V6429">
        <v>0.21413760000000001</v>
      </c>
      <c r="W6429">
        <v>2.3739320000000001E-2</v>
      </c>
      <c r="X6429">
        <v>0.97651500000000002</v>
      </c>
      <c r="Y6429">
        <v>0.55122850000000001</v>
      </c>
      <c r="Z6429">
        <v>-0.171235</v>
      </c>
      <c r="AA6429">
        <v>0.81659399999999904</v>
      </c>
      <c r="AB6429">
        <v>19</v>
      </c>
      <c r="AC6429">
        <v>5.7256999999999802</v>
      </c>
      <c r="AD6429">
        <v>-1.105697058871</v>
      </c>
      <c r="AE6429">
        <v>2.7549999999999901</v>
      </c>
      <c r="AF6429">
        <v>3.5726984582527002</v>
      </c>
      <c r="AG6429">
        <v>-1.105697058871</v>
      </c>
      <c r="AH6429">
        <v>5.0270370426748103</v>
      </c>
      <c r="AI6429">
        <v>100.164263082254</v>
      </c>
      <c r="AJ6429">
        <v>54.598718798290101</v>
      </c>
      <c r="AK6429">
        <v>6.2656078466515899</v>
      </c>
      <c r="AL6429">
        <v>88.639709376929105</v>
      </c>
      <c r="AM6429">
        <v>77.631522156031096</v>
      </c>
      <c r="AN6429">
        <v>1.00000000613641</v>
      </c>
    </row>
    <row r="6430" spans="1:40" x14ac:dyDescent="0.25">
      <c r="A6430" t="str">
        <f>"20190312154733454"</f>
        <v>20190312154733454</v>
      </c>
      <c r="B6430" t="str">
        <f>"1552376853444599"</f>
        <v>1552376853444599</v>
      </c>
      <c r="C6430" t="s">
        <v>40</v>
      </c>
      <c r="D6430">
        <v>5.3010760000000001</v>
      </c>
      <c r="E6430">
        <v>0.65421560000000001</v>
      </c>
      <c r="F6430" t="s">
        <v>52</v>
      </c>
      <c r="G6430">
        <v>-175.73349999999999</v>
      </c>
      <c r="H6430" s="1">
        <v>-4.1458780000000002E-6</v>
      </c>
      <c r="I6430">
        <v>133.82050000000001</v>
      </c>
      <c r="J6430">
        <v>-181.24369999999999</v>
      </c>
      <c r="K6430">
        <v>1.105596</v>
      </c>
      <c r="L6430">
        <v>131.20570000000001</v>
      </c>
      <c r="M6430">
        <v>0.49029630000000002</v>
      </c>
      <c r="N6430">
        <v>0</v>
      </c>
      <c r="O6430">
        <v>0.87144390000000005</v>
      </c>
      <c r="P6430">
        <v>0.66584840000000001</v>
      </c>
      <c r="Q6430">
        <v>1.406176E-2</v>
      </c>
      <c r="R6430">
        <v>0.74595459999999902</v>
      </c>
      <c r="S6430">
        <v>2.915009</v>
      </c>
      <c r="T6430">
        <v>-0.57438669999999903</v>
      </c>
      <c r="U6430">
        <v>1.4434659999999999</v>
      </c>
      <c r="V6430">
        <v>0.2148178</v>
      </c>
      <c r="W6430">
        <v>2.538487E-2</v>
      </c>
      <c r="X6430">
        <v>0.97632419999999998</v>
      </c>
      <c r="Y6430">
        <v>0.5477149</v>
      </c>
      <c r="Z6430">
        <v>-0.17763679999999901</v>
      </c>
      <c r="AA6430">
        <v>0.81759009999999999</v>
      </c>
      <c r="AB6430">
        <v>19</v>
      </c>
      <c r="AC6430">
        <v>5.5101999999999904</v>
      </c>
      <c r="AD6430">
        <v>-1.105600145878</v>
      </c>
      <c r="AE6430">
        <v>2.6147999999999998</v>
      </c>
      <c r="AF6430">
        <v>3.4081568651516201</v>
      </c>
      <c r="AG6430">
        <v>-1.105600145878</v>
      </c>
      <c r="AH6430">
        <v>4.8223099189107197</v>
      </c>
      <c r="AI6430">
        <v>100.604600120762</v>
      </c>
      <c r="AJ6430">
        <v>54.749325192079397</v>
      </c>
      <c r="AK6430">
        <v>6.0077082031395497</v>
      </c>
      <c r="AL6430">
        <v>88.545397850979697</v>
      </c>
      <c r="AM6430">
        <v>77.591099461463699</v>
      </c>
      <c r="AN6430">
        <v>1.00000001116369</v>
      </c>
    </row>
    <row r="6431" spans="1:40" x14ac:dyDescent="0.25">
      <c r="A6431" t="str">
        <f>"20190312154733476"</f>
        <v>20190312154733476</v>
      </c>
      <c r="B6431" t="str">
        <f>"1552376853465091"</f>
        <v>1552376853465091</v>
      </c>
      <c r="C6431" t="s">
        <v>40</v>
      </c>
      <c r="D6431">
        <v>5.3315229999999998</v>
      </c>
      <c r="E6431">
        <v>0.65308659999999996</v>
      </c>
      <c r="F6431" t="s">
        <v>52</v>
      </c>
      <c r="G6431">
        <v>-175.77789999999999</v>
      </c>
      <c r="H6431" s="1">
        <v>-4.1967040000000001E-6</v>
      </c>
      <c r="I6431">
        <v>133.87459999999999</v>
      </c>
      <c r="J6431">
        <v>-181.1386</v>
      </c>
      <c r="K6431">
        <v>1.105499</v>
      </c>
      <c r="L6431">
        <v>131.3724</v>
      </c>
      <c r="M6431">
        <v>0.4976313</v>
      </c>
      <c r="N6431">
        <v>0</v>
      </c>
      <c r="O6431">
        <v>0.86727579999999904</v>
      </c>
      <c r="P6431">
        <v>0.67262739999999999</v>
      </c>
      <c r="Q6431">
        <v>1.6026060000000002E-2</v>
      </c>
      <c r="R6431">
        <v>0.73980769999999996</v>
      </c>
      <c r="S6431">
        <v>2.9204409999999998</v>
      </c>
      <c r="T6431">
        <v>-0.59073999999999904</v>
      </c>
      <c r="U6431">
        <v>1.42601</v>
      </c>
      <c r="V6431">
        <v>0.2155378</v>
      </c>
      <c r="W6431">
        <v>2.730728E-2</v>
      </c>
      <c r="X6431">
        <v>0.97611360000000003</v>
      </c>
      <c r="Y6431">
        <v>0.54438690000000001</v>
      </c>
      <c r="Z6431">
        <v>-0.1821922</v>
      </c>
      <c r="AA6431">
        <v>0.81880940000000002</v>
      </c>
      <c r="AB6431">
        <v>19</v>
      </c>
      <c r="AC6431">
        <v>5.3606999999999996</v>
      </c>
      <c r="AD6431">
        <v>-1.1055031967039901</v>
      </c>
      <c r="AE6431">
        <v>2.5021999999999802</v>
      </c>
      <c r="AF6431">
        <v>3.2894960877200399</v>
      </c>
      <c r="AG6431">
        <v>-1.1055031967039901</v>
      </c>
      <c r="AH6431">
        <v>4.6749727492659696</v>
      </c>
      <c r="AI6431">
        <v>100.945573820532</v>
      </c>
      <c r="AJ6431">
        <v>54.868262375277197</v>
      </c>
      <c r="AK6431">
        <v>5.8222239767487203</v>
      </c>
      <c r="AL6431">
        <v>88.435213584151398</v>
      </c>
      <c r="AM6431">
        <v>77.548201280277297</v>
      </c>
      <c r="AN6431">
        <v>0.99999999543739904</v>
      </c>
    </row>
    <row r="6432" spans="1:40" x14ac:dyDescent="0.25">
      <c r="A6432" t="str">
        <f>"20190312154733499"</f>
        <v>20190312154733499</v>
      </c>
      <c r="B6432" t="str">
        <f>"1552376853494371"</f>
        <v>1552376853494371</v>
      </c>
      <c r="C6432" t="s">
        <v>40</v>
      </c>
      <c r="D6432">
        <v>5.2539420000000003</v>
      </c>
      <c r="E6432">
        <v>0.64114209999999905</v>
      </c>
      <c r="F6432" t="s">
        <v>52</v>
      </c>
      <c r="G6432">
        <v>-175.76179999999999</v>
      </c>
      <c r="H6432" s="1">
        <v>-4.2165019999999998E-6</v>
      </c>
      <c r="I6432">
        <v>133.95580000000001</v>
      </c>
      <c r="J6432">
        <v>-181.03190000000001</v>
      </c>
      <c r="K6432">
        <v>1.105383</v>
      </c>
      <c r="L6432">
        <v>131.53809999999999</v>
      </c>
      <c r="M6432">
        <v>0.50514709999999996</v>
      </c>
      <c r="N6432">
        <v>0</v>
      </c>
      <c r="O6432">
        <v>0.8629194</v>
      </c>
      <c r="P6432">
        <v>0.67913259999999998</v>
      </c>
      <c r="Q6432">
        <v>1.6719000000000001E-2</v>
      </c>
      <c r="R6432">
        <v>0.73382530000000001</v>
      </c>
      <c r="S6432">
        <v>2.9274290000000001</v>
      </c>
      <c r="T6432">
        <v>-0.60189219999999999</v>
      </c>
      <c r="U6432">
        <v>1.406555</v>
      </c>
      <c r="V6432">
        <v>0.215699</v>
      </c>
      <c r="W6432">
        <v>2.7963160000000001E-2</v>
      </c>
      <c r="X6432">
        <v>0.97605940000000002</v>
      </c>
      <c r="Y6432">
        <v>0.54174880000000003</v>
      </c>
      <c r="Z6432">
        <v>-0.1851352</v>
      </c>
      <c r="AA6432">
        <v>0.81989820000000002</v>
      </c>
      <c r="AB6432">
        <v>19</v>
      </c>
      <c r="AC6432">
        <v>5.27010000000001</v>
      </c>
      <c r="AD6432">
        <v>-1.105387216502</v>
      </c>
      <c r="AE6432">
        <v>2.4177000000000199</v>
      </c>
      <c r="AF6432">
        <v>3.21003645059097</v>
      </c>
      <c r="AG6432">
        <v>-1.105387216502</v>
      </c>
      <c r="AH6432">
        <v>4.5823774520838096</v>
      </c>
      <c r="AI6432">
        <v>101.176091838517</v>
      </c>
      <c r="AJ6432">
        <v>54.988077769158501</v>
      </c>
      <c r="AK6432">
        <v>5.7030165724724</v>
      </c>
      <c r="AL6432">
        <v>88.397620036149604</v>
      </c>
      <c r="AM6432">
        <v>77.538509076124498</v>
      </c>
      <c r="AN6432">
        <v>0.99999997462327195</v>
      </c>
    </row>
    <row r="6433" spans="1:40" x14ac:dyDescent="0.25">
      <c r="A6433" t="str">
        <f>"20190312154733521"</f>
        <v>20190312154733521</v>
      </c>
      <c r="B6433" t="str">
        <f>"1552376853514867"</f>
        <v>1552376853514867</v>
      </c>
      <c r="C6433" t="s">
        <v>40</v>
      </c>
      <c r="D6433">
        <v>5.3558300000000001</v>
      </c>
      <c r="E6433">
        <v>0.64142080000000001</v>
      </c>
      <c r="F6433" t="s">
        <v>52</v>
      </c>
      <c r="G6433">
        <v>-176.43819999999999</v>
      </c>
      <c r="H6433" s="1">
        <v>-4.6387439999999997E-6</v>
      </c>
      <c r="I6433">
        <v>133.8527</v>
      </c>
      <c r="J6433">
        <v>-180.9264</v>
      </c>
      <c r="K6433">
        <v>1.105254</v>
      </c>
      <c r="L6433">
        <v>131.69829999999999</v>
      </c>
      <c r="M6433">
        <v>0.51261909999999999</v>
      </c>
      <c r="N6433">
        <v>0</v>
      </c>
      <c r="O6433">
        <v>0.85850110000000002</v>
      </c>
      <c r="P6433">
        <v>0.68568549999999995</v>
      </c>
      <c r="Q6433">
        <v>1.6482879999999998E-2</v>
      </c>
      <c r="R6433">
        <v>0.72771129999999995</v>
      </c>
      <c r="S6433">
        <v>2.871216</v>
      </c>
      <c r="T6433">
        <v>-0.69090269999999898</v>
      </c>
      <c r="U6433">
        <v>1.44667099999999</v>
      </c>
      <c r="V6433">
        <v>0.2159816</v>
      </c>
      <c r="W6433">
        <v>2.7686700000000002E-2</v>
      </c>
      <c r="X6433">
        <v>0.97600480000000001</v>
      </c>
      <c r="Y6433">
        <v>0.5134647</v>
      </c>
      <c r="Z6433">
        <v>-0.21131440000000001</v>
      </c>
      <c r="AA6433">
        <v>0.83168519999999901</v>
      </c>
      <c r="AB6433">
        <v>19</v>
      </c>
      <c r="AC6433">
        <v>4.4882</v>
      </c>
      <c r="AD6433">
        <v>-1.105258638744</v>
      </c>
      <c r="AE6433">
        <v>2.1543999999999999</v>
      </c>
      <c r="AF6433">
        <v>2.61988339166074</v>
      </c>
      <c r="AG6433">
        <v>-1.105258638744</v>
      </c>
      <c r="AH6433">
        <v>3.9557354704061001</v>
      </c>
      <c r="AI6433">
        <v>103.11312450250099</v>
      </c>
      <c r="AJ6433">
        <v>56.483493399018002</v>
      </c>
      <c r="AK6433">
        <v>4.8716761752241897</v>
      </c>
      <c r="AL6433">
        <v>88.413466183294602</v>
      </c>
      <c r="AM6433">
        <v>77.522017378580102</v>
      </c>
      <c r="AN6433">
        <v>0.99999998725924399</v>
      </c>
    </row>
    <row r="6434" spans="1:40" x14ac:dyDescent="0.25">
      <c r="A6434" t="str">
        <f>"20190312154733543"</f>
        <v>20190312154733543</v>
      </c>
      <c r="B6434" t="str">
        <f>"1552376853534391"</f>
        <v>1552376853534391</v>
      </c>
      <c r="C6434" t="s">
        <v>40</v>
      </c>
      <c r="D6434">
        <v>5.3471469999999997</v>
      </c>
      <c r="E6434">
        <v>0.64092280000000001</v>
      </c>
      <c r="F6434" t="s">
        <v>52</v>
      </c>
      <c r="G6434">
        <v>-176.3432</v>
      </c>
      <c r="H6434" s="1">
        <v>-4.6114240000000003E-6</v>
      </c>
      <c r="I6434">
        <v>133.9513</v>
      </c>
      <c r="J6434">
        <v>-180.81950000000001</v>
      </c>
      <c r="K6434">
        <v>1.1051280000000001</v>
      </c>
      <c r="L6434">
        <v>131.8571</v>
      </c>
      <c r="M6434">
        <v>0.52023549999999996</v>
      </c>
      <c r="N6434">
        <v>0</v>
      </c>
      <c r="O6434">
        <v>0.85390669999999902</v>
      </c>
      <c r="P6434">
        <v>0.69277569999999999</v>
      </c>
      <c r="Q6434">
        <v>1.8230300000000001E-2</v>
      </c>
      <c r="R6434">
        <v>0.72092279999999997</v>
      </c>
      <c r="S6434">
        <v>2.886139</v>
      </c>
      <c r="T6434">
        <v>-0.69601169999999901</v>
      </c>
      <c r="U6434">
        <v>1.4188080000000001</v>
      </c>
      <c r="V6434">
        <v>0.21690490000000001</v>
      </c>
      <c r="W6434">
        <v>2.9382120000000001E-2</v>
      </c>
      <c r="X6434">
        <v>0.97575040000000002</v>
      </c>
      <c r="Y6434">
        <v>0.51381549999999998</v>
      </c>
      <c r="Z6434">
        <v>-0.21228759999999999</v>
      </c>
      <c r="AA6434">
        <v>0.83122059999999998</v>
      </c>
      <c r="AB6434">
        <v>19</v>
      </c>
      <c r="AC6434">
        <v>4.4763000000000002</v>
      </c>
      <c r="AD6434">
        <v>-1.1051326114239901</v>
      </c>
      <c r="AE6434">
        <v>2.0941999999999998</v>
      </c>
      <c r="AF6434">
        <v>2.60296973371854</v>
      </c>
      <c r="AG6434">
        <v>-1.1051326114239901</v>
      </c>
      <c r="AH6434">
        <v>3.9212976007631499</v>
      </c>
      <c r="AI6434">
        <v>103.213972311361</v>
      </c>
      <c r="AJ6434">
        <v>56.4236674293306</v>
      </c>
      <c r="AK6434">
        <v>4.8345986800600604</v>
      </c>
      <c r="AL6434">
        <v>88.3162861161465</v>
      </c>
      <c r="AM6434">
        <v>77.467192711734199</v>
      </c>
      <c r="AN6434">
        <v>0.99999994385992996</v>
      </c>
    </row>
    <row r="6435" spans="1:40" x14ac:dyDescent="0.25">
      <c r="A6435" t="str">
        <f>"20190312154733567"</f>
        <v>20190312154733567</v>
      </c>
      <c r="B6435" t="str">
        <f>"1552376853554884"</f>
        <v>1552376853554884</v>
      </c>
      <c r="C6435" t="s">
        <v>40</v>
      </c>
      <c r="D6435">
        <v>5.3933839999999904</v>
      </c>
      <c r="E6435">
        <v>0.64032909999999998</v>
      </c>
      <c r="F6435" t="s">
        <v>52</v>
      </c>
      <c r="G6435">
        <v>-176.2225</v>
      </c>
      <c r="H6435" s="1">
        <v>-4.5735759999999999E-6</v>
      </c>
      <c r="I6435">
        <v>134.06870000000001</v>
      </c>
      <c r="J6435">
        <v>-180.70419999999999</v>
      </c>
      <c r="K6435">
        <v>1.105002</v>
      </c>
      <c r="L6435">
        <v>132.024</v>
      </c>
      <c r="M6435">
        <v>0.52850810000000004</v>
      </c>
      <c r="N6435">
        <v>0</v>
      </c>
      <c r="O6435">
        <v>0.84881090000000003</v>
      </c>
      <c r="P6435">
        <v>0.70118239999999998</v>
      </c>
      <c r="Q6435">
        <v>2.037044E-2</v>
      </c>
      <c r="R6435">
        <v>0.71269090000000002</v>
      </c>
      <c r="S6435">
        <v>2.8979029999999999</v>
      </c>
      <c r="T6435">
        <v>-0.69665940000000004</v>
      </c>
      <c r="U6435">
        <v>1.39418</v>
      </c>
      <c r="V6435">
        <v>0.2189334</v>
      </c>
      <c r="W6435">
        <v>3.1454450000000002E-2</v>
      </c>
      <c r="X6435">
        <v>0.97523269999999995</v>
      </c>
      <c r="Y6435">
        <v>0.51265309999999997</v>
      </c>
      <c r="Z6435">
        <v>-0.2118389</v>
      </c>
      <c r="AA6435">
        <v>0.83205239999999903</v>
      </c>
      <c r="AB6435">
        <v>19</v>
      </c>
      <c r="AC6435">
        <v>4.4816999999999796</v>
      </c>
      <c r="AD6435">
        <v>-1.105006573576</v>
      </c>
      <c r="AE6435">
        <v>2.0447000000000002</v>
      </c>
      <c r="AF6435">
        <v>2.5932589313236298</v>
      </c>
      <c r="AG6435">
        <v>-1.105006573576</v>
      </c>
      <c r="AH6435">
        <v>3.9079470612311198</v>
      </c>
      <c r="AI6435">
        <v>103.25734403211401</v>
      </c>
      <c r="AJ6435">
        <v>56.432305236039703</v>
      </c>
      <c r="AK6435">
        <v>4.8185144646375102</v>
      </c>
      <c r="AL6435">
        <v>88.197495488755905</v>
      </c>
      <c r="AM6435">
        <v>77.347241573152701</v>
      </c>
      <c r="AN6435">
        <v>1.00000001760482</v>
      </c>
    </row>
    <row r="6436" spans="1:40" x14ac:dyDescent="0.25">
      <c r="A6436" t="str">
        <f>"20190312154733589"</f>
        <v>20190312154733589</v>
      </c>
      <c r="B6436" t="str">
        <f>"1552376853585139"</f>
        <v>1552376853585139</v>
      </c>
      <c r="C6436" t="s">
        <v>40</v>
      </c>
      <c r="D6436">
        <v>5.3583230000000004</v>
      </c>
      <c r="E6436">
        <v>0.63954840000000002</v>
      </c>
      <c r="F6436" t="s">
        <v>52</v>
      </c>
      <c r="G6436">
        <v>-175.95949999999999</v>
      </c>
      <c r="H6436" s="1">
        <v>-4.4627989999999996E-6</v>
      </c>
      <c r="I6436">
        <v>134.24950000000001</v>
      </c>
      <c r="J6436">
        <v>-180.5968</v>
      </c>
      <c r="K6436">
        <v>1.104897</v>
      </c>
      <c r="L6436">
        <v>132.17609999999999</v>
      </c>
      <c r="M6436">
        <v>0.5362557</v>
      </c>
      <c r="N6436">
        <v>0</v>
      </c>
      <c r="O6436">
        <v>0.84393689999999999</v>
      </c>
      <c r="P6436">
        <v>0.70919690000000002</v>
      </c>
      <c r="Q6436">
        <v>2.1692360000000001E-2</v>
      </c>
      <c r="R6436">
        <v>0.70467669999999905</v>
      </c>
      <c r="S6436">
        <v>2.910568</v>
      </c>
      <c r="T6436">
        <v>-0.67784619999999995</v>
      </c>
      <c r="U6436">
        <v>1.365173</v>
      </c>
      <c r="V6436">
        <v>0.22108130000000001</v>
      </c>
      <c r="W6436">
        <v>3.2714550000000002E-2</v>
      </c>
      <c r="X6436">
        <v>0.97470650000000003</v>
      </c>
      <c r="Y6436">
        <v>0.51430509999999996</v>
      </c>
      <c r="Z6436">
        <v>-0.20594080000000001</v>
      </c>
      <c r="AA6436">
        <v>0.83251350000000002</v>
      </c>
      <c r="AB6436">
        <v>19</v>
      </c>
      <c r="AC6436">
        <v>4.6372999999999998</v>
      </c>
      <c r="AD6436">
        <v>-1.1049014627989999</v>
      </c>
      <c r="AE6436">
        <v>2.0734000000000199</v>
      </c>
      <c r="AF6436">
        <v>2.67541832149089</v>
      </c>
      <c r="AG6436">
        <v>-1.1049014627989999</v>
      </c>
      <c r="AH6436">
        <v>4.0456170554640103</v>
      </c>
      <c r="AI6436">
        <v>102.83316419467</v>
      </c>
      <c r="AJ6436">
        <v>56.522825896809103</v>
      </c>
      <c r="AK6436">
        <v>4.9745037739382401</v>
      </c>
      <c r="AL6436">
        <v>88.125259798278904</v>
      </c>
      <c r="AM6436">
        <v>77.220492707233802</v>
      </c>
      <c r="AN6436">
        <v>0.99999997206682001</v>
      </c>
    </row>
    <row r="6437" spans="1:40" x14ac:dyDescent="0.25">
      <c r="A6437" t="str">
        <f>"20190312154733611"</f>
        <v>20190312154733611</v>
      </c>
      <c r="B6437" t="str">
        <f>"1552376853604660"</f>
        <v>1552376853604660</v>
      </c>
      <c r="C6437" t="s">
        <v>40</v>
      </c>
      <c r="D6437">
        <v>5.3329219999999999</v>
      </c>
      <c r="E6437">
        <v>0.63885970000000003</v>
      </c>
      <c r="F6437" t="s">
        <v>52</v>
      </c>
      <c r="G6437">
        <v>-175.6559</v>
      </c>
      <c r="H6437" s="1">
        <v>-4.3271950000000003E-6</v>
      </c>
      <c r="I6437">
        <v>134.43790000000001</v>
      </c>
      <c r="J6437">
        <v>-180.48009999999999</v>
      </c>
      <c r="K6437">
        <v>1.1048039999999999</v>
      </c>
      <c r="L6437">
        <v>132.3374</v>
      </c>
      <c r="M6437">
        <v>0.5446685</v>
      </c>
      <c r="N6437">
        <v>0</v>
      </c>
      <c r="O6437">
        <v>0.83853140000000004</v>
      </c>
      <c r="P6437">
        <v>0.71624259999999995</v>
      </c>
      <c r="Q6437">
        <v>2.1684809999999999E-2</v>
      </c>
      <c r="R6437">
        <v>0.69751450000000004</v>
      </c>
      <c r="S6437">
        <v>2.9213710000000002</v>
      </c>
      <c r="T6437">
        <v>-0.65328980000000003</v>
      </c>
      <c r="U6437">
        <v>1.33728</v>
      </c>
      <c r="V6437">
        <v>0.22113659999999999</v>
      </c>
      <c r="W6437">
        <v>3.2688349999999998E-2</v>
      </c>
      <c r="X6437">
        <v>0.97469479999999997</v>
      </c>
      <c r="Y6437">
        <v>0.51512749999999996</v>
      </c>
      <c r="Z6437">
        <v>-0.19828470000000001</v>
      </c>
      <c r="AA6437">
        <v>0.83386249999999995</v>
      </c>
      <c r="AB6437">
        <v>19</v>
      </c>
      <c r="AC6437">
        <v>4.8241999999999896</v>
      </c>
      <c r="AD6437">
        <v>-1.104808327195</v>
      </c>
      <c r="AE6437">
        <v>2.10050000000001</v>
      </c>
      <c r="AF6437">
        <v>2.7789387163338399</v>
      </c>
      <c r="AG6437">
        <v>-1.104808327195</v>
      </c>
      <c r="AH6437">
        <v>4.2040163761089104</v>
      </c>
      <c r="AI6437">
        <v>102.365389304602</v>
      </c>
      <c r="AJ6437">
        <v>56.5345007950433</v>
      </c>
      <c r="AK6437">
        <v>5.1591525970425103</v>
      </c>
      <c r="AL6437">
        <v>88.1267616883583</v>
      </c>
      <c r="AM6437">
        <v>77.217252722704501</v>
      </c>
      <c r="AN6437">
        <v>0.99999993861615899</v>
      </c>
    </row>
    <row r="6438" spans="1:40" x14ac:dyDescent="0.25">
      <c r="A6438" t="str">
        <f>"20190312154733632"</f>
        <v>20190312154733632</v>
      </c>
      <c r="B6438" t="str">
        <f>"1552376853625155"</f>
        <v>1552376853625155</v>
      </c>
      <c r="C6438" t="s">
        <v>40</v>
      </c>
      <c r="D6438">
        <v>5.2764579999999999</v>
      </c>
      <c r="E6438">
        <v>0.63809199999999999</v>
      </c>
      <c r="F6438" t="s">
        <v>52</v>
      </c>
      <c r="G6438">
        <v>-175.40209999999999</v>
      </c>
      <c r="H6438" s="1">
        <v>-4.2188969999999997E-6</v>
      </c>
      <c r="I6438">
        <v>134.6087</v>
      </c>
      <c r="J6438">
        <v>-180.36859999999999</v>
      </c>
      <c r="K6438">
        <v>1.1047359999999999</v>
      </c>
      <c r="L6438">
        <v>132.48840000000001</v>
      </c>
      <c r="M6438">
        <v>0.55271029999999999</v>
      </c>
      <c r="N6438">
        <v>0</v>
      </c>
      <c r="O6438">
        <v>0.833252199999999</v>
      </c>
      <c r="P6438">
        <v>0.72279879999999996</v>
      </c>
      <c r="Q6438">
        <v>2.1384340000000002E-2</v>
      </c>
      <c r="R6438">
        <v>0.69072770000000006</v>
      </c>
      <c r="S6438">
        <v>2.9311219999999998</v>
      </c>
      <c r="T6438">
        <v>-0.63771069999999996</v>
      </c>
      <c r="U6438">
        <v>1.310989</v>
      </c>
      <c r="V6438">
        <v>0.22096250000000001</v>
      </c>
      <c r="W6438">
        <v>3.2382380000000002E-2</v>
      </c>
      <c r="X6438">
        <v>0.97474459999999996</v>
      </c>
      <c r="Y6438">
        <v>0.5152177</v>
      </c>
      <c r="Z6438">
        <v>-0.19323560000000001</v>
      </c>
      <c r="AA6438">
        <v>0.8349915</v>
      </c>
      <c r="AB6438">
        <v>19</v>
      </c>
      <c r="AC6438">
        <v>4.9664999999999901</v>
      </c>
      <c r="AD6438">
        <v>-1.1047402188969999</v>
      </c>
      <c r="AE6438">
        <v>2.1202999999999799</v>
      </c>
      <c r="AF6438">
        <v>2.8475618214451401</v>
      </c>
      <c r="AG6438">
        <v>-1.1047402188969999</v>
      </c>
      <c r="AH6438">
        <v>4.3309803565877498</v>
      </c>
      <c r="AI6438">
        <v>102.031810416811</v>
      </c>
      <c r="AJ6438">
        <v>56.675613761592601</v>
      </c>
      <c r="AK6438">
        <v>5.2996650957725198</v>
      </c>
      <c r="AL6438">
        <v>88.144301953505106</v>
      </c>
      <c r="AM6438">
        <v>77.227617441355804</v>
      </c>
      <c r="AN6438">
        <v>1.00000004008493</v>
      </c>
    </row>
    <row r="6439" spans="1:40" x14ac:dyDescent="0.25">
      <c r="A6439" t="str">
        <f>"20190312154733656"</f>
        <v>20190312154733656</v>
      </c>
      <c r="B6439" t="str">
        <f>"1552376853644676"</f>
        <v>1552376853644676</v>
      </c>
      <c r="C6439" t="s">
        <v>40</v>
      </c>
      <c r="D6439">
        <v>5.2217409999999997</v>
      </c>
      <c r="E6439">
        <v>0.63741349999999997</v>
      </c>
      <c r="F6439" t="s">
        <v>52</v>
      </c>
      <c r="G6439">
        <v>-175.1362</v>
      </c>
      <c r="H6439" s="1">
        <v>-4.1015249999999997E-6</v>
      </c>
      <c r="I6439">
        <v>134.7774</v>
      </c>
      <c r="J6439">
        <v>-180.2501</v>
      </c>
      <c r="K6439">
        <v>1.104662</v>
      </c>
      <c r="L6439">
        <v>132.64510000000001</v>
      </c>
      <c r="M6439">
        <v>0.56124010000000002</v>
      </c>
      <c r="N6439">
        <v>0</v>
      </c>
      <c r="O6439">
        <v>0.82753029999999905</v>
      </c>
      <c r="P6439">
        <v>0.72976640000000004</v>
      </c>
      <c r="Q6439">
        <v>2.2324380000000001E-2</v>
      </c>
      <c r="R6439">
        <v>0.6833321</v>
      </c>
      <c r="S6439">
        <v>2.9398499999999999</v>
      </c>
      <c r="T6439">
        <v>-0.62070740000000002</v>
      </c>
      <c r="U6439">
        <v>1.2861020000000001</v>
      </c>
      <c r="V6439">
        <v>0.22086980000000001</v>
      </c>
      <c r="W6439">
        <v>3.3316949999999998E-2</v>
      </c>
      <c r="X6439">
        <v>0.97473410000000005</v>
      </c>
      <c r="Y6439">
        <v>0.51440829999999904</v>
      </c>
      <c r="Z6439">
        <v>-0.1876651</v>
      </c>
      <c r="AA6439">
        <v>0.83675919999999904</v>
      </c>
      <c r="AB6439">
        <v>19</v>
      </c>
      <c r="AC6439">
        <v>5.1139000000000001</v>
      </c>
      <c r="AD6439">
        <v>-1.1046661015250001</v>
      </c>
      <c r="AE6439">
        <v>2.1322999999999799</v>
      </c>
      <c r="AF6439">
        <v>2.9194343611599902</v>
      </c>
      <c r="AG6439">
        <v>-1.1046661015250001</v>
      </c>
      <c r="AH6439">
        <v>4.45793440798459</v>
      </c>
      <c r="AI6439">
        <v>101.71156139198899</v>
      </c>
      <c r="AJ6439">
        <v>56.779812410586402</v>
      </c>
      <c r="AK6439">
        <v>5.44211019466466</v>
      </c>
      <c r="AL6439">
        <v>88.090726096828504</v>
      </c>
      <c r="AM6439">
        <v>77.232667138245404</v>
      </c>
      <c r="AN6439">
        <v>1.00000002670607</v>
      </c>
    </row>
    <row r="6440" spans="1:40" x14ac:dyDescent="0.25">
      <c r="A6440" t="str">
        <f>"20190312154733677"</f>
        <v>20190312154733677</v>
      </c>
      <c r="B6440" t="str">
        <f>"1552376853665171"</f>
        <v>1552376853665171</v>
      </c>
      <c r="C6440" t="s">
        <v>40</v>
      </c>
      <c r="D6440">
        <v>5.1317560000000002</v>
      </c>
      <c r="E6440">
        <v>0.63676790000000005</v>
      </c>
      <c r="F6440" t="s">
        <v>52</v>
      </c>
      <c r="G6440">
        <v>-174.93090000000001</v>
      </c>
      <c r="H6440" s="1">
        <v>-4.0216910000000004E-6</v>
      </c>
      <c r="I6440">
        <v>134.91909999999999</v>
      </c>
      <c r="J6440">
        <v>-180.13489999999999</v>
      </c>
      <c r="K6440">
        <v>1.1046020000000001</v>
      </c>
      <c r="L6440">
        <v>132.79390000000001</v>
      </c>
      <c r="M6440">
        <v>0.56951130000000005</v>
      </c>
      <c r="N6440">
        <v>0</v>
      </c>
      <c r="O6440">
        <v>0.82185949999999997</v>
      </c>
      <c r="P6440">
        <v>0.73746129999999999</v>
      </c>
      <c r="Q6440">
        <v>2.4810720000000001E-2</v>
      </c>
      <c r="R6440">
        <v>0.67493349999999996</v>
      </c>
      <c r="S6440">
        <v>2.9490660000000002</v>
      </c>
      <c r="T6440">
        <v>-0.61245319999999903</v>
      </c>
      <c r="U6440">
        <v>1.260788</v>
      </c>
      <c r="V6440">
        <v>0.2222259</v>
      </c>
      <c r="W6440">
        <v>3.5773100000000002E-2</v>
      </c>
      <c r="X6440">
        <v>0.9743387</v>
      </c>
      <c r="Y6440">
        <v>0.51344129999999999</v>
      </c>
      <c r="Z6440">
        <v>-0.1846399</v>
      </c>
      <c r="AA6440">
        <v>0.83802520000000003</v>
      </c>
      <c r="AB6440">
        <v>19</v>
      </c>
      <c r="AC6440">
        <v>5.2039999999999704</v>
      </c>
      <c r="AD6440">
        <v>-1.1046060216910001</v>
      </c>
      <c r="AE6440">
        <v>2.1251999999999698</v>
      </c>
      <c r="AF6440">
        <v>2.9529176532353199</v>
      </c>
      <c r="AG6440">
        <v>-1.1046060216910001</v>
      </c>
      <c r="AH6440">
        <v>4.5356880136315096</v>
      </c>
      <c r="AI6440">
        <v>101.535333471999</v>
      </c>
      <c r="AJ6440">
        <v>56.934233458622799</v>
      </c>
      <c r="AK6440">
        <v>5.5237978680383799</v>
      </c>
      <c r="AL6440">
        <v>87.949914904068507</v>
      </c>
      <c r="AM6440">
        <v>77.151831097016299</v>
      </c>
      <c r="AN6440">
        <v>0.99999998381605404</v>
      </c>
    </row>
    <row r="6441" spans="1:40" x14ac:dyDescent="0.25">
      <c r="A6441" t="str">
        <f>"20190312154733703"</f>
        <v>20190312154733703</v>
      </c>
      <c r="B6441" t="str">
        <f>"1552376853694451"</f>
        <v>1552376853694451</v>
      </c>
      <c r="C6441" t="s">
        <v>40</v>
      </c>
      <c r="D6441">
        <v>5.0616430000000001</v>
      </c>
      <c r="E6441">
        <v>0.63573389999999996</v>
      </c>
      <c r="F6441" t="s">
        <v>52</v>
      </c>
      <c r="G6441">
        <v>-174.71459999999999</v>
      </c>
      <c r="H6441" s="1">
        <v>-3.9766549999999998E-6</v>
      </c>
      <c r="I6441">
        <v>135.0532</v>
      </c>
      <c r="J6441">
        <v>-180.0042</v>
      </c>
      <c r="K6441">
        <v>1.1045199999999999</v>
      </c>
      <c r="L6441">
        <v>132.9589</v>
      </c>
      <c r="M6441">
        <v>0.57886159999999998</v>
      </c>
      <c r="N6441">
        <v>0</v>
      </c>
      <c r="O6441">
        <v>0.81530019999999903</v>
      </c>
      <c r="P6441">
        <v>0.74550159999999999</v>
      </c>
      <c r="Q6441">
        <v>2.552343E-2</v>
      </c>
      <c r="R6441">
        <v>0.66601509999999997</v>
      </c>
      <c r="S6441">
        <v>2.9593509999999998</v>
      </c>
      <c r="T6441">
        <v>-0.60309409999999997</v>
      </c>
      <c r="U6441">
        <v>1.2335050000000001</v>
      </c>
      <c r="V6441">
        <v>0.22281290000000001</v>
      </c>
      <c r="W6441">
        <v>3.6464539999999997E-2</v>
      </c>
      <c r="X6441">
        <v>0.97417900000000002</v>
      </c>
      <c r="Y6441">
        <v>0.51196019999999998</v>
      </c>
      <c r="Z6441">
        <v>-0.18113290000000001</v>
      </c>
      <c r="AA6441">
        <v>0.83969499999999997</v>
      </c>
      <c r="AB6441">
        <v>19</v>
      </c>
      <c r="AC6441">
        <v>5.2896000000000001</v>
      </c>
      <c r="AD6441">
        <v>-1.1045239766549999</v>
      </c>
      <c r="AE6441">
        <v>2.0943000000000001</v>
      </c>
      <c r="AF6441">
        <v>2.9879929571976001</v>
      </c>
      <c r="AG6441">
        <v>-1.1045239766549999</v>
      </c>
      <c r="AH6441">
        <v>4.5966558841317404</v>
      </c>
      <c r="AI6441">
        <v>101.390625112268</v>
      </c>
      <c r="AJ6441">
        <v>56.974672349881502</v>
      </c>
      <c r="AK6441">
        <v>5.5926130247310404</v>
      </c>
      <c r="AL6441">
        <v>87.910272450073506</v>
      </c>
      <c r="AM6441">
        <v>77.116982664545205</v>
      </c>
      <c r="AN6441">
        <v>0.99999998756241004</v>
      </c>
    </row>
    <row r="6442" spans="1:40" x14ac:dyDescent="0.25">
      <c r="A6442" t="str">
        <f>"20190312154733723"</f>
        <v>20190312154733723</v>
      </c>
      <c r="B6442" t="str">
        <f>"1552376853714947"</f>
        <v>1552376853714947</v>
      </c>
      <c r="C6442" t="s">
        <v>40</v>
      </c>
      <c r="D6442">
        <v>4.9660989999999998</v>
      </c>
      <c r="E6442">
        <v>0.63505290000000003</v>
      </c>
      <c r="F6442" t="s">
        <v>52</v>
      </c>
      <c r="G6442">
        <v>-174.50290000000001</v>
      </c>
      <c r="H6442" s="1">
        <v>-3.9350450000000002E-6</v>
      </c>
      <c r="I6442">
        <v>135.191</v>
      </c>
      <c r="J6442">
        <v>-179.89070000000001</v>
      </c>
      <c r="K6442">
        <v>1.1044290000000001</v>
      </c>
      <c r="L6442">
        <v>133.0986</v>
      </c>
      <c r="M6442">
        <v>0.586947</v>
      </c>
      <c r="N6442">
        <v>0</v>
      </c>
      <c r="O6442">
        <v>0.8094983</v>
      </c>
      <c r="P6442">
        <v>0.75269399999999997</v>
      </c>
      <c r="Q6442">
        <v>2.5066560000000002E-2</v>
      </c>
      <c r="R6442">
        <v>0.65789319999999996</v>
      </c>
      <c r="S6442">
        <v>2.9685060000000001</v>
      </c>
      <c r="T6442">
        <v>-0.59600369999999903</v>
      </c>
      <c r="U6442">
        <v>1.204437</v>
      </c>
      <c r="V6442">
        <v>0.22369349999999999</v>
      </c>
      <c r="W6442">
        <v>3.5979440000000001E-2</v>
      </c>
      <c r="X6442">
        <v>0.97399519999999995</v>
      </c>
      <c r="Y6442">
        <v>0.51188549999999999</v>
      </c>
      <c r="Z6442">
        <v>-0.1785524</v>
      </c>
      <c r="AA6442">
        <v>0.84029290000000001</v>
      </c>
      <c r="AB6442">
        <v>19</v>
      </c>
      <c r="AC6442">
        <v>5.3877999999999897</v>
      </c>
      <c r="AD6442">
        <v>-1.104432935045</v>
      </c>
      <c r="AE6442">
        <v>2.0923999999999898</v>
      </c>
      <c r="AF6442">
        <v>3.0232224930179301</v>
      </c>
      <c r="AG6442">
        <v>-1.104432935045</v>
      </c>
      <c r="AH6442">
        <v>4.6855629686379396</v>
      </c>
      <c r="AI6442">
        <v>101.20305581880601</v>
      </c>
      <c r="AJ6442">
        <v>57.169052398332397</v>
      </c>
      <c r="AK6442">
        <v>5.6845533407096198</v>
      </c>
      <c r="AL6442">
        <v>87.938084860540499</v>
      </c>
      <c r="AM6442">
        <v>77.065416688159502</v>
      </c>
      <c r="AN6442">
        <v>0.99999997583400102</v>
      </c>
    </row>
    <row r="6443" spans="1:40" x14ac:dyDescent="0.25">
      <c r="A6443" t="str">
        <f>"20190312154733745"</f>
        <v>20190312154733745</v>
      </c>
      <c r="B6443" t="str">
        <f>"1552376853734468"</f>
        <v>1552376853734468</v>
      </c>
      <c r="C6443" t="s">
        <v>40</v>
      </c>
      <c r="D6443">
        <v>4.9258480000000002</v>
      </c>
      <c r="E6443">
        <v>0.63436040000000005</v>
      </c>
      <c r="F6443" t="s">
        <v>52</v>
      </c>
      <c r="G6443">
        <v>-174.35679999999999</v>
      </c>
      <c r="H6443" s="1">
        <v>-3.9054900000000003E-6</v>
      </c>
      <c r="I6443">
        <v>135.28380000000001</v>
      </c>
      <c r="J6443">
        <v>-179.77029999999999</v>
      </c>
      <c r="K6443">
        <v>1.1043430000000001</v>
      </c>
      <c r="L6443">
        <v>133.2431</v>
      </c>
      <c r="M6443">
        <v>0.59548489999999998</v>
      </c>
      <c r="N6443">
        <v>0</v>
      </c>
      <c r="O6443">
        <v>0.80323789999999995</v>
      </c>
      <c r="P6443">
        <v>0.76071999999999995</v>
      </c>
      <c r="Q6443">
        <v>2.5008869999999999E-2</v>
      </c>
      <c r="R6443">
        <v>0.64859829999999996</v>
      </c>
      <c r="S6443">
        <v>2.9777369999999999</v>
      </c>
      <c r="T6443">
        <v>-0.59429089999999996</v>
      </c>
      <c r="U6443">
        <v>1.1758420000000001</v>
      </c>
      <c r="V6443">
        <v>0.2253532</v>
      </c>
      <c r="W6443">
        <v>3.5878409999999999E-2</v>
      </c>
      <c r="X6443">
        <v>0.97361629999999999</v>
      </c>
      <c r="Y6443">
        <v>0.51088290000000003</v>
      </c>
      <c r="Z6443">
        <v>-0.17739639999999901</v>
      </c>
      <c r="AA6443">
        <v>0.84114750000000005</v>
      </c>
      <c r="AB6443">
        <v>19</v>
      </c>
      <c r="AC6443">
        <v>5.4134999999999902</v>
      </c>
      <c r="AD6443">
        <v>-1.1043469054899999</v>
      </c>
      <c r="AE6443">
        <v>2.04070000000001</v>
      </c>
      <c r="AF6443">
        <v>3.0232848431006598</v>
      </c>
      <c r="AG6443">
        <v>-1.1043469054899999</v>
      </c>
      <c r="AH6443">
        <v>4.6923496140891299</v>
      </c>
      <c r="AI6443">
        <v>101.190981421309</v>
      </c>
      <c r="AJ6443">
        <v>57.206282240243397</v>
      </c>
      <c r="AK6443">
        <v>5.6901650442697997</v>
      </c>
      <c r="AL6443">
        <v>87.943877268213001</v>
      </c>
      <c r="AM6443">
        <v>76.967813489826398</v>
      </c>
      <c r="AN6443">
        <v>1.0000000123400199</v>
      </c>
    </row>
    <row r="6444" spans="1:40" x14ac:dyDescent="0.25">
      <c r="A6444" t="str">
        <f>"20190312154733766"</f>
        <v>20190312154733766</v>
      </c>
      <c r="B6444" t="str">
        <f>"1552376853754964"</f>
        <v>1552376853754964</v>
      </c>
      <c r="C6444" t="s">
        <v>40</v>
      </c>
      <c r="D6444">
        <v>4.84884</v>
      </c>
      <c r="E6444">
        <v>0.63420989999999999</v>
      </c>
      <c r="F6444" t="s">
        <v>52</v>
      </c>
      <c r="G6444">
        <v>-174.20500000000001</v>
      </c>
      <c r="H6444" s="1">
        <v>-3.8725730000000003E-6</v>
      </c>
      <c r="I6444">
        <v>135.37440000000001</v>
      </c>
      <c r="J6444">
        <v>-179.6497</v>
      </c>
      <c r="K6444">
        <v>1.104266</v>
      </c>
      <c r="L6444">
        <v>133.38460000000001</v>
      </c>
      <c r="M6444">
        <v>0.60399919999999996</v>
      </c>
      <c r="N6444">
        <v>0</v>
      </c>
      <c r="O6444">
        <v>0.79685459999999997</v>
      </c>
      <c r="P6444">
        <v>0.76858510000000002</v>
      </c>
      <c r="Q6444">
        <v>2.5606629999999998E-2</v>
      </c>
      <c r="R6444">
        <v>0.639235</v>
      </c>
      <c r="S6444">
        <v>2.9876100000000001</v>
      </c>
      <c r="T6444">
        <v>-0.59284289999999995</v>
      </c>
      <c r="U6444">
        <v>1.14415</v>
      </c>
      <c r="V6444">
        <v>0.22691349999999999</v>
      </c>
      <c r="W6444">
        <v>3.6436900000000001E-2</v>
      </c>
      <c r="X6444">
        <v>0.97323309999999996</v>
      </c>
      <c r="Y6444">
        <v>0.5106425</v>
      </c>
      <c r="Z6444">
        <v>-0.17636079999999901</v>
      </c>
      <c r="AA6444">
        <v>0.84151119999999902</v>
      </c>
      <c r="AB6444">
        <v>19</v>
      </c>
      <c r="AC6444">
        <v>5.4446999999999797</v>
      </c>
      <c r="AD6444">
        <v>-1.104269872573</v>
      </c>
      <c r="AE6444">
        <v>1.9898</v>
      </c>
      <c r="AF6444">
        <v>3.02726999032615</v>
      </c>
      <c r="AG6444">
        <v>-1.104269872573</v>
      </c>
      <c r="AH6444">
        <v>4.7039855099947001</v>
      </c>
      <c r="AI6444">
        <v>101.166935049239</v>
      </c>
      <c r="AJ6444">
        <v>57.236519913826697</v>
      </c>
      <c r="AK6444">
        <v>5.7018641884950103</v>
      </c>
      <c r="AL6444">
        <v>87.9118572379125</v>
      </c>
      <c r="AM6444">
        <v>76.875705290759996</v>
      </c>
      <c r="AN6444">
        <v>1.0000000255497301</v>
      </c>
    </row>
    <row r="6445" spans="1:40" x14ac:dyDescent="0.25">
      <c r="A6445" t="str">
        <f>"20190312154733789"</f>
        <v>20190312154733789</v>
      </c>
      <c r="B6445" t="str">
        <f>"1552376853784244"</f>
        <v>1552376853784244</v>
      </c>
      <c r="C6445" t="s">
        <v>40</v>
      </c>
      <c r="D6445">
        <v>4.7544779999999998</v>
      </c>
      <c r="E6445">
        <v>0.66889519999999902</v>
      </c>
      <c r="F6445" t="s">
        <v>52</v>
      </c>
      <c r="G6445">
        <v>-174.03899999999999</v>
      </c>
      <c r="H6445" s="1">
        <v>-3.8311950000000003E-6</v>
      </c>
      <c r="I6445">
        <v>135.45939999999999</v>
      </c>
      <c r="J6445">
        <v>-179.52379999999999</v>
      </c>
      <c r="K6445">
        <v>1.1042110000000001</v>
      </c>
      <c r="L6445">
        <v>133.52869999999999</v>
      </c>
      <c r="M6445">
        <v>0.61281430000000003</v>
      </c>
      <c r="N6445">
        <v>0</v>
      </c>
      <c r="O6445">
        <v>0.79009499999999999</v>
      </c>
      <c r="P6445">
        <v>0.7764759</v>
      </c>
      <c r="Q6445">
        <v>2.594196E-2</v>
      </c>
      <c r="R6445">
        <v>0.62961279999999997</v>
      </c>
      <c r="S6445">
        <v>3.0001980000000001</v>
      </c>
      <c r="T6445">
        <v>-0.59048029999999996</v>
      </c>
      <c r="U6445">
        <v>1.109467</v>
      </c>
      <c r="V6445">
        <v>0.22822500000000001</v>
      </c>
      <c r="W6445">
        <v>3.6745680000000003E-2</v>
      </c>
      <c r="X6445">
        <v>0.97291479999999997</v>
      </c>
      <c r="Y6445">
        <v>0.51107479999999905</v>
      </c>
      <c r="Z6445">
        <v>-0.17495749999999999</v>
      </c>
      <c r="AA6445">
        <v>0.84154180000000001</v>
      </c>
      <c r="AB6445">
        <v>19</v>
      </c>
      <c r="AC6445">
        <v>5.4847999999999697</v>
      </c>
      <c r="AD6445">
        <v>-1.104214831195</v>
      </c>
      <c r="AE6445">
        <v>1.9307000000000001</v>
      </c>
      <c r="AF6445">
        <v>3.04101490327918</v>
      </c>
      <c r="AG6445">
        <v>-1.104214831195</v>
      </c>
      <c r="AH6445">
        <v>4.7170036899081396</v>
      </c>
      <c r="AI6445">
        <v>101.13072345229099</v>
      </c>
      <c r="AJ6445">
        <v>57.190445000908397</v>
      </c>
      <c r="AK6445">
        <v>5.7198938666730603</v>
      </c>
      <c r="AL6445">
        <v>87.894153647012402</v>
      </c>
      <c r="AM6445">
        <v>76.798331337664393</v>
      </c>
      <c r="AN6445">
        <v>1.0000000518413401</v>
      </c>
    </row>
    <row r="6446" spans="1:40" x14ac:dyDescent="0.25">
      <c r="A6446" t="str">
        <f>"20190312154733803"</f>
        <v>20190312154733803</v>
      </c>
      <c r="B6446" t="str">
        <f>"1552376853794980"</f>
        <v>1552376853794980</v>
      </c>
      <c r="C6446" t="s">
        <v>40</v>
      </c>
      <c r="D6446">
        <v>4.7273800000000001</v>
      </c>
      <c r="E6446">
        <v>0.67138560000000003</v>
      </c>
      <c r="F6446" t="s">
        <v>52</v>
      </c>
      <c r="G6446">
        <v>-173.71080000000001</v>
      </c>
      <c r="H6446" s="1">
        <v>-3.5466710000000001E-6</v>
      </c>
      <c r="I6446">
        <v>135.09309999999999</v>
      </c>
      <c r="J6446">
        <v>-179.43979999999999</v>
      </c>
      <c r="K6446">
        <v>1.104185</v>
      </c>
      <c r="L6446">
        <v>133.6233</v>
      </c>
      <c r="M6446">
        <v>0.61865609999999904</v>
      </c>
      <c r="N6446">
        <v>0</v>
      </c>
      <c r="O6446">
        <v>0.78552889999999997</v>
      </c>
      <c r="P6446">
        <v>0.7816514</v>
      </c>
      <c r="Q6446">
        <v>2.6291330000000002E-2</v>
      </c>
      <c r="R6446">
        <v>0.62316119999999997</v>
      </c>
      <c r="S6446">
        <v>3.1881409999999999</v>
      </c>
      <c r="T6446">
        <v>-0.60560700000000001</v>
      </c>
      <c r="U6446">
        <v>0.85798649999999999</v>
      </c>
      <c r="V6446">
        <v>0.2290663</v>
      </c>
      <c r="W6446">
        <v>3.7081620000000003E-2</v>
      </c>
      <c r="X6446">
        <v>0.97270429999999997</v>
      </c>
      <c r="Y6446">
        <v>0.57917399999999997</v>
      </c>
      <c r="Z6446">
        <v>-0.17844179999999901</v>
      </c>
      <c r="AA6446">
        <v>0.79543439999999999</v>
      </c>
      <c r="AB6446">
        <v>19</v>
      </c>
      <c r="AC6446">
        <v>5.7289999999999797</v>
      </c>
      <c r="AD6446">
        <v>-1.104188546671</v>
      </c>
      <c r="AE6446">
        <v>1.46979999999999</v>
      </c>
      <c r="AF6446">
        <v>3.47041395142762</v>
      </c>
      <c r="AG6446">
        <v>-1.104188546671</v>
      </c>
      <c r="AH6446">
        <v>4.5410705674416398</v>
      </c>
      <c r="AI6446">
        <v>100.934677399348</v>
      </c>
      <c r="AJ6446">
        <v>52.611919290591601</v>
      </c>
      <c r="AK6446">
        <v>5.8210245867327899</v>
      </c>
      <c r="AL6446">
        <v>87.874892542410507</v>
      </c>
      <c r="AM6446">
        <v>76.748613667848005</v>
      </c>
      <c r="AN6446">
        <v>1.0000000357879999</v>
      </c>
    </row>
    <row r="6447" spans="1:40" x14ac:dyDescent="0.25">
      <c r="A6447" t="str">
        <f>"20190312154733822"</f>
        <v>20190312154733822</v>
      </c>
      <c r="B6447" t="str">
        <f>"1552376853814504"</f>
        <v>1552376853814504</v>
      </c>
      <c r="C6447" t="s">
        <v>40</v>
      </c>
      <c r="D6447">
        <v>4.6125679999999996</v>
      </c>
      <c r="E6447">
        <v>0.67393510000000001</v>
      </c>
      <c r="F6447" t="s">
        <v>52</v>
      </c>
      <c r="G6447">
        <v>-173.03809999999999</v>
      </c>
      <c r="H6447" s="1">
        <v>-3.3079009999999999E-6</v>
      </c>
      <c r="I6447">
        <v>135.2501</v>
      </c>
      <c r="J6447">
        <v>-179.33179999999999</v>
      </c>
      <c r="K6447">
        <v>1.104155</v>
      </c>
      <c r="L6447">
        <v>133.7424</v>
      </c>
      <c r="M6447">
        <v>0.62611130000000004</v>
      </c>
      <c r="N6447">
        <v>0</v>
      </c>
      <c r="O6447">
        <v>0.77959919999999905</v>
      </c>
      <c r="P6447">
        <v>0.78815190000000002</v>
      </c>
      <c r="Q6447">
        <v>2.7026620000000001E-2</v>
      </c>
      <c r="R6447">
        <v>0.61488719999999997</v>
      </c>
      <c r="S6447">
        <v>3.2069399999999999</v>
      </c>
      <c r="T6447">
        <v>-0.55314669999999999</v>
      </c>
      <c r="U6447">
        <v>0.81491089999999999</v>
      </c>
      <c r="V6447">
        <v>0.2300471</v>
      </c>
      <c r="W6447">
        <v>3.7804949999999997E-2</v>
      </c>
      <c r="X6447">
        <v>0.97244489999999995</v>
      </c>
      <c r="Y6447">
        <v>0.58579429999999999</v>
      </c>
      <c r="Z6447">
        <v>-0.1628117</v>
      </c>
      <c r="AA6447">
        <v>0.79393789999999997</v>
      </c>
      <c r="AB6447">
        <v>19</v>
      </c>
      <c r="AC6447">
        <v>6.2937000000000003</v>
      </c>
      <c r="AD6447">
        <v>-1.104158307901</v>
      </c>
      <c r="AE6447">
        <v>1.50769999999999</v>
      </c>
      <c r="AF6447">
        <v>3.85089808713176</v>
      </c>
      <c r="AG6447">
        <v>-1.104158307901</v>
      </c>
      <c r="AH6447">
        <v>4.9717751840540103</v>
      </c>
      <c r="AI6447">
        <v>99.958356784923296</v>
      </c>
      <c r="AJ6447">
        <v>52.240358069535297</v>
      </c>
      <c r="AK6447">
        <v>6.3849142615353198</v>
      </c>
      <c r="AL6447">
        <v>87.833419589718602</v>
      </c>
      <c r="AM6447">
        <v>76.690465824872803</v>
      </c>
      <c r="AN6447">
        <v>0.99999998299946102</v>
      </c>
    </row>
    <row r="6448" spans="1:40" x14ac:dyDescent="0.25">
      <c r="A6448" t="str">
        <f>"20190312154733837"</f>
        <v>20190312154733837</v>
      </c>
      <c r="B6448" t="str">
        <f>"1552376853834995"</f>
        <v>1552376853834995</v>
      </c>
      <c r="C6448" t="s">
        <v>40</v>
      </c>
      <c r="D6448">
        <v>4.6416719999999998</v>
      </c>
      <c r="E6448">
        <v>0.67475879999999999</v>
      </c>
      <c r="F6448" t="s">
        <v>52</v>
      </c>
      <c r="G6448">
        <v>-172.25989999999999</v>
      </c>
      <c r="H6448" s="1">
        <v>-3.0259530000000001E-6</v>
      </c>
      <c r="I6448">
        <v>135.41650000000001</v>
      </c>
      <c r="J6448">
        <v>-179.2456</v>
      </c>
      <c r="K6448">
        <v>1.104139</v>
      </c>
      <c r="L6448">
        <v>133.83539999999999</v>
      </c>
      <c r="M6448">
        <v>0.63201419999999997</v>
      </c>
      <c r="N6448">
        <v>0</v>
      </c>
      <c r="O6448">
        <v>0.77482119999999999</v>
      </c>
      <c r="P6448">
        <v>0.79293559999999996</v>
      </c>
      <c r="Q6448">
        <v>2.752431E-2</v>
      </c>
      <c r="R6448">
        <v>0.60868369999999905</v>
      </c>
      <c r="S6448">
        <v>3.2275390000000002</v>
      </c>
      <c r="T6448">
        <v>-0.50392870000000001</v>
      </c>
      <c r="U6448">
        <v>0.76403809999999905</v>
      </c>
      <c r="V6448">
        <v>0.23028789999999999</v>
      </c>
      <c r="W6448">
        <v>3.8303839999999999E-2</v>
      </c>
      <c r="X6448">
        <v>0.97236840000000002</v>
      </c>
      <c r="Y6448">
        <v>0.59536109999999998</v>
      </c>
      <c r="Z6448">
        <v>-0.1484036</v>
      </c>
      <c r="AA6448">
        <v>0.78963380000000005</v>
      </c>
      <c r="AB6448">
        <v>19</v>
      </c>
      <c r="AC6448">
        <v>6.9856999999999996</v>
      </c>
      <c r="AD6448">
        <v>-1.1041420259529999</v>
      </c>
      <c r="AE6448">
        <v>1.5811000000000199</v>
      </c>
      <c r="AF6448">
        <v>4.3113953398703204</v>
      </c>
      <c r="AG6448">
        <v>-1.1041420259529999</v>
      </c>
      <c r="AH6448">
        <v>5.5097853988662697</v>
      </c>
      <c r="AI6448">
        <v>98.968548116727902</v>
      </c>
      <c r="AJ6448">
        <v>51.956895617198697</v>
      </c>
      <c r="AK6448">
        <v>7.0827250780819604</v>
      </c>
      <c r="AL6448">
        <v>87.804814622326802</v>
      </c>
      <c r="AM6448">
        <v>76.676019927444997</v>
      </c>
      <c r="AN6448">
        <v>1.0000000031818499</v>
      </c>
    </row>
    <row r="6449" spans="1:40" x14ac:dyDescent="0.25">
      <c r="A6449" t="str">
        <f>"20190312154733856"</f>
        <v>20190312154733856</v>
      </c>
      <c r="B6449" t="str">
        <f>"1552376853844756"</f>
        <v>1552376853844756</v>
      </c>
      <c r="C6449" t="s">
        <v>40</v>
      </c>
      <c r="D6449">
        <v>4.62256</v>
      </c>
      <c r="E6449">
        <v>0.67502119999999999</v>
      </c>
      <c r="F6449" t="s">
        <v>52</v>
      </c>
      <c r="G6449">
        <v>-171.72799999999901</v>
      </c>
      <c r="H6449" s="1">
        <v>-2.80174E-6</v>
      </c>
      <c r="I6449">
        <v>135.53710000000001</v>
      </c>
      <c r="J6449">
        <v>-179.13829999999999</v>
      </c>
      <c r="K6449">
        <v>1.1041160000000001</v>
      </c>
      <c r="L6449">
        <v>133.9494</v>
      </c>
      <c r="M6449">
        <v>0.63931099999999996</v>
      </c>
      <c r="N6449">
        <v>0</v>
      </c>
      <c r="O6449">
        <v>0.76881119999999903</v>
      </c>
      <c r="P6449">
        <v>0.79867670000000002</v>
      </c>
      <c r="Q6449">
        <v>2.838972E-2</v>
      </c>
      <c r="R6449">
        <v>0.60109040000000002</v>
      </c>
      <c r="S6449">
        <v>3.2374109999999998</v>
      </c>
      <c r="T6449">
        <v>-0.47549249999999998</v>
      </c>
      <c r="U6449">
        <v>0.73280330000000005</v>
      </c>
      <c r="V6449">
        <v>0.23036470000000001</v>
      </c>
      <c r="W6449">
        <v>3.917342E-2</v>
      </c>
      <c r="X6449">
        <v>0.9723155</v>
      </c>
      <c r="Y6449">
        <v>0.59707670000000002</v>
      </c>
      <c r="Z6449">
        <v>-0.13963390000000001</v>
      </c>
      <c r="AA6449">
        <v>0.78993789999999997</v>
      </c>
      <c r="AB6449">
        <v>19</v>
      </c>
      <c r="AC6449">
        <v>7.4103000000000003</v>
      </c>
      <c r="AD6449">
        <v>-1.1041188017400001</v>
      </c>
      <c r="AE6449">
        <v>1.5877000000000101</v>
      </c>
      <c r="AF6449">
        <v>4.5852546138919203</v>
      </c>
      <c r="AG6449">
        <v>-1.1041188017400001</v>
      </c>
      <c r="AH6449">
        <v>5.8349043754468504</v>
      </c>
      <c r="AI6449">
        <v>98.462603395085495</v>
      </c>
      <c r="AJ6449">
        <v>51.838603295423198</v>
      </c>
      <c r="AK6449">
        <v>7.5026493502749902</v>
      </c>
      <c r="AL6449">
        <v>87.7549537922811</v>
      </c>
      <c r="AM6449">
        <v>76.671035728065704</v>
      </c>
      <c r="AN6449">
        <v>0.99999994169041595</v>
      </c>
    </row>
    <row r="6450" spans="1:40" x14ac:dyDescent="0.25">
      <c r="A6450" t="str">
        <f>"20190312154733872"</f>
        <v>20190312154733872</v>
      </c>
      <c r="B6450" t="str">
        <f>"1552376853864276"</f>
        <v>1552376853864276</v>
      </c>
      <c r="C6450" t="s">
        <v>40</v>
      </c>
      <c r="D6450">
        <v>4.6609889999999998</v>
      </c>
      <c r="E6450">
        <v>0.6749465</v>
      </c>
      <c r="F6450" t="s">
        <v>52</v>
      </c>
      <c r="G6450">
        <v>-171.6404</v>
      </c>
      <c r="H6450" s="1">
        <v>-2.765077E-6</v>
      </c>
      <c r="I6450">
        <v>135.56710000000001</v>
      </c>
      <c r="J6450">
        <v>-179.047</v>
      </c>
      <c r="K6450">
        <v>1.104095</v>
      </c>
      <c r="L6450">
        <v>134.04470000000001</v>
      </c>
      <c r="M6450">
        <v>0.64546819999999905</v>
      </c>
      <c r="N6450">
        <v>0</v>
      </c>
      <c r="O6450">
        <v>0.76364880000000002</v>
      </c>
      <c r="P6450">
        <v>0.80365500000000001</v>
      </c>
      <c r="Q6450">
        <v>2.8492389999999999E-2</v>
      </c>
      <c r="R6450">
        <v>0.59441309999999903</v>
      </c>
      <c r="S6450">
        <v>3.24614</v>
      </c>
      <c r="T6450">
        <v>-0.47801539999999998</v>
      </c>
      <c r="U6450">
        <v>0.70034790000000002</v>
      </c>
      <c r="V6450">
        <v>0.23065640000000001</v>
      </c>
      <c r="W6450">
        <v>3.9274419999999997E-2</v>
      </c>
      <c r="X6450">
        <v>0.97224239999999995</v>
      </c>
      <c r="Y6450">
        <v>0.59857450000000001</v>
      </c>
      <c r="Z6450">
        <v>-0.13996159999999999</v>
      </c>
      <c r="AA6450">
        <v>0.78874549999999999</v>
      </c>
      <c r="AB6450">
        <v>19</v>
      </c>
      <c r="AC6450">
        <v>7.4065999999999903</v>
      </c>
      <c r="AD6450">
        <v>-1.1040977650769901</v>
      </c>
      <c r="AE6450">
        <v>1.5224</v>
      </c>
      <c r="AF6450">
        <v>4.5763033321381599</v>
      </c>
      <c r="AG6450">
        <v>-1.1040977650769901</v>
      </c>
      <c r="AH6450">
        <v>5.8198473330440903</v>
      </c>
      <c r="AI6450">
        <v>98.482009587294101</v>
      </c>
      <c r="AJ6450">
        <v>51.821072540592702</v>
      </c>
      <c r="AK6450">
        <v>7.4854663877762002</v>
      </c>
      <c r="AL6450">
        <v>87.749162749615394</v>
      </c>
      <c r="AM6450">
        <v>76.653793876789905</v>
      </c>
      <c r="AN6450">
        <v>1.00000006964252</v>
      </c>
    </row>
    <row r="6451" spans="1:40" x14ac:dyDescent="0.25">
      <c r="A6451" t="str">
        <f>"20190312154733884"</f>
        <v>20190312154733884</v>
      </c>
      <c r="B6451" t="str">
        <f>"1552376853875012"</f>
        <v>1552376853875012</v>
      </c>
      <c r="C6451" t="s">
        <v>40</v>
      </c>
      <c r="D6451">
        <v>4.658264</v>
      </c>
      <c r="E6451">
        <v>0.67486950000000001</v>
      </c>
      <c r="F6451" t="s">
        <v>52</v>
      </c>
      <c r="G6451">
        <v>-171.56099999999901</v>
      </c>
      <c r="H6451" s="1">
        <v>-2.732866E-6</v>
      </c>
      <c r="I6451">
        <v>135.59649999999999</v>
      </c>
      <c r="J6451">
        <v>-178.96610000000001</v>
      </c>
      <c r="K6451">
        <v>1.1040730000000001</v>
      </c>
      <c r="L6451">
        <v>134.12790000000001</v>
      </c>
      <c r="M6451">
        <v>0.65088369999999995</v>
      </c>
      <c r="N6451">
        <v>0</v>
      </c>
      <c r="O6451">
        <v>0.75903799999999999</v>
      </c>
      <c r="P6451">
        <v>0.80802750000000001</v>
      </c>
      <c r="Q6451">
        <v>2.9080310000000002E-2</v>
      </c>
      <c r="R6451">
        <v>0.58842659999999902</v>
      </c>
      <c r="S6451">
        <v>3.251404</v>
      </c>
      <c r="T6451">
        <v>-0.47954419999999998</v>
      </c>
      <c r="U6451">
        <v>0.67401119999999903</v>
      </c>
      <c r="V6451">
        <v>0.23095840000000001</v>
      </c>
      <c r="W6451">
        <v>3.9858570000000003E-2</v>
      </c>
      <c r="X6451">
        <v>0.97214690000000004</v>
      </c>
      <c r="Y6451">
        <v>0.59924630000000001</v>
      </c>
      <c r="Z6451">
        <v>-0.14006469999999999</v>
      </c>
      <c r="AA6451">
        <v>0.78821680000000005</v>
      </c>
      <c r="AB6451">
        <v>19</v>
      </c>
      <c r="AC6451">
        <v>7.4051000000000302</v>
      </c>
      <c r="AD6451">
        <v>-1.10407573286599</v>
      </c>
      <c r="AE6451">
        <v>1.4685999999999799</v>
      </c>
      <c r="AF6451">
        <v>4.5676626611165601</v>
      </c>
      <c r="AG6451">
        <v>-1.10407573286599</v>
      </c>
      <c r="AH6451">
        <v>5.8109231436820599</v>
      </c>
      <c r="AI6451">
        <v>98.495815235174405</v>
      </c>
      <c r="AJ6451">
        <v>51.830964539530697</v>
      </c>
      <c r="AK6451">
        <v>7.4732424817773602</v>
      </c>
      <c r="AL6451">
        <v>87.715667128862194</v>
      </c>
      <c r="AM6451">
        <v>76.635680400091303</v>
      </c>
      <c r="AN6451">
        <v>1.0000000416563</v>
      </c>
    </row>
    <row r="6452" spans="1:40" x14ac:dyDescent="0.25">
      <c r="A6452" t="str">
        <f>"20190312154733901"</f>
        <v>20190312154733901</v>
      </c>
      <c r="B6452" t="str">
        <f>"1552376853894533"</f>
        <v>1552376853894533</v>
      </c>
      <c r="C6452" t="s">
        <v>40</v>
      </c>
      <c r="D6452">
        <v>4.5759949999999998</v>
      </c>
      <c r="E6452">
        <v>0.6742496</v>
      </c>
      <c r="F6452" t="s">
        <v>52</v>
      </c>
      <c r="G6452">
        <v>-171.56129999999999</v>
      </c>
      <c r="H6452" s="1">
        <v>-2.7383830000000001E-6</v>
      </c>
      <c r="I6452">
        <v>135.6086</v>
      </c>
      <c r="J6452">
        <v>-178.87119999999999</v>
      </c>
      <c r="K6452">
        <v>1.1040479999999999</v>
      </c>
      <c r="L6452">
        <v>134.22370000000001</v>
      </c>
      <c r="M6452">
        <v>0.65718160000000003</v>
      </c>
      <c r="N6452">
        <v>0</v>
      </c>
      <c r="O6452">
        <v>0.75359140000000002</v>
      </c>
      <c r="P6452">
        <v>0.81271479999999996</v>
      </c>
      <c r="Q6452">
        <v>2.9853060000000001E-2</v>
      </c>
      <c r="R6452">
        <v>0.58189650000000004</v>
      </c>
      <c r="S6452">
        <v>3.2561040000000001</v>
      </c>
      <c r="T6452">
        <v>-0.48549219999999998</v>
      </c>
      <c r="U6452">
        <v>0.65109249999999996</v>
      </c>
      <c r="V6452">
        <v>0.2306897</v>
      </c>
      <c r="W6452">
        <v>4.0637100000000002E-2</v>
      </c>
      <c r="X6452">
        <v>0.9721784</v>
      </c>
      <c r="Y6452">
        <v>0.59793759999999996</v>
      </c>
      <c r="Z6452">
        <v>-0.14121349999999999</v>
      </c>
      <c r="AA6452">
        <v>0.78900530000000002</v>
      </c>
      <c r="AB6452">
        <v>18</v>
      </c>
      <c r="AC6452">
        <v>7.3098999999999901</v>
      </c>
      <c r="AD6452">
        <v>-1.1040507383829901</v>
      </c>
      <c r="AE6452">
        <v>1.38489999999998</v>
      </c>
      <c r="AF6452">
        <v>4.4999413780913997</v>
      </c>
      <c r="AG6452">
        <v>-1.1040507383829901</v>
      </c>
      <c r="AH6452">
        <v>5.72219216631163</v>
      </c>
      <c r="AI6452">
        <v>98.623935231432895</v>
      </c>
      <c r="AJ6452">
        <v>51.8184310210058</v>
      </c>
      <c r="AK6452">
        <v>7.36287196869411</v>
      </c>
      <c r="AL6452">
        <v>87.671024321834096</v>
      </c>
      <c r="AM6452">
        <v>76.651088766839493</v>
      </c>
      <c r="AN6452">
        <v>0.99999997650452899</v>
      </c>
    </row>
    <row r="6453" spans="1:40" x14ac:dyDescent="0.25">
      <c r="A6453" t="str">
        <f>"20190312154733924"</f>
        <v>20190312154733924</v>
      </c>
      <c r="B6453" t="str">
        <f>"1552376853915029"</f>
        <v>1552376853915029</v>
      </c>
      <c r="C6453" t="s">
        <v>40</v>
      </c>
      <c r="D6453">
        <v>4.6160540000000001</v>
      </c>
      <c r="E6453">
        <v>0.67367449999999995</v>
      </c>
      <c r="F6453" t="s">
        <v>52</v>
      </c>
      <c r="G6453">
        <v>-171.59889999999999</v>
      </c>
      <c r="H6453" s="1">
        <v>-2.7699229999999999E-6</v>
      </c>
      <c r="I6453">
        <v>135.63149999999999</v>
      </c>
      <c r="J6453">
        <v>-178.733</v>
      </c>
      <c r="K6453">
        <v>1.104012</v>
      </c>
      <c r="L6453">
        <v>134.3604</v>
      </c>
      <c r="M6453">
        <v>0.66623909999999997</v>
      </c>
      <c r="N6453">
        <v>0</v>
      </c>
      <c r="O6453">
        <v>0.74559540000000002</v>
      </c>
      <c r="P6453">
        <v>0.81976469999999901</v>
      </c>
      <c r="Q6453">
        <v>2.9793509999999999E-2</v>
      </c>
      <c r="R6453">
        <v>0.57192500000000002</v>
      </c>
      <c r="S6453">
        <v>3.257965</v>
      </c>
      <c r="T6453">
        <v>-0.49460969999999999</v>
      </c>
      <c r="U6453">
        <v>0.63066099999999903</v>
      </c>
      <c r="V6453">
        <v>0.2308239</v>
      </c>
      <c r="W6453">
        <v>4.0578019999999999E-2</v>
      </c>
      <c r="X6453">
        <v>0.97214909999999999</v>
      </c>
      <c r="Y6453">
        <v>0.59279740000000003</v>
      </c>
      <c r="Z6453">
        <v>-0.142841</v>
      </c>
      <c r="AA6453">
        <v>0.79258289999999998</v>
      </c>
      <c r="AB6453">
        <v>18</v>
      </c>
      <c r="AC6453">
        <v>7.1341000000000099</v>
      </c>
      <c r="AD6453">
        <v>-1.1040147699230001</v>
      </c>
      <c r="AE6453">
        <v>1.2710999999999899</v>
      </c>
      <c r="AF6453">
        <v>4.3713083107729096</v>
      </c>
      <c r="AG6453">
        <v>-1.1040147699230001</v>
      </c>
      <c r="AH6453">
        <v>5.5720162391297698</v>
      </c>
      <c r="AI6453">
        <v>98.860452320071104</v>
      </c>
      <c r="AJ6453">
        <v>51.885423898727701</v>
      </c>
      <c r="AK6453">
        <v>7.1676041973009701</v>
      </c>
      <c r="AL6453">
        <v>87.674412346560999</v>
      </c>
      <c r="AM6453">
        <v>76.643213335892398</v>
      </c>
      <c r="AN6453">
        <v>1.00000006057456</v>
      </c>
    </row>
    <row r="6454" spans="1:40" x14ac:dyDescent="0.25">
      <c r="A6454" t="str">
        <f>"20190312154733946"</f>
        <v>20190312154733946</v>
      </c>
      <c r="B6454" t="str">
        <f>"1552376853934548"</f>
        <v>1552376853934548</v>
      </c>
      <c r="C6454" t="s">
        <v>40</v>
      </c>
      <c r="D6454">
        <v>4.656345</v>
      </c>
      <c r="E6454">
        <v>0.67320760000000002</v>
      </c>
      <c r="F6454" t="s">
        <v>52</v>
      </c>
      <c r="G6454">
        <v>-171.54220000000001</v>
      </c>
      <c r="H6454" s="1">
        <v>-2.7563970000000001E-6</v>
      </c>
      <c r="I6454">
        <v>135.6739</v>
      </c>
      <c r="J6454">
        <v>-178.60069999999999</v>
      </c>
      <c r="K6454">
        <v>1.10399</v>
      </c>
      <c r="L6454">
        <v>134.4879</v>
      </c>
      <c r="M6454">
        <v>0.67477759999999998</v>
      </c>
      <c r="N6454">
        <v>0</v>
      </c>
      <c r="O6454">
        <v>0.73787639999999999</v>
      </c>
      <c r="P6454">
        <v>0.826403</v>
      </c>
      <c r="Q6454">
        <v>2.906661E-2</v>
      </c>
      <c r="R6454">
        <v>0.56232850000000001</v>
      </c>
      <c r="S6454">
        <v>3.2621000000000002</v>
      </c>
      <c r="T6454">
        <v>-0.50083940000000005</v>
      </c>
      <c r="U6454">
        <v>0.5958405</v>
      </c>
      <c r="V6454">
        <v>0.23097809999999999</v>
      </c>
      <c r="W6454">
        <v>3.9854279999999999E-2</v>
      </c>
      <c r="X6454">
        <v>0.97214230000000001</v>
      </c>
      <c r="Y6454">
        <v>0.59169139999999998</v>
      </c>
      <c r="Z6454">
        <v>-0.14391670000000001</v>
      </c>
      <c r="AA6454">
        <v>0.79321459999999999</v>
      </c>
      <c r="AB6454">
        <v>18</v>
      </c>
      <c r="AC6454">
        <v>7.05849999999998</v>
      </c>
      <c r="AD6454">
        <v>-1.103992756397</v>
      </c>
      <c r="AE6454">
        <v>1.1859999999999999</v>
      </c>
      <c r="AF6454">
        <v>4.3060393476378298</v>
      </c>
      <c r="AG6454">
        <v>-1.103992756397</v>
      </c>
      <c r="AH6454">
        <v>5.5076087232630497</v>
      </c>
      <c r="AI6454">
        <v>98.973682457999502</v>
      </c>
      <c r="AJ6454">
        <v>51.9804717429069</v>
      </c>
      <c r="AK6454">
        <v>7.0777488453706496</v>
      </c>
      <c r="AL6454">
        <v>87.715912911191197</v>
      </c>
      <c r="AM6454">
        <v>76.634520397530395</v>
      </c>
      <c r="AN6454">
        <v>0.99999994888160704</v>
      </c>
    </row>
    <row r="6455" spans="1:40" x14ac:dyDescent="0.25">
      <c r="A6455" t="str">
        <f>"20190312154733959"</f>
        <v>20190312154733959</v>
      </c>
      <c r="B6455" t="str">
        <f>"1552376853955044"</f>
        <v>1552376853955044</v>
      </c>
      <c r="C6455" t="s">
        <v>40</v>
      </c>
      <c r="D6455">
        <v>4.6215159999999997</v>
      </c>
      <c r="E6455">
        <v>0.67199249999999999</v>
      </c>
      <c r="F6455" t="s">
        <v>52</v>
      </c>
      <c r="G6455">
        <v>-171.51679999999999</v>
      </c>
      <c r="H6455" s="1">
        <v>-2.7556189999999998E-6</v>
      </c>
      <c r="I6455">
        <v>135.70480000000001</v>
      </c>
      <c r="J6455">
        <v>-178.51130000000001</v>
      </c>
      <c r="K6455">
        <v>1.1039840000000001</v>
      </c>
      <c r="L6455">
        <v>134.57220000000001</v>
      </c>
      <c r="M6455">
        <v>0.680469199999999</v>
      </c>
      <c r="N6455">
        <v>0</v>
      </c>
      <c r="O6455">
        <v>0.73263080000000003</v>
      </c>
      <c r="P6455">
        <v>0.83057919999999996</v>
      </c>
      <c r="Q6455">
        <v>2.838659E-2</v>
      </c>
      <c r="R6455">
        <v>0.55617649999999996</v>
      </c>
      <c r="S6455">
        <v>3.2662659999999999</v>
      </c>
      <c r="T6455">
        <v>-0.50903589999999999</v>
      </c>
      <c r="U6455">
        <v>0.56112669999999998</v>
      </c>
      <c r="V6455">
        <v>0.2306791</v>
      </c>
      <c r="W6455">
        <v>3.9187699999999902E-2</v>
      </c>
      <c r="X6455">
        <v>0.9722404</v>
      </c>
      <c r="Y6455">
        <v>0.59343369999999995</v>
      </c>
      <c r="Z6455">
        <v>-0.14594699999999999</v>
      </c>
      <c r="AA6455">
        <v>0.79154019999999903</v>
      </c>
      <c r="AB6455">
        <v>18</v>
      </c>
      <c r="AC6455">
        <v>6.9945000000000102</v>
      </c>
      <c r="AD6455">
        <v>-1.1039867556189999</v>
      </c>
      <c r="AE6455">
        <v>1.1325999999999901</v>
      </c>
      <c r="AF6455">
        <v>4.2509567358778098</v>
      </c>
      <c r="AG6455">
        <v>-1.1039867556189999</v>
      </c>
      <c r="AH6455">
        <v>5.4574333844780503</v>
      </c>
      <c r="AI6455">
        <v>99.067331593705404</v>
      </c>
      <c r="AJ6455">
        <v>52.083917439532399</v>
      </c>
      <c r="AK6455">
        <v>7.0052122789322198</v>
      </c>
      <c r="AL6455">
        <v>87.754135019118905</v>
      </c>
      <c r="AM6455">
        <v>76.652500943358902</v>
      </c>
      <c r="AN6455">
        <v>0.99999995920012896</v>
      </c>
    </row>
    <row r="6456" spans="1:40" x14ac:dyDescent="0.25">
      <c r="A6456" t="str">
        <f>"20190312154733978"</f>
        <v>20190312154733978</v>
      </c>
      <c r="B6456" t="str">
        <f>"1552376853974564"</f>
        <v>1552376853974564</v>
      </c>
      <c r="C6456" t="s">
        <v>40</v>
      </c>
      <c r="D6456">
        <v>4.6588510000000003</v>
      </c>
      <c r="E6456">
        <v>0.67090499999999997</v>
      </c>
      <c r="F6456" t="s">
        <v>52</v>
      </c>
      <c r="G6456">
        <v>-171.53790000000001</v>
      </c>
      <c r="H6456" s="1">
        <v>-2.7811689999999999E-6</v>
      </c>
      <c r="I6456">
        <v>135.7354</v>
      </c>
      <c r="J6456">
        <v>-178.4014</v>
      </c>
      <c r="K6456">
        <v>1.103982</v>
      </c>
      <c r="L6456">
        <v>134.67410000000001</v>
      </c>
      <c r="M6456">
        <v>0.68738189999999999</v>
      </c>
      <c r="N6456">
        <v>0</v>
      </c>
      <c r="O6456">
        <v>0.72614869999999898</v>
      </c>
      <c r="P6456">
        <v>0.83616829999999998</v>
      </c>
      <c r="Q6456">
        <v>2.7224419999999999E-2</v>
      </c>
      <c r="R6456">
        <v>0.54779699999999998</v>
      </c>
      <c r="S6456">
        <v>3.2649379999999999</v>
      </c>
      <c r="T6456">
        <v>-0.51688329999999905</v>
      </c>
      <c r="U6456">
        <v>0.54460140000000001</v>
      </c>
      <c r="V6456">
        <v>0.2312514</v>
      </c>
      <c r="W6456">
        <v>3.8028430000000002E-2</v>
      </c>
      <c r="X6456">
        <v>0.97215050000000003</v>
      </c>
      <c r="Y6456">
        <v>0.58935329999999997</v>
      </c>
      <c r="Z6456">
        <v>-0.14740110000000001</v>
      </c>
      <c r="AA6456">
        <v>0.79431459999999998</v>
      </c>
      <c r="AB6456">
        <v>18</v>
      </c>
      <c r="AC6456">
        <v>6.8634999999999797</v>
      </c>
      <c r="AD6456">
        <v>-1.103984781169</v>
      </c>
      <c r="AE6456">
        <v>1.0612999999999799</v>
      </c>
      <c r="AF6456">
        <v>4.1499962716561596</v>
      </c>
      <c r="AG6456">
        <v>-1.103984781169</v>
      </c>
      <c r="AH6456">
        <v>5.3538143297347096</v>
      </c>
      <c r="AI6456">
        <v>99.256461515246698</v>
      </c>
      <c r="AJ6456">
        <v>52.219032980087498</v>
      </c>
      <c r="AK6456">
        <v>6.8632775937656403</v>
      </c>
      <c r="AL6456">
        <v>87.820605914556793</v>
      </c>
      <c r="AM6456">
        <v>76.6193832340266</v>
      </c>
      <c r="AN6456">
        <v>0.99999998307023696</v>
      </c>
    </row>
    <row r="6457" spans="1:40" x14ac:dyDescent="0.25">
      <c r="A6457" t="str">
        <f>"20190312154734001"</f>
        <v>20190312154734001</v>
      </c>
      <c r="B6457" t="str">
        <f>"1552376853995060"</f>
        <v>1552376853995060</v>
      </c>
      <c r="C6457" t="s">
        <v>40</v>
      </c>
      <c r="D6457">
        <v>4.6476889999999997</v>
      </c>
      <c r="E6457">
        <v>0.66962849999999996</v>
      </c>
      <c r="F6457" t="s">
        <v>52</v>
      </c>
      <c r="G6457">
        <v>-171.53380000000001</v>
      </c>
      <c r="H6457" s="1">
        <v>-2.7918850000000001E-6</v>
      </c>
      <c r="I6457">
        <v>135.76490000000001</v>
      </c>
      <c r="J6457">
        <v>-178.25720000000001</v>
      </c>
      <c r="K6457">
        <v>1.103996</v>
      </c>
      <c r="L6457">
        <v>134.80500000000001</v>
      </c>
      <c r="M6457">
        <v>0.69630289999999995</v>
      </c>
      <c r="N6457">
        <v>0</v>
      </c>
      <c r="O6457">
        <v>0.71759869999999903</v>
      </c>
      <c r="P6457">
        <v>0.84317199999999903</v>
      </c>
      <c r="Q6457">
        <v>2.496195E-2</v>
      </c>
      <c r="R6457">
        <v>0.53706419999999999</v>
      </c>
      <c r="S6457">
        <v>3.2651210000000002</v>
      </c>
      <c r="T6457">
        <v>-0.52487410000000001</v>
      </c>
      <c r="U6457">
        <v>0.51860050000000002</v>
      </c>
      <c r="V6457">
        <v>0.2316793</v>
      </c>
      <c r="W6457">
        <v>3.5781199999999902E-2</v>
      </c>
      <c r="X6457">
        <v>0.9721339</v>
      </c>
      <c r="Y6457">
        <v>0.58527549999999995</v>
      </c>
      <c r="Z6457">
        <v>-0.14864189999999999</v>
      </c>
      <c r="AA6457">
        <v>0.79709359999999996</v>
      </c>
      <c r="AB6457">
        <v>18</v>
      </c>
      <c r="AC6457">
        <v>6.7233999999999901</v>
      </c>
      <c r="AD6457">
        <v>-1.1039987918850001</v>
      </c>
      <c r="AE6457">
        <v>0.95990000000000397</v>
      </c>
      <c r="AF6457">
        <v>4.0497573790156602</v>
      </c>
      <c r="AG6457">
        <v>-1.1039987918850001</v>
      </c>
      <c r="AH6457">
        <v>5.2326547991450596</v>
      </c>
      <c r="AI6457">
        <v>99.472510145214599</v>
      </c>
      <c r="AJ6457">
        <v>52.262302609636897</v>
      </c>
      <c r="AK6457">
        <v>6.7082057517931899</v>
      </c>
      <c r="AL6457">
        <v>87.949450453723898</v>
      </c>
      <c r="AM6457">
        <v>76.595296368726096</v>
      </c>
      <c r="AN6457">
        <v>0.99999995592556901</v>
      </c>
    </row>
    <row r="6458" spans="1:40" x14ac:dyDescent="0.25">
      <c r="A6458" t="str">
        <f>"20190312154734035"</f>
        <v>20190312154734035</v>
      </c>
      <c r="B6458" t="str">
        <f>"1552376854024343"</f>
        <v>1552376854024343</v>
      </c>
      <c r="C6458" t="s">
        <v>40</v>
      </c>
      <c r="D6458">
        <v>4.681305</v>
      </c>
      <c r="E6458">
        <v>0.6675951</v>
      </c>
      <c r="F6458" t="s">
        <v>52</v>
      </c>
      <c r="G6458">
        <v>-171.53450000000001</v>
      </c>
      <c r="H6458" s="1">
        <v>-2.8097770000000002E-6</v>
      </c>
      <c r="I6458">
        <v>135.80439999999999</v>
      </c>
      <c r="J6458">
        <v>-178.04480000000001</v>
      </c>
      <c r="K6458">
        <v>1.1040369999999999</v>
      </c>
      <c r="L6458">
        <v>134.99170000000001</v>
      </c>
      <c r="M6458">
        <v>0.70909789999999995</v>
      </c>
      <c r="N6458">
        <v>0</v>
      </c>
      <c r="O6458">
        <v>0.70495779999999997</v>
      </c>
      <c r="P6458">
        <v>0.85241139999999904</v>
      </c>
      <c r="Q6458">
        <v>2.3079700000000002E-2</v>
      </c>
      <c r="R6458">
        <v>0.5223622</v>
      </c>
      <c r="S6458">
        <v>3.2647089999999999</v>
      </c>
      <c r="T6458">
        <v>-0.53612469999999901</v>
      </c>
      <c r="U6458">
        <v>0.48535159999999999</v>
      </c>
      <c r="V6458">
        <v>0.23105580000000001</v>
      </c>
      <c r="W6458">
        <v>3.394983E-2</v>
      </c>
      <c r="X6458">
        <v>0.97234799999999999</v>
      </c>
      <c r="Y6458">
        <v>0.57825099999999996</v>
      </c>
      <c r="Z6458">
        <v>-0.15012739999999999</v>
      </c>
      <c r="AA6458">
        <v>0.80192739999999996</v>
      </c>
      <c r="AB6458">
        <v>18</v>
      </c>
      <c r="AC6458">
        <v>6.5103</v>
      </c>
      <c r="AD6458">
        <v>-1.1040398097769999</v>
      </c>
      <c r="AE6458">
        <v>0.812699999999978</v>
      </c>
      <c r="AF6458">
        <v>3.9031082173640099</v>
      </c>
      <c r="AG6458">
        <v>-1.1040398097769999</v>
      </c>
      <c r="AH6458">
        <v>5.0469989369089703</v>
      </c>
      <c r="AI6458">
        <v>99.817392947581496</v>
      </c>
      <c r="AJ6458">
        <v>52.283343767872303</v>
      </c>
      <c r="AK6458">
        <v>6.47497922214328</v>
      </c>
      <c r="AL6458">
        <v>88.054444171939394</v>
      </c>
      <c r="AM6458">
        <v>76.632912579322394</v>
      </c>
      <c r="AN6458">
        <v>1.00000000338733</v>
      </c>
    </row>
    <row r="6459" spans="1:40" x14ac:dyDescent="0.25">
      <c r="A6459" t="str">
        <f>"20190312154734056"</f>
        <v>20190312154734056</v>
      </c>
      <c r="B6459" t="str">
        <f>"1552376854044836"</f>
        <v>1552376854044836</v>
      </c>
      <c r="C6459" t="s">
        <v>40</v>
      </c>
      <c r="D6459">
        <v>4.7009489999999996</v>
      </c>
      <c r="E6459">
        <v>0.6662363</v>
      </c>
      <c r="F6459" t="s">
        <v>52</v>
      </c>
      <c r="G6459">
        <v>-171.45750000000001</v>
      </c>
      <c r="H6459" s="1">
        <v>-2.8008630000000002E-6</v>
      </c>
      <c r="I6459">
        <v>135.88339999999999</v>
      </c>
      <c r="J6459">
        <v>-177.9083</v>
      </c>
      <c r="K6459">
        <v>1.10407099999999</v>
      </c>
      <c r="L6459">
        <v>135.10820000000001</v>
      </c>
      <c r="M6459">
        <v>0.71709319999999999</v>
      </c>
      <c r="N6459">
        <v>0</v>
      </c>
      <c r="O6459">
        <v>0.69682319999999998</v>
      </c>
      <c r="P6459">
        <v>0.85782340000000001</v>
      </c>
      <c r="Q6459">
        <v>2.2315120000000001E-2</v>
      </c>
      <c r="R6459">
        <v>0.51346009999999997</v>
      </c>
      <c r="S6459">
        <v>3.2635190000000001</v>
      </c>
      <c r="T6459">
        <v>-0.54696869999999997</v>
      </c>
      <c r="U6459">
        <v>0.44178770000000001</v>
      </c>
      <c r="V6459">
        <v>0.2300856</v>
      </c>
      <c r="W6459">
        <v>3.322783E-2</v>
      </c>
      <c r="X6459">
        <v>0.972603</v>
      </c>
      <c r="Y6459">
        <v>0.57887829999999996</v>
      </c>
      <c r="Z6459">
        <v>-0.15260070000000001</v>
      </c>
      <c r="AA6459">
        <v>0.80100740000000004</v>
      </c>
      <c r="AB6459">
        <v>18</v>
      </c>
      <c r="AC6459">
        <v>6.4507999999999797</v>
      </c>
      <c r="AD6459">
        <v>-1.10407380086299</v>
      </c>
      <c r="AE6459">
        <v>0.77519999999998301</v>
      </c>
      <c r="AF6459">
        <v>3.8290311055711199</v>
      </c>
      <c r="AG6459">
        <v>-1.10407380086299</v>
      </c>
      <c r="AH6459">
        <v>5.0215529084578101</v>
      </c>
      <c r="AI6459">
        <v>99.917204701661603</v>
      </c>
      <c r="AJ6459">
        <v>52.673779567800899</v>
      </c>
      <c r="AK6459">
        <v>6.4106514316116403</v>
      </c>
      <c r="AL6459">
        <v>88.095835138861702</v>
      </c>
      <c r="AM6459">
        <v>76.690404516240093</v>
      </c>
      <c r="AN6459">
        <v>1.0000000338114301</v>
      </c>
    </row>
    <row r="6460" spans="1:40" x14ac:dyDescent="0.25">
      <c r="A6460" t="str">
        <f>"20190312154734079"</f>
        <v>20190312154734079</v>
      </c>
      <c r="B6460" t="str">
        <f>"1552376854075144"</f>
        <v>1552376854075144</v>
      </c>
      <c r="C6460" t="s">
        <v>40</v>
      </c>
      <c r="D6460">
        <v>4.7627309999999996</v>
      </c>
      <c r="E6460">
        <v>0.66496619999999995</v>
      </c>
      <c r="F6460" t="s">
        <v>52</v>
      </c>
      <c r="G6460">
        <v>-171.36779999999999</v>
      </c>
      <c r="H6460" s="1">
        <v>-2.7761750000000001E-6</v>
      </c>
      <c r="I6460">
        <v>135.94309999999999</v>
      </c>
      <c r="J6460">
        <v>-177.7638</v>
      </c>
      <c r="K6460">
        <v>1.1041129999999999</v>
      </c>
      <c r="L6460">
        <v>135.2287</v>
      </c>
      <c r="M6460">
        <v>0.72537019999999997</v>
      </c>
      <c r="N6460">
        <v>0</v>
      </c>
      <c r="O6460">
        <v>0.68820300000000001</v>
      </c>
      <c r="P6460">
        <v>0.86377959999999998</v>
      </c>
      <c r="Q6460">
        <v>2.1798620000000001E-2</v>
      </c>
      <c r="R6460">
        <v>0.50339820000000002</v>
      </c>
      <c r="S6460">
        <v>3.2622680000000002</v>
      </c>
      <c r="T6460">
        <v>-0.55068609999999996</v>
      </c>
      <c r="U6460">
        <v>0.4164581</v>
      </c>
      <c r="V6460">
        <v>0.2298278</v>
      </c>
      <c r="W6460">
        <v>3.2740289999999998E-2</v>
      </c>
      <c r="X6460">
        <v>0.9726804</v>
      </c>
      <c r="Y6460">
        <v>0.57517479999999999</v>
      </c>
      <c r="Z6460">
        <v>-0.1525473</v>
      </c>
      <c r="AA6460">
        <v>0.80368109999999904</v>
      </c>
      <c r="AB6460">
        <v>18</v>
      </c>
      <c r="AC6460">
        <v>6.3960000000000097</v>
      </c>
      <c r="AD6460">
        <v>-1.104115776175</v>
      </c>
      <c r="AE6460">
        <v>0.71439999999998305</v>
      </c>
      <c r="AF6460">
        <v>3.7729125028788499</v>
      </c>
      <c r="AG6460">
        <v>-1.104115776175</v>
      </c>
      <c r="AH6460">
        <v>4.9849511861691296</v>
      </c>
      <c r="AI6460">
        <v>100.015645862339</v>
      </c>
      <c r="AJ6460">
        <v>52.879360994878702</v>
      </c>
      <c r="AK6460">
        <v>6.3485178372646196</v>
      </c>
      <c r="AL6460">
        <v>88.123784177498806</v>
      </c>
      <c r="AM6460">
        <v>76.705807809544694</v>
      </c>
      <c r="AN6460">
        <v>0.99999995239313999</v>
      </c>
    </row>
    <row r="6461" spans="1:40" x14ac:dyDescent="0.25">
      <c r="A6461" t="str">
        <f>"20190312154734102"</f>
        <v>20190312154734102</v>
      </c>
      <c r="B6461" t="str">
        <f>"1552376854094664"</f>
        <v>1552376854094664</v>
      </c>
      <c r="C6461" t="s">
        <v>40</v>
      </c>
      <c r="D6461">
        <v>4.7143490000000003</v>
      </c>
      <c r="E6461">
        <v>0.66502589999999995</v>
      </c>
      <c r="F6461" t="s">
        <v>52</v>
      </c>
      <c r="G6461">
        <v>-171.29339999999999</v>
      </c>
      <c r="H6461" s="1">
        <v>-2.757934E-6</v>
      </c>
      <c r="I6461">
        <v>135.99770000000001</v>
      </c>
      <c r="J6461">
        <v>-177.61349999999999</v>
      </c>
      <c r="K6461">
        <v>1.104155</v>
      </c>
      <c r="L6461">
        <v>135.3511</v>
      </c>
      <c r="M6461">
        <v>0.73377530000000002</v>
      </c>
      <c r="N6461">
        <v>0</v>
      </c>
      <c r="O6461">
        <v>0.67923420000000001</v>
      </c>
      <c r="P6461">
        <v>0.86972090000000002</v>
      </c>
      <c r="Q6461">
        <v>2.1683569999999999E-2</v>
      </c>
      <c r="R6461">
        <v>0.49306739999999999</v>
      </c>
      <c r="S6461">
        <v>3.2612610000000002</v>
      </c>
      <c r="T6461">
        <v>-0.55650189999999999</v>
      </c>
      <c r="U6461">
        <v>0.3876038</v>
      </c>
      <c r="V6461">
        <v>0.22946040000000001</v>
      </c>
      <c r="W6461">
        <v>3.2654030000000001E-2</v>
      </c>
      <c r="X6461">
        <v>0.97277009999999997</v>
      </c>
      <c r="Y6461">
        <v>0.57194609999999901</v>
      </c>
      <c r="Z6461">
        <v>-0.1530272</v>
      </c>
      <c r="AA6461">
        <v>0.80589100000000002</v>
      </c>
      <c r="AB6461">
        <v>18</v>
      </c>
      <c r="AC6461">
        <v>6.3200999999999903</v>
      </c>
      <c r="AD6461">
        <v>-1.1041577579340001</v>
      </c>
      <c r="AE6461">
        <v>0.64660000000000595</v>
      </c>
      <c r="AF6461">
        <v>3.70681126592932</v>
      </c>
      <c r="AG6461">
        <v>-1.1041577579340001</v>
      </c>
      <c r="AH6461">
        <v>4.9284041781232597</v>
      </c>
      <c r="AI6461">
        <v>100.1511466537</v>
      </c>
      <c r="AJ6461">
        <v>53.051997628949003</v>
      </c>
      <c r="AK6461">
        <v>6.2648848240465904</v>
      </c>
      <c r="AL6461">
        <v>88.128729271334706</v>
      </c>
      <c r="AM6461">
        <v>76.727487551938907</v>
      </c>
      <c r="AN6461">
        <v>1.0000000141487</v>
      </c>
    </row>
    <row r="6462" spans="1:40" x14ac:dyDescent="0.25">
      <c r="A6462" t="str">
        <f>"20190312154734125"</f>
        <v>20190312154734125</v>
      </c>
      <c r="B6462" t="str">
        <f>"1552376854115161"</f>
        <v>1552376854115161</v>
      </c>
      <c r="C6462" t="s">
        <v>40</v>
      </c>
      <c r="D6462">
        <v>4.6885289999999999</v>
      </c>
      <c r="E6462">
        <v>0.66493590000000002</v>
      </c>
      <c r="F6462" t="s">
        <v>52</v>
      </c>
      <c r="G6462">
        <v>-171.17609999999999</v>
      </c>
      <c r="H6462" s="1">
        <v>-2.7096420000000002E-6</v>
      </c>
      <c r="I6462">
        <v>136.03960000000001</v>
      </c>
      <c r="J6462">
        <v>-177.4615</v>
      </c>
      <c r="K6462">
        <v>1.104196</v>
      </c>
      <c r="L6462">
        <v>135.4717</v>
      </c>
      <c r="M6462">
        <v>0.74206559999999999</v>
      </c>
      <c r="N6462">
        <v>0</v>
      </c>
      <c r="O6462">
        <v>0.67016709999999902</v>
      </c>
      <c r="P6462">
        <v>0.87623039999999996</v>
      </c>
      <c r="Q6462">
        <v>2.099606E-2</v>
      </c>
      <c r="R6462">
        <v>0.481435</v>
      </c>
      <c r="S6462">
        <v>3.26532</v>
      </c>
      <c r="T6462">
        <v>-0.56007390000000001</v>
      </c>
      <c r="U6462">
        <v>0.34927370000000002</v>
      </c>
      <c r="V6462">
        <v>0.23046829999999999</v>
      </c>
      <c r="W6462">
        <v>3.1967269999999999E-2</v>
      </c>
      <c r="X6462">
        <v>0.97255460000000005</v>
      </c>
      <c r="Y6462">
        <v>0.57132139999999998</v>
      </c>
      <c r="Z6462">
        <v>-0.15287729999999999</v>
      </c>
      <c r="AA6462">
        <v>0.80636249999999998</v>
      </c>
      <c r="AB6462">
        <v>18</v>
      </c>
      <c r="AC6462">
        <v>6.2854000000000099</v>
      </c>
      <c r="AD6462">
        <v>-1.1041987096420001</v>
      </c>
      <c r="AE6462">
        <v>0.56790000000000795</v>
      </c>
      <c r="AF6462">
        <v>3.6786440630583299</v>
      </c>
      <c r="AG6462">
        <v>-1.1041987096420001</v>
      </c>
      <c r="AH6462">
        <v>4.8954471902407901</v>
      </c>
      <c r="AI6462">
        <v>100.221738792891</v>
      </c>
      <c r="AJ6462">
        <v>53.0772660365691</v>
      </c>
      <c r="AK6462">
        <v>6.2223050492149499</v>
      </c>
      <c r="AL6462">
        <v>88.168098244890601</v>
      </c>
      <c r="AM6462">
        <v>76.668416731195805</v>
      </c>
      <c r="AN6462">
        <v>0.99999999681865104</v>
      </c>
    </row>
    <row r="6463" spans="1:40" x14ac:dyDescent="0.25">
      <c r="A6463" t="str">
        <f>"20190312154734145"</f>
        <v>20190312154734145</v>
      </c>
      <c r="B6463" t="str">
        <f>"1552376854134681"</f>
        <v>1552376854134681</v>
      </c>
      <c r="C6463" t="s">
        <v>40</v>
      </c>
      <c r="D6463">
        <v>4.7273180000000004</v>
      </c>
      <c r="E6463">
        <v>0.66500029999999999</v>
      </c>
      <c r="F6463" t="s">
        <v>52</v>
      </c>
      <c r="G6463">
        <v>-171.05680000000001</v>
      </c>
      <c r="H6463" s="1">
        <v>-2.6559170000000001E-6</v>
      </c>
      <c r="I6463">
        <v>136.0719</v>
      </c>
      <c r="J6463">
        <v>-177.3244</v>
      </c>
      <c r="K6463">
        <v>1.1042209999999999</v>
      </c>
      <c r="L6463">
        <v>135.5779</v>
      </c>
      <c r="M6463">
        <v>0.74936910000000001</v>
      </c>
      <c r="N6463">
        <v>0</v>
      </c>
      <c r="O6463">
        <v>0.66199039999999998</v>
      </c>
      <c r="P6463">
        <v>0.88210409999999995</v>
      </c>
      <c r="Q6463">
        <v>2.1012949999999999E-2</v>
      </c>
      <c r="R6463">
        <v>0.47058549999999899</v>
      </c>
      <c r="S6463">
        <v>3.268967</v>
      </c>
      <c r="T6463">
        <v>-0.56358219999999903</v>
      </c>
      <c r="U6463">
        <v>0.30633539999999998</v>
      </c>
      <c r="V6463">
        <v>0.2318036</v>
      </c>
      <c r="W6463">
        <v>3.1974410000000002E-2</v>
      </c>
      <c r="X6463">
        <v>0.97223700000000002</v>
      </c>
      <c r="Y6463">
        <v>0.57284950000000001</v>
      </c>
      <c r="Z6463">
        <v>-0.15299779999999999</v>
      </c>
      <c r="AA6463">
        <v>0.80525480000000005</v>
      </c>
      <c r="AB6463">
        <v>18</v>
      </c>
      <c r="AC6463">
        <v>6.2675999999999803</v>
      </c>
      <c r="AD6463">
        <v>-1.104223655917</v>
      </c>
      <c r="AE6463">
        <v>0.493999999999999</v>
      </c>
      <c r="AF6463">
        <v>3.6662142984472101</v>
      </c>
      <c r="AG6463">
        <v>-1.104223655917</v>
      </c>
      <c r="AH6463">
        <v>4.8739582171794602</v>
      </c>
      <c r="AI6463">
        <v>100.26239559207001</v>
      </c>
      <c r="AJ6463">
        <v>53.0493429191743</v>
      </c>
      <c r="AK6463">
        <v>6.19805662020255</v>
      </c>
      <c r="AL6463">
        <v>88.167689000976793</v>
      </c>
      <c r="AM6463">
        <v>76.589735133764705</v>
      </c>
      <c r="AN6463">
        <v>1.0000000280184</v>
      </c>
    </row>
    <row r="6464" spans="1:40" x14ac:dyDescent="0.25">
      <c r="A6464" t="str">
        <f>"20190312154734168"</f>
        <v>20190312154734168</v>
      </c>
      <c r="B6464" t="str">
        <f>"1552376854164936"</f>
        <v>1552376854164936</v>
      </c>
      <c r="C6464" t="s">
        <v>40</v>
      </c>
      <c r="D6464">
        <v>4.7382839999999904</v>
      </c>
      <c r="E6464">
        <v>0.66458850000000003</v>
      </c>
      <c r="F6464" t="s">
        <v>52</v>
      </c>
      <c r="G6464">
        <v>-170.9085</v>
      </c>
      <c r="H6464" s="1">
        <v>-2.5835820000000001E-6</v>
      </c>
      <c r="I6464">
        <v>136.09950000000001</v>
      </c>
      <c r="J6464">
        <v>-177.17500000000001</v>
      </c>
      <c r="K6464">
        <v>1.1042419999999999</v>
      </c>
      <c r="L6464">
        <v>135.6909</v>
      </c>
      <c r="M6464">
        <v>0.7571523</v>
      </c>
      <c r="N6464">
        <v>0</v>
      </c>
      <c r="O6464">
        <v>0.65307440000000005</v>
      </c>
      <c r="P6464">
        <v>0.88846919999999996</v>
      </c>
      <c r="Q6464">
        <v>2.1156769999999998E-2</v>
      </c>
      <c r="R6464">
        <v>0.45844839999999998</v>
      </c>
      <c r="S6464">
        <v>3.2724299999999999</v>
      </c>
      <c r="T6464">
        <v>-0.56320499999999996</v>
      </c>
      <c r="U6464">
        <v>0.26606750000000001</v>
      </c>
      <c r="V6464">
        <v>0.23362189999999999</v>
      </c>
      <c r="W6464">
        <v>3.209832E-2</v>
      </c>
      <c r="X6464">
        <v>0.97179760000000004</v>
      </c>
      <c r="Y6464">
        <v>0.57327130000000004</v>
      </c>
      <c r="Z6464">
        <v>-0.1518525</v>
      </c>
      <c r="AA6464">
        <v>0.80517130000000003</v>
      </c>
      <c r="AB6464">
        <v>18</v>
      </c>
      <c r="AC6464">
        <v>6.2664999999999997</v>
      </c>
      <c r="AD6464">
        <v>-1.1042445835819901</v>
      </c>
      <c r="AE6464">
        <v>0.40860000000000601</v>
      </c>
      <c r="AF6464">
        <v>3.6700461495305299</v>
      </c>
      <c r="AG6464">
        <v>-1.1042445835819901</v>
      </c>
      <c r="AH6464">
        <v>4.8617530895231003</v>
      </c>
      <c r="AI6464">
        <v>100.274856055893</v>
      </c>
      <c r="AJ6464">
        <v>52.951530064958902</v>
      </c>
      <c r="AK6464">
        <v>6.1907380774461398</v>
      </c>
      <c r="AL6464">
        <v>88.1605858476496</v>
      </c>
      <c r="AM6464">
        <v>76.482500645520304</v>
      </c>
      <c r="AN6464">
        <v>1.00000003483609</v>
      </c>
    </row>
    <row r="6465" spans="1:40" x14ac:dyDescent="0.25">
      <c r="A6465" t="str">
        <f>"20190312154734190"</f>
        <v>20190312154734190</v>
      </c>
      <c r="B6465" t="str">
        <f>"1552376854184461"</f>
        <v>1552376854184461</v>
      </c>
      <c r="C6465" t="s">
        <v>40</v>
      </c>
      <c r="D6465">
        <v>4.8039050000000003</v>
      </c>
      <c r="E6465">
        <v>0.66420979999999996</v>
      </c>
      <c r="F6465" t="s">
        <v>52</v>
      </c>
      <c r="G6465">
        <v>-170.6994</v>
      </c>
      <c r="H6465" s="1">
        <v>-2.4793359999999999E-6</v>
      </c>
      <c r="I6465">
        <v>136.13329999999999</v>
      </c>
      <c r="J6465">
        <v>-177.02629999999999</v>
      </c>
      <c r="K6465">
        <v>1.1042749999999999</v>
      </c>
      <c r="L6465">
        <v>135.8006</v>
      </c>
      <c r="M6465">
        <v>0.76472649999999998</v>
      </c>
      <c r="N6465">
        <v>0</v>
      </c>
      <c r="O6465">
        <v>0.64418880000000001</v>
      </c>
      <c r="P6465">
        <v>0.89412159999999996</v>
      </c>
      <c r="Q6465">
        <v>2.1055330000000001E-2</v>
      </c>
      <c r="R6465">
        <v>0.44732929999999999</v>
      </c>
      <c r="S6465">
        <v>3.2744749999999998</v>
      </c>
      <c r="T6465">
        <v>-0.55837569999999903</v>
      </c>
      <c r="U6465">
        <v>0.22370909999999999</v>
      </c>
      <c r="V6465">
        <v>0.2343954</v>
      </c>
      <c r="W6465">
        <v>3.1993479999999998E-2</v>
      </c>
      <c r="X6465">
        <v>0.97161470000000005</v>
      </c>
      <c r="Y6465">
        <v>0.57454450000000001</v>
      </c>
      <c r="Z6465">
        <v>-0.14965020000000001</v>
      </c>
      <c r="AA6465">
        <v>0.8046759</v>
      </c>
      <c r="AB6465">
        <v>18</v>
      </c>
      <c r="AC6465">
        <v>6.3268999999999904</v>
      </c>
      <c r="AD6465">
        <v>-1.104277479336</v>
      </c>
      <c r="AE6465">
        <v>0.33269999999998801</v>
      </c>
      <c r="AF6465">
        <v>3.7090259236030998</v>
      </c>
      <c r="AG6465">
        <v>-1.104277479336</v>
      </c>
      <c r="AH6465">
        <v>4.9042248063682097</v>
      </c>
      <c r="AI6465">
        <v>100.181275959042</v>
      </c>
      <c r="AJ6465">
        <v>52.900075557398402</v>
      </c>
      <c r="AK6465">
        <v>6.2472172208692998</v>
      </c>
      <c r="AL6465">
        <v>88.166595678709697</v>
      </c>
      <c r="AM6465">
        <v>76.436937228959906</v>
      </c>
      <c r="AN6465">
        <v>0.99999995577987899</v>
      </c>
    </row>
    <row r="6466" spans="1:40" x14ac:dyDescent="0.25">
      <c r="A6466" t="str">
        <f>"20190312154734212"</f>
        <v>20190312154734212</v>
      </c>
      <c r="B6466" t="str">
        <f>"1552376854204953"</f>
        <v>1552376854204953</v>
      </c>
      <c r="C6466" t="s">
        <v>40</v>
      </c>
      <c r="D6466">
        <v>4.8380199999999904</v>
      </c>
      <c r="E6466">
        <v>0.66362049999999995</v>
      </c>
      <c r="F6466" t="s">
        <v>52</v>
      </c>
      <c r="G6466">
        <v>-170.53799999999899</v>
      </c>
      <c r="H6466" s="1">
        <v>-2.402819E-6</v>
      </c>
      <c r="I6466">
        <v>136.16829999999999</v>
      </c>
      <c r="J6466">
        <v>-176.87799999999999</v>
      </c>
      <c r="K6466">
        <v>1.104304</v>
      </c>
      <c r="L6466">
        <v>135.9075</v>
      </c>
      <c r="M6466">
        <v>0.77211009999999902</v>
      </c>
      <c r="N6466">
        <v>0</v>
      </c>
      <c r="O6466">
        <v>0.63532040000000001</v>
      </c>
      <c r="P6466">
        <v>0.89930840000000001</v>
      </c>
      <c r="Q6466">
        <v>2.109397E-2</v>
      </c>
      <c r="R6466">
        <v>0.43680600000000003</v>
      </c>
      <c r="S6466">
        <v>3.2754970000000001</v>
      </c>
      <c r="T6466">
        <v>-0.55747400000000003</v>
      </c>
      <c r="U6466">
        <v>0.18562319999999999</v>
      </c>
      <c r="V6466">
        <v>0.2345824</v>
      </c>
      <c r="W6466">
        <v>3.2037320000000001E-2</v>
      </c>
      <c r="X6466">
        <v>0.97156819999999999</v>
      </c>
      <c r="Y6466">
        <v>0.57466450000000002</v>
      </c>
      <c r="Z6466">
        <v>-0.148395899999999</v>
      </c>
      <c r="AA6466">
        <v>0.80482259999999906</v>
      </c>
      <c r="AB6466">
        <v>18</v>
      </c>
      <c r="AC6466">
        <v>6.34</v>
      </c>
      <c r="AD6466">
        <v>-1.1043064028189999</v>
      </c>
      <c r="AE6466">
        <v>0.26079999999998899</v>
      </c>
      <c r="AF6466">
        <v>3.7144716670020101</v>
      </c>
      <c r="AG6466">
        <v>-1.1043064028189999</v>
      </c>
      <c r="AH6466">
        <v>4.91261917955371</v>
      </c>
      <c r="AI6466">
        <v>100.165382527369</v>
      </c>
      <c r="AJ6466">
        <v>52.906774696679598</v>
      </c>
      <c r="AK6466">
        <v>6.2570455967322696</v>
      </c>
      <c r="AL6466">
        <v>88.164082679192404</v>
      </c>
      <c r="AM6466">
        <v>76.425891236073895</v>
      </c>
      <c r="AN6466">
        <v>1.0000000297568901</v>
      </c>
    </row>
    <row r="6467" spans="1:40" x14ac:dyDescent="0.25">
      <c r="A6467" t="str">
        <f>"20190312154734235"</f>
        <v>20190312154734235</v>
      </c>
      <c r="B6467" t="str">
        <f>"1552376854224473"</f>
        <v>1552376854224473</v>
      </c>
      <c r="C6467" t="s">
        <v>40</v>
      </c>
      <c r="D6467">
        <v>4.8346429999999998</v>
      </c>
      <c r="E6467">
        <v>0.66289619999999905</v>
      </c>
      <c r="F6467" t="s">
        <v>52</v>
      </c>
      <c r="G6467">
        <v>-170.36</v>
      </c>
      <c r="H6467" s="1">
        <v>-2.3188869999999998E-6</v>
      </c>
      <c r="I6467">
        <v>136.2079</v>
      </c>
      <c r="J6467">
        <v>-176.7235</v>
      </c>
      <c r="K6467">
        <v>1.104325</v>
      </c>
      <c r="L6467">
        <v>136.01609999999999</v>
      </c>
      <c r="M6467">
        <v>0.77963419999999894</v>
      </c>
      <c r="N6467">
        <v>0</v>
      </c>
      <c r="O6467">
        <v>0.62606450000000002</v>
      </c>
      <c r="P6467">
        <v>0.90437029999999996</v>
      </c>
      <c r="Q6467">
        <v>2.1225669999999999E-2</v>
      </c>
      <c r="R6467">
        <v>0.42622060000000001</v>
      </c>
      <c r="S6467">
        <v>3.2755580000000002</v>
      </c>
      <c r="T6467">
        <v>-0.55495660000000002</v>
      </c>
      <c r="U6467">
        <v>0.151001</v>
      </c>
      <c r="V6467">
        <v>0.2343934</v>
      </c>
      <c r="W6467">
        <v>3.2179340000000001E-2</v>
      </c>
      <c r="X6467">
        <v>0.9716091</v>
      </c>
      <c r="Y6467">
        <v>0.57372690000000004</v>
      </c>
      <c r="Z6467">
        <v>-0.14658579999999999</v>
      </c>
      <c r="AA6467">
        <v>0.80582259999999895</v>
      </c>
      <c r="AB6467">
        <v>18</v>
      </c>
      <c r="AC6467">
        <v>6.3634999999999797</v>
      </c>
      <c r="AD6467">
        <v>-1.104327318887</v>
      </c>
      <c r="AE6467">
        <v>0.1918</v>
      </c>
      <c r="AF6467">
        <v>3.7228211556105899</v>
      </c>
      <c r="AG6467">
        <v>-1.104327318887</v>
      </c>
      <c r="AH6467">
        <v>4.9333835051200001</v>
      </c>
      <c r="AI6467">
        <v>100.13077845994</v>
      </c>
      <c r="AJ6467">
        <v>52.961129957803699</v>
      </c>
      <c r="AK6467">
        <v>6.27831259117385</v>
      </c>
      <c r="AL6467">
        <v>88.155941297815403</v>
      </c>
      <c r="AM6467">
        <v>76.436973397785707</v>
      </c>
      <c r="AN6467">
        <v>1.0000000095446</v>
      </c>
    </row>
    <row r="6468" spans="1:40" x14ac:dyDescent="0.25">
      <c r="A6468" t="str">
        <f>"20190312154734257"</f>
        <v>20190312154734257</v>
      </c>
      <c r="B6468" t="str">
        <f>"1552376854254729"</f>
        <v>1552376854254729</v>
      </c>
      <c r="C6468" t="s">
        <v>40</v>
      </c>
      <c r="D6468">
        <v>4.8294459999999999</v>
      </c>
      <c r="E6468">
        <v>0.66174149999999998</v>
      </c>
      <c r="F6468" t="s">
        <v>52</v>
      </c>
      <c r="G6468">
        <v>-170.2055</v>
      </c>
      <c r="H6468" s="1">
        <v>-2.2492710000000001E-6</v>
      </c>
      <c r="I6468">
        <v>136.24959999999999</v>
      </c>
      <c r="J6468">
        <v>-176.57390000000001</v>
      </c>
      <c r="K6468">
        <v>1.104355</v>
      </c>
      <c r="L6468">
        <v>136.11859999999999</v>
      </c>
      <c r="M6468">
        <v>0.78675879999999998</v>
      </c>
      <c r="N6468">
        <v>0</v>
      </c>
      <c r="O6468">
        <v>0.61708750000000001</v>
      </c>
      <c r="P6468">
        <v>0.9089218</v>
      </c>
      <c r="Q6468">
        <v>2.1134770000000001E-2</v>
      </c>
      <c r="R6468">
        <v>0.416431</v>
      </c>
      <c r="S6468">
        <v>3.2749480000000002</v>
      </c>
      <c r="T6468">
        <v>-0.55486440000000004</v>
      </c>
      <c r="U6468">
        <v>0.1173401</v>
      </c>
      <c r="V6468">
        <v>0.23374590000000001</v>
      </c>
      <c r="W6468">
        <v>3.2105960000000003E-2</v>
      </c>
      <c r="X6468">
        <v>0.97176750000000001</v>
      </c>
      <c r="Y6468">
        <v>0.572793</v>
      </c>
      <c r="Z6468">
        <v>-0.1454473</v>
      </c>
      <c r="AA6468">
        <v>0.80669279999999999</v>
      </c>
      <c r="AB6468">
        <v>18</v>
      </c>
      <c r="AC6468">
        <v>6.3684000000000003</v>
      </c>
      <c r="AD6468">
        <v>-1.1043572492710001</v>
      </c>
      <c r="AE6468">
        <v>0.13100000000000001</v>
      </c>
      <c r="AF6468">
        <v>3.71551857756348</v>
      </c>
      <c r="AG6468">
        <v>-1.1043572492710001</v>
      </c>
      <c r="AH6468">
        <v>4.9431896330573597</v>
      </c>
      <c r="AI6468">
        <v>100.125528391204</v>
      </c>
      <c r="AJ6468">
        <v>53.069867441950599</v>
      </c>
      <c r="AK6468">
        <v>6.2817041463764101</v>
      </c>
      <c r="AL6468">
        <v>88.160147829558198</v>
      </c>
      <c r="AM6468">
        <v>76.475185894855997</v>
      </c>
      <c r="AN6468">
        <v>1.0000000062452901</v>
      </c>
    </row>
    <row r="6469" spans="1:40" x14ac:dyDescent="0.25">
      <c r="A6469" t="str">
        <f>"20190312154734280"</f>
        <v>20190312154734280</v>
      </c>
      <c r="B6469" t="str">
        <f>"1552376854274252"</f>
        <v>1552376854274252</v>
      </c>
      <c r="C6469" t="s">
        <v>40</v>
      </c>
      <c r="D6469">
        <v>4.8447610000000001</v>
      </c>
      <c r="E6469">
        <v>0.66137170000000001</v>
      </c>
      <c r="F6469" t="s">
        <v>52</v>
      </c>
      <c r="G6469">
        <v>-170.0849</v>
      </c>
      <c r="H6469" s="1">
        <v>-2.2020490000000001E-6</v>
      </c>
      <c r="I6469">
        <v>136.29820000000001</v>
      </c>
      <c r="J6469">
        <v>-176.4194</v>
      </c>
      <c r="K6469">
        <v>1.1043810000000001</v>
      </c>
      <c r="L6469">
        <v>136.22200000000001</v>
      </c>
      <c r="M6469">
        <v>0.7939562</v>
      </c>
      <c r="N6469">
        <v>0</v>
      </c>
      <c r="O6469">
        <v>0.60779949999999905</v>
      </c>
      <c r="P6469">
        <v>0.91344349999999996</v>
      </c>
      <c r="Q6469">
        <v>2.194312E-2</v>
      </c>
      <c r="R6469">
        <v>0.4063736</v>
      </c>
      <c r="S6469">
        <v>3.2720790000000002</v>
      </c>
      <c r="T6469">
        <v>-0.55686950000000002</v>
      </c>
      <c r="U6469">
        <v>9.0560909999999994E-2</v>
      </c>
      <c r="V6469">
        <v>0.2330498</v>
      </c>
      <c r="W6469">
        <v>3.2931389999999998E-2</v>
      </c>
      <c r="X6469">
        <v>0.97190710000000002</v>
      </c>
      <c r="Y6469">
        <v>0.56982169999999999</v>
      </c>
      <c r="Z6469">
        <v>-0.14468510000000001</v>
      </c>
      <c r="AA6469">
        <v>0.80893110000000001</v>
      </c>
      <c r="AB6469">
        <v>18</v>
      </c>
      <c r="AC6469">
        <v>6.3344999999999896</v>
      </c>
      <c r="AD6469">
        <v>-1.1043832020489901</v>
      </c>
      <c r="AE6469">
        <v>7.6200000000000004E-2</v>
      </c>
      <c r="AF6469">
        <v>3.6782240085958899</v>
      </c>
      <c r="AG6469">
        <v>-1.1043832020489901</v>
      </c>
      <c r="AH6469">
        <v>4.9264491697988397</v>
      </c>
      <c r="AI6469">
        <v>100.183425111736</v>
      </c>
      <c r="AJ6469">
        <v>53.253958082143598</v>
      </c>
      <c r="AK6469">
        <v>6.2465106689247696</v>
      </c>
      <c r="AL6469">
        <v>88.112829227239899</v>
      </c>
      <c r="AM6469">
        <v>76.515856103318598</v>
      </c>
      <c r="AN6469">
        <v>1.00000004837889</v>
      </c>
    </row>
    <row r="6470" spans="1:40" x14ac:dyDescent="0.25">
      <c r="A6470" t="str">
        <f>"20190312154734302"</f>
        <v>20190312154734302</v>
      </c>
      <c r="B6470" t="str">
        <f>"1552376854294747"</f>
        <v>1552376854294747</v>
      </c>
      <c r="C6470" t="s">
        <v>40</v>
      </c>
      <c r="D6470">
        <v>4.8949150000000001</v>
      </c>
      <c r="E6470">
        <v>0.63821559999999999</v>
      </c>
      <c r="F6470" t="s">
        <v>42</v>
      </c>
      <c r="G6470">
        <v>-169.90960000000001</v>
      </c>
      <c r="H6470" s="1">
        <v>-8.9146739999999997E-7</v>
      </c>
      <c r="I6470">
        <v>136.33699999999999</v>
      </c>
      <c r="J6470">
        <v>-176.2647</v>
      </c>
      <c r="K6470">
        <v>1.1043989999999999</v>
      </c>
      <c r="L6470">
        <v>136.3229</v>
      </c>
      <c r="M6470">
        <v>0.80100539999999998</v>
      </c>
      <c r="N6470">
        <v>0</v>
      </c>
      <c r="O6470">
        <v>0.59847899999999998</v>
      </c>
      <c r="P6470">
        <v>0.91778669999999996</v>
      </c>
      <c r="Q6470">
        <v>2.2252500000000001E-2</v>
      </c>
      <c r="R6470">
        <v>0.39645000000000002</v>
      </c>
      <c r="S6470">
        <v>3.271881</v>
      </c>
      <c r="T6470">
        <v>-0.55506659999999997</v>
      </c>
      <c r="U6470">
        <v>5.7830810000000003E-2</v>
      </c>
      <c r="V6470">
        <v>0.23222219999999999</v>
      </c>
      <c r="W6470">
        <v>3.3260709999999999E-2</v>
      </c>
      <c r="X6470">
        <v>0.97209389999999996</v>
      </c>
      <c r="Y6470">
        <v>0.56861459999999997</v>
      </c>
      <c r="Z6470">
        <v>-0.1429676</v>
      </c>
      <c r="AA6470">
        <v>0.81008500000000006</v>
      </c>
      <c r="AB6470">
        <v>18</v>
      </c>
      <c r="AC6470">
        <v>6.3550999999999904</v>
      </c>
      <c r="AD6470">
        <v>-1.10439989146739</v>
      </c>
      <c r="AE6470">
        <v>1.41000000000133E-2</v>
      </c>
      <c r="AF6470">
        <v>3.6813282671420402</v>
      </c>
      <c r="AG6470">
        <v>-1.10439989146739</v>
      </c>
      <c r="AH6470">
        <v>4.9499631995057198</v>
      </c>
      <c r="AI6470">
        <v>100.150099817216</v>
      </c>
      <c r="AJ6470">
        <v>53.361515535384797</v>
      </c>
      <c r="AK6470">
        <v>6.2668981647377304</v>
      </c>
      <c r="AL6470">
        <v>88.093950123909494</v>
      </c>
      <c r="AM6470">
        <v>76.564489555080598</v>
      </c>
      <c r="AN6470">
        <v>0.99999998770987597</v>
      </c>
    </row>
    <row r="6471" spans="1:40" x14ac:dyDescent="0.25">
      <c r="A6471" t="str">
        <f>"20190312154734325"</f>
        <v>20190312154734325</v>
      </c>
      <c r="B6471" t="str">
        <f>"1552376854314265"</f>
        <v>1552376854314265</v>
      </c>
      <c r="C6471" t="s">
        <v>40</v>
      </c>
      <c r="D6471">
        <v>4.911022</v>
      </c>
      <c r="E6471">
        <v>0.63702369999999997</v>
      </c>
      <c r="F6471" t="s">
        <v>42</v>
      </c>
      <c r="G6471">
        <v>-169.8014</v>
      </c>
      <c r="H6471" s="1">
        <v>-8.3395410000000002E-7</v>
      </c>
      <c r="I6471">
        <v>136.70939999999999</v>
      </c>
      <c r="J6471">
        <v>-176.10310000000001</v>
      </c>
      <c r="K6471">
        <v>1.1044210000000001</v>
      </c>
      <c r="L6471">
        <v>136.4255</v>
      </c>
      <c r="M6471">
        <v>0.80819490000000005</v>
      </c>
      <c r="N6471">
        <v>0</v>
      </c>
      <c r="O6471">
        <v>0.58873409999999904</v>
      </c>
      <c r="P6471">
        <v>0.92242210000000002</v>
      </c>
      <c r="Q6471">
        <v>2.1762920000000002E-2</v>
      </c>
      <c r="R6471">
        <v>0.38556950000000001</v>
      </c>
      <c r="S6471">
        <v>3.1993559999999999</v>
      </c>
      <c r="T6471">
        <v>-0.54668159999999999</v>
      </c>
      <c r="U6471">
        <v>0.19128419999999999</v>
      </c>
      <c r="V6471">
        <v>0.2319427</v>
      </c>
      <c r="W6471">
        <v>3.2780799999999999E-2</v>
      </c>
      <c r="X6471">
        <v>0.97217699999999996</v>
      </c>
      <c r="Y6471">
        <v>0.52447460000000001</v>
      </c>
      <c r="Z6471">
        <v>-0.13849600000000001</v>
      </c>
      <c r="AA6471">
        <v>0.84008640000000001</v>
      </c>
      <c r="AB6471">
        <v>18</v>
      </c>
      <c r="AC6471">
        <v>6.3017000000000101</v>
      </c>
      <c r="AD6471">
        <v>-1.1044218339541001</v>
      </c>
      <c r="AE6471">
        <v>0.283899999999988</v>
      </c>
      <c r="AF6471">
        <v>3.3774218273987202</v>
      </c>
      <c r="AG6471">
        <v>-1.1044218339541001</v>
      </c>
      <c r="AH6471">
        <v>5.1042434122346201</v>
      </c>
      <c r="AI6471">
        <v>100.22877494709699</v>
      </c>
      <c r="AJ6471">
        <v>56.507831159021897</v>
      </c>
      <c r="AK6471">
        <v>6.2193268605890397</v>
      </c>
      <c r="AL6471">
        <v>88.121462077520803</v>
      </c>
      <c r="AM6471">
        <v>76.581180707132901</v>
      </c>
      <c r="AN6471">
        <v>1.00000005813046</v>
      </c>
    </row>
    <row r="6472" spans="1:40" x14ac:dyDescent="0.25">
      <c r="A6472" t="str">
        <f>"20190312154734346"</f>
        <v>20190312154734346</v>
      </c>
      <c r="B6472" t="str">
        <f>"1552376854334761"</f>
        <v>1552376854334761</v>
      </c>
      <c r="C6472" t="s">
        <v>40</v>
      </c>
      <c r="D6472">
        <v>4.9268710000000002</v>
      </c>
      <c r="E6472">
        <v>0.63559030000000005</v>
      </c>
      <c r="F6472" t="s">
        <v>42</v>
      </c>
      <c r="G6472">
        <v>-169.67859999999999</v>
      </c>
      <c r="H6472" s="1">
        <v>-8.7030509999999897E-7</v>
      </c>
      <c r="I6472">
        <v>136.7499</v>
      </c>
      <c r="J6472">
        <v>-175.95679999999999</v>
      </c>
      <c r="K6472">
        <v>1.1044400000000001</v>
      </c>
      <c r="L6472">
        <v>136.51589999999999</v>
      </c>
      <c r="M6472">
        <v>0.8145559</v>
      </c>
      <c r="N6472">
        <v>0</v>
      </c>
      <c r="O6472">
        <v>0.57990149999999996</v>
      </c>
      <c r="P6472">
        <v>0.92654409999999998</v>
      </c>
      <c r="Q6472">
        <v>2.1643820000000001E-2</v>
      </c>
      <c r="R6472">
        <v>0.37556309999999998</v>
      </c>
      <c r="S6472">
        <v>3.1978</v>
      </c>
      <c r="T6472">
        <v>-0.54973149999999904</v>
      </c>
      <c r="U6472">
        <v>0.16146849999999999</v>
      </c>
      <c r="V6472">
        <v>0.2318808</v>
      </c>
      <c r="W6472">
        <v>3.2666899999999999E-2</v>
      </c>
      <c r="X6472">
        <v>0.97219560000000005</v>
      </c>
      <c r="Y6472">
        <v>0.52299329999999999</v>
      </c>
      <c r="Z6472">
        <v>-0.13807549999999999</v>
      </c>
      <c r="AA6472">
        <v>0.84107860000000001</v>
      </c>
      <c r="AB6472">
        <v>18</v>
      </c>
      <c r="AC6472">
        <v>6.2781999999999902</v>
      </c>
      <c r="AD6472">
        <v>-1.1044408703051001</v>
      </c>
      <c r="AE6472">
        <v>0.23400000000000801</v>
      </c>
      <c r="AF6472">
        <v>3.3470620020841002</v>
      </c>
      <c r="AG6472">
        <v>-1.1044408703051001</v>
      </c>
      <c r="AH6472">
        <v>5.0928135684823701</v>
      </c>
      <c r="AI6472">
        <v>100.27208041434901</v>
      </c>
      <c r="AJ6472">
        <v>56.686572528580498</v>
      </c>
      <c r="AK6472">
        <v>6.1934936606985902</v>
      </c>
      <c r="AL6472">
        <v>88.127991563571101</v>
      </c>
      <c r="AM6472">
        <v>76.584879781011395</v>
      </c>
      <c r="AN6472">
        <v>1.0000000582118</v>
      </c>
    </row>
    <row r="6473" spans="1:40" x14ac:dyDescent="0.25">
      <c r="A6473" t="str">
        <f>"20190312154734369"</f>
        <v>20190312154734369</v>
      </c>
      <c r="B6473" t="str">
        <f>"1552376854365018"</f>
        <v>1552376854365018</v>
      </c>
      <c r="C6473" t="s">
        <v>40</v>
      </c>
      <c r="D6473">
        <v>4.8831280000000001</v>
      </c>
      <c r="E6473">
        <v>0.63844419999999902</v>
      </c>
      <c r="F6473" t="s">
        <v>42</v>
      </c>
      <c r="G6473">
        <v>-169.5839</v>
      </c>
      <c r="H6473" s="1">
        <v>-8.959571E-7</v>
      </c>
      <c r="I6473">
        <v>136.7902</v>
      </c>
      <c r="J6473">
        <v>-175.79740000000001</v>
      </c>
      <c r="K6473">
        <v>1.1044579999999999</v>
      </c>
      <c r="L6473">
        <v>136.61199999999999</v>
      </c>
      <c r="M6473">
        <v>0.82133409999999996</v>
      </c>
      <c r="N6473">
        <v>0</v>
      </c>
      <c r="O6473">
        <v>0.57026080000000001</v>
      </c>
      <c r="P6473">
        <v>0.93080229999999997</v>
      </c>
      <c r="Q6473">
        <v>2.1845570000000002E-2</v>
      </c>
      <c r="R6473">
        <v>0.36486980000000002</v>
      </c>
      <c r="S6473">
        <v>3.1950229999999999</v>
      </c>
      <c r="T6473">
        <v>-0.55370330000000001</v>
      </c>
      <c r="U6473">
        <v>0.1375122</v>
      </c>
      <c r="V6473">
        <v>0.23161499999999999</v>
      </c>
      <c r="W6473">
        <v>3.2877070000000001E-2</v>
      </c>
      <c r="X6473">
        <v>0.9722518</v>
      </c>
      <c r="Y6473">
        <v>0.51919819999999905</v>
      </c>
      <c r="Z6473">
        <v>-0.13756599999999999</v>
      </c>
      <c r="AA6473">
        <v>0.84350990000000003</v>
      </c>
      <c r="AB6473">
        <v>18</v>
      </c>
      <c r="AC6473">
        <v>6.2135000000000096</v>
      </c>
      <c r="AD6473">
        <v>-1.1044588959571</v>
      </c>
      <c r="AE6473">
        <v>0.17820000000000299</v>
      </c>
      <c r="AF6473">
        <v>3.2933457401529602</v>
      </c>
      <c r="AG6473">
        <v>-1.1044588959571</v>
      </c>
      <c r="AH6473">
        <v>5.0462266160633398</v>
      </c>
      <c r="AI6473">
        <v>100.38632697342</v>
      </c>
      <c r="AJ6473">
        <v>56.870114069497703</v>
      </c>
      <c r="AK6473">
        <v>6.1262026311336202</v>
      </c>
      <c r="AL6473">
        <v>88.115943102991096</v>
      </c>
      <c r="AM6473">
        <v>76.600448942393498</v>
      </c>
      <c r="AN6473">
        <v>0.99999998628001197</v>
      </c>
    </row>
    <row r="6474" spans="1:40" x14ac:dyDescent="0.25">
      <c r="A6474" t="str">
        <f>"20190312154734391"</f>
        <v>20190312154734391</v>
      </c>
      <c r="B6474" t="str">
        <f>"1552376854384540"</f>
        <v>1552376854384540</v>
      </c>
      <c r="C6474" t="s">
        <v>40</v>
      </c>
      <c r="D6474">
        <v>4.9323069999999998</v>
      </c>
      <c r="E6474">
        <v>0.64060309999999998</v>
      </c>
      <c r="F6474" t="s">
        <v>42</v>
      </c>
      <c r="G6474">
        <v>-169.34819999999999</v>
      </c>
      <c r="H6474" s="1">
        <v>-9.9117309999999997E-7</v>
      </c>
      <c r="I6474">
        <v>136.77260000000001</v>
      </c>
      <c r="J6474">
        <v>-175.63829999999999</v>
      </c>
      <c r="K6474">
        <v>1.1044750000000001</v>
      </c>
      <c r="L6474">
        <v>136.7055</v>
      </c>
      <c r="M6474">
        <v>0.8279415</v>
      </c>
      <c r="N6474">
        <v>0</v>
      </c>
      <c r="O6474">
        <v>0.56062469999999998</v>
      </c>
      <c r="P6474">
        <v>0.93470560000000003</v>
      </c>
      <c r="Q6474">
        <v>2.160128E-2</v>
      </c>
      <c r="R6474">
        <v>0.35476600000000003</v>
      </c>
      <c r="S6474">
        <v>3.2046510000000001</v>
      </c>
      <c r="T6474">
        <v>-0.54881059999999904</v>
      </c>
      <c r="U6474">
        <v>7.9772949999999995E-2</v>
      </c>
      <c r="V6474">
        <v>0.23078360000000001</v>
      </c>
      <c r="W6474">
        <v>3.265212E-2</v>
      </c>
      <c r="X6474">
        <v>0.97245709999999996</v>
      </c>
      <c r="Y6474">
        <v>0.52493719999999999</v>
      </c>
      <c r="Z6474">
        <v>-0.1352535</v>
      </c>
      <c r="AA6474">
        <v>0.84032580000000001</v>
      </c>
      <c r="AB6474">
        <v>18</v>
      </c>
      <c r="AC6474">
        <v>6.29009999999999</v>
      </c>
      <c r="AD6474">
        <v>-1.1044759911730999</v>
      </c>
      <c r="AE6474">
        <v>6.7100000000010596E-2</v>
      </c>
      <c r="AF6474">
        <v>3.36738941391584</v>
      </c>
      <c r="AG6474">
        <v>-1.1044759911730999</v>
      </c>
      <c r="AH6474">
        <v>5.0891225576120904</v>
      </c>
      <c r="AI6474">
        <v>100.259039327316</v>
      </c>
      <c r="AJ6474">
        <v>56.508043435492901</v>
      </c>
      <c r="AK6474">
        <v>6.2014794272356104</v>
      </c>
      <c r="AL6474">
        <v>88.128838777774206</v>
      </c>
      <c r="AM6474">
        <v>76.649540001041203</v>
      </c>
      <c r="AN6474">
        <v>1.00000002115493</v>
      </c>
    </row>
    <row r="6475" spans="1:40" x14ac:dyDescent="0.25">
      <c r="A6475" t="str">
        <f>"20190312154734414"</f>
        <v>20190312154734414</v>
      </c>
      <c r="B6475" t="str">
        <f>"1552376854405034"</f>
        <v>1552376854405034</v>
      </c>
      <c r="C6475" t="s">
        <v>40</v>
      </c>
      <c r="D6475">
        <v>4.9298650000000004</v>
      </c>
      <c r="E6475">
        <v>0.64114649999999995</v>
      </c>
      <c r="F6475" t="s">
        <v>42</v>
      </c>
      <c r="G6475">
        <v>-169.1481</v>
      </c>
      <c r="H6475" s="1">
        <v>-1.0706129999999999E-6</v>
      </c>
      <c r="I6475">
        <v>136.7628</v>
      </c>
      <c r="J6475">
        <v>-175.476</v>
      </c>
      <c r="K6475">
        <v>1.1044989999999999</v>
      </c>
      <c r="L6475">
        <v>136.79820000000001</v>
      </c>
      <c r="M6475">
        <v>0.83451909999999896</v>
      </c>
      <c r="N6475">
        <v>0</v>
      </c>
      <c r="O6475">
        <v>0.550786199999999</v>
      </c>
      <c r="P6475">
        <v>0.93846890000000005</v>
      </c>
      <c r="Q6475">
        <v>2.1510890000000001E-2</v>
      </c>
      <c r="R6475">
        <v>0.34469379999999999</v>
      </c>
      <c r="S6475">
        <v>3.211411</v>
      </c>
      <c r="T6475">
        <v>-0.54650549999999998</v>
      </c>
      <c r="U6475">
        <v>2.836609E-2</v>
      </c>
      <c r="V6475">
        <v>0.2297293</v>
      </c>
      <c r="W6475">
        <v>3.2583969999999997E-2</v>
      </c>
      <c r="X6475">
        <v>0.97270889999999999</v>
      </c>
      <c r="Y6475">
        <v>0.52867039999999998</v>
      </c>
      <c r="Z6475">
        <v>-0.1334535</v>
      </c>
      <c r="AA6475">
        <v>0.83827070000000004</v>
      </c>
      <c r="AB6475">
        <v>18</v>
      </c>
      <c r="AC6475">
        <v>6.3278999999999996</v>
      </c>
      <c r="AD6475">
        <v>-1.1045000706129999</v>
      </c>
      <c r="AE6475">
        <v>-3.5400000000009799E-2</v>
      </c>
      <c r="AF6475">
        <v>3.41131039340334</v>
      </c>
      <c r="AG6475">
        <v>-1.1045000706129999</v>
      </c>
      <c r="AH6475">
        <v>5.1062533876675102</v>
      </c>
      <c r="AI6475">
        <v>100.19615622530399</v>
      </c>
      <c r="AJ6475">
        <v>56.254492047897003</v>
      </c>
      <c r="AK6475">
        <v>6.2394537152856397</v>
      </c>
      <c r="AL6475">
        <v>88.132745403460305</v>
      </c>
      <c r="AM6475">
        <v>76.711678818624605</v>
      </c>
      <c r="AN6475">
        <v>0.99999993525932795</v>
      </c>
    </row>
    <row r="6476" spans="1:40" x14ac:dyDescent="0.25">
      <c r="A6476" t="str">
        <f>"20190312154734436"</f>
        <v>20190312154734436</v>
      </c>
      <c r="B6476" t="str">
        <f>"1552376854424554"</f>
        <v>1552376854424554</v>
      </c>
      <c r="C6476" t="s">
        <v>40</v>
      </c>
      <c r="D6476">
        <v>4.9372109999999996</v>
      </c>
      <c r="E6476">
        <v>0.64105519999999905</v>
      </c>
      <c r="F6476" t="s">
        <v>42</v>
      </c>
      <c r="G6476">
        <v>-168.91820000000001</v>
      </c>
      <c r="H6476" s="1">
        <v>-1.1552899999999999E-6</v>
      </c>
      <c r="I6476">
        <v>136.77629999999999</v>
      </c>
      <c r="J6476">
        <v>-175.32419999999999</v>
      </c>
      <c r="K6476">
        <v>1.1045160000000001</v>
      </c>
      <c r="L6476">
        <v>136.8826</v>
      </c>
      <c r="M6476">
        <v>0.84052719999999903</v>
      </c>
      <c r="N6476">
        <v>0</v>
      </c>
      <c r="O6476">
        <v>0.54157349999999904</v>
      </c>
      <c r="P6476">
        <v>0.94210959999999999</v>
      </c>
      <c r="Q6476">
        <v>2.1871310000000001E-2</v>
      </c>
      <c r="R6476">
        <v>0.33459119999999998</v>
      </c>
      <c r="S6476">
        <v>3.2130429999999999</v>
      </c>
      <c r="T6476">
        <v>-0.54115939999999996</v>
      </c>
      <c r="U6476">
        <v>-1.0726930000000001E-2</v>
      </c>
      <c r="V6476">
        <v>0.22947919999999999</v>
      </c>
      <c r="W6476">
        <v>3.2952849999999999E-2</v>
      </c>
      <c r="X6476">
        <v>0.97275560000000005</v>
      </c>
      <c r="Y6476">
        <v>0.52999929999999995</v>
      </c>
      <c r="Z6476">
        <v>-0.13098009999999999</v>
      </c>
      <c r="AA6476">
        <v>0.83782160000000006</v>
      </c>
      <c r="AB6476">
        <v>18</v>
      </c>
      <c r="AC6476">
        <v>6.4059999999999704</v>
      </c>
      <c r="AD6476">
        <v>-1.1045171552899999</v>
      </c>
      <c r="AE6476">
        <v>-0.106300000000004</v>
      </c>
      <c r="AF6476">
        <v>3.4563229110632601</v>
      </c>
      <c r="AG6476">
        <v>-1.1045171552899999</v>
      </c>
      <c r="AH6476">
        <v>5.1736513004786699</v>
      </c>
      <c r="AI6476">
        <v>100.06622766832901</v>
      </c>
      <c r="AJ6476">
        <v>56.254596836198999</v>
      </c>
      <c r="AK6476">
        <v>6.3192399852209604</v>
      </c>
      <c r="AL6476">
        <v>88.111598948847799</v>
      </c>
      <c r="AM6476">
        <v>76.726247755048405</v>
      </c>
      <c r="AN6476">
        <v>1.0000000254435599</v>
      </c>
    </row>
    <row r="6477" spans="1:40" x14ac:dyDescent="0.25">
      <c r="A6477" t="str">
        <f>"20190312154734458"</f>
        <v>20190312154734458</v>
      </c>
      <c r="B6477" t="str">
        <f>"1552376854454810"</f>
        <v>1552376854454810</v>
      </c>
      <c r="C6477" t="s">
        <v>40</v>
      </c>
      <c r="D6477">
        <v>4.9818850000000001</v>
      </c>
      <c r="E6477">
        <v>0.64042969999999999</v>
      </c>
      <c r="F6477" t="s">
        <v>42</v>
      </c>
      <c r="G6477">
        <v>-168.70820000000001</v>
      </c>
      <c r="H6477" s="1">
        <v>-1.2321240000000001E-6</v>
      </c>
      <c r="I6477">
        <v>136.79060000000001</v>
      </c>
      <c r="J6477">
        <v>-175.16470000000001</v>
      </c>
      <c r="K6477">
        <v>1.104544</v>
      </c>
      <c r="L6477">
        <v>136.9691</v>
      </c>
      <c r="M6477">
        <v>0.84669719999999904</v>
      </c>
      <c r="N6477">
        <v>0</v>
      </c>
      <c r="O6477">
        <v>0.531875599999999</v>
      </c>
      <c r="P6477">
        <v>0.94577540000000004</v>
      </c>
      <c r="Q6477">
        <v>2.204799E-2</v>
      </c>
      <c r="R6477">
        <v>0.32407219999999998</v>
      </c>
      <c r="S6477">
        <v>3.2126920000000001</v>
      </c>
      <c r="T6477">
        <v>-0.5363464</v>
      </c>
      <c r="U6477">
        <v>-4.4692990000000002E-2</v>
      </c>
      <c r="V6477">
        <v>0.22913529999999999</v>
      </c>
      <c r="W6477">
        <v>3.3140139999999998E-2</v>
      </c>
      <c r="X6477">
        <v>0.97283030000000004</v>
      </c>
      <c r="Y6477">
        <v>0.52955869999999905</v>
      </c>
      <c r="Z6477">
        <v>-0.12848679999999901</v>
      </c>
      <c r="AA6477">
        <v>0.83848599999999995</v>
      </c>
      <c r="AB6477">
        <v>18</v>
      </c>
      <c r="AC6477">
        <v>6.4565000000000001</v>
      </c>
      <c r="AD6477">
        <v>-1.1045452321239999</v>
      </c>
      <c r="AE6477">
        <v>-0.178499999999985</v>
      </c>
      <c r="AF6477">
        <v>3.4836926359039202</v>
      </c>
      <c r="AG6477">
        <v>-1.1045452321239999</v>
      </c>
      <c r="AH6477">
        <v>5.2196847998377898</v>
      </c>
      <c r="AI6477">
        <v>99.982420130234104</v>
      </c>
      <c r="AJ6477">
        <v>56.280284125204297</v>
      </c>
      <c r="AK6477">
        <v>6.3719105424446099</v>
      </c>
      <c r="AL6477">
        <v>88.100862154772798</v>
      </c>
      <c r="AM6477">
        <v>76.746419147419502</v>
      </c>
      <c r="AN6477">
        <v>1.0000000235916899</v>
      </c>
    </row>
    <row r="6478" spans="1:40" x14ac:dyDescent="0.25">
      <c r="A6478" t="str">
        <f>"20190312154734480"</f>
        <v>20190312154734480</v>
      </c>
      <c r="B6478" t="str">
        <f>"1552376854474961"</f>
        <v>1552376854474961</v>
      </c>
      <c r="C6478" t="s">
        <v>40</v>
      </c>
      <c r="D6478">
        <v>5.0178969999999996</v>
      </c>
      <c r="E6478">
        <v>0.63967540000000001</v>
      </c>
      <c r="F6478" t="s">
        <v>42</v>
      </c>
      <c r="G6478">
        <v>-168.5711</v>
      </c>
      <c r="H6478" s="1">
        <v>-1.27802E-6</v>
      </c>
      <c r="I6478">
        <v>136.816</v>
      </c>
      <c r="J6478">
        <v>-175.00380000000001</v>
      </c>
      <c r="K6478">
        <v>1.1045590000000001</v>
      </c>
      <c r="L6478">
        <v>137.054</v>
      </c>
      <c r="M6478">
        <v>0.85276810000000003</v>
      </c>
      <c r="N6478">
        <v>0</v>
      </c>
      <c r="O6478">
        <v>0.52208690000000002</v>
      </c>
      <c r="P6478">
        <v>0.94908389999999998</v>
      </c>
      <c r="Q6478">
        <v>2.2715280000000001E-2</v>
      </c>
      <c r="R6478">
        <v>0.31420399999999998</v>
      </c>
      <c r="S6478">
        <v>3.2100680000000001</v>
      </c>
      <c r="T6478">
        <v>-0.53774489999999997</v>
      </c>
      <c r="U6478">
        <v>-7.4523930000000002E-2</v>
      </c>
      <c r="V6478">
        <v>0.2280597</v>
      </c>
      <c r="W6478">
        <v>3.3830689999999997E-2</v>
      </c>
      <c r="X6478">
        <v>0.97305920000000001</v>
      </c>
      <c r="Y6478">
        <v>0.52771169999999901</v>
      </c>
      <c r="Z6478">
        <v>-0.12740029999999999</v>
      </c>
      <c r="AA6478">
        <v>0.83981519999999998</v>
      </c>
      <c r="AB6478">
        <v>18</v>
      </c>
      <c r="AC6478">
        <v>6.4327000000000103</v>
      </c>
      <c r="AD6478">
        <v>-1.1045602780199999</v>
      </c>
      <c r="AE6478">
        <v>-0.23799999999999899</v>
      </c>
      <c r="AF6478">
        <v>3.4598911352554702</v>
      </c>
      <c r="AG6478">
        <v>-1.1045602780199999</v>
      </c>
      <c r="AH6478">
        <v>5.2085515621056899</v>
      </c>
      <c r="AI6478">
        <v>100.01768190465</v>
      </c>
      <c r="AJ6478">
        <v>56.405054290867803</v>
      </c>
      <c r="AK6478">
        <v>6.3497960164648299</v>
      </c>
      <c r="AL6478">
        <v>88.061274258624593</v>
      </c>
      <c r="AM6478">
        <v>76.809447894653204</v>
      </c>
      <c r="AN6478">
        <v>0.99999997452730205</v>
      </c>
    </row>
    <row r="6479" spans="1:40" x14ac:dyDescent="0.25">
      <c r="A6479" t="str">
        <f>"20190312154734504"</f>
        <v>20190312154734504</v>
      </c>
      <c r="B6479" t="str">
        <f>"1552376854494482"</f>
        <v>1552376854494482</v>
      </c>
      <c r="C6479" t="s">
        <v>40</v>
      </c>
      <c r="D6479">
        <v>5.0426029999999997</v>
      </c>
      <c r="E6479">
        <v>0.63905440000000002</v>
      </c>
      <c r="F6479" t="s">
        <v>42</v>
      </c>
      <c r="G6479">
        <v>-168.37639999999999</v>
      </c>
      <c r="H6479" s="1">
        <v>-1.345359E-6</v>
      </c>
      <c r="I6479">
        <v>136.84389999999999</v>
      </c>
      <c r="J6479">
        <v>-174.83760000000001</v>
      </c>
      <c r="K6479">
        <v>1.1045879999999999</v>
      </c>
      <c r="L6479">
        <v>137.13910000000001</v>
      </c>
      <c r="M6479">
        <v>0.85887819999999904</v>
      </c>
      <c r="N6479">
        <v>0</v>
      </c>
      <c r="O6479">
        <v>0.51197309999999996</v>
      </c>
      <c r="P6479">
        <v>0.95243080000000002</v>
      </c>
      <c r="Q6479">
        <v>2.3376609999999999E-2</v>
      </c>
      <c r="R6479">
        <v>0.30385719999999999</v>
      </c>
      <c r="S6479">
        <v>3.2074129999999998</v>
      </c>
      <c r="T6479">
        <v>-0.53457080000000001</v>
      </c>
      <c r="U6479">
        <v>-0.1016541</v>
      </c>
      <c r="V6479">
        <v>0.22714819999999999</v>
      </c>
      <c r="W6479">
        <v>3.4513120000000001E-2</v>
      </c>
      <c r="X6479">
        <v>0.97324840000000001</v>
      </c>
      <c r="Y6479">
        <v>0.52516809999999903</v>
      </c>
      <c r="Z6479">
        <v>-0.12512219999999999</v>
      </c>
      <c r="AA6479">
        <v>0.84175</v>
      </c>
      <c r="AB6479">
        <v>18</v>
      </c>
      <c r="AC6479">
        <v>6.4612000000000096</v>
      </c>
      <c r="AD6479">
        <v>-1.1045893453590001</v>
      </c>
      <c r="AE6479">
        <v>-0.295200000000022</v>
      </c>
      <c r="AF6479">
        <v>3.46093855639934</v>
      </c>
      <c r="AG6479">
        <v>-1.1045893453590001</v>
      </c>
      <c r="AH6479">
        <v>5.2458239014337096</v>
      </c>
      <c r="AI6479">
        <v>99.968491983436707</v>
      </c>
      <c r="AJ6479">
        <v>56.585120169696303</v>
      </c>
      <c r="AK6479">
        <v>6.3809781160810601</v>
      </c>
      <c r="AL6479">
        <v>88.022151008618806</v>
      </c>
      <c r="AM6479">
        <v>76.862800579893104</v>
      </c>
      <c r="AN6479">
        <v>0.99999995415896603</v>
      </c>
    </row>
    <row r="6480" spans="1:40" x14ac:dyDescent="0.25">
      <c r="A6480" t="str">
        <f>"20190312154734526"</f>
        <v>20190312154734526</v>
      </c>
      <c r="B6480" t="str">
        <f>"1552376854514978"</f>
        <v>1552376854514978</v>
      </c>
      <c r="C6480" t="s">
        <v>40</v>
      </c>
      <c r="D6480">
        <v>5.0135690000000004</v>
      </c>
      <c r="E6480">
        <v>0.62471359999999998</v>
      </c>
      <c r="F6480" t="s">
        <v>42</v>
      </c>
      <c r="G6480">
        <v>-168.15010000000001</v>
      </c>
      <c r="H6480" s="1">
        <v>-1.4267550000000001E-6</v>
      </c>
      <c r="I6480">
        <v>136.8646</v>
      </c>
      <c r="J6480">
        <v>-174.67339999999999</v>
      </c>
      <c r="K6480">
        <v>1.1046279999999999</v>
      </c>
      <c r="L6480">
        <v>137.22069999999999</v>
      </c>
      <c r="M6480">
        <v>0.86475559999999996</v>
      </c>
      <c r="N6480">
        <v>0</v>
      </c>
      <c r="O6480">
        <v>0.50198229999999999</v>
      </c>
      <c r="P6480">
        <v>0.95551779999999997</v>
      </c>
      <c r="Q6480">
        <v>2.4228710000000001E-2</v>
      </c>
      <c r="R6480">
        <v>0.2939368</v>
      </c>
      <c r="S6480">
        <v>3.2048030000000001</v>
      </c>
      <c r="T6480">
        <v>-0.52934550000000002</v>
      </c>
      <c r="U6480">
        <v>-0.131546</v>
      </c>
      <c r="V6480">
        <v>0.22598409999999999</v>
      </c>
      <c r="W6480">
        <v>3.5391869999999999E-2</v>
      </c>
      <c r="X6480">
        <v>0.97348789999999996</v>
      </c>
      <c r="Y6480">
        <v>0.52363139999999997</v>
      </c>
      <c r="Z6480">
        <v>-0.1224749</v>
      </c>
      <c r="AA6480">
        <v>0.8430955</v>
      </c>
      <c r="AB6480">
        <v>18</v>
      </c>
      <c r="AC6480">
        <v>6.5232999999999697</v>
      </c>
      <c r="AD6480">
        <v>-1.1046294267550001</v>
      </c>
      <c r="AE6480">
        <v>-0.35609999999999697</v>
      </c>
      <c r="AF6480">
        <v>3.4833134381809101</v>
      </c>
      <c r="AG6480">
        <v>-1.1046294267550001</v>
      </c>
      <c r="AH6480">
        <v>5.3110421654540803</v>
      </c>
      <c r="AI6480">
        <v>99.866097657966293</v>
      </c>
      <c r="AJ6480">
        <v>56.740633174802099</v>
      </c>
      <c r="AK6480">
        <v>6.4467703202685902</v>
      </c>
      <c r="AL6480">
        <v>87.971771738996395</v>
      </c>
      <c r="AM6480">
        <v>76.930914565370102</v>
      </c>
      <c r="AN6480">
        <v>1.0000000446806501</v>
      </c>
    </row>
    <row r="6481" spans="1:40" x14ac:dyDescent="0.25">
      <c r="A6481" t="str">
        <f>"20190312154734548"</f>
        <v>20190312154734548</v>
      </c>
      <c r="B6481" t="str">
        <f>"1552376854545234"</f>
        <v>1552376854545234</v>
      </c>
      <c r="C6481" t="s">
        <v>40</v>
      </c>
      <c r="D6481">
        <v>5.0061299999999997</v>
      </c>
      <c r="E6481">
        <v>0.62309550000000002</v>
      </c>
      <c r="F6481" t="s">
        <v>42</v>
      </c>
      <c r="G6481">
        <v>-167.91909999999999</v>
      </c>
      <c r="H6481" s="1">
        <v>-1.4523639999999999E-6</v>
      </c>
      <c r="I6481">
        <v>137.1018</v>
      </c>
      <c r="J6481">
        <v>-174.51759999999999</v>
      </c>
      <c r="K6481">
        <v>1.104662</v>
      </c>
      <c r="L6481">
        <v>137.29599999999999</v>
      </c>
      <c r="M6481">
        <v>0.87019120000000005</v>
      </c>
      <c r="N6481">
        <v>0</v>
      </c>
      <c r="O6481">
        <v>0.49249959999999998</v>
      </c>
      <c r="P6481">
        <v>0.95826020000000001</v>
      </c>
      <c r="Q6481">
        <v>2.5186389999999999E-2</v>
      </c>
      <c r="R6481">
        <v>0.2847867</v>
      </c>
      <c r="S6481">
        <v>3.1699679999999999</v>
      </c>
      <c r="T6481">
        <v>-0.51843019999999995</v>
      </c>
      <c r="U6481">
        <v>-5.5801389999999999E-2</v>
      </c>
      <c r="V6481">
        <v>0.2246486</v>
      </c>
      <c r="W6481">
        <v>3.6378760000000003E-2</v>
      </c>
      <c r="X6481">
        <v>0.97376050000000003</v>
      </c>
      <c r="Y6481">
        <v>0.49510359999999998</v>
      </c>
      <c r="Z6481">
        <v>-0.1175258</v>
      </c>
      <c r="AA6481">
        <v>0.86084850000000002</v>
      </c>
      <c r="AB6481">
        <v>18</v>
      </c>
      <c r="AC6481">
        <v>6.5984999999999996</v>
      </c>
      <c r="AD6481">
        <v>-1.104663452364</v>
      </c>
      <c r="AE6481">
        <v>-0.19419999999999499</v>
      </c>
      <c r="AF6481">
        <v>3.32597624983365</v>
      </c>
      <c r="AG6481">
        <v>-1.104663452364</v>
      </c>
      <c r="AH6481">
        <v>5.4930910589261899</v>
      </c>
      <c r="AI6481">
        <v>99.760756454909</v>
      </c>
      <c r="AJ6481">
        <v>58.805784587338302</v>
      </c>
      <c r="AK6481">
        <v>6.5158613198180504</v>
      </c>
      <c r="AL6481">
        <v>87.915190486693604</v>
      </c>
      <c r="AM6481">
        <v>77.009034662079898</v>
      </c>
      <c r="AN6481">
        <v>0.999999959510673</v>
      </c>
    </row>
    <row r="6482" spans="1:40" x14ac:dyDescent="0.25">
      <c r="A6482" t="str">
        <f>"20190312154734571"</f>
        <v>20190312154734571</v>
      </c>
      <c r="B6482" t="str">
        <f>"1552376854564800"</f>
        <v>1552376854564800</v>
      </c>
      <c r="C6482" t="s">
        <v>40</v>
      </c>
      <c r="D6482">
        <v>5.040438</v>
      </c>
      <c r="E6482">
        <v>0.62221179999999998</v>
      </c>
      <c r="F6482" t="s">
        <v>42</v>
      </c>
      <c r="G6482">
        <v>-167.5975</v>
      </c>
      <c r="H6482" s="1">
        <v>-1.5673189999999999E-6</v>
      </c>
      <c r="I6482">
        <v>137.13390000000001</v>
      </c>
      <c r="J6482">
        <v>-174.34549999999999</v>
      </c>
      <c r="K6482">
        <v>1.1046990000000001</v>
      </c>
      <c r="L6482">
        <v>137.3767</v>
      </c>
      <c r="M6482">
        <v>0.87603120000000001</v>
      </c>
      <c r="N6482">
        <v>0</v>
      </c>
      <c r="O6482">
        <v>0.48203550000000001</v>
      </c>
      <c r="P6482">
        <v>0.9609529</v>
      </c>
      <c r="Q6482">
        <v>2.450569E-2</v>
      </c>
      <c r="R6482">
        <v>0.27562510000000001</v>
      </c>
      <c r="S6482">
        <v>3.1660159999999999</v>
      </c>
      <c r="T6482">
        <v>-0.50539520000000004</v>
      </c>
      <c r="U6482">
        <v>-7.4172970000000005E-2</v>
      </c>
      <c r="V6482">
        <v>0.2222701</v>
      </c>
      <c r="W6482">
        <v>3.5746890000000003E-2</v>
      </c>
      <c r="X6482">
        <v>0.97432960000000002</v>
      </c>
      <c r="Y6482">
        <v>0.4905368</v>
      </c>
      <c r="Z6482">
        <v>-0.1129305</v>
      </c>
      <c r="AA6482">
        <v>0.8640719</v>
      </c>
      <c r="AB6482">
        <v>18</v>
      </c>
      <c r="AC6482">
        <v>6.7479999999999896</v>
      </c>
      <c r="AD6482">
        <v>-1.10470056731899</v>
      </c>
      <c r="AE6482">
        <v>-0.242799999999988</v>
      </c>
      <c r="AF6482">
        <v>3.3754946246572102</v>
      </c>
      <c r="AG6482">
        <v>-1.10470056731899</v>
      </c>
      <c r="AH6482">
        <v>5.6439678231153803</v>
      </c>
      <c r="AI6482">
        <v>99.5355707612988</v>
      </c>
      <c r="AJ6482">
        <v>59.117571396370799</v>
      </c>
      <c r="AK6482">
        <v>6.6684855921630701</v>
      </c>
      <c r="AL6482">
        <v>87.951417627854596</v>
      </c>
      <c r="AM6482">
        <v>77.149244435608693</v>
      </c>
      <c r="AN6482">
        <v>1.0000000034674199</v>
      </c>
    </row>
    <row r="6483" spans="1:40" x14ac:dyDescent="0.25">
      <c r="A6483" t="str">
        <f>"20190312154734593"</f>
        <v>20190312154734593</v>
      </c>
      <c r="B6483" t="str">
        <f>"1552376854585297"</f>
        <v>1552376854585297</v>
      </c>
      <c r="C6483" t="s">
        <v>40</v>
      </c>
      <c r="D6483">
        <v>5.0486399999999998</v>
      </c>
      <c r="E6483">
        <v>0.62064859999999999</v>
      </c>
      <c r="F6483" t="s">
        <v>42</v>
      </c>
      <c r="G6483">
        <v>-167.4939</v>
      </c>
      <c r="H6483" s="1">
        <v>-1.6000360000000001E-6</v>
      </c>
      <c r="I6483">
        <v>137.1645</v>
      </c>
      <c r="J6483">
        <v>-174.18799999999999</v>
      </c>
      <c r="K6483">
        <v>1.1047400000000001</v>
      </c>
      <c r="L6483">
        <v>137.4485</v>
      </c>
      <c r="M6483">
        <v>0.881223599999999</v>
      </c>
      <c r="N6483">
        <v>0</v>
      </c>
      <c r="O6483">
        <v>0.47247670000000003</v>
      </c>
      <c r="P6483">
        <v>0.9631575</v>
      </c>
      <c r="Q6483">
        <v>2.3598939999999999E-2</v>
      </c>
      <c r="R6483">
        <v>0.267901</v>
      </c>
      <c r="S6483">
        <v>3.1630099999999999</v>
      </c>
      <c r="T6483">
        <v>-0.5099785</v>
      </c>
      <c r="U6483">
        <v>-9.799194E-2</v>
      </c>
      <c r="V6483">
        <v>0.21948619999999999</v>
      </c>
      <c r="W6483">
        <v>3.489722E-2</v>
      </c>
      <c r="X6483">
        <v>0.97499130000000001</v>
      </c>
      <c r="Y6483">
        <v>0.4875447</v>
      </c>
      <c r="Z6483">
        <v>-0.1124583</v>
      </c>
      <c r="AA6483">
        <v>0.86582519999999996</v>
      </c>
      <c r="AB6483">
        <v>18</v>
      </c>
      <c r="AC6483">
        <v>6.6940999999999899</v>
      </c>
      <c r="AD6483">
        <v>-1.104741600036</v>
      </c>
      <c r="AE6483">
        <v>-0.28399999999999098</v>
      </c>
      <c r="AF6483">
        <v>3.32308971614798</v>
      </c>
      <c r="AG6483">
        <v>-1.104741600036</v>
      </c>
      <c r="AH6483">
        <v>5.6128289040247097</v>
      </c>
      <c r="AI6483">
        <v>99.612761644281505</v>
      </c>
      <c r="AJ6483">
        <v>59.372237423669397</v>
      </c>
      <c r="AK6483">
        <v>6.6156804313897899</v>
      </c>
      <c r="AL6483">
        <v>88.000130567996095</v>
      </c>
      <c r="AM6483">
        <v>77.313287338935396</v>
      </c>
      <c r="AN6483">
        <v>1.0000000215149201</v>
      </c>
    </row>
    <row r="6484" spans="1:40" x14ac:dyDescent="0.25">
      <c r="A6484" t="str">
        <f>"20190312154734616"</f>
        <v>20190312154734616</v>
      </c>
      <c r="B6484" t="str">
        <f>"1552376854604817"</f>
        <v>1552376854604817</v>
      </c>
      <c r="C6484" t="s">
        <v>40</v>
      </c>
      <c r="D6484">
        <v>5.0301780000000003</v>
      </c>
      <c r="E6484">
        <v>0.61923980000000001</v>
      </c>
      <c r="F6484" t="s">
        <v>42</v>
      </c>
      <c r="G6484">
        <v>-167.38390000000001</v>
      </c>
      <c r="H6484" s="1">
        <v>-1.64446499999999E-6</v>
      </c>
      <c r="I6484">
        <v>137.2071</v>
      </c>
      <c r="J6484">
        <v>-174.0197</v>
      </c>
      <c r="K6484">
        <v>1.1047940000000001</v>
      </c>
      <c r="L6484">
        <v>137.5231</v>
      </c>
      <c r="M6484">
        <v>0.88660680000000003</v>
      </c>
      <c r="N6484">
        <v>0</v>
      </c>
      <c r="O6484">
        <v>0.4622964</v>
      </c>
      <c r="P6484">
        <v>0.96528429999999998</v>
      </c>
      <c r="Q6484">
        <v>2.4248479999999999E-2</v>
      </c>
      <c r="R6484">
        <v>0.2600731</v>
      </c>
      <c r="S6484">
        <v>3.1584780000000001</v>
      </c>
      <c r="T6484">
        <v>-0.51282229999999995</v>
      </c>
      <c r="U6484">
        <v>-0.11206049999999999</v>
      </c>
      <c r="V6484">
        <v>0.21616630000000001</v>
      </c>
      <c r="W6484">
        <v>3.5615840000000003E-2</v>
      </c>
      <c r="X6484">
        <v>0.97570679999999999</v>
      </c>
      <c r="Y6484">
        <v>0.48146420000000001</v>
      </c>
      <c r="Z6484">
        <v>-0.1112761</v>
      </c>
      <c r="AA6484">
        <v>0.86937330000000002</v>
      </c>
      <c r="AB6484">
        <v>18</v>
      </c>
      <c r="AC6484">
        <v>6.6357999999999802</v>
      </c>
      <c r="AD6484">
        <v>-1.104795644465</v>
      </c>
      <c r="AE6484">
        <v>-0.316000000000002</v>
      </c>
      <c r="AF6484">
        <v>3.25811906903717</v>
      </c>
      <c r="AG6484">
        <v>-1.104795644465</v>
      </c>
      <c r="AH6484">
        <v>5.5834461661517496</v>
      </c>
      <c r="AI6484">
        <v>99.698212802851003</v>
      </c>
      <c r="AJ6484">
        <v>59.735074095232903</v>
      </c>
      <c r="AK6484">
        <v>6.5582607735867899</v>
      </c>
      <c r="AL6484">
        <v>87.958931136390703</v>
      </c>
      <c r="AM6484">
        <v>77.507986801123806</v>
      </c>
      <c r="AN6484">
        <v>1.0000000584404101</v>
      </c>
    </row>
    <row r="6485" spans="1:40" x14ac:dyDescent="0.25">
      <c r="A6485" t="str">
        <f>"20190312154734638"</f>
        <v>20190312154734638</v>
      </c>
      <c r="B6485" t="str">
        <f>"1552376854625313"</f>
        <v>1552376854625313</v>
      </c>
      <c r="C6485" t="s">
        <v>40</v>
      </c>
      <c r="D6485">
        <v>5.0180689999999997</v>
      </c>
      <c r="E6485">
        <v>0.6187184</v>
      </c>
      <c r="F6485" t="s">
        <v>42</v>
      </c>
      <c r="G6485">
        <v>-167.2004</v>
      </c>
      <c r="H6485" s="1">
        <v>-1.7237859999999999E-6</v>
      </c>
      <c r="I6485">
        <v>137.24889999999999</v>
      </c>
      <c r="J6485">
        <v>-173.85769999999999</v>
      </c>
      <c r="K6485">
        <v>1.1048610000000001</v>
      </c>
      <c r="L6485">
        <v>137.59270000000001</v>
      </c>
      <c r="M6485">
        <v>0.89161630000000003</v>
      </c>
      <c r="N6485">
        <v>0</v>
      </c>
      <c r="O6485">
        <v>0.45255970000000001</v>
      </c>
      <c r="P6485">
        <v>0.96719029999999995</v>
      </c>
      <c r="Q6485">
        <v>2.5815520000000002E-2</v>
      </c>
      <c r="R6485">
        <v>0.25273790000000002</v>
      </c>
      <c r="S6485">
        <v>3.1549070000000001</v>
      </c>
      <c r="T6485">
        <v>-0.51113339999999996</v>
      </c>
      <c r="U6485">
        <v>-0.12686159999999999</v>
      </c>
      <c r="V6485">
        <v>0.2128816</v>
      </c>
      <c r="W6485">
        <v>3.7254589999999997E-2</v>
      </c>
      <c r="X6485">
        <v>0.97636750000000005</v>
      </c>
      <c r="Y6485">
        <v>0.47626089999999999</v>
      </c>
      <c r="Z6485">
        <v>-0.1092065</v>
      </c>
      <c r="AA6485">
        <v>0.872496099999999</v>
      </c>
      <c r="AB6485">
        <v>17</v>
      </c>
      <c r="AC6485">
        <v>6.6572999999999896</v>
      </c>
      <c r="AD6485">
        <v>-1.104862723786</v>
      </c>
      <c r="AE6485">
        <v>-0.34380000000001498</v>
      </c>
      <c r="AF6485">
        <v>3.2309567069242702</v>
      </c>
      <c r="AG6485">
        <v>-1.104862723786</v>
      </c>
      <c r="AH6485">
        <v>5.62622038439841</v>
      </c>
      <c r="AI6485">
        <v>99.664455208186098</v>
      </c>
      <c r="AJ6485">
        <v>60.132639950478698</v>
      </c>
      <c r="AK6485">
        <v>6.5813493065062998</v>
      </c>
      <c r="AL6485">
        <v>87.864975136202006</v>
      </c>
      <c r="AM6485">
        <v>77.700052778127798</v>
      </c>
      <c r="AN6485">
        <v>0.99999998757543895</v>
      </c>
    </row>
    <row r="6486" spans="1:40" x14ac:dyDescent="0.25">
      <c r="A6486" t="str">
        <f>"20190312154734660"</f>
        <v>20190312154734660</v>
      </c>
      <c r="B6486" t="str">
        <f>"1552376854654592"</f>
        <v>1552376854654592</v>
      </c>
      <c r="C6486" t="s">
        <v>40</v>
      </c>
      <c r="D6486">
        <v>5.0656939999999997</v>
      </c>
      <c r="E6486">
        <v>0.58805229999999997</v>
      </c>
      <c r="F6486" t="s">
        <v>42</v>
      </c>
      <c r="G6486">
        <v>-167.03739999999999</v>
      </c>
      <c r="H6486" s="1">
        <v>-1.7957039999999999E-6</v>
      </c>
      <c r="I6486">
        <v>137.27799999999999</v>
      </c>
      <c r="J6486">
        <v>-173.6925</v>
      </c>
      <c r="K6486">
        <v>1.1049580000000001</v>
      </c>
      <c r="L6486">
        <v>137.6617</v>
      </c>
      <c r="M6486">
        <v>0.89654639999999997</v>
      </c>
      <c r="N6486">
        <v>0</v>
      </c>
      <c r="O6486">
        <v>0.44271339999999998</v>
      </c>
      <c r="P6486">
        <v>0.968997</v>
      </c>
      <c r="Q6486">
        <v>2.7769269999999999E-2</v>
      </c>
      <c r="R6486">
        <v>0.2455069</v>
      </c>
      <c r="S6486">
        <v>3.1534420000000001</v>
      </c>
      <c r="T6486">
        <v>-0.51084419999999997</v>
      </c>
      <c r="U6486">
        <v>-0.1454926</v>
      </c>
      <c r="V6486">
        <v>0.2094116</v>
      </c>
      <c r="W6486">
        <v>3.928682E-2</v>
      </c>
      <c r="X6486">
        <v>0.97703799999999996</v>
      </c>
      <c r="Y6486">
        <v>0.47196890000000002</v>
      </c>
      <c r="Z6486">
        <v>-0.10741290000000001</v>
      </c>
      <c r="AA6486">
        <v>0.87504729999999997</v>
      </c>
      <c r="AB6486">
        <v>17</v>
      </c>
      <c r="AC6486">
        <v>6.6551</v>
      </c>
      <c r="AD6486">
        <v>-1.1049597957039901</v>
      </c>
      <c r="AE6486">
        <v>-0.38370000000000398</v>
      </c>
      <c r="AF6486">
        <v>3.2026573575865598</v>
      </c>
      <c r="AG6486">
        <v>-1.1049597957039901</v>
      </c>
      <c r="AH6486">
        <v>5.6423193725725804</v>
      </c>
      <c r="AI6486">
        <v>99.665362080939104</v>
      </c>
      <c r="AJ6486">
        <v>60.4201653800937</v>
      </c>
      <c r="AK6486">
        <v>6.5813158412534403</v>
      </c>
      <c r="AL6486">
        <v>87.748451492884996</v>
      </c>
      <c r="AM6486">
        <v>77.902646208864397</v>
      </c>
      <c r="AN6486">
        <v>0.999999962942135</v>
      </c>
    </row>
    <row r="6487" spans="1:40" x14ac:dyDescent="0.25">
      <c r="A6487" t="str">
        <f>"20190312154734683"</f>
        <v>20190312154734683</v>
      </c>
      <c r="B6487" t="str">
        <f>"1552376854674949"</f>
        <v>1552376854674949</v>
      </c>
      <c r="C6487" t="s">
        <v>40</v>
      </c>
      <c r="D6487">
        <v>5.0589399999999998</v>
      </c>
      <c r="E6487">
        <v>0.58235879999999995</v>
      </c>
      <c r="F6487" t="s">
        <v>42</v>
      </c>
      <c r="G6487">
        <v>-164.28630000000001</v>
      </c>
      <c r="H6487" s="1">
        <v>-2.9922139999999999E-6</v>
      </c>
      <c r="I6487">
        <v>137.86410000000001</v>
      </c>
      <c r="J6487">
        <v>-173.52809999999999</v>
      </c>
      <c r="K6487">
        <v>1.1050799999999901</v>
      </c>
      <c r="L6487">
        <v>137.7285</v>
      </c>
      <c r="M6487">
        <v>0.90126689999999998</v>
      </c>
      <c r="N6487">
        <v>0</v>
      </c>
      <c r="O6487">
        <v>0.4330234</v>
      </c>
      <c r="P6487">
        <v>0.97068730000000003</v>
      </c>
      <c r="Q6487">
        <v>3.0310900000000002E-2</v>
      </c>
      <c r="R6487">
        <v>0.23842720000000001</v>
      </c>
      <c r="S6487">
        <v>3.0895540000000001</v>
      </c>
      <c r="T6487">
        <v>-0.36293160000000002</v>
      </c>
      <c r="U6487">
        <v>6.6482540000000007E-2</v>
      </c>
      <c r="V6487">
        <v>0.20599629999999999</v>
      </c>
      <c r="W6487">
        <v>4.1910599999999999E-2</v>
      </c>
      <c r="X6487">
        <v>0.97765489999999999</v>
      </c>
      <c r="Y6487">
        <v>0.40796490000000002</v>
      </c>
      <c r="Z6487">
        <v>-7.3192099999999996E-2</v>
      </c>
      <c r="AA6487">
        <v>0.91005910000000001</v>
      </c>
      <c r="AB6487">
        <v>17</v>
      </c>
      <c r="AC6487">
        <v>9.24179999999998</v>
      </c>
      <c r="AD6487">
        <v>-1.10508299221399</v>
      </c>
      <c r="AE6487">
        <v>0.13560000000000999</v>
      </c>
      <c r="AF6487">
        <v>3.8254244777396802</v>
      </c>
      <c r="AG6487">
        <v>-1.10508299221399</v>
      </c>
      <c r="AH6487">
        <v>8.2706925990920208</v>
      </c>
      <c r="AI6487">
        <v>96.914534385184993</v>
      </c>
      <c r="AJ6487">
        <v>65.178150952439594</v>
      </c>
      <c r="AK6487">
        <v>9.1792939229140096</v>
      </c>
      <c r="AL6487">
        <v>87.597996059959996</v>
      </c>
      <c r="AM6487">
        <v>78.101565653823499</v>
      </c>
      <c r="AN6487">
        <v>1.0000000387500201</v>
      </c>
    </row>
    <row r="6488" spans="1:40" x14ac:dyDescent="0.25">
      <c r="A6488" t="str">
        <f>"20190312154734705"</f>
        <v>20190312154734705</v>
      </c>
      <c r="B6488" t="str">
        <f>"1552376854694469"</f>
        <v>1552376854694469</v>
      </c>
      <c r="C6488" t="s">
        <v>40</v>
      </c>
      <c r="D6488">
        <v>5.0660489999999996</v>
      </c>
      <c r="E6488">
        <v>0.57914480000000002</v>
      </c>
      <c r="F6488" t="s">
        <v>42</v>
      </c>
      <c r="G6488">
        <v>-163.10290000000001</v>
      </c>
      <c r="H6488" s="1">
        <v>-3.522432E-6</v>
      </c>
      <c r="I6488">
        <v>138.02850000000001</v>
      </c>
      <c r="J6488">
        <v>-173.3596</v>
      </c>
      <c r="K6488">
        <v>1.105226</v>
      </c>
      <c r="L6488">
        <v>137.79480000000001</v>
      </c>
      <c r="M6488">
        <v>0.90589310000000001</v>
      </c>
      <c r="N6488">
        <v>0</v>
      </c>
      <c r="O6488">
        <v>0.4232609</v>
      </c>
      <c r="P6488">
        <v>0.97233020000000003</v>
      </c>
      <c r="Q6488">
        <v>3.241956E-2</v>
      </c>
      <c r="R6488">
        <v>0.23135059999999999</v>
      </c>
      <c r="S6488">
        <v>3.0790099999999998</v>
      </c>
      <c r="T6488">
        <v>-0.32637860000000002</v>
      </c>
      <c r="U6488">
        <v>8.8623049999999995E-2</v>
      </c>
      <c r="V6488">
        <v>0.20253360000000001</v>
      </c>
      <c r="W6488">
        <v>4.4107729999999998E-2</v>
      </c>
      <c r="X6488">
        <v>0.97828150000000003</v>
      </c>
      <c r="Y6488">
        <v>0.39262710000000001</v>
      </c>
      <c r="Z6488">
        <v>-6.4309599999999995E-2</v>
      </c>
      <c r="AA6488">
        <v>0.9174466</v>
      </c>
      <c r="AB6488">
        <v>17</v>
      </c>
      <c r="AC6488">
        <v>10.256699999999899</v>
      </c>
      <c r="AD6488">
        <v>-1.1052295224319999</v>
      </c>
      <c r="AE6488">
        <v>0.23369999999999799</v>
      </c>
      <c r="AF6488">
        <v>4.0826015198315799</v>
      </c>
      <c r="AG6488">
        <v>-1.1052295224319999</v>
      </c>
      <c r="AH6488">
        <v>9.2836249194977398</v>
      </c>
      <c r="AI6488">
        <v>96.219499396153495</v>
      </c>
      <c r="AJ6488">
        <v>66.261848058570706</v>
      </c>
      <c r="AK6488">
        <v>10.201708636934599</v>
      </c>
      <c r="AL6488">
        <v>87.471993127922204</v>
      </c>
      <c r="AM6488">
        <v>78.303299921533096</v>
      </c>
      <c r="AN6488">
        <v>1.0000000221084799</v>
      </c>
    </row>
    <row r="6489" spans="1:40" x14ac:dyDescent="0.25">
      <c r="A6489" t="str">
        <f>"20190312154734728"</f>
        <v>20190312154734728</v>
      </c>
      <c r="B6489" t="str">
        <f>"1552376854714965"</f>
        <v>1552376854714965</v>
      </c>
      <c r="C6489" t="s">
        <v>40</v>
      </c>
      <c r="D6489">
        <v>5.0533700000000001</v>
      </c>
      <c r="E6489">
        <v>0.57694330000000005</v>
      </c>
      <c r="F6489" t="s">
        <v>42</v>
      </c>
      <c r="G6489">
        <v>-162.43610000000001</v>
      </c>
      <c r="H6489" s="1">
        <v>-3.8213839999999999E-6</v>
      </c>
      <c r="I6489">
        <v>138.12020000000001</v>
      </c>
      <c r="J6489">
        <v>-173.19220000000001</v>
      </c>
      <c r="K6489">
        <v>1.1053809999999999</v>
      </c>
      <c r="L6489">
        <v>137.85900000000001</v>
      </c>
      <c r="M6489">
        <v>0.91027309999999995</v>
      </c>
      <c r="N6489">
        <v>0</v>
      </c>
      <c r="O6489">
        <v>0.41375840000000003</v>
      </c>
      <c r="P6489">
        <v>0.97398260000000003</v>
      </c>
      <c r="Q6489">
        <v>3.3747439999999997E-2</v>
      </c>
      <c r="R6489">
        <v>0.22409609999999999</v>
      </c>
      <c r="S6489">
        <v>3.073944</v>
      </c>
      <c r="T6489">
        <v>-0.31101640000000003</v>
      </c>
      <c r="U6489">
        <v>9.1567990000000002E-2</v>
      </c>
      <c r="V6489">
        <v>0.19956589999999999</v>
      </c>
      <c r="W6489">
        <v>4.5520129999999999E-2</v>
      </c>
      <c r="X6489">
        <v>0.97882650000000004</v>
      </c>
      <c r="Y6489">
        <v>0.38256089999999998</v>
      </c>
      <c r="Z6489">
        <v>-6.0006179999999999E-2</v>
      </c>
      <c r="AA6489">
        <v>0.92197960000000001</v>
      </c>
      <c r="AB6489">
        <v>17</v>
      </c>
      <c r="AC6489">
        <v>10.7561</v>
      </c>
      <c r="AD6489">
        <v>-1.1053848213839901</v>
      </c>
      <c r="AE6489">
        <v>0.26120000000000199</v>
      </c>
      <c r="AF6489">
        <v>4.1690940981686699</v>
      </c>
      <c r="AG6489">
        <v>-1.1053848213839901</v>
      </c>
      <c r="AH6489">
        <v>9.7966815497591604</v>
      </c>
      <c r="AI6489">
        <v>95.9273432835043</v>
      </c>
      <c r="AJ6489">
        <v>66.947246042167507</v>
      </c>
      <c r="AK6489">
        <v>10.7041202623159</v>
      </c>
      <c r="AL6489">
        <v>87.390987055531994</v>
      </c>
      <c r="AM6489">
        <v>78.476315834900106</v>
      </c>
      <c r="AN6489">
        <v>0.99999997389013795</v>
      </c>
    </row>
    <row r="6490" spans="1:40" x14ac:dyDescent="0.25">
      <c r="A6490" t="str">
        <f>"20190312154734751"</f>
        <v>20190312154734751</v>
      </c>
      <c r="B6490" t="str">
        <f>"1552376854745221"</f>
        <v>1552376854745221</v>
      </c>
      <c r="C6490" t="s">
        <v>40</v>
      </c>
      <c r="D6490">
        <v>4.910069</v>
      </c>
      <c r="E6490">
        <v>0.57536940000000003</v>
      </c>
      <c r="F6490" t="s">
        <v>42</v>
      </c>
      <c r="G6490">
        <v>-162.03899999999999</v>
      </c>
      <c r="H6490" s="1">
        <v>-3.9994269999999999E-6</v>
      </c>
      <c r="I6490">
        <v>138.1747</v>
      </c>
      <c r="J6490">
        <v>-173.02119999999999</v>
      </c>
      <c r="K6490">
        <v>1.105537</v>
      </c>
      <c r="L6490">
        <v>137.9228</v>
      </c>
      <c r="M6490">
        <v>0.91453850000000003</v>
      </c>
      <c r="N6490">
        <v>0</v>
      </c>
      <c r="O6490">
        <v>0.40424480000000002</v>
      </c>
      <c r="P6490">
        <v>0.97561410000000004</v>
      </c>
      <c r="Q6490">
        <v>3.4107279999999997E-2</v>
      </c>
      <c r="R6490">
        <v>0.21682789999999999</v>
      </c>
      <c r="S6490">
        <v>3.070694</v>
      </c>
      <c r="T6490">
        <v>-0.30433369999999998</v>
      </c>
      <c r="U6490">
        <v>8.6914060000000001E-2</v>
      </c>
      <c r="V6490">
        <v>0.19663600000000001</v>
      </c>
      <c r="W6490">
        <v>4.5958840000000001E-2</v>
      </c>
      <c r="X6490">
        <v>0.97939880000000001</v>
      </c>
      <c r="Y6490">
        <v>0.37453350000000002</v>
      </c>
      <c r="Z6490">
        <v>-5.752372E-2</v>
      </c>
      <c r="AA6490">
        <v>0.92542729999999995</v>
      </c>
      <c r="AB6490">
        <v>17</v>
      </c>
      <c r="AC6490">
        <v>10.982200000000001</v>
      </c>
      <c r="AD6490">
        <v>-1.105540999427</v>
      </c>
      <c r="AE6490">
        <v>0.25190000000000601</v>
      </c>
      <c r="AF6490">
        <v>4.16734874933098</v>
      </c>
      <c r="AG6490">
        <v>-1.105540999427</v>
      </c>
      <c r="AH6490">
        <v>10.044778512713</v>
      </c>
      <c r="AI6490">
        <v>95.804717472222194</v>
      </c>
      <c r="AJ6490">
        <v>67.467556475708093</v>
      </c>
      <c r="AK6490">
        <v>10.9309922637163</v>
      </c>
      <c r="AL6490">
        <v>87.365824479097</v>
      </c>
      <c r="AM6490">
        <v>78.647534644380698</v>
      </c>
      <c r="AN6490">
        <v>0.99999997045579203</v>
      </c>
    </row>
    <row r="6491" spans="1:40" x14ac:dyDescent="0.25">
      <c r="A6491" t="str">
        <f>"20190312154734771"</f>
        <v>20190312154734771</v>
      </c>
      <c r="B6491" t="str">
        <f>"1552376854765018"</f>
        <v>1552376854765018</v>
      </c>
      <c r="C6491" t="s">
        <v>40</v>
      </c>
      <c r="D6491">
        <v>5.0477460000000001</v>
      </c>
      <c r="E6491">
        <v>0.57419580000000003</v>
      </c>
      <c r="F6491" t="s">
        <v>42</v>
      </c>
      <c r="G6491">
        <v>-161.834</v>
      </c>
      <c r="H6491" s="1">
        <v>-4.0903280000000004E-6</v>
      </c>
      <c r="I6491">
        <v>138.20859999999999</v>
      </c>
      <c r="J6491">
        <v>-172.86420000000001</v>
      </c>
      <c r="K6491">
        <v>1.1056790000000001</v>
      </c>
      <c r="L6491">
        <v>137.97980000000001</v>
      </c>
      <c r="M6491">
        <v>0.91827179999999997</v>
      </c>
      <c r="N6491">
        <v>0</v>
      </c>
      <c r="O6491">
        <v>0.39569260000000001</v>
      </c>
      <c r="P6491">
        <v>0.97707750000000004</v>
      </c>
      <c r="Q6491">
        <v>3.3867429999999997E-2</v>
      </c>
      <c r="R6491">
        <v>0.21017279999999999</v>
      </c>
      <c r="S6491">
        <v>3.0681609999999999</v>
      </c>
      <c r="T6491">
        <v>-0.30319950000000001</v>
      </c>
      <c r="U6491">
        <v>7.8384399999999896E-2</v>
      </c>
      <c r="V6491">
        <v>0.19415389999999999</v>
      </c>
      <c r="W6491">
        <v>4.5785449999999998E-2</v>
      </c>
      <c r="X6491">
        <v>0.97990200000000005</v>
      </c>
      <c r="Y6491">
        <v>0.36852079999999998</v>
      </c>
      <c r="Z6491">
        <v>-5.6286379999999997E-2</v>
      </c>
      <c r="AA6491">
        <v>0.92791400000000002</v>
      </c>
      <c r="AB6491">
        <v>17</v>
      </c>
      <c r="AC6491">
        <v>11.030200000000001</v>
      </c>
      <c r="AD6491">
        <v>-1.1056830903279999</v>
      </c>
      <c r="AE6491">
        <v>0.22879999999997799</v>
      </c>
      <c r="AF6491">
        <v>4.1135754553265498</v>
      </c>
      <c r="AG6491">
        <v>-1.1056830903279999</v>
      </c>
      <c r="AH6491">
        <v>10.118667825692</v>
      </c>
      <c r="AI6491">
        <v>95.780161496815893</v>
      </c>
      <c r="AJ6491">
        <v>67.876620385238496</v>
      </c>
      <c r="AK6491">
        <v>10.978682830358</v>
      </c>
      <c r="AL6491">
        <v>87.375769506851</v>
      </c>
      <c r="AM6491">
        <v>78.792793806316197</v>
      </c>
      <c r="AN6491">
        <v>0.999999986960456</v>
      </c>
    </row>
    <row r="6492" spans="1:40" x14ac:dyDescent="0.25">
      <c r="A6492" t="str">
        <f>"20190312154734794"</f>
        <v>20190312154734794</v>
      </c>
      <c r="B6492" t="str">
        <f>"1552376854784539"</f>
        <v>1552376854784539</v>
      </c>
      <c r="C6492" t="s">
        <v>40</v>
      </c>
      <c r="D6492">
        <v>4.9061250000000003</v>
      </c>
      <c r="E6492">
        <v>0.5737949</v>
      </c>
      <c r="F6492" t="s">
        <v>42</v>
      </c>
      <c r="G6492">
        <v>-161.7286</v>
      </c>
      <c r="H6492" s="1">
        <v>-4.1366950000000002E-6</v>
      </c>
      <c r="I6492">
        <v>138.22799999999901</v>
      </c>
      <c r="J6492">
        <v>-172.6968</v>
      </c>
      <c r="K6492">
        <v>1.1058429999999999</v>
      </c>
      <c r="L6492">
        <v>138.03919999999999</v>
      </c>
      <c r="M6492">
        <v>0.92204560000000002</v>
      </c>
      <c r="N6492">
        <v>0</v>
      </c>
      <c r="O6492">
        <v>0.38681860000000001</v>
      </c>
      <c r="P6492">
        <v>0.9786357</v>
      </c>
      <c r="Q6492">
        <v>3.4172580000000001E-2</v>
      </c>
      <c r="R6492">
        <v>0.20274310000000001</v>
      </c>
      <c r="S6492">
        <v>3.0662379999999998</v>
      </c>
      <c r="T6492">
        <v>-0.30445409999999901</v>
      </c>
      <c r="U6492">
        <v>6.8344119999999994E-2</v>
      </c>
      <c r="V6492">
        <v>0.19212760000000001</v>
      </c>
      <c r="W6492">
        <v>4.6151749999999998E-2</v>
      </c>
      <c r="X6492">
        <v>0.98028419999999905</v>
      </c>
      <c r="Y6492">
        <v>0.36261470000000001</v>
      </c>
      <c r="Z6492">
        <v>-5.5450350000000002E-2</v>
      </c>
      <c r="AA6492">
        <v>0.93028809999999995</v>
      </c>
      <c r="AB6492">
        <v>17</v>
      </c>
      <c r="AC6492">
        <v>10.9681999999999</v>
      </c>
      <c r="AD6492">
        <v>-1.105847136695</v>
      </c>
      <c r="AE6492">
        <v>0.18879999999998601</v>
      </c>
      <c r="AF6492">
        <v>4.0281005088847399</v>
      </c>
      <c r="AG6492">
        <v>-1.105847136695</v>
      </c>
      <c r="AH6492">
        <v>10.084763290716801</v>
      </c>
      <c r="AI6492">
        <v>95.814531042378206</v>
      </c>
      <c r="AJ6492">
        <v>68.227026802836605</v>
      </c>
      <c r="AK6492">
        <v>10.915628347887401</v>
      </c>
      <c r="AL6492">
        <v>87.354760034872797</v>
      </c>
      <c r="AM6492">
        <v>78.911060560470204</v>
      </c>
      <c r="AN6492">
        <v>1.00000005573972</v>
      </c>
    </row>
    <row r="6493" spans="1:40" x14ac:dyDescent="0.25">
      <c r="A6493" t="str">
        <f>"20190312154734815"</f>
        <v>20190312154734815</v>
      </c>
      <c r="B6493" t="str">
        <f>"1552376854805036"</f>
        <v>1552376854805036</v>
      </c>
      <c r="C6493" t="s">
        <v>40</v>
      </c>
      <c r="D6493">
        <v>4.8310259999999996</v>
      </c>
      <c r="E6493">
        <v>0.57413349999999996</v>
      </c>
      <c r="F6493" t="s">
        <v>42</v>
      </c>
      <c r="G6493">
        <v>-161.3167</v>
      </c>
      <c r="H6493" s="1">
        <v>-4.3321119999999999E-6</v>
      </c>
      <c r="I6493">
        <v>138.22389999999999</v>
      </c>
      <c r="J6493">
        <v>-172.5334</v>
      </c>
      <c r="K6493">
        <v>1.106012</v>
      </c>
      <c r="L6493">
        <v>138.09569999999999</v>
      </c>
      <c r="M6493">
        <v>0.92552350000000005</v>
      </c>
      <c r="N6493">
        <v>0</v>
      </c>
      <c r="O6493">
        <v>0.37842330000000002</v>
      </c>
      <c r="P6493">
        <v>0.98006369999999998</v>
      </c>
      <c r="Q6493">
        <v>3.3585579999999997E-2</v>
      </c>
      <c r="R6493">
        <v>0.195824</v>
      </c>
      <c r="S6493">
        <v>3.0655670000000002</v>
      </c>
      <c r="T6493">
        <v>-0.29789169999999998</v>
      </c>
      <c r="U6493">
        <v>4.977417E-2</v>
      </c>
      <c r="V6493">
        <v>0.19012490000000001</v>
      </c>
      <c r="W6493">
        <v>4.5626359999999998E-2</v>
      </c>
      <c r="X6493">
        <v>0.98069910000000005</v>
      </c>
      <c r="Y6493">
        <v>0.35998200000000002</v>
      </c>
      <c r="Z6493">
        <v>-5.3397519999999997E-2</v>
      </c>
      <c r="AA6493">
        <v>0.93142990000000003</v>
      </c>
      <c r="AB6493">
        <v>17</v>
      </c>
      <c r="AC6493">
        <v>11.216699999999999</v>
      </c>
      <c r="AD6493">
        <v>-1.106016332112</v>
      </c>
      <c r="AE6493">
        <v>0.12819999999999199</v>
      </c>
      <c r="AF6493">
        <v>4.0866963436369703</v>
      </c>
      <c r="AG6493">
        <v>-1.106016332112</v>
      </c>
      <c r="AH6493">
        <v>10.330458960807899</v>
      </c>
      <c r="AI6493">
        <v>95.685434019831206</v>
      </c>
      <c r="AJ6493">
        <v>68.4164078482154</v>
      </c>
      <c r="AK6493">
        <v>11.1643513682135</v>
      </c>
      <c r="AL6493">
        <v>87.384894219465593</v>
      </c>
      <c r="AM6493">
        <v>79.028358857446605</v>
      </c>
      <c r="AN6493">
        <v>0.99999998353383401</v>
      </c>
    </row>
    <row r="6494" spans="1:40" x14ac:dyDescent="0.25">
      <c r="A6494" t="str">
        <f>"20190312154734928"</f>
        <v>20190312154734928</v>
      </c>
      <c r="B6494" t="str">
        <f>"1552376854924614"</f>
        <v>1552376854924614</v>
      </c>
      <c r="C6494" t="s">
        <v>40</v>
      </c>
      <c r="D6494">
        <v>3.8110010000000001</v>
      </c>
      <c r="E6494">
        <v>0.57413349999999996</v>
      </c>
      <c r="F6494" t="s">
        <v>42</v>
      </c>
      <c r="G6494">
        <v>-161.1113</v>
      </c>
      <c r="H6494" s="1">
        <v>-4.4348000000000003E-6</v>
      </c>
      <c r="I6494">
        <v>138.19239999999999</v>
      </c>
      <c r="J6494">
        <v>-171.69730000000001</v>
      </c>
      <c r="K6494">
        <v>1.107048</v>
      </c>
      <c r="L6494">
        <v>138.3672</v>
      </c>
      <c r="M6494">
        <v>0.94025060000000005</v>
      </c>
      <c r="N6494">
        <v>0</v>
      </c>
      <c r="O6494">
        <v>0.340198</v>
      </c>
      <c r="P6494">
        <v>0.98668520000000004</v>
      </c>
      <c r="Q6494">
        <v>2.531508E-2</v>
      </c>
      <c r="R6494">
        <v>0.16065989999999999</v>
      </c>
      <c r="S6494">
        <v>3.0660249999999998</v>
      </c>
      <c r="T6494">
        <v>-0.29688569999999997</v>
      </c>
      <c r="U6494">
        <v>2.5955200000000001E-2</v>
      </c>
      <c r="V6494">
        <v>0.18490760000000001</v>
      </c>
      <c r="W6494">
        <v>3.7647229999999997E-2</v>
      </c>
      <c r="X6494">
        <v>0.98203459999999998</v>
      </c>
      <c r="Y6494">
        <v>0.32917929999999901</v>
      </c>
      <c r="Z6494">
        <v>-4.8249090000000001E-2</v>
      </c>
      <c r="AA6494">
        <v>0.94303389999999998</v>
      </c>
      <c r="AB6494">
        <v>17</v>
      </c>
      <c r="AC6494">
        <v>10.586</v>
      </c>
      <c r="AD6494">
        <v>-1.1070524347999999</v>
      </c>
      <c r="AE6494">
        <v>-0.17480000000000401</v>
      </c>
      <c r="AF6494">
        <v>3.7253270093929101</v>
      </c>
      <c r="AG6494">
        <v>-1.1070524347999999</v>
      </c>
      <c r="AH6494">
        <v>9.7879711946038892</v>
      </c>
      <c r="AI6494">
        <v>96.034099693535694</v>
      </c>
      <c r="AJ6494">
        <v>69.163046534109299</v>
      </c>
      <c r="AK6494">
        <v>10.5312870308763</v>
      </c>
      <c r="AL6494">
        <v>87.842462851768005</v>
      </c>
      <c r="AM6494">
        <v>79.336607384222404</v>
      </c>
      <c r="AN6494">
        <v>1.00000004503079</v>
      </c>
    </row>
    <row r="6495" spans="1:40" x14ac:dyDescent="0.25">
      <c r="A6495" t="str">
        <f>"20190312154734950"</f>
        <v>20190312154734950</v>
      </c>
      <c r="B6495" t="str">
        <f>"1552376854945110"</f>
        <v>1552376854945110</v>
      </c>
      <c r="C6495" t="s">
        <v>40</v>
      </c>
      <c r="D6495">
        <v>4.9464459999999999</v>
      </c>
      <c r="E6495">
        <v>0.57055909999999999</v>
      </c>
      <c r="F6495" t="s">
        <v>42</v>
      </c>
      <c r="G6495">
        <v>-161.17670000000001</v>
      </c>
      <c r="H6495" s="1">
        <v>-4.4239269999999998E-6</v>
      </c>
      <c r="I6495">
        <v>138.07929999999999</v>
      </c>
      <c r="J6495">
        <v>-171.5275</v>
      </c>
      <c r="K6495">
        <v>1.107226</v>
      </c>
      <c r="L6495">
        <v>138.41929999999999</v>
      </c>
      <c r="M6495">
        <v>0.94266799999999995</v>
      </c>
      <c r="N6495">
        <v>0</v>
      </c>
      <c r="O6495">
        <v>0.3334434</v>
      </c>
      <c r="P6495">
        <v>0.98757569999999995</v>
      </c>
      <c r="Q6495">
        <v>2.453282E-2</v>
      </c>
      <c r="R6495">
        <v>0.1552181</v>
      </c>
      <c r="S6495">
        <v>3.0623779999999998</v>
      </c>
      <c r="T6495">
        <v>-0.32224619999999998</v>
      </c>
      <c r="U6495">
        <v>-8.3801269999999997E-2</v>
      </c>
      <c r="V6495">
        <v>0.18325910000000001</v>
      </c>
      <c r="W6495">
        <v>3.6909129999999998E-2</v>
      </c>
      <c r="X6495">
        <v>0.98237149999999995</v>
      </c>
      <c r="Y6495">
        <v>0.355384599999999</v>
      </c>
      <c r="Z6495">
        <v>-5.3153880000000001E-2</v>
      </c>
      <c r="AA6495">
        <v>0.93320760000000003</v>
      </c>
      <c r="AB6495">
        <v>17</v>
      </c>
      <c r="AC6495">
        <v>10.3507999999999</v>
      </c>
      <c r="AD6495">
        <v>-1.1072304239270001</v>
      </c>
      <c r="AE6495">
        <v>-0.34000000000000302</v>
      </c>
      <c r="AF6495">
        <v>3.72964506092501</v>
      </c>
      <c r="AG6495">
        <v>-1.1072304239270001</v>
      </c>
      <c r="AH6495">
        <v>9.5359266841067392</v>
      </c>
      <c r="AI6495">
        <v>96.171692787284897</v>
      </c>
      <c r="AJ6495">
        <v>68.638780873059801</v>
      </c>
      <c r="AK6495">
        <v>10.299034382737499</v>
      </c>
      <c r="AL6495">
        <v>87.884782127944206</v>
      </c>
      <c r="AM6495">
        <v>79.433065970790196</v>
      </c>
      <c r="AN6495">
        <v>0.999999972811208</v>
      </c>
    </row>
    <row r="6496" spans="1:40" x14ac:dyDescent="0.25">
      <c r="A6496" t="str">
        <f>"20190312154734972"</f>
        <v>20190312154734972</v>
      </c>
      <c r="B6496" t="str">
        <f>"1552376854964630"</f>
        <v>1552376854964630</v>
      </c>
      <c r="C6496" t="s">
        <v>40</v>
      </c>
      <c r="D6496">
        <v>5.1794979999999997</v>
      </c>
      <c r="E6496">
        <v>0.56625119999999995</v>
      </c>
      <c r="F6496" t="s">
        <v>42</v>
      </c>
      <c r="G6496">
        <v>-168.82560000000001</v>
      </c>
      <c r="H6496" s="1">
        <v>-7.6168400000000003E-7</v>
      </c>
      <c r="I6496">
        <v>138.38929999999999</v>
      </c>
      <c r="J6496">
        <v>-171.3672</v>
      </c>
      <c r="K6496">
        <v>1.1073630000000001</v>
      </c>
      <c r="L6496">
        <v>138.4676</v>
      </c>
      <c r="M6496">
        <v>0.9448088</v>
      </c>
      <c r="N6496">
        <v>0</v>
      </c>
      <c r="O6496">
        <v>0.32732990000000001</v>
      </c>
      <c r="P6496">
        <v>0.98834100000000003</v>
      </c>
      <c r="Q6496">
        <v>2.6127089999999999E-2</v>
      </c>
      <c r="R6496">
        <v>0.14999860000000001</v>
      </c>
      <c r="S6496">
        <v>3.0743710000000002</v>
      </c>
      <c r="T6496">
        <v>-1.2598450000000001</v>
      </c>
      <c r="U6496">
        <v>-3.4042360000000001E-2</v>
      </c>
      <c r="V6496">
        <v>0.1820687</v>
      </c>
      <c r="W6496">
        <v>3.85297E-2</v>
      </c>
      <c r="X6496">
        <v>0.98253069999999998</v>
      </c>
      <c r="Y6496">
        <v>0.28880990000000001</v>
      </c>
      <c r="Z6496">
        <v>-0.1839817</v>
      </c>
      <c r="AA6496">
        <v>0.93954219999999999</v>
      </c>
      <c r="AB6496">
        <v>17</v>
      </c>
      <c r="AC6496">
        <v>2.5415999999999799</v>
      </c>
      <c r="AD6496">
        <v>-1.107363761684</v>
      </c>
      <c r="AE6496">
        <v>-7.8300000000012901E-2</v>
      </c>
      <c r="AF6496">
        <v>0.76157398066009696</v>
      </c>
      <c r="AG6496">
        <v>-1.107363761684</v>
      </c>
      <c r="AH6496">
        <v>1.9971608330610999</v>
      </c>
      <c r="AI6496">
        <v>117.38775488162101</v>
      </c>
      <c r="AJ6496">
        <v>69.126734493614094</v>
      </c>
      <c r="AK6496">
        <v>2.4072600237246302</v>
      </c>
      <c r="AL6496">
        <v>87.791864369519502</v>
      </c>
      <c r="AM6496">
        <v>79.501838017454503</v>
      </c>
      <c r="AN6496">
        <v>1.0000000628721299</v>
      </c>
    </row>
    <row r="6497" spans="1:40" x14ac:dyDescent="0.25">
      <c r="A6497" t="str">
        <f>"20190312154734996"</f>
        <v>20190312154734996</v>
      </c>
      <c r="B6497" t="str">
        <f>"1552376854985127"</f>
        <v>1552376854985127</v>
      </c>
      <c r="C6497" t="s">
        <v>40</v>
      </c>
      <c r="D6497">
        <v>5.3670869999999997</v>
      </c>
      <c r="E6497">
        <v>0.54450419999999999</v>
      </c>
      <c r="F6497" t="s">
        <v>42</v>
      </c>
      <c r="G6497">
        <v>-168.41290000000001</v>
      </c>
      <c r="H6497" s="1">
        <v>-9.3791500000000004E-7</v>
      </c>
      <c r="I6497">
        <v>138.44810000000001</v>
      </c>
      <c r="J6497">
        <v>-171.1858</v>
      </c>
      <c r="K6497">
        <v>1.107505</v>
      </c>
      <c r="L6497">
        <v>138.5213</v>
      </c>
      <c r="M6497">
        <v>0.94707090000000005</v>
      </c>
      <c r="N6497">
        <v>0</v>
      </c>
      <c r="O6497">
        <v>0.32072820000000002</v>
      </c>
      <c r="P6497">
        <v>0.98911979999999999</v>
      </c>
      <c r="Q6497">
        <v>2.8167959999999999E-2</v>
      </c>
      <c r="R6497">
        <v>0.14439080000000001</v>
      </c>
      <c r="S6497">
        <v>3.0688930000000001</v>
      </c>
      <c r="T6497">
        <v>-1.1503300000000001</v>
      </c>
      <c r="U6497">
        <v>-2.0278930000000001E-2</v>
      </c>
      <c r="V6497">
        <v>0.18076449999999999</v>
      </c>
      <c r="W6497">
        <v>4.0595640000000002E-2</v>
      </c>
      <c r="X6497">
        <v>0.98268820000000001</v>
      </c>
      <c r="Y6497">
        <v>0.28635110000000003</v>
      </c>
      <c r="Z6497">
        <v>-0.16658539999999999</v>
      </c>
      <c r="AA6497">
        <v>0.94353180000000003</v>
      </c>
      <c r="AB6497">
        <v>17</v>
      </c>
      <c r="AC6497">
        <v>2.7728999999999902</v>
      </c>
      <c r="AD6497">
        <v>-1.1075059379150001</v>
      </c>
      <c r="AE6497">
        <v>-7.3199999999985693E-2</v>
      </c>
      <c r="AF6497">
        <v>0.82693979185073296</v>
      </c>
      <c r="AG6497">
        <v>-1.1075059379150001</v>
      </c>
      <c r="AH6497">
        <v>2.2450198235628398</v>
      </c>
      <c r="AI6497">
        <v>114.83998236393001</v>
      </c>
      <c r="AJ6497">
        <v>69.779023116973505</v>
      </c>
      <c r="AK6497">
        <v>2.6363825272621702</v>
      </c>
      <c r="AL6497">
        <v>87.673401715361905</v>
      </c>
      <c r="AM6497">
        <v>79.577018554060004</v>
      </c>
      <c r="AN6497">
        <v>0.99999995443324796</v>
      </c>
    </row>
    <row r="6498" spans="1:40" x14ac:dyDescent="0.25">
      <c r="A6498" t="str">
        <f>"20190312154735017"</f>
        <v>20190312154735017</v>
      </c>
      <c r="B6498" t="str">
        <f>"1552376855014407"</f>
        <v>1552376855014407</v>
      </c>
      <c r="C6498" t="s">
        <v>40</v>
      </c>
      <c r="D6498">
        <v>5.0244289999999996</v>
      </c>
      <c r="E6498">
        <v>0.54232100000000005</v>
      </c>
      <c r="F6498" t="s">
        <v>42</v>
      </c>
      <c r="G6498">
        <v>-164.56</v>
      </c>
      <c r="H6498" s="1">
        <v>-2.7035999999999998E-6</v>
      </c>
      <c r="I6498">
        <v>138.76169999999999</v>
      </c>
      <c r="J6498">
        <v>-171.03530000000001</v>
      </c>
      <c r="K6498">
        <v>1.1076319999999999</v>
      </c>
      <c r="L6498">
        <v>138.5652</v>
      </c>
      <c r="M6498">
        <v>0.94882180000000005</v>
      </c>
      <c r="N6498">
        <v>0</v>
      </c>
      <c r="O6498">
        <v>0.31551249999999997</v>
      </c>
      <c r="P6498">
        <v>0.98956809999999995</v>
      </c>
      <c r="Q6498">
        <v>2.877E-2</v>
      </c>
      <c r="R6498">
        <v>0.14116479999999901</v>
      </c>
      <c r="S6498">
        <v>3.0313870000000001</v>
      </c>
      <c r="T6498">
        <v>-0.50669549999999997</v>
      </c>
      <c r="U6498">
        <v>0.1100006</v>
      </c>
      <c r="V6498">
        <v>0.17854589999999901</v>
      </c>
      <c r="W6498">
        <v>4.1232169999999999E-2</v>
      </c>
      <c r="X6498">
        <v>0.98306729999999998</v>
      </c>
      <c r="Y6498">
        <v>0.27290969999999998</v>
      </c>
      <c r="Z6498">
        <v>-7.4241550000000003E-2</v>
      </c>
      <c r="AA6498">
        <v>0.95917079999999999</v>
      </c>
      <c r="AB6498">
        <v>17</v>
      </c>
      <c r="AC6498">
        <v>6.4752999999999998</v>
      </c>
      <c r="AD6498">
        <v>-1.1076347036</v>
      </c>
      <c r="AE6498">
        <v>0.19649999999998599</v>
      </c>
      <c r="AF6498">
        <v>1.80403281738912</v>
      </c>
      <c r="AG6498">
        <v>-1.1076347036</v>
      </c>
      <c r="AH6498">
        <v>6.0302095277513397</v>
      </c>
      <c r="AI6498">
        <v>99.980429078929305</v>
      </c>
      <c r="AJ6498">
        <v>73.344612358286298</v>
      </c>
      <c r="AK6498">
        <v>6.39099491405047</v>
      </c>
      <c r="AL6498">
        <v>87.636900830133598</v>
      </c>
      <c r="AM6498">
        <v>79.706076873296396</v>
      </c>
      <c r="AN6498">
        <v>1.0000000232895001</v>
      </c>
    </row>
    <row r="6499" spans="1:40" x14ac:dyDescent="0.25">
      <c r="A6499" t="str">
        <f>"20190312154735040"</f>
        <v>20190312154735040</v>
      </c>
      <c r="B6499" t="str">
        <f>"1552376855034902"</f>
        <v>1552376855034902</v>
      </c>
      <c r="C6499" t="s">
        <v>40</v>
      </c>
      <c r="D6499">
        <v>5.0495780000000003</v>
      </c>
      <c r="E6499">
        <v>0.5408944</v>
      </c>
      <c r="F6499" t="s">
        <v>42</v>
      </c>
      <c r="G6499">
        <v>-162.2928</v>
      </c>
      <c r="H6499" s="1">
        <v>-3.7527469999999999E-6</v>
      </c>
      <c r="I6499">
        <v>138.8888</v>
      </c>
      <c r="J6499">
        <v>-170.8614</v>
      </c>
      <c r="K6499">
        <v>1.107802</v>
      </c>
      <c r="L6499">
        <v>138.61519999999999</v>
      </c>
      <c r="M6499">
        <v>0.95071280000000002</v>
      </c>
      <c r="N6499">
        <v>0</v>
      </c>
      <c r="O6499">
        <v>0.30977009999999899</v>
      </c>
      <c r="P6499">
        <v>0.98993900000000001</v>
      </c>
      <c r="Q6499">
        <v>2.8776610000000001E-2</v>
      </c>
      <c r="R6499">
        <v>0.13853840000000001</v>
      </c>
      <c r="S6499">
        <v>3.0268099999999998</v>
      </c>
      <c r="T6499">
        <v>-0.38348379999999999</v>
      </c>
      <c r="U6499">
        <v>0.1120453</v>
      </c>
      <c r="V6499">
        <v>0.17519109999999999</v>
      </c>
      <c r="W6499">
        <v>4.1292669999999997E-2</v>
      </c>
      <c r="X6499">
        <v>0.98366810000000005</v>
      </c>
      <c r="Y6499">
        <v>0.26986310000000002</v>
      </c>
      <c r="Z6499">
        <v>-5.5551900000000001E-2</v>
      </c>
      <c r="AA6499">
        <v>0.96129489999999995</v>
      </c>
      <c r="AB6499">
        <v>17</v>
      </c>
      <c r="AC6499">
        <v>8.5686</v>
      </c>
      <c r="AD6499">
        <v>-1.107805752747</v>
      </c>
      <c r="AE6499">
        <v>0.273600000000016</v>
      </c>
      <c r="AF6499">
        <v>2.3550805529905001</v>
      </c>
      <c r="AG6499">
        <v>-1.107805752747</v>
      </c>
      <c r="AH6499">
        <v>8.0966059384782199</v>
      </c>
      <c r="AI6499">
        <v>97.484570444672599</v>
      </c>
      <c r="AJ6499">
        <v>73.781735711004501</v>
      </c>
      <c r="AK6499">
        <v>8.5046261363974303</v>
      </c>
      <c r="AL6499">
        <v>87.633431351209097</v>
      </c>
      <c r="AM6499">
        <v>79.901517294928297</v>
      </c>
      <c r="AN6499">
        <v>0.99999996853627404</v>
      </c>
    </row>
    <row r="6500" spans="1:40" x14ac:dyDescent="0.25">
      <c r="A6500" t="str">
        <f>"20190312154735062"</f>
        <v>20190312154735062</v>
      </c>
      <c r="B6500" t="str">
        <f>"1552376855054423"</f>
        <v>1552376855054423</v>
      </c>
      <c r="C6500" t="s">
        <v>40</v>
      </c>
      <c r="D6500">
        <v>5.0232140000000003</v>
      </c>
      <c r="E6500">
        <v>0.53955529999999996</v>
      </c>
      <c r="F6500" t="s">
        <v>42</v>
      </c>
      <c r="G6500">
        <v>-159.88200000000001</v>
      </c>
      <c r="H6500" s="1">
        <v>-1.8546879999999999E-7</v>
      </c>
      <c r="I6500">
        <v>139.01759999999999</v>
      </c>
      <c r="J6500">
        <v>-170.69980000000001</v>
      </c>
      <c r="K6500">
        <v>1.1079859999999999</v>
      </c>
      <c r="L6500">
        <v>138.661</v>
      </c>
      <c r="M6500">
        <v>0.95234169999999996</v>
      </c>
      <c r="N6500">
        <v>0</v>
      </c>
      <c r="O6500">
        <v>0.30472709999999997</v>
      </c>
      <c r="P6500">
        <v>0.98997219999999997</v>
      </c>
      <c r="Q6500">
        <v>2.9790380000000002E-2</v>
      </c>
      <c r="R6500">
        <v>0.13808609999999999</v>
      </c>
      <c r="S6500">
        <v>3.0238489999999998</v>
      </c>
      <c r="T6500">
        <v>-0.30510019999999999</v>
      </c>
      <c r="U6500">
        <v>0.1108551</v>
      </c>
      <c r="V6500">
        <v>0.17040079999999999</v>
      </c>
      <c r="W6500">
        <v>4.2377480000000002E-2</v>
      </c>
      <c r="X6500">
        <v>0.98446319999999998</v>
      </c>
      <c r="Y6500">
        <v>0.26680569999999998</v>
      </c>
      <c r="Z6500">
        <v>-4.3665660000000002E-2</v>
      </c>
      <c r="AA6500">
        <v>0.96276059999999997</v>
      </c>
      <c r="AB6500">
        <v>17</v>
      </c>
      <c r="AC6500">
        <v>10.8178</v>
      </c>
      <c r="AD6500">
        <v>-1.1079861854688</v>
      </c>
      <c r="AE6500">
        <v>0.35659999999998598</v>
      </c>
      <c r="AF6500">
        <v>2.9264812596354601</v>
      </c>
      <c r="AG6500">
        <v>-1.1079861854688</v>
      </c>
      <c r="AH6500">
        <v>10.3039051754441</v>
      </c>
      <c r="AI6500">
        <v>95.9056495280348</v>
      </c>
      <c r="AJ6500">
        <v>74.144567557164294</v>
      </c>
      <c r="AK6500">
        <v>10.76858337084</v>
      </c>
      <c r="AL6500">
        <v>87.571222017390497</v>
      </c>
      <c r="AM6500">
        <v>80.179968245199305</v>
      </c>
      <c r="AN6500">
        <v>1.0000000378030101</v>
      </c>
    </row>
    <row r="6501" spans="1:40" x14ac:dyDescent="0.25">
      <c r="A6501" t="str">
        <f>"20190312154735095"</f>
        <v>20190312154735095</v>
      </c>
      <c r="B6501" t="str">
        <f>"1552376855084679"</f>
        <v>1552376855084679</v>
      </c>
      <c r="C6501" t="s">
        <v>40</v>
      </c>
      <c r="D6501">
        <v>5.04671</v>
      </c>
      <c r="E6501">
        <v>0.53760549999999996</v>
      </c>
      <c r="F6501" t="s">
        <v>42</v>
      </c>
      <c r="G6501">
        <v>-158.34379999999999</v>
      </c>
      <c r="H6501" s="1">
        <v>-7.765007E-7</v>
      </c>
      <c r="I6501">
        <v>139.14439999999999</v>
      </c>
      <c r="J6501">
        <v>-170.45410000000001</v>
      </c>
      <c r="K6501">
        <v>1.108285</v>
      </c>
      <c r="L6501">
        <v>138.72970000000001</v>
      </c>
      <c r="M6501">
        <v>0.95456719999999895</v>
      </c>
      <c r="N6501">
        <v>0</v>
      </c>
      <c r="O6501">
        <v>0.29768509999999998</v>
      </c>
      <c r="P6501">
        <v>0.99020229999999998</v>
      </c>
      <c r="Q6501">
        <v>3.3793740000000003E-2</v>
      </c>
      <c r="R6501">
        <v>0.1354899</v>
      </c>
      <c r="S6501">
        <v>3.022049</v>
      </c>
      <c r="T6501">
        <v>-0.27099259999999997</v>
      </c>
      <c r="U6501">
        <v>0.1182404</v>
      </c>
      <c r="V6501">
        <v>0.16565559999999999</v>
      </c>
      <c r="W6501">
        <v>4.6474700000000001E-2</v>
      </c>
      <c r="X6501">
        <v>0.98508799999999996</v>
      </c>
      <c r="Y6501">
        <v>0.25796980000000003</v>
      </c>
      <c r="Z6501">
        <v>-3.7823559999999999E-2</v>
      </c>
      <c r="AA6501">
        <v>0.9654123</v>
      </c>
      <c r="AB6501">
        <v>17</v>
      </c>
      <c r="AC6501">
        <v>12.110300000000001</v>
      </c>
      <c r="AD6501">
        <v>-1.1082857765006999</v>
      </c>
      <c r="AE6501">
        <v>0.41469999999998203</v>
      </c>
      <c r="AF6501">
        <v>3.18286796446277</v>
      </c>
      <c r="AG6501">
        <v>-1.1082857765006999</v>
      </c>
      <c r="AH6501">
        <v>11.587691062979999</v>
      </c>
      <c r="AI6501">
        <v>95.269338348167693</v>
      </c>
      <c r="AJ6501">
        <v>74.640975108311494</v>
      </c>
      <c r="AK6501">
        <v>12.067871809588601</v>
      </c>
      <c r="AL6501">
        <v>87.336236396573497</v>
      </c>
      <c r="AM6501">
        <v>80.454267674276494</v>
      </c>
      <c r="AN6501">
        <v>1.0000000216477201</v>
      </c>
    </row>
    <row r="6502" spans="1:40" x14ac:dyDescent="0.25">
      <c r="A6502" t="str">
        <f>"20190312154735118"</f>
        <v>20190312154735118</v>
      </c>
      <c r="B6502" t="str">
        <f>"1552376855105175"</f>
        <v>1552376855105175</v>
      </c>
      <c r="C6502" t="s">
        <v>40</v>
      </c>
      <c r="D6502">
        <v>5.0693539999999997</v>
      </c>
      <c r="E6502">
        <v>0.53557540000000003</v>
      </c>
      <c r="F6502" t="s">
        <v>42</v>
      </c>
      <c r="G6502">
        <v>-157.41739999999999</v>
      </c>
      <c r="H6502" s="1">
        <v>-1.1506550000000001E-6</v>
      </c>
      <c r="I6502">
        <v>139.27549999999999</v>
      </c>
      <c r="J6502">
        <v>-170.28460000000001</v>
      </c>
      <c r="K6502">
        <v>1.1084780000000001</v>
      </c>
      <c r="L6502">
        <v>138.7766</v>
      </c>
      <c r="M6502">
        <v>0.95594999999999997</v>
      </c>
      <c r="N6502">
        <v>0</v>
      </c>
      <c r="O6502">
        <v>0.29321550000000002</v>
      </c>
      <c r="P6502">
        <v>0.99039529999999998</v>
      </c>
      <c r="Q6502">
        <v>3.5077789999999998E-2</v>
      </c>
      <c r="R6502">
        <v>0.13374129999999901</v>
      </c>
      <c r="S6502">
        <v>3.0211329999999998</v>
      </c>
      <c r="T6502">
        <v>-0.2568357</v>
      </c>
      <c r="U6502">
        <v>0.12649540000000001</v>
      </c>
      <c r="V6502">
        <v>0.1627546</v>
      </c>
      <c r="W6502">
        <v>4.7812649999999998E-2</v>
      </c>
      <c r="X6502">
        <v>0.98550740000000003</v>
      </c>
      <c r="Y6502">
        <v>0.25106129999999999</v>
      </c>
      <c r="Z6502">
        <v>-3.5203640000000001E-2</v>
      </c>
      <c r="AA6502">
        <v>0.96733080000000005</v>
      </c>
      <c r="AB6502">
        <v>17</v>
      </c>
      <c r="AC6502">
        <v>12.8672</v>
      </c>
      <c r="AD6502">
        <v>-1.108479150655</v>
      </c>
      <c r="AE6502">
        <v>0.49889999999999102</v>
      </c>
      <c r="AF6502">
        <v>3.27199633153058</v>
      </c>
      <c r="AG6502">
        <v>-1.108479150655</v>
      </c>
      <c r="AH6502">
        <v>12.3562685790884</v>
      </c>
      <c r="AI6502">
        <v>94.956340237472304</v>
      </c>
      <c r="AJ6502">
        <v>75.1682362720437</v>
      </c>
      <c r="AK6502">
        <v>12.830123117864201</v>
      </c>
      <c r="AL6502">
        <v>87.259492038711002</v>
      </c>
      <c r="AM6502">
        <v>80.622358714804193</v>
      </c>
      <c r="AN6502">
        <v>0.99999997238797</v>
      </c>
    </row>
    <row r="6503" spans="1:40" x14ac:dyDescent="0.25">
      <c r="A6503" t="str">
        <f>"20190312154735147"</f>
        <v>20190312154735147</v>
      </c>
      <c r="B6503" t="str">
        <f>"1552376855134455"</f>
        <v>1552376855134455</v>
      </c>
      <c r="C6503" t="s">
        <v>40</v>
      </c>
      <c r="D6503">
        <v>5.1144920000000003</v>
      </c>
      <c r="E6503">
        <v>0.53328679999999995</v>
      </c>
      <c r="F6503" t="s">
        <v>42</v>
      </c>
      <c r="G6503">
        <v>-156.99420000000001</v>
      </c>
      <c r="H6503" s="1">
        <v>-1.313767E-6</v>
      </c>
      <c r="I6503">
        <v>139.37950000000001</v>
      </c>
      <c r="J6503">
        <v>-170.07570000000001</v>
      </c>
      <c r="K6503">
        <v>1.108663</v>
      </c>
      <c r="L6503">
        <v>138.8338</v>
      </c>
      <c r="M6503">
        <v>0.95748900000000003</v>
      </c>
      <c r="N6503">
        <v>0</v>
      </c>
      <c r="O6503">
        <v>0.28815259999999998</v>
      </c>
      <c r="P6503">
        <v>0.99058040000000003</v>
      </c>
      <c r="Q6503">
        <v>3.4933249999999999E-2</v>
      </c>
      <c r="R6503">
        <v>0.13240199999999999</v>
      </c>
      <c r="S6503">
        <v>3.0195310000000002</v>
      </c>
      <c r="T6503">
        <v>-0.2518417</v>
      </c>
      <c r="U6503">
        <v>0.13699339999999999</v>
      </c>
      <c r="V6503">
        <v>0.15884760000000001</v>
      </c>
      <c r="W6503">
        <v>4.7722630000000002E-2</v>
      </c>
      <c r="X6503">
        <v>0.9861491</v>
      </c>
      <c r="Y6503">
        <v>0.24267140000000001</v>
      </c>
      <c r="Z6503">
        <v>-3.3779379999999998E-2</v>
      </c>
      <c r="AA6503">
        <v>0.9695203</v>
      </c>
      <c r="AB6503">
        <v>17</v>
      </c>
      <c r="AC6503">
        <v>13.0815</v>
      </c>
      <c r="AD6503">
        <v>-1.108664313767</v>
      </c>
      <c r="AE6503">
        <v>0.54570000000000995</v>
      </c>
      <c r="AF6503">
        <v>3.2241457557820001</v>
      </c>
      <c r="AG6503">
        <v>-1.108664313767</v>
      </c>
      <c r="AH6503">
        <v>12.593499538587499</v>
      </c>
      <c r="AI6503">
        <v>94.874620869484303</v>
      </c>
      <c r="AJ6503">
        <v>75.639767338632197</v>
      </c>
      <c r="AK6503">
        <v>13.046857209441299</v>
      </c>
      <c r="AL6503">
        <v>87.264655852801795</v>
      </c>
      <c r="AM6503">
        <v>80.849471848334602</v>
      </c>
      <c r="AN6503">
        <v>1.0000000284353401</v>
      </c>
    </row>
    <row r="6504" spans="1:40" x14ac:dyDescent="0.25">
      <c r="A6504" t="str">
        <f>"20190312154735165"</f>
        <v>20190312154735165</v>
      </c>
      <c r="B6504" t="str">
        <f>"1552376855154951"</f>
        <v>1552376855154951</v>
      </c>
      <c r="C6504" t="s">
        <v>40</v>
      </c>
      <c r="D6504">
        <v>5.1146510000000003</v>
      </c>
      <c r="E6504">
        <v>0.5320587</v>
      </c>
      <c r="F6504" t="s">
        <v>42</v>
      </c>
      <c r="G6504">
        <v>-156.91290000000001</v>
      </c>
      <c r="H6504" s="1">
        <v>-1.3287540000000001E-6</v>
      </c>
      <c r="I6504">
        <v>139.49160000000001</v>
      </c>
      <c r="J6504">
        <v>-169.93809999999999</v>
      </c>
      <c r="K6504">
        <v>1.108768</v>
      </c>
      <c r="L6504">
        <v>138.87119999999999</v>
      </c>
      <c r="M6504">
        <v>0.95840099999999995</v>
      </c>
      <c r="N6504">
        <v>0</v>
      </c>
      <c r="O6504">
        <v>0.28510550000000001</v>
      </c>
      <c r="P6504">
        <v>0.99051940000000005</v>
      </c>
      <c r="Q6504">
        <v>3.4031350000000002E-2</v>
      </c>
      <c r="R6504">
        <v>0.13309099999999999</v>
      </c>
      <c r="S6504">
        <v>3.017334</v>
      </c>
      <c r="T6504">
        <v>-0.2541407</v>
      </c>
      <c r="U6504">
        <v>0.15078739999999999</v>
      </c>
      <c r="V6504">
        <v>0.1550144</v>
      </c>
      <c r="W6504">
        <v>4.6860520000000003E-2</v>
      </c>
      <c r="X6504">
        <v>0.98680020000000002</v>
      </c>
      <c r="Y6504">
        <v>0.235127</v>
      </c>
      <c r="Z6504">
        <v>-3.354008E-2</v>
      </c>
      <c r="AA6504">
        <v>0.97138579999999997</v>
      </c>
      <c r="AB6504">
        <v>17</v>
      </c>
      <c r="AC6504">
        <v>13.0251999999999</v>
      </c>
      <c r="AD6504">
        <v>-1.1087693287539999</v>
      </c>
      <c r="AE6504">
        <v>0.62040000000001705</v>
      </c>
      <c r="AF6504">
        <v>3.0968587982138498</v>
      </c>
      <c r="AG6504">
        <v>-1.1087693287539999</v>
      </c>
      <c r="AH6504">
        <v>12.5705158079138</v>
      </c>
      <c r="AI6504">
        <v>94.895053988914498</v>
      </c>
      <c r="AJ6504">
        <v>76.160270530896298</v>
      </c>
      <c r="AK6504">
        <v>12.9937589448731</v>
      </c>
      <c r="AL6504">
        <v>87.314106379650696</v>
      </c>
      <c r="AM6504">
        <v>81.072481219807102</v>
      </c>
      <c r="AN6504">
        <v>1.0000000036310299</v>
      </c>
    </row>
    <row r="6505" spans="1:40" x14ac:dyDescent="0.25">
      <c r="A6505" t="str">
        <f>"20190312154735185"</f>
        <v>20190312154735185</v>
      </c>
      <c r="B6505" t="str">
        <f>"1552376855174471"</f>
        <v>1552376855174471</v>
      </c>
      <c r="C6505" t="s">
        <v>40</v>
      </c>
      <c r="D6505">
        <v>5.1265080000000003</v>
      </c>
      <c r="E6505">
        <v>0.53107799999999905</v>
      </c>
      <c r="F6505" t="s">
        <v>42</v>
      </c>
      <c r="G6505">
        <v>-157.0077</v>
      </c>
      <c r="H6505" s="1">
        <v>-1.2748170000000001E-6</v>
      </c>
      <c r="I6505">
        <v>139.56649999999999</v>
      </c>
      <c r="J6505">
        <v>-169.7901</v>
      </c>
      <c r="K6505">
        <v>1.1088709999999999</v>
      </c>
      <c r="L6505">
        <v>138.9111</v>
      </c>
      <c r="M6505">
        <v>0.95930559999999998</v>
      </c>
      <c r="N6505">
        <v>0</v>
      </c>
      <c r="O6505">
        <v>0.28204829999999997</v>
      </c>
      <c r="P6505">
        <v>0.99048610000000004</v>
      </c>
      <c r="Q6505">
        <v>3.2195840000000003E-2</v>
      </c>
      <c r="R6505">
        <v>0.1337942</v>
      </c>
      <c r="S6505">
        <v>3.0158079999999998</v>
      </c>
      <c r="T6505">
        <v>-0.25860129999999998</v>
      </c>
      <c r="U6505">
        <v>0.16217039999999999</v>
      </c>
      <c r="V6505">
        <v>0.15116389999999999</v>
      </c>
      <c r="W6505">
        <v>4.5059509999999997E-2</v>
      </c>
      <c r="X6505">
        <v>0.98748119999999995</v>
      </c>
      <c r="Y6505">
        <v>0.2283125</v>
      </c>
      <c r="Z6505">
        <v>-3.3593739999999997E-2</v>
      </c>
      <c r="AA6505">
        <v>0.97300819999999999</v>
      </c>
      <c r="AB6505">
        <v>17</v>
      </c>
      <c r="AC6505">
        <v>12.7823999999999</v>
      </c>
      <c r="AD6505">
        <v>-1.1088722748169999</v>
      </c>
      <c r="AE6505">
        <v>0.65539999999998599</v>
      </c>
      <c r="AF6505">
        <v>2.9546186615322299</v>
      </c>
      <c r="AG6505">
        <v>-1.1088722748169999</v>
      </c>
      <c r="AH6505">
        <v>12.355474290221</v>
      </c>
      <c r="AI6505">
        <v>94.988498682799403</v>
      </c>
      <c r="AJ6505">
        <v>76.551171229547194</v>
      </c>
      <c r="AK6505">
        <v>12.752141549294601</v>
      </c>
      <c r="AL6505">
        <v>87.417405820147195</v>
      </c>
      <c r="AM6505">
        <v>81.296709325771502</v>
      </c>
      <c r="AN6505">
        <v>1.0000000022290401</v>
      </c>
    </row>
    <row r="6506" spans="1:40" x14ac:dyDescent="0.25">
      <c r="A6506" t="str">
        <f>"20190312154735207"</f>
        <v>20190312154735207</v>
      </c>
      <c r="B6506" t="str">
        <f>"1552376855194967"</f>
        <v>1552376855194967</v>
      </c>
      <c r="C6506" t="s">
        <v>40</v>
      </c>
      <c r="D6506">
        <v>5.1344940000000001</v>
      </c>
      <c r="E6506">
        <v>0.53010409999999997</v>
      </c>
      <c r="F6506" t="s">
        <v>42</v>
      </c>
      <c r="G6506">
        <v>-157.21729999999999</v>
      </c>
      <c r="H6506" s="1">
        <v>-1.1788320000000001E-6</v>
      </c>
      <c r="I6506">
        <v>139.6266</v>
      </c>
      <c r="J6506">
        <v>-169.62970000000001</v>
      </c>
      <c r="K6506">
        <v>1.108976</v>
      </c>
      <c r="L6506">
        <v>138.95410000000001</v>
      </c>
      <c r="M6506">
        <v>0.96020329999999998</v>
      </c>
      <c r="N6506">
        <v>0</v>
      </c>
      <c r="O6506">
        <v>0.27897810000000001</v>
      </c>
      <c r="P6506">
        <v>0.99042509999999995</v>
      </c>
      <c r="Q6506">
        <v>3.0822289999999999E-2</v>
      </c>
      <c r="R6506">
        <v>0.13456779999999999</v>
      </c>
      <c r="S6506">
        <v>3.0142820000000001</v>
      </c>
      <c r="T6506">
        <v>-0.26584730000000001</v>
      </c>
      <c r="U6506">
        <v>0.17153929999999901</v>
      </c>
      <c r="V6506">
        <v>0.14722660000000001</v>
      </c>
      <c r="W6506">
        <v>4.3720439999999999E-2</v>
      </c>
      <c r="X6506">
        <v>0.98813609999999996</v>
      </c>
      <c r="Y6506">
        <v>0.22208259999999999</v>
      </c>
      <c r="Z6506">
        <v>-3.4008730000000001E-2</v>
      </c>
      <c r="AA6506">
        <v>0.97443460000000004</v>
      </c>
      <c r="AB6506">
        <v>17</v>
      </c>
      <c r="AC6506">
        <v>12.4124</v>
      </c>
      <c r="AD6506">
        <v>-1.108977178832</v>
      </c>
      <c r="AE6506">
        <v>0.672499999999985</v>
      </c>
      <c r="AF6506">
        <v>2.7950598105934801</v>
      </c>
      <c r="AG6506">
        <v>-1.108977178832</v>
      </c>
      <c r="AH6506">
        <v>12.0115347128654</v>
      </c>
      <c r="AI6506">
        <v>95.138417089857995</v>
      </c>
      <c r="AJ6506">
        <v>76.900506241532099</v>
      </c>
      <c r="AK6506">
        <v>12.3822112680384</v>
      </c>
      <c r="AL6506">
        <v>87.494204708079494</v>
      </c>
      <c r="AM6506">
        <v>81.525599718074304</v>
      </c>
      <c r="AN6506">
        <v>1.0000000503722799</v>
      </c>
    </row>
    <row r="6507" spans="1:40" x14ac:dyDescent="0.25">
      <c r="A6507" t="str">
        <f>"20190312154735230"</f>
        <v>20190312154735230</v>
      </c>
      <c r="B6507" t="str">
        <f>"1552376855225222"</f>
        <v>1552376855225222</v>
      </c>
      <c r="C6507" t="s">
        <v>40</v>
      </c>
      <c r="D6507">
        <v>5.1795809999999998</v>
      </c>
      <c r="E6507">
        <v>0.52895080000000005</v>
      </c>
      <c r="F6507" t="s">
        <v>42</v>
      </c>
      <c r="G6507">
        <v>-157.3039</v>
      </c>
      <c r="H6507" s="1">
        <v>-1.160141E-6</v>
      </c>
      <c r="I6507">
        <v>139.69589999999999</v>
      </c>
      <c r="J6507">
        <v>-169.46680000000001</v>
      </c>
      <c r="K6507">
        <v>1.1090819999999999</v>
      </c>
      <c r="L6507">
        <v>138.99760000000001</v>
      </c>
      <c r="M6507">
        <v>0.96103419999999895</v>
      </c>
      <c r="N6507">
        <v>0</v>
      </c>
      <c r="O6507">
        <v>0.2761035</v>
      </c>
      <c r="P6507">
        <v>0.99033499999999997</v>
      </c>
      <c r="Q6507">
        <v>3.0047830000000001E-2</v>
      </c>
      <c r="R6507">
        <v>0.13540260000000001</v>
      </c>
      <c r="S6507">
        <v>3.0128020000000002</v>
      </c>
      <c r="T6507">
        <v>-0.27106669999999999</v>
      </c>
      <c r="U6507">
        <v>0.18132019999999999</v>
      </c>
      <c r="V6507">
        <v>0.143426</v>
      </c>
      <c r="W6507">
        <v>4.2981560000000002E-2</v>
      </c>
      <c r="X6507">
        <v>0.98872729999999998</v>
      </c>
      <c r="Y6507">
        <v>0.21594060000000001</v>
      </c>
      <c r="Z6507">
        <v>-3.4160240000000001E-2</v>
      </c>
      <c r="AA6507">
        <v>0.97580869999999997</v>
      </c>
      <c r="AB6507">
        <v>17</v>
      </c>
      <c r="AC6507">
        <v>12.1629</v>
      </c>
      <c r="AD6507">
        <v>-1.1090831601409901</v>
      </c>
      <c r="AE6507">
        <v>0.69829999999998804</v>
      </c>
      <c r="AF6507">
        <v>2.6652825261288799</v>
      </c>
      <c r="AG6507">
        <v>-1.1090831601409901</v>
      </c>
      <c r="AH6507">
        <v>11.785166335785799</v>
      </c>
      <c r="AI6507">
        <v>95.244500650602404</v>
      </c>
      <c r="AJ6507">
        <v>77.256606164413697</v>
      </c>
      <c r="AK6507">
        <v>12.133587349268799</v>
      </c>
      <c r="AL6507">
        <v>87.5365792547951</v>
      </c>
      <c r="AM6507">
        <v>81.746176723817996</v>
      </c>
      <c r="AN6507">
        <v>1.0000000528706601</v>
      </c>
    </row>
    <row r="6508" spans="1:40" x14ac:dyDescent="0.25">
      <c r="A6508" t="str">
        <f>"20190312154735254"</f>
        <v>20190312154735254</v>
      </c>
      <c r="B6508" t="str">
        <f>"1552376855244742"</f>
        <v>1552376855244742</v>
      </c>
      <c r="C6508" t="s">
        <v>40</v>
      </c>
      <c r="D6508">
        <v>5.2259719999999996</v>
      </c>
      <c r="E6508">
        <v>0.52828180000000002</v>
      </c>
      <c r="F6508" t="s">
        <v>42</v>
      </c>
      <c r="G6508">
        <v>-157.37979999999999</v>
      </c>
      <c r="H6508" s="1">
        <v>-1.14845E-6</v>
      </c>
      <c r="I6508">
        <v>139.77440000000001</v>
      </c>
      <c r="J6508">
        <v>-169.2885</v>
      </c>
      <c r="K6508">
        <v>1.109221</v>
      </c>
      <c r="L6508">
        <v>139.04490000000001</v>
      </c>
      <c r="M6508">
        <v>0.9618527</v>
      </c>
      <c r="N6508">
        <v>0</v>
      </c>
      <c r="O6508">
        <v>0.27323960000000003</v>
      </c>
      <c r="P6508">
        <v>0.99023749999999999</v>
      </c>
      <c r="Q6508">
        <v>2.814036E-2</v>
      </c>
      <c r="R6508">
        <v>0.136521</v>
      </c>
      <c r="S6508">
        <v>3.0112000000000001</v>
      </c>
      <c r="T6508">
        <v>-0.27630329999999997</v>
      </c>
      <c r="U6508">
        <v>0.19352720000000001</v>
      </c>
      <c r="V6508">
        <v>0.13935799999999901</v>
      </c>
      <c r="W6508">
        <v>4.1114959999999999E-2</v>
      </c>
      <c r="X6508">
        <v>0.98938820000000005</v>
      </c>
      <c r="Y6508">
        <v>0.20901910000000001</v>
      </c>
      <c r="Z6508">
        <v>-3.4258490000000003E-2</v>
      </c>
      <c r="AA6508">
        <v>0.97731129999999999</v>
      </c>
      <c r="AB6508">
        <v>17</v>
      </c>
      <c r="AC6508">
        <v>11.9087</v>
      </c>
      <c r="AD6508">
        <v>-1.10922214845</v>
      </c>
      <c r="AE6508">
        <v>0.72950000000000104</v>
      </c>
      <c r="AF6508">
        <v>2.5306130269336902</v>
      </c>
      <c r="AG6508">
        <v>-1.10922214845</v>
      </c>
      <c r="AH6508">
        <v>11.5549165286192</v>
      </c>
      <c r="AI6508">
        <v>95.357139600166306</v>
      </c>
      <c r="AJ6508">
        <v>77.646835239947606</v>
      </c>
      <c r="AK6508">
        <v>11.880676413826601</v>
      </c>
      <c r="AL6508">
        <v>87.643622233733595</v>
      </c>
      <c r="AM6508">
        <v>81.982478248554798</v>
      </c>
      <c r="AN6508">
        <v>1.00000005119951</v>
      </c>
    </row>
    <row r="6509" spans="1:40" x14ac:dyDescent="0.25">
      <c r="A6509" t="str">
        <f>"20190312154735275"</f>
        <v>20190312154735275</v>
      </c>
      <c r="B6509" t="str">
        <f>"1552376855265240"</f>
        <v>1552376855265240</v>
      </c>
      <c r="C6509" t="s">
        <v>40</v>
      </c>
      <c r="D6509">
        <v>5.1953529999999999</v>
      </c>
      <c r="E6509">
        <v>0.52771969999999901</v>
      </c>
      <c r="F6509" t="s">
        <v>42</v>
      </c>
      <c r="G6509">
        <v>-157.53440000000001</v>
      </c>
      <c r="H6509" s="1">
        <v>-1.097888E-6</v>
      </c>
      <c r="I6509">
        <v>139.83349999999999</v>
      </c>
      <c r="J6509">
        <v>-169.13140000000001</v>
      </c>
      <c r="K6509">
        <v>1.10934</v>
      </c>
      <c r="L6509">
        <v>139.0865</v>
      </c>
      <c r="M6509">
        <v>0.96249910000000005</v>
      </c>
      <c r="N6509">
        <v>0</v>
      </c>
      <c r="O6509">
        <v>0.2709548</v>
      </c>
      <c r="P6509">
        <v>0.99004899999999996</v>
      </c>
      <c r="Q6509">
        <v>2.680416E-2</v>
      </c>
      <c r="R6509">
        <v>0.1381473</v>
      </c>
      <c r="S6509">
        <v>3.0097960000000001</v>
      </c>
      <c r="T6509">
        <v>-0.28402919999999998</v>
      </c>
      <c r="U6509">
        <v>0.20195009999999999</v>
      </c>
      <c r="V6509">
        <v>0.1353762</v>
      </c>
      <c r="W6509">
        <v>3.9816169999999998E-2</v>
      </c>
      <c r="X6509">
        <v>0.98999389999999998</v>
      </c>
      <c r="Y6509">
        <v>0.20386109999999999</v>
      </c>
      <c r="Z6509">
        <v>-3.477276E-2</v>
      </c>
      <c r="AA6509">
        <v>0.97838210000000003</v>
      </c>
      <c r="AB6509">
        <v>17</v>
      </c>
      <c r="AC6509">
        <v>11.597</v>
      </c>
      <c r="AD6509">
        <v>-1.1093410978880001</v>
      </c>
      <c r="AE6509">
        <v>0.74699999999998501</v>
      </c>
      <c r="AF6509">
        <v>2.4016080617517299</v>
      </c>
      <c r="AG6509">
        <v>-1.1093410978880001</v>
      </c>
      <c r="AH6509">
        <v>11.2628886179281</v>
      </c>
      <c r="AI6509">
        <v>95.5023047334045</v>
      </c>
      <c r="AJ6509">
        <v>77.962979202971795</v>
      </c>
      <c r="AK6509">
        <v>11.5694001129526</v>
      </c>
      <c r="AL6509">
        <v>87.718098264702206</v>
      </c>
      <c r="AM6509">
        <v>82.213412751963901</v>
      </c>
      <c r="AN6509">
        <v>0.99999998247855904</v>
      </c>
    </row>
    <row r="6510" spans="1:40" x14ac:dyDescent="0.25">
      <c r="A6510" t="str">
        <f>"20190312154735296"</f>
        <v>20190312154735296</v>
      </c>
      <c r="B6510" t="str">
        <f>"1552376855284759"</f>
        <v>1552376855284759</v>
      </c>
      <c r="C6510" t="s">
        <v>40</v>
      </c>
      <c r="D6510">
        <v>5.1685470000000002</v>
      </c>
      <c r="E6510">
        <v>0.52725330000000004</v>
      </c>
      <c r="F6510" t="s">
        <v>42</v>
      </c>
      <c r="G6510">
        <v>-157.59700000000001</v>
      </c>
      <c r="H6510" s="1">
        <v>-1.0871539999999999E-6</v>
      </c>
      <c r="I6510">
        <v>139.89410000000001</v>
      </c>
      <c r="J6510">
        <v>-168.97829999999999</v>
      </c>
      <c r="K6510">
        <v>1.1094550000000001</v>
      </c>
      <c r="L6510">
        <v>139.12690000000001</v>
      </c>
      <c r="M6510">
        <v>0.96306179999999997</v>
      </c>
      <c r="N6510">
        <v>0</v>
      </c>
      <c r="O6510">
        <v>0.26894810000000002</v>
      </c>
      <c r="P6510">
        <v>0.98985639999999997</v>
      </c>
      <c r="Q6510">
        <v>2.70694E-2</v>
      </c>
      <c r="R6510">
        <v>0.1394696</v>
      </c>
      <c r="S6510">
        <v>3.008591</v>
      </c>
      <c r="T6510">
        <v>-0.2893559</v>
      </c>
      <c r="U6510">
        <v>0.21067810000000001</v>
      </c>
      <c r="V6510">
        <v>0.13197529999999999</v>
      </c>
      <c r="W6510">
        <v>4.0113959999999997E-2</v>
      </c>
      <c r="X6510">
        <v>0.99044100000000002</v>
      </c>
      <c r="Y6510">
        <v>0.1989197</v>
      </c>
      <c r="Z6510">
        <v>-3.5007360000000001E-2</v>
      </c>
      <c r="AA6510">
        <v>0.97939030000000005</v>
      </c>
      <c r="AB6510">
        <v>17</v>
      </c>
      <c r="AC6510">
        <v>11.3812999999999</v>
      </c>
      <c r="AD6510">
        <v>-1.10945608715399</v>
      </c>
      <c r="AE6510">
        <v>0.76720000000000199</v>
      </c>
      <c r="AF6510">
        <v>2.3005635764618901</v>
      </c>
      <c r="AG6510">
        <v>-1.10945608715399</v>
      </c>
      <c r="AH6510">
        <v>11.063575487309899</v>
      </c>
      <c r="AI6510">
        <v>95.607324176831796</v>
      </c>
      <c r="AJ6510">
        <v>78.253293335760304</v>
      </c>
      <c r="AK6510">
        <v>11.3545668407946</v>
      </c>
      <c r="AL6510">
        <v>87.701022533948603</v>
      </c>
      <c r="AM6510">
        <v>82.410102681627393</v>
      </c>
      <c r="AN6510">
        <v>0.99999999203898504</v>
      </c>
    </row>
    <row r="6511" spans="1:40" x14ac:dyDescent="0.25">
      <c r="A6511" t="str">
        <f>"20190312154735319"</f>
        <v>20190312154735319</v>
      </c>
      <c r="B6511" t="str">
        <f>"1552376855305255"</f>
        <v>1552376855305255</v>
      </c>
      <c r="C6511" t="s">
        <v>40</v>
      </c>
      <c r="D6511">
        <v>5.2179659999999997</v>
      </c>
      <c r="E6511">
        <v>0.52685799999999905</v>
      </c>
      <c r="F6511" t="s">
        <v>42</v>
      </c>
      <c r="G6511">
        <v>-157.45089999999999</v>
      </c>
      <c r="H6511" s="1">
        <v>-1.1677879999999999E-6</v>
      </c>
      <c r="I6511">
        <v>139.96170000000001</v>
      </c>
      <c r="J6511">
        <v>-168.80950000000001</v>
      </c>
      <c r="K6511">
        <v>1.1095680000000001</v>
      </c>
      <c r="L6511">
        <v>139.17140000000001</v>
      </c>
      <c r="M6511">
        <v>0.96361209999999997</v>
      </c>
      <c r="N6511">
        <v>0</v>
      </c>
      <c r="O6511">
        <v>0.26697120000000002</v>
      </c>
      <c r="P6511">
        <v>0.98977930000000003</v>
      </c>
      <c r="Q6511">
        <v>2.6897770000000001E-2</v>
      </c>
      <c r="R6511">
        <v>0.14004849999999999</v>
      </c>
      <c r="S6511">
        <v>3.0079799999999999</v>
      </c>
      <c r="T6511">
        <v>-0.2895045</v>
      </c>
      <c r="U6511">
        <v>0.21783449999999999</v>
      </c>
      <c r="V6511">
        <v>0.12935160000000001</v>
      </c>
      <c r="W6511">
        <v>3.9971489999999998E-2</v>
      </c>
      <c r="X6511">
        <v>0.99079280000000003</v>
      </c>
      <c r="Y6511">
        <v>0.194601</v>
      </c>
      <c r="Z6511">
        <v>-3.4637010000000003E-2</v>
      </c>
      <c r="AA6511">
        <v>0.98027070000000005</v>
      </c>
      <c r="AB6511">
        <v>17</v>
      </c>
      <c r="AC6511">
        <v>11.358599999999999</v>
      </c>
      <c r="AD6511">
        <v>-1.109569167788</v>
      </c>
      <c r="AE6511">
        <v>0.790300000000002</v>
      </c>
      <c r="AF6511">
        <v>2.24971435183329</v>
      </c>
      <c r="AG6511">
        <v>-1.109569167788</v>
      </c>
      <c r="AH6511">
        <v>11.0523075208904</v>
      </c>
      <c r="AI6511">
        <v>95.618406895959893</v>
      </c>
      <c r="AJ6511">
        <v>78.494539373021098</v>
      </c>
      <c r="AK6511">
        <v>11.333395781462899</v>
      </c>
      <c r="AL6511">
        <v>87.709191952752306</v>
      </c>
      <c r="AM6511">
        <v>82.561896397478193</v>
      </c>
      <c r="AN6511">
        <v>0.99999996448360895</v>
      </c>
    </row>
    <row r="6512" spans="1:40" x14ac:dyDescent="0.25">
      <c r="A6512" t="str">
        <f>"20190312154735345"</f>
        <v>20190312154735345</v>
      </c>
      <c r="B6512" t="str">
        <f>"1552376855334535"</f>
        <v>1552376855334535</v>
      </c>
      <c r="C6512" t="s">
        <v>40</v>
      </c>
      <c r="D6512">
        <v>5.2427780000000004</v>
      </c>
      <c r="E6512">
        <v>0.52650859999999899</v>
      </c>
      <c r="F6512" t="s">
        <v>41</v>
      </c>
      <c r="G6512">
        <v>-168.0384</v>
      </c>
      <c r="H6512">
        <v>1.0349200000000001</v>
      </c>
      <c r="I6512">
        <v>139.22829999999999</v>
      </c>
      <c r="J6512">
        <v>-168.63059999999999</v>
      </c>
      <c r="K6512">
        <v>1.1096680000000001</v>
      </c>
      <c r="L6512">
        <v>139.21850000000001</v>
      </c>
      <c r="M6512">
        <v>0.96412390000000003</v>
      </c>
      <c r="N6512">
        <v>0</v>
      </c>
      <c r="O6512">
        <v>0.26511750000000001</v>
      </c>
      <c r="P6512">
        <v>0.98971129999999996</v>
      </c>
      <c r="Q6512">
        <v>2.6055700000000001E-2</v>
      </c>
      <c r="R6512">
        <v>0.1406878</v>
      </c>
      <c r="S6512">
        <v>3.0074459999999998</v>
      </c>
      <c r="T6512">
        <v>-0.29110770000000002</v>
      </c>
      <c r="U6512">
        <v>0.22219849999999999</v>
      </c>
      <c r="V6512">
        <v>0.1268</v>
      </c>
      <c r="W6512">
        <v>3.9152449999999998E-2</v>
      </c>
      <c r="X6512">
        <v>0.99115529999999996</v>
      </c>
      <c r="Y6512">
        <v>0.1912867</v>
      </c>
      <c r="Z6512">
        <v>-3.4498319999999999E-2</v>
      </c>
      <c r="AA6512">
        <v>0.98092780000000002</v>
      </c>
      <c r="AB6512">
        <v>17</v>
      </c>
      <c r="AC6512">
        <v>0.59219999999999096</v>
      </c>
      <c r="AD6512">
        <v>-7.4747999999999995E-2</v>
      </c>
      <c r="AE6512">
        <v>9.7999999999842605E-3</v>
      </c>
      <c r="AF6512">
        <v>0.14525378248062601</v>
      </c>
      <c r="AG6512">
        <v>-7.4747999999999995E-2</v>
      </c>
      <c r="AH6512">
        <v>0.56461057708459395</v>
      </c>
      <c r="AI6512">
        <v>97.306241610056006</v>
      </c>
      <c r="AJ6512">
        <v>75.572734949221896</v>
      </c>
      <c r="AK6512">
        <v>0.58776783561600798</v>
      </c>
      <c r="AL6512">
        <v>87.756156319183205</v>
      </c>
      <c r="AM6512">
        <v>82.709664323820903</v>
      </c>
      <c r="AN6512">
        <v>0.999999991529546</v>
      </c>
    </row>
    <row r="6513" spans="1:40" x14ac:dyDescent="0.25">
      <c r="A6513" t="str">
        <f>"20190312154735371"</f>
        <v>20190312154735371</v>
      </c>
      <c r="B6513" t="str">
        <f>"1552376855364791"</f>
        <v>1552376855364791</v>
      </c>
      <c r="C6513" t="s">
        <v>40</v>
      </c>
      <c r="D6513">
        <v>5.2333040000000004</v>
      </c>
      <c r="E6513">
        <v>0.52608690000000002</v>
      </c>
      <c r="F6513" t="s">
        <v>41</v>
      </c>
      <c r="G6513">
        <v>-167.75020000000001</v>
      </c>
      <c r="H6513">
        <v>1.0232289999999999</v>
      </c>
      <c r="I6513">
        <v>139.28460000000001</v>
      </c>
      <c r="J6513">
        <v>-168.43459999999999</v>
      </c>
      <c r="K6513">
        <v>1.109728</v>
      </c>
      <c r="L6513">
        <v>139.27000000000001</v>
      </c>
      <c r="M6513">
        <v>0.96461390000000002</v>
      </c>
      <c r="N6513">
        <v>0</v>
      </c>
      <c r="O6513">
        <v>0.2633296</v>
      </c>
      <c r="P6513">
        <v>0.98960669999999995</v>
      </c>
      <c r="Q6513">
        <v>2.5255300000000001E-2</v>
      </c>
      <c r="R6513">
        <v>0.14156579999999999</v>
      </c>
      <c r="S6513">
        <v>3.006866</v>
      </c>
      <c r="T6513">
        <v>-0.29521419999999998</v>
      </c>
      <c r="U6513">
        <v>0.2257538</v>
      </c>
      <c r="V6513">
        <v>0.1240808</v>
      </c>
      <c r="W6513">
        <v>3.8362449999999999E-2</v>
      </c>
      <c r="X6513">
        <v>0.99153020000000003</v>
      </c>
      <c r="Y6513">
        <v>0.18826209999999999</v>
      </c>
      <c r="Z6513">
        <v>-3.4669739999999998E-2</v>
      </c>
      <c r="AA6513">
        <v>0.98150669999999995</v>
      </c>
      <c r="AB6513">
        <v>17</v>
      </c>
      <c r="AC6513">
        <v>0.68439999999998202</v>
      </c>
      <c r="AD6513">
        <v>-8.6498999999999798E-2</v>
      </c>
      <c r="AE6513">
        <v>1.4600000000001501E-2</v>
      </c>
      <c r="AF6513">
        <v>0.16354298776221299</v>
      </c>
      <c r="AG6513">
        <v>-8.6498999999999798E-2</v>
      </c>
      <c r="AH6513">
        <v>0.65364895826328795</v>
      </c>
      <c r="AI6513">
        <v>97.315353868237594</v>
      </c>
      <c r="AJ6513">
        <v>75.952970433571096</v>
      </c>
      <c r="AK6513">
        <v>0.67932712774176296</v>
      </c>
      <c r="AL6513">
        <v>87.801453885765795</v>
      </c>
      <c r="AM6513">
        <v>82.867045345565202</v>
      </c>
      <c r="AN6513">
        <v>0.99999993000533804</v>
      </c>
    </row>
    <row r="6514" spans="1:40" x14ac:dyDescent="0.25">
      <c r="A6514" t="str">
        <f>"20190312154735389"</f>
        <v>20190312154735389</v>
      </c>
      <c r="B6514" t="str">
        <f>"1552376855385287"</f>
        <v>1552376855385287</v>
      </c>
      <c r="C6514" t="s">
        <v>40</v>
      </c>
      <c r="D6514">
        <v>5.1651540000000002</v>
      </c>
      <c r="E6514">
        <v>0.52580419999999894</v>
      </c>
      <c r="F6514" t="s">
        <v>41</v>
      </c>
      <c r="G6514">
        <v>-167.60769999999999</v>
      </c>
      <c r="H6514">
        <v>1.0274939999999999</v>
      </c>
      <c r="I6514">
        <v>139.33330000000001</v>
      </c>
      <c r="J6514">
        <v>-168.31110000000001</v>
      </c>
      <c r="K6514">
        <v>1.109737</v>
      </c>
      <c r="L6514">
        <v>139.30240000000001</v>
      </c>
      <c r="M6514">
        <v>0.96490260000000005</v>
      </c>
      <c r="N6514">
        <v>0</v>
      </c>
      <c r="O6514">
        <v>0.26227030000000001</v>
      </c>
      <c r="P6514">
        <v>0.98942969999999997</v>
      </c>
      <c r="Q6514">
        <v>2.4202499999999998E-2</v>
      </c>
      <c r="R6514">
        <v>0.14297989999999999</v>
      </c>
      <c r="S6514">
        <v>3.0061800000000001</v>
      </c>
      <c r="T6514">
        <v>-0.29894320000000002</v>
      </c>
      <c r="U6514">
        <v>0.2302246</v>
      </c>
      <c r="V6514">
        <v>0.1215791</v>
      </c>
      <c r="W6514">
        <v>3.7311780000000003E-2</v>
      </c>
      <c r="X6514">
        <v>0.99188019999999999</v>
      </c>
      <c r="Y6514">
        <v>0.18567839999999999</v>
      </c>
      <c r="Z6514">
        <v>-3.4880769999999998E-2</v>
      </c>
      <c r="AA6514">
        <v>0.98199130000000001</v>
      </c>
      <c r="AB6514">
        <v>17</v>
      </c>
      <c r="AC6514">
        <v>0.70340000000001601</v>
      </c>
      <c r="AD6514">
        <v>-8.2242999999999802E-2</v>
      </c>
      <c r="AE6514">
        <v>3.0900000000002498E-2</v>
      </c>
      <c r="AF6514">
        <v>0.152597046707247</v>
      </c>
      <c r="AG6514">
        <v>-8.2242999999999802E-2</v>
      </c>
      <c r="AH6514">
        <v>0.67763161542263295</v>
      </c>
      <c r="AI6514">
        <v>96.752567419181005</v>
      </c>
      <c r="AJ6514">
        <v>77.3091600727073</v>
      </c>
      <c r="AK6514">
        <v>0.69945291187688996</v>
      </c>
      <c r="AL6514">
        <v>87.861696113414197</v>
      </c>
      <c r="AM6514">
        <v>83.011863954843506</v>
      </c>
      <c r="AN6514">
        <v>0.99999998881780905</v>
      </c>
    </row>
    <row r="6515" spans="1:40" x14ac:dyDescent="0.25">
      <c r="A6515" t="str">
        <f>"20190312154735411"</f>
        <v>20190312154735411</v>
      </c>
      <c r="B6515" t="str">
        <f>"1552376855404808"</f>
        <v>1552376855404808</v>
      </c>
      <c r="C6515" t="s">
        <v>40</v>
      </c>
      <c r="D6515">
        <v>5.2506919999999999</v>
      </c>
      <c r="E6515">
        <v>0.52565119999999999</v>
      </c>
      <c r="F6515" t="s">
        <v>41</v>
      </c>
      <c r="G6515">
        <v>-167.465</v>
      </c>
      <c r="H6515">
        <v>1.0246959999999901</v>
      </c>
      <c r="I6515">
        <v>139.36840000000001</v>
      </c>
      <c r="J6515">
        <v>-168.14259999999999</v>
      </c>
      <c r="K6515">
        <v>1.109712</v>
      </c>
      <c r="L6515">
        <v>139.34639999999999</v>
      </c>
      <c r="M6515">
        <v>0.96528119999999995</v>
      </c>
      <c r="N6515">
        <v>0</v>
      </c>
      <c r="O6515">
        <v>0.26087389999999999</v>
      </c>
      <c r="P6515">
        <v>0.98931599999999997</v>
      </c>
      <c r="Q6515">
        <v>2.249895E-2</v>
      </c>
      <c r="R6515">
        <v>0.14404220000000001</v>
      </c>
      <c r="S6515">
        <v>3.0054630000000002</v>
      </c>
      <c r="T6515">
        <v>-0.30204940000000002</v>
      </c>
      <c r="U6515">
        <v>0.23512269999999999</v>
      </c>
      <c r="V6515">
        <v>0.11908829999999999</v>
      </c>
      <c r="W6515">
        <v>3.5599640000000002E-2</v>
      </c>
      <c r="X6515">
        <v>0.9922453</v>
      </c>
      <c r="Y6515">
        <v>0.1826236</v>
      </c>
      <c r="Z6515">
        <v>-3.4957990000000001E-2</v>
      </c>
      <c r="AA6515">
        <v>0.98256120000000002</v>
      </c>
      <c r="AB6515">
        <v>17</v>
      </c>
      <c r="AC6515">
        <v>0.67759999999998399</v>
      </c>
      <c r="AD6515">
        <v>-8.5016000000000203E-2</v>
      </c>
      <c r="AE6515">
        <v>2.2000000000019702E-2</v>
      </c>
      <c r="AF6515">
        <v>0.153137611687888</v>
      </c>
      <c r="AG6515">
        <v>-8.5016000000000203E-2</v>
      </c>
      <c r="AH6515">
        <v>0.64965618045168705</v>
      </c>
      <c r="AI6515">
        <v>97.258804329409003</v>
      </c>
      <c r="AJ6515">
        <v>76.736306206709003</v>
      </c>
      <c r="AK6515">
        <v>0.67285362536627902</v>
      </c>
      <c r="AL6515">
        <v>87.959859892522303</v>
      </c>
      <c r="AM6515">
        <v>83.156152778090203</v>
      </c>
      <c r="AN6515">
        <v>1.0000000464685499</v>
      </c>
    </row>
    <row r="6516" spans="1:40" x14ac:dyDescent="0.25">
      <c r="A6516" t="str">
        <f>"20190312154735435"</f>
        <v>20190312154735435</v>
      </c>
      <c r="B6516" t="str">
        <f>"1552376855425302"</f>
        <v>1552376855425302</v>
      </c>
      <c r="C6516" t="s">
        <v>40</v>
      </c>
      <c r="D6516">
        <v>5.2540079999999998</v>
      </c>
      <c r="E6516">
        <v>0.52553729999999999</v>
      </c>
      <c r="F6516" t="s">
        <v>41</v>
      </c>
      <c r="G6516">
        <v>-167.3229</v>
      </c>
      <c r="H6516">
        <v>1.0259309999999999</v>
      </c>
      <c r="I6516">
        <v>139.41120000000001</v>
      </c>
      <c r="J6516">
        <v>-167.97380000000001</v>
      </c>
      <c r="K6516">
        <v>1.109661</v>
      </c>
      <c r="L6516">
        <v>139.39019999999999</v>
      </c>
      <c r="M6516">
        <v>0.96565869999999998</v>
      </c>
      <c r="N6516">
        <v>0</v>
      </c>
      <c r="O6516">
        <v>0.25947310000000001</v>
      </c>
      <c r="P6516">
        <v>0.98912929999999999</v>
      </c>
      <c r="Q6516">
        <v>2.060178E-2</v>
      </c>
      <c r="R6516">
        <v>0.14559800000000001</v>
      </c>
      <c r="S6516">
        <v>3.004791</v>
      </c>
      <c r="T6516">
        <v>-0.30713279999999998</v>
      </c>
      <c r="U6516">
        <v>0.2377319</v>
      </c>
      <c r="V6516">
        <v>0.11609990000000001</v>
      </c>
      <c r="W6516">
        <v>3.3688669999999997E-2</v>
      </c>
      <c r="X6516">
        <v>0.9926661</v>
      </c>
      <c r="Y6516">
        <v>0.1802762</v>
      </c>
      <c r="Z6516">
        <v>-3.529173E-2</v>
      </c>
      <c r="AA6516">
        <v>0.98298269999999999</v>
      </c>
      <c r="AB6516">
        <v>17</v>
      </c>
      <c r="AC6516">
        <v>0.65090000000000703</v>
      </c>
      <c r="AD6516">
        <v>-8.3729999999999999E-2</v>
      </c>
      <c r="AE6516">
        <v>2.1000000000015E-2</v>
      </c>
      <c r="AF6516">
        <v>0.14620848480705001</v>
      </c>
      <c r="AG6516">
        <v>-8.3729999999999999E-2</v>
      </c>
      <c r="AH6516">
        <v>0.62374163247424297</v>
      </c>
      <c r="AI6516">
        <v>97.4461060947189</v>
      </c>
      <c r="AJ6516">
        <v>76.8077314171409</v>
      </c>
      <c r="AK6516">
        <v>0.64609694165133402</v>
      </c>
      <c r="AL6516">
        <v>88.069416191570298</v>
      </c>
      <c r="AM6516">
        <v>83.3291269421115</v>
      </c>
      <c r="AN6516">
        <v>1.0000000496777901</v>
      </c>
    </row>
    <row r="6517" spans="1:40" x14ac:dyDescent="0.25">
      <c r="A6517" t="str">
        <f>"20190312154735461"</f>
        <v>20190312154735461</v>
      </c>
      <c r="B6517" t="str">
        <f>"1552376855454584"</f>
        <v>1552376855454584</v>
      </c>
      <c r="C6517" t="s">
        <v>40</v>
      </c>
      <c r="D6517">
        <v>5.2325980000000003</v>
      </c>
      <c r="E6517">
        <v>0.52541230000000005</v>
      </c>
      <c r="F6517" t="s">
        <v>41</v>
      </c>
      <c r="G6517">
        <v>-167.1806</v>
      </c>
      <c r="H6517">
        <v>1.027018</v>
      </c>
      <c r="I6517">
        <v>139.45400000000001</v>
      </c>
      <c r="J6517">
        <v>-167.78909999999999</v>
      </c>
      <c r="K6517">
        <v>1.1095729999999999</v>
      </c>
      <c r="L6517">
        <v>139.43770000000001</v>
      </c>
      <c r="M6517">
        <v>0.96608669999999996</v>
      </c>
      <c r="N6517">
        <v>0</v>
      </c>
      <c r="O6517">
        <v>0.25787559999999998</v>
      </c>
      <c r="P6517">
        <v>0.98898759999999997</v>
      </c>
      <c r="Q6517">
        <v>2.0256420000000001E-2</v>
      </c>
      <c r="R6517">
        <v>0.1466064</v>
      </c>
      <c r="S6517">
        <v>3.003876</v>
      </c>
      <c r="T6517">
        <v>-0.31297789999999998</v>
      </c>
      <c r="U6517">
        <v>0.24192810000000001</v>
      </c>
      <c r="V6517">
        <v>0.113453</v>
      </c>
      <c r="W6517">
        <v>3.3322190000000002E-2</v>
      </c>
      <c r="X6517">
        <v>0.99298439999999999</v>
      </c>
      <c r="Y6517">
        <v>0.17719869999999999</v>
      </c>
      <c r="Z6517">
        <v>-3.564734E-2</v>
      </c>
      <c r="AA6517">
        <v>0.98352930000000005</v>
      </c>
      <c r="AB6517">
        <v>17</v>
      </c>
      <c r="AC6517">
        <v>0.60849999999999205</v>
      </c>
      <c r="AD6517">
        <v>-8.2554999999999906E-2</v>
      </c>
      <c r="AE6517">
        <v>1.6300000000001001E-2</v>
      </c>
      <c r="AF6517">
        <v>0.13863268104128901</v>
      </c>
      <c r="AG6517">
        <v>-8.2554999999999906E-2</v>
      </c>
      <c r="AH6517">
        <v>0.58142524267176499</v>
      </c>
      <c r="AI6517">
        <v>97.863685766497497</v>
      </c>
      <c r="AJ6517">
        <v>76.589029505146797</v>
      </c>
      <c r="AK6517">
        <v>0.60339842649249298</v>
      </c>
      <c r="AL6517">
        <v>88.090425620675802</v>
      </c>
      <c r="AM6517">
        <v>83.481960005394001</v>
      </c>
      <c r="AN6517">
        <v>0.99999998509937704</v>
      </c>
    </row>
    <row r="6518" spans="1:40" x14ac:dyDescent="0.25">
      <c r="A6518" t="str">
        <f>"20190312154735477"</f>
        <v>20190312154735477</v>
      </c>
      <c r="B6518" t="str">
        <f>"1552376855465319"</f>
        <v>1552376855465319</v>
      </c>
      <c r="C6518" t="s">
        <v>40</v>
      </c>
      <c r="D6518">
        <v>5.1944569999999999</v>
      </c>
      <c r="E6518">
        <v>0.52536260000000001</v>
      </c>
      <c r="F6518" t="s">
        <v>41</v>
      </c>
      <c r="G6518">
        <v>-167.03729999999999</v>
      </c>
      <c r="H6518">
        <v>1.0307580000000001</v>
      </c>
      <c r="I6518">
        <v>139.499</v>
      </c>
      <c r="J6518">
        <v>-167.67429999999999</v>
      </c>
      <c r="K6518">
        <v>1.1095029999999999</v>
      </c>
      <c r="L6518">
        <v>139.46709999999999</v>
      </c>
      <c r="M6518">
        <v>0.96636999999999995</v>
      </c>
      <c r="N6518">
        <v>0</v>
      </c>
      <c r="O6518">
        <v>0.25681159999999997</v>
      </c>
      <c r="P6518">
        <v>0.98863920000000005</v>
      </c>
      <c r="Q6518">
        <v>2.0858069999999999E-2</v>
      </c>
      <c r="R6518">
        <v>0.1488544</v>
      </c>
      <c r="S6518">
        <v>3.0035400000000001</v>
      </c>
      <c r="T6518">
        <v>-0.31489230000000001</v>
      </c>
      <c r="U6518">
        <v>0.2450562</v>
      </c>
      <c r="V6518">
        <v>0.1101029</v>
      </c>
      <c r="W6518">
        <v>3.3914090000000001E-2</v>
      </c>
      <c r="X6518">
        <v>0.99334140000000004</v>
      </c>
      <c r="Y6518">
        <v>0.17507719999999999</v>
      </c>
      <c r="Z6518">
        <v>-3.5647499999999999E-2</v>
      </c>
      <c r="AA6518">
        <v>0.98390909999999998</v>
      </c>
      <c r="AB6518">
        <v>17</v>
      </c>
      <c r="AC6518">
        <v>0.63700000000000001</v>
      </c>
      <c r="AD6518">
        <v>-7.8744999999999996E-2</v>
      </c>
      <c r="AE6518">
        <v>3.1900000000007298E-2</v>
      </c>
      <c r="AF6518">
        <v>0.130780005209814</v>
      </c>
      <c r="AG6518">
        <v>-7.8744999999999996E-2</v>
      </c>
      <c r="AH6518">
        <v>0.61445875032496</v>
      </c>
      <c r="AI6518">
        <v>97.144523802179506</v>
      </c>
      <c r="AJ6518">
        <v>77.984587538544801</v>
      </c>
      <c r="AK6518">
        <v>0.63313801073588205</v>
      </c>
      <c r="AL6518">
        <v>88.056493048800704</v>
      </c>
      <c r="AM6518">
        <v>83.675099282752697</v>
      </c>
      <c r="AN6518">
        <v>0.99999997552144804</v>
      </c>
    </row>
    <row r="6519" spans="1:40" x14ac:dyDescent="0.25">
      <c r="A6519" t="str">
        <f>"20190312154735499"</f>
        <v>20190312154735499</v>
      </c>
      <c r="B6519" t="str">
        <f>"1552376855484839"</f>
        <v>1552376855484839</v>
      </c>
      <c r="C6519" t="s">
        <v>40</v>
      </c>
      <c r="D6519">
        <v>5.2077260000000001</v>
      </c>
      <c r="E6519">
        <v>0.52533039999999998</v>
      </c>
      <c r="F6519" t="s">
        <v>41</v>
      </c>
      <c r="G6519">
        <v>-166.89420000000001</v>
      </c>
      <c r="H6519">
        <v>1.0281039999999999</v>
      </c>
      <c r="I6519">
        <v>139.5325</v>
      </c>
      <c r="J6519">
        <v>-167.51740000000001</v>
      </c>
      <c r="K6519">
        <v>1.109397</v>
      </c>
      <c r="L6519">
        <v>139.5069</v>
      </c>
      <c r="M6519">
        <v>0.96677999999999997</v>
      </c>
      <c r="N6519">
        <v>0</v>
      </c>
      <c r="O6519">
        <v>0.25526379999999999</v>
      </c>
      <c r="P6519">
        <v>0.98835430000000002</v>
      </c>
      <c r="Q6519">
        <v>2.1021249999999998E-2</v>
      </c>
      <c r="R6519">
        <v>0.15071180000000001</v>
      </c>
      <c r="S6519">
        <v>3.0031129999999999</v>
      </c>
      <c r="T6519">
        <v>-0.3133708</v>
      </c>
      <c r="U6519">
        <v>0.2522278</v>
      </c>
      <c r="V6519">
        <v>0.10665090000000001</v>
      </c>
      <c r="W6519">
        <v>3.4061349999999997E-2</v>
      </c>
      <c r="X6519">
        <v>0.99371299999999996</v>
      </c>
      <c r="Y6519">
        <v>0.17120569999999999</v>
      </c>
      <c r="Z6519">
        <v>-3.5118870000000003E-2</v>
      </c>
      <c r="AA6519">
        <v>0.98460919999999996</v>
      </c>
      <c r="AB6519">
        <v>17</v>
      </c>
      <c r="AC6519">
        <v>0.62319999999999698</v>
      </c>
      <c r="AD6519">
        <v>-8.1292999999999796E-2</v>
      </c>
      <c r="AE6519">
        <v>2.5599999999997101E-2</v>
      </c>
      <c r="AF6519">
        <v>0.13209873603219599</v>
      </c>
      <c r="AG6519">
        <v>-8.1292999999999796E-2</v>
      </c>
      <c r="AH6519">
        <v>0.598912123295407</v>
      </c>
      <c r="AI6519">
        <v>97.550460450687297</v>
      </c>
      <c r="AJ6519">
        <v>77.561736366798002</v>
      </c>
      <c r="AK6519">
        <v>0.61867144700601495</v>
      </c>
      <c r="AL6519">
        <v>88.048050956037798</v>
      </c>
      <c r="AM6519">
        <v>83.874141876682103</v>
      </c>
      <c r="AN6519">
        <v>1.00000005820181</v>
      </c>
    </row>
    <row r="6520" spans="1:40" x14ac:dyDescent="0.25">
      <c r="A6520" t="str">
        <f>"20190312154735519"</f>
        <v>20190312154735519</v>
      </c>
      <c r="B6520" t="str">
        <f>"1552376855515095"</f>
        <v>1552376855515095</v>
      </c>
      <c r="C6520" t="s">
        <v>40</v>
      </c>
      <c r="D6520">
        <v>5.1675969999999998</v>
      </c>
      <c r="E6520">
        <v>0.5252076</v>
      </c>
      <c r="F6520" t="s">
        <v>41</v>
      </c>
      <c r="G6520">
        <v>-166.75129999999999</v>
      </c>
      <c r="H6520">
        <v>1.0292559999999999</v>
      </c>
      <c r="I6520">
        <v>139.5729</v>
      </c>
      <c r="J6520">
        <v>-167.3657</v>
      </c>
      <c r="K6520">
        <v>1.1092789999999999</v>
      </c>
      <c r="L6520">
        <v>139.54499999999999</v>
      </c>
      <c r="M6520">
        <v>0.9672058</v>
      </c>
      <c r="N6520">
        <v>0</v>
      </c>
      <c r="O6520">
        <v>0.25364619999999999</v>
      </c>
      <c r="P6520">
        <v>0.9880911</v>
      </c>
      <c r="Q6520">
        <v>1.9197059999999998E-2</v>
      </c>
      <c r="R6520">
        <v>0.15266930000000001</v>
      </c>
      <c r="S6520">
        <v>3.002548</v>
      </c>
      <c r="T6520">
        <v>-0.31403530000000002</v>
      </c>
      <c r="U6520">
        <v>0.25897219999999999</v>
      </c>
      <c r="V6520">
        <v>0.10303229999999999</v>
      </c>
      <c r="W6520">
        <v>3.2223670000000003E-2</v>
      </c>
      <c r="X6520">
        <v>0.99415589999999998</v>
      </c>
      <c r="Y6520">
        <v>0.16736489999999901</v>
      </c>
      <c r="Z6520">
        <v>-3.483116E-2</v>
      </c>
      <c r="AA6520">
        <v>0.98527960000000003</v>
      </c>
      <c r="AB6520">
        <v>17</v>
      </c>
      <c r="AC6520">
        <v>0.61440000000001704</v>
      </c>
      <c r="AD6520">
        <v>-8.0023000000000094E-2</v>
      </c>
      <c r="AE6520">
        <v>2.7900000000016599E-2</v>
      </c>
      <c r="AF6520">
        <v>0.12672128822193099</v>
      </c>
      <c r="AG6520">
        <v>-8.0023000000000094E-2</v>
      </c>
      <c r="AH6520">
        <v>0.59136973207403998</v>
      </c>
      <c r="AI6520">
        <v>97.537272319479598</v>
      </c>
      <c r="AJ6520">
        <v>77.905316772124294</v>
      </c>
      <c r="AK6520">
        <v>0.61006567304754</v>
      </c>
      <c r="AL6520">
        <v>88.153400015707106</v>
      </c>
      <c r="AM6520">
        <v>84.083105464050803</v>
      </c>
      <c r="AN6520">
        <v>0.99999998662818401</v>
      </c>
    </row>
    <row r="6521" spans="1:40" x14ac:dyDescent="0.25">
      <c r="A6521" t="str">
        <f>"20190312154735571"</f>
        <v>20190312154735571</v>
      </c>
      <c r="B6521" t="str">
        <f>"1552376855564872"</f>
        <v>1552376855564872</v>
      </c>
      <c r="C6521" t="s">
        <v>40</v>
      </c>
      <c r="D6521">
        <v>5.155303</v>
      </c>
      <c r="E6521">
        <v>0.52514209999999995</v>
      </c>
      <c r="F6521" t="s">
        <v>41</v>
      </c>
      <c r="G6521">
        <v>-166.60939999999999</v>
      </c>
      <c r="H6521">
        <v>1.0280739999999999</v>
      </c>
      <c r="I6521">
        <v>139.6122</v>
      </c>
      <c r="J6521">
        <v>-166.99680000000001</v>
      </c>
      <c r="K6521">
        <v>1.1090530000000001</v>
      </c>
      <c r="L6521">
        <v>139.63589999999999</v>
      </c>
      <c r="M6521">
        <v>0.96836080000000002</v>
      </c>
      <c r="N6521">
        <v>0</v>
      </c>
      <c r="O6521">
        <v>0.2491998</v>
      </c>
      <c r="P6521">
        <v>0.98877700000000002</v>
      </c>
      <c r="Q6521">
        <v>1.1788460000000001E-2</v>
      </c>
      <c r="R6521">
        <v>0.14893429999999999</v>
      </c>
      <c r="S6521">
        <v>3.0011139999999998</v>
      </c>
      <c r="T6521">
        <v>-0.32220529999999997</v>
      </c>
      <c r="U6521">
        <v>0.26715090000000002</v>
      </c>
      <c r="V6521">
        <v>0.1022499</v>
      </c>
      <c r="W6521">
        <v>2.4764689999999999E-2</v>
      </c>
      <c r="X6521">
        <v>0.99445039999999996</v>
      </c>
      <c r="Y6521">
        <v>0.1600733</v>
      </c>
      <c r="Z6521">
        <v>-3.4892510000000002E-2</v>
      </c>
      <c r="AA6521">
        <v>0.98648820000000004</v>
      </c>
      <c r="AB6521">
        <v>16</v>
      </c>
      <c r="AC6521">
        <v>0.38740000000001301</v>
      </c>
      <c r="AD6521">
        <v>-8.0979000000000106E-2</v>
      </c>
      <c r="AE6521">
        <v>-2.3699999999990898E-2</v>
      </c>
      <c r="AF6521">
        <v>0.114515684330648</v>
      </c>
      <c r="AG6521">
        <v>-8.0979000000000106E-2</v>
      </c>
      <c r="AH6521">
        <v>0.353865314248546</v>
      </c>
      <c r="AI6521">
        <v>102.282997594625</v>
      </c>
      <c r="AJ6521">
        <v>72.067705552022503</v>
      </c>
      <c r="AK6521">
        <v>0.38064695063396797</v>
      </c>
      <c r="AL6521">
        <v>88.580942658236495</v>
      </c>
      <c r="AM6521">
        <v>84.129448507592201</v>
      </c>
      <c r="AN6521">
        <v>0.99999996499048205</v>
      </c>
    </row>
    <row r="6522" spans="1:40" x14ac:dyDescent="0.25">
      <c r="A6522" t="str">
        <f>"20190312154735598"</f>
        <v>20190312154735598</v>
      </c>
      <c r="B6522" t="str">
        <f>"1552376855585367"</f>
        <v>1552376855585367</v>
      </c>
      <c r="C6522" t="s">
        <v>40</v>
      </c>
      <c r="D6522">
        <v>5.1246010000000002</v>
      </c>
      <c r="E6522">
        <v>0.52522400000000002</v>
      </c>
      <c r="F6522" t="s">
        <v>41</v>
      </c>
      <c r="G6522">
        <v>-166.18299999999999</v>
      </c>
      <c r="H6522">
        <v>1.0148729999999999</v>
      </c>
      <c r="I6522">
        <v>139.7054</v>
      </c>
      <c r="J6522">
        <v>-166.8107</v>
      </c>
      <c r="K6522">
        <v>1.1089770000000001</v>
      </c>
      <c r="L6522">
        <v>139.6807</v>
      </c>
      <c r="M6522">
        <v>0.96899740000000001</v>
      </c>
      <c r="N6522">
        <v>0</v>
      </c>
      <c r="O6522">
        <v>0.24671280000000001</v>
      </c>
      <c r="P6522">
        <v>0.98934900000000003</v>
      </c>
      <c r="Q6522">
        <v>9.2806650000000004E-3</v>
      </c>
      <c r="R6522">
        <v>0.1452668</v>
      </c>
      <c r="S6522">
        <v>2.9995120000000002</v>
      </c>
      <c r="T6522">
        <v>-0.34707009999999899</v>
      </c>
      <c r="U6522">
        <v>0.25680540000000002</v>
      </c>
      <c r="V6522">
        <v>0.1033901</v>
      </c>
      <c r="W6522">
        <v>2.2231959999999999E-2</v>
      </c>
      <c r="X6522">
        <v>0.99439239999999995</v>
      </c>
      <c r="Y6522">
        <v>0.1605114</v>
      </c>
      <c r="Z6522">
        <v>-3.7343809999999998E-2</v>
      </c>
      <c r="AA6522">
        <v>0.98632730000000002</v>
      </c>
      <c r="AB6522">
        <v>16</v>
      </c>
      <c r="AC6522">
        <v>0.62770000000000403</v>
      </c>
      <c r="AD6522">
        <v>-9.4104000000000201E-2</v>
      </c>
      <c r="AE6522">
        <v>2.4699999999995701E-2</v>
      </c>
      <c r="AF6522">
        <v>0.128065073026604</v>
      </c>
      <c r="AG6522">
        <v>-9.4104000000000201E-2</v>
      </c>
      <c r="AH6522">
        <v>0.60090300403548502</v>
      </c>
      <c r="AI6522">
        <v>98.708006863378003</v>
      </c>
      <c r="AJ6522">
        <v>77.969059407224094</v>
      </c>
      <c r="AK6522">
        <v>0.62156306679546203</v>
      </c>
      <c r="AL6522">
        <v>88.726097578618806</v>
      </c>
      <c r="AM6522">
        <v>84.064106414580806</v>
      </c>
      <c r="AN6522">
        <v>1.0000000090006</v>
      </c>
    </row>
    <row r="6523" spans="1:40" x14ac:dyDescent="0.25">
      <c r="A6523" t="str">
        <f>"20190312154735617"</f>
        <v>20190312154735617</v>
      </c>
      <c r="B6523" t="str">
        <f>"1552376855604889"</f>
        <v>1552376855604889</v>
      </c>
      <c r="C6523" t="s">
        <v>40</v>
      </c>
      <c r="D6523">
        <v>5.1067619999999998</v>
      </c>
      <c r="E6523">
        <v>0.52533229999999997</v>
      </c>
      <c r="F6523" t="s">
        <v>41</v>
      </c>
      <c r="G6523">
        <v>-166.03960000000001</v>
      </c>
      <c r="H6523">
        <v>1.017692</v>
      </c>
      <c r="I6523">
        <v>139.74369999999999</v>
      </c>
      <c r="J6523">
        <v>-166.66730000000001</v>
      </c>
      <c r="K6523">
        <v>1.1089450000000001</v>
      </c>
      <c r="L6523">
        <v>139.7148</v>
      </c>
      <c r="M6523">
        <v>0.96951189999999998</v>
      </c>
      <c r="N6523">
        <v>0</v>
      </c>
      <c r="O6523">
        <v>0.24468329999999999</v>
      </c>
      <c r="P6523">
        <v>0.98993580000000003</v>
      </c>
      <c r="Q6523">
        <v>9.2481720000000007E-3</v>
      </c>
      <c r="R6523">
        <v>0.1412146</v>
      </c>
      <c r="S6523">
        <v>2.9995729999999998</v>
      </c>
      <c r="T6523">
        <v>-0.3550547</v>
      </c>
      <c r="U6523">
        <v>0.245697</v>
      </c>
      <c r="V6523">
        <v>0.1053834</v>
      </c>
      <c r="W6523">
        <v>2.2177140000000001E-2</v>
      </c>
      <c r="X6523">
        <v>0.99418439999999997</v>
      </c>
      <c r="Y6523">
        <v>0.16195309999999999</v>
      </c>
      <c r="Z6523">
        <v>-3.8058149999999999E-2</v>
      </c>
      <c r="AA6523">
        <v>0.9860643</v>
      </c>
      <c r="AB6523">
        <v>16</v>
      </c>
      <c r="AC6523">
        <v>0.62770000000000403</v>
      </c>
      <c r="AD6523">
        <v>-9.1253000000000001E-2</v>
      </c>
      <c r="AE6523">
        <v>2.8899999999993001E-2</v>
      </c>
      <c r="AF6523">
        <v>0.122986171150147</v>
      </c>
      <c r="AG6523">
        <v>-9.1253000000000001E-2</v>
      </c>
      <c r="AH6523">
        <v>0.60297188705459903</v>
      </c>
      <c r="AI6523">
        <v>98.434677464210495</v>
      </c>
      <c r="AJ6523">
        <v>78.471702697997301</v>
      </c>
      <c r="AK6523">
        <v>0.62211558803919897</v>
      </c>
      <c r="AL6523">
        <v>88.729239364847601</v>
      </c>
      <c r="AM6523">
        <v>83.949250315805401</v>
      </c>
      <c r="AN6523">
        <v>1.0000000538687399</v>
      </c>
    </row>
    <row r="6524" spans="1:40" x14ac:dyDescent="0.25">
      <c r="A6524" t="str">
        <f>"20190312154735637"</f>
        <v>20190312154735637</v>
      </c>
      <c r="B6524" t="str">
        <f>"1552376855624407"</f>
        <v>1552376855624407</v>
      </c>
      <c r="C6524" t="s">
        <v>40</v>
      </c>
      <c r="D6524">
        <v>5.084676</v>
      </c>
      <c r="E6524">
        <v>0.52537780000000001</v>
      </c>
      <c r="F6524" t="s">
        <v>41</v>
      </c>
      <c r="G6524">
        <v>-165.89580000000001</v>
      </c>
      <c r="H6524">
        <v>1.017693</v>
      </c>
      <c r="I6524">
        <v>139.77430000000001</v>
      </c>
      <c r="J6524">
        <v>-166.52770000000001</v>
      </c>
      <c r="K6524">
        <v>1.1089230000000001</v>
      </c>
      <c r="L6524">
        <v>139.7475</v>
      </c>
      <c r="M6524">
        <v>0.97003379999999995</v>
      </c>
      <c r="N6524">
        <v>0</v>
      </c>
      <c r="O6524">
        <v>0.24260590000000001</v>
      </c>
      <c r="P6524">
        <v>0.99047989999999997</v>
      </c>
      <c r="Q6524">
        <v>1.012702E-2</v>
      </c>
      <c r="R6524">
        <v>0.13728589999999999</v>
      </c>
      <c r="S6524">
        <v>3.0007169999999999</v>
      </c>
      <c r="T6524">
        <v>-0.35482229999999998</v>
      </c>
      <c r="U6524">
        <v>0.23200989999999999</v>
      </c>
      <c r="V6524">
        <v>0.10720200000000001</v>
      </c>
      <c r="W6524">
        <v>2.3033789999999998E-2</v>
      </c>
      <c r="X6524">
        <v>0.99397040000000003</v>
      </c>
      <c r="Y6524">
        <v>0.16434099999999999</v>
      </c>
      <c r="Z6524">
        <v>-3.7932729999999998E-2</v>
      </c>
      <c r="AA6524">
        <v>0.98567400000000005</v>
      </c>
      <c r="AB6524">
        <v>16</v>
      </c>
      <c r="AC6524">
        <v>0.63190000000000102</v>
      </c>
      <c r="AD6524">
        <v>-9.1229999999999895E-2</v>
      </c>
      <c r="AE6524">
        <v>2.6800000000008602E-2</v>
      </c>
      <c r="AF6524">
        <v>0.124721995030041</v>
      </c>
      <c r="AG6524">
        <v>-9.1229999999999895E-2</v>
      </c>
      <c r="AH6524">
        <v>0.60689365840841303</v>
      </c>
      <c r="AI6524">
        <v>98.376363808905694</v>
      </c>
      <c r="AJ6524">
        <v>78.386899507346797</v>
      </c>
      <c r="AK6524">
        <v>0.62625745629143703</v>
      </c>
      <c r="AL6524">
        <v>88.680144306853904</v>
      </c>
      <c r="AM6524">
        <v>83.844312351206298</v>
      </c>
      <c r="AN6524">
        <v>0.99999999018096197</v>
      </c>
    </row>
    <row r="6525" spans="1:40" x14ac:dyDescent="0.25">
      <c r="A6525" t="str">
        <f>"20190312154735659"</f>
        <v>20190312154735659</v>
      </c>
      <c r="B6525" t="str">
        <f>"1552376855644903"</f>
        <v>1552376855644903</v>
      </c>
      <c r="C6525" t="s">
        <v>40</v>
      </c>
      <c r="D6525">
        <v>5.0716739999999998</v>
      </c>
      <c r="E6525">
        <v>0.52543499999999999</v>
      </c>
      <c r="F6525" t="s">
        <v>41</v>
      </c>
      <c r="G6525">
        <v>-165.7517</v>
      </c>
      <c r="H6525">
        <v>1.018032</v>
      </c>
      <c r="I6525">
        <v>139.8039</v>
      </c>
      <c r="J6525">
        <v>-166.36670000000001</v>
      </c>
      <c r="K6525">
        <v>1.1088910000000001</v>
      </c>
      <c r="L6525">
        <v>139.78469999999999</v>
      </c>
      <c r="M6525">
        <v>0.9706593</v>
      </c>
      <c r="N6525">
        <v>0</v>
      </c>
      <c r="O6525">
        <v>0.24009069999999999</v>
      </c>
      <c r="P6525">
        <v>0.99105949999999998</v>
      </c>
      <c r="Q6525">
        <v>1.2241749999999999E-2</v>
      </c>
      <c r="R6525">
        <v>0.13285910000000001</v>
      </c>
      <c r="S6525">
        <v>3.0021209999999998</v>
      </c>
      <c r="T6525">
        <v>-0.35151520000000003</v>
      </c>
      <c r="U6525">
        <v>0.21870419999999999</v>
      </c>
      <c r="V6525">
        <v>0.1090719</v>
      </c>
      <c r="W6525">
        <v>2.512269E-2</v>
      </c>
      <c r="X6525">
        <v>0.99371640000000006</v>
      </c>
      <c r="Y6525">
        <v>0.16622049999999999</v>
      </c>
      <c r="Z6525">
        <v>-3.7398510000000003E-2</v>
      </c>
      <c r="AA6525">
        <v>0.98537920000000001</v>
      </c>
      <c r="AB6525">
        <v>16</v>
      </c>
      <c r="AC6525">
        <v>0.61500000000000898</v>
      </c>
      <c r="AD6525">
        <v>-9.0858999999999995E-2</v>
      </c>
      <c r="AE6525">
        <v>1.9200000000011999E-2</v>
      </c>
      <c r="AF6525">
        <v>0.12627702848068401</v>
      </c>
      <c r="AG6525">
        <v>-9.0858999999999995E-2</v>
      </c>
      <c r="AH6525">
        <v>0.58877991209855896</v>
      </c>
      <c r="AI6525">
        <v>98.580416120215503</v>
      </c>
      <c r="AJ6525">
        <v>77.895017752447501</v>
      </c>
      <c r="AK6525">
        <v>0.60898524669625498</v>
      </c>
      <c r="AL6525">
        <v>88.560424515680296</v>
      </c>
      <c r="AM6525">
        <v>83.736197986466493</v>
      </c>
      <c r="AN6525">
        <v>1.0000000562757001</v>
      </c>
    </row>
    <row r="6526" spans="1:40" x14ac:dyDescent="0.25">
      <c r="A6526" t="str">
        <f>"20190312154735699"</f>
        <v>20190312154735699</v>
      </c>
      <c r="B6526" t="str">
        <f>"1552376855684919"</f>
        <v>1552376855684919</v>
      </c>
      <c r="C6526" t="s">
        <v>40</v>
      </c>
      <c r="D6526">
        <v>5.0843639999999999</v>
      </c>
      <c r="E6526">
        <v>0.52551759999999903</v>
      </c>
      <c r="F6526" t="s">
        <v>41</v>
      </c>
      <c r="G6526">
        <v>-165.6069</v>
      </c>
      <c r="H6526">
        <v>1.02179</v>
      </c>
      <c r="I6526">
        <v>139.83619999999999</v>
      </c>
      <c r="J6526">
        <v>-166.08629999999999</v>
      </c>
      <c r="K6526">
        <v>1.1088290000000001</v>
      </c>
      <c r="L6526">
        <v>139.84790000000001</v>
      </c>
      <c r="M6526">
        <v>0.97181099999999998</v>
      </c>
      <c r="N6526">
        <v>0</v>
      </c>
      <c r="O6526">
        <v>0.23538519999999999</v>
      </c>
      <c r="P6526">
        <v>0.99188929999999997</v>
      </c>
      <c r="Q6526">
        <v>1.542107E-2</v>
      </c>
      <c r="R6526">
        <v>0.12616640000000001</v>
      </c>
      <c r="S6526">
        <v>3.003952</v>
      </c>
      <c r="T6526">
        <v>-0.34431539999999999</v>
      </c>
      <c r="U6526">
        <v>0.2040863</v>
      </c>
      <c r="V6526">
        <v>0.1109748</v>
      </c>
      <c r="W6526">
        <v>2.8262490000000001E-2</v>
      </c>
      <c r="X6526">
        <v>0.99342129999999995</v>
      </c>
      <c r="Y6526">
        <v>0.1664001</v>
      </c>
      <c r="Z6526">
        <v>-3.611296E-2</v>
      </c>
      <c r="AA6526">
        <v>0.98539679999999996</v>
      </c>
      <c r="AB6526">
        <v>16</v>
      </c>
      <c r="AC6526">
        <v>0.47939999999999799</v>
      </c>
      <c r="AD6526">
        <v>-8.7039000000000005E-2</v>
      </c>
      <c r="AE6526">
        <v>-1.17000000000189E-2</v>
      </c>
      <c r="AF6526">
        <v>0.120262946366988</v>
      </c>
      <c r="AG6526">
        <v>-8.7039000000000005E-2</v>
      </c>
      <c r="AH6526">
        <v>0.44840120250524701</v>
      </c>
      <c r="AI6526">
        <v>100.61874642201199</v>
      </c>
      <c r="AJ6526">
        <v>74.986385374201305</v>
      </c>
      <c r="AK6526">
        <v>0.47233738174955098</v>
      </c>
      <c r="AL6526">
        <v>88.380462993467006</v>
      </c>
      <c r="AM6526">
        <v>83.625931855859506</v>
      </c>
      <c r="AN6526">
        <v>1.0000000269348599</v>
      </c>
    </row>
    <row r="6527" spans="1:40" x14ac:dyDescent="0.25">
      <c r="A6527" t="str">
        <f>"20190312154735721"</f>
        <v>20190312154735721</v>
      </c>
      <c r="B6527" t="str">
        <f>"1552376855715175"</f>
        <v>1552376855715175</v>
      </c>
      <c r="C6527" t="s">
        <v>40</v>
      </c>
      <c r="D6527">
        <v>5.0508009999999999</v>
      </c>
      <c r="E6527">
        <v>0.52552710000000002</v>
      </c>
      <c r="F6527" t="s">
        <v>41</v>
      </c>
      <c r="G6527">
        <v>-165.31899999999999</v>
      </c>
      <c r="H6527">
        <v>1.023525</v>
      </c>
      <c r="I6527">
        <v>139.89439999999999</v>
      </c>
      <c r="J6527">
        <v>-165.9271</v>
      </c>
      <c r="K6527">
        <v>1.1087929999999999</v>
      </c>
      <c r="L6527">
        <v>139.88299999999899</v>
      </c>
      <c r="M6527">
        <v>0.97249379999999996</v>
      </c>
      <c r="N6527">
        <v>0</v>
      </c>
      <c r="O6527">
        <v>0.2325478</v>
      </c>
      <c r="P6527">
        <v>0.99220600000000003</v>
      </c>
      <c r="Q6527">
        <v>1.5844770000000001E-2</v>
      </c>
      <c r="R6527">
        <v>0.1235971</v>
      </c>
      <c r="S6527">
        <v>3.0065770000000001</v>
      </c>
      <c r="T6527">
        <v>-0.33420060000000001</v>
      </c>
      <c r="U6527">
        <v>0.18205260000000001</v>
      </c>
      <c r="V6527">
        <v>0.110652399999999</v>
      </c>
      <c r="W6527">
        <v>2.8674310000000001E-2</v>
      </c>
      <c r="X6527">
        <v>0.99344549999999998</v>
      </c>
      <c r="Y6527">
        <v>0.17091239999999999</v>
      </c>
      <c r="Z6527">
        <v>-3.4985559999999999E-2</v>
      </c>
      <c r="AA6527">
        <v>0.98466489999999995</v>
      </c>
      <c r="AB6527">
        <v>16</v>
      </c>
      <c r="AC6527">
        <v>0.60809999999997899</v>
      </c>
      <c r="AD6527">
        <v>-8.5268000000000094E-2</v>
      </c>
      <c r="AE6527">
        <v>1.14000000000089E-2</v>
      </c>
      <c r="AF6527">
        <v>0.12782506338538599</v>
      </c>
      <c r="AG6527">
        <v>-8.5268000000000094E-2</v>
      </c>
      <c r="AH6527">
        <v>0.582625783480752</v>
      </c>
      <c r="AI6527">
        <v>98.135386371421902</v>
      </c>
      <c r="AJ6527">
        <v>77.625660626996805</v>
      </c>
      <c r="AK6527">
        <v>0.60254682990622199</v>
      </c>
      <c r="AL6527">
        <v>88.356857942206204</v>
      </c>
      <c r="AM6527">
        <v>83.6444513738968</v>
      </c>
      <c r="AN6527">
        <v>1.0000000655749901</v>
      </c>
    </row>
    <row r="6528" spans="1:40" x14ac:dyDescent="0.25">
      <c r="A6528" t="str">
        <f>"20190312154735749"</f>
        <v>20190312154735749</v>
      </c>
      <c r="B6528" t="str">
        <f>"1552376855734695"</f>
        <v>1552376855734695</v>
      </c>
      <c r="C6528" t="s">
        <v>40</v>
      </c>
      <c r="D6528">
        <v>5.0731109999999999</v>
      </c>
      <c r="E6528">
        <v>0.52546850000000001</v>
      </c>
      <c r="F6528" t="s">
        <v>41</v>
      </c>
      <c r="G6528">
        <v>-165.1756</v>
      </c>
      <c r="H6528">
        <v>1.0256540000000001</v>
      </c>
      <c r="I6528">
        <v>139.92619999999999</v>
      </c>
      <c r="J6528">
        <v>-165.72839999999999</v>
      </c>
      <c r="K6528">
        <v>1.1087480000000001</v>
      </c>
      <c r="L6528">
        <v>139.92580000000001</v>
      </c>
      <c r="M6528">
        <v>0.97337839999999998</v>
      </c>
      <c r="N6528">
        <v>0</v>
      </c>
      <c r="O6528">
        <v>0.22881679999999999</v>
      </c>
      <c r="P6528">
        <v>0.99251239999999996</v>
      </c>
      <c r="Q6528">
        <v>1.6383669999999999E-2</v>
      </c>
      <c r="R6528">
        <v>0.1210405</v>
      </c>
      <c r="S6528">
        <v>3.0072480000000001</v>
      </c>
      <c r="T6528">
        <v>-0.332539799999999</v>
      </c>
      <c r="U6528">
        <v>0.17358399999999999</v>
      </c>
      <c r="V6528">
        <v>0.1094067</v>
      </c>
      <c r="W6528">
        <v>2.9205760000000001E-2</v>
      </c>
      <c r="X6528">
        <v>0.99356789999999995</v>
      </c>
      <c r="Y6528">
        <v>0.169964</v>
      </c>
      <c r="Z6528">
        <v>-3.435672E-2</v>
      </c>
      <c r="AA6528">
        <v>0.98485120000000004</v>
      </c>
      <c r="AB6528">
        <v>16</v>
      </c>
      <c r="AC6528">
        <v>0.55279999999998997</v>
      </c>
      <c r="AD6528">
        <v>-8.3094000000000001E-2</v>
      </c>
      <c r="AE6528">
        <v>3.9999999998485599E-4</v>
      </c>
      <c r="AF6528">
        <v>0.123325284847872</v>
      </c>
      <c r="AG6528">
        <v>-8.3094000000000001E-2</v>
      </c>
      <c r="AH6528">
        <v>0.526330652474574</v>
      </c>
      <c r="AI6528">
        <v>98.738597980697193</v>
      </c>
      <c r="AJ6528">
        <v>76.812842278577904</v>
      </c>
      <c r="AK6528">
        <v>0.54693481737143002</v>
      </c>
      <c r="AL6528">
        <v>88.326395211284193</v>
      </c>
      <c r="AM6528">
        <v>83.7161930209448</v>
      </c>
      <c r="AN6528">
        <v>0.99999998716623795</v>
      </c>
    </row>
    <row r="6529" spans="1:40" x14ac:dyDescent="0.25">
      <c r="A6529" t="str">
        <f>"20190312154735770"</f>
        <v>20190312154735770</v>
      </c>
      <c r="B6529" t="str">
        <f>"1552376855764951"</f>
        <v>1552376855764951</v>
      </c>
      <c r="C6529" t="s">
        <v>40</v>
      </c>
      <c r="D6529">
        <v>5.0844809999999896</v>
      </c>
      <c r="E6529">
        <v>0.52528509999999995</v>
      </c>
      <c r="F6529" t="s">
        <v>41</v>
      </c>
      <c r="G6529">
        <v>-164.8914</v>
      </c>
      <c r="H6529">
        <v>1.0162819999999999</v>
      </c>
      <c r="I6529">
        <v>139.9718</v>
      </c>
      <c r="J6529">
        <v>-165.57859999999999</v>
      </c>
      <c r="K6529">
        <v>1.108725</v>
      </c>
      <c r="L6529">
        <v>139.9573</v>
      </c>
      <c r="M6529">
        <v>0.97406689999999996</v>
      </c>
      <c r="N6529">
        <v>0</v>
      </c>
      <c r="O6529">
        <v>0.22586780000000001</v>
      </c>
      <c r="P6529">
        <v>0.99266759999999998</v>
      </c>
      <c r="Q6529">
        <v>1.656231E-2</v>
      </c>
      <c r="R6529">
        <v>0.1197372</v>
      </c>
      <c r="S6529">
        <v>3.0078740000000002</v>
      </c>
      <c r="T6529">
        <v>-0.33215630000000002</v>
      </c>
      <c r="U6529">
        <v>0.1660614</v>
      </c>
      <c r="V6529">
        <v>0.1077047</v>
      </c>
      <c r="W6529">
        <v>2.9385930000000001E-2</v>
      </c>
      <c r="X6529">
        <v>0.99374850000000003</v>
      </c>
      <c r="Y6529">
        <v>0.1694735</v>
      </c>
      <c r="Z6529">
        <v>-3.3970590000000002E-2</v>
      </c>
      <c r="AA6529">
        <v>0.98494910000000002</v>
      </c>
      <c r="AB6529">
        <v>16</v>
      </c>
      <c r="AC6529">
        <v>0.68719999999999004</v>
      </c>
      <c r="AD6529">
        <v>-9.2442999999999997E-2</v>
      </c>
      <c r="AE6529">
        <v>1.4499999999998099E-2</v>
      </c>
      <c r="AF6529">
        <v>0.13859795183526699</v>
      </c>
      <c r="AG6529">
        <v>-9.2442999999999997E-2</v>
      </c>
      <c r="AH6529">
        <v>0.66076173248755898</v>
      </c>
      <c r="AI6529">
        <v>97.796682720544098</v>
      </c>
      <c r="AJ6529">
        <v>78.153676514490698</v>
      </c>
      <c r="AK6529">
        <v>0.681440509231651</v>
      </c>
      <c r="AL6529">
        <v>88.316067749181599</v>
      </c>
      <c r="AM6529">
        <v>83.814299548250702</v>
      </c>
      <c r="AN6529">
        <v>0.99999995826815102</v>
      </c>
    </row>
    <row r="6530" spans="1:40" x14ac:dyDescent="0.25">
      <c r="A6530" t="str">
        <f>"20190312154735792"</f>
        <v>20190312154735792</v>
      </c>
      <c r="B6530" t="str">
        <f>"1552376855784826"</f>
        <v>1552376855784826</v>
      </c>
      <c r="C6530" t="s">
        <v>40</v>
      </c>
      <c r="D6530">
        <v>5.0519049999999996</v>
      </c>
      <c r="E6530">
        <v>0.52528129999999995</v>
      </c>
      <c r="F6530" t="s">
        <v>41</v>
      </c>
      <c r="G6530">
        <v>-164.74879999999999</v>
      </c>
      <c r="H6530">
        <v>1.0171699999999999</v>
      </c>
      <c r="I6530">
        <v>140.00229999999999</v>
      </c>
      <c r="J6530">
        <v>-165.4144</v>
      </c>
      <c r="K6530">
        <v>1.1086959999999999</v>
      </c>
      <c r="L6530">
        <v>139.99119999999999</v>
      </c>
      <c r="M6530">
        <v>0.97483629999999999</v>
      </c>
      <c r="N6530">
        <v>0</v>
      </c>
      <c r="O6530">
        <v>0.2225229</v>
      </c>
      <c r="P6530">
        <v>0.99271569999999998</v>
      </c>
      <c r="Q6530">
        <v>1.6137329999999998E-2</v>
      </c>
      <c r="R6530">
        <v>0.119394</v>
      </c>
      <c r="S6530">
        <v>3.008041</v>
      </c>
      <c r="T6530">
        <v>-0.33188579999999901</v>
      </c>
      <c r="U6530">
        <v>0.1629486</v>
      </c>
      <c r="V6530">
        <v>0.10463890000000001</v>
      </c>
      <c r="W6530">
        <v>2.8971739999999999E-2</v>
      </c>
      <c r="X6530">
        <v>0.99408819999999998</v>
      </c>
      <c r="Y6530">
        <v>0.16714799999999999</v>
      </c>
      <c r="Z6530">
        <v>-3.3455749999999999E-2</v>
      </c>
      <c r="AA6530">
        <v>0.98536400000000002</v>
      </c>
      <c r="AB6530">
        <v>16</v>
      </c>
      <c r="AC6530">
        <v>0.66560000000001196</v>
      </c>
      <c r="AD6530">
        <v>-9.1525999999999705E-2</v>
      </c>
      <c r="AE6530">
        <v>1.1099999999999E-2</v>
      </c>
      <c r="AF6530">
        <v>0.13475541721635301</v>
      </c>
      <c r="AG6530">
        <v>-9.1525999999999705E-2</v>
      </c>
      <c r="AH6530">
        <v>0.63929406118827903</v>
      </c>
      <c r="AI6530">
        <v>97.974607887445899</v>
      </c>
      <c r="AJ6530">
        <v>78.096994167486599</v>
      </c>
      <c r="AK6530">
        <v>0.659721856402952</v>
      </c>
      <c r="AL6530">
        <v>88.339809276212193</v>
      </c>
      <c r="AM6530">
        <v>83.991105952112605</v>
      </c>
      <c r="AN6530">
        <v>1.00000000524553</v>
      </c>
    </row>
    <row r="6531" spans="1:40" x14ac:dyDescent="0.25">
      <c r="A6531" t="str">
        <f>"20190312154735812"</f>
        <v>20190312154735812</v>
      </c>
      <c r="B6531" t="str">
        <f>"1552376855805322"</f>
        <v>1552376855805322</v>
      </c>
      <c r="C6531" t="s">
        <v>40</v>
      </c>
      <c r="D6531">
        <v>5.0166050000000002</v>
      </c>
      <c r="E6531">
        <v>0.52527780000000002</v>
      </c>
      <c r="F6531" t="s">
        <v>41</v>
      </c>
      <c r="G6531">
        <v>-164.6062</v>
      </c>
      <c r="H6531">
        <v>1.019452</v>
      </c>
      <c r="I6531">
        <v>140.03440000000001</v>
      </c>
      <c r="J6531">
        <v>-165.27770000000001</v>
      </c>
      <c r="K6531">
        <v>1.1086849999999999</v>
      </c>
      <c r="L6531">
        <v>140.0189</v>
      </c>
      <c r="M6531">
        <v>0.97548409999999997</v>
      </c>
      <c r="N6531">
        <v>0</v>
      </c>
      <c r="O6531">
        <v>0.2196652</v>
      </c>
      <c r="P6531">
        <v>0.99269350000000001</v>
      </c>
      <c r="Q6531">
        <v>1.5493989999999999E-2</v>
      </c>
      <c r="R6531">
        <v>0.1196638</v>
      </c>
      <c r="S6531">
        <v>3.008057</v>
      </c>
      <c r="T6531">
        <v>-0.33209860000000002</v>
      </c>
      <c r="U6531">
        <v>0.16098019999999999</v>
      </c>
      <c r="V6531">
        <v>0.1014558</v>
      </c>
      <c r="W6531">
        <v>2.8343050000000002E-2</v>
      </c>
      <c r="X6531">
        <v>0.99443619999999999</v>
      </c>
      <c r="Y6531">
        <v>0.16492960000000001</v>
      </c>
      <c r="Z6531">
        <v>-3.304853E-2</v>
      </c>
      <c r="AA6531">
        <v>0.9857515</v>
      </c>
      <c r="AB6531">
        <v>16</v>
      </c>
      <c r="AC6531">
        <v>0.67150000000000798</v>
      </c>
      <c r="AD6531">
        <v>-8.9233000000000104E-2</v>
      </c>
      <c r="AE6531">
        <v>1.55000000000029E-2</v>
      </c>
      <c r="AF6531">
        <v>0.130100771888749</v>
      </c>
      <c r="AG6531">
        <v>-8.9233000000000104E-2</v>
      </c>
      <c r="AH6531">
        <v>0.64708046249992401</v>
      </c>
      <c r="AI6531">
        <v>97.699443313967095</v>
      </c>
      <c r="AJ6531">
        <v>78.631786156475698</v>
      </c>
      <c r="AK6531">
        <v>0.66603443160557696</v>
      </c>
      <c r="AL6531">
        <v>88.375845322527695</v>
      </c>
      <c r="AM6531">
        <v>84.174643415924706</v>
      </c>
      <c r="AN6531">
        <v>0.99999998185369099</v>
      </c>
    </row>
    <row r="6532" spans="1:40" x14ac:dyDescent="0.25">
      <c r="A6532" t="str">
        <f>"20190312154735835"</f>
        <v>20190312154735835</v>
      </c>
      <c r="B6532" t="str">
        <f>"1552376855824841"</f>
        <v>1552376855824841</v>
      </c>
      <c r="C6532" t="s">
        <v>40</v>
      </c>
      <c r="D6532">
        <v>5.0088749999999997</v>
      </c>
      <c r="E6532">
        <v>0.52529309999999996</v>
      </c>
      <c r="F6532" t="s">
        <v>41</v>
      </c>
      <c r="G6532">
        <v>-164.46440000000001</v>
      </c>
      <c r="H6532">
        <v>1.0186029999999999</v>
      </c>
      <c r="I6532">
        <v>140.0626</v>
      </c>
      <c r="J6532">
        <v>-165.10820000000001</v>
      </c>
      <c r="K6532">
        <v>1.1086780000000001</v>
      </c>
      <c r="L6532">
        <v>140.05250000000001</v>
      </c>
      <c r="M6532">
        <v>0.97629460000000001</v>
      </c>
      <c r="N6532">
        <v>0</v>
      </c>
      <c r="O6532">
        <v>0.21603439999999999</v>
      </c>
      <c r="P6532">
        <v>0.9929152</v>
      </c>
      <c r="Q6532">
        <v>1.47102E-2</v>
      </c>
      <c r="R6532">
        <v>0.11791169999999999</v>
      </c>
      <c r="S6532">
        <v>3.0078279999999999</v>
      </c>
      <c r="T6532">
        <v>-0.33320549999999999</v>
      </c>
      <c r="U6532">
        <v>0.1613617</v>
      </c>
      <c r="V6532">
        <v>9.9511509999999997E-2</v>
      </c>
      <c r="W6532">
        <v>2.7567060000000001E-2</v>
      </c>
      <c r="X6532">
        <v>0.9946545</v>
      </c>
      <c r="Y6532">
        <v>0.16115989999999999</v>
      </c>
      <c r="Z6532">
        <v>-3.2560169999999999E-2</v>
      </c>
      <c r="AA6532">
        <v>0.98639109999999997</v>
      </c>
      <c r="AB6532">
        <v>16</v>
      </c>
      <c r="AC6532">
        <v>0.64379999999999804</v>
      </c>
      <c r="AD6532">
        <v>-9.0074999999999905E-2</v>
      </c>
      <c r="AE6532">
        <v>1.00999999999942E-2</v>
      </c>
      <c r="AF6532">
        <v>0.126753260935455</v>
      </c>
      <c r="AG6532">
        <v>-9.0074999999999905E-2</v>
      </c>
      <c r="AH6532">
        <v>0.61866895060919902</v>
      </c>
      <c r="AI6532">
        <v>98.117462216680494</v>
      </c>
      <c r="AJ6532">
        <v>78.421439574890599</v>
      </c>
      <c r="AK6532">
        <v>0.63791156536831894</v>
      </c>
      <c r="AL6532">
        <v>88.420323733702801</v>
      </c>
      <c r="AM6532">
        <v>84.286779917688804</v>
      </c>
      <c r="AN6532">
        <v>1.00000002889488</v>
      </c>
    </row>
    <row r="6533" spans="1:40" x14ac:dyDescent="0.25">
      <c r="A6533" t="str">
        <f>"20190312154735866"</f>
        <v>20190312154735866</v>
      </c>
      <c r="B6533" t="str">
        <f>"1552376855855101"</f>
        <v>1552376855855101</v>
      </c>
      <c r="C6533" t="s">
        <v>40</v>
      </c>
      <c r="D6533">
        <v>5.0782600000000002</v>
      </c>
      <c r="E6533">
        <v>0.52533999999999903</v>
      </c>
      <c r="F6533" t="s">
        <v>41</v>
      </c>
      <c r="G6533">
        <v>-164.3218</v>
      </c>
      <c r="H6533">
        <v>1.020988</v>
      </c>
      <c r="I6533">
        <v>140.0932</v>
      </c>
      <c r="J6533">
        <v>-164.88939999999999</v>
      </c>
      <c r="K6533">
        <v>1.1086720000000001</v>
      </c>
      <c r="L6533">
        <v>140.09479999999999</v>
      </c>
      <c r="M6533">
        <v>0.97734509999999997</v>
      </c>
      <c r="N6533">
        <v>0</v>
      </c>
      <c r="O6533">
        <v>0.21123140000000001</v>
      </c>
      <c r="P6533">
        <v>0.99320759999999997</v>
      </c>
      <c r="Q6533">
        <v>1.3861190000000001E-2</v>
      </c>
      <c r="R6533">
        <v>0.1155273</v>
      </c>
      <c r="S6533">
        <v>3.0078580000000001</v>
      </c>
      <c r="T6533">
        <v>-0.335231099999999</v>
      </c>
      <c r="U6533">
        <v>0.1558533</v>
      </c>
      <c r="V6533">
        <v>9.7008570000000002E-2</v>
      </c>
      <c r="W6533">
        <v>2.6730520000000001E-2</v>
      </c>
      <c r="X6533">
        <v>0.99492449999999999</v>
      </c>
      <c r="Y6533">
        <v>0.1581292</v>
      </c>
      <c r="Z6533">
        <v>-3.2068670000000001E-2</v>
      </c>
      <c r="AA6533">
        <v>0.98689749999999998</v>
      </c>
      <c r="AB6533">
        <v>16</v>
      </c>
      <c r="AC6533">
        <v>0.567599999999998</v>
      </c>
      <c r="AD6533">
        <v>-8.7683999999999804E-2</v>
      </c>
      <c r="AE6533">
        <v>-1.59999999999627E-3</v>
      </c>
      <c r="AF6533">
        <v>0.11863825349530201</v>
      </c>
      <c r="AG6533">
        <v>-8.7683999999999804E-2</v>
      </c>
      <c r="AH6533">
        <v>0.54152909049028797</v>
      </c>
      <c r="AI6533">
        <v>98.987904123939899</v>
      </c>
      <c r="AJ6533">
        <v>77.642863706657394</v>
      </c>
      <c r="AK6533">
        <v>0.56126399750532197</v>
      </c>
      <c r="AL6533">
        <v>88.468271531399296</v>
      </c>
      <c r="AM6533">
        <v>84.431067183768505</v>
      </c>
      <c r="AN6533">
        <v>0.99999997202658197</v>
      </c>
    </row>
    <row r="6534" spans="1:40" x14ac:dyDescent="0.25">
      <c r="A6534" t="str">
        <f>"20190312154735888"</f>
        <v>20190312154735888</v>
      </c>
      <c r="B6534" t="str">
        <f>"1552376855875593"</f>
        <v>1552376855875593</v>
      </c>
      <c r="C6534" t="s">
        <v>40</v>
      </c>
      <c r="D6534">
        <v>5.0459009999999997</v>
      </c>
      <c r="E6534">
        <v>0.52537299999999998</v>
      </c>
      <c r="F6534" t="s">
        <v>41</v>
      </c>
      <c r="G6534">
        <v>-164.0393</v>
      </c>
      <c r="H6534">
        <v>1.013236</v>
      </c>
      <c r="I6534">
        <v>140.13679999999999</v>
      </c>
      <c r="J6534">
        <v>-164.7345</v>
      </c>
      <c r="K6534">
        <v>1.1086849999999999</v>
      </c>
      <c r="L6534">
        <v>140.12389999999999</v>
      </c>
      <c r="M6534">
        <v>0.97808669999999998</v>
      </c>
      <c r="N6534">
        <v>0</v>
      </c>
      <c r="O6534">
        <v>0.20777039999999999</v>
      </c>
      <c r="P6534">
        <v>0.99355000000000004</v>
      </c>
      <c r="Q6534">
        <v>1.339134E-2</v>
      </c>
      <c r="R6534">
        <v>0.1126006</v>
      </c>
      <c r="S6534">
        <v>3.0079500000000001</v>
      </c>
      <c r="T6534">
        <v>-0.33761350000000001</v>
      </c>
      <c r="U6534">
        <v>0.14880370000000001</v>
      </c>
      <c r="V6534">
        <v>9.6417660000000002E-2</v>
      </c>
      <c r="W6534">
        <v>2.626529E-2</v>
      </c>
      <c r="X6534">
        <v>0.9949943</v>
      </c>
      <c r="Y6534">
        <v>0.15693950000000001</v>
      </c>
      <c r="Z6534">
        <v>-3.1851599999999897E-2</v>
      </c>
      <c r="AA6534">
        <v>0.98709449999999999</v>
      </c>
      <c r="AB6534">
        <v>16</v>
      </c>
      <c r="AC6534">
        <v>0.69519999999999904</v>
      </c>
      <c r="AD6534">
        <v>-9.5449000000000103E-2</v>
      </c>
      <c r="AE6534">
        <v>1.29000000000019E-2</v>
      </c>
      <c r="AF6534">
        <v>0.129398009277292</v>
      </c>
      <c r="AG6534">
        <v>-9.5449000000000103E-2</v>
      </c>
      <c r="AH6534">
        <v>0.67007982791606402</v>
      </c>
      <c r="AI6534">
        <v>97.961761933623094</v>
      </c>
      <c r="AJ6534">
        <v>79.070241300412306</v>
      </c>
      <c r="AK6534">
        <v>0.68910183005557901</v>
      </c>
      <c r="AL6534">
        <v>88.494936568374797</v>
      </c>
      <c r="AM6534">
        <v>84.465163901858801</v>
      </c>
      <c r="AN6534">
        <v>0.999999943825573</v>
      </c>
    </row>
    <row r="6535" spans="1:40" x14ac:dyDescent="0.25">
      <c r="A6535" t="str">
        <f>"20190312154735910"</f>
        <v>20190312154735910</v>
      </c>
      <c r="B6535" t="str">
        <f>"1552376855904874"</f>
        <v>1552376855904874</v>
      </c>
      <c r="C6535" t="s">
        <v>40</v>
      </c>
      <c r="D6535">
        <v>5.1042199999999998</v>
      </c>
      <c r="E6535">
        <v>0.52539190000000002</v>
      </c>
      <c r="F6535" t="s">
        <v>41</v>
      </c>
      <c r="G6535">
        <v>-163.89689999999999</v>
      </c>
      <c r="H6535">
        <v>1.014289</v>
      </c>
      <c r="I6535">
        <v>140.16290000000001</v>
      </c>
      <c r="J6535">
        <v>-164.5745</v>
      </c>
      <c r="K6535">
        <v>1.108695</v>
      </c>
      <c r="L6535">
        <v>140.1534</v>
      </c>
      <c r="M6535">
        <v>0.97884479999999996</v>
      </c>
      <c r="N6535">
        <v>0</v>
      </c>
      <c r="O6535">
        <v>0.20416790000000001</v>
      </c>
      <c r="P6535">
        <v>0.9939228</v>
      </c>
      <c r="Q6535">
        <v>1.2098039999999999E-2</v>
      </c>
      <c r="R6535">
        <v>0.1094123</v>
      </c>
      <c r="S6535">
        <v>3.0081479999999998</v>
      </c>
      <c r="T6535">
        <v>-0.33900439999999998</v>
      </c>
      <c r="U6535">
        <v>0.14018249999999999</v>
      </c>
      <c r="V6535">
        <v>9.5943769999999998E-2</v>
      </c>
      <c r="W6535">
        <v>2.497825E-2</v>
      </c>
      <c r="X6535">
        <v>0.99507330000000005</v>
      </c>
      <c r="Y6535">
        <v>0.15613829999999901</v>
      </c>
      <c r="Z6535">
        <v>-3.1541949999999999E-2</v>
      </c>
      <c r="AA6535">
        <v>0.98723139999999998</v>
      </c>
      <c r="AB6535">
        <v>16</v>
      </c>
      <c r="AC6535">
        <v>0.67760000000001197</v>
      </c>
      <c r="AD6535">
        <v>-9.4406000000000004E-2</v>
      </c>
      <c r="AE6535">
        <v>9.5000000000027198E-3</v>
      </c>
      <c r="AF6535">
        <v>0.12659968215269701</v>
      </c>
      <c r="AG6535">
        <v>-9.4406000000000004E-2</v>
      </c>
      <c r="AH6535">
        <v>0.65259891223487998</v>
      </c>
      <c r="AI6535">
        <v>98.082756927805605</v>
      </c>
      <c r="AJ6535">
        <v>79.021379598480394</v>
      </c>
      <c r="AK6535">
        <v>0.67143526315447</v>
      </c>
      <c r="AL6535">
        <v>88.568702829436305</v>
      </c>
      <c r="AM6535">
        <v>84.492634353994504</v>
      </c>
      <c r="AN6535">
        <v>0.99999999617388202</v>
      </c>
    </row>
    <row r="6536" spans="1:40" x14ac:dyDescent="0.25">
      <c r="A6536" t="str">
        <f>"20190312154735933"</f>
        <v>20190312154735933</v>
      </c>
      <c r="B6536" t="str">
        <f>"1552376855924394"</f>
        <v>1552376855924394</v>
      </c>
      <c r="C6536" t="s">
        <v>40</v>
      </c>
      <c r="D6536">
        <v>5.0795459999999997</v>
      </c>
      <c r="E6536">
        <v>0.52541669999999996</v>
      </c>
      <c r="F6536" t="s">
        <v>41</v>
      </c>
      <c r="G6536">
        <v>-163.755</v>
      </c>
      <c r="H6536">
        <v>1.015074</v>
      </c>
      <c r="I6536">
        <v>140.1892</v>
      </c>
      <c r="J6536">
        <v>-164.41550000000001</v>
      </c>
      <c r="K6536">
        <v>1.108714</v>
      </c>
      <c r="L6536">
        <v>140.18209999999999</v>
      </c>
      <c r="M6536">
        <v>0.97958659999999997</v>
      </c>
      <c r="N6536">
        <v>0</v>
      </c>
      <c r="O6536">
        <v>0.20057920000000001</v>
      </c>
      <c r="P6536">
        <v>0.99423510000000004</v>
      </c>
      <c r="Q6536">
        <v>1.048318E-2</v>
      </c>
      <c r="R6536">
        <v>0.1067094</v>
      </c>
      <c r="S6536">
        <v>3.0080260000000001</v>
      </c>
      <c r="T6536">
        <v>-0.34347139999999998</v>
      </c>
      <c r="U6536">
        <v>0.13166810000000001</v>
      </c>
      <c r="V6536">
        <v>9.4998139999999995E-2</v>
      </c>
      <c r="W6536">
        <v>2.3374160000000001E-2</v>
      </c>
      <c r="X6536">
        <v>0.99520299999999995</v>
      </c>
      <c r="Y6536">
        <v>0.1552741</v>
      </c>
      <c r="Z6536">
        <v>-3.1509849999999999E-2</v>
      </c>
      <c r="AA6536">
        <v>0.98736880000000005</v>
      </c>
      <c r="AB6536">
        <v>16</v>
      </c>
      <c r="AC6536">
        <v>0.66050000000001297</v>
      </c>
      <c r="AD6536">
        <v>-9.3639999999999904E-2</v>
      </c>
      <c r="AE6536">
        <v>7.1000000000083201E-3</v>
      </c>
      <c r="AF6536">
        <v>0.123065452828962</v>
      </c>
      <c r="AG6536">
        <v>-9.3639999999999904E-2</v>
      </c>
      <c r="AH6536">
        <v>0.63572280937340497</v>
      </c>
      <c r="AI6536">
        <v>98.228623272332996</v>
      </c>
      <c r="AJ6536">
        <v>79.043997639078995</v>
      </c>
      <c r="AK6536">
        <v>0.65426068629989698</v>
      </c>
      <c r="AL6536">
        <v>88.660637309155007</v>
      </c>
      <c r="AM6536">
        <v>84.547293004544002</v>
      </c>
      <c r="AN6536">
        <v>1.00000000458408</v>
      </c>
    </row>
    <row r="6537" spans="1:40" x14ac:dyDescent="0.25">
      <c r="A6537" t="str">
        <f>"20190312154735963"</f>
        <v>20190312154735963</v>
      </c>
      <c r="B6537" t="str">
        <f>"1552376855954650"</f>
        <v>1552376855954650</v>
      </c>
      <c r="C6537" t="s">
        <v>40</v>
      </c>
      <c r="D6537">
        <v>5.1190910000000001</v>
      </c>
      <c r="E6537">
        <v>0.52522309999999905</v>
      </c>
      <c r="F6537" t="s">
        <v>41</v>
      </c>
      <c r="G6537">
        <v>-163.61330000000001</v>
      </c>
      <c r="H6537">
        <v>1.015749</v>
      </c>
      <c r="I6537">
        <v>140.21520000000001</v>
      </c>
      <c r="J6537">
        <v>-164.1985</v>
      </c>
      <c r="K6537">
        <v>1.1087419999999999</v>
      </c>
      <c r="L6537">
        <v>140.22020000000001</v>
      </c>
      <c r="M6537">
        <v>0.98057539999999999</v>
      </c>
      <c r="N6537">
        <v>0</v>
      </c>
      <c r="O6537">
        <v>0.1956879</v>
      </c>
      <c r="P6537">
        <v>0.99466730000000003</v>
      </c>
      <c r="Q6537">
        <v>7.1631730000000001E-3</v>
      </c>
      <c r="R6537">
        <v>0.10288799999999999</v>
      </c>
      <c r="S6537">
        <v>3.0077210000000001</v>
      </c>
      <c r="T6537">
        <v>-0.34855370000000002</v>
      </c>
      <c r="U6537">
        <v>0.1242828</v>
      </c>
      <c r="V6537">
        <v>9.3845200000000004E-2</v>
      </c>
      <c r="W6537">
        <v>2.0069030000000002E-2</v>
      </c>
      <c r="X6537">
        <v>0.99538450000000001</v>
      </c>
      <c r="Y6537">
        <v>0.152740299999999</v>
      </c>
      <c r="Z6537">
        <v>-3.127804E-2</v>
      </c>
      <c r="AA6537">
        <v>0.98777130000000002</v>
      </c>
      <c r="AB6537">
        <v>16</v>
      </c>
      <c r="AC6537">
        <v>0.58519999999998595</v>
      </c>
      <c r="AD6537">
        <v>-9.2993000000000103E-2</v>
      </c>
      <c r="AE6537">
        <v>-4.9999999999954499E-3</v>
      </c>
      <c r="AF6537">
        <v>0.116488741073274</v>
      </c>
      <c r="AG6537">
        <v>-9.2993000000000103E-2</v>
      </c>
      <c r="AH6537">
        <v>0.55879575904590995</v>
      </c>
      <c r="AI6537">
        <v>99.253024886315501</v>
      </c>
      <c r="AJ6537">
        <v>78.2245417346316</v>
      </c>
      <c r="AK6537">
        <v>0.578333835404372</v>
      </c>
      <c r="AL6537">
        <v>88.850052074415004</v>
      </c>
      <c r="AM6537">
        <v>84.6140543180733</v>
      </c>
      <c r="AN6537">
        <v>0.99999999518421501</v>
      </c>
    </row>
    <row r="6538" spans="1:40" x14ac:dyDescent="0.25">
      <c r="A6538" t="str">
        <f>"20190312154736000"</f>
        <v>20190312154736000</v>
      </c>
      <c r="B6538" t="str">
        <f>"1552376855994666"</f>
        <v>1552376855994666</v>
      </c>
      <c r="C6538" t="s">
        <v>40</v>
      </c>
      <c r="D6538">
        <v>5.1325710000000004</v>
      </c>
      <c r="E6538">
        <v>0.50195129999999999</v>
      </c>
      <c r="F6538" t="s">
        <v>41</v>
      </c>
      <c r="G6538">
        <v>-163.4708</v>
      </c>
      <c r="H6538">
        <v>1.0212889999999999</v>
      </c>
      <c r="I6538">
        <v>140.24799999999999</v>
      </c>
      <c r="J6538">
        <v>-163.93889999999999</v>
      </c>
      <c r="K6538">
        <v>1.1087750000000001</v>
      </c>
      <c r="L6538">
        <v>140.26439999999999</v>
      </c>
      <c r="M6538">
        <v>0.98171719999999896</v>
      </c>
      <c r="N6538">
        <v>0</v>
      </c>
      <c r="O6538">
        <v>0.18987760000000001</v>
      </c>
      <c r="P6538">
        <v>0.99490049999999997</v>
      </c>
      <c r="Q6538">
        <v>2.8813770000000001E-3</v>
      </c>
      <c r="R6538">
        <v>0.10082000000000001</v>
      </c>
      <c r="S6538">
        <v>3.006821</v>
      </c>
      <c r="T6538">
        <v>-0.36125829999999998</v>
      </c>
      <c r="U6538">
        <v>0.1147919</v>
      </c>
      <c r="V6538">
        <v>9.0003340000000001E-2</v>
      </c>
      <c r="W6538">
        <v>1.5816810000000001E-2</v>
      </c>
      <c r="X6538">
        <v>0.99581589999999998</v>
      </c>
      <c r="Y6538">
        <v>0.14987799999999901</v>
      </c>
      <c r="Z6538">
        <v>-3.1568159999999998E-2</v>
      </c>
      <c r="AA6538">
        <v>0.98820039999999998</v>
      </c>
      <c r="AB6538">
        <v>16</v>
      </c>
      <c r="AC6538">
        <v>0.46809999999999202</v>
      </c>
      <c r="AD6538">
        <v>-8.7486000000000105E-2</v>
      </c>
      <c r="AE6538">
        <v>-1.6400000000004401E-2</v>
      </c>
      <c r="AF6538">
        <v>0.101451824692168</v>
      </c>
      <c r="AG6538">
        <v>-8.7486000000000105E-2</v>
      </c>
      <c r="AH6538">
        <v>0.44108032693548199</v>
      </c>
      <c r="AI6538">
        <v>100.940214928278</v>
      </c>
      <c r="AJ6538">
        <v>77.046822252010301</v>
      </c>
      <c r="AK6538">
        <v>0.46097519210786397</v>
      </c>
      <c r="AL6538">
        <v>89.0937257876069</v>
      </c>
      <c r="AM6538">
        <v>84.835553172971203</v>
      </c>
      <c r="AN6538">
        <v>1.00000003969127</v>
      </c>
    </row>
    <row r="6539" spans="1:40" x14ac:dyDescent="0.25">
      <c r="A6539" t="str">
        <f>"20190312154736025"</f>
        <v>20190312154736025</v>
      </c>
      <c r="B6539" t="str">
        <f>"1552376856015162"</f>
        <v>1552376856015162</v>
      </c>
      <c r="C6539" t="s">
        <v>40</v>
      </c>
      <c r="D6539">
        <v>5.2202809999999999</v>
      </c>
      <c r="E6539">
        <v>0.50351290000000004</v>
      </c>
      <c r="F6539" t="s">
        <v>41</v>
      </c>
      <c r="G6539">
        <v>-163.25319999999999</v>
      </c>
      <c r="H6539">
        <v>0.90565430000000002</v>
      </c>
      <c r="I6539">
        <v>140.3338</v>
      </c>
      <c r="J6539">
        <v>-163.75799999999899</v>
      </c>
      <c r="K6539">
        <v>1.1088009999999999</v>
      </c>
      <c r="L6539">
        <v>140.29429999999999</v>
      </c>
      <c r="M6539">
        <v>0.98248400000000002</v>
      </c>
      <c r="N6539">
        <v>0</v>
      </c>
      <c r="O6539">
        <v>0.18586939999999999</v>
      </c>
      <c r="P6539">
        <v>0.99509539999999996</v>
      </c>
      <c r="Q6539">
        <v>2.776134E-3</v>
      </c>
      <c r="R6539">
        <v>9.8881709999999998E-2</v>
      </c>
      <c r="S6539">
        <v>2.987228</v>
      </c>
      <c r="T6539">
        <v>-0.88462569999999996</v>
      </c>
      <c r="U6539">
        <v>0.3031006</v>
      </c>
      <c r="V6539">
        <v>8.7876850000000006E-2</v>
      </c>
      <c r="W6539">
        <v>1.5727649999999999E-2</v>
      </c>
      <c r="X6539">
        <v>0.99600719999999998</v>
      </c>
      <c r="Y6539">
        <v>7.4793780000000004E-2</v>
      </c>
      <c r="Z6539">
        <v>-6.4212690000000003E-2</v>
      </c>
      <c r="AA6539">
        <v>0.9951295</v>
      </c>
      <c r="AB6539">
        <v>16</v>
      </c>
      <c r="AC6539">
        <v>0.50479999999998804</v>
      </c>
      <c r="AD6539">
        <v>-0.20314670000000001</v>
      </c>
      <c r="AE6539">
        <v>3.9500000000003803E-2</v>
      </c>
      <c r="AF6539">
        <v>4.7394774430349298E-2</v>
      </c>
      <c r="AG6539">
        <v>-0.20314670000000001</v>
      </c>
      <c r="AH6539">
        <v>0.43355722530072899</v>
      </c>
      <c r="AI6539">
        <v>114.97531253715999</v>
      </c>
      <c r="AJ6539">
        <v>83.761421880933</v>
      </c>
      <c r="AK6539">
        <v>0.48113066206038202</v>
      </c>
      <c r="AL6539">
        <v>89.098834897869494</v>
      </c>
      <c r="AM6539">
        <v>84.957899308022505</v>
      </c>
      <c r="AN6539">
        <v>1.0000000210961399</v>
      </c>
    </row>
    <row r="6540" spans="1:40" x14ac:dyDescent="0.25">
      <c r="A6540" t="str">
        <f>"20190312154736047"</f>
        <v>20190312154736047</v>
      </c>
      <c r="B6540" t="str">
        <f>"1552376856034682"</f>
        <v>1552376856034682</v>
      </c>
      <c r="C6540" t="s">
        <v>40</v>
      </c>
      <c r="D6540">
        <v>5.1106350000000003</v>
      </c>
      <c r="E6540">
        <v>0.50379989999999997</v>
      </c>
      <c r="F6540" t="s">
        <v>41</v>
      </c>
      <c r="G6540">
        <v>-162.98490000000001</v>
      </c>
      <c r="H6540">
        <v>0.86709570000000002</v>
      </c>
      <c r="I6540">
        <v>140.36869999999999</v>
      </c>
      <c r="J6540">
        <v>-163.60919999999999</v>
      </c>
      <c r="K6540">
        <v>1.1088229999999999</v>
      </c>
      <c r="L6540">
        <v>140.3184</v>
      </c>
      <c r="M6540">
        <v>0.98309559999999996</v>
      </c>
      <c r="N6540">
        <v>0</v>
      </c>
      <c r="O6540">
        <v>0.18260709999999999</v>
      </c>
      <c r="P6540">
        <v>0.9952529</v>
      </c>
      <c r="Q6540">
        <v>3.2759640000000001E-3</v>
      </c>
      <c r="R6540">
        <v>9.7269289999999994E-2</v>
      </c>
      <c r="S6540">
        <v>2.9887700000000001</v>
      </c>
      <c r="T6540">
        <v>-0.93417790000000001</v>
      </c>
      <c r="U6540">
        <v>0.28807070000000001</v>
      </c>
      <c r="V6540">
        <v>8.6184499999999997E-2</v>
      </c>
      <c r="W6540">
        <v>1.623923E-2</v>
      </c>
      <c r="X6540">
        <v>0.99614689999999995</v>
      </c>
      <c r="Y6540">
        <v>7.5385099999999997E-2</v>
      </c>
      <c r="Z6540">
        <v>-6.6753099999999996E-2</v>
      </c>
      <c r="AA6540">
        <v>0.99491759999999996</v>
      </c>
      <c r="AB6540">
        <v>16</v>
      </c>
      <c r="AC6540">
        <v>0.62429999999997599</v>
      </c>
      <c r="AD6540">
        <v>-0.24172729999999901</v>
      </c>
      <c r="AE6540">
        <v>5.0299999999992899E-2</v>
      </c>
      <c r="AF6540">
        <v>5.6188144147808303E-2</v>
      </c>
      <c r="AG6540">
        <v>-0.24172729999999901</v>
      </c>
      <c r="AH6540">
        <v>0.54222068137187596</v>
      </c>
      <c r="AI6540">
        <v>113.91418795887201</v>
      </c>
      <c r="AJ6540">
        <v>84.083785736476699</v>
      </c>
      <c r="AK6540">
        <v>0.59631574053973002</v>
      </c>
      <c r="AL6540">
        <v>89.069519817938101</v>
      </c>
      <c r="AM6540">
        <v>85.055204949859203</v>
      </c>
      <c r="AN6540">
        <v>1.00000006350542</v>
      </c>
    </row>
    <row r="6541" spans="1:40" x14ac:dyDescent="0.25">
      <c r="A6541" t="str">
        <f>"20190312154736070"</f>
        <v>20190312154736070</v>
      </c>
      <c r="B6541" t="str">
        <f>"1552376856064938"</f>
        <v>1552376856064938</v>
      </c>
      <c r="C6541" t="s">
        <v>40</v>
      </c>
      <c r="D6541">
        <v>5.076797</v>
      </c>
      <c r="E6541">
        <v>0.5043936</v>
      </c>
      <c r="F6541" t="s">
        <v>41</v>
      </c>
      <c r="G6541">
        <v>-162.84469999999999</v>
      </c>
      <c r="H6541">
        <v>0.86528899999999997</v>
      </c>
      <c r="I6541">
        <v>140.39099999999999</v>
      </c>
      <c r="J6541">
        <v>-163.44059999999999</v>
      </c>
      <c r="K6541">
        <v>1.1088309999999999</v>
      </c>
      <c r="L6541">
        <v>140.345</v>
      </c>
      <c r="M6541">
        <v>0.98376739999999996</v>
      </c>
      <c r="N6541">
        <v>0</v>
      </c>
      <c r="O6541">
        <v>0.178952799999999</v>
      </c>
      <c r="P6541">
        <v>0.99555669999999996</v>
      </c>
      <c r="Q6541">
        <v>2.4922059999999998E-3</v>
      </c>
      <c r="R6541">
        <v>9.4132499999999994E-2</v>
      </c>
      <c r="S6541">
        <v>2.9896699999999998</v>
      </c>
      <c r="T6541">
        <v>-0.95229889999999995</v>
      </c>
      <c r="U6541">
        <v>0.28430179999999999</v>
      </c>
      <c r="V6541">
        <v>8.5618109999999997E-2</v>
      </c>
      <c r="W6541">
        <v>1.5461610000000001E-2</v>
      </c>
      <c r="X6541">
        <v>0.99620810000000004</v>
      </c>
      <c r="Y6541">
        <v>7.2797630000000002E-2</v>
      </c>
      <c r="Z6541">
        <v>-6.6458080000000003E-2</v>
      </c>
      <c r="AA6541">
        <v>0.99513010000000002</v>
      </c>
      <c r="AB6541">
        <v>16</v>
      </c>
      <c r="AC6541">
        <v>0.59589999999999999</v>
      </c>
      <c r="AD6541">
        <v>-0.24354199999999901</v>
      </c>
      <c r="AE6541">
        <v>4.59999999999922E-2</v>
      </c>
      <c r="AF6541">
        <v>5.2648248754953199E-2</v>
      </c>
      <c r="AG6541">
        <v>-0.24354199999999901</v>
      </c>
      <c r="AH6541">
        <v>0.50985391578552897</v>
      </c>
      <c r="AI6541">
        <v>115.414433749165</v>
      </c>
      <c r="AJ6541">
        <v>84.104450735532694</v>
      </c>
      <c r="AK6541">
        <v>0.56748177001803402</v>
      </c>
      <c r="AL6541">
        <v>89.1140797464966</v>
      </c>
      <c r="AM6541">
        <v>85.087842075251302</v>
      </c>
      <c r="AN6541">
        <v>1.00000005032468</v>
      </c>
    </row>
    <row r="6542" spans="1:40" x14ac:dyDescent="0.25">
      <c r="A6542" t="str">
        <f>"20190312154736092"</f>
        <v>20190312154736092</v>
      </c>
      <c r="B6542" t="str">
        <f>"1552376856084458"</f>
        <v>1552376856084458</v>
      </c>
      <c r="C6542" t="s">
        <v>40</v>
      </c>
      <c r="D6542">
        <v>5.13551</v>
      </c>
      <c r="E6542">
        <v>0.50477019999999995</v>
      </c>
      <c r="F6542" t="s">
        <v>41</v>
      </c>
      <c r="G6542">
        <v>-162.7021</v>
      </c>
      <c r="H6542">
        <v>0.86923809999999901</v>
      </c>
      <c r="I6542">
        <v>140.41239999999999</v>
      </c>
      <c r="J6542">
        <v>-163.28720000000001</v>
      </c>
      <c r="K6542">
        <v>1.1088420000000001</v>
      </c>
      <c r="L6542">
        <v>140.36879999999999</v>
      </c>
      <c r="M6542">
        <v>0.98435919999999999</v>
      </c>
      <c r="N6542">
        <v>0</v>
      </c>
      <c r="O6542">
        <v>0.1756684</v>
      </c>
      <c r="P6542">
        <v>0.99589450000000002</v>
      </c>
      <c r="Q6542">
        <v>5.516214E-4</v>
      </c>
      <c r="R6542">
        <v>9.0522039999999998E-2</v>
      </c>
      <c r="S6542">
        <v>2.990005</v>
      </c>
      <c r="T6542">
        <v>-0.9699354</v>
      </c>
      <c r="U6542">
        <v>0.27293400000000001</v>
      </c>
      <c r="V6542">
        <v>8.5897559999999998E-2</v>
      </c>
      <c r="W6542">
        <v>1.3523469999999999E-2</v>
      </c>
      <c r="X6542">
        <v>0.99621219999999999</v>
      </c>
      <c r="Y6542">
        <v>7.2938340000000004E-2</v>
      </c>
      <c r="Z6542">
        <v>-6.66403E-2</v>
      </c>
      <c r="AA6542">
        <v>0.99510759999999998</v>
      </c>
      <c r="AB6542">
        <v>16</v>
      </c>
      <c r="AC6542">
        <v>0.58510000000001094</v>
      </c>
      <c r="AD6542">
        <v>-0.23960390000000001</v>
      </c>
      <c r="AE6542">
        <v>4.35999999999978E-2</v>
      </c>
      <c r="AF6542">
        <v>5.1313234072059198E-2</v>
      </c>
      <c r="AG6542">
        <v>-0.23960390000000001</v>
      </c>
      <c r="AH6542">
        <v>0.50023451191541801</v>
      </c>
      <c r="AI6542">
        <v>115.476998996482</v>
      </c>
      <c r="AJ6542">
        <v>84.143178229839705</v>
      </c>
      <c r="AK6542">
        <v>0.55702571197154005</v>
      </c>
      <c r="AL6542">
        <v>89.225138633793193</v>
      </c>
      <c r="AM6542">
        <v>85.071908234879302</v>
      </c>
      <c r="AN6542">
        <v>1.0000000112418099</v>
      </c>
    </row>
    <row r="6543" spans="1:40" x14ac:dyDescent="0.25">
      <c r="A6543" t="str">
        <f>"20190312154736115"</f>
        <v>20190312154736115</v>
      </c>
      <c r="B6543" t="str">
        <f>"1552376856104954"</f>
        <v>1552376856104954</v>
      </c>
      <c r="C6543" t="s">
        <v>40</v>
      </c>
      <c r="D6543">
        <v>5.1824560000000002</v>
      </c>
      <c r="E6543">
        <v>0.50516819999999996</v>
      </c>
      <c r="F6543" t="s">
        <v>41</v>
      </c>
      <c r="G6543">
        <v>-162.5609</v>
      </c>
      <c r="H6543">
        <v>0.8701468</v>
      </c>
      <c r="I6543">
        <v>140.43260000000001</v>
      </c>
      <c r="J6543">
        <v>-163.12209999999999</v>
      </c>
      <c r="K6543">
        <v>1.1088709999999999</v>
      </c>
      <c r="L6543">
        <v>140.3939</v>
      </c>
      <c r="M6543">
        <v>0.98497210000000002</v>
      </c>
      <c r="N6543">
        <v>0</v>
      </c>
      <c r="O6543">
        <v>0.17219909999999999</v>
      </c>
      <c r="P6543">
        <v>0.99633839999999996</v>
      </c>
      <c r="Q6543">
        <v>-1.4160240000000001E-3</v>
      </c>
      <c r="R6543">
        <v>8.5488709999999996E-2</v>
      </c>
      <c r="S6543">
        <v>2.9890439999999998</v>
      </c>
      <c r="T6543">
        <v>-0.98225510000000005</v>
      </c>
      <c r="U6543">
        <v>0.26277159999999999</v>
      </c>
      <c r="V6543">
        <v>8.7412680000000006E-2</v>
      </c>
      <c r="W6543">
        <v>1.1554760000000001E-2</v>
      </c>
      <c r="X6543">
        <v>0.99610520000000002</v>
      </c>
      <c r="Y6543">
        <v>7.2621199999999997E-2</v>
      </c>
      <c r="Z6543">
        <v>-6.6336510000000001E-2</v>
      </c>
      <c r="AA6543">
        <v>0.99515100000000001</v>
      </c>
      <c r="AB6543">
        <v>16</v>
      </c>
      <c r="AC6543">
        <v>0.56119999999998504</v>
      </c>
      <c r="AD6543">
        <v>-0.238724199999999</v>
      </c>
      <c r="AE6543">
        <v>3.8700000000005702E-2</v>
      </c>
      <c r="AF6543">
        <v>4.9593463379506403E-2</v>
      </c>
      <c r="AG6543">
        <v>-0.238724199999999</v>
      </c>
      <c r="AH6543">
        <v>0.47409823487405101</v>
      </c>
      <c r="AI6543">
        <v>116.601739603281</v>
      </c>
      <c r="AJ6543">
        <v>84.028243093862699</v>
      </c>
      <c r="AK6543">
        <v>0.53312089772049298</v>
      </c>
      <c r="AL6543">
        <v>89.337946305473295</v>
      </c>
      <c r="AM6543">
        <v>84.984886667911297</v>
      </c>
      <c r="AN6543">
        <v>1.00000002928523</v>
      </c>
    </row>
    <row r="6544" spans="1:40" x14ac:dyDescent="0.25">
      <c r="A6544" t="str">
        <f>"20190312154736141"</f>
        <v>20190312154736141</v>
      </c>
      <c r="B6544" t="str">
        <f>"1552376856135210"</f>
        <v>1552376856135210</v>
      </c>
      <c r="C6544" t="s">
        <v>40</v>
      </c>
      <c r="D6544">
        <v>5.1058219999999999</v>
      </c>
      <c r="E6544">
        <v>0.50540819999999997</v>
      </c>
      <c r="F6544" t="s">
        <v>41</v>
      </c>
      <c r="G6544">
        <v>-162.41829999999999</v>
      </c>
      <c r="H6544">
        <v>0.87479830000000003</v>
      </c>
      <c r="I6544">
        <v>140.4528</v>
      </c>
      <c r="J6544">
        <v>-162.94470000000001</v>
      </c>
      <c r="K6544">
        <v>1.1089290000000001</v>
      </c>
      <c r="L6544">
        <v>140.4203</v>
      </c>
      <c r="M6544">
        <v>0.98560029999999998</v>
      </c>
      <c r="N6544">
        <v>0</v>
      </c>
      <c r="O6544">
        <v>0.1685671</v>
      </c>
      <c r="P6544">
        <v>0.99675400000000003</v>
      </c>
      <c r="Q6544">
        <v>-3.4291500000000002E-3</v>
      </c>
      <c r="R6544">
        <v>8.0434199999999997E-2</v>
      </c>
      <c r="S6544">
        <v>2.9881129999999998</v>
      </c>
      <c r="T6544">
        <v>-0.99363679999999999</v>
      </c>
      <c r="U6544">
        <v>0.25056460000000003</v>
      </c>
      <c r="V6544">
        <v>8.8783819999999999E-2</v>
      </c>
      <c r="W6544">
        <v>9.5368999999999992E-3</v>
      </c>
      <c r="X6544">
        <v>0.99600520000000003</v>
      </c>
      <c r="Y6544">
        <v>7.2832040000000001E-2</v>
      </c>
      <c r="Z6544">
        <v>-6.5978809999999999E-2</v>
      </c>
      <c r="AA6544">
        <v>0.99515940000000003</v>
      </c>
      <c r="AB6544">
        <v>16</v>
      </c>
      <c r="AC6544">
        <v>0.52640000000002296</v>
      </c>
      <c r="AD6544">
        <v>-0.2341307</v>
      </c>
      <c r="AE6544">
        <v>3.2499999999998801E-2</v>
      </c>
      <c r="AF6544">
        <v>4.73710599755909E-2</v>
      </c>
      <c r="AG6544">
        <v>-0.2341307</v>
      </c>
      <c r="AH6544">
        <v>0.43802156177259999</v>
      </c>
      <c r="AI6544">
        <v>117.987068871514</v>
      </c>
      <c r="AJ6544">
        <v>83.827578079608401</v>
      </c>
      <c r="AK6544">
        <v>0.49892293050471098</v>
      </c>
      <c r="AL6544">
        <v>89.453567563472006</v>
      </c>
      <c r="AM6544">
        <v>84.906122405352903</v>
      </c>
      <c r="AN6544">
        <v>0.99999993879121896</v>
      </c>
    </row>
    <row r="6545" spans="1:40" x14ac:dyDescent="0.25">
      <c r="A6545" t="str">
        <f>"20190312154736164"</f>
        <v>20190312154736164</v>
      </c>
      <c r="B6545" t="str">
        <f>"1552376856154729"</f>
        <v>1552376856154729</v>
      </c>
      <c r="C6545" t="s">
        <v>40</v>
      </c>
      <c r="D6545">
        <v>5.1496009999999997</v>
      </c>
      <c r="E6545">
        <v>0.50575760000000003</v>
      </c>
      <c r="F6545" t="s">
        <v>41</v>
      </c>
      <c r="G6545">
        <v>-162.27459999999999</v>
      </c>
      <c r="H6545">
        <v>0.88306369999999901</v>
      </c>
      <c r="I6545">
        <v>140.4735</v>
      </c>
      <c r="J6545">
        <v>-162.7841</v>
      </c>
      <c r="K6545">
        <v>1.108916</v>
      </c>
      <c r="L6545">
        <v>140.44380000000001</v>
      </c>
      <c r="M6545">
        <v>0.9861453</v>
      </c>
      <c r="N6545">
        <v>0</v>
      </c>
      <c r="O6545">
        <v>0.1653713</v>
      </c>
      <c r="P6545">
        <v>0.99708459999999999</v>
      </c>
      <c r="Q6545">
        <v>-5.5199430000000002E-3</v>
      </c>
      <c r="R6545">
        <v>7.6104530000000004E-2</v>
      </c>
      <c r="S6545">
        <v>2.987152</v>
      </c>
      <c r="T6545">
        <v>-1.0068569999999999</v>
      </c>
      <c r="U6545">
        <v>0.23728940000000001</v>
      </c>
      <c r="V6545">
        <v>8.9869899999999905E-2</v>
      </c>
      <c r="W6545">
        <v>7.1856999999999997E-3</v>
      </c>
      <c r="X6545">
        <v>0.99592760000000002</v>
      </c>
      <c r="Y6545">
        <v>7.3740319999999998E-2</v>
      </c>
      <c r="Z6545">
        <v>-6.5964090000000003E-2</v>
      </c>
      <c r="AA6545">
        <v>0.99509349999999996</v>
      </c>
      <c r="AB6545">
        <v>16</v>
      </c>
      <c r="AC6545">
        <v>0.50950000000000195</v>
      </c>
      <c r="AD6545">
        <v>-0.22585230000000001</v>
      </c>
      <c r="AE6545">
        <v>2.9699999999991102E-2</v>
      </c>
      <c r="AF6545">
        <v>4.5970295796357398E-2</v>
      </c>
      <c r="AG6545">
        <v>-0.22585230000000001</v>
      </c>
      <c r="AH6545">
        <v>0.42430283894000498</v>
      </c>
      <c r="AI6545">
        <v>117.88750210992301</v>
      </c>
      <c r="AJ6545">
        <v>83.816515284021094</v>
      </c>
      <c r="AK6545">
        <v>0.48286170757623997</v>
      </c>
      <c r="AL6545">
        <v>89.588286177643397</v>
      </c>
      <c r="AM6545">
        <v>84.843743983583593</v>
      </c>
      <c r="AN6545">
        <v>1.00000000882613</v>
      </c>
    </row>
    <row r="6546" spans="1:40" x14ac:dyDescent="0.25">
      <c r="A6546" t="str">
        <f>"20190312154736187"</f>
        <v>20190312154736187</v>
      </c>
      <c r="B6546" t="str">
        <f>"1552376856184987"</f>
        <v>1552376856184987</v>
      </c>
      <c r="C6546" t="s">
        <v>40</v>
      </c>
      <c r="D6546">
        <v>5.1793829999999996</v>
      </c>
      <c r="E6546">
        <v>0.51705869999999998</v>
      </c>
      <c r="F6546" t="s">
        <v>41</v>
      </c>
      <c r="G6546">
        <v>-162.00540000000001</v>
      </c>
      <c r="H6546">
        <v>0.84494820000000004</v>
      </c>
      <c r="I6546">
        <v>140.5016</v>
      </c>
      <c r="J6546">
        <v>-162.61259999999999</v>
      </c>
      <c r="K6546">
        <v>1.1089169999999999</v>
      </c>
      <c r="L6546">
        <v>140.4684</v>
      </c>
      <c r="M6546">
        <v>0.98668739999999999</v>
      </c>
      <c r="N6546">
        <v>0</v>
      </c>
      <c r="O6546">
        <v>0.1621329</v>
      </c>
      <c r="P6546">
        <v>0.99738479999999996</v>
      </c>
      <c r="Q6546">
        <v>-6.4580760000000001E-3</v>
      </c>
      <c r="R6546">
        <v>7.198533E-2</v>
      </c>
      <c r="S6546">
        <v>2.9862060000000001</v>
      </c>
      <c r="T6546">
        <v>-1.0122880000000001</v>
      </c>
      <c r="U6546">
        <v>0.22206119999999999</v>
      </c>
      <c r="V6546">
        <v>9.0707189999999993E-2</v>
      </c>
      <c r="W6546">
        <v>5.911141E-3</v>
      </c>
      <c r="X6546">
        <v>0.99585999999999997</v>
      </c>
      <c r="Y6546">
        <v>7.5418170000000007E-2</v>
      </c>
      <c r="Z6546">
        <v>-6.5562280000000001E-2</v>
      </c>
      <c r="AA6546">
        <v>0.9949943</v>
      </c>
      <c r="AB6546">
        <v>16</v>
      </c>
      <c r="AC6546">
        <v>0.60719999999997698</v>
      </c>
      <c r="AD6546">
        <v>-0.263968799999999</v>
      </c>
      <c r="AE6546">
        <v>3.3199999999993603E-2</v>
      </c>
      <c r="AF6546">
        <v>5.5278372061895398E-2</v>
      </c>
      <c r="AG6546">
        <v>-0.263968799999999</v>
      </c>
      <c r="AH6546">
        <v>0.50869558947032001</v>
      </c>
      <c r="AI6546">
        <v>117.28813059353899</v>
      </c>
      <c r="AJ6546">
        <v>83.798180322225704</v>
      </c>
      <c r="AK6546">
        <v>0.57576594944283499</v>
      </c>
      <c r="AL6546">
        <v>89.661314575123598</v>
      </c>
      <c r="AM6546">
        <v>84.795615991132905</v>
      </c>
      <c r="AN6546">
        <v>0.99999993775280704</v>
      </c>
    </row>
    <row r="6547" spans="1:40" x14ac:dyDescent="0.25">
      <c r="A6547" t="str">
        <f>"20190312154736211"</f>
        <v>20190312154736211</v>
      </c>
      <c r="B6547" t="str">
        <f>"1552376856204506"</f>
        <v>1552376856204506</v>
      </c>
      <c r="C6547" t="s">
        <v>40</v>
      </c>
      <c r="D6547">
        <v>5.2693310000000002</v>
      </c>
      <c r="E6547">
        <v>0.51826079999999997</v>
      </c>
      <c r="F6547" t="s">
        <v>41</v>
      </c>
      <c r="G6547">
        <v>-161.8449</v>
      </c>
      <c r="H6547">
        <v>0.88253379999999904</v>
      </c>
      <c r="I6547">
        <v>140.49780000000001</v>
      </c>
      <c r="J6547">
        <v>-162.45359999999999</v>
      </c>
      <c r="K6547">
        <v>1.108992</v>
      </c>
      <c r="L6547">
        <v>140.49090000000001</v>
      </c>
      <c r="M6547">
        <v>0.98715379999999997</v>
      </c>
      <c r="N6547">
        <v>0</v>
      </c>
      <c r="O6547">
        <v>0.1592787</v>
      </c>
      <c r="P6547">
        <v>0.99766449999999995</v>
      </c>
      <c r="Q6547">
        <v>-6.7481919999999897E-3</v>
      </c>
      <c r="R6547">
        <v>6.7972619999999997E-2</v>
      </c>
      <c r="S6547">
        <v>2.993805</v>
      </c>
      <c r="T6547">
        <v>-0.88262529999999995</v>
      </c>
      <c r="U6547">
        <v>0.1151581</v>
      </c>
      <c r="V6547">
        <v>9.1830010000000004E-2</v>
      </c>
      <c r="W6547">
        <v>5.5029759999999997E-3</v>
      </c>
      <c r="X6547">
        <v>0.99575950000000002</v>
      </c>
      <c r="Y6547">
        <v>0.1098531</v>
      </c>
      <c r="Z6547">
        <v>-6.163279E-2</v>
      </c>
      <c r="AA6547">
        <v>0.99203520000000001</v>
      </c>
      <c r="AB6547">
        <v>16</v>
      </c>
      <c r="AC6547">
        <v>0.60869999999999802</v>
      </c>
      <c r="AD6547">
        <v>-0.2264582</v>
      </c>
      <c r="AE6547">
        <v>6.90000000000168E-3</v>
      </c>
      <c r="AF6547">
        <v>7.91894376004703E-2</v>
      </c>
      <c r="AG6547">
        <v>-0.2264582</v>
      </c>
      <c r="AH6547">
        <v>0.52883940431080201</v>
      </c>
      <c r="AI6547">
        <v>112.952449132875</v>
      </c>
      <c r="AJ6547">
        <v>81.483695406698899</v>
      </c>
      <c r="AK6547">
        <v>0.580711114863942</v>
      </c>
      <c r="AL6547">
        <v>89.684701111487399</v>
      </c>
      <c r="AM6547">
        <v>84.731025045824595</v>
      </c>
      <c r="AN6547">
        <v>1.00000000766085</v>
      </c>
    </row>
    <row r="6548" spans="1:40" x14ac:dyDescent="0.25">
      <c r="A6548" t="str">
        <f>"20190312154736230"</f>
        <v>20190312154736230</v>
      </c>
      <c r="B6548" t="str">
        <f>"1552376856225002"</f>
        <v>1552376856225002</v>
      </c>
      <c r="C6548" t="s">
        <v>40</v>
      </c>
      <c r="D6548">
        <v>5.1299260000000002</v>
      </c>
      <c r="E6548">
        <v>0.51811359999999995</v>
      </c>
      <c r="F6548" t="s">
        <v>41</v>
      </c>
      <c r="G6548">
        <v>-161.7003</v>
      </c>
      <c r="H6548">
        <v>0.89057389999999903</v>
      </c>
      <c r="I6548">
        <v>140.5146</v>
      </c>
      <c r="J6548">
        <v>-162.31649999999999</v>
      </c>
      <c r="K6548">
        <v>1.109091</v>
      </c>
      <c r="L6548">
        <v>140.51009999999999</v>
      </c>
      <c r="M6548">
        <v>0.98753060000000004</v>
      </c>
      <c r="N6548">
        <v>0</v>
      </c>
      <c r="O6548">
        <v>0.1569276</v>
      </c>
      <c r="P6548">
        <v>0.99784740000000005</v>
      </c>
      <c r="Q6548">
        <v>-7.1117799999999998E-3</v>
      </c>
      <c r="R6548">
        <v>6.5192379999999994E-2</v>
      </c>
      <c r="S6548">
        <v>2.9947509999999999</v>
      </c>
      <c r="T6548">
        <v>-0.86831380000000002</v>
      </c>
      <c r="U6548">
        <v>9.4161990000000001E-2</v>
      </c>
      <c r="V6548">
        <v>9.2231179999999996E-2</v>
      </c>
      <c r="W6548">
        <v>5.1381999999999999E-3</v>
      </c>
      <c r="X6548">
        <v>0.99572439999999995</v>
      </c>
      <c r="Y6548">
        <v>0.1147031</v>
      </c>
      <c r="Z6548">
        <v>-6.069633E-2</v>
      </c>
      <c r="AA6548">
        <v>0.99154379999999998</v>
      </c>
      <c r="AB6548">
        <v>16</v>
      </c>
      <c r="AC6548">
        <v>0.61619999999999198</v>
      </c>
      <c r="AD6548">
        <v>-0.21851709999999999</v>
      </c>
      <c r="AE6548">
        <v>4.5000000000072699E-3</v>
      </c>
      <c r="AF6548">
        <v>8.1956235141891098E-2</v>
      </c>
      <c r="AG6548">
        <v>-0.21851709999999999</v>
      </c>
      <c r="AH6548">
        <v>0.54121336893508198</v>
      </c>
      <c r="AI6548">
        <v>111.762028039209</v>
      </c>
      <c r="AJ6548">
        <v>81.3890907120728</v>
      </c>
      <c r="AK6548">
        <v>0.58938820668987202</v>
      </c>
      <c r="AL6548">
        <v>89.705601540949004</v>
      </c>
      <c r="AM6548">
        <v>84.707951836107</v>
      </c>
      <c r="AN6548">
        <v>1.0000000362093899</v>
      </c>
    </row>
    <row r="6549" spans="1:40" x14ac:dyDescent="0.25">
      <c r="A6549" t="str">
        <f>"20190312154736255"</f>
        <v>20190312154736255</v>
      </c>
      <c r="B6549" t="str">
        <f>"1552376856244522"</f>
        <v>1552376856244522</v>
      </c>
      <c r="C6549" t="s">
        <v>40</v>
      </c>
      <c r="D6549">
        <v>5.1728839999999998</v>
      </c>
      <c r="E6549">
        <v>0.5172156</v>
      </c>
      <c r="F6549" t="s">
        <v>41</v>
      </c>
      <c r="G6549">
        <v>-161.5607</v>
      </c>
      <c r="H6549">
        <v>0.88755019999999996</v>
      </c>
      <c r="I6549">
        <v>140.53219999999999</v>
      </c>
      <c r="J6549">
        <v>-162.1422</v>
      </c>
      <c r="K6549">
        <v>1.1092</v>
      </c>
      <c r="L6549">
        <v>140.5342</v>
      </c>
      <c r="M6549">
        <v>0.98797789999999996</v>
      </c>
      <c r="N6549">
        <v>0</v>
      </c>
      <c r="O6549">
        <v>0.15409129999999999</v>
      </c>
      <c r="P6549">
        <v>0.99793609999999999</v>
      </c>
      <c r="Q6549">
        <v>-6.5028129999999996E-3</v>
      </c>
      <c r="R6549">
        <v>6.3887749999999993E-2</v>
      </c>
      <c r="S6549">
        <v>2.9944760000000001</v>
      </c>
      <c r="T6549">
        <v>-0.8776562</v>
      </c>
      <c r="U6549">
        <v>8.7860110000000005E-2</v>
      </c>
      <c r="V6549">
        <v>9.0674229999999995E-2</v>
      </c>
      <c r="W6549">
        <v>5.7213630000000001E-3</v>
      </c>
      <c r="X6549">
        <v>0.99586419999999998</v>
      </c>
      <c r="Y6549">
        <v>0.11384950000000001</v>
      </c>
      <c r="Z6549">
        <v>-6.040417E-2</v>
      </c>
      <c r="AA6549">
        <v>0.99166010000000004</v>
      </c>
      <c r="AB6549">
        <v>16</v>
      </c>
      <c r="AC6549">
        <v>0.58150000000000501</v>
      </c>
      <c r="AD6549">
        <v>-0.22164979999999901</v>
      </c>
      <c r="AE6549">
        <v>-2.0000000000095402E-3</v>
      </c>
      <c r="AF6549">
        <v>7.9968671610198994E-2</v>
      </c>
      <c r="AG6549">
        <v>-0.22164979999999901</v>
      </c>
      <c r="AH6549">
        <v>0.50139839558774102</v>
      </c>
      <c r="AI6549">
        <v>113.583473266852</v>
      </c>
      <c r="AJ6549">
        <v>80.938145323104607</v>
      </c>
      <c r="AK6549">
        <v>0.55400719614198202</v>
      </c>
      <c r="AL6549">
        <v>89.672188267575507</v>
      </c>
      <c r="AM6549">
        <v>84.797518534193401</v>
      </c>
      <c r="AN6549">
        <v>1.00000002741115</v>
      </c>
    </row>
    <row r="6550" spans="1:40" x14ac:dyDescent="0.25">
      <c r="A6550" t="str">
        <f>"20190312154736275"</f>
        <v>20190312154736275</v>
      </c>
      <c r="B6550" t="str">
        <f>"1552376856265021"</f>
        <v>1552376856265021</v>
      </c>
      <c r="C6550" t="s">
        <v>40</v>
      </c>
      <c r="D6550">
        <v>5.2092090000000004</v>
      </c>
      <c r="E6550">
        <v>0.51133469999999903</v>
      </c>
      <c r="F6550" t="s">
        <v>41</v>
      </c>
      <c r="G6550">
        <v>-161.41640000000001</v>
      </c>
      <c r="H6550">
        <v>0.89861990000000003</v>
      </c>
      <c r="I6550">
        <v>140.55619999999999</v>
      </c>
      <c r="J6550">
        <v>-161.9957</v>
      </c>
      <c r="K6550">
        <v>1.1092599999999999</v>
      </c>
      <c r="L6550">
        <v>140.55430000000001</v>
      </c>
      <c r="M6550">
        <v>0.98832640000000005</v>
      </c>
      <c r="N6550">
        <v>0</v>
      </c>
      <c r="O6550">
        <v>0.15184729999999999</v>
      </c>
      <c r="P6550">
        <v>0.99791129999999995</v>
      </c>
      <c r="Q6550">
        <v>-4.8656430000000002E-3</v>
      </c>
      <c r="R6550">
        <v>6.4418130000000004E-2</v>
      </c>
      <c r="S6550">
        <v>2.9947810000000001</v>
      </c>
      <c r="T6550">
        <v>-0.86895669999999903</v>
      </c>
      <c r="U6550">
        <v>9.0103150000000007E-2</v>
      </c>
      <c r="V6550">
        <v>8.7887000000000007E-2</v>
      </c>
      <c r="W6550">
        <v>7.28297199999999E-3</v>
      </c>
      <c r="X6550">
        <v>0.99610379999999998</v>
      </c>
      <c r="Y6550">
        <v>0.1112726</v>
      </c>
      <c r="Z6550">
        <v>-5.8824609999999999E-2</v>
      </c>
      <c r="AA6550">
        <v>0.99204740000000002</v>
      </c>
      <c r="AB6550">
        <v>16</v>
      </c>
      <c r="AC6550">
        <v>0.57929999999998905</v>
      </c>
      <c r="AD6550">
        <v>-0.2106401</v>
      </c>
      <c r="AE6550">
        <v>1.8999999999778001E-3</v>
      </c>
      <c r="AF6550">
        <v>7.6040470065636995E-2</v>
      </c>
      <c r="AG6550">
        <v>-0.2106401</v>
      </c>
      <c r="AH6550">
        <v>0.505974136885881</v>
      </c>
      <c r="AI6550">
        <v>112.376129853527</v>
      </c>
      <c r="AJ6550">
        <v>81.453248817606806</v>
      </c>
      <c r="AK6550">
        <v>0.55331838213927498</v>
      </c>
      <c r="AL6550">
        <v>89.582712742001505</v>
      </c>
      <c r="AM6550">
        <v>84.957806442287804</v>
      </c>
      <c r="AN6550">
        <v>0.99999997341229596</v>
      </c>
    </row>
    <row r="6551" spans="1:40" x14ac:dyDescent="0.25">
      <c r="A6551" t="str">
        <f>"20190312154736301"</f>
        <v>20190312154736301</v>
      </c>
      <c r="B6551" t="str">
        <f>"1552376856295273"</f>
        <v>1552376856295273</v>
      </c>
      <c r="C6551" t="s">
        <v>40</v>
      </c>
      <c r="D6551">
        <v>5.1899150000000001</v>
      </c>
      <c r="E6551">
        <v>0.51186129999999996</v>
      </c>
      <c r="F6551" t="s">
        <v>41</v>
      </c>
      <c r="G6551">
        <v>-161.26009999999999</v>
      </c>
      <c r="H6551">
        <v>0.935284</v>
      </c>
      <c r="I6551">
        <v>140.58619999999999</v>
      </c>
      <c r="J6551">
        <v>-161.8159</v>
      </c>
      <c r="K6551">
        <v>1.109318</v>
      </c>
      <c r="L6551">
        <v>140.57859999999999</v>
      </c>
      <c r="M6551">
        <v>0.98871819999999999</v>
      </c>
      <c r="N6551">
        <v>0</v>
      </c>
      <c r="O6551">
        <v>0.14928369999999999</v>
      </c>
      <c r="P6551">
        <v>0.99793929999999997</v>
      </c>
      <c r="Q6551">
        <v>-3.75049E-3</v>
      </c>
      <c r="R6551">
        <v>6.4057160000000002E-2</v>
      </c>
      <c r="S6551">
        <v>2.994415</v>
      </c>
      <c r="T6551">
        <v>-0.70810989999999996</v>
      </c>
      <c r="U6551">
        <v>0.1303406</v>
      </c>
      <c r="V6551">
        <v>8.5664889999999994E-2</v>
      </c>
      <c r="W6551">
        <v>8.3071889999999995E-3</v>
      </c>
      <c r="X6551">
        <v>0.99628939999999999</v>
      </c>
      <c r="Y6551">
        <v>9.934432E-2</v>
      </c>
      <c r="Z6551">
        <v>-4.6262780000000003E-2</v>
      </c>
      <c r="AA6551">
        <v>0.99397709999999995</v>
      </c>
      <c r="AB6551">
        <v>16</v>
      </c>
      <c r="AC6551">
        <v>0.55580000000000496</v>
      </c>
      <c r="AD6551">
        <v>-0.17403399999999999</v>
      </c>
      <c r="AE6551">
        <v>7.5999999999964898E-3</v>
      </c>
      <c r="AF6551">
        <v>6.8726218116514207E-2</v>
      </c>
      <c r="AG6551">
        <v>-0.17403399999999999</v>
      </c>
      <c r="AH6551">
        <v>0.50154062836174496</v>
      </c>
      <c r="AI6551">
        <v>108.972259365464</v>
      </c>
      <c r="AJ6551">
        <v>82.1973426360654</v>
      </c>
      <c r="AK6551">
        <v>0.53530750798965399</v>
      </c>
      <c r="AL6551">
        <v>89.524027668362393</v>
      </c>
      <c r="AM6551">
        <v>85.085570414081303</v>
      </c>
      <c r="AN6551">
        <v>1.0000000256600701</v>
      </c>
    </row>
    <row r="6552" spans="1:40" x14ac:dyDescent="0.25">
      <c r="A6552" t="str">
        <f>"20190312154736320"</f>
        <v>20190312154736320</v>
      </c>
      <c r="B6552" t="str">
        <f>"1552376856314793"</f>
        <v>1552376856314793</v>
      </c>
      <c r="C6552" t="s">
        <v>40</v>
      </c>
      <c r="D6552">
        <v>5.2180479999999996</v>
      </c>
      <c r="E6552">
        <v>0.51187190000000005</v>
      </c>
      <c r="F6552" t="s">
        <v>41</v>
      </c>
      <c r="G6552">
        <v>-161.11600000000001</v>
      </c>
      <c r="H6552">
        <v>0.94300450000000002</v>
      </c>
      <c r="I6552">
        <v>140.6078</v>
      </c>
      <c r="J6552">
        <v>-161.67779999999999</v>
      </c>
      <c r="K6552">
        <v>1.109375</v>
      </c>
      <c r="L6552">
        <v>140.59710000000001</v>
      </c>
      <c r="M6552">
        <v>0.98899159999999997</v>
      </c>
      <c r="N6552">
        <v>0</v>
      </c>
      <c r="O6552">
        <v>0.14746489999999901</v>
      </c>
      <c r="P6552">
        <v>0.99794939999999999</v>
      </c>
      <c r="Q6552">
        <v>-3.9949440000000003E-3</v>
      </c>
      <c r="R6552">
        <v>6.3884319999999994E-2</v>
      </c>
      <c r="S6552">
        <v>2.9954679999999998</v>
      </c>
      <c r="T6552">
        <v>-0.71175189999999999</v>
      </c>
      <c r="U6552">
        <v>0.12535099999999999</v>
      </c>
      <c r="V6552">
        <v>8.4002969999999996E-2</v>
      </c>
      <c r="W6552">
        <v>8.0377809999999904E-3</v>
      </c>
      <c r="X6552">
        <v>0.99643309999999996</v>
      </c>
      <c r="Y6552">
        <v>9.917223E-2</v>
      </c>
      <c r="Z6552">
        <v>-4.6039110000000001E-2</v>
      </c>
      <c r="AA6552">
        <v>0.99400469999999996</v>
      </c>
      <c r="AB6552">
        <v>16</v>
      </c>
      <c r="AC6552">
        <v>0.56179999999997599</v>
      </c>
      <c r="AD6552">
        <v>-0.16637049999999901</v>
      </c>
      <c r="AE6552">
        <v>1.06999999999857E-2</v>
      </c>
      <c r="AF6552">
        <v>6.6444087217033099E-2</v>
      </c>
      <c r="AG6552">
        <v>-0.16637049999999901</v>
      </c>
      <c r="AH6552">
        <v>0.512321817733839</v>
      </c>
      <c r="AI6552">
        <v>107.850696823199</v>
      </c>
      <c r="AJ6552">
        <v>82.610437312023194</v>
      </c>
      <c r="AK6552">
        <v>0.54274082665896795</v>
      </c>
      <c r="AL6552">
        <v>89.539464119438804</v>
      </c>
      <c r="AM6552">
        <v>85.181149828515601</v>
      </c>
      <c r="AN6552">
        <v>1.00000001383391</v>
      </c>
    </row>
    <row r="6553" spans="1:40" x14ac:dyDescent="0.25">
      <c r="A6553" t="str">
        <f>"20190312154736343"</f>
        <v>20190312154736343</v>
      </c>
      <c r="B6553" t="str">
        <f>"1552376856335290"</f>
        <v>1552376856335290</v>
      </c>
      <c r="C6553" t="s">
        <v>40</v>
      </c>
      <c r="D6553">
        <v>5.1868689999999997</v>
      </c>
      <c r="E6553">
        <v>0.52010610000000002</v>
      </c>
      <c r="F6553" t="s">
        <v>41</v>
      </c>
      <c r="G6553">
        <v>-160.97579999999999</v>
      </c>
      <c r="H6553">
        <v>0.9419537</v>
      </c>
      <c r="I6553">
        <v>140.62610000000001</v>
      </c>
      <c r="J6553">
        <v>-161.52719999999999</v>
      </c>
      <c r="K6553">
        <v>1.1094539999999999</v>
      </c>
      <c r="L6553">
        <v>140.6172</v>
      </c>
      <c r="M6553">
        <v>0.98926760000000002</v>
      </c>
      <c r="N6553">
        <v>0</v>
      </c>
      <c r="O6553">
        <v>0.1456046</v>
      </c>
      <c r="P6553">
        <v>0.99799910000000003</v>
      </c>
      <c r="Q6553">
        <v>-5.2183530000000002E-3</v>
      </c>
      <c r="R6553">
        <v>6.3011880000000006E-2</v>
      </c>
      <c r="S6553">
        <v>2.9953460000000001</v>
      </c>
      <c r="T6553">
        <v>-0.7142231</v>
      </c>
      <c r="U6553">
        <v>0.1244354</v>
      </c>
      <c r="V6553">
        <v>8.2995479999999996E-2</v>
      </c>
      <c r="W6553">
        <v>6.8071E-3</v>
      </c>
      <c r="X6553">
        <v>0.99652669999999999</v>
      </c>
      <c r="Y6553">
        <v>9.7649429999999995E-2</v>
      </c>
      <c r="Z6553">
        <v>-4.5584890000000003E-2</v>
      </c>
      <c r="AA6553">
        <v>0.99417630000000001</v>
      </c>
      <c r="AB6553">
        <v>16</v>
      </c>
      <c r="AC6553">
        <v>0.551400000000001</v>
      </c>
      <c r="AD6553">
        <v>-0.16750029999999999</v>
      </c>
      <c r="AE6553">
        <v>8.9000000000112305E-3</v>
      </c>
      <c r="AF6553">
        <v>6.54492702672516E-2</v>
      </c>
      <c r="AG6553">
        <v>-0.16750029999999999</v>
      </c>
      <c r="AH6553">
        <v>0.50063339153228503</v>
      </c>
      <c r="AI6553">
        <v>108.353457490854</v>
      </c>
      <c r="AJ6553">
        <v>82.551795837209397</v>
      </c>
      <c r="AK6553">
        <v>0.53195277064390201</v>
      </c>
      <c r="AL6553">
        <v>89.609978896968997</v>
      </c>
      <c r="AM6553">
        <v>85.239122576107803</v>
      </c>
      <c r="AN6553">
        <v>1.0000000250618599</v>
      </c>
    </row>
    <row r="6554" spans="1:40" x14ac:dyDescent="0.25">
      <c r="A6554" t="str">
        <f>"20190312154736381"</f>
        <v>20190312154736381</v>
      </c>
      <c r="B6554" t="str">
        <f>"1552376856374880"</f>
        <v>1552376856374880</v>
      </c>
      <c r="C6554" t="s">
        <v>40</v>
      </c>
      <c r="D6554">
        <v>5.1883100000000004</v>
      </c>
      <c r="E6554">
        <v>0.52027789999999996</v>
      </c>
      <c r="F6554" t="s">
        <v>41</v>
      </c>
      <c r="G6554">
        <v>-160.83519999999999</v>
      </c>
      <c r="H6554">
        <v>0.93723440000000002</v>
      </c>
      <c r="I6554">
        <v>140.63030000000001</v>
      </c>
      <c r="J6554">
        <v>-161.25319999999999</v>
      </c>
      <c r="K6554">
        <v>1.1095790000000001</v>
      </c>
      <c r="L6554">
        <v>140.6534</v>
      </c>
      <c r="M6554">
        <v>0.9897125</v>
      </c>
      <c r="N6554">
        <v>0</v>
      </c>
      <c r="O6554">
        <v>0.1425545</v>
      </c>
      <c r="P6554">
        <v>0.99811459999999996</v>
      </c>
      <c r="Q6554">
        <v>-4.8056770000000004E-3</v>
      </c>
      <c r="R6554">
        <v>6.119173E-2</v>
      </c>
      <c r="S6554">
        <v>2.9985050000000002</v>
      </c>
      <c r="T6554">
        <v>-0.74619729999999995</v>
      </c>
      <c r="U6554">
        <v>5.706787E-2</v>
      </c>
      <c r="V6554">
        <v>8.1739309999999996E-2</v>
      </c>
      <c r="W6554">
        <v>7.1895149999999996E-3</v>
      </c>
      <c r="X6554">
        <v>0.99662779999999995</v>
      </c>
      <c r="Y6554">
        <v>0.1158541</v>
      </c>
      <c r="Z6554">
        <v>-4.9037369999999997E-2</v>
      </c>
      <c r="AA6554">
        <v>0.99205500000000002</v>
      </c>
      <c r="AB6554">
        <v>16</v>
      </c>
      <c r="AC6554">
        <v>0.41800000000000598</v>
      </c>
      <c r="AD6554">
        <v>-0.17234459999999899</v>
      </c>
      <c r="AE6554">
        <v>-2.3099999999999399E-2</v>
      </c>
      <c r="AF6554">
        <v>7.0506734346832203E-2</v>
      </c>
      <c r="AG6554">
        <v>-0.17234459999999899</v>
      </c>
      <c r="AH6554">
        <v>0.35095688668455999</v>
      </c>
      <c r="AI6554">
        <v>115.708533242424</v>
      </c>
      <c r="AJ6554">
        <v>78.640572350818601</v>
      </c>
      <c r="AK6554">
        <v>0.39729661092027202</v>
      </c>
      <c r="AL6554">
        <v>89.588067579950504</v>
      </c>
      <c r="AM6554">
        <v>85.311330147981195</v>
      </c>
      <c r="AN6554">
        <v>0.99999998782902499</v>
      </c>
    </row>
    <row r="6555" spans="1:40" x14ac:dyDescent="0.25">
      <c r="A6555" t="str">
        <f>"20190312154736408"</f>
        <v>20190312154736408</v>
      </c>
      <c r="B6555" t="str">
        <f>"1552376856394400"</f>
        <v>1552376856394400</v>
      </c>
      <c r="C6555" t="s">
        <v>40</v>
      </c>
      <c r="D6555">
        <v>5.1833739999999997</v>
      </c>
      <c r="E6555">
        <v>0.52066250000000003</v>
      </c>
      <c r="F6555" t="s">
        <v>41</v>
      </c>
      <c r="G6555">
        <v>-160.55420000000001</v>
      </c>
      <c r="H6555">
        <v>0.93682310000000002</v>
      </c>
      <c r="I6555">
        <v>140.66480000000001</v>
      </c>
      <c r="J6555">
        <v>-161.07</v>
      </c>
      <c r="K6555">
        <v>1.109639</v>
      </c>
      <c r="L6555">
        <v>140.67740000000001</v>
      </c>
      <c r="M6555">
        <v>0.98997489999999999</v>
      </c>
      <c r="N6555">
        <v>0</v>
      </c>
      <c r="O6555">
        <v>0.14072309999999999</v>
      </c>
      <c r="P6555">
        <v>0.99817480000000003</v>
      </c>
      <c r="Q6555">
        <v>-3.791254E-3</v>
      </c>
      <c r="R6555">
        <v>6.0272010000000001E-2</v>
      </c>
      <c r="S6555">
        <v>2.9990540000000001</v>
      </c>
      <c r="T6555">
        <v>-0.74118459999999997</v>
      </c>
      <c r="U6555">
        <v>4.948425E-2</v>
      </c>
      <c r="V6555">
        <v>8.0814159999999996E-2</v>
      </c>
      <c r="W6555">
        <v>8.1789229999999994E-3</v>
      </c>
      <c r="X6555">
        <v>0.99669560000000001</v>
      </c>
      <c r="Y6555">
        <v>0.1166647</v>
      </c>
      <c r="Z6555">
        <v>-4.8368000000000001E-2</v>
      </c>
      <c r="AA6555">
        <v>0.99199289999999996</v>
      </c>
      <c r="AB6555">
        <v>16</v>
      </c>
      <c r="AC6555">
        <v>0.51579999999998405</v>
      </c>
      <c r="AD6555">
        <v>-0.17281589999999999</v>
      </c>
      <c r="AE6555">
        <v>-1.2599999999991901E-2</v>
      </c>
      <c r="AF6555">
        <v>7.64842939078718E-2</v>
      </c>
      <c r="AG6555">
        <v>-0.17281589999999999</v>
      </c>
      <c r="AH6555">
        <v>0.45756055924123801</v>
      </c>
      <c r="AI6555">
        <v>110.43142700982401</v>
      </c>
      <c r="AJ6555">
        <v>80.510364298361097</v>
      </c>
      <c r="AK6555">
        <v>0.49505236882631998</v>
      </c>
      <c r="AL6555">
        <v>89.531376992779002</v>
      </c>
      <c r="AM6555">
        <v>85.364479277595095</v>
      </c>
      <c r="AN6555">
        <v>0.99999997114865202</v>
      </c>
    </row>
    <row r="6556" spans="1:40" x14ac:dyDescent="0.25">
      <c r="A6556" t="str">
        <f>"20190312154736432"</f>
        <v>20190312154736432</v>
      </c>
      <c r="B6556" t="str">
        <f>"1552376856424656"</f>
        <v>1552376856424656</v>
      </c>
      <c r="C6556" t="s">
        <v>40</v>
      </c>
      <c r="D6556">
        <v>5.1794900000000004</v>
      </c>
      <c r="E6556">
        <v>0.52111350000000001</v>
      </c>
      <c r="F6556" t="s">
        <v>41</v>
      </c>
      <c r="G6556">
        <v>-160.28129999999999</v>
      </c>
      <c r="H6556">
        <v>0.91567609999999999</v>
      </c>
      <c r="I6556">
        <v>140.6885</v>
      </c>
      <c r="J6556">
        <v>-160.89250000000001</v>
      </c>
      <c r="K6556">
        <v>1.1096889999999999</v>
      </c>
      <c r="L6556">
        <v>140.70050000000001</v>
      </c>
      <c r="M6556">
        <v>0.99020529999999995</v>
      </c>
      <c r="N6556">
        <v>0</v>
      </c>
      <c r="O6556">
        <v>0.1390962</v>
      </c>
      <c r="P6556">
        <v>0.99814669999999905</v>
      </c>
      <c r="Q6556">
        <v>-4.4547019999999996E-3</v>
      </c>
      <c r="R6556">
        <v>6.0692280000000001E-2</v>
      </c>
      <c r="S6556">
        <v>3.0001220000000002</v>
      </c>
      <c r="T6556">
        <v>-0.73785970000000001</v>
      </c>
      <c r="U6556">
        <v>4.2434689999999997E-2</v>
      </c>
      <c r="V6556">
        <v>7.8754519999999995E-2</v>
      </c>
      <c r="W6556">
        <v>7.5013579999999996E-3</v>
      </c>
      <c r="X6556">
        <v>0.99686580000000002</v>
      </c>
      <c r="Y6556">
        <v>0.117467</v>
      </c>
      <c r="Z6556">
        <v>-4.7849019999999999E-2</v>
      </c>
      <c r="AA6556">
        <v>0.99192340000000001</v>
      </c>
      <c r="AB6556">
        <v>16</v>
      </c>
      <c r="AC6556">
        <v>0.61120000000002495</v>
      </c>
      <c r="AD6556">
        <v>-0.19401289999999999</v>
      </c>
      <c r="AE6556">
        <v>-1.2000000000000399E-2</v>
      </c>
      <c r="AF6556">
        <v>8.80377280432178E-2</v>
      </c>
      <c r="AG6556">
        <v>-0.19401289999999999</v>
      </c>
      <c r="AH6556">
        <v>0.54835639199139097</v>
      </c>
      <c r="AI6556">
        <v>109.25606997760499</v>
      </c>
      <c r="AJ6556">
        <v>80.879090354008895</v>
      </c>
      <c r="AK6556">
        <v>0.58829106704354905</v>
      </c>
      <c r="AL6556">
        <v>89.570199808206397</v>
      </c>
      <c r="AM6556">
        <v>85.482893469699306</v>
      </c>
      <c r="AN6556">
        <v>0.99999998400095702</v>
      </c>
    </row>
    <row r="6557" spans="1:40" x14ac:dyDescent="0.25">
      <c r="A6557" t="str">
        <f>"20190312154736469"</f>
        <v>20190312154736469</v>
      </c>
      <c r="B6557" t="str">
        <f>"1552376856464674"</f>
        <v>1552376856464674</v>
      </c>
      <c r="C6557" t="s">
        <v>40</v>
      </c>
      <c r="D6557">
        <v>5.1873639999999996</v>
      </c>
      <c r="E6557">
        <v>0.52067759999999996</v>
      </c>
      <c r="F6557" t="s">
        <v>41</v>
      </c>
      <c r="G6557">
        <v>-160.1377</v>
      </c>
      <c r="H6557">
        <v>0.92428089999999996</v>
      </c>
      <c r="I6557">
        <v>140.71019999999999</v>
      </c>
      <c r="J6557">
        <v>-160.63560000000001</v>
      </c>
      <c r="K6557">
        <v>1.109804</v>
      </c>
      <c r="L6557">
        <v>140.7337</v>
      </c>
      <c r="M6557">
        <v>0.9905022</v>
      </c>
      <c r="N6557">
        <v>0</v>
      </c>
      <c r="O6557">
        <v>0.13694229999999999</v>
      </c>
      <c r="P6557">
        <v>0.99805410000000006</v>
      </c>
      <c r="Q6557">
        <v>-5.374406E-3</v>
      </c>
      <c r="R6557">
        <v>6.2122900000000002E-2</v>
      </c>
      <c r="S6557">
        <v>2.999908</v>
      </c>
      <c r="T6557">
        <v>-0.73692659999999999</v>
      </c>
      <c r="U6557">
        <v>3.90625E-2</v>
      </c>
      <c r="V6557">
        <v>7.5155379999999994E-2</v>
      </c>
      <c r="W6557">
        <v>6.8543069999999996E-3</v>
      </c>
      <c r="X6557">
        <v>0.99714829999999999</v>
      </c>
      <c r="Y6557">
        <v>0.1165318</v>
      </c>
      <c r="Z6557">
        <v>-4.7164200000000003E-2</v>
      </c>
      <c r="AA6557">
        <v>0.99206640000000001</v>
      </c>
      <c r="AB6557">
        <v>16</v>
      </c>
      <c r="AC6557">
        <v>0.497900000000015</v>
      </c>
      <c r="AD6557">
        <v>-0.185523099999999</v>
      </c>
      <c r="AE6557">
        <v>-2.3500000000012702E-2</v>
      </c>
      <c r="AF6557">
        <v>8.0338063179572095E-2</v>
      </c>
      <c r="AG6557">
        <v>-0.185523099999999</v>
      </c>
      <c r="AH6557">
        <v>0.43037072676280402</v>
      </c>
      <c r="AI6557">
        <v>112.965163419612</v>
      </c>
      <c r="AJ6557">
        <v>79.426194303166596</v>
      </c>
      <c r="AK6557">
        <v>0.475491311680244</v>
      </c>
      <c r="AL6557">
        <v>89.607274071037196</v>
      </c>
      <c r="AM6557">
        <v>85.689748533166906</v>
      </c>
      <c r="AN6557">
        <v>1.00000002243014</v>
      </c>
    </row>
    <row r="6558" spans="1:40" x14ac:dyDescent="0.25">
      <c r="A6558" t="str">
        <f>"20190312154736495"</f>
        <v>20190312154736495</v>
      </c>
      <c r="B6558" t="str">
        <f>"1552376856485260"</f>
        <v>1552376856485260</v>
      </c>
      <c r="C6558" t="s">
        <v>40</v>
      </c>
      <c r="D6558">
        <v>5.1851379999999896</v>
      </c>
      <c r="E6558">
        <v>0.52074039999999999</v>
      </c>
      <c r="F6558" t="s">
        <v>41</v>
      </c>
      <c r="G6558">
        <v>-159.8629</v>
      </c>
      <c r="H6558">
        <v>0.91970410000000002</v>
      </c>
      <c r="I6558">
        <v>140.74510000000001</v>
      </c>
      <c r="J6558">
        <v>-160.4538</v>
      </c>
      <c r="K6558">
        <v>1.110287</v>
      </c>
      <c r="L6558">
        <v>140.75710000000001</v>
      </c>
      <c r="M6558">
        <v>0.99066620000000005</v>
      </c>
      <c r="N6558">
        <v>0</v>
      </c>
      <c r="O6558">
        <v>0.1355972</v>
      </c>
      <c r="P6558">
        <v>0.99799490000000002</v>
      </c>
      <c r="Q6558">
        <v>-6.000465E-3</v>
      </c>
      <c r="R6558">
        <v>6.3008410000000001E-2</v>
      </c>
      <c r="S6558">
        <v>2.9991150000000002</v>
      </c>
      <c r="T6558">
        <v>-0.73786739999999995</v>
      </c>
      <c r="U6558">
        <v>4.449463E-2</v>
      </c>
      <c r="V6558">
        <v>7.291839E-2</v>
      </c>
      <c r="W6558">
        <v>7.8327480000000005E-3</v>
      </c>
      <c r="X6558">
        <v>0.99730719999999995</v>
      </c>
      <c r="Y6558">
        <v>0.1134942</v>
      </c>
      <c r="Z6558">
        <v>-4.6542149999999997E-2</v>
      </c>
      <c r="AA6558">
        <v>0.99244790000000005</v>
      </c>
      <c r="AB6558">
        <v>16</v>
      </c>
      <c r="AC6558">
        <v>0.59090000000000398</v>
      </c>
      <c r="AD6558">
        <v>-0.1905829</v>
      </c>
      <c r="AE6558">
        <v>-1.2000000000000399E-2</v>
      </c>
      <c r="AF6558">
        <v>8.3353938819706694E-2</v>
      </c>
      <c r="AG6558">
        <v>-0.1905829</v>
      </c>
      <c r="AH6558">
        <v>0.52882542836976998</v>
      </c>
      <c r="AI6558">
        <v>109.59542305026299</v>
      </c>
      <c r="AJ6558">
        <v>81.042682205455094</v>
      </c>
      <c r="AK6558">
        <v>0.56826583090982996</v>
      </c>
      <c r="AL6558">
        <v>89.551212029781794</v>
      </c>
      <c r="AM6558">
        <v>85.818244412370404</v>
      </c>
      <c r="AN6558">
        <v>1.00000004735663</v>
      </c>
    </row>
    <row r="6559" spans="1:40" x14ac:dyDescent="0.25">
      <c r="A6559" t="str">
        <f>"20190312154736517"</f>
        <v>20190312154736517</v>
      </c>
      <c r="B6559" t="str">
        <f>"1552376856504781"</f>
        <v>1552376856504781</v>
      </c>
      <c r="C6559" t="s">
        <v>40</v>
      </c>
      <c r="D6559">
        <v>5.1682569999999997</v>
      </c>
      <c r="E6559">
        <v>0.52082349999999999</v>
      </c>
      <c r="F6559" t="s">
        <v>41</v>
      </c>
      <c r="G6559">
        <v>-159.7253</v>
      </c>
      <c r="H6559">
        <v>0.93082500000000001</v>
      </c>
      <c r="I6559">
        <v>140.76820000000001</v>
      </c>
      <c r="J6559">
        <v>-160.31180000000001</v>
      </c>
      <c r="K6559">
        <v>1.110719</v>
      </c>
      <c r="L6559">
        <v>140.77529999999999</v>
      </c>
      <c r="M6559">
        <v>0.99077340000000003</v>
      </c>
      <c r="N6559">
        <v>0</v>
      </c>
      <c r="O6559">
        <v>0.13462939999999901</v>
      </c>
      <c r="P6559">
        <v>0.997915</v>
      </c>
      <c r="Q6559">
        <v>-7.0542699999999996E-3</v>
      </c>
      <c r="R6559">
        <v>6.4156920000000006E-2</v>
      </c>
      <c r="S6559">
        <v>2.9987029999999999</v>
      </c>
      <c r="T6559">
        <v>-0.73868219999999996</v>
      </c>
      <c r="U6559">
        <v>4.5715329999999998E-2</v>
      </c>
      <c r="V6559">
        <v>7.0797639999999995E-2</v>
      </c>
      <c r="W6559">
        <v>8.4521400000000003E-3</v>
      </c>
      <c r="X6559">
        <v>0.99745490000000003</v>
      </c>
      <c r="Y6559">
        <v>0.1121717</v>
      </c>
      <c r="Z6559">
        <v>-4.6205099999999999E-2</v>
      </c>
      <c r="AA6559">
        <v>0.992614</v>
      </c>
      <c r="AB6559">
        <v>15</v>
      </c>
      <c r="AC6559">
        <v>0.58650000000000002</v>
      </c>
      <c r="AD6559">
        <v>-0.179894</v>
      </c>
      <c r="AE6559">
        <v>-7.0999999999799002E-3</v>
      </c>
      <c r="AF6559">
        <v>7.8610492520455502E-2</v>
      </c>
      <c r="AG6559">
        <v>-0.179894</v>
      </c>
      <c r="AH6559">
        <v>0.53031820024457099</v>
      </c>
      <c r="AI6559">
        <v>108.549305396767</v>
      </c>
      <c r="AJ6559">
        <v>81.568291265876695</v>
      </c>
      <c r="AK6559">
        <v>0.56548992411973997</v>
      </c>
      <c r="AL6559">
        <v>89.515722289338996</v>
      </c>
      <c r="AM6559">
        <v>85.940052484896398</v>
      </c>
      <c r="AN6559">
        <v>1.0000000110170699</v>
      </c>
    </row>
    <row r="6560" spans="1:40" x14ac:dyDescent="0.25">
      <c r="A6560" t="str">
        <f>"20190312154736541"</f>
        <v>20190312154736541</v>
      </c>
      <c r="B6560" t="str">
        <f>"1552376856535037"</f>
        <v>1552376856535037</v>
      </c>
      <c r="C6560" t="s">
        <v>40</v>
      </c>
      <c r="D6560">
        <v>5.1819319999999998</v>
      </c>
      <c r="E6560">
        <v>0.52091719999999997</v>
      </c>
      <c r="F6560" t="s">
        <v>41</v>
      </c>
      <c r="G6560">
        <v>-159.5941</v>
      </c>
      <c r="H6560">
        <v>0.93320239999999999</v>
      </c>
      <c r="I6560">
        <v>140.78659999999999</v>
      </c>
      <c r="J6560">
        <v>-160.15700000000001</v>
      </c>
      <c r="K6560">
        <v>1.11114</v>
      </c>
      <c r="L6560">
        <v>140.79509999999999</v>
      </c>
      <c r="M6560">
        <v>0.99086830000000004</v>
      </c>
      <c r="N6560">
        <v>0</v>
      </c>
      <c r="O6560">
        <v>0.13368679999999999</v>
      </c>
      <c r="P6560">
        <v>0.99782749999999998</v>
      </c>
      <c r="Q6560">
        <v>-8.5621440000000007E-3</v>
      </c>
      <c r="R6560">
        <v>6.5323889999999996E-2</v>
      </c>
      <c r="S6560">
        <v>2.9979399999999998</v>
      </c>
      <c r="T6560">
        <v>-0.74143289999999995</v>
      </c>
      <c r="U6560">
        <v>4.8065190000000001E-2</v>
      </c>
      <c r="V6560">
        <v>6.8683859999999999E-2</v>
      </c>
      <c r="W6560">
        <v>8.9151330000000004E-3</v>
      </c>
      <c r="X6560">
        <v>0.9975986</v>
      </c>
      <c r="Y6560">
        <v>0.1104711</v>
      </c>
      <c r="Z6560">
        <v>-4.5948830000000003E-2</v>
      </c>
      <c r="AA6560">
        <v>0.99281660000000005</v>
      </c>
      <c r="AB6560">
        <v>15</v>
      </c>
      <c r="AC6560">
        <v>0.56290000000001295</v>
      </c>
      <c r="AD6560">
        <v>-0.1779376</v>
      </c>
      <c r="AE6560">
        <v>-8.4999999999979502E-3</v>
      </c>
      <c r="AF6560">
        <v>7.60863850922293E-2</v>
      </c>
      <c r="AG6560">
        <v>-0.1779376</v>
      </c>
      <c r="AH6560">
        <v>0.50614432440076595</v>
      </c>
      <c r="AI6560">
        <v>109.16995447741</v>
      </c>
      <c r="AJ6560">
        <v>81.450997371080803</v>
      </c>
      <c r="AK6560">
        <v>0.54187914207253896</v>
      </c>
      <c r="AL6560">
        <v>89.489193718001104</v>
      </c>
      <c r="AM6560">
        <v>86.061447079212002</v>
      </c>
      <c r="AN6560">
        <v>0.99999995947143205</v>
      </c>
    </row>
    <row r="6561" spans="1:40" x14ac:dyDescent="0.25">
      <c r="A6561" t="str">
        <f>"20190312154736567"</f>
        <v>20190312154736567</v>
      </c>
      <c r="B6561" t="str">
        <f>"1552376856554557"</f>
        <v>1552376856554557</v>
      </c>
      <c r="C6561" t="s">
        <v>40</v>
      </c>
      <c r="D6561">
        <v>5.2334290000000001</v>
      </c>
      <c r="E6561">
        <v>0.52107360000000003</v>
      </c>
      <c r="F6561" t="s">
        <v>41</v>
      </c>
      <c r="G6561">
        <v>-159.46469999999999</v>
      </c>
      <c r="H6561">
        <v>0.93901069999999998</v>
      </c>
      <c r="I6561">
        <v>140.8066</v>
      </c>
      <c r="J6561">
        <v>-160.0025</v>
      </c>
      <c r="K6561">
        <v>1.1115010000000001</v>
      </c>
      <c r="L6561">
        <v>140.81479999999999</v>
      </c>
      <c r="M6561">
        <v>0.99094269999999995</v>
      </c>
      <c r="N6561">
        <v>0</v>
      </c>
      <c r="O6561">
        <v>0.13285229999999901</v>
      </c>
      <c r="P6561">
        <v>0.99769370000000002</v>
      </c>
      <c r="Q6561">
        <v>-1.066049E-2</v>
      </c>
      <c r="R6561">
        <v>6.7037490000000005E-2</v>
      </c>
      <c r="S6561">
        <v>2.9968409999999999</v>
      </c>
      <c r="T6561">
        <v>-0.74502270000000004</v>
      </c>
      <c r="U6561">
        <v>5.0292969999999999E-2</v>
      </c>
      <c r="V6561">
        <v>6.6131389999999998E-2</v>
      </c>
      <c r="W6561">
        <v>8.8397939999999998E-3</v>
      </c>
      <c r="X6561">
        <v>0.99777170000000004</v>
      </c>
      <c r="Y6561">
        <v>0.10889359999999999</v>
      </c>
      <c r="Z6561">
        <v>-4.5785720000000002E-2</v>
      </c>
      <c r="AA6561">
        <v>0.99299839999999995</v>
      </c>
      <c r="AB6561">
        <v>15</v>
      </c>
      <c r="AC6561">
        <v>0.53780000000000405</v>
      </c>
      <c r="AD6561">
        <v>-0.17249030000000001</v>
      </c>
      <c r="AE6561">
        <v>-8.1999999999879895E-3</v>
      </c>
      <c r="AF6561">
        <v>7.2166869501070402E-2</v>
      </c>
      <c r="AG6561">
        <v>-0.17249030000000001</v>
      </c>
      <c r="AH6561">
        <v>0.48233524481989998</v>
      </c>
      <c r="AI6561">
        <v>109.47757388632</v>
      </c>
      <c r="AJ6561">
        <v>81.4905439576482</v>
      </c>
      <c r="AK6561">
        <v>0.51730865935449799</v>
      </c>
      <c r="AL6561">
        <v>89.493510482118594</v>
      </c>
      <c r="AM6561">
        <v>86.208034570790403</v>
      </c>
      <c r="AN6561">
        <v>0.99999993401109</v>
      </c>
    </row>
    <row r="6562" spans="1:40" x14ac:dyDescent="0.25">
      <c r="A6562" t="str">
        <f>"20190312154736593"</f>
        <v>20190312154736593</v>
      </c>
      <c r="B6562" t="str">
        <f>"1552376856585321"</f>
        <v>1552376856585321</v>
      </c>
      <c r="C6562" t="s">
        <v>40</v>
      </c>
      <c r="D6562">
        <v>5.3498830000000002</v>
      </c>
      <c r="E6562">
        <v>0.52119959999999999</v>
      </c>
      <c r="F6562" t="s">
        <v>41</v>
      </c>
      <c r="G6562">
        <v>-159.2295</v>
      </c>
      <c r="H6562">
        <v>0.91729700000000003</v>
      </c>
      <c r="I6562">
        <v>140.8287</v>
      </c>
      <c r="J6562">
        <v>-159.84909999999999</v>
      </c>
      <c r="K6562">
        <v>1.1117600000000001</v>
      </c>
      <c r="L6562">
        <v>140.83430000000001</v>
      </c>
      <c r="M6562">
        <v>0.991012</v>
      </c>
      <c r="N6562">
        <v>0</v>
      </c>
      <c r="O6562">
        <v>0.1320491</v>
      </c>
      <c r="P6562">
        <v>0.99758460000000004</v>
      </c>
      <c r="Q6562">
        <v>-1.2374970000000001E-2</v>
      </c>
      <c r="R6562">
        <v>6.835223E-2</v>
      </c>
      <c r="S6562">
        <v>2.9952700000000001</v>
      </c>
      <c r="T6562">
        <v>-0.75246429999999997</v>
      </c>
      <c r="U6562">
        <v>5.4061890000000001E-2</v>
      </c>
      <c r="V6562">
        <v>6.4009389999999999E-2</v>
      </c>
      <c r="W6562">
        <v>8.976164E-3</v>
      </c>
      <c r="X6562">
        <v>0.99790889999999999</v>
      </c>
      <c r="Y6562">
        <v>0.1067733</v>
      </c>
      <c r="Z6562">
        <v>-4.579341E-2</v>
      </c>
      <c r="AA6562">
        <v>0.99322829999999995</v>
      </c>
      <c r="AB6562">
        <v>14</v>
      </c>
      <c r="AC6562">
        <v>0.61959999999999105</v>
      </c>
      <c r="AD6562">
        <v>-0.194463</v>
      </c>
      <c r="AE6562">
        <v>-5.6000000000153696E-3</v>
      </c>
      <c r="AF6562">
        <v>7.9551830205777399E-2</v>
      </c>
      <c r="AG6562">
        <v>-0.194463</v>
      </c>
      <c r="AH6562">
        <v>0.55842943408853596</v>
      </c>
      <c r="AI6562">
        <v>109.02170525407701</v>
      </c>
      <c r="AJ6562">
        <v>81.892402236265198</v>
      </c>
      <c r="AK6562">
        <v>0.59664711925436398</v>
      </c>
      <c r="AL6562">
        <v>89.485696766231598</v>
      </c>
      <c r="AM6562">
        <v>86.329874924126699</v>
      </c>
      <c r="AN6562">
        <v>0.99999997311376798</v>
      </c>
    </row>
    <row r="6563" spans="1:40" x14ac:dyDescent="0.25">
      <c r="A6563" t="str">
        <f>"20190312154736615"</f>
        <v>20190312154736615</v>
      </c>
      <c r="B6563" t="str">
        <f>"1552376856604841"</f>
        <v>1552376856604841</v>
      </c>
      <c r="C6563" t="s">
        <v>40</v>
      </c>
      <c r="D6563">
        <v>5.2431460000000003</v>
      </c>
      <c r="E6563">
        <v>0.53478749999999997</v>
      </c>
      <c r="F6563" t="s">
        <v>41</v>
      </c>
      <c r="G6563">
        <v>-159.1087</v>
      </c>
      <c r="H6563">
        <v>0.92425880000000005</v>
      </c>
      <c r="I6563">
        <v>140.84829999999999</v>
      </c>
      <c r="J6563">
        <v>-159.7166</v>
      </c>
      <c r="K6563">
        <v>1.1117030000000001</v>
      </c>
      <c r="L6563">
        <v>140.85120000000001</v>
      </c>
      <c r="M6563">
        <v>0.99109539999999996</v>
      </c>
      <c r="N6563">
        <v>0</v>
      </c>
      <c r="O6563">
        <v>0.1313019</v>
      </c>
      <c r="P6563">
        <v>0.99752580000000002</v>
      </c>
      <c r="Q6563">
        <v>-1.283867E-2</v>
      </c>
      <c r="R6563">
        <v>6.9118479999999996E-2</v>
      </c>
      <c r="S6563">
        <v>2.9938959999999999</v>
      </c>
      <c r="T6563">
        <v>-0.7582158</v>
      </c>
      <c r="U6563">
        <v>5.751038E-2</v>
      </c>
      <c r="V6563">
        <v>6.2491619999999998E-2</v>
      </c>
      <c r="W6563">
        <v>9.2341220000000009E-3</v>
      </c>
      <c r="X6563">
        <v>0.99800279999999997</v>
      </c>
      <c r="Y6563">
        <v>0.10484019999999999</v>
      </c>
      <c r="Z6563">
        <v>-4.572677E-2</v>
      </c>
      <c r="AA6563">
        <v>0.99343729999999997</v>
      </c>
      <c r="AB6563">
        <v>13</v>
      </c>
      <c r="AC6563">
        <v>0.6079</v>
      </c>
      <c r="AD6563">
        <v>-0.18744420000000001</v>
      </c>
      <c r="AE6563">
        <v>-2.9000000000110001E-3</v>
      </c>
      <c r="AF6563">
        <v>7.5531629485990598E-2</v>
      </c>
      <c r="AG6563">
        <v>-0.18744420000000001</v>
      </c>
      <c r="AH6563">
        <v>0.54996523641662998</v>
      </c>
      <c r="AI6563">
        <v>108.657747232294</v>
      </c>
      <c r="AJ6563">
        <v>82.179981855898802</v>
      </c>
      <c r="AK6563">
        <v>0.585919889091716</v>
      </c>
      <c r="AL6563">
        <v>89.470916278610403</v>
      </c>
      <c r="AM6563">
        <v>86.417006527050503</v>
      </c>
      <c r="AN6563">
        <v>1.0000000301935801</v>
      </c>
    </row>
    <row r="6564" spans="1:40" x14ac:dyDescent="0.25">
      <c r="A6564" t="str">
        <f>"20190312154736831"</f>
        <v>20190312154736831</v>
      </c>
      <c r="B6564" t="str">
        <f>"1552376856824441"</f>
        <v>1552376856824441</v>
      </c>
      <c r="C6564" t="s">
        <v>40</v>
      </c>
      <c r="D6564">
        <v>5.4602510000000004</v>
      </c>
      <c r="E6564">
        <v>0.51953490000000002</v>
      </c>
      <c r="F6564" t="s">
        <v>41</v>
      </c>
      <c r="G6564">
        <v>-157.84219999999999</v>
      </c>
      <c r="H6564">
        <v>0.81811109999999998</v>
      </c>
      <c r="I6564">
        <v>141.01609999999999</v>
      </c>
      <c r="J6564">
        <v>-158.42670000000001</v>
      </c>
      <c r="K6564">
        <v>1.1103259999999999</v>
      </c>
      <c r="L6564">
        <v>141.01410000000001</v>
      </c>
      <c r="M6564">
        <v>0.991753</v>
      </c>
      <c r="N6564">
        <v>0</v>
      </c>
      <c r="O6564">
        <v>0.1271436</v>
      </c>
      <c r="P6564">
        <v>0.99692460000000005</v>
      </c>
      <c r="Q6564" s="1">
        <v>1.329277E-5</v>
      </c>
      <c r="R6564">
        <v>7.8366450000000004E-2</v>
      </c>
      <c r="S6564">
        <v>3.001328</v>
      </c>
      <c r="T6564">
        <v>-1.1813739999999999</v>
      </c>
      <c r="U6564">
        <v>8.8607790000000006E-2</v>
      </c>
      <c r="V6564">
        <v>4.904066E-2</v>
      </c>
      <c r="W6564">
        <v>1.613148E-2</v>
      </c>
      <c r="X6564">
        <v>0.99866650000000001</v>
      </c>
      <c r="Y6564">
        <v>8.2263180000000005E-2</v>
      </c>
      <c r="Z6564">
        <v>-6.3721990000000006E-2</v>
      </c>
      <c r="AA6564">
        <v>0.99457139999999999</v>
      </c>
      <c r="AB6564">
        <v>13</v>
      </c>
      <c r="AC6564">
        <v>0.584500000000019</v>
      </c>
      <c r="AD6564">
        <v>-0.292214899999999</v>
      </c>
      <c r="AE6564">
        <v>1.9999999999811202E-3</v>
      </c>
      <c r="AF6564">
        <v>5.7875996535540097E-2</v>
      </c>
      <c r="AG6564">
        <v>-0.292214899999999</v>
      </c>
      <c r="AH6564">
        <v>0.464030949141579</v>
      </c>
      <c r="AI6564">
        <v>122.000842353339</v>
      </c>
      <c r="AJ6564">
        <v>82.890530158693494</v>
      </c>
      <c r="AK6564">
        <v>0.55141989492420995</v>
      </c>
      <c r="AL6564">
        <v>89.075694182894694</v>
      </c>
      <c r="AM6564">
        <v>87.188683552867104</v>
      </c>
      <c r="AN6564">
        <v>0.99999999460123801</v>
      </c>
    </row>
    <row r="6565" spans="1:40" x14ac:dyDescent="0.25">
      <c r="A6565" t="str">
        <f>"20190312154736854"</f>
        <v>20190312154736854</v>
      </c>
      <c r="B6565" t="str">
        <f>"1552376856844937"</f>
        <v>1552376856844937</v>
      </c>
      <c r="C6565" t="s">
        <v>40</v>
      </c>
      <c r="D6565">
        <v>5.3310589999999998</v>
      </c>
      <c r="E6565">
        <v>0.51915940000000005</v>
      </c>
      <c r="F6565" t="s">
        <v>41</v>
      </c>
      <c r="G6565">
        <v>-157.70169999999999</v>
      </c>
      <c r="H6565">
        <v>0.87682340000000003</v>
      </c>
      <c r="I6565">
        <v>141.03829999999999</v>
      </c>
      <c r="J6565">
        <v>-158.29130000000001</v>
      </c>
      <c r="K6565">
        <v>1.110309</v>
      </c>
      <c r="L6565">
        <v>141.03110000000001</v>
      </c>
      <c r="M6565">
        <v>0.99179150000000005</v>
      </c>
      <c r="N6565">
        <v>0</v>
      </c>
      <c r="O6565">
        <v>0.12688440000000001</v>
      </c>
      <c r="P6565">
        <v>0.99682369999999998</v>
      </c>
      <c r="Q6565">
        <v>1.4075120000000001E-3</v>
      </c>
      <c r="R6565">
        <v>7.9628959999999999E-2</v>
      </c>
      <c r="S6565">
        <v>3.001328</v>
      </c>
      <c r="T6565">
        <v>-0.96664329999999998</v>
      </c>
      <c r="U6565">
        <v>0.10083010000000001</v>
      </c>
      <c r="V6565">
        <v>4.7515189999999999E-2</v>
      </c>
      <c r="W6565">
        <v>1.719087E-2</v>
      </c>
      <c r="X6565">
        <v>0.99872260000000002</v>
      </c>
      <c r="Y6565">
        <v>8.2958009999999999E-2</v>
      </c>
      <c r="Z6565">
        <v>-5.2775049999999997E-2</v>
      </c>
      <c r="AA6565">
        <v>0.9951546</v>
      </c>
      <c r="AB6565">
        <v>13</v>
      </c>
      <c r="AC6565">
        <v>0.589600000000018</v>
      </c>
      <c r="AD6565">
        <v>-0.23348559999999999</v>
      </c>
      <c r="AE6565">
        <v>7.1999999999832198E-3</v>
      </c>
      <c r="AF6565">
        <v>5.8505117840873998E-2</v>
      </c>
      <c r="AG6565">
        <v>-0.23348559999999999</v>
      </c>
      <c r="AH6565">
        <v>0.50635206391352705</v>
      </c>
      <c r="AI6565">
        <v>114.61089124469</v>
      </c>
      <c r="AJ6565">
        <v>83.409135551812398</v>
      </c>
      <c r="AK6565">
        <v>0.56065210857573999</v>
      </c>
      <c r="AL6565">
        <v>89.014987207768797</v>
      </c>
      <c r="AM6565">
        <v>87.276151962343505</v>
      </c>
      <c r="AN6565">
        <v>1.0000000255214201</v>
      </c>
    </row>
    <row r="6566" spans="1:40" x14ac:dyDescent="0.25">
      <c r="A6566" t="str">
        <f>"20190312154736877"</f>
        <v>20190312154736877</v>
      </c>
      <c r="B6566" t="str">
        <f>"1552376856865433"</f>
        <v>1552376856865433</v>
      </c>
      <c r="C6566" t="s">
        <v>40</v>
      </c>
      <c r="D6566">
        <v>5.2876960000000004</v>
      </c>
      <c r="E6566">
        <v>0.51596059999999999</v>
      </c>
      <c r="F6566" t="s">
        <v>41</v>
      </c>
      <c r="G6566">
        <v>-157.5763</v>
      </c>
      <c r="H6566">
        <v>0.89672739999999995</v>
      </c>
      <c r="I6566">
        <v>141.0565</v>
      </c>
      <c r="J6566">
        <v>-158.15969999999999</v>
      </c>
      <c r="K6566">
        <v>1.110301</v>
      </c>
      <c r="L6566">
        <v>141.04750000000001</v>
      </c>
      <c r="M6566">
        <v>0.99183299999999996</v>
      </c>
      <c r="N6566">
        <v>0</v>
      </c>
      <c r="O6566">
        <v>0.12659889999999999</v>
      </c>
      <c r="P6566">
        <v>0.99673940000000005</v>
      </c>
      <c r="Q6566">
        <v>3.1861950000000002E-3</v>
      </c>
      <c r="R6566">
        <v>8.062474E-2</v>
      </c>
      <c r="S6566">
        <v>3.002335</v>
      </c>
      <c r="T6566">
        <v>-0.89687729999999999</v>
      </c>
      <c r="U6566">
        <v>0.1067047</v>
      </c>
      <c r="V6566">
        <v>4.6229800000000001E-2</v>
      </c>
      <c r="W6566">
        <v>1.8656430000000002E-2</v>
      </c>
      <c r="X6566">
        <v>0.99875659999999999</v>
      </c>
      <c r="Y6566">
        <v>8.2227220000000004E-2</v>
      </c>
      <c r="Z6566">
        <v>-4.892299E-2</v>
      </c>
      <c r="AA6566">
        <v>0.99541210000000002</v>
      </c>
      <c r="AB6566">
        <v>13</v>
      </c>
      <c r="AC6566">
        <v>0.58339999999998304</v>
      </c>
      <c r="AD6566">
        <v>-0.2135736</v>
      </c>
      <c r="AE6566">
        <v>8.9999999999861302E-3</v>
      </c>
      <c r="AF6566">
        <v>5.7266230347692501E-2</v>
      </c>
      <c r="AG6566">
        <v>-0.2135736</v>
      </c>
      <c r="AH6566">
        <v>0.51133296951337703</v>
      </c>
      <c r="AI6566">
        <v>112.542607716595</v>
      </c>
      <c r="AJ6566">
        <v>83.609843563944693</v>
      </c>
      <c r="AK6566">
        <v>0.55709470421694296</v>
      </c>
      <c r="AL6566">
        <v>88.931003282692103</v>
      </c>
      <c r="AM6566">
        <v>87.349821594223002</v>
      </c>
      <c r="AN6566">
        <v>1.00000000141597</v>
      </c>
    </row>
    <row r="6567" spans="1:40" x14ac:dyDescent="0.25">
      <c r="A6567" t="str">
        <f>"20190312154736897"</f>
        <v>20190312154736897</v>
      </c>
      <c r="B6567" t="str">
        <f>"1552376856894714"</f>
        <v>1552376856894714</v>
      </c>
      <c r="C6567" t="s">
        <v>40</v>
      </c>
      <c r="D6567">
        <v>5.4738910000000001</v>
      </c>
      <c r="E6567">
        <v>0.514706</v>
      </c>
      <c r="F6567" t="s">
        <v>42</v>
      </c>
      <c r="G6567">
        <v>-139.05070000000001</v>
      </c>
      <c r="H6567" s="1">
        <v>-9.7254159999999993E-7</v>
      </c>
      <c r="I6567">
        <v>141.80719999999999</v>
      </c>
      <c r="J6567">
        <v>-158.03479999999999</v>
      </c>
      <c r="K6567">
        <v>1.1102939999999999</v>
      </c>
      <c r="L6567">
        <v>141.06309999999999</v>
      </c>
      <c r="M6567">
        <v>0.99187479999999995</v>
      </c>
      <c r="N6567">
        <v>0</v>
      </c>
      <c r="O6567">
        <v>0.1263031</v>
      </c>
      <c r="P6567">
        <v>0.99664649999999999</v>
      </c>
      <c r="Q6567">
        <v>5.2803590000000001E-3</v>
      </c>
      <c r="R6567">
        <v>8.1657830000000001E-2</v>
      </c>
      <c r="S6567">
        <v>3.0007169999999999</v>
      </c>
      <c r="T6567">
        <v>-0.17435200000000001</v>
      </c>
      <c r="U6567">
        <v>0.1192932</v>
      </c>
      <c r="V6567">
        <v>4.4895610000000002E-2</v>
      </c>
      <c r="W6567">
        <v>2.048618E-2</v>
      </c>
      <c r="X6567">
        <v>0.99878160000000005</v>
      </c>
      <c r="Y6567">
        <v>8.6455729999999995E-2</v>
      </c>
      <c r="Z6567">
        <v>-9.8196700000000008E-3</v>
      </c>
      <c r="AA6567">
        <v>0.99620730000000002</v>
      </c>
      <c r="AB6567">
        <v>13</v>
      </c>
      <c r="AC6567">
        <v>18.984099999999899</v>
      </c>
      <c r="AD6567">
        <v>-1.1102949725416</v>
      </c>
      <c r="AE6567">
        <v>0.74410000000000298</v>
      </c>
      <c r="AF6567">
        <v>1.6542393851822701</v>
      </c>
      <c r="AG6567">
        <v>-1.1102949725416</v>
      </c>
      <c r="AH6567">
        <v>18.861608978802899</v>
      </c>
      <c r="AI6567">
        <v>93.355994990687606</v>
      </c>
      <c r="AJ6567">
        <v>84.987753571981997</v>
      </c>
      <c r="AK6567">
        <v>18.9665378005264</v>
      </c>
      <c r="AL6567">
        <v>88.826146220561697</v>
      </c>
      <c r="AM6567">
        <v>87.426265587820495</v>
      </c>
      <c r="AN6567">
        <v>0.99999999193341205</v>
      </c>
    </row>
    <row r="6568" spans="1:40" x14ac:dyDescent="0.25">
      <c r="A6568" t="str">
        <f>"20190312154736922"</f>
        <v>20190312154736922</v>
      </c>
      <c r="B6568" t="str">
        <f>"1552376856915210"</f>
        <v>1552376856915210</v>
      </c>
      <c r="C6568" t="s">
        <v>40</v>
      </c>
      <c r="D6568">
        <v>5.3077959999999997</v>
      </c>
      <c r="E6568">
        <v>0.51612530000000001</v>
      </c>
      <c r="F6568" t="s">
        <v>41</v>
      </c>
      <c r="G6568">
        <v>-157.2664</v>
      </c>
      <c r="H6568">
        <v>1.048333</v>
      </c>
      <c r="I6568">
        <v>141.0975</v>
      </c>
      <c r="J6568">
        <v>-157.89599999999999</v>
      </c>
      <c r="K6568">
        <v>1.110303</v>
      </c>
      <c r="L6568">
        <v>141.0805</v>
      </c>
      <c r="M6568">
        <v>0.99192230000000003</v>
      </c>
      <c r="N6568">
        <v>0</v>
      </c>
      <c r="O6568">
        <v>0.12595919999999999</v>
      </c>
      <c r="P6568">
        <v>0.99662300000000004</v>
      </c>
      <c r="Q6568">
        <v>6.4616689999999997E-3</v>
      </c>
      <c r="R6568">
        <v>8.1858810000000004E-2</v>
      </c>
      <c r="S6568">
        <v>3.0003660000000001</v>
      </c>
      <c r="T6568">
        <v>-0.2420118</v>
      </c>
      <c r="U6568">
        <v>0.134491</v>
      </c>
      <c r="V6568">
        <v>4.4347169999999998E-2</v>
      </c>
      <c r="W6568">
        <v>2.1421050000000001E-2</v>
      </c>
      <c r="X6568">
        <v>0.99878650000000002</v>
      </c>
      <c r="Y6568">
        <v>8.0756339999999996E-2</v>
      </c>
      <c r="Z6568">
        <v>-1.336216E-2</v>
      </c>
      <c r="AA6568">
        <v>0.99664430000000004</v>
      </c>
      <c r="AB6568">
        <v>13</v>
      </c>
      <c r="AC6568">
        <v>0.62960000000001004</v>
      </c>
      <c r="AD6568">
        <v>-6.1969999999999997E-2</v>
      </c>
      <c r="AE6568">
        <v>1.69999999999959E-2</v>
      </c>
      <c r="AF6568">
        <v>6.1849480827064401E-2</v>
      </c>
      <c r="AG6568">
        <v>-6.1969999999999997E-2</v>
      </c>
      <c r="AH6568">
        <v>0.62071680334382795</v>
      </c>
      <c r="AI6568">
        <v>95.673390201881503</v>
      </c>
      <c r="AJ6568">
        <v>84.309714818917897</v>
      </c>
      <c r="AK6568">
        <v>0.62686121999367495</v>
      </c>
      <c r="AL6568">
        <v>88.772570363390599</v>
      </c>
      <c r="AM6568">
        <v>87.4576770033201</v>
      </c>
      <c r="AN6568">
        <v>1.0000000027261799</v>
      </c>
    </row>
    <row r="6569" spans="1:40" x14ac:dyDescent="0.25">
      <c r="A6569" t="str">
        <f>"20190312154736944"</f>
        <v>20190312154736944</v>
      </c>
      <c r="B6569" t="str">
        <f>"1552376856934729"</f>
        <v>1552376856934729</v>
      </c>
      <c r="C6569" t="s">
        <v>40</v>
      </c>
      <c r="D6569">
        <v>5.308338</v>
      </c>
      <c r="E6569">
        <v>0.51670260000000001</v>
      </c>
      <c r="F6569" t="s">
        <v>41</v>
      </c>
      <c r="G6569">
        <v>-157.15110000000001</v>
      </c>
      <c r="H6569">
        <v>1.0465770000000001</v>
      </c>
      <c r="I6569">
        <v>141.1113</v>
      </c>
      <c r="J6569">
        <v>-157.7662</v>
      </c>
      <c r="K6569">
        <v>1.1103099999999999</v>
      </c>
      <c r="L6569">
        <v>141.0966</v>
      </c>
      <c r="M6569">
        <v>0.99196620000000002</v>
      </c>
      <c r="N6569">
        <v>0</v>
      </c>
      <c r="O6569">
        <v>0.1256343</v>
      </c>
      <c r="P6569">
        <v>0.99664350000000002</v>
      </c>
      <c r="Q6569">
        <v>7.7991299999999996E-3</v>
      </c>
      <c r="R6569">
        <v>8.1491690000000006E-2</v>
      </c>
      <c r="S6569">
        <v>3.0016020000000001</v>
      </c>
      <c r="T6569">
        <v>-0.25682680000000002</v>
      </c>
      <c r="U6569">
        <v>0.1245117</v>
      </c>
      <c r="V6569">
        <v>4.4386879999999997E-2</v>
      </c>
      <c r="W6569">
        <v>2.2569949999999998E-2</v>
      </c>
      <c r="X6569">
        <v>0.99875939999999996</v>
      </c>
      <c r="Y6569">
        <v>8.3661780000000005E-2</v>
      </c>
      <c r="Z6569">
        <v>-1.4269449999999999E-2</v>
      </c>
      <c r="AA6569">
        <v>0.99639200000000006</v>
      </c>
      <c r="AB6569">
        <v>13</v>
      </c>
      <c r="AC6569">
        <v>0.61509999999998399</v>
      </c>
      <c r="AD6569">
        <v>-6.3732999999999998E-2</v>
      </c>
      <c r="AE6569">
        <v>1.47000000000048E-2</v>
      </c>
      <c r="AF6569">
        <v>6.2036982787327097E-2</v>
      </c>
      <c r="AG6569">
        <v>-6.3732999999999998E-2</v>
      </c>
      <c r="AH6569">
        <v>0.605574624375121</v>
      </c>
      <c r="AI6569">
        <v>95.976859028511797</v>
      </c>
      <c r="AJ6569">
        <v>84.150843426454102</v>
      </c>
      <c r="AK6569">
        <v>0.61207116270040396</v>
      </c>
      <c r="AL6569">
        <v>88.706727265062</v>
      </c>
      <c r="AM6569">
        <v>87.455334556223093</v>
      </c>
      <c r="AN6569">
        <v>0.99999996842374705</v>
      </c>
    </row>
    <row r="6570" spans="1:40" x14ac:dyDescent="0.25">
      <c r="A6570" t="str">
        <f>"20190312154736966"</f>
        <v>20190312154736966</v>
      </c>
      <c r="B6570" t="str">
        <f>"1552376856955226"</f>
        <v>1552376856955226</v>
      </c>
      <c r="C6570" t="s">
        <v>40</v>
      </c>
      <c r="D6570">
        <v>5.3150079999999997</v>
      </c>
      <c r="E6570">
        <v>0.51645319999999995</v>
      </c>
      <c r="F6570" t="s">
        <v>41</v>
      </c>
      <c r="G6570">
        <v>-156.92420000000001</v>
      </c>
      <c r="H6570">
        <v>1.034961</v>
      </c>
      <c r="I6570">
        <v>141.12989999999999</v>
      </c>
      <c r="J6570">
        <v>-157.63650000000001</v>
      </c>
      <c r="K6570">
        <v>1.110331</v>
      </c>
      <c r="L6570">
        <v>141.11259999999999</v>
      </c>
      <c r="M6570">
        <v>0.99200860000000002</v>
      </c>
      <c r="N6570">
        <v>0</v>
      </c>
      <c r="O6570">
        <v>0.1253099</v>
      </c>
      <c r="P6570">
        <v>0.99664819999999998</v>
      </c>
      <c r="Q6570">
        <v>8.9568140000000004E-3</v>
      </c>
      <c r="R6570">
        <v>8.1316840000000001E-2</v>
      </c>
      <c r="S6570">
        <v>3.0024410000000001</v>
      </c>
      <c r="T6570">
        <v>-0.26875009999999999</v>
      </c>
      <c r="U6570">
        <v>0.1193695</v>
      </c>
      <c r="V6570">
        <v>4.4234830000000003E-2</v>
      </c>
      <c r="W6570">
        <v>2.365256E-2</v>
      </c>
      <c r="X6570">
        <v>0.99874110000000005</v>
      </c>
      <c r="Y6570">
        <v>8.4975229999999999E-2</v>
      </c>
      <c r="Z6570">
        <v>-1.495587E-2</v>
      </c>
      <c r="AA6570">
        <v>0.99627080000000001</v>
      </c>
      <c r="AB6570">
        <v>13</v>
      </c>
      <c r="AC6570">
        <v>0.71229999999999805</v>
      </c>
      <c r="AD6570">
        <v>-7.5369999999999895E-2</v>
      </c>
      <c r="AE6570">
        <v>1.73000000000058E-2</v>
      </c>
      <c r="AF6570">
        <v>7.1306402894814394E-2</v>
      </c>
      <c r="AG6570">
        <v>-7.5369999999999895E-2</v>
      </c>
      <c r="AH6570">
        <v>0.70100826650763903</v>
      </c>
      <c r="AI6570">
        <v>96.105406538704301</v>
      </c>
      <c r="AJ6570">
        <v>84.191863339233606</v>
      </c>
      <c r="AK6570">
        <v>0.70864506609856703</v>
      </c>
      <c r="AL6570">
        <v>88.644681711765301</v>
      </c>
      <c r="AM6570">
        <v>87.463993659556394</v>
      </c>
      <c r="AN6570">
        <v>0.99999997430444598</v>
      </c>
    </row>
    <row r="6571" spans="1:40" x14ac:dyDescent="0.25">
      <c r="A6571" t="str">
        <f>"20190312154736998"</f>
        <v>20190312154736998</v>
      </c>
      <c r="B6571" t="str">
        <f>"1552376856985482"</f>
        <v>1552376856985482</v>
      </c>
      <c r="C6571" t="s">
        <v>40</v>
      </c>
      <c r="D6571">
        <v>5.3728999999999996</v>
      </c>
      <c r="E6571">
        <v>0.51538799999999996</v>
      </c>
      <c r="F6571" t="s">
        <v>41</v>
      </c>
      <c r="G6571">
        <v>-156.80879999999999</v>
      </c>
      <c r="H6571">
        <v>1.0356529999999999</v>
      </c>
      <c r="I6571">
        <v>141.14580000000001</v>
      </c>
      <c r="J6571">
        <v>-157.45840000000001</v>
      </c>
      <c r="K6571">
        <v>1.1104620000000001</v>
      </c>
      <c r="L6571">
        <v>141.13460000000001</v>
      </c>
      <c r="M6571">
        <v>0.99206119999999998</v>
      </c>
      <c r="N6571">
        <v>0</v>
      </c>
      <c r="O6571">
        <v>0.12486170000000001</v>
      </c>
      <c r="P6571">
        <v>0.99670760000000003</v>
      </c>
      <c r="Q6571">
        <v>1.017294E-2</v>
      </c>
      <c r="R6571">
        <v>8.0440880000000006E-2</v>
      </c>
      <c r="S6571">
        <v>3.0026549999999999</v>
      </c>
      <c r="T6571">
        <v>-0.27092060000000001</v>
      </c>
      <c r="U6571">
        <v>0.1206665</v>
      </c>
      <c r="V6571">
        <v>4.4660859999999997E-2</v>
      </c>
      <c r="W6571">
        <v>2.5117919999999998E-2</v>
      </c>
      <c r="X6571">
        <v>0.99868639999999997</v>
      </c>
      <c r="Y6571">
        <v>8.4090689999999996E-2</v>
      </c>
      <c r="Z6571">
        <v>-1.4995090000000001E-2</v>
      </c>
      <c r="AA6571">
        <v>0.99634529999999999</v>
      </c>
      <c r="AB6571">
        <v>13</v>
      </c>
      <c r="AC6571">
        <v>0.64960000000002005</v>
      </c>
      <c r="AD6571">
        <v>-7.4808999999999903E-2</v>
      </c>
      <c r="AE6571">
        <v>1.12000000000023E-2</v>
      </c>
      <c r="AF6571">
        <v>6.9090895522483806E-2</v>
      </c>
      <c r="AG6571">
        <v>-7.4808999999999903E-2</v>
      </c>
      <c r="AH6571">
        <v>0.63746215533887596</v>
      </c>
      <c r="AI6571">
        <v>96.654677975806393</v>
      </c>
      <c r="AJ6571">
        <v>83.814183012316505</v>
      </c>
      <c r="AK6571">
        <v>0.64554468305020096</v>
      </c>
      <c r="AL6571">
        <v>88.560697841847798</v>
      </c>
      <c r="AM6571">
        <v>87.439461430484499</v>
      </c>
      <c r="AN6571">
        <v>1.0000000139330101</v>
      </c>
    </row>
    <row r="6572" spans="1:40" x14ac:dyDescent="0.25">
      <c r="A6572" t="str">
        <f>"20190312154737020"</f>
        <v>20190312154737020</v>
      </c>
      <c r="B6572" t="str">
        <f>"1552376857005001"</f>
        <v>1552376857005001</v>
      </c>
      <c r="C6572" t="s">
        <v>40</v>
      </c>
      <c r="D6572">
        <v>5.3779830000000004</v>
      </c>
      <c r="E6572">
        <v>0.514775599999999</v>
      </c>
      <c r="F6572" t="s">
        <v>41</v>
      </c>
      <c r="G6572">
        <v>-156.6935</v>
      </c>
      <c r="H6572">
        <v>1.0396650000000001</v>
      </c>
      <c r="I6572">
        <v>141.16659999999999</v>
      </c>
      <c r="J6572">
        <v>-157.3313</v>
      </c>
      <c r="K6572">
        <v>1.110589</v>
      </c>
      <c r="L6572">
        <v>141.15029999999999</v>
      </c>
      <c r="M6572">
        <v>0.99209610000000004</v>
      </c>
      <c r="N6572">
        <v>0</v>
      </c>
      <c r="O6572">
        <v>0.12453880000000001</v>
      </c>
      <c r="P6572">
        <v>0.99677059999999995</v>
      </c>
      <c r="Q6572">
        <v>1.132299E-2</v>
      </c>
      <c r="R6572">
        <v>7.9500650000000006E-2</v>
      </c>
      <c r="S6572">
        <v>3.002548</v>
      </c>
      <c r="T6572">
        <v>-0.2779837</v>
      </c>
      <c r="U6572">
        <v>0.12632750000000001</v>
      </c>
      <c r="V6572">
        <v>4.5277640000000001E-2</v>
      </c>
      <c r="W6572">
        <v>2.6635659999999999E-2</v>
      </c>
      <c r="X6572">
        <v>0.99861929999999999</v>
      </c>
      <c r="Y6572">
        <v>8.1856529999999997E-2</v>
      </c>
      <c r="Z6572">
        <v>-1.5251290000000001E-2</v>
      </c>
      <c r="AA6572">
        <v>0.99652739999999995</v>
      </c>
      <c r="AB6572">
        <v>13</v>
      </c>
      <c r="AC6572">
        <v>0.63779999999999804</v>
      </c>
      <c r="AD6572">
        <v>-7.0923999999999904E-2</v>
      </c>
      <c r="AE6572">
        <v>1.6300000000001001E-2</v>
      </c>
      <c r="AF6572">
        <v>6.2494841930170297E-2</v>
      </c>
      <c r="AG6572">
        <v>-7.0923999999999904E-2</v>
      </c>
      <c r="AH6572">
        <v>0.62711398906400295</v>
      </c>
      <c r="AI6572">
        <v>96.420961327705101</v>
      </c>
      <c r="AJ6572">
        <v>84.308997193806903</v>
      </c>
      <c r="AK6572">
        <v>0.634198529108704</v>
      </c>
      <c r="AL6572">
        <v>88.473708610232606</v>
      </c>
      <c r="AM6572">
        <v>87.403973475253196</v>
      </c>
      <c r="AN6572">
        <v>1.0000000147000401</v>
      </c>
    </row>
    <row r="6573" spans="1:40" x14ac:dyDescent="0.25">
      <c r="A6573" t="str">
        <f>"20190312154737039"</f>
        <v>20190312154737039</v>
      </c>
      <c r="B6573" t="str">
        <f>"1552376857035259"</f>
        <v>1552376857035259</v>
      </c>
      <c r="C6573" t="s">
        <v>40</v>
      </c>
      <c r="D6573">
        <v>5.4125639999999997</v>
      </c>
      <c r="E6573">
        <v>0.51428379999999996</v>
      </c>
      <c r="F6573" t="s">
        <v>41</v>
      </c>
      <c r="G6573">
        <v>-156.5804</v>
      </c>
      <c r="H6573">
        <v>1.040311</v>
      </c>
      <c r="I6573">
        <v>141.1823</v>
      </c>
      <c r="J6573">
        <v>-157.2227</v>
      </c>
      <c r="K6573">
        <v>1.1107049999999901</v>
      </c>
      <c r="L6573">
        <v>141.1636</v>
      </c>
      <c r="M6573">
        <v>0.99212440000000002</v>
      </c>
      <c r="N6573">
        <v>0</v>
      </c>
      <c r="O6573">
        <v>0.1242634</v>
      </c>
      <c r="P6573">
        <v>0.99682029999999999</v>
      </c>
      <c r="Q6573">
        <v>1.2271900000000001E-2</v>
      </c>
      <c r="R6573">
        <v>7.8731399999999896E-2</v>
      </c>
      <c r="S6573">
        <v>3.0026549999999999</v>
      </c>
      <c r="T6573">
        <v>-0.28114660000000002</v>
      </c>
      <c r="U6573">
        <v>0.1286774</v>
      </c>
      <c r="V6573">
        <v>4.5770900000000003E-2</v>
      </c>
      <c r="W6573">
        <v>2.7974599999999999E-2</v>
      </c>
      <c r="X6573">
        <v>0.99856020000000001</v>
      </c>
      <c r="Y6573">
        <v>8.0789509999999995E-2</v>
      </c>
      <c r="Z6573">
        <v>-1.534784E-2</v>
      </c>
      <c r="AA6573">
        <v>0.99661299999999997</v>
      </c>
      <c r="AB6573">
        <v>13</v>
      </c>
      <c r="AC6573">
        <v>0.64230000000000498</v>
      </c>
      <c r="AD6573">
        <v>-7.0393999999999804E-2</v>
      </c>
      <c r="AE6573">
        <v>1.8699999999995401E-2</v>
      </c>
      <c r="AF6573">
        <v>6.0542657496251699E-2</v>
      </c>
      <c r="AG6573">
        <v>-7.0393999999999804E-2</v>
      </c>
      <c r="AH6573">
        <v>0.63205896389574401</v>
      </c>
      <c r="AI6573">
        <v>96.326267093739403</v>
      </c>
      <c r="AJ6573">
        <v>84.528535994036105</v>
      </c>
      <c r="AK6573">
        <v>0.63884212639248295</v>
      </c>
      <c r="AL6573">
        <v>88.396964377874994</v>
      </c>
      <c r="AM6573">
        <v>87.375576276520803</v>
      </c>
      <c r="AN6573">
        <v>1.000000013278</v>
      </c>
    </row>
    <row r="6574" spans="1:40" x14ac:dyDescent="0.25">
      <c r="A6574" t="str">
        <f>"20190312154737068"</f>
        <v>20190312154737068</v>
      </c>
      <c r="B6574" t="str">
        <f>"1552376857064538"</f>
        <v>1552376857064538</v>
      </c>
      <c r="C6574" t="s">
        <v>40</v>
      </c>
      <c r="D6574">
        <v>5.4063850000000002</v>
      </c>
      <c r="E6574">
        <v>0.51377640000000002</v>
      </c>
      <c r="F6574" t="s">
        <v>41</v>
      </c>
      <c r="G6574">
        <v>-156.46940000000001</v>
      </c>
      <c r="H6574">
        <v>1.0391870000000001</v>
      </c>
      <c r="I6574">
        <v>141.1962</v>
      </c>
      <c r="J6574">
        <v>-157.0658</v>
      </c>
      <c r="K6574">
        <v>1.1108480000000001</v>
      </c>
      <c r="L6574">
        <v>141.18270000000001</v>
      </c>
      <c r="M6574">
        <v>0.99216289999999996</v>
      </c>
      <c r="N6574">
        <v>0</v>
      </c>
      <c r="O6574">
        <v>0.12386989999999901</v>
      </c>
      <c r="P6574">
        <v>0.99691770000000002</v>
      </c>
      <c r="Q6574">
        <v>1.2349509999999999E-2</v>
      </c>
      <c r="R6574">
        <v>7.7477030000000002E-2</v>
      </c>
      <c r="S6574">
        <v>3.002777</v>
      </c>
      <c r="T6574">
        <v>-0.28519889999999998</v>
      </c>
      <c r="U6574">
        <v>0.1307373</v>
      </c>
      <c r="V6574">
        <v>4.6632859999999998E-2</v>
      </c>
      <c r="W6574">
        <v>2.8715299999999999E-2</v>
      </c>
      <c r="X6574">
        <v>0.99849929999999998</v>
      </c>
      <c r="Y6574">
        <v>7.9695699999999994E-2</v>
      </c>
      <c r="Z6574">
        <v>-1.54784E-2</v>
      </c>
      <c r="AA6574">
        <v>0.996699</v>
      </c>
      <c r="AB6574">
        <v>13</v>
      </c>
      <c r="AC6574">
        <v>0.59639999999998805</v>
      </c>
      <c r="AD6574">
        <v>-7.1660999999999905E-2</v>
      </c>
      <c r="AE6574">
        <v>1.3499999999993399E-2</v>
      </c>
      <c r="AF6574">
        <v>5.9629489667215797E-2</v>
      </c>
      <c r="AG6574">
        <v>-7.1660999999999905E-2</v>
      </c>
      <c r="AH6574">
        <v>0.58503593280777899</v>
      </c>
      <c r="AI6574">
        <v>96.947727194392399</v>
      </c>
      <c r="AJ6574">
        <v>84.180254315752194</v>
      </c>
      <c r="AK6574">
        <v>0.59241709768982997</v>
      </c>
      <c r="AL6574">
        <v>88.354508349301796</v>
      </c>
      <c r="AM6574">
        <v>87.326061210939201</v>
      </c>
      <c r="AN6574">
        <v>1.00000002209317</v>
      </c>
    </row>
    <row r="6575" spans="1:40" x14ac:dyDescent="0.25">
      <c r="A6575" t="str">
        <f>"20190312154737092"</f>
        <v>20190312154737092</v>
      </c>
      <c r="B6575" t="str">
        <f>"1552376857085033"</f>
        <v>1552376857085033</v>
      </c>
      <c r="C6575" t="s">
        <v>40</v>
      </c>
      <c r="D6575">
        <v>5.4038120000000003</v>
      </c>
      <c r="E6575">
        <v>0.51361369999999995</v>
      </c>
      <c r="F6575" t="s">
        <v>41</v>
      </c>
      <c r="G6575">
        <v>-156.25299999999999</v>
      </c>
      <c r="H6575">
        <v>1.033156</v>
      </c>
      <c r="I6575">
        <v>141.21789999999999</v>
      </c>
      <c r="J6575">
        <v>-156.93430000000001</v>
      </c>
      <c r="K6575">
        <v>1.11097</v>
      </c>
      <c r="L6575">
        <v>141.1987</v>
      </c>
      <c r="M6575">
        <v>0.99219199999999996</v>
      </c>
      <c r="N6575">
        <v>0</v>
      </c>
      <c r="O6575">
        <v>0.123545</v>
      </c>
      <c r="P6575">
        <v>0.99692179999999997</v>
      </c>
      <c r="Q6575">
        <v>1.1696089999999999E-2</v>
      </c>
      <c r="R6575">
        <v>7.752626E-2</v>
      </c>
      <c r="S6575">
        <v>3.0026860000000002</v>
      </c>
      <c r="T6575">
        <v>-0.28711320000000001</v>
      </c>
      <c r="U6575">
        <v>0.1307373</v>
      </c>
      <c r="V6575">
        <v>4.6258710000000001E-2</v>
      </c>
      <c r="W6575">
        <v>2.8749630000000002E-2</v>
      </c>
      <c r="X6575">
        <v>0.99851570000000001</v>
      </c>
      <c r="Y6575">
        <v>7.936008E-2</v>
      </c>
      <c r="Z6575">
        <v>-1.553566E-2</v>
      </c>
      <c r="AA6575">
        <v>0.99672499999999997</v>
      </c>
      <c r="AB6575">
        <v>12</v>
      </c>
      <c r="AC6575">
        <v>0.681300000000021</v>
      </c>
      <c r="AD6575">
        <v>-7.7813999999999994E-2</v>
      </c>
      <c r="AE6575">
        <v>1.9199999999983602E-2</v>
      </c>
      <c r="AF6575">
        <v>6.4292600027526306E-2</v>
      </c>
      <c r="AG6575">
        <v>-7.7813999999999994E-2</v>
      </c>
      <c r="AH6575">
        <v>0.66972194053819101</v>
      </c>
      <c r="AI6575">
        <v>96.597334635051197</v>
      </c>
      <c r="AJ6575">
        <v>84.516469425800196</v>
      </c>
      <c r="AK6575">
        <v>0.67728578506605297</v>
      </c>
      <c r="AL6575">
        <v>88.352540546806097</v>
      </c>
      <c r="AM6575">
        <v>87.347527796353106</v>
      </c>
      <c r="AN6575">
        <v>1.00000000631124</v>
      </c>
    </row>
    <row r="6576" spans="1:40" x14ac:dyDescent="0.25">
      <c r="A6576" t="str">
        <f>"20190312154737115"</f>
        <v>20190312154737115</v>
      </c>
      <c r="B6576" t="str">
        <f>"1552376857104554"</f>
        <v>1552376857104554</v>
      </c>
      <c r="C6576" t="s">
        <v>40</v>
      </c>
      <c r="D6576">
        <v>5.4293519999999997</v>
      </c>
      <c r="E6576">
        <v>0.51355770000000001</v>
      </c>
      <c r="F6576" t="s">
        <v>41</v>
      </c>
      <c r="G6576">
        <v>-156.14590000000001</v>
      </c>
      <c r="H6576">
        <v>1.0344850000000001</v>
      </c>
      <c r="I6576">
        <v>141.23339999999999</v>
      </c>
      <c r="J6576">
        <v>-156.81450000000001</v>
      </c>
      <c r="K6576">
        <v>1.1110960000000001</v>
      </c>
      <c r="L6576">
        <v>141.2133</v>
      </c>
      <c r="M6576">
        <v>0.99221579999999998</v>
      </c>
      <c r="N6576">
        <v>0</v>
      </c>
      <c r="O6576">
        <v>0.1232501</v>
      </c>
      <c r="P6576">
        <v>0.99695999999999996</v>
      </c>
      <c r="Q6576">
        <v>1.0718739999999999E-2</v>
      </c>
      <c r="R6576">
        <v>7.7175949999999993E-2</v>
      </c>
      <c r="S6576">
        <v>3.0023960000000001</v>
      </c>
      <c r="T6576">
        <v>-0.29133490000000001</v>
      </c>
      <c r="U6576">
        <v>0.13221739999999901</v>
      </c>
      <c r="V6576">
        <v>4.6315330000000002E-2</v>
      </c>
      <c r="W6576">
        <v>2.8497000000000001E-2</v>
      </c>
      <c r="X6576">
        <v>0.99852030000000003</v>
      </c>
      <c r="Y6576">
        <v>7.8548629999999994E-2</v>
      </c>
      <c r="Z6576">
        <v>-1.569686E-2</v>
      </c>
      <c r="AA6576">
        <v>0.99678670000000003</v>
      </c>
      <c r="AB6576">
        <v>12</v>
      </c>
      <c r="AC6576">
        <v>0.66859999999999697</v>
      </c>
      <c r="AD6576">
        <v>-7.6610999999999693E-2</v>
      </c>
      <c r="AE6576">
        <v>2.0099999999985099E-2</v>
      </c>
      <c r="AF6576">
        <v>6.1662519133575101E-2</v>
      </c>
      <c r="AG6576">
        <v>-7.6610999999999693E-2</v>
      </c>
      <c r="AH6576">
        <v>0.65735546796710898</v>
      </c>
      <c r="AI6576">
        <v>96.618708845964093</v>
      </c>
      <c r="AJ6576">
        <v>84.641112551744996</v>
      </c>
      <c r="AK6576">
        <v>0.66467113887482299</v>
      </c>
      <c r="AL6576">
        <v>88.367021084648698</v>
      </c>
      <c r="AM6576">
        <v>87.344298070324498</v>
      </c>
      <c r="AN6576">
        <v>0.99999998915704902</v>
      </c>
    </row>
    <row r="6577" spans="1:40" x14ac:dyDescent="0.25">
      <c r="A6577" t="str">
        <f>"20190312154737137"</f>
        <v>20190312154737137</v>
      </c>
      <c r="B6577" t="str">
        <f>"1552376857125050"</f>
        <v>1552376857125050</v>
      </c>
      <c r="C6577" t="s">
        <v>40</v>
      </c>
      <c r="D6577">
        <v>5.432957</v>
      </c>
      <c r="E6577">
        <v>0.51349290000000003</v>
      </c>
      <c r="F6577" t="s">
        <v>41</v>
      </c>
      <c r="G6577">
        <v>-156.0411</v>
      </c>
      <c r="H6577">
        <v>1.034624</v>
      </c>
      <c r="I6577">
        <v>141.24700000000001</v>
      </c>
      <c r="J6577">
        <v>-156.69810000000001</v>
      </c>
      <c r="K6577">
        <v>1.111213</v>
      </c>
      <c r="L6577">
        <v>141.22739999999999</v>
      </c>
      <c r="M6577">
        <v>0.99223779999999995</v>
      </c>
      <c r="N6577">
        <v>0</v>
      </c>
      <c r="O6577">
        <v>0.1229625</v>
      </c>
      <c r="P6577">
        <v>0.99700160000000004</v>
      </c>
      <c r="Q6577">
        <v>1.0644900000000001E-2</v>
      </c>
      <c r="R6577">
        <v>7.6647560000000003E-2</v>
      </c>
      <c r="S6577">
        <v>3.002167</v>
      </c>
      <c r="T6577">
        <v>-0.29693930000000002</v>
      </c>
      <c r="U6577">
        <v>0.1313782</v>
      </c>
      <c r="V6577">
        <v>4.6556710000000001E-2</v>
      </c>
      <c r="W6577">
        <v>2.9174789999999999E-2</v>
      </c>
      <c r="X6577">
        <v>0.99848950000000003</v>
      </c>
      <c r="Y6577">
        <v>7.8500990000000007E-2</v>
      </c>
      <c r="Z6577">
        <v>-1.5968360000000001E-2</v>
      </c>
      <c r="AA6577">
        <v>0.99678610000000001</v>
      </c>
      <c r="AB6577">
        <v>12</v>
      </c>
      <c r="AC6577">
        <v>0.65700000000001002</v>
      </c>
      <c r="AD6577">
        <v>-7.6589000000000004E-2</v>
      </c>
      <c r="AE6577">
        <v>1.9600000000025299E-2</v>
      </c>
      <c r="AF6577">
        <v>6.05272647861562E-2</v>
      </c>
      <c r="AG6577">
        <v>-7.6589000000000004E-2</v>
      </c>
      <c r="AH6577">
        <v>0.64565667093670098</v>
      </c>
      <c r="AI6577">
        <v>96.735661247559307</v>
      </c>
      <c r="AJ6577">
        <v>84.644443091241698</v>
      </c>
      <c r="AK6577">
        <v>0.65299461056624097</v>
      </c>
      <c r="AL6577">
        <v>88.328170420482905</v>
      </c>
      <c r="AM6577">
        <v>87.330395183854193</v>
      </c>
      <c r="AN6577">
        <v>0.99999998861390804</v>
      </c>
    </row>
    <row r="6578" spans="1:40" x14ac:dyDescent="0.25">
      <c r="A6578" t="str">
        <f>"20190312154737159"</f>
        <v>20190312154737159</v>
      </c>
      <c r="B6578" t="str">
        <f>"1552376857155308"</f>
        <v>1552376857155308</v>
      </c>
      <c r="C6578" t="s">
        <v>40</v>
      </c>
      <c r="D6578">
        <v>5.6766480000000001</v>
      </c>
      <c r="E6578">
        <v>0.51325169999999998</v>
      </c>
      <c r="F6578" t="s">
        <v>41</v>
      </c>
      <c r="G6578">
        <v>-155.93809999999999</v>
      </c>
      <c r="H6578">
        <v>1.035218</v>
      </c>
      <c r="I6578">
        <v>141.2603</v>
      </c>
      <c r="J6578">
        <v>-156.58869999999999</v>
      </c>
      <c r="K6578">
        <v>1.1113150000000001</v>
      </c>
      <c r="L6578">
        <v>141.2406</v>
      </c>
      <c r="M6578">
        <v>0.99225719999999995</v>
      </c>
      <c r="N6578">
        <v>0</v>
      </c>
      <c r="O6578">
        <v>0.1226918</v>
      </c>
      <c r="P6578">
        <v>0.99703580000000003</v>
      </c>
      <c r="Q6578">
        <v>1.0504009999999999E-2</v>
      </c>
      <c r="R6578">
        <v>7.6220239999999995E-2</v>
      </c>
      <c r="S6578">
        <v>3.0021969999999998</v>
      </c>
      <c r="T6578">
        <v>-0.3002573</v>
      </c>
      <c r="U6578">
        <v>0.13031010000000001</v>
      </c>
      <c r="V6578">
        <v>4.6714159999999998E-2</v>
      </c>
      <c r="W6578">
        <v>2.9767709999999999E-2</v>
      </c>
      <c r="X6578">
        <v>0.99846460000000004</v>
      </c>
      <c r="Y6578">
        <v>7.8564259999999997E-2</v>
      </c>
      <c r="Z6578">
        <v>-1.6122460000000002E-2</v>
      </c>
      <c r="AA6578">
        <v>0.99677870000000002</v>
      </c>
      <c r="AB6578">
        <v>12</v>
      </c>
      <c r="AC6578">
        <v>0.65059999999999696</v>
      </c>
      <c r="AD6578">
        <v>-7.6096999999999998E-2</v>
      </c>
      <c r="AE6578">
        <v>1.97000000000002E-2</v>
      </c>
      <c r="AF6578">
        <v>5.9474143823695501E-2</v>
      </c>
      <c r="AG6578">
        <v>-7.6096999999999998E-2</v>
      </c>
      <c r="AH6578">
        <v>0.63936136973116697</v>
      </c>
      <c r="AI6578">
        <v>96.758526822252506</v>
      </c>
      <c r="AJ6578">
        <v>84.685572710214501</v>
      </c>
      <c r="AK6578">
        <v>0.64661494592769497</v>
      </c>
      <c r="AL6578">
        <v>88.294183766015905</v>
      </c>
      <c r="AM6578">
        <v>87.321313279514101</v>
      </c>
      <c r="AN6578">
        <v>0.99999994337815301</v>
      </c>
    </row>
    <row r="6579" spans="1:40" x14ac:dyDescent="0.25">
      <c r="A6579" t="str">
        <f>"20190312154737183"</f>
        <v>20190312154737183</v>
      </c>
      <c r="B6579" t="str">
        <f>"1552376857174826"</f>
        <v>1552376857174826</v>
      </c>
      <c r="C6579" t="s">
        <v>40</v>
      </c>
      <c r="D6579">
        <v>5.4666090000000001</v>
      </c>
      <c r="E6579">
        <v>0.51296709999999901</v>
      </c>
      <c r="F6579" t="s">
        <v>41</v>
      </c>
      <c r="G6579">
        <v>-155.8374</v>
      </c>
      <c r="H6579">
        <v>1.035412</v>
      </c>
      <c r="I6579">
        <v>141.2732</v>
      </c>
      <c r="J6579">
        <v>-156.46860000000001</v>
      </c>
      <c r="K6579">
        <v>1.111421</v>
      </c>
      <c r="L6579">
        <v>141.2551</v>
      </c>
      <c r="M6579">
        <v>0.99227710000000002</v>
      </c>
      <c r="N6579">
        <v>0</v>
      </c>
      <c r="O6579">
        <v>0.1223952</v>
      </c>
      <c r="P6579">
        <v>0.99706499999999998</v>
      </c>
      <c r="Q6579">
        <v>9.8606400000000004E-3</v>
      </c>
      <c r="R6579">
        <v>7.5923060000000001E-2</v>
      </c>
      <c r="S6579">
        <v>3.0021059999999999</v>
      </c>
      <c r="T6579">
        <v>-0.30341970000000001</v>
      </c>
      <c r="U6579">
        <v>0.1311493</v>
      </c>
      <c r="V6579">
        <v>4.6715949999999999E-2</v>
      </c>
      <c r="W6579">
        <v>2.9968849999999998E-2</v>
      </c>
      <c r="X6579">
        <v>0.99845859999999997</v>
      </c>
      <c r="Y6579">
        <v>7.7972310000000003E-2</v>
      </c>
      <c r="Z6579">
        <v>-1.6232460000000001E-2</v>
      </c>
      <c r="AA6579">
        <v>0.99682340000000003</v>
      </c>
      <c r="AB6579">
        <v>12</v>
      </c>
      <c r="AC6579">
        <v>0.63120000000000598</v>
      </c>
      <c r="AD6579">
        <v>-7.6008999999999993E-2</v>
      </c>
      <c r="AE6579">
        <v>1.8100000000003998E-2</v>
      </c>
      <c r="AF6579">
        <v>5.8460625386547602E-2</v>
      </c>
      <c r="AG6579">
        <v>-7.6008999999999993E-2</v>
      </c>
      <c r="AH6579">
        <v>0.619689462003155</v>
      </c>
      <c r="AI6579">
        <v>96.9621700989929</v>
      </c>
      <c r="AJ6579">
        <v>84.610747314522101</v>
      </c>
      <c r="AK6579">
        <v>0.62706462355912396</v>
      </c>
      <c r="AL6579">
        <v>88.282654320978395</v>
      </c>
      <c r="AM6579">
        <v>87.321194712615394</v>
      </c>
      <c r="AN6579">
        <v>1.0000000439343399</v>
      </c>
    </row>
    <row r="6580" spans="1:40" x14ac:dyDescent="0.25">
      <c r="A6580" t="str">
        <f>"20190312154737207"</f>
        <v>20190312154737207</v>
      </c>
      <c r="B6580" t="str">
        <f>"1552376857195321"</f>
        <v>1552376857195321</v>
      </c>
      <c r="C6580" t="s">
        <v>40</v>
      </c>
      <c r="D6580">
        <v>5.4340840000000004</v>
      </c>
      <c r="E6580">
        <v>0.5128026</v>
      </c>
      <c r="F6580" t="s">
        <v>41</v>
      </c>
      <c r="G6580">
        <v>-155.7381</v>
      </c>
      <c r="H6580">
        <v>1.0376369999999999</v>
      </c>
      <c r="I6580">
        <v>141.28720000000001</v>
      </c>
      <c r="J6580">
        <v>-156.35759999999999</v>
      </c>
      <c r="K6580">
        <v>1.1115120000000001</v>
      </c>
      <c r="L6580">
        <v>141.26840000000001</v>
      </c>
      <c r="M6580">
        <v>0.99229350000000005</v>
      </c>
      <c r="N6580">
        <v>0</v>
      </c>
      <c r="O6580">
        <v>0.1221214</v>
      </c>
      <c r="P6580">
        <v>0.99707690000000004</v>
      </c>
      <c r="Q6580">
        <v>8.2500950000000007E-3</v>
      </c>
      <c r="R6580">
        <v>7.5959120000000005E-2</v>
      </c>
      <c r="S6580">
        <v>3.00177</v>
      </c>
      <c r="T6580">
        <v>-0.30327340000000003</v>
      </c>
      <c r="U6580">
        <v>0.13229369999999999</v>
      </c>
      <c r="V6580">
        <v>4.6407410000000003E-2</v>
      </c>
      <c r="W6580">
        <v>2.9195280000000001E-2</v>
      </c>
      <c r="X6580">
        <v>0.99849589999999999</v>
      </c>
      <c r="Y6580">
        <v>7.7320609999999998E-2</v>
      </c>
      <c r="Z6580">
        <v>-1.616627E-2</v>
      </c>
      <c r="AA6580">
        <v>0.99687519999999996</v>
      </c>
      <c r="AB6580">
        <v>11</v>
      </c>
      <c r="AC6580">
        <v>0.61949999999998795</v>
      </c>
      <c r="AD6580">
        <v>-7.3874999999999899E-2</v>
      </c>
      <c r="AE6580">
        <v>1.87999999999988E-2</v>
      </c>
      <c r="AF6580">
        <v>5.6212995877977699E-2</v>
      </c>
      <c r="AG6580">
        <v>-7.3874999999999899E-2</v>
      </c>
      <c r="AH6580">
        <v>0.60851215161654004</v>
      </c>
      <c r="AI6580">
        <v>96.892922157539203</v>
      </c>
      <c r="AJ6580">
        <v>84.722122807692003</v>
      </c>
      <c r="AK6580">
        <v>0.61555215473229197</v>
      </c>
      <c r="AL6580">
        <v>88.326996010947695</v>
      </c>
      <c r="AM6580">
        <v>87.338960890336594</v>
      </c>
      <c r="AN6580">
        <v>1.0000000371969899</v>
      </c>
    </row>
    <row r="6581" spans="1:40" x14ac:dyDescent="0.25">
      <c r="A6581" t="str">
        <f>"20190312154737250"</f>
        <v>20190312154737250</v>
      </c>
      <c r="B6581" t="str">
        <f>"1552376857245098"</f>
        <v>1552376857245098</v>
      </c>
      <c r="C6581" t="s">
        <v>40</v>
      </c>
      <c r="D6581">
        <v>5.5170219999999999</v>
      </c>
      <c r="E6581">
        <v>0.51242019999999999</v>
      </c>
      <c r="F6581" t="s">
        <v>41</v>
      </c>
      <c r="G6581">
        <v>-155.55199999999999</v>
      </c>
      <c r="H6581">
        <v>1.02955</v>
      </c>
      <c r="I6581">
        <v>141.30430000000001</v>
      </c>
      <c r="J6581">
        <v>-156.15639999999999</v>
      </c>
      <c r="K6581">
        <v>1.1116740000000001</v>
      </c>
      <c r="L6581">
        <v>141.29259999999999</v>
      </c>
      <c r="M6581">
        <v>0.99232070000000006</v>
      </c>
      <c r="N6581">
        <v>0</v>
      </c>
      <c r="O6581">
        <v>0.1216236</v>
      </c>
      <c r="P6581">
        <v>0.99718870000000004</v>
      </c>
      <c r="Q6581">
        <v>5.7493730000000003E-3</v>
      </c>
      <c r="R6581">
        <v>7.4712819999999999E-2</v>
      </c>
      <c r="S6581">
        <v>3.00116</v>
      </c>
      <c r="T6581">
        <v>-0.30536530000000001</v>
      </c>
      <c r="U6581">
        <v>0.13365170000000001</v>
      </c>
      <c r="V6581">
        <v>4.716008E-2</v>
      </c>
      <c r="W6581">
        <v>2.823962E-2</v>
      </c>
      <c r="X6581">
        <v>0.99848809999999999</v>
      </c>
      <c r="Y6581">
        <v>7.6358579999999995E-2</v>
      </c>
      <c r="Z6581">
        <v>-1.618172E-2</v>
      </c>
      <c r="AA6581">
        <v>0.99694910000000003</v>
      </c>
      <c r="AB6581">
        <v>10</v>
      </c>
      <c r="AC6581">
        <v>0.60439999999996896</v>
      </c>
      <c r="AD6581">
        <v>-8.2124000000000003E-2</v>
      </c>
      <c r="AE6581">
        <v>1.17000000000189E-2</v>
      </c>
      <c r="AF6581">
        <v>6.0792888962086102E-2</v>
      </c>
      <c r="AG6581">
        <v>-8.2124000000000003E-2</v>
      </c>
      <c r="AH6581">
        <v>0.59043729896462005</v>
      </c>
      <c r="AI6581">
        <v>97.877356366073101</v>
      </c>
      <c r="AJ6581">
        <v>84.121399556486196</v>
      </c>
      <c r="AK6581">
        <v>0.59921309292520697</v>
      </c>
      <c r="AL6581">
        <v>88.381773855963104</v>
      </c>
      <c r="AM6581">
        <v>87.295844631006801</v>
      </c>
      <c r="AN6581">
        <v>1.0000000175624799</v>
      </c>
    </row>
    <row r="6582" spans="1:40" x14ac:dyDescent="0.25">
      <c r="A6582" t="str">
        <f>"20190312154737286"</f>
        <v>20190312154737286</v>
      </c>
      <c r="B6582" t="str">
        <f>"1552376857275354"</f>
        <v>1552376857275354</v>
      </c>
      <c r="C6582" t="s">
        <v>40</v>
      </c>
      <c r="D6582">
        <v>5.5262000000000002</v>
      </c>
      <c r="E6582">
        <v>0.54710539999999996</v>
      </c>
      <c r="F6582" t="s">
        <v>41</v>
      </c>
      <c r="G6582">
        <v>-155.37270000000001</v>
      </c>
      <c r="H6582">
        <v>1.0295129999999999</v>
      </c>
      <c r="I6582">
        <v>141.32740000000001</v>
      </c>
      <c r="J6582">
        <v>-156.00620000000001</v>
      </c>
      <c r="K6582">
        <v>1.1117629999999901</v>
      </c>
      <c r="L6582">
        <v>141.31049999999999</v>
      </c>
      <c r="M6582">
        <v>0.99234219999999895</v>
      </c>
      <c r="N6582">
        <v>0</v>
      </c>
      <c r="O6582">
        <v>0.1212487</v>
      </c>
      <c r="P6582">
        <v>0.99733709999999998</v>
      </c>
      <c r="Q6582">
        <v>3.6394560000000001E-3</v>
      </c>
      <c r="R6582">
        <v>7.2840929999999998E-2</v>
      </c>
      <c r="S6582">
        <v>3.000305</v>
      </c>
      <c r="T6582">
        <v>-0.31450440000000002</v>
      </c>
      <c r="U6582">
        <v>0.13331599999999999</v>
      </c>
      <c r="V6582">
        <v>4.866111E-2</v>
      </c>
      <c r="W6582">
        <v>2.7179060000000001E-2</v>
      </c>
      <c r="X6582">
        <v>0.99844549999999999</v>
      </c>
      <c r="Y6582">
        <v>7.6025110000000007E-2</v>
      </c>
      <c r="Z6582">
        <v>-1.6612149999999999E-2</v>
      </c>
      <c r="AA6582">
        <v>0.99696750000000001</v>
      </c>
      <c r="AB6582">
        <v>10</v>
      </c>
      <c r="AC6582">
        <v>0.63349999999999795</v>
      </c>
      <c r="AD6582">
        <v>-8.2249999999999907E-2</v>
      </c>
      <c r="AE6582">
        <v>1.6900000000020999E-2</v>
      </c>
      <c r="AF6582">
        <v>5.9062257292831197E-2</v>
      </c>
      <c r="AG6582">
        <v>-8.2249999999999907E-2</v>
      </c>
      <c r="AH6582">
        <v>0.62042222410044001</v>
      </c>
      <c r="AI6582">
        <v>97.518125974222301</v>
      </c>
      <c r="AJ6582">
        <v>84.562008460010304</v>
      </c>
      <c r="AK6582">
        <v>0.62863117079433894</v>
      </c>
      <c r="AL6582">
        <v>88.442562800570897</v>
      </c>
      <c r="AM6582">
        <v>87.209790739252199</v>
      </c>
      <c r="AN6582">
        <v>1.0000000106995801</v>
      </c>
    </row>
    <row r="6583" spans="1:40" x14ac:dyDescent="0.25">
      <c r="A6583" t="str">
        <f>"20190312154737313"</f>
        <v>20190312154737313</v>
      </c>
      <c r="B6583" t="str">
        <f>"1552376857304634"</f>
        <v>1552376857304634</v>
      </c>
      <c r="C6583" t="s">
        <v>40</v>
      </c>
      <c r="D6583">
        <v>5.4274120000000003</v>
      </c>
      <c r="E6583">
        <v>0.54647449999999997</v>
      </c>
      <c r="F6583" t="s">
        <v>41</v>
      </c>
      <c r="G6583">
        <v>-155.267</v>
      </c>
      <c r="H6583">
        <v>0.87978489999999998</v>
      </c>
      <c r="I6583">
        <v>141.27780000000001</v>
      </c>
      <c r="J6583">
        <v>-155.89099999999999</v>
      </c>
      <c r="K6583">
        <v>1.1118049999999999</v>
      </c>
      <c r="L6583">
        <v>141.32419999999999</v>
      </c>
      <c r="M6583">
        <v>0.99236120000000005</v>
      </c>
      <c r="N6583">
        <v>0</v>
      </c>
      <c r="O6583">
        <v>0.1209596</v>
      </c>
      <c r="P6583">
        <v>0.99741089999999999</v>
      </c>
      <c r="Q6583">
        <v>4.050395E-3</v>
      </c>
      <c r="R6583">
        <v>7.1798180000000003E-2</v>
      </c>
      <c r="S6583">
        <v>3.0211939999999999</v>
      </c>
      <c r="T6583">
        <v>-0.94818340000000001</v>
      </c>
      <c r="U6583">
        <v>-0.1330414</v>
      </c>
      <c r="V6583">
        <v>4.9416170000000002E-2</v>
      </c>
      <c r="W6583">
        <v>2.8258680000000001E-2</v>
      </c>
      <c r="X6583">
        <v>0.99837849999999995</v>
      </c>
      <c r="Y6583">
        <v>0.15147330000000001</v>
      </c>
      <c r="Z6583">
        <v>-6.0220250000000003E-2</v>
      </c>
      <c r="AA6583">
        <v>0.98662530000000004</v>
      </c>
      <c r="AB6583">
        <v>10</v>
      </c>
      <c r="AC6583">
        <v>0.623999999999995</v>
      </c>
      <c r="AD6583">
        <v>-0.23202009999999901</v>
      </c>
      <c r="AE6583">
        <v>-4.6399999999977098E-2</v>
      </c>
      <c r="AF6583">
        <v>0.106866475141134</v>
      </c>
      <c r="AG6583">
        <v>-0.23202009999999901</v>
      </c>
      <c r="AH6583">
        <v>0.53960789502010698</v>
      </c>
      <c r="AI6583">
        <v>112.86938583840499</v>
      </c>
      <c r="AJ6583">
        <v>78.797830367372995</v>
      </c>
      <c r="AK6583">
        <v>0.59701796512427596</v>
      </c>
      <c r="AL6583">
        <v>88.380681447453796</v>
      </c>
      <c r="AM6583">
        <v>87.166376066897598</v>
      </c>
      <c r="AN6583">
        <v>1.00000007005752</v>
      </c>
    </row>
    <row r="6584" spans="1:40" x14ac:dyDescent="0.25">
      <c r="A6584" t="str">
        <f>"20190312154737333"</f>
        <v>20190312154737333</v>
      </c>
      <c r="B6584" t="str">
        <f>"1552376857325131"</f>
        <v>1552376857325131</v>
      </c>
      <c r="C6584" t="s">
        <v>40</v>
      </c>
      <c r="D6584">
        <v>5.5011619999999999</v>
      </c>
      <c r="E6584">
        <v>0.54567619999999994</v>
      </c>
      <c r="F6584" t="s">
        <v>41</v>
      </c>
      <c r="G6584">
        <v>-155.18369999999999</v>
      </c>
      <c r="H6584">
        <v>0.88683400000000001</v>
      </c>
      <c r="I6584">
        <v>141.29349999999999</v>
      </c>
      <c r="J6584">
        <v>-155.8065</v>
      </c>
      <c r="K6584">
        <v>1.1118220000000001</v>
      </c>
      <c r="L6584">
        <v>141.33420000000001</v>
      </c>
      <c r="M6584">
        <v>0.99237690000000001</v>
      </c>
      <c r="N6584">
        <v>0</v>
      </c>
      <c r="O6584">
        <v>0.1207471</v>
      </c>
      <c r="P6584">
        <v>0.99747350000000001</v>
      </c>
      <c r="Q6584">
        <v>4.9236230000000002E-3</v>
      </c>
      <c r="R6584">
        <v>7.0869210000000002E-2</v>
      </c>
      <c r="S6584">
        <v>3.0210720000000002</v>
      </c>
      <c r="T6584">
        <v>-0.96100439999999998</v>
      </c>
      <c r="U6584">
        <v>-0.13015750000000001</v>
      </c>
      <c r="V6584">
        <v>5.0133200000000003E-2</v>
      </c>
      <c r="W6584">
        <v>2.9545599999999901E-2</v>
      </c>
      <c r="X6584">
        <v>0.99830540000000001</v>
      </c>
      <c r="Y6584">
        <v>0.1500562</v>
      </c>
      <c r="Z6584">
        <v>-6.0714270000000001E-2</v>
      </c>
      <c r="AA6584">
        <v>0.98681149999999995</v>
      </c>
      <c r="AB6584">
        <v>9</v>
      </c>
      <c r="AC6584">
        <v>0.62280000000001201</v>
      </c>
      <c r="AD6584">
        <v>-0.22498799999999899</v>
      </c>
      <c r="AE6584">
        <v>-4.0700000000015203E-2</v>
      </c>
      <c r="AF6584">
        <v>0.10232875099333601</v>
      </c>
      <c r="AG6584">
        <v>-0.22498799999999899</v>
      </c>
      <c r="AH6584">
        <v>0.54278983564971495</v>
      </c>
      <c r="AI6584">
        <v>112.162429626913</v>
      </c>
      <c r="AJ6584">
        <v>79.323693278503498</v>
      </c>
      <c r="AK6584">
        <v>0.59641560937696803</v>
      </c>
      <c r="AL6584">
        <v>88.306915387553403</v>
      </c>
      <c r="AM6584">
        <v>87.125118436390906</v>
      </c>
      <c r="AN6584">
        <v>0.99999997594537904</v>
      </c>
    </row>
    <row r="6585" spans="1:40" x14ac:dyDescent="0.25">
      <c r="A6585" t="str">
        <f>"20190312154737358"</f>
        <v>20190312154737358</v>
      </c>
      <c r="B6585" t="str">
        <f>"1552376857344651"</f>
        <v>1552376857344651</v>
      </c>
      <c r="C6585" t="s">
        <v>40</v>
      </c>
      <c r="D6585">
        <v>5.4843659999999996</v>
      </c>
      <c r="E6585">
        <v>0.5453964</v>
      </c>
      <c r="F6585" t="s">
        <v>41</v>
      </c>
      <c r="G6585">
        <v>-155.10409999999999</v>
      </c>
      <c r="H6585">
        <v>0.88920259999999995</v>
      </c>
      <c r="I6585">
        <v>141.3048</v>
      </c>
      <c r="J6585">
        <v>-155.71430000000001</v>
      </c>
      <c r="K6585">
        <v>1.1118269999999999</v>
      </c>
      <c r="L6585">
        <v>141.3451</v>
      </c>
      <c r="M6585">
        <v>0.99239529999999998</v>
      </c>
      <c r="N6585">
        <v>0</v>
      </c>
      <c r="O6585">
        <v>0.1205155</v>
      </c>
      <c r="P6585">
        <v>0.99751860000000003</v>
      </c>
      <c r="Q6585">
        <v>4.288091E-3</v>
      </c>
      <c r="R6585">
        <v>7.0277049999999994E-2</v>
      </c>
      <c r="S6585">
        <v>3.021271</v>
      </c>
      <c r="T6585">
        <v>-0.95762979999999998</v>
      </c>
      <c r="U6585">
        <v>-0.1262817</v>
      </c>
      <c r="V6585">
        <v>5.0493830000000003E-2</v>
      </c>
      <c r="W6585">
        <v>2.9300610000000001E-2</v>
      </c>
      <c r="X6585">
        <v>0.99829449999999997</v>
      </c>
      <c r="Y6585">
        <v>0.1487291</v>
      </c>
      <c r="Z6585">
        <v>-6.0231920000000001E-2</v>
      </c>
      <c r="AA6585">
        <v>0.98704199999999997</v>
      </c>
      <c r="AB6585">
        <v>9</v>
      </c>
      <c r="AC6585">
        <v>0.61020000000001995</v>
      </c>
      <c r="AD6585">
        <v>-0.2226244</v>
      </c>
      <c r="AE6585">
        <v>-4.0300000000002001E-2</v>
      </c>
      <c r="AF6585">
        <v>0.100277988947879</v>
      </c>
      <c r="AG6585">
        <v>-0.2226244</v>
      </c>
      <c r="AH6585">
        <v>0.53057486377475005</v>
      </c>
      <c r="AI6585">
        <v>112.40595708331399</v>
      </c>
      <c r="AJ6585">
        <v>79.297411351720896</v>
      </c>
      <c r="AK6585">
        <v>0.58406077133495704</v>
      </c>
      <c r="AL6585">
        <v>88.320958452816001</v>
      </c>
      <c r="AM6585">
        <v>87.104441663942197</v>
      </c>
      <c r="AN6585">
        <v>1.00000003067234</v>
      </c>
    </row>
    <row r="6586" spans="1:40" x14ac:dyDescent="0.25">
      <c r="A6586" t="str">
        <f>"20190312154737384"</f>
        <v>20190312154737384</v>
      </c>
      <c r="B6586" t="str">
        <f>"1552376857374906"</f>
        <v>1552376857374906</v>
      </c>
      <c r="C6586" t="s">
        <v>40</v>
      </c>
      <c r="D6586">
        <v>5.4371179999999999</v>
      </c>
      <c r="E6586">
        <v>0.54559690000000005</v>
      </c>
      <c r="F6586" t="s">
        <v>41</v>
      </c>
      <c r="G6586">
        <v>-155.02619999999999</v>
      </c>
      <c r="H6586">
        <v>0.89327369999999995</v>
      </c>
      <c r="I6586">
        <v>141.31639999999999</v>
      </c>
      <c r="J6586">
        <v>-155.61770000000001</v>
      </c>
      <c r="K6586">
        <v>1.1118220000000001</v>
      </c>
      <c r="L6586">
        <v>141.35659999999999</v>
      </c>
      <c r="M6586">
        <v>0.99241570000000001</v>
      </c>
      <c r="N6586">
        <v>0</v>
      </c>
      <c r="O6586">
        <v>0.1202728</v>
      </c>
      <c r="P6586">
        <v>0.99759920000000002</v>
      </c>
      <c r="Q6586">
        <v>2.5085950000000002E-3</v>
      </c>
      <c r="R6586">
        <v>6.9206599999999993E-2</v>
      </c>
      <c r="S6586">
        <v>3.0204620000000002</v>
      </c>
      <c r="T6586">
        <v>-0.95935029999999999</v>
      </c>
      <c r="U6586">
        <v>-0.125946</v>
      </c>
      <c r="V6586">
        <v>5.1322710000000001E-2</v>
      </c>
      <c r="W6586">
        <v>2.787831E-2</v>
      </c>
      <c r="X6586">
        <v>0.99829290000000004</v>
      </c>
      <c r="Y6586">
        <v>0.1483669</v>
      </c>
      <c r="Z6586">
        <v>-6.0219849999999998E-2</v>
      </c>
      <c r="AA6586">
        <v>0.98709720000000001</v>
      </c>
      <c r="AB6586">
        <v>9</v>
      </c>
      <c r="AC6586">
        <v>0.59150000000002401</v>
      </c>
      <c r="AD6586">
        <v>-0.218548299999999</v>
      </c>
      <c r="AE6586">
        <v>-4.0199999999998598E-2</v>
      </c>
      <c r="AF6586">
        <v>9.7784499739108494E-2</v>
      </c>
      <c r="AG6586">
        <v>-0.218548299999999</v>
      </c>
      <c r="AH6586">
        <v>0.51269707376474605</v>
      </c>
      <c r="AI6586">
        <v>112.72023099501401</v>
      </c>
      <c r="AJ6586">
        <v>79.201908354753797</v>
      </c>
      <c r="AK6586">
        <v>0.56584755656364805</v>
      </c>
      <c r="AL6586">
        <v>88.402483467780897</v>
      </c>
      <c r="AM6586">
        <v>87.056987889509301</v>
      </c>
      <c r="AN6586">
        <v>0.99999996746030395</v>
      </c>
    </row>
    <row r="6587" spans="1:40" x14ac:dyDescent="0.25">
      <c r="A6587" t="str">
        <f>"20190312154737418"</f>
        <v>20190312154737418</v>
      </c>
      <c r="B6587" t="str">
        <f>"1552376857405162"</f>
        <v>1552376857405162</v>
      </c>
      <c r="C6587" t="s">
        <v>40</v>
      </c>
      <c r="D6587">
        <v>5.4250860000000003</v>
      </c>
      <c r="E6587">
        <v>0.5456761</v>
      </c>
      <c r="F6587" t="s">
        <v>41</v>
      </c>
      <c r="G6587">
        <v>-154.88550000000001</v>
      </c>
      <c r="H6587">
        <v>0.87752750000000002</v>
      </c>
      <c r="I6587">
        <v>141.3245</v>
      </c>
      <c r="J6587">
        <v>-155.49420000000001</v>
      </c>
      <c r="K6587">
        <v>1.1118319999999999</v>
      </c>
      <c r="L6587">
        <v>141.37110000000001</v>
      </c>
      <c r="M6587">
        <v>0.99244330000000003</v>
      </c>
      <c r="N6587">
        <v>0</v>
      </c>
      <c r="O6587">
        <v>0.119963</v>
      </c>
      <c r="P6587">
        <v>0.99766980000000005</v>
      </c>
      <c r="Q6587">
        <v>1.236352E-3</v>
      </c>
      <c r="R6587">
        <v>6.8218340000000002E-2</v>
      </c>
      <c r="S6587">
        <v>3.0187529999999998</v>
      </c>
      <c r="T6587">
        <v>-0.9659951</v>
      </c>
      <c r="U6587">
        <v>-0.13131709999999999</v>
      </c>
      <c r="V6587">
        <v>5.2001119999999998E-2</v>
      </c>
      <c r="W6587">
        <v>2.6990779999999999E-2</v>
      </c>
      <c r="X6587">
        <v>0.99828220000000001</v>
      </c>
      <c r="Y6587">
        <v>0.1495969</v>
      </c>
      <c r="Z6587">
        <v>-6.0744680000000002E-2</v>
      </c>
      <c r="AA6587">
        <v>0.98687930000000001</v>
      </c>
      <c r="AB6587">
        <v>8</v>
      </c>
      <c r="AC6587">
        <v>0.60869999999999802</v>
      </c>
      <c r="AD6587">
        <v>-0.234304499999999</v>
      </c>
      <c r="AE6587">
        <v>-4.6600000000012097E-2</v>
      </c>
      <c r="AF6587">
        <v>0.103990700059072</v>
      </c>
      <c r="AG6587">
        <v>-0.234304499999999</v>
      </c>
      <c r="AH6587">
        <v>0.52183966120154601</v>
      </c>
      <c r="AI6587">
        <v>113.765765220239</v>
      </c>
      <c r="AJ6587">
        <v>78.729898529922394</v>
      </c>
      <c r="AK6587">
        <v>0.58140286929286</v>
      </c>
      <c r="AL6587">
        <v>88.453354368761197</v>
      </c>
      <c r="AM6587">
        <v>87.018123486650296</v>
      </c>
      <c r="AN6587">
        <v>0.99999998476155105</v>
      </c>
    </row>
    <row r="6588" spans="1:40" x14ac:dyDescent="0.25">
      <c r="A6588" t="str">
        <f>"20190312154737447"</f>
        <v>20190312154737447</v>
      </c>
      <c r="B6588" t="str">
        <f>"1552376857435417"</f>
        <v>1552376857435417</v>
      </c>
      <c r="C6588" t="s">
        <v>40</v>
      </c>
      <c r="D6588">
        <v>5.3917129999999904</v>
      </c>
      <c r="E6588">
        <v>0.5452728</v>
      </c>
      <c r="F6588" t="s">
        <v>41</v>
      </c>
      <c r="G6588">
        <v>-154.8108</v>
      </c>
      <c r="H6588">
        <v>0.8919724</v>
      </c>
      <c r="I6588">
        <v>141.34020000000001</v>
      </c>
      <c r="J6588">
        <v>-155.399</v>
      </c>
      <c r="K6588">
        <v>1.111874</v>
      </c>
      <c r="L6588">
        <v>141.38229999999999</v>
      </c>
      <c r="M6588">
        <v>0.99246239999999997</v>
      </c>
      <c r="N6588">
        <v>0</v>
      </c>
      <c r="O6588">
        <v>0.1197257</v>
      </c>
      <c r="P6588">
        <v>0.99770009999999998</v>
      </c>
      <c r="Q6588">
        <v>2.4656729999999998E-3</v>
      </c>
      <c r="R6588">
        <v>6.7739320000000006E-2</v>
      </c>
      <c r="S6588">
        <v>3.0175320000000001</v>
      </c>
      <c r="T6588">
        <v>-0.97072199999999997</v>
      </c>
      <c r="U6588">
        <v>-0.13636779999999901</v>
      </c>
      <c r="V6588">
        <v>5.2242690000000001E-2</v>
      </c>
      <c r="W6588">
        <v>2.8580890000000001E-2</v>
      </c>
      <c r="X6588">
        <v>0.99822529999999998</v>
      </c>
      <c r="Y6588">
        <v>0.15083849999999999</v>
      </c>
      <c r="Z6588">
        <v>-6.1170919999999997E-2</v>
      </c>
      <c r="AA6588">
        <v>0.98666399999999999</v>
      </c>
      <c r="AB6588">
        <v>8</v>
      </c>
      <c r="AC6588">
        <v>0.58819999999999995</v>
      </c>
      <c r="AD6588">
        <v>-0.2199016</v>
      </c>
      <c r="AE6588">
        <v>-4.2099999999976399E-2</v>
      </c>
      <c r="AF6588">
        <v>9.8541066967529303E-2</v>
      </c>
      <c r="AG6588">
        <v>-0.2199016</v>
      </c>
      <c r="AH6588">
        <v>0.50824924229360002</v>
      </c>
      <c r="AI6588">
        <v>113.013605987432</v>
      </c>
      <c r="AJ6588">
        <v>79.027439407724401</v>
      </c>
      <c r="AK6588">
        <v>0.56248053108856799</v>
      </c>
      <c r="AL6588">
        <v>88.362212531600505</v>
      </c>
      <c r="AM6588">
        <v>87.004125974136898</v>
      </c>
      <c r="AN6588">
        <v>0.99999995774585804</v>
      </c>
    </row>
    <row r="6589" spans="1:40" x14ac:dyDescent="0.25">
      <c r="A6589" t="str">
        <f>"20190312154737468"</f>
        <v>20190312154737468</v>
      </c>
      <c r="B6589" t="str">
        <f>"1552376857454938"</f>
        <v>1552376857454938</v>
      </c>
      <c r="C6589" t="s">
        <v>40</v>
      </c>
      <c r="D6589">
        <v>5.4242350000000004</v>
      </c>
      <c r="E6589">
        <v>0.5450661</v>
      </c>
      <c r="F6589" t="s">
        <v>41</v>
      </c>
      <c r="G6589">
        <v>-154.6841</v>
      </c>
      <c r="H6589">
        <v>0.88327239999999996</v>
      </c>
      <c r="I6589">
        <v>141.3503</v>
      </c>
      <c r="J6589">
        <v>-155.3338</v>
      </c>
      <c r="K6589">
        <v>1.1120920000000001</v>
      </c>
      <c r="L6589">
        <v>141.38999999999999</v>
      </c>
      <c r="M6589">
        <v>0.99245510000000003</v>
      </c>
      <c r="N6589">
        <v>0</v>
      </c>
      <c r="O6589">
        <v>0.1195724</v>
      </c>
      <c r="P6589">
        <v>0.99768710000000005</v>
      </c>
      <c r="Q6589">
        <v>2.555898E-3</v>
      </c>
      <c r="R6589">
        <v>6.7925970000000002E-2</v>
      </c>
      <c r="S6589">
        <v>3.018478</v>
      </c>
      <c r="T6589">
        <v>-0.96518349999999997</v>
      </c>
      <c r="U6589">
        <v>-0.134903</v>
      </c>
      <c r="V6589">
        <v>5.1903959999999999E-2</v>
      </c>
      <c r="W6589">
        <v>2.9630920000000002E-2</v>
      </c>
      <c r="X6589">
        <v>0.9982124</v>
      </c>
      <c r="Y6589">
        <v>0.15038670000000001</v>
      </c>
      <c r="Z6589">
        <v>-6.070362E-2</v>
      </c>
      <c r="AA6589">
        <v>0.98676180000000002</v>
      </c>
      <c r="AB6589">
        <v>8</v>
      </c>
      <c r="AC6589">
        <v>0.64969999999999495</v>
      </c>
      <c r="AD6589">
        <v>-0.22881959999999901</v>
      </c>
      <c r="AE6589">
        <v>-3.9699999999982E-2</v>
      </c>
      <c r="AF6589">
        <v>0.104247055522843</v>
      </c>
      <c r="AG6589">
        <v>-0.22881959999999901</v>
      </c>
      <c r="AH6589">
        <v>0.56986372491563597</v>
      </c>
      <c r="AI6589">
        <v>111.552997225955</v>
      </c>
      <c r="AJ6589">
        <v>79.633318288490102</v>
      </c>
      <c r="AK6589">
        <v>0.62287279833371001</v>
      </c>
      <c r="AL6589">
        <v>88.302024817922899</v>
      </c>
      <c r="AM6589">
        <v>87.023477116968195</v>
      </c>
      <c r="AN6589">
        <v>1.00000000399874</v>
      </c>
    </row>
    <row r="6590" spans="1:40" x14ac:dyDescent="0.25">
      <c r="A6590" t="str">
        <f>"20190312154737492"</f>
        <v>20190312154737492</v>
      </c>
      <c r="B6590" t="str">
        <f>"1552376857485195"</f>
        <v>1552376857485195</v>
      </c>
      <c r="C6590" t="s">
        <v>40</v>
      </c>
      <c r="D6590">
        <v>5.361008</v>
      </c>
      <c r="E6590">
        <v>0.54473509999999903</v>
      </c>
      <c r="F6590" t="s">
        <v>41</v>
      </c>
      <c r="G6590">
        <v>-154.62549999999999</v>
      </c>
      <c r="H6590">
        <v>0.88598429999999995</v>
      </c>
      <c r="I6590">
        <v>141.3588</v>
      </c>
      <c r="J6590">
        <v>-155.26769999999999</v>
      </c>
      <c r="K6590">
        <v>1.1123769999999999</v>
      </c>
      <c r="L6590">
        <v>141.39779999999999</v>
      </c>
      <c r="M6590">
        <v>0.99243530000000002</v>
      </c>
      <c r="N6590">
        <v>0</v>
      </c>
      <c r="O6590">
        <v>0.1194234</v>
      </c>
      <c r="P6590">
        <v>0.9977028</v>
      </c>
      <c r="Q6590">
        <v>5.1159600000000001E-4</v>
      </c>
      <c r="R6590">
        <v>6.7744390000000002E-2</v>
      </c>
      <c r="S6590">
        <v>3.0184630000000001</v>
      </c>
      <c r="T6590">
        <v>-0.96354410000000001</v>
      </c>
      <c r="U6590">
        <v>-0.13244629999999999</v>
      </c>
      <c r="V6590">
        <v>5.193967E-2</v>
      </c>
      <c r="W6590">
        <v>2.8938370000000001E-2</v>
      </c>
      <c r="X6590">
        <v>0.99823090000000003</v>
      </c>
      <c r="Y6590">
        <v>0.1495351</v>
      </c>
      <c r="Z6590">
        <v>-6.0428910000000002E-2</v>
      </c>
      <c r="AA6590">
        <v>0.98690809999999995</v>
      </c>
      <c r="AB6590">
        <v>7</v>
      </c>
      <c r="AC6590">
        <v>0.64220000000000199</v>
      </c>
      <c r="AD6590">
        <v>-0.226392699999999</v>
      </c>
      <c r="AE6590">
        <v>-3.8999999999987198E-2</v>
      </c>
      <c r="AF6590">
        <v>0.102726074480411</v>
      </c>
      <c r="AG6590">
        <v>-0.226392699999999</v>
      </c>
      <c r="AH6590">
        <v>0.56320562982029598</v>
      </c>
      <c r="AI6590">
        <v>111.576200188176</v>
      </c>
      <c r="AJ6590">
        <v>79.663147031143296</v>
      </c>
      <c r="AK6590">
        <v>0.615635348605586</v>
      </c>
      <c r="AL6590">
        <v>88.341722102884503</v>
      </c>
      <c r="AM6590">
        <v>87.021488052963406</v>
      </c>
      <c r="AN6590">
        <v>1.0000000441463801</v>
      </c>
    </row>
    <row r="6591" spans="1:40" x14ac:dyDescent="0.25">
      <c r="A6591" t="str">
        <f>"20190312154737516"</f>
        <v>20190312154737516</v>
      </c>
      <c r="B6591" t="str">
        <f>"1552376857504714"</f>
        <v>1552376857504714</v>
      </c>
      <c r="C6591" t="s">
        <v>40</v>
      </c>
      <c r="D6591">
        <v>5.3489810000000002</v>
      </c>
      <c r="E6591">
        <v>0.54472119999999902</v>
      </c>
      <c r="F6591" t="s">
        <v>41</v>
      </c>
      <c r="G6591">
        <v>-154.5712</v>
      </c>
      <c r="H6591">
        <v>0.88827369999999894</v>
      </c>
      <c r="I6591">
        <v>141.36770000000001</v>
      </c>
      <c r="J6591">
        <v>-155.20339999999999</v>
      </c>
      <c r="K6591">
        <v>1.1125080000000001</v>
      </c>
      <c r="L6591">
        <v>141.40539999999999</v>
      </c>
      <c r="M6591">
        <v>0.99242439999999998</v>
      </c>
      <c r="N6591">
        <v>0</v>
      </c>
      <c r="O6591">
        <v>0.1192777</v>
      </c>
      <c r="P6591">
        <v>0.99774339999999995</v>
      </c>
      <c r="Q6591">
        <v>-9.2886200000000003E-4</v>
      </c>
      <c r="R6591">
        <v>6.7137310000000006E-2</v>
      </c>
      <c r="S6591">
        <v>3.016235</v>
      </c>
      <c r="T6591">
        <v>-0.97040630000000005</v>
      </c>
      <c r="U6591">
        <v>-0.12992860000000001</v>
      </c>
      <c r="V6591">
        <v>5.2403850000000002E-2</v>
      </c>
      <c r="W6591">
        <v>2.8467929999999999E-2</v>
      </c>
      <c r="X6591">
        <v>0.99822010000000005</v>
      </c>
      <c r="Y6591">
        <v>0.1484586</v>
      </c>
      <c r="Z6591">
        <v>-6.0668680000000003E-2</v>
      </c>
      <c r="AA6591">
        <v>0.98705589999999999</v>
      </c>
      <c r="AB6591">
        <v>6</v>
      </c>
      <c r="AC6591">
        <v>0.632199999999983</v>
      </c>
      <c r="AD6591">
        <v>-0.2242343</v>
      </c>
      <c r="AE6591">
        <v>-3.7699999999972499E-2</v>
      </c>
      <c r="AF6591">
        <v>0.100297541838874</v>
      </c>
      <c r="AG6591">
        <v>-0.2242343</v>
      </c>
      <c r="AH6591">
        <v>0.55376494383048802</v>
      </c>
      <c r="AI6591">
        <v>111.724526220991</v>
      </c>
      <c r="AJ6591">
        <v>79.733917608073796</v>
      </c>
      <c r="AK6591">
        <v>0.60580213866492305</v>
      </c>
      <c r="AL6591">
        <v>88.368687329627306</v>
      </c>
      <c r="AM6591">
        <v>86.994885489312395</v>
      </c>
      <c r="AN6591">
        <v>0.99999997728865797</v>
      </c>
    </row>
    <row r="6592" spans="1:40" x14ac:dyDescent="0.25">
      <c r="A6592" t="str">
        <f>"20190312154737538"</f>
        <v>20190312154737538</v>
      </c>
      <c r="B6592" t="str">
        <f>"1552376857525211"</f>
        <v>1552376857525211</v>
      </c>
      <c r="C6592" t="s">
        <v>40</v>
      </c>
      <c r="D6592">
        <v>5.3593799999999998</v>
      </c>
      <c r="E6592">
        <v>0.54465410000000003</v>
      </c>
      <c r="F6592" t="s">
        <v>41</v>
      </c>
      <c r="G6592">
        <v>-154.51840000000001</v>
      </c>
      <c r="H6592">
        <v>0.89122649999999903</v>
      </c>
      <c r="I6592">
        <v>141.37520000000001</v>
      </c>
      <c r="J6592">
        <v>-155.14500000000001</v>
      </c>
      <c r="K6592">
        <v>1.1123459999999901</v>
      </c>
      <c r="L6592">
        <v>141.41220000000001</v>
      </c>
      <c r="M6592">
        <v>0.99244370000000004</v>
      </c>
      <c r="N6592">
        <v>0</v>
      </c>
      <c r="O6592">
        <v>0.1191378</v>
      </c>
      <c r="P6592">
        <v>0.99779870000000004</v>
      </c>
      <c r="Q6592">
        <v>-9.3426000000000002E-4</v>
      </c>
      <c r="R6592">
        <v>6.6312280000000001E-2</v>
      </c>
      <c r="S6592">
        <v>3.0147710000000001</v>
      </c>
      <c r="T6592">
        <v>-0.97394550000000002</v>
      </c>
      <c r="U6592">
        <v>-0.13188169999999999</v>
      </c>
      <c r="V6592">
        <v>5.3088879999999998E-2</v>
      </c>
      <c r="W6592">
        <v>2.8378319999999999E-2</v>
      </c>
      <c r="X6592">
        <v>0.99818649999999998</v>
      </c>
      <c r="Y6592">
        <v>0.14885619999999999</v>
      </c>
      <c r="Z6592">
        <v>-6.0925600000000003E-2</v>
      </c>
      <c r="AA6592">
        <v>0.98698019999999997</v>
      </c>
      <c r="AB6592">
        <v>6</v>
      </c>
      <c r="AC6592">
        <v>0.62659999999999605</v>
      </c>
      <c r="AD6592">
        <v>-0.221119499999999</v>
      </c>
      <c r="AE6592">
        <v>-3.7000000000006097E-2</v>
      </c>
      <c r="AF6592">
        <v>9.9119708327425199E-2</v>
      </c>
      <c r="AG6592">
        <v>-0.221119499999999</v>
      </c>
      <c r="AH6592">
        <v>0.54952843430394105</v>
      </c>
      <c r="AI6592">
        <v>111.603090311793</v>
      </c>
      <c r="AJ6592">
        <v>79.775365770753893</v>
      </c>
      <c r="AK6592">
        <v>0.60058309164320001</v>
      </c>
      <c r="AL6592">
        <v>88.373823754903398</v>
      </c>
      <c r="AM6592">
        <v>86.955573374331294</v>
      </c>
      <c r="AN6592">
        <v>1.0000000235039599</v>
      </c>
    </row>
    <row r="6593" spans="1:40" x14ac:dyDescent="0.25">
      <c r="A6593" t="str">
        <f>"20190312154737559"</f>
        <v>20190312154737559</v>
      </c>
      <c r="B6593" t="str">
        <f>"1552376857544730"</f>
        <v>1552376857544730</v>
      </c>
      <c r="C6593" t="s">
        <v>40</v>
      </c>
      <c r="D6593">
        <v>5.3522639999999999</v>
      </c>
      <c r="E6593">
        <v>0.54460369999999902</v>
      </c>
      <c r="F6593" t="s">
        <v>41</v>
      </c>
      <c r="G6593">
        <v>-154.46639999999999</v>
      </c>
      <c r="H6593">
        <v>0.89328399999999997</v>
      </c>
      <c r="I6593">
        <v>141.3819</v>
      </c>
      <c r="J6593">
        <v>-155.09440000000001</v>
      </c>
      <c r="K6593">
        <v>1.1121460000000001</v>
      </c>
      <c r="L6593">
        <v>141.41810000000001</v>
      </c>
      <c r="M6593">
        <v>0.9924712</v>
      </c>
      <c r="N6593">
        <v>0</v>
      </c>
      <c r="O6593">
        <v>0.1190143</v>
      </c>
      <c r="P6593">
        <v>0.9978667</v>
      </c>
      <c r="Q6593">
        <v>1.12824E-3</v>
      </c>
      <c r="R6593">
        <v>6.5275910000000006E-2</v>
      </c>
      <c r="S6593">
        <v>3.0146329999999999</v>
      </c>
      <c r="T6593">
        <v>-0.97322399999999998</v>
      </c>
      <c r="U6593">
        <v>-0.13421629999999901</v>
      </c>
      <c r="V6593">
        <v>5.4001019999999997E-2</v>
      </c>
      <c r="W6593">
        <v>3.0005069999999998E-2</v>
      </c>
      <c r="X6593">
        <v>0.99809000000000003</v>
      </c>
      <c r="Y6593">
        <v>0.1494896</v>
      </c>
      <c r="Z6593">
        <v>-6.094521E-2</v>
      </c>
      <c r="AA6593">
        <v>0.98688319999999996</v>
      </c>
      <c r="AB6593">
        <v>6</v>
      </c>
      <c r="AC6593">
        <v>0.62800000000001399</v>
      </c>
      <c r="AD6593">
        <v>-0.218861999999999</v>
      </c>
      <c r="AE6593">
        <v>-3.6200000000007997E-2</v>
      </c>
      <c r="AF6593">
        <v>9.8759479671886294E-2</v>
      </c>
      <c r="AG6593">
        <v>-0.218861999999999</v>
      </c>
      <c r="AH6593">
        <v>0.55235732846656105</v>
      </c>
      <c r="AI6593">
        <v>111.308127969531</v>
      </c>
      <c r="AJ6593">
        <v>79.8628394749325</v>
      </c>
      <c r="AK6593">
        <v>0.60228948868445098</v>
      </c>
      <c r="AL6593">
        <v>88.2805781124259</v>
      </c>
      <c r="AM6593">
        <v>86.9030680661172</v>
      </c>
      <c r="AN6593">
        <v>1.0000000312433699</v>
      </c>
    </row>
    <row r="6594" spans="1:40" x14ac:dyDescent="0.25">
      <c r="A6594" t="str">
        <f>"20190312154737585"</f>
        <v>20190312154737585</v>
      </c>
      <c r="B6594" t="str">
        <f>"1552376857574986"</f>
        <v>1552376857574986</v>
      </c>
      <c r="C6594" t="s">
        <v>40</v>
      </c>
      <c r="D6594">
        <v>5.3115129999999997</v>
      </c>
      <c r="E6594">
        <v>0.54424340000000004</v>
      </c>
      <c r="F6594" t="s">
        <v>41</v>
      </c>
      <c r="G6594">
        <v>-154.4162</v>
      </c>
      <c r="H6594">
        <v>0.89480469999999901</v>
      </c>
      <c r="I6594">
        <v>141.3871</v>
      </c>
      <c r="J6594">
        <v>-155.0342</v>
      </c>
      <c r="K6594">
        <v>1.1120509999999999</v>
      </c>
      <c r="L6594">
        <v>141.42519999999999</v>
      </c>
      <c r="M6594">
        <v>0.99249560000000003</v>
      </c>
      <c r="N6594">
        <v>0</v>
      </c>
      <c r="O6594">
        <v>0.1188642</v>
      </c>
      <c r="P6594">
        <v>0.99789810000000001</v>
      </c>
      <c r="Q6594">
        <v>3.179884E-3</v>
      </c>
      <c r="R6594">
        <v>6.4725030000000003E-2</v>
      </c>
      <c r="S6594">
        <v>3.0164789999999999</v>
      </c>
      <c r="T6594">
        <v>-0.96661370000000002</v>
      </c>
      <c r="U6594">
        <v>-0.13723750000000001</v>
      </c>
      <c r="V6594">
        <v>5.4400339999999998E-2</v>
      </c>
      <c r="W6594">
        <v>3.1833819999999999E-2</v>
      </c>
      <c r="X6594">
        <v>0.9980116</v>
      </c>
      <c r="Y6594">
        <v>0.1504549</v>
      </c>
      <c r="Z6594">
        <v>-6.0618940000000003E-2</v>
      </c>
      <c r="AA6594">
        <v>0.98675659999999998</v>
      </c>
      <c r="AB6594">
        <v>6</v>
      </c>
      <c r="AC6594">
        <v>0.617999999999995</v>
      </c>
      <c r="AD6594">
        <v>-0.2172463</v>
      </c>
      <c r="AE6594">
        <v>-3.8099999999985798E-2</v>
      </c>
      <c r="AF6594">
        <v>9.9116190513083902E-2</v>
      </c>
      <c r="AG6594">
        <v>-0.2172463</v>
      </c>
      <c r="AH6594">
        <v>0.54232131121275695</v>
      </c>
      <c r="AI6594">
        <v>111.50735571989399</v>
      </c>
      <c r="AJ6594">
        <v>79.642768560930605</v>
      </c>
      <c r="AK6594">
        <v>0.59256424013016495</v>
      </c>
      <c r="AL6594">
        <v>88.175748213821294</v>
      </c>
      <c r="AM6594">
        <v>86.8799677389013</v>
      </c>
      <c r="AN6594">
        <v>0.99999997141123298</v>
      </c>
    </row>
    <row r="6595" spans="1:40" x14ac:dyDescent="0.25">
      <c r="A6595" t="str">
        <f>"20190312154737632"</f>
        <v>20190312154737632</v>
      </c>
      <c r="B6595" t="str">
        <f>"1552376857624762"</f>
        <v>1552376857624762</v>
      </c>
      <c r="C6595" t="s">
        <v>40</v>
      </c>
      <c r="D6595">
        <v>5.2893889999999999</v>
      </c>
      <c r="E6595">
        <v>0.54396709999999904</v>
      </c>
      <c r="F6595" t="s">
        <v>41</v>
      </c>
      <c r="G6595">
        <v>-154.32910000000001</v>
      </c>
      <c r="H6595">
        <v>0.88764580000000004</v>
      </c>
      <c r="I6595">
        <v>141.39320000000001</v>
      </c>
      <c r="J6595">
        <v>-154.9383</v>
      </c>
      <c r="K6595">
        <v>1.1120939999999999</v>
      </c>
      <c r="L6595">
        <v>141.43629999999999</v>
      </c>
      <c r="M6595">
        <v>0.99252430000000003</v>
      </c>
      <c r="N6595">
        <v>0</v>
      </c>
      <c r="O6595">
        <v>0.118604</v>
      </c>
      <c r="P6595">
        <v>0.99789490000000003</v>
      </c>
      <c r="Q6595">
        <v>3.7599880000000001E-3</v>
      </c>
      <c r="R6595">
        <v>6.474212E-2</v>
      </c>
      <c r="S6595">
        <v>3.0182039999999999</v>
      </c>
      <c r="T6595">
        <v>-0.96054720000000005</v>
      </c>
      <c r="U6595">
        <v>-0.13613889999999901</v>
      </c>
      <c r="V6595">
        <v>5.4120750000000002E-2</v>
      </c>
      <c r="W6595">
        <v>3.2499609999999998E-2</v>
      </c>
      <c r="X6595">
        <v>0.99800540000000004</v>
      </c>
      <c r="Y6595">
        <v>0.15002560000000001</v>
      </c>
      <c r="Z6595">
        <v>-6.007697E-2</v>
      </c>
      <c r="AA6595">
        <v>0.98685509999999999</v>
      </c>
      <c r="AB6595">
        <v>5</v>
      </c>
      <c r="AC6595">
        <v>0.60919999999998697</v>
      </c>
      <c r="AD6595">
        <v>-0.22444819999999999</v>
      </c>
      <c r="AE6595">
        <v>-4.3099999999981202E-2</v>
      </c>
      <c r="AF6595">
        <v>0.101385384645968</v>
      </c>
      <c r="AG6595">
        <v>-0.22444819999999999</v>
      </c>
      <c r="AH6595">
        <v>0.52841229883895202</v>
      </c>
      <c r="AI6595">
        <v>112.6434891278</v>
      </c>
      <c r="AJ6595">
        <v>79.138771740647499</v>
      </c>
      <c r="AK6595">
        <v>0.58298846323689502</v>
      </c>
      <c r="AL6595">
        <v>88.137581612276193</v>
      </c>
      <c r="AM6595">
        <v>86.895952429514907</v>
      </c>
      <c r="AN6595">
        <v>1.00000002932993</v>
      </c>
    </row>
    <row r="6596" spans="1:40" x14ac:dyDescent="0.25">
      <c r="A6596" t="str">
        <f>"20190312154737663"</f>
        <v>20190312154737663</v>
      </c>
      <c r="B6596" t="str">
        <f>"1552376857655018"</f>
        <v>1552376857655018</v>
      </c>
      <c r="C6596" t="s">
        <v>40</v>
      </c>
      <c r="D6596">
        <v>5.2844049999999996</v>
      </c>
      <c r="E6596">
        <v>0.54383049999999999</v>
      </c>
      <c r="F6596" t="s">
        <v>41</v>
      </c>
      <c r="G6596">
        <v>-154.24760000000001</v>
      </c>
      <c r="H6596">
        <v>0.89329919999999996</v>
      </c>
      <c r="I6596">
        <v>141.40530000000001</v>
      </c>
      <c r="J6596">
        <v>-154.8792</v>
      </c>
      <c r="K6596">
        <v>1.112025</v>
      </c>
      <c r="L6596">
        <v>141.44319999999999</v>
      </c>
      <c r="M6596">
        <v>0.99255249999999995</v>
      </c>
      <c r="N6596">
        <v>0</v>
      </c>
      <c r="O6596">
        <v>0.1184481</v>
      </c>
      <c r="P6596">
        <v>0.99785299999999999</v>
      </c>
      <c r="Q6596">
        <v>4.2623490000000003E-3</v>
      </c>
      <c r="R6596">
        <v>6.5353980000000006E-2</v>
      </c>
      <c r="S6596">
        <v>3.0186609999999998</v>
      </c>
      <c r="T6596">
        <v>-0.95616509999999999</v>
      </c>
      <c r="U6596">
        <v>-0.134552</v>
      </c>
      <c r="V6596">
        <v>5.3350059999999998E-2</v>
      </c>
      <c r="W6596">
        <v>3.2671190000000003E-2</v>
      </c>
      <c r="X6596">
        <v>0.99804130000000002</v>
      </c>
      <c r="Y6596">
        <v>0.14949970000000001</v>
      </c>
      <c r="Z6596">
        <v>-5.9677809999999998E-2</v>
      </c>
      <c r="AA6596">
        <v>0.98695920000000004</v>
      </c>
      <c r="AB6596">
        <v>5</v>
      </c>
      <c r="AC6596">
        <v>0.63159999999999095</v>
      </c>
      <c r="AD6596">
        <v>-0.2187258</v>
      </c>
      <c r="AE6596">
        <v>-3.7899999999979103E-2</v>
      </c>
      <c r="AF6596">
        <v>0.100469370308299</v>
      </c>
      <c r="AG6596">
        <v>-0.2187258</v>
      </c>
      <c r="AH6596">
        <v>0.55619569369946698</v>
      </c>
      <c r="AI6596">
        <v>111.155955057261</v>
      </c>
      <c r="AJ6596">
        <v>79.760693286977599</v>
      </c>
      <c r="AK6596">
        <v>0.60604349649642897</v>
      </c>
      <c r="AL6596">
        <v>88.127745591878394</v>
      </c>
      <c r="AM6596">
        <v>86.940179922621496</v>
      </c>
      <c r="AN6596">
        <v>1.0000000360318499</v>
      </c>
    </row>
    <row r="6597" spans="1:40" x14ac:dyDescent="0.25">
      <c r="A6597" t="str">
        <f>"20190312154737697"</f>
        <v>20190312154737697</v>
      </c>
      <c r="B6597" t="str">
        <f>"1552376857685274"</f>
        <v>1552376857685274</v>
      </c>
      <c r="C6597" t="s">
        <v>40</v>
      </c>
      <c r="D6597">
        <v>5.2479779999999998</v>
      </c>
      <c r="E6597">
        <v>0.54381889999999999</v>
      </c>
      <c r="F6597" t="s">
        <v>41</v>
      </c>
      <c r="G6597">
        <v>-154.20840000000001</v>
      </c>
      <c r="H6597">
        <v>0.90009189999999994</v>
      </c>
      <c r="I6597">
        <v>141.41390000000001</v>
      </c>
      <c r="J6597">
        <v>-154.82040000000001</v>
      </c>
      <c r="K6597">
        <v>1.111993</v>
      </c>
      <c r="L6597">
        <v>141.44999999999999</v>
      </c>
      <c r="M6597">
        <v>0.99257989999999996</v>
      </c>
      <c r="N6597">
        <v>0</v>
      </c>
      <c r="O6597">
        <v>0.1183028</v>
      </c>
      <c r="P6597">
        <v>0.99780150000000001</v>
      </c>
      <c r="Q6597">
        <v>6.2253830000000001E-3</v>
      </c>
      <c r="R6597">
        <v>6.5981479999999995E-2</v>
      </c>
      <c r="S6597">
        <v>3.0191349999999999</v>
      </c>
      <c r="T6597">
        <v>-0.95394409999999996</v>
      </c>
      <c r="U6597">
        <v>-0.13150020000000001</v>
      </c>
      <c r="V6597">
        <v>5.257307E-2</v>
      </c>
      <c r="W6597">
        <v>3.4279610000000002E-2</v>
      </c>
      <c r="X6597">
        <v>0.99802860000000004</v>
      </c>
      <c r="Y6597">
        <v>0.1484714</v>
      </c>
      <c r="Z6597">
        <v>-5.9333950000000003E-2</v>
      </c>
      <c r="AA6597">
        <v>0.98713510000000004</v>
      </c>
      <c r="AB6597">
        <v>4</v>
      </c>
      <c r="AC6597">
        <v>0.61199999999999399</v>
      </c>
      <c r="AD6597">
        <v>-0.21190110000000001</v>
      </c>
      <c r="AE6597">
        <v>-3.60999999999762E-2</v>
      </c>
      <c r="AF6597">
        <v>9.6721040918901297E-2</v>
      </c>
      <c r="AG6597">
        <v>-0.21190110000000001</v>
      </c>
      <c r="AH6597">
        <v>0.53902918677455702</v>
      </c>
      <c r="AI6597">
        <v>111.153268790806</v>
      </c>
      <c r="AJ6597">
        <v>79.827350651447503</v>
      </c>
      <c r="AK6597">
        <v>0.587204819575322</v>
      </c>
      <c r="AL6597">
        <v>88.035538262281307</v>
      </c>
      <c r="AM6597">
        <v>86.984621983128207</v>
      </c>
      <c r="AN6597">
        <v>1.0000000528844599</v>
      </c>
    </row>
    <row r="6598" spans="1:40" x14ac:dyDescent="0.25">
      <c r="A6598" t="str">
        <f>"20190312154737731"</f>
        <v>20190312154737731</v>
      </c>
      <c r="B6598" t="str">
        <f>"1552376857725290"</f>
        <v>1552376857725290</v>
      </c>
      <c r="C6598" t="s">
        <v>40</v>
      </c>
      <c r="D6598">
        <v>5.22316</v>
      </c>
      <c r="E6598">
        <v>0.54372390000000004</v>
      </c>
      <c r="F6598" t="s">
        <v>41</v>
      </c>
      <c r="G6598">
        <v>-154.142</v>
      </c>
      <c r="H6598">
        <v>0.89886869999999996</v>
      </c>
      <c r="I6598">
        <v>141.42089999999999</v>
      </c>
      <c r="J6598">
        <v>-154.77109999999999</v>
      </c>
      <c r="K6598">
        <v>1.1119709999999901</v>
      </c>
      <c r="L6598">
        <v>141.45570000000001</v>
      </c>
      <c r="M6598">
        <v>0.99260440000000005</v>
      </c>
      <c r="N6598">
        <v>0</v>
      </c>
      <c r="O6598">
        <v>0.11817850000000001</v>
      </c>
      <c r="P6598">
        <v>0.99786200000000003</v>
      </c>
      <c r="Q6598">
        <v>6.6214050000000003E-3</v>
      </c>
      <c r="R6598">
        <v>6.502368E-2</v>
      </c>
      <c r="S6598">
        <v>3.0210880000000002</v>
      </c>
      <c r="T6598">
        <v>-0.94901380000000002</v>
      </c>
      <c r="U6598">
        <v>-0.1294556</v>
      </c>
      <c r="V6598">
        <v>5.3404350000000003E-2</v>
      </c>
      <c r="W6598">
        <v>3.4332029999999999E-2</v>
      </c>
      <c r="X6598">
        <v>0.99798260000000005</v>
      </c>
      <c r="Y6598">
        <v>0.147835299999999</v>
      </c>
      <c r="Z6598">
        <v>-5.8869640000000001E-2</v>
      </c>
      <c r="AA6598">
        <v>0.98725839999999998</v>
      </c>
      <c r="AB6598">
        <v>4</v>
      </c>
      <c r="AC6598">
        <v>0.629099999999994</v>
      </c>
      <c r="AD6598">
        <v>-0.213102299999999</v>
      </c>
      <c r="AE6598">
        <v>-3.4800000000018302E-2</v>
      </c>
      <c r="AF6598">
        <v>9.7748658840736302E-2</v>
      </c>
      <c r="AG6598">
        <v>-0.213102299999999</v>
      </c>
      <c r="AH6598">
        <v>0.55687028151164797</v>
      </c>
      <c r="AI6598">
        <v>110.652223849717</v>
      </c>
      <c r="AJ6598">
        <v>80.044171126369704</v>
      </c>
      <c r="AK6598">
        <v>0.60421180144160902</v>
      </c>
      <c r="AL6598">
        <v>88.0325329277251</v>
      </c>
      <c r="AM6598">
        <v>86.936892305149797</v>
      </c>
      <c r="AN6598">
        <v>0.99999999139280105</v>
      </c>
    </row>
    <row r="6599" spans="1:40" x14ac:dyDescent="0.25">
      <c r="A6599" t="str">
        <f>"20190312154737765"</f>
        <v>20190312154737765</v>
      </c>
      <c r="B6599" t="str">
        <f>"1552376857754571"</f>
        <v>1552376857754571</v>
      </c>
      <c r="C6599" t="s">
        <v>40</v>
      </c>
      <c r="D6599">
        <v>5.279693</v>
      </c>
      <c r="E6599">
        <v>0.54380280000000003</v>
      </c>
      <c r="F6599" t="s">
        <v>41</v>
      </c>
      <c r="G6599">
        <v>-154.08439999999999</v>
      </c>
      <c r="H6599">
        <v>0.89602299999999901</v>
      </c>
      <c r="I6599">
        <v>141.42590000000001</v>
      </c>
      <c r="J6599">
        <v>-154.72409999999999</v>
      </c>
      <c r="K6599">
        <v>1.1119139999999901</v>
      </c>
      <c r="L6599">
        <v>141.46119999999999</v>
      </c>
      <c r="M6599">
        <v>0.99263170000000001</v>
      </c>
      <c r="N6599">
        <v>0</v>
      </c>
      <c r="O6599">
        <v>0.11806270000000001</v>
      </c>
      <c r="P6599">
        <v>0.99796180000000001</v>
      </c>
      <c r="Q6599">
        <v>7.1388179999999999E-3</v>
      </c>
      <c r="R6599">
        <v>6.3414990000000004E-2</v>
      </c>
      <c r="S6599">
        <v>3.0212859999999999</v>
      </c>
      <c r="T6599">
        <v>-0.95011990000000002</v>
      </c>
      <c r="U6599">
        <v>-0.13117980000000001</v>
      </c>
      <c r="V6599">
        <v>5.4895449999999998E-2</v>
      </c>
      <c r="W6599">
        <v>3.4361570000000001E-2</v>
      </c>
      <c r="X6599">
        <v>0.99790069999999997</v>
      </c>
      <c r="Y6599">
        <v>0.14823720000000001</v>
      </c>
      <c r="Z6599">
        <v>-5.8956849999999998E-2</v>
      </c>
      <c r="AA6599">
        <v>0.98719290000000004</v>
      </c>
      <c r="AB6599">
        <v>3</v>
      </c>
      <c r="AC6599">
        <v>0.63970000000000404</v>
      </c>
      <c r="AD6599">
        <v>-0.215890999999999</v>
      </c>
      <c r="AE6599">
        <v>-3.5299999999978099E-2</v>
      </c>
      <c r="AF6599">
        <v>9.9326932457696193E-2</v>
      </c>
      <c r="AG6599">
        <v>-0.215890999999999</v>
      </c>
      <c r="AH6599">
        <v>0.56670308719391604</v>
      </c>
      <c r="AI6599">
        <v>110.56807630313401</v>
      </c>
      <c r="AJ6599">
        <v>80.058658456383597</v>
      </c>
      <c r="AK6599">
        <v>0.61451375283843002</v>
      </c>
      <c r="AL6599">
        <v>88.030839462579607</v>
      </c>
      <c r="AM6599">
        <v>86.851279292147296</v>
      </c>
      <c r="AN6599">
        <v>1.0000000174920201</v>
      </c>
    </row>
    <row r="6600" spans="1:40" x14ac:dyDescent="0.25">
      <c r="A6600" t="str">
        <f>"20190312154737797"</f>
        <v>20190312154737797</v>
      </c>
      <c r="B6600" t="str">
        <f>"1552376857784826"</f>
        <v>1552376857784826</v>
      </c>
      <c r="C6600" t="s">
        <v>40</v>
      </c>
      <c r="D6600">
        <v>5.2998240000000001</v>
      </c>
      <c r="E6600">
        <v>0.54374339999999999</v>
      </c>
      <c r="F6600" t="s">
        <v>41</v>
      </c>
      <c r="G6600">
        <v>-154.03360000000001</v>
      </c>
      <c r="H6600">
        <v>0.89486829999999995</v>
      </c>
      <c r="I6600">
        <v>141.4299</v>
      </c>
      <c r="J6600">
        <v>-154.6865</v>
      </c>
      <c r="K6600">
        <v>1.11189</v>
      </c>
      <c r="L6600">
        <v>141.46549999999999</v>
      </c>
      <c r="M6600">
        <v>0.99265349999999997</v>
      </c>
      <c r="N6600">
        <v>0</v>
      </c>
      <c r="O6600">
        <v>0.11797299999999999</v>
      </c>
      <c r="P6600">
        <v>0.99801890000000004</v>
      </c>
      <c r="Q6600">
        <v>7.4064200000000004E-3</v>
      </c>
      <c r="R6600">
        <v>6.2477959999999999E-2</v>
      </c>
      <c r="S6600">
        <v>3.0215909999999999</v>
      </c>
      <c r="T6600">
        <v>-0.94967619999999997</v>
      </c>
      <c r="U6600">
        <v>-0.13652039999999999</v>
      </c>
      <c r="V6600">
        <v>5.5741079999999998E-2</v>
      </c>
      <c r="W6600">
        <v>3.422099E-2</v>
      </c>
      <c r="X6600">
        <v>0.99785860000000004</v>
      </c>
      <c r="Y6600">
        <v>0.1498264</v>
      </c>
      <c r="Z6600">
        <v>-5.9139610000000002E-2</v>
      </c>
      <c r="AA6600">
        <v>0.98694210000000004</v>
      </c>
      <c r="AB6600">
        <v>3</v>
      </c>
      <c r="AC6600">
        <v>0.65289999999998805</v>
      </c>
      <c r="AD6600">
        <v>-0.21702170000000001</v>
      </c>
      <c r="AE6600">
        <v>-3.5599999999988002E-2</v>
      </c>
      <c r="AF6600">
        <v>0.101249903820579</v>
      </c>
      <c r="AG6600">
        <v>-0.21702170000000001</v>
      </c>
      <c r="AH6600">
        <v>0.58021910844283298</v>
      </c>
      <c r="AI6600">
        <v>110.22712639591499</v>
      </c>
      <c r="AJ6600">
        <v>80.101393490584101</v>
      </c>
      <c r="AK6600">
        <v>0.62769751879130697</v>
      </c>
      <c r="AL6600">
        <v>88.038898739775505</v>
      </c>
      <c r="AM6600">
        <v>86.802740475882601</v>
      </c>
      <c r="AN6600">
        <v>0.99999996487505205</v>
      </c>
    </row>
    <row r="6601" spans="1:40" x14ac:dyDescent="0.25">
      <c r="A6601" t="str">
        <f>"20190312154737818"</f>
        <v>20190312154737818</v>
      </c>
      <c r="B6601" t="str">
        <f>"1552376857815083"</f>
        <v>1552376857815083</v>
      </c>
      <c r="C6601" t="s">
        <v>40</v>
      </c>
      <c r="D6601">
        <v>5.2973840000000001</v>
      </c>
      <c r="E6601">
        <v>0.54375569999999995</v>
      </c>
      <c r="F6601" t="s">
        <v>41</v>
      </c>
      <c r="G6601">
        <v>-154.0093</v>
      </c>
      <c r="H6601">
        <v>0.89937690000000003</v>
      </c>
      <c r="I6601">
        <v>141.4341</v>
      </c>
      <c r="J6601">
        <v>-154.66299999999899</v>
      </c>
      <c r="K6601">
        <v>1.1118920000000001</v>
      </c>
      <c r="L6601">
        <v>141.4683</v>
      </c>
      <c r="M6601">
        <v>0.99266710000000002</v>
      </c>
      <c r="N6601">
        <v>0</v>
      </c>
      <c r="O6601">
        <v>0.1179162</v>
      </c>
      <c r="P6601">
        <v>0.99803310000000001</v>
      </c>
      <c r="Q6601">
        <v>7.9733730000000006E-3</v>
      </c>
      <c r="R6601">
        <v>6.2182290000000001E-2</v>
      </c>
      <c r="S6601">
        <v>3.0217130000000001</v>
      </c>
      <c r="T6601">
        <v>-0.94823659999999999</v>
      </c>
      <c r="U6601">
        <v>-0.1394196</v>
      </c>
      <c r="V6601">
        <v>5.5978319999999998E-2</v>
      </c>
      <c r="W6601">
        <v>3.4535040000000003E-2</v>
      </c>
      <c r="X6601">
        <v>0.99783460000000002</v>
      </c>
      <c r="Y6601">
        <v>0.15071199999999901</v>
      </c>
      <c r="Z6601">
        <v>-5.9169140000000002E-2</v>
      </c>
      <c r="AA6601">
        <v>0.98680540000000005</v>
      </c>
      <c r="AB6601">
        <v>3</v>
      </c>
      <c r="AC6601">
        <v>0.65369999999998596</v>
      </c>
      <c r="AD6601">
        <v>-0.21251510000000001</v>
      </c>
      <c r="AE6601">
        <v>-3.4199999999998398E-2</v>
      </c>
      <c r="AF6601">
        <v>0.100479892827122</v>
      </c>
      <c r="AG6601">
        <v>-0.21251510000000001</v>
      </c>
      <c r="AH6601">
        <v>0.58359219428799902</v>
      </c>
      <c r="AI6601">
        <v>109.741522083652</v>
      </c>
      <c r="AJ6601">
        <v>80.230889253080605</v>
      </c>
      <c r="AK6601">
        <v>0.62915715510867498</v>
      </c>
      <c r="AL6601">
        <v>88.020894555635095</v>
      </c>
      <c r="AM6601">
        <v>86.789083943392995</v>
      </c>
      <c r="AN6601">
        <v>1.0000000651274801</v>
      </c>
    </row>
    <row r="6602" spans="1:40" x14ac:dyDescent="0.25">
      <c r="A6602" t="str">
        <f>"20190312154737854"</f>
        <v>20190312154737854</v>
      </c>
      <c r="B6602" t="str">
        <f>"1552376857845338"</f>
        <v>1552376857845338</v>
      </c>
      <c r="C6602" t="s">
        <v>40</v>
      </c>
      <c r="D6602">
        <v>5.2919349999999996</v>
      </c>
      <c r="E6602">
        <v>0.54370379999999996</v>
      </c>
      <c r="F6602" t="s">
        <v>41</v>
      </c>
      <c r="G6602">
        <v>-153.98830000000001</v>
      </c>
      <c r="H6602">
        <v>0.90040419999999999</v>
      </c>
      <c r="I6602">
        <v>141.43700000000001</v>
      </c>
      <c r="J6602">
        <v>-154.6301</v>
      </c>
      <c r="K6602">
        <v>1.1119190000000001</v>
      </c>
      <c r="L6602">
        <v>141.47210000000001</v>
      </c>
      <c r="M6602">
        <v>0.99269010000000002</v>
      </c>
      <c r="N6602">
        <v>0</v>
      </c>
      <c r="O6602">
        <v>0.11783339999999901</v>
      </c>
      <c r="P6602">
        <v>0.99809429999999999</v>
      </c>
      <c r="Q6602">
        <v>8.7656230000000002E-3</v>
      </c>
      <c r="R6602">
        <v>6.1083659999999998E-2</v>
      </c>
      <c r="S6602">
        <v>3.0221710000000002</v>
      </c>
      <c r="T6602">
        <v>-0.94725680000000001</v>
      </c>
      <c r="U6602">
        <v>-0.13955689999999901</v>
      </c>
      <c r="V6602">
        <v>5.699166E-2</v>
      </c>
      <c r="W6602">
        <v>3.4830979999999997E-2</v>
      </c>
      <c r="X6602">
        <v>0.99776690000000001</v>
      </c>
      <c r="Y6602">
        <v>0.15070049999999999</v>
      </c>
      <c r="Z6602">
        <v>-5.9074769999999999E-2</v>
      </c>
      <c r="AA6602">
        <v>0.98681280000000005</v>
      </c>
      <c r="AB6602">
        <v>3</v>
      </c>
      <c r="AC6602">
        <v>0.64179999999998905</v>
      </c>
      <c r="AD6602">
        <v>-0.2115148</v>
      </c>
      <c r="AE6602">
        <v>-3.5099999999999902E-2</v>
      </c>
      <c r="AF6602">
        <v>9.9709146972790694E-2</v>
      </c>
      <c r="AG6602">
        <v>-0.2115148</v>
      </c>
      <c r="AH6602">
        <v>0.57132056337380099</v>
      </c>
      <c r="AI6602">
        <v>110.03733153153399</v>
      </c>
      <c r="AJ6602">
        <v>80.100219305929102</v>
      </c>
      <c r="AK6602">
        <v>0.61732293877907995</v>
      </c>
      <c r="AL6602">
        <v>88.003928139240401</v>
      </c>
      <c r="AM6602">
        <v>86.730862383977097</v>
      </c>
      <c r="AN6602">
        <v>1.00000001660646</v>
      </c>
    </row>
    <row r="6603" spans="1:40" x14ac:dyDescent="0.25">
      <c r="A6603" t="str">
        <f>"20190312154737882"</f>
        <v>20190312154737882</v>
      </c>
      <c r="B6603" t="str">
        <f>"1552376857874618"</f>
        <v>1552376857874618</v>
      </c>
      <c r="C6603" t="s">
        <v>40</v>
      </c>
      <c r="D6603">
        <v>5.3174769999999896</v>
      </c>
      <c r="E6603">
        <v>0.54361569999999904</v>
      </c>
      <c r="F6603" t="s">
        <v>41</v>
      </c>
      <c r="G6603">
        <v>-153.952</v>
      </c>
      <c r="H6603">
        <v>0.89993809999999996</v>
      </c>
      <c r="I6603">
        <v>141.43960000000001</v>
      </c>
      <c r="J6603">
        <v>-154.60679999999999</v>
      </c>
      <c r="K6603">
        <v>1.1118669999999999</v>
      </c>
      <c r="L6603">
        <v>141.47479999999999</v>
      </c>
      <c r="M6603">
        <v>0.99271339999999997</v>
      </c>
      <c r="N6603">
        <v>0</v>
      </c>
      <c r="O6603">
        <v>0.11777459999999999</v>
      </c>
      <c r="P6603">
        <v>0.99811729999999999</v>
      </c>
      <c r="Q6603">
        <v>1.23547E-2</v>
      </c>
      <c r="R6603">
        <v>6.0078079999999999E-2</v>
      </c>
      <c r="S6603">
        <v>3.0228579999999998</v>
      </c>
      <c r="T6603">
        <v>-0.94489429999999996</v>
      </c>
      <c r="U6603">
        <v>-0.14427190000000001</v>
      </c>
      <c r="V6603">
        <v>5.7932129999999998E-2</v>
      </c>
      <c r="W6603">
        <v>3.7788750000000003E-2</v>
      </c>
      <c r="X6603">
        <v>0.99760510000000002</v>
      </c>
      <c r="Y6603">
        <v>0.15216740000000001</v>
      </c>
      <c r="Z6603">
        <v>-5.9125520000000001E-2</v>
      </c>
      <c r="AA6603">
        <v>0.98658469999999998</v>
      </c>
      <c r="AB6603">
        <v>2</v>
      </c>
      <c r="AC6603">
        <v>0.65479999999999405</v>
      </c>
      <c r="AD6603">
        <v>-0.2119289</v>
      </c>
      <c r="AE6603">
        <v>-3.51999999999748E-2</v>
      </c>
      <c r="AF6603">
        <v>0.101497290312207</v>
      </c>
      <c r="AG6603">
        <v>-0.2119289</v>
      </c>
      <c r="AH6603">
        <v>0.58499040035532301</v>
      </c>
      <c r="AI6603">
        <v>109.64376074751</v>
      </c>
      <c r="AJ6603">
        <v>80.157027110565494</v>
      </c>
      <c r="AK6603">
        <v>0.63041996090210495</v>
      </c>
      <c r="AL6603">
        <v>87.834348543514395</v>
      </c>
      <c r="AM6603">
        <v>86.676497614217794</v>
      </c>
      <c r="AN6603">
        <v>1.0000000284294499</v>
      </c>
    </row>
    <row r="6604" spans="1:40" x14ac:dyDescent="0.25">
      <c r="A6604" t="str">
        <f>"20190312154737904"</f>
        <v>20190312154737904</v>
      </c>
      <c r="B6604" t="str">
        <f>"1552376857894946"</f>
        <v>1552376857894946</v>
      </c>
      <c r="C6604" t="s">
        <v>40</v>
      </c>
      <c r="D6604">
        <v>5.3087090000000003</v>
      </c>
      <c r="E6604">
        <v>0.54357009999999994</v>
      </c>
      <c r="F6604" t="s">
        <v>41</v>
      </c>
      <c r="G6604">
        <v>-153.93379999999999</v>
      </c>
      <c r="H6604">
        <v>0.90410020000000002</v>
      </c>
      <c r="I6604">
        <v>141.4418</v>
      </c>
      <c r="J6604">
        <v>-154.5898</v>
      </c>
      <c r="K6604">
        <v>1.1118110000000001</v>
      </c>
      <c r="L6604">
        <v>141.47669999999999</v>
      </c>
      <c r="M6604">
        <v>0.99273469999999997</v>
      </c>
      <c r="N6604">
        <v>0</v>
      </c>
      <c r="O6604">
        <v>0.11773119999999999</v>
      </c>
      <c r="P6604">
        <v>0.99808509999999995</v>
      </c>
      <c r="Q6604">
        <v>1.6412949999999999E-2</v>
      </c>
      <c r="R6604">
        <v>5.9640350000000002E-2</v>
      </c>
      <c r="S6604">
        <v>3.0260929999999999</v>
      </c>
      <c r="T6604">
        <v>-0.93410070000000001</v>
      </c>
      <c r="U6604">
        <v>-0.14720150000000001</v>
      </c>
      <c r="V6604">
        <v>5.8317790000000001E-2</v>
      </c>
      <c r="W6604">
        <v>4.120596E-2</v>
      </c>
      <c r="X6604">
        <v>0.99744730000000004</v>
      </c>
      <c r="Y6604">
        <v>0.15328729999999999</v>
      </c>
      <c r="Z6604">
        <v>-5.8575149999999999E-2</v>
      </c>
      <c r="AA6604">
        <v>0.98644410000000005</v>
      </c>
      <c r="AB6604">
        <v>2</v>
      </c>
      <c r="AC6604">
        <v>0.65600000000000502</v>
      </c>
      <c r="AD6604">
        <v>-0.2077108</v>
      </c>
      <c r="AE6604">
        <v>-3.48999999999932E-2</v>
      </c>
      <c r="AF6604">
        <v>0.101741262943626</v>
      </c>
      <c r="AG6604">
        <v>-0.2077108</v>
      </c>
      <c r="AH6604">
        <v>0.58849162277882305</v>
      </c>
      <c r="AI6604">
        <v>109.17742793990401</v>
      </c>
      <c r="AJ6604">
        <v>80.191386782785301</v>
      </c>
      <c r="AK6604">
        <v>0.63231119798945301</v>
      </c>
      <c r="AL6604">
        <v>87.638403789031003</v>
      </c>
      <c r="AM6604">
        <v>86.6538947355766</v>
      </c>
      <c r="AN6604">
        <v>1.00000000602364</v>
      </c>
    </row>
    <row r="6605" spans="1:40" x14ac:dyDescent="0.25">
      <c r="A6605" t="str">
        <f>"20190312154737925"</f>
        <v>20190312154737925</v>
      </c>
      <c r="B6605" t="str">
        <f>"1552376857915441"</f>
        <v>1552376857915441</v>
      </c>
      <c r="C6605" t="s">
        <v>40</v>
      </c>
      <c r="D6605">
        <v>5.3060859999999996</v>
      </c>
      <c r="E6605">
        <v>0.54358589999999996</v>
      </c>
      <c r="F6605" t="s">
        <v>41</v>
      </c>
      <c r="G6605">
        <v>-153.90360000000001</v>
      </c>
      <c r="H6605">
        <v>0.90278460000000005</v>
      </c>
      <c r="I6605">
        <v>141.44280000000001</v>
      </c>
      <c r="J6605">
        <v>-154.57409999999999</v>
      </c>
      <c r="K6605">
        <v>1.111718</v>
      </c>
      <c r="L6605">
        <v>141.4786</v>
      </c>
      <c r="M6605">
        <v>0.99275919999999895</v>
      </c>
      <c r="N6605">
        <v>0</v>
      </c>
      <c r="O6605">
        <v>0.1176912</v>
      </c>
      <c r="P6605">
        <v>0.9980388</v>
      </c>
      <c r="Q6605">
        <v>1.9742409999999998E-2</v>
      </c>
      <c r="R6605">
        <v>5.9405180000000002E-2</v>
      </c>
      <c r="S6605">
        <v>3.0298310000000002</v>
      </c>
      <c r="T6605">
        <v>-0.92299799999999999</v>
      </c>
      <c r="U6605">
        <v>-0.14872739999999901</v>
      </c>
      <c r="V6605">
        <v>5.8503529999999998E-2</v>
      </c>
      <c r="W6605">
        <v>4.3729009999999999E-2</v>
      </c>
      <c r="X6605">
        <v>0.99732900000000002</v>
      </c>
      <c r="Y6605">
        <v>0.15397359999999999</v>
      </c>
      <c r="Z6605">
        <v>-5.7930280000000001E-2</v>
      </c>
      <c r="AA6605">
        <v>0.98637529999999995</v>
      </c>
      <c r="AB6605">
        <v>2</v>
      </c>
      <c r="AC6605">
        <v>0.670499999999975</v>
      </c>
      <c r="AD6605">
        <v>-0.20893339999999999</v>
      </c>
      <c r="AE6605">
        <v>-3.5799999999994697E-2</v>
      </c>
      <c r="AF6605">
        <v>0.10437941244323699</v>
      </c>
      <c r="AG6605">
        <v>-0.20893339999999999</v>
      </c>
      <c r="AH6605">
        <v>0.60321717710642597</v>
      </c>
      <c r="AI6605">
        <v>108.84442937110001</v>
      </c>
      <c r="AJ6605">
        <v>80.182872152952498</v>
      </c>
      <c r="AK6605">
        <v>0.64685329877322295</v>
      </c>
      <c r="AL6605">
        <v>87.493713116455197</v>
      </c>
      <c r="AM6605">
        <v>86.642864590137805</v>
      </c>
      <c r="AN6605">
        <v>1.00000001178952</v>
      </c>
    </row>
    <row r="6606" spans="1:40" x14ac:dyDescent="0.25">
      <c r="A6606" t="str">
        <f>"20190312154737948"</f>
        <v>20190312154737948</v>
      </c>
      <c r="B6606" t="str">
        <f>"1552376857944721"</f>
        <v>1552376857944721</v>
      </c>
      <c r="C6606" t="s">
        <v>40</v>
      </c>
      <c r="D6606">
        <v>5.341107</v>
      </c>
      <c r="E6606">
        <v>0.54358019999999996</v>
      </c>
      <c r="F6606" t="s">
        <v>41</v>
      </c>
      <c r="G6606">
        <v>-153.88759999999999</v>
      </c>
      <c r="H6606">
        <v>0.90489339999999996</v>
      </c>
      <c r="I6606">
        <v>141.44460000000001</v>
      </c>
      <c r="J6606">
        <v>-154.5565</v>
      </c>
      <c r="K6606">
        <v>1.1115459999999999</v>
      </c>
      <c r="L6606">
        <v>141.48060000000001</v>
      </c>
      <c r="M6606">
        <v>0.99279220000000001</v>
      </c>
      <c r="N6606">
        <v>0</v>
      </c>
      <c r="O6606">
        <v>0.11764670000000001</v>
      </c>
      <c r="P6606">
        <v>0.99792650000000005</v>
      </c>
      <c r="Q6606">
        <v>2.392847E-2</v>
      </c>
      <c r="R6606">
        <v>5.9748959999999997E-2</v>
      </c>
      <c r="S6606">
        <v>3.0329130000000002</v>
      </c>
      <c r="T6606">
        <v>-0.91374639999999996</v>
      </c>
      <c r="U6606">
        <v>-0.15000920000000001</v>
      </c>
      <c r="V6606">
        <v>5.8101399999999997E-2</v>
      </c>
      <c r="W6606">
        <v>4.6743350000000003E-2</v>
      </c>
      <c r="X6606">
        <v>0.99721570000000004</v>
      </c>
      <c r="Y6606">
        <v>0.15453439999999999</v>
      </c>
      <c r="Z6606">
        <v>-5.7386899999999998E-2</v>
      </c>
      <c r="AA6606">
        <v>0.98631939999999996</v>
      </c>
      <c r="AB6606">
        <v>2</v>
      </c>
      <c r="AC6606">
        <v>0.66890000000000704</v>
      </c>
      <c r="AD6606">
        <v>-0.20665259999999899</v>
      </c>
      <c r="AE6606">
        <v>-3.6000000000001302E-2</v>
      </c>
      <c r="AF6606">
        <v>0.104517340244745</v>
      </c>
      <c r="AG6606">
        <v>-0.20665259999999899</v>
      </c>
      <c r="AH6606">
        <v>0.60266040011625499</v>
      </c>
      <c r="AI6606">
        <v>108.66791960250001</v>
      </c>
      <c r="AJ6606">
        <v>80.161248559122896</v>
      </c>
      <c r="AK6606">
        <v>0.64562274539151798</v>
      </c>
      <c r="AL6606">
        <v>87.320826901075705</v>
      </c>
      <c r="AM6606">
        <v>86.665510012057894</v>
      </c>
      <c r="AN6606">
        <v>0.99999993288883304</v>
      </c>
    </row>
    <row r="6607" spans="1:40" x14ac:dyDescent="0.25">
      <c r="A6607" t="str">
        <f>"20190312154737970"</f>
        <v>20190312154737970</v>
      </c>
      <c r="B6607" t="str">
        <f>"1552376857965217"</f>
        <v>1552376857965217</v>
      </c>
      <c r="C6607" t="s">
        <v>40</v>
      </c>
      <c r="D6607">
        <v>5.3354520000000001</v>
      </c>
      <c r="E6607">
        <v>0.54360909999999996</v>
      </c>
      <c r="F6607" t="s">
        <v>41</v>
      </c>
      <c r="G6607">
        <v>-153.87100000000001</v>
      </c>
      <c r="H6607">
        <v>0.90793630000000003</v>
      </c>
      <c r="I6607">
        <v>141.44649999999999</v>
      </c>
      <c r="J6607">
        <v>-154.54</v>
      </c>
      <c r="K6607">
        <v>1.111391</v>
      </c>
      <c r="L6607">
        <v>141.48249999999999</v>
      </c>
      <c r="M6607">
        <v>0.99282320000000002</v>
      </c>
      <c r="N6607">
        <v>0</v>
      </c>
      <c r="O6607">
        <v>0.117605399999999</v>
      </c>
      <c r="P6607">
        <v>0.99779269999999998</v>
      </c>
      <c r="Q6607">
        <v>2.917807E-2</v>
      </c>
      <c r="R6607">
        <v>5.965633E-2</v>
      </c>
      <c r="S6607">
        <v>3.0368499999999998</v>
      </c>
      <c r="T6607">
        <v>-0.90201450000000005</v>
      </c>
      <c r="U6607">
        <v>-0.15016170000000001</v>
      </c>
      <c r="V6607">
        <v>5.8133249999999997E-2</v>
      </c>
      <c r="W6607">
        <v>5.0830210000000001E-2</v>
      </c>
      <c r="X6607">
        <v>0.99701390000000001</v>
      </c>
      <c r="Y6607">
        <v>0.1547982</v>
      </c>
      <c r="Z6607">
        <v>-5.6635909999999998E-2</v>
      </c>
      <c r="AA6607">
        <v>0.98632140000000001</v>
      </c>
      <c r="AB6607">
        <v>2</v>
      </c>
      <c r="AC6607">
        <v>0.66899999999998205</v>
      </c>
      <c r="AD6607">
        <v>-0.20345469999999899</v>
      </c>
      <c r="AE6607">
        <v>-3.6000000000001302E-2</v>
      </c>
      <c r="AF6607">
        <v>0.104783427203262</v>
      </c>
      <c r="AG6607">
        <v>-0.20345469999999899</v>
      </c>
      <c r="AH6607">
        <v>0.60438384623431296</v>
      </c>
      <c r="AI6607">
        <v>108.349838212313</v>
      </c>
      <c r="AJ6607">
        <v>80.164267653304407</v>
      </c>
      <c r="AK6607">
        <v>0.64626094973898396</v>
      </c>
      <c r="AL6607">
        <v>87.086387777458995</v>
      </c>
      <c r="AM6607">
        <v>86.663012482064602</v>
      </c>
      <c r="AN6607">
        <v>0.99999995089870697</v>
      </c>
    </row>
    <row r="6608" spans="1:40" x14ac:dyDescent="0.25">
      <c r="A6608" t="str">
        <f>"20190312154737997"</f>
        <v>20190312154737997</v>
      </c>
      <c r="B6608" t="str">
        <f>"1552376857995006"</f>
        <v>1552376857995006</v>
      </c>
      <c r="C6608" t="s">
        <v>40</v>
      </c>
      <c r="D6608">
        <v>5.308306</v>
      </c>
      <c r="E6608">
        <v>0.54363839999999997</v>
      </c>
      <c r="F6608" t="s">
        <v>41</v>
      </c>
      <c r="G6608">
        <v>-153.85399999999899</v>
      </c>
      <c r="H6608">
        <v>0.91150299999999995</v>
      </c>
      <c r="I6608">
        <v>141.44820000000001</v>
      </c>
      <c r="J6608">
        <v>-154.51900000000001</v>
      </c>
      <c r="K6608">
        <v>1.111237</v>
      </c>
      <c r="L6608">
        <v>141.48500000000001</v>
      </c>
      <c r="M6608">
        <v>0.99285809999999997</v>
      </c>
      <c r="N6608">
        <v>0</v>
      </c>
      <c r="O6608">
        <v>0.1175544</v>
      </c>
      <c r="P6608">
        <v>0.99767530000000004</v>
      </c>
      <c r="Q6608">
        <v>3.4609870000000001E-2</v>
      </c>
      <c r="R6608">
        <v>5.8704239999999998E-2</v>
      </c>
      <c r="S6608">
        <v>3.0416560000000001</v>
      </c>
      <c r="T6608">
        <v>-0.88641239999999999</v>
      </c>
      <c r="U6608">
        <v>-0.1515503</v>
      </c>
      <c r="V6608">
        <v>5.9010739999999999E-2</v>
      </c>
      <c r="W6608">
        <v>5.490337E-2</v>
      </c>
      <c r="X6608">
        <v>0.99674640000000003</v>
      </c>
      <c r="Y6608">
        <v>0.1555185</v>
      </c>
      <c r="Z6608">
        <v>-5.5698310000000001E-2</v>
      </c>
      <c r="AA6608">
        <v>0.98626150000000001</v>
      </c>
      <c r="AB6608">
        <v>2</v>
      </c>
      <c r="AC6608">
        <v>0.66500000000002002</v>
      </c>
      <c r="AD6608">
        <v>-0.19973399999999999</v>
      </c>
      <c r="AE6608">
        <v>-3.67999999999995E-2</v>
      </c>
      <c r="AF6608">
        <v>0.105267290601381</v>
      </c>
      <c r="AG6608">
        <v>-0.19973399999999999</v>
      </c>
      <c r="AH6608">
        <v>0.60192568240128697</v>
      </c>
      <c r="AI6608">
        <v>108.100714118922</v>
      </c>
      <c r="AJ6608">
        <v>80.080192392892698</v>
      </c>
      <c r="AK6608">
        <v>0.64287588254717698</v>
      </c>
      <c r="AL6608">
        <v>86.852686117937097</v>
      </c>
      <c r="AM6608">
        <v>86.611851942499996</v>
      </c>
      <c r="AN6608">
        <v>1.00000001669283</v>
      </c>
    </row>
    <row r="6609" spans="1:40" x14ac:dyDescent="0.25">
      <c r="A6609" t="str">
        <f>"20190312154738022"</f>
        <v>20190312154738022</v>
      </c>
      <c r="B6609" t="str">
        <f>"1552376858014526"</f>
        <v>1552376858014526</v>
      </c>
      <c r="C6609" t="s">
        <v>40</v>
      </c>
      <c r="D6609">
        <v>5.3855979999999999</v>
      </c>
      <c r="E6609">
        <v>0.5437052</v>
      </c>
      <c r="F6609" t="s">
        <v>41</v>
      </c>
      <c r="G6609">
        <v>-153.83670000000001</v>
      </c>
      <c r="H6609">
        <v>0.91616850000000005</v>
      </c>
      <c r="I6609">
        <v>141.45009999999999</v>
      </c>
      <c r="J6609">
        <v>-154.5008</v>
      </c>
      <c r="K6609">
        <v>1.111137</v>
      </c>
      <c r="L6609">
        <v>141.4871</v>
      </c>
      <c r="M6609">
        <v>0.99288399999999999</v>
      </c>
      <c r="N6609">
        <v>0</v>
      </c>
      <c r="O6609">
        <v>0.1175108</v>
      </c>
      <c r="P6609">
        <v>0.99765110000000001</v>
      </c>
      <c r="Q6609">
        <v>3.79409E-2</v>
      </c>
      <c r="R6609">
        <v>5.7037160000000003E-2</v>
      </c>
      <c r="S6609">
        <v>3.0463260000000001</v>
      </c>
      <c r="T6609">
        <v>-0.87107129999999999</v>
      </c>
      <c r="U6609">
        <v>-0.15518189999999901</v>
      </c>
      <c r="V6609">
        <v>6.0617190000000001E-2</v>
      </c>
      <c r="W6609">
        <v>5.7190020000000001E-2</v>
      </c>
      <c r="X6609">
        <v>0.9965214</v>
      </c>
      <c r="Y6609">
        <v>0.1569304</v>
      </c>
      <c r="Z6609">
        <v>-5.4875210000000001E-2</v>
      </c>
      <c r="AA6609">
        <v>0.98608390000000001</v>
      </c>
      <c r="AB6609">
        <v>2</v>
      </c>
      <c r="AC6609">
        <v>0.66409999999999003</v>
      </c>
      <c r="AD6609">
        <v>-0.19496849999999999</v>
      </c>
      <c r="AE6609">
        <v>-3.7000000000006097E-2</v>
      </c>
      <c r="AF6609">
        <v>0.105713647773811</v>
      </c>
      <c r="AG6609">
        <v>-0.19496849999999999</v>
      </c>
      <c r="AH6609">
        <v>0.60330948514154703</v>
      </c>
      <c r="AI6609">
        <v>107.657068744919</v>
      </c>
      <c r="AJ6609">
        <v>80.061362291193603</v>
      </c>
      <c r="AK6609">
        <v>0.64278334310998897</v>
      </c>
      <c r="AL6609">
        <v>86.721464451421497</v>
      </c>
      <c r="AM6609">
        <v>86.519056216162596</v>
      </c>
      <c r="AN6609">
        <v>1.0000000213845199</v>
      </c>
    </row>
    <row r="6610" spans="1:40" x14ac:dyDescent="0.25">
      <c r="A6610" t="str">
        <f>"20190312154738041"</f>
        <v>20190312154738041</v>
      </c>
      <c r="B6610" t="str">
        <f>"1552376858035021"</f>
        <v>1552376858035021</v>
      </c>
      <c r="C6610" t="s">
        <v>40</v>
      </c>
      <c r="D6610">
        <v>5.5419859999999996</v>
      </c>
      <c r="E6610">
        <v>0.5437052</v>
      </c>
      <c r="F6610" t="s">
        <v>41</v>
      </c>
      <c r="G6610">
        <v>-153.82919999999999</v>
      </c>
      <c r="H6610">
        <v>0.89970169999999905</v>
      </c>
      <c r="I6610">
        <v>141.45160000000001</v>
      </c>
      <c r="J6610">
        <v>-154.4855</v>
      </c>
      <c r="K6610">
        <v>1.1110660000000001</v>
      </c>
      <c r="L6610">
        <v>141.4888</v>
      </c>
      <c r="M6610">
        <v>0.99290389999999995</v>
      </c>
      <c r="N6610">
        <v>0</v>
      </c>
      <c r="O6610">
        <v>0.11747340000000001</v>
      </c>
      <c r="P6610">
        <v>0.99768140000000005</v>
      </c>
      <c r="Q6610">
        <v>3.8769230000000002E-2</v>
      </c>
      <c r="R6610">
        <v>5.593716E-2</v>
      </c>
      <c r="S6610">
        <v>3.0527799999999998</v>
      </c>
      <c r="T6610">
        <v>-0.96103179999999999</v>
      </c>
      <c r="U6610">
        <v>-0.1602478</v>
      </c>
      <c r="V6610">
        <v>6.167367E-2</v>
      </c>
      <c r="W6610">
        <v>5.719954E-2</v>
      </c>
      <c r="X6610">
        <v>0.99645600000000001</v>
      </c>
      <c r="Y6610">
        <v>0.15618319999999999</v>
      </c>
      <c r="Z6610">
        <v>-6.004147E-2</v>
      </c>
      <c r="AA6610">
        <v>0.98590149999999999</v>
      </c>
      <c r="AB6610">
        <v>2</v>
      </c>
      <c r="AC6610">
        <v>0.65630000000001498</v>
      </c>
      <c r="AD6610">
        <v>-0.21136429999999901</v>
      </c>
      <c r="AE6610">
        <v>-3.7199999999984301E-2</v>
      </c>
      <c r="AF6610">
        <v>0.103366567169347</v>
      </c>
      <c r="AG6610">
        <v>-0.21136429999999901</v>
      </c>
      <c r="AH6610">
        <v>0.58672392802572904</v>
      </c>
      <c r="AI6610">
        <v>109.533724916612</v>
      </c>
      <c r="AJ6610">
        <v>80.008400116534602</v>
      </c>
      <c r="AK6610">
        <v>0.632142770456806</v>
      </c>
      <c r="AL6610">
        <v>86.720918012813996</v>
      </c>
      <c r="AM6610">
        <v>86.458309066697893</v>
      </c>
      <c r="AN6610">
        <v>0.99999999444174004</v>
      </c>
    </row>
    <row r="6611" spans="1:40" x14ac:dyDescent="0.25">
      <c r="A6611" t="str">
        <f>"20190312154738066"</f>
        <v>20190312154738066</v>
      </c>
      <c r="B6611" t="str">
        <f>"1552376858054542"</f>
        <v>1552376858054542</v>
      </c>
      <c r="C6611" t="s">
        <v>40</v>
      </c>
      <c r="D6611">
        <v>5.3824920000000001</v>
      </c>
      <c r="E6611">
        <v>0.54476859999999905</v>
      </c>
      <c r="F6611" t="s">
        <v>41</v>
      </c>
      <c r="G6611">
        <v>-153.81370000000001</v>
      </c>
      <c r="H6611">
        <v>0.90028969999999897</v>
      </c>
      <c r="I6611">
        <v>141.4522</v>
      </c>
      <c r="J6611">
        <v>-154.46780000000001</v>
      </c>
      <c r="K6611">
        <v>1.1109979999999999</v>
      </c>
      <c r="L6611">
        <v>141.49090000000001</v>
      </c>
      <c r="M6611">
        <v>0.99292499999999995</v>
      </c>
      <c r="N6611">
        <v>0</v>
      </c>
      <c r="O6611">
        <v>0.1174298</v>
      </c>
      <c r="P6611">
        <v>0.99771909999999997</v>
      </c>
      <c r="Q6611">
        <v>3.8551439999999999E-2</v>
      </c>
      <c r="R6611">
        <v>5.5414640000000001E-2</v>
      </c>
      <c r="S6611">
        <v>3.0534669999999999</v>
      </c>
      <c r="T6611">
        <v>-0.95799489999999998</v>
      </c>
      <c r="U6611">
        <v>-0.16540529999999901</v>
      </c>
      <c r="V6611">
        <v>6.2151440000000002E-2</v>
      </c>
      <c r="W6611">
        <v>5.6114570000000003E-2</v>
      </c>
      <c r="X6611">
        <v>0.99648800000000004</v>
      </c>
      <c r="Y6611">
        <v>0.15779960000000001</v>
      </c>
      <c r="Z6611">
        <v>-6.0079569999999999E-2</v>
      </c>
      <c r="AA6611">
        <v>0.98564180000000001</v>
      </c>
      <c r="AB6611">
        <v>2</v>
      </c>
      <c r="AC6611">
        <v>0.65409999999999902</v>
      </c>
      <c r="AD6611">
        <v>-0.21070829999999999</v>
      </c>
      <c r="AE6611">
        <v>-3.8700000000005702E-2</v>
      </c>
      <c r="AF6611">
        <v>0.104453498288662</v>
      </c>
      <c r="AG6611">
        <v>-0.21070829999999999</v>
      </c>
      <c r="AH6611">
        <v>0.58457733213423202</v>
      </c>
      <c r="AI6611">
        <v>109.53599520013201</v>
      </c>
      <c r="AJ6611">
        <v>79.869184076173696</v>
      </c>
      <c r="AK6611">
        <v>0.63011044923791304</v>
      </c>
      <c r="AL6611">
        <v>86.783182219899302</v>
      </c>
      <c r="AM6611">
        <v>86.431057465063802</v>
      </c>
      <c r="AN6611">
        <v>0.99999999030217901</v>
      </c>
    </row>
    <row r="6612" spans="1:40" x14ac:dyDescent="0.25">
      <c r="A6612" t="str">
        <f>"20190312154738100"</f>
        <v>20190312154738100</v>
      </c>
      <c r="B6612" t="str">
        <f>"1552376858094558"</f>
        <v>1552376858094558</v>
      </c>
      <c r="C6612" t="s">
        <v>40</v>
      </c>
      <c r="D6612">
        <v>5.4300009999999999</v>
      </c>
      <c r="E6612">
        <v>0.54060489999999894</v>
      </c>
      <c r="F6612" t="s">
        <v>41</v>
      </c>
      <c r="G6612">
        <v>-153.77610000000001</v>
      </c>
      <c r="H6612">
        <v>0.91481449999999997</v>
      </c>
      <c r="I6612">
        <v>141.4503</v>
      </c>
      <c r="J6612">
        <v>-154.44149999999999</v>
      </c>
      <c r="K6612">
        <v>1.1109629999999999</v>
      </c>
      <c r="L6612">
        <v>141.494</v>
      </c>
      <c r="M6612">
        <v>0.99295160000000005</v>
      </c>
      <c r="N6612">
        <v>0</v>
      </c>
      <c r="O6612">
        <v>0.1173642</v>
      </c>
      <c r="P6612">
        <v>0.99759260000000005</v>
      </c>
      <c r="Q6612">
        <v>4.244883E-2</v>
      </c>
      <c r="R6612">
        <v>5.483963E-2</v>
      </c>
      <c r="S6612">
        <v>3.0501860000000001</v>
      </c>
      <c r="T6612">
        <v>-0.86507449999999997</v>
      </c>
      <c r="U6612">
        <v>-0.17820739999999999</v>
      </c>
      <c r="V6612">
        <v>6.2640119999999994E-2</v>
      </c>
      <c r="W6612">
        <v>5.8910869999999997E-2</v>
      </c>
      <c r="X6612">
        <v>0.99629599999999996</v>
      </c>
      <c r="Y6612">
        <v>0.1640375</v>
      </c>
      <c r="Z6612">
        <v>-5.538382E-2</v>
      </c>
      <c r="AA6612">
        <v>0.9848981</v>
      </c>
      <c r="AB6612">
        <v>2</v>
      </c>
      <c r="AC6612">
        <v>0.66539999999997601</v>
      </c>
      <c r="AD6612">
        <v>-0.196148499999999</v>
      </c>
      <c r="AE6612">
        <v>-4.3700000000001099E-2</v>
      </c>
      <c r="AF6612">
        <v>0.11182700598086701</v>
      </c>
      <c r="AG6612">
        <v>-0.196148499999999</v>
      </c>
      <c r="AH6612">
        <v>0.60345723662680295</v>
      </c>
      <c r="AI6612">
        <v>107.72388200717999</v>
      </c>
      <c r="AJ6612">
        <v>79.501577183040496</v>
      </c>
      <c r="AK6612">
        <v>0.64431370446091896</v>
      </c>
      <c r="AL6612">
        <v>86.622700367450705</v>
      </c>
      <c r="AM6612">
        <v>86.402377860277696</v>
      </c>
      <c r="AN6612">
        <v>0.99999999742688495</v>
      </c>
    </row>
    <row r="6613" spans="1:40" x14ac:dyDescent="0.25">
      <c r="A6613" t="str">
        <f>"20190312154738126"</f>
        <v>20190312154738126</v>
      </c>
      <c r="B6613" t="str">
        <f>"1552376858115054"</f>
        <v>1552376858115054</v>
      </c>
      <c r="C6613" t="s">
        <v>40</v>
      </c>
      <c r="D6613">
        <v>5.3765229999999997</v>
      </c>
      <c r="E6613">
        <v>0.54074299999999997</v>
      </c>
      <c r="F6613" t="s">
        <v>41</v>
      </c>
      <c r="G6613">
        <v>-153.76939999999999</v>
      </c>
      <c r="H6613">
        <v>0.89927780000000002</v>
      </c>
      <c r="I6613">
        <v>141.46109999999999</v>
      </c>
      <c r="J6613">
        <v>-154.42150000000001</v>
      </c>
      <c r="K6613">
        <v>1.1109469999999999</v>
      </c>
      <c r="L6613">
        <v>141.49629999999999</v>
      </c>
      <c r="M6613">
        <v>0.99296890000000004</v>
      </c>
      <c r="N6613">
        <v>0</v>
      </c>
      <c r="O6613">
        <v>0.1173143</v>
      </c>
      <c r="P6613">
        <v>0.99735560000000001</v>
      </c>
      <c r="Q6613">
        <v>4.7176379999999997E-2</v>
      </c>
      <c r="R6613">
        <v>5.5286479999999999E-2</v>
      </c>
      <c r="S6613">
        <v>3.0563959999999999</v>
      </c>
      <c r="T6613">
        <v>-0.96271969999999996</v>
      </c>
      <c r="U6613">
        <v>-0.14894099999999999</v>
      </c>
      <c r="V6613">
        <v>6.2117220000000001E-2</v>
      </c>
      <c r="W6613">
        <v>6.2941720000000007E-2</v>
      </c>
      <c r="X6613">
        <v>0.99608220000000003</v>
      </c>
      <c r="Y6613">
        <v>0.1524896</v>
      </c>
      <c r="Z6613">
        <v>-5.9459539999999998E-2</v>
      </c>
      <c r="AA6613">
        <v>0.98651480000000003</v>
      </c>
      <c r="AB6613">
        <v>2</v>
      </c>
      <c r="AC6613">
        <v>0.652100000000018</v>
      </c>
      <c r="AD6613">
        <v>-0.211669199999999</v>
      </c>
      <c r="AE6613">
        <v>-3.5200000000003201E-2</v>
      </c>
      <c r="AF6613">
        <v>0.100870038042514</v>
      </c>
      <c r="AG6613">
        <v>-0.211669199999999</v>
      </c>
      <c r="AH6613">
        <v>0.58229237612015405</v>
      </c>
      <c r="AI6613">
        <v>109.70629317020099</v>
      </c>
      <c r="AJ6613">
        <v>80.172228933233995</v>
      </c>
      <c r="AK6613">
        <v>0.62772846525467796</v>
      </c>
      <c r="AL6613">
        <v>86.391319605871203</v>
      </c>
      <c r="AM6613">
        <v>86.431567995950203</v>
      </c>
      <c r="AN6613">
        <v>0.99999997914696304</v>
      </c>
    </row>
    <row r="6614" spans="1:40" x14ac:dyDescent="0.25">
      <c r="A6614" t="str">
        <f>"20190312154738148"</f>
        <v>20190312154738148</v>
      </c>
      <c r="B6614" t="str">
        <f>"1552376858145310"</f>
        <v>1552376858145310</v>
      </c>
      <c r="C6614" t="s">
        <v>40</v>
      </c>
      <c r="D6614">
        <v>5.3780979999999996</v>
      </c>
      <c r="E6614">
        <v>0.54043479999999999</v>
      </c>
      <c r="F6614" t="s">
        <v>41</v>
      </c>
      <c r="G6614">
        <v>-153.73859999999999</v>
      </c>
      <c r="H6614">
        <v>0.90003750000000005</v>
      </c>
      <c r="I6614">
        <v>141.46260000000001</v>
      </c>
      <c r="J6614">
        <v>-154.4051</v>
      </c>
      <c r="K6614">
        <v>1.110927</v>
      </c>
      <c r="L6614">
        <v>141.4982</v>
      </c>
      <c r="M6614">
        <v>0.99298160000000002</v>
      </c>
      <c r="N6614">
        <v>0</v>
      </c>
      <c r="O6614">
        <v>0.1172729</v>
      </c>
      <c r="P6614">
        <v>0.99712920000000005</v>
      </c>
      <c r="Q6614">
        <v>5.099281E-2</v>
      </c>
      <c r="R6614">
        <v>5.5978260000000002E-2</v>
      </c>
      <c r="S6614">
        <v>3.061035</v>
      </c>
      <c r="T6614">
        <v>-0.9453821</v>
      </c>
      <c r="U6614">
        <v>-0.15072629999999901</v>
      </c>
      <c r="V6614">
        <v>6.1361150000000003E-2</v>
      </c>
      <c r="W6614">
        <v>6.6260230000000003E-2</v>
      </c>
      <c r="X6614">
        <v>0.99591390000000002</v>
      </c>
      <c r="Y6614">
        <v>0.153400799999999</v>
      </c>
      <c r="Z6614">
        <v>-5.847662E-2</v>
      </c>
      <c r="AA6614">
        <v>0.98643230000000004</v>
      </c>
      <c r="AB6614">
        <v>2</v>
      </c>
      <c r="AC6614">
        <v>0.66650000000001297</v>
      </c>
      <c r="AD6614">
        <v>-0.21088949999999901</v>
      </c>
      <c r="AE6614">
        <v>-3.5599999999988002E-2</v>
      </c>
      <c r="AF6614">
        <v>0.103221028184174</v>
      </c>
      <c r="AG6614">
        <v>-0.21088949999999901</v>
      </c>
      <c r="AH6614">
        <v>0.59802235922561098</v>
      </c>
      <c r="AI6614">
        <v>109.16266425130399</v>
      </c>
      <c r="AJ6614">
        <v>80.207012011717595</v>
      </c>
      <c r="AK6614">
        <v>0.64246377641343699</v>
      </c>
      <c r="AL6614">
        <v>86.200785181468802</v>
      </c>
      <c r="AM6614">
        <v>86.474297352520693</v>
      </c>
      <c r="AN6614">
        <v>1.0000000525110899</v>
      </c>
    </row>
    <row r="6615" spans="1:40" x14ac:dyDescent="0.25">
      <c r="A6615" t="str">
        <f>"20190312154738171"</f>
        <v>20190312154738171</v>
      </c>
      <c r="B6615" t="str">
        <f>"1552376858164830"</f>
        <v>1552376858164830</v>
      </c>
      <c r="C6615" t="s">
        <v>40</v>
      </c>
      <c r="D6615">
        <v>5.4314150000000003</v>
      </c>
      <c r="E6615">
        <v>0.54030529999999999</v>
      </c>
      <c r="F6615" t="s">
        <v>41</v>
      </c>
      <c r="G6615">
        <v>-153.7217</v>
      </c>
      <c r="H6615">
        <v>0.90411730000000001</v>
      </c>
      <c r="I6615">
        <v>141.4648</v>
      </c>
      <c r="J6615">
        <v>-154.38720000000001</v>
      </c>
      <c r="K6615">
        <v>1.1108960000000001</v>
      </c>
      <c r="L6615">
        <v>141.50020000000001</v>
      </c>
      <c r="M6615">
        <v>0.99299409999999999</v>
      </c>
      <c r="N6615">
        <v>0</v>
      </c>
      <c r="O6615">
        <v>0.1172275</v>
      </c>
      <c r="P6615">
        <v>0.99700949999999999</v>
      </c>
      <c r="Q6615">
        <v>5.2452899999999997E-2</v>
      </c>
      <c r="R6615">
        <v>5.6753289999999998E-2</v>
      </c>
      <c r="S6615">
        <v>3.064438</v>
      </c>
      <c r="T6615">
        <v>-0.92739190000000005</v>
      </c>
      <c r="U6615">
        <v>-0.1489868</v>
      </c>
      <c r="V6615">
        <v>6.0531340000000003E-2</v>
      </c>
      <c r="W6615">
        <v>6.7243639999999993E-2</v>
      </c>
      <c r="X6615">
        <v>0.99589870000000003</v>
      </c>
      <c r="Y6615">
        <v>0.15324189999999999</v>
      </c>
      <c r="Z6615">
        <v>-5.731443E-2</v>
      </c>
      <c r="AA6615">
        <v>0.98652519999999999</v>
      </c>
      <c r="AB6615">
        <v>2</v>
      </c>
      <c r="AC6615">
        <v>0.66550000000000797</v>
      </c>
      <c r="AD6615">
        <v>-0.20677869999999901</v>
      </c>
      <c r="AE6615">
        <v>-3.5400000000009799E-2</v>
      </c>
      <c r="AF6615">
        <v>0.103240466784321</v>
      </c>
      <c r="AG6615">
        <v>-0.20677869999999901</v>
      </c>
      <c r="AH6615">
        <v>0.59908640519918499</v>
      </c>
      <c r="AI6615">
        <v>108.78537532294401</v>
      </c>
      <c r="AJ6615">
        <v>80.222264105247802</v>
      </c>
      <c r="AK6615">
        <v>0.64212190871361496</v>
      </c>
      <c r="AL6615">
        <v>86.144313727422897</v>
      </c>
      <c r="AM6615">
        <v>86.521805957148899</v>
      </c>
      <c r="AN6615">
        <v>0.99999998545216695</v>
      </c>
    </row>
    <row r="6616" spans="1:40" x14ac:dyDescent="0.25">
      <c r="A6616" t="str">
        <f>"20190312154738199"</f>
        <v>20190312154738199</v>
      </c>
      <c r="B6616" t="str">
        <f>"1552376858194616"</f>
        <v>1552376858194616</v>
      </c>
      <c r="C6616" t="s">
        <v>40</v>
      </c>
      <c r="D6616">
        <v>5.32233</v>
      </c>
      <c r="E6616">
        <v>0.50636629999999905</v>
      </c>
      <c r="F6616" t="s">
        <v>41</v>
      </c>
      <c r="G6616">
        <v>-153.70519999999999</v>
      </c>
      <c r="H6616">
        <v>0.90781869999999998</v>
      </c>
      <c r="I6616">
        <v>141.46729999999999</v>
      </c>
      <c r="J6616">
        <v>-154.3672</v>
      </c>
      <c r="K6616">
        <v>1.1108579999999999</v>
      </c>
      <c r="L6616">
        <v>141.5025</v>
      </c>
      <c r="M6616">
        <v>0.99300710000000003</v>
      </c>
      <c r="N6616">
        <v>0</v>
      </c>
      <c r="O6616">
        <v>0.1171769</v>
      </c>
      <c r="P6616">
        <v>0.99684419999999996</v>
      </c>
      <c r="Q6616">
        <v>5.4382850000000003E-2</v>
      </c>
      <c r="R6616">
        <v>5.783137E-2</v>
      </c>
      <c r="S6616">
        <v>3.0653990000000002</v>
      </c>
      <c r="T6616">
        <v>-0.91272470000000006</v>
      </c>
      <c r="U6616">
        <v>-0.14759829999999999</v>
      </c>
      <c r="V6616">
        <v>5.9389560000000001E-2</v>
      </c>
      <c r="W6616">
        <v>6.8712229999999999E-2</v>
      </c>
      <c r="X6616">
        <v>0.99586719999999895</v>
      </c>
      <c r="Y6616">
        <v>0.153116</v>
      </c>
      <c r="Z6616">
        <v>-5.6396080000000001E-2</v>
      </c>
      <c r="AA6616">
        <v>0.98659770000000002</v>
      </c>
      <c r="AB6616">
        <v>2</v>
      </c>
      <c r="AC6616">
        <v>0.66200000000000603</v>
      </c>
      <c r="AD6616">
        <v>-0.20303929999999901</v>
      </c>
      <c r="AE6616">
        <v>-3.5200000000003201E-2</v>
      </c>
      <c r="AF6616">
        <v>0.10288557066856099</v>
      </c>
      <c r="AG6616">
        <v>-0.20303929999999901</v>
      </c>
      <c r="AH6616">
        <v>0.59728611680764598</v>
      </c>
      <c r="AI6616">
        <v>108.520987278953</v>
      </c>
      <c r="AJ6616">
        <v>80.226424012616405</v>
      </c>
      <c r="AK6616">
        <v>0.63918784666750506</v>
      </c>
      <c r="AL6616">
        <v>86.059974617572294</v>
      </c>
      <c r="AM6616">
        <v>86.587149585081207</v>
      </c>
      <c r="AN6616">
        <v>0.99999998521220301</v>
      </c>
    </row>
    <row r="6617" spans="1:40" x14ac:dyDescent="0.25">
      <c r="A6617" t="str">
        <f>"20190312154738223"</f>
        <v>20190312154738223</v>
      </c>
      <c r="B6617" t="str">
        <f>"1552376858215113"</f>
        <v>1552376858215113</v>
      </c>
      <c r="C6617" t="s">
        <v>40</v>
      </c>
      <c r="D6617">
        <v>5.4203809999999999</v>
      </c>
      <c r="E6617">
        <v>0.49391659999999998</v>
      </c>
      <c r="F6617" t="s">
        <v>41</v>
      </c>
      <c r="G6617">
        <v>-153.67080000000001</v>
      </c>
      <c r="H6617">
        <v>0.96499159999999995</v>
      </c>
      <c r="I6617">
        <v>141.5309</v>
      </c>
      <c r="J6617">
        <v>-154.3486</v>
      </c>
      <c r="K6617">
        <v>1.110832</v>
      </c>
      <c r="L6617">
        <v>141.50470000000001</v>
      </c>
      <c r="M6617">
        <v>0.99301759999999994</v>
      </c>
      <c r="N6617">
        <v>0</v>
      </c>
      <c r="O6617">
        <v>0.1171306</v>
      </c>
      <c r="P6617">
        <v>0.9965387</v>
      </c>
      <c r="Q6617">
        <v>5.7390499999999997E-2</v>
      </c>
      <c r="R6617">
        <v>6.0143439999999999E-2</v>
      </c>
      <c r="S6617">
        <v>3.0370180000000002</v>
      </c>
      <c r="T6617">
        <v>-0.63620690000000002</v>
      </c>
      <c r="U6617">
        <v>0.12422179999999999</v>
      </c>
      <c r="V6617">
        <v>5.7010720000000001E-2</v>
      </c>
      <c r="W6617">
        <v>7.1357420000000005E-2</v>
      </c>
      <c r="X6617">
        <v>0.99582020000000004</v>
      </c>
      <c r="Y6617">
        <v>7.2364419999999999E-2</v>
      </c>
      <c r="Z6617">
        <v>-3.1704599999999999E-2</v>
      </c>
      <c r="AA6617">
        <v>0.99687420000000004</v>
      </c>
      <c r="AB6617">
        <v>2</v>
      </c>
      <c r="AC6617">
        <v>0.67779999999998997</v>
      </c>
      <c r="AD6617">
        <v>-0.14584040000000001</v>
      </c>
      <c r="AE6617">
        <v>2.61999999999886E-2</v>
      </c>
      <c r="AF6617">
        <v>5.1020722763959303E-2</v>
      </c>
      <c r="AG6617">
        <v>-0.14584040000000001</v>
      </c>
      <c r="AH6617">
        <v>0.64632436421807105</v>
      </c>
      <c r="AI6617">
        <v>102.67744114711</v>
      </c>
      <c r="AJ6617">
        <v>85.486441903040202</v>
      </c>
      <c r="AK6617">
        <v>0.66453571778002296</v>
      </c>
      <c r="AL6617">
        <v>85.908043294978697</v>
      </c>
      <c r="AM6617">
        <v>86.723392483521096</v>
      </c>
      <c r="AN6617">
        <v>0.99999998715600702</v>
      </c>
    </row>
    <row r="6618" spans="1:40" x14ac:dyDescent="0.25">
      <c r="A6618" t="str">
        <f>"20190312154738257"</f>
        <v>20190312154738257</v>
      </c>
      <c r="B6618" t="str">
        <f>"1552376858245369"</f>
        <v>1552376858245369</v>
      </c>
      <c r="C6618" t="s">
        <v>40</v>
      </c>
      <c r="D6618">
        <v>5.3325630000000004</v>
      </c>
      <c r="E6618">
        <v>0.49515890000000001</v>
      </c>
      <c r="F6618" t="s">
        <v>44</v>
      </c>
      <c r="G6618">
        <v>0</v>
      </c>
      <c r="H6618">
        <v>0</v>
      </c>
      <c r="I6618">
        <v>0</v>
      </c>
      <c r="J6618">
        <v>-154.3237</v>
      </c>
      <c r="K6618">
        <v>1.11083</v>
      </c>
      <c r="L6618">
        <v>141.50749999999999</v>
      </c>
      <c r="M6618">
        <v>0.99303070000000004</v>
      </c>
      <c r="N6618">
        <v>0</v>
      </c>
      <c r="O6618">
        <v>0.1170677</v>
      </c>
      <c r="P6618">
        <v>0.99590299999999998</v>
      </c>
      <c r="Q6618">
        <v>6.4391580000000004E-2</v>
      </c>
      <c r="R6618">
        <v>6.3492510000000002E-2</v>
      </c>
      <c r="S6618">
        <v>2.9940950000000002</v>
      </c>
      <c r="T6618">
        <v>4.3743610000000002E-2</v>
      </c>
      <c r="U6618">
        <v>0.22901920000000001</v>
      </c>
      <c r="V6618">
        <v>5.3546829999999997E-2</v>
      </c>
      <c r="W6618">
        <v>7.7952679999999996E-2</v>
      </c>
      <c r="X6618">
        <v>0.99551800000000001</v>
      </c>
      <c r="Y6618">
        <v>4.0977890000000003E-2</v>
      </c>
      <c r="Z6618">
        <v>2.0019669999999999E-3</v>
      </c>
      <c r="AA6618">
        <v>0.99915799999999999</v>
      </c>
      <c r="AB6618">
        <v>2</v>
      </c>
      <c r="AC6618">
        <v>2.9940950000000002</v>
      </c>
      <c r="AD6618">
        <v>4.3743610000000002E-2</v>
      </c>
      <c r="AE6618">
        <v>0.22901920000000001</v>
      </c>
      <c r="AF6618">
        <v>0.12307399980697099</v>
      </c>
      <c r="AG6618">
        <v>4.3743610000000002E-2</v>
      </c>
      <c r="AH6618">
        <v>2.9996802603909098</v>
      </c>
      <c r="AI6618">
        <v>89.165230980228102</v>
      </c>
      <c r="AJ6618">
        <v>87.650526963090897</v>
      </c>
      <c r="AK6618">
        <v>3.0025226689274498</v>
      </c>
      <c r="AL6618">
        <v>85.529104561483507</v>
      </c>
      <c r="AM6618">
        <v>86.921146813204899</v>
      </c>
      <c r="AN6618">
        <v>0.999999985823115</v>
      </c>
    </row>
    <row r="6619" spans="1:40" x14ac:dyDescent="0.25">
      <c r="A6619" t="str">
        <f>"20190312154738286"</f>
        <v>20190312154738286</v>
      </c>
      <c r="B6619" t="str">
        <f>"1552376858274649"</f>
        <v>1552376858274649</v>
      </c>
      <c r="C6619" t="s">
        <v>40</v>
      </c>
      <c r="D6619">
        <v>5.4384680000000003</v>
      </c>
      <c r="E6619">
        <v>0.50262200000000001</v>
      </c>
      <c r="F6619" t="s">
        <v>44</v>
      </c>
      <c r="G6619">
        <v>0</v>
      </c>
      <c r="H6619">
        <v>0</v>
      </c>
      <c r="I6619">
        <v>0</v>
      </c>
      <c r="J6619">
        <v>-154.3014</v>
      </c>
      <c r="K6619">
        <v>1.1108469999999999</v>
      </c>
      <c r="L6619">
        <v>141.51009999999999</v>
      </c>
      <c r="M6619">
        <v>0.99304130000000002</v>
      </c>
      <c r="N6619">
        <v>0</v>
      </c>
      <c r="O6619">
        <v>0.1170117</v>
      </c>
      <c r="P6619">
        <v>0.99553729999999996</v>
      </c>
      <c r="Q6619">
        <v>6.9303409999999996E-2</v>
      </c>
      <c r="R6619">
        <v>6.4052899999999996E-2</v>
      </c>
      <c r="S6619">
        <v>2.9956049999999999</v>
      </c>
      <c r="T6619">
        <v>3.250575E-2</v>
      </c>
      <c r="U6619">
        <v>0.22955320000000001</v>
      </c>
      <c r="V6619">
        <v>5.2891100000000003E-2</v>
      </c>
      <c r="W6619">
        <v>8.2563079999999997E-2</v>
      </c>
      <c r="X6619">
        <v>0.99518130000000005</v>
      </c>
      <c r="Y6619">
        <v>4.0789770000000003E-2</v>
      </c>
      <c r="Z6619">
        <v>1.485304E-3</v>
      </c>
      <c r="AA6619">
        <v>0.99916669999999996</v>
      </c>
      <c r="AB6619">
        <v>2</v>
      </c>
      <c r="AC6619">
        <v>2.9956049999999999</v>
      </c>
      <c r="AD6619">
        <v>3.250575E-2</v>
      </c>
      <c r="AE6619">
        <v>0.22955320000000001</v>
      </c>
      <c r="AF6619">
        <v>0.122561541446083</v>
      </c>
      <c r="AG6619">
        <v>3.250575E-2</v>
      </c>
      <c r="AH6619">
        <v>3.0015345707911898</v>
      </c>
      <c r="AI6619">
        <v>89.380044139924195</v>
      </c>
      <c r="AJ6619">
        <v>87.661742691793407</v>
      </c>
      <c r="AK6619">
        <v>3.0042116661246401</v>
      </c>
      <c r="AL6619">
        <v>85.264092913525104</v>
      </c>
      <c r="AM6619">
        <v>86.957751972117094</v>
      </c>
      <c r="AN6619">
        <v>0.99999997525399298</v>
      </c>
    </row>
    <row r="6620" spans="1:40" x14ac:dyDescent="0.25">
      <c r="A6620" t="str">
        <f>"20190312154738306"</f>
        <v>20190312154738306</v>
      </c>
      <c r="B6620" t="str">
        <f>"1552376858294675"</f>
        <v>1552376858294675</v>
      </c>
      <c r="C6620" t="s">
        <v>40</v>
      </c>
      <c r="D6620">
        <v>5.8807109999999998</v>
      </c>
      <c r="E6620">
        <v>0.50062010000000001</v>
      </c>
      <c r="F6620" t="s">
        <v>41</v>
      </c>
      <c r="G6620">
        <v>-153.5607</v>
      </c>
      <c r="H6620">
        <v>1.0390379999999999</v>
      </c>
      <c r="I6620">
        <v>141.55260000000001</v>
      </c>
      <c r="J6620">
        <v>-154.28649999999999</v>
      </c>
      <c r="K6620">
        <v>1.110876</v>
      </c>
      <c r="L6620">
        <v>141.51169999999999</v>
      </c>
      <c r="M6620">
        <v>0.99304800000000004</v>
      </c>
      <c r="N6620">
        <v>0</v>
      </c>
      <c r="O6620">
        <v>0.1169741</v>
      </c>
      <c r="P6620">
        <v>0.9951451</v>
      </c>
      <c r="Q6620">
        <v>7.542219E-2</v>
      </c>
      <c r="R6620">
        <v>6.3229759999999996E-2</v>
      </c>
      <c r="S6620">
        <v>3.0226440000000001</v>
      </c>
      <c r="T6620">
        <v>-0.29304210000000003</v>
      </c>
      <c r="U6620">
        <v>0.17388919999999999</v>
      </c>
      <c r="V6620">
        <v>5.3624909999999998E-2</v>
      </c>
      <c r="W6620">
        <v>8.8505490000000006E-2</v>
      </c>
      <c r="X6620">
        <v>0.99463120000000005</v>
      </c>
      <c r="Y6620">
        <v>5.8932770000000002E-2</v>
      </c>
      <c r="Z6620">
        <v>-1.412442E-2</v>
      </c>
      <c r="AA6620">
        <v>0.99816199999999999</v>
      </c>
      <c r="AB6620">
        <v>2</v>
      </c>
      <c r="AC6620">
        <v>0.72579999999999201</v>
      </c>
      <c r="AD6620">
        <v>-7.1837999999999999E-2</v>
      </c>
      <c r="AE6620">
        <v>4.0900000000021898E-2</v>
      </c>
      <c r="AF6620">
        <v>4.3859649171237199E-2</v>
      </c>
      <c r="AG6620">
        <v>-7.1837999999999999E-2</v>
      </c>
      <c r="AH6620">
        <v>0.71858376776709398</v>
      </c>
      <c r="AI6620">
        <v>95.698449780101001</v>
      </c>
      <c r="AJ6620">
        <v>86.507214287775795</v>
      </c>
      <c r="AK6620">
        <v>0.72349637066662398</v>
      </c>
      <c r="AL6620">
        <v>84.922365342539706</v>
      </c>
      <c r="AM6620">
        <v>86.913922251824403</v>
      </c>
      <c r="AN6620">
        <v>1.0000000383730401</v>
      </c>
    </row>
    <row r="6621" spans="1:40" x14ac:dyDescent="0.25">
      <c r="A6621" t="str">
        <f>"20190312154738329"</f>
        <v>20190312154738329</v>
      </c>
      <c r="B6621" t="str">
        <f>"1552376858324931"</f>
        <v>1552376858324931</v>
      </c>
      <c r="C6621" t="s">
        <v>40</v>
      </c>
      <c r="D6621">
        <v>5.7856670000000001</v>
      </c>
      <c r="E6621">
        <v>0.50024970000000002</v>
      </c>
      <c r="F6621" t="s">
        <v>41</v>
      </c>
      <c r="G6621">
        <v>-153.5401</v>
      </c>
      <c r="H6621">
        <v>1.0479430000000001</v>
      </c>
      <c r="I6621">
        <v>141.55799999999999</v>
      </c>
      <c r="J6621">
        <v>-154.2697</v>
      </c>
      <c r="K6621">
        <v>1.1109199999999999</v>
      </c>
      <c r="L6621">
        <v>141.5136</v>
      </c>
      <c r="M6621">
        <v>0.99305509999999997</v>
      </c>
      <c r="N6621">
        <v>0</v>
      </c>
      <c r="O6621">
        <v>0.1169316</v>
      </c>
      <c r="P6621">
        <v>0.99467249999999996</v>
      </c>
      <c r="Q6621">
        <v>8.2357910000000006E-2</v>
      </c>
      <c r="R6621">
        <v>6.1999840000000001E-2</v>
      </c>
      <c r="S6621">
        <v>3.0220180000000001</v>
      </c>
      <c r="T6621">
        <v>-0.25492009999999998</v>
      </c>
      <c r="U6621">
        <v>0.187973</v>
      </c>
      <c r="V6621">
        <v>5.4748640000000001E-2</v>
      </c>
      <c r="W6621">
        <v>9.5267859999999996E-2</v>
      </c>
      <c r="X6621">
        <v>0.99394499999999997</v>
      </c>
      <c r="Y6621">
        <v>5.4456829999999998E-2</v>
      </c>
      <c r="Z6621">
        <v>-1.210226E-2</v>
      </c>
      <c r="AA6621">
        <v>0.99844279999999996</v>
      </c>
      <c r="AB6621">
        <v>2</v>
      </c>
      <c r="AC6621">
        <v>0.72960000000000402</v>
      </c>
      <c r="AD6621">
        <v>-6.2977000000000005E-2</v>
      </c>
      <c r="AE6621">
        <v>4.4399999999995998E-2</v>
      </c>
      <c r="AF6621">
        <v>4.0921357864527101E-2</v>
      </c>
      <c r="AG6621">
        <v>-6.2977000000000005E-2</v>
      </c>
      <c r="AH6621">
        <v>0.72440887234281104</v>
      </c>
      <c r="AI6621">
        <v>94.960688256179907</v>
      </c>
      <c r="AJ6621">
        <v>86.766837040824697</v>
      </c>
      <c r="AK6621">
        <v>0.72829175087149001</v>
      </c>
      <c r="AL6621">
        <v>84.533263129656305</v>
      </c>
      <c r="AM6621">
        <v>86.8472105548922</v>
      </c>
      <c r="AN6621">
        <v>1.0000000208779101</v>
      </c>
    </row>
    <row r="6622" spans="1:40" x14ac:dyDescent="0.25">
      <c r="A6622" t="str">
        <f>"20190312154738349"</f>
        <v>20190312154738349</v>
      </c>
      <c r="B6622" t="str">
        <f>"1552376858345426"</f>
        <v>1552376858345426</v>
      </c>
      <c r="C6622" t="s">
        <v>40</v>
      </c>
      <c r="D6622">
        <v>4.589162</v>
      </c>
      <c r="E6622">
        <v>0.49755949999999999</v>
      </c>
      <c r="F6622" t="s">
        <v>41</v>
      </c>
      <c r="G6622">
        <v>-153.52670000000001</v>
      </c>
      <c r="H6622">
        <v>1.0463209999999901</v>
      </c>
      <c r="I6622">
        <v>141.55959999999999</v>
      </c>
      <c r="J6622">
        <v>-154.25470000000001</v>
      </c>
      <c r="K6622">
        <v>1.1109659999999999</v>
      </c>
      <c r="L6622">
        <v>141.5154</v>
      </c>
      <c r="M6622">
        <v>0.99306119999999998</v>
      </c>
      <c r="N6622">
        <v>0</v>
      </c>
      <c r="O6622">
        <v>0.1168937</v>
      </c>
      <c r="P6622">
        <v>0.99403649999999999</v>
      </c>
      <c r="Q6622">
        <v>9.0633329999999998E-2</v>
      </c>
      <c r="R6622">
        <v>6.063764E-2</v>
      </c>
      <c r="S6622">
        <v>3.026154</v>
      </c>
      <c r="T6622">
        <v>-0.26318859999999999</v>
      </c>
      <c r="U6622">
        <v>0.1877441</v>
      </c>
      <c r="V6622">
        <v>5.5989440000000001E-2</v>
      </c>
      <c r="W6622">
        <v>0.1034037</v>
      </c>
      <c r="X6622">
        <v>0.99306240000000001</v>
      </c>
      <c r="Y6622">
        <v>5.4540169999999999E-2</v>
      </c>
      <c r="Z6622">
        <v>-1.247677E-2</v>
      </c>
      <c r="AA6622">
        <v>0.99843360000000003</v>
      </c>
      <c r="AB6622">
        <v>2</v>
      </c>
      <c r="AC6622">
        <v>0.72800000000000797</v>
      </c>
      <c r="AD6622">
        <v>-6.4644999999999994E-2</v>
      </c>
      <c r="AE6622">
        <v>4.4199999999989303E-2</v>
      </c>
      <c r="AF6622">
        <v>4.0887497070568803E-2</v>
      </c>
      <c r="AG6622">
        <v>-6.4644999999999994E-2</v>
      </c>
      <c r="AH6622">
        <v>0.72249939150959697</v>
      </c>
      <c r="AI6622">
        <v>95.104750257964398</v>
      </c>
      <c r="AJ6622">
        <v>86.760987026882205</v>
      </c>
      <c r="AK6622">
        <v>0.72653708382534299</v>
      </c>
      <c r="AL6622">
        <v>84.064795544761907</v>
      </c>
      <c r="AM6622">
        <v>86.773046732747801</v>
      </c>
      <c r="AN6622">
        <v>1.0000000364294801</v>
      </c>
    </row>
    <row r="6623" spans="1:40" x14ac:dyDescent="0.25">
      <c r="A6623" t="str">
        <f>"20190312154738596"</f>
        <v>20190312154738596</v>
      </c>
      <c r="B6623" t="str">
        <f>"1552376858584548"</f>
        <v>1552376858584548</v>
      </c>
      <c r="C6623" t="s">
        <v>40</v>
      </c>
      <c r="D6623">
        <v>5.2537839999999996</v>
      </c>
      <c r="E6623">
        <v>0.49755949999999999</v>
      </c>
      <c r="F6623" t="s">
        <v>41</v>
      </c>
      <c r="G6623">
        <v>-153.57550000000001</v>
      </c>
      <c r="H6623">
        <v>0.91747769999999995</v>
      </c>
      <c r="I6623">
        <v>141.5617</v>
      </c>
      <c r="J6623">
        <v>-154.0753</v>
      </c>
      <c r="K6623">
        <v>1.110789</v>
      </c>
      <c r="L6623">
        <v>141.53550000000001</v>
      </c>
      <c r="M6623">
        <v>0.99312350000000005</v>
      </c>
      <c r="N6623">
        <v>0</v>
      </c>
      <c r="O6623">
        <v>0.1164417</v>
      </c>
      <c r="P6623">
        <v>0.97309789999999996</v>
      </c>
      <c r="Q6623">
        <v>0.2226844</v>
      </c>
      <c r="R6623">
        <v>5.909536E-2</v>
      </c>
      <c r="S6623">
        <v>3.0852360000000001</v>
      </c>
      <c r="T6623">
        <v>-0.87900780000000001</v>
      </c>
      <c r="U6623">
        <v>0.21124270000000001</v>
      </c>
      <c r="V6623">
        <v>5.4635349999999999E-2</v>
      </c>
      <c r="W6623">
        <v>0.2344782</v>
      </c>
      <c r="X6623">
        <v>0.97058489999999997</v>
      </c>
      <c r="Y6623">
        <v>4.2082910000000001E-2</v>
      </c>
      <c r="Z6623">
        <v>-3.827771E-2</v>
      </c>
      <c r="AA6623">
        <v>0.99838059999999995</v>
      </c>
      <c r="AB6623">
        <v>2</v>
      </c>
      <c r="AC6623">
        <v>0.49979999999999303</v>
      </c>
      <c r="AD6623">
        <v>-0.19331129999999999</v>
      </c>
      <c r="AE6623">
        <v>2.61999999999886E-2</v>
      </c>
      <c r="AF6623">
        <v>2.8002491825495E-2</v>
      </c>
      <c r="AG6623">
        <v>-0.19331129999999999</v>
      </c>
      <c r="AH6623">
        <v>0.43461224106336599</v>
      </c>
      <c r="AI6623">
        <v>113.934994239825</v>
      </c>
      <c r="AJ6623">
        <v>86.3134726010055</v>
      </c>
      <c r="AK6623">
        <v>0.476488403151901</v>
      </c>
      <c r="AL6623">
        <v>76.439134206966202</v>
      </c>
      <c r="AM6623">
        <v>86.778154246629796</v>
      </c>
      <c r="AN6623">
        <v>1.0000000479264299</v>
      </c>
    </row>
    <row r="6624" spans="1:40" x14ac:dyDescent="0.25">
      <c r="A6624" t="str">
        <f>"20190312154738625"</f>
        <v>20190312154738625</v>
      </c>
      <c r="B6624" t="str">
        <f>"1552376858615780"</f>
        <v>1552376858615780</v>
      </c>
      <c r="C6624" t="s">
        <v>40</v>
      </c>
      <c r="D6624">
        <v>5.6882669999999997</v>
      </c>
      <c r="E6624">
        <v>0.31673089999999998</v>
      </c>
      <c r="F6624" t="s">
        <v>41</v>
      </c>
      <c r="G6624">
        <v>-153.35769999999999</v>
      </c>
      <c r="H6624">
        <v>1.007296</v>
      </c>
      <c r="I6624">
        <v>141.59110000000001</v>
      </c>
      <c r="J6624">
        <v>-154.05420000000001</v>
      </c>
      <c r="K6624">
        <v>1.1107149999999999</v>
      </c>
      <c r="L6624">
        <v>141.53790000000001</v>
      </c>
      <c r="M6624">
        <v>0.99312999999999996</v>
      </c>
      <c r="N6624">
        <v>0</v>
      </c>
      <c r="O6624">
        <v>0.1163888</v>
      </c>
      <c r="P6624">
        <v>0.97159379999999995</v>
      </c>
      <c r="Q6624">
        <v>0.22854279999999999</v>
      </c>
      <c r="R6624">
        <v>6.1430419999999999E-2</v>
      </c>
      <c r="S6624">
        <v>3.172714</v>
      </c>
      <c r="T6624">
        <v>-0.45761600000000002</v>
      </c>
      <c r="U6624">
        <v>0.24630740000000001</v>
      </c>
      <c r="V6624">
        <v>5.2089330000000003E-2</v>
      </c>
      <c r="W6624">
        <v>0.2402919</v>
      </c>
      <c r="X6624">
        <v>0.96930210000000006</v>
      </c>
      <c r="Y6624">
        <v>3.7597720000000001E-2</v>
      </c>
      <c r="Z6624">
        <v>-1.9323679999999999E-2</v>
      </c>
      <c r="AA6624">
        <v>0.9991061</v>
      </c>
      <c r="AB6624">
        <v>2</v>
      </c>
      <c r="AC6624">
        <v>0.696500000000014</v>
      </c>
      <c r="AD6624">
        <v>-0.103418999999999</v>
      </c>
      <c r="AE6624">
        <v>5.3200000000003897E-2</v>
      </c>
      <c r="AF6624">
        <v>2.7626783382321E-2</v>
      </c>
      <c r="AG6624">
        <v>-0.103418999999999</v>
      </c>
      <c r="AH6624">
        <v>0.68298725224712198</v>
      </c>
      <c r="AI6624">
        <v>98.603476244818395</v>
      </c>
      <c r="AJ6624">
        <v>87.683652776957402</v>
      </c>
      <c r="AK6624">
        <v>0.69132504327062205</v>
      </c>
      <c r="AL6624">
        <v>76.096231230258795</v>
      </c>
      <c r="AM6624">
        <v>86.923940662291699</v>
      </c>
      <c r="AN6624">
        <v>1.00000002828493</v>
      </c>
    </row>
    <row r="6625" spans="1:40" x14ac:dyDescent="0.25">
      <c r="A6625" t="str">
        <f>"20190312154738647"</f>
        <v>20190312154738647</v>
      </c>
      <c r="B6625" t="str">
        <f>"1552376858645061"</f>
        <v>1552376858645061</v>
      </c>
      <c r="C6625" t="s">
        <v>40</v>
      </c>
      <c r="D6625">
        <v>5.6128030000000004</v>
      </c>
      <c r="E6625">
        <v>0.36073860000000002</v>
      </c>
      <c r="F6625" t="s">
        <v>66</v>
      </c>
      <c r="G6625">
        <v>-121.2702</v>
      </c>
      <c r="H6625">
        <v>2.8805809999999998</v>
      </c>
      <c r="I6625">
        <v>160.12979999999999</v>
      </c>
      <c r="J6625">
        <v>-154.03819999999999</v>
      </c>
      <c r="K6625">
        <v>1.1106819999999999</v>
      </c>
      <c r="L6625">
        <v>141.53980000000001</v>
      </c>
      <c r="M6625">
        <v>0.99313499999999999</v>
      </c>
      <c r="N6625">
        <v>0</v>
      </c>
      <c r="O6625">
        <v>0.11634849999999999</v>
      </c>
      <c r="P6625">
        <v>0.96965409999999996</v>
      </c>
      <c r="Q6625">
        <v>0.23596729999999999</v>
      </c>
      <c r="R6625">
        <v>6.3960230000000007E-2</v>
      </c>
      <c r="S6625">
        <v>2.9447480000000001</v>
      </c>
      <c r="T6625">
        <v>0.1589769</v>
      </c>
      <c r="U6625">
        <v>1.6699679999999999</v>
      </c>
      <c r="V6625">
        <v>4.931166E-2</v>
      </c>
      <c r="W6625">
        <v>0.24767829999999999</v>
      </c>
      <c r="X6625">
        <v>0.96758659999999996</v>
      </c>
      <c r="Y6625">
        <v>-0.38843749999999999</v>
      </c>
      <c r="Z6625">
        <v>-3.9627070000000002E-3</v>
      </c>
      <c r="AA6625">
        <v>0.92146649999999997</v>
      </c>
      <c r="AB6625">
        <v>2</v>
      </c>
      <c r="AC6625">
        <v>32.767999999999901</v>
      </c>
      <c r="AD6625">
        <v>1.7698989999999999</v>
      </c>
      <c r="AE6625">
        <v>18.5899999999999</v>
      </c>
      <c r="AF6625">
        <v>-14.618676558014601</v>
      </c>
      <c r="AG6625">
        <v>1.7698989999999999</v>
      </c>
      <c r="AH6625">
        <v>34.6320633948677</v>
      </c>
      <c r="AI6625">
        <v>87.304332733557601</v>
      </c>
      <c r="AJ6625">
        <v>112.885285774018</v>
      </c>
      <c r="AK6625">
        <v>37.6326727959121</v>
      </c>
      <c r="AL6625">
        <v>75.659831700568304</v>
      </c>
      <c r="AM6625">
        <v>87.082527058355694</v>
      </c>
      <c r="AN6625">
        <v>1.0000000043012001</v>
      </c>
    </row>
    <row r="6626" spans="1:40" x14ac:dyDescent="0.25">
      <c r="A6626" t="str">
        <f>"20190312154738671"</f>
        <v>20190312154738671</v>
      </c>
      <c r="B6626" t="str">
        <f>"1552376858664580"</f>
        <v>1552376858664580</v>
      </c>
      <c r="C6626" t="s">
        <v>40</v>
      </c>
      <c r="D6626">
        <v>5.3793329999999999</v>
      </c>
      <c r="E6626">
        <v>0.3611123</v>
      </c>
      <c r="F6626" t="s">
        <v>42</v>
      </c>
      <c r="G6626">
        <v>-143.44919999999999</v>
      </c>
      <c r="H6626" s="1">
        <v>-4.2706409999999999E-6</v>
      </c>
      <c r="I6626">
        <v>146.2029</v>
      </c>
      <c r="J6626">
        <v>-154.0214</v>
      </c>
      <c r="K6626">
        <v>1.1107</v>
      </c>
      <c r="L6626">
        <v>141.54169999999999</v>
      </c>
      <c r="M6626">
        <v>0.99314020000000003</v>
      </c>
      <c r="N6626">
        <v>0</v>
      </c>
      <c r="O6626">
        <v>0.1163061</v>
      </c>
      <c r="P6626">
        <v>0.96775909999999998</v>
      </c>
      <c r="Q6626">
        <v>0.24272759999999999</v>
      </c>
      <c r="R6626">
        <v>6.7276359999999993E-2</v>
      </c>
      <c r="S6626">
        <v>3.0830229999999998</v>
      </c>
      <c r="T6626">
        <v>-0.32337680000000002</v>
      </c>
      <c r="U6626">
        <v>1.3576969999999999</v>
      </c>
      <c r="V6626">
        <v>4.5756749999999999E-2</v>
      </c>
      <c r="W6626">
        <v>0.2544033</v>
      </c>
      <c r="X6626">
        <v>0.96601519999999996</v>
      </c>
      <c r="Y6626">
        <v>-0.29303940000000001</v>
      </c>
      <c r="Z6626">
        <v>3.11065E-3</v>
      </c>
      <c r="AA6626">
        <v>0.95609529999999998</v>
      </c>
      <c r="AB6626">
        <v>2</v>
      </c>
      <c r="AC6626">
        <v>10.5722</v>
      </c>
      <c r="AD6626">
        <v>-1.110704270641</v>
      </c>
      <c r="AE6626">
        <v>4.6612</v>
      </c>
      <c r="AF6626">
        <v>-3.3687303697411402</v>
      </c>
      <c r="AG6626">
        <v>-1.110704270641</v>
      </c>
      <c r="AH6626">
        <v>10.9414948930929</v>
      </c>
      <c r="AI6626">
        <v>95.541421526088996</v>
      </c>
      <c r="AJ6626">
        <v>107.11285332000401</v>
      </c>
      <c r="AK6626">
        <v>11.5021006245126</v>
      </c>
      <c r="AL6626">
        <v>75.261769887365404</v>
      </c>
      <c r="AM6626">
        <v>87.288126885238697</v>
      </c>
      <c r="AN6626">
        <v>1.0000000429262399</v>
      </c>
    </row>
    <row r="6627" spans="1:40" x14ac:dyDescent="0.25">
      <c r="A6627" t="str">
        <f>"20190312154738692"</f>
        <v>20190312154738692</v>
      </c>
      <c r="B6627" t="str">
        <f>"1552376858685076"</f>
        <v>1552376858685076</v>
      </c>
      <c r="C6627" t="s">
        <v>40</v>
      </c>
      <c r="D6627">
        <v>5.4272119999999999</v>
      </c>
      <c r="E6627">
        <v>0.36308479999999999</v>
      </c>
      <c r="F6627" t="s">
        <v>42</v>
      </c>
      <c r="G6627">
        <v>-142.36189999999999</v>
      </c>
      <c r="H6627" s="1">
        <v>-4.7327670000000004E-6</v>
      </c>
      <c r="I6627">
        <v>146.72229999999999</v>
      </c>
      <c r="J6627">
        <v>-154.0061</v>
      </c>
      <c r="K6627">
        <v>1.110741</v>
      </c>
      <c r="L6627">
        <v>141.54339999999999</v>
      </c>
      <c r="M6627">
        <v>0.99314480000000005</v>
      </c>
      <c r="N6627">
        <v>0</v>
      </c>
      <c r="O6627">
        <v>0.11626789999999899</v>
      </c>
      <c r="P6627">
        <v>0.96555500000000005</v>
      </c>
      <c r="Q6627">
        <v>0.25059759999999998</v>
      </c>
      <c r="R6627">
        <v>7.0033689999999996E-2</v>
      </c>
      <c r="S6627">
        <v>3.0784150000000001</v>
      </c>
      <c r="T6627">
        <v>-0.29325469999999998</v>
      </c>
      <c r="U6627">
        <v>1.367828</v>
      </c>
      <c r="V6627">
        <v>4.2724789999999999E-2</v>
      </c>
      <c r="W6627">
        <v>0.26223750000000001</v>
      </c>
      <c r="X6627">
        <v>0.9640571</v>
      </c>
      <c r="Y6627">
        <v>-0.29636269999999998</v>
      </c>
      <c r="Z6627">
        <v>2.9789730000000002E-3</v>
      </c>
      <c r="AA6627">
        <v>0.95507089999999994</v>
      </c>
      <c r="AB6627">
        <v>2</v>
      </c>
      <c r="AC6627">
        <v>11.6442</v>
      </c>
      <c r="AD6627">
        <v>-1.1107457327670001</v>
      </c>
      <c r="AE6627">
        <v>5.1788999999999898</v>
      </c>
      <c r="AF6627">
        <v>-3.7612532012492701</v>
      </c>
      <c r="AG6627">
        <v>-1.1107457327670001</v>
      </c>
      <c r="AH6627">
        <v>12.0756654508882</v>
      </c>
      <c r="AI6627">
        <v>95.018881782589702</v>
      </c>
      <c r="AJ6627">
        <v>107.30044222876199</v>
      </c>
      <c r="AK6627">
        <v>12.6965537768539</v>
      </c>
      <c r="AL6627">
        <v>74.797131051534194</v>
      </c>
      <c r="AM6627">
        <v>87.462443464533294</v>
      </c>
      <c r="AN6627">
        <v>1.0000000030736</v>
      </c>
    </row>
    <row r="6628" spans="1:40" x14ac:dyDescent="0.25">
      <c r="A6628" t="str">
        <f>"20190312154738726"</f>
        <v>20190312154738726</v>
      </c>
      <c r="B6628" t="str">
        <f>"1552376858715332"</f>
        <v>1552376858715332</v>
      </c>
      <c r="C6628" t="s">
        <v>40</v>
      </c>
      <c r="D6628">
        <v>9.7664089999999995</v>
      </c>
      <c r="E6628">
        <v>0.3645236</v>
      </c>
      <c r="F6628" t="s">
        <v>42</v>
      </c>
      <c r="G6628">
        <v>-141.29689999999999</v>
      </c>
      <c r="H6628" s="1">
        <v>-5.1759620000000003E-6</v>
      </c>
      <c r="I6628">
        <v>147.17760000000001</v>
      </c>
      <c r="J6628">
        <v>-153.98249999999999</v>
      </c>
      <c r="K6628">
        <v>1.1107910000000001</v>
      </c>
      <c r="L6628">
        <v>141.5461</v>
      </c>
      <c r="M6628">
        <v>0.99315189999999998</v>
      </c>
      <c r="N6628">
        <v>0</v>
      </c>
      <c r="O6628">
        <v>0.1162089</v>
      </c>
      <c r="P6628">
        <v>0.95964930000000004</v>
      </c>
      <c r="Q6628">
        <v>0.27183109999999999</v>
      </c>
      <c r="R6628">
        <v>7.1981030000000001E-2</v>
      </c>
      <c r="S6628">
        <v>3.0778500000000002</v>
      </c>
      <c r="T6628">
        <v>-0.26899269999999997</v>
      </c>
      <c r="U6628">
        <v>1.3644559999999999</v>
      </c>
      <c r="V6628">
        <v>4.0047939999999997E-2</v>
      </c>
      <c r="W6628">
        <v>0.2833849</v>
      </c>
      <c r="X6628">
        <v>0.95816970000000001</v>
      </c>
      <c r="Y6628">
        <v>-0.29571829999999999</v>
      </c>
      <c r="Z6628">
        <v>2.7122750000000001E-3</v>
      </c>
      <c r="AA6628">
        <v>0.95527139999999999</v>
      </c>
      <c r="AB6628">
        <v>2</v>
      </c>
      <c r="AC6628">
        <v>12.6855999999999</v>
      </c>
      <c r="AD6628">
        <v>-1.110796175962</v>
      </c>
      <c r="AE6628">
        <v>5.6315000000000097</v>
      </c>
      <c r="AF6628">
        <v>-4.0928384632103603</v>
      </c>
      <c r="AG6628">
        <v>-1.110796175962</v>
      </c>
      <c r="AH6628">
        <v>13.1697640422713</v>
      </c>
      <c r="AI6628">
        <v>94.6049197769796</v>
      </c>
      <c r="AJ6628">
        <v>107.263958425572</v>
      </c>
      <c r="AK6628">
        <v>13.835746447502199</v>
      </c>
      <c r="AL6628">
        <v>73.537669658786996</v>
      </c>
      <c r="AM6628">
        <v>87.606641930663599</v>
      </c>
      <c r="AN6628">
        <v>1.0000000065221699</v>
      </c>
    </row>
    <row r="6629" spans="1:40" x14ac:dyDescent="0.25">
      <c r="A6629" t="str">
        <f>"20190312154738753"</f>
        <v>20190312154738753</v>
      </c>
      <c r="B6629" t="str">
        <f>"1552376858744611"</f>
        <v>1552376858744611</v>
      </c>
      <c r="C6629" t="s">
        <v>40</v>
      </c>
      <c r="D6629">
        <v>5.5472530000000004</v>
      </c>
      <c r="E6629">
        <v>0.39899299999999999</v>
      </c>
      <c r="F6629" t="s">
        <v>42</v>
      </c>
      <c r="G6629">
        <v>-136.44880000000001</v>
      </c>
      <c r="H6629" s="1">
        <v>-3.806104E-6</v>
      </c>
      <c r="I6629">
        <v>149.3389</v>
      </c>
      <c r="J6629">
        <v>-153.96340000000001</v>
      </c>
      <c r="K6629">
        <v>1.1107880000000001</v>
      </c>
      <c r="L6629">
        <v>141.54820000000001</v>
      </c>
      <c r="M6629">
        <v>0.99315779999999998</v>
      </c>
      <c r="N6629">
        <v>0</v>
      </c>
      <c r="O6629">
        <v>0.1161601</v>
      </c>
      <c r="P6629">
        <v>0.95666280000000004</v>
      </c>
      <c r="Q6629">
        <v>0.28197709999999998</v>
      </c>
      <c r="R6629">
        <v>7.270248E-2</v>
      </c>
      <c r="S6629">
        <v>3.0787659999999999</v>
      </c>
      <c r="T6629">
        <v>-0.1950461</v>
      </c>
      <c r="U6629">
        <v>1.368347</v>
      </c>
      <c r="V6629">
        <v>3.8937880000000001E-2</v>
      </c>
      <c r="W6629">
        <v>0.293485099999999</v>
      </c>
      <c r="X6629">
        <v>0.95517030000000003</v>
      </c>
      <c r="Y6629">
        <v>-0.2969348</v>
      </c>
      <c r="Z6629">
        <v>2.0069879999999999E-3</v>
      </c>
      <c r="AA6629">
        <v>0.95489559999999996</v>
      </c>
      <c r="AB6629">
        <v>2</v>
      </c>
      <c r="AC6629">
        <v>17.514600000000002</v>
      </c>
      <c r="AD6629">
        <v>-1.1107918061040001</v>
      </c>
      <c r="AE6629">
        <v>7.7906999999999798</v>
      </c>
      <c r="AF6629">
        <v>-5.6842219268002196</v>
      </c>
      <c r="AG6629">
        <v>-1.1107918061040001</v>
      </c>
      <c r="AH6629">
        <v>18.239805309792299</v>
      </c>
      <c r="AI6629">
        <v>93.327512493008399</v>
      </c>
      <c r="AJ6629">
        <v>107.30903436374</v>
      </c>
      <c r="AK6629">
        <v>19.137260386187801</v>
      </c>
      <c r="AL6629">
        <v>72.933280137709502</v>
      </c>
      <c r="AM6629">
        <v>87.665608327812294</v>
      </c>
      <c r="AN6629">
        <v>0.999999982211497</v>
      </c>
    </row>
    <row r="6630" spans="1:40" x14ac:dyDescent="0.25">
      <c r="A6630" t="str">
        <f>"20190312154738772"</f>
        <v>20190312154738772</v>
      </c>
      <c r="B6630" t="str">
        <f>"1552376858765107"</f>
        <v>1552376858765107</v>
      </c>
      <c r="C6630" t="s">
        <v>40</v>
      </c>
      <c r="D6630">
        <v>5.4178050000000004</v>
      </c>
      <c r="E6630">
        <v>0.4006246</v>
      </c>
      <c r="F6630" t="s">
        <v>91</v>
      </c>
      <c r="G6630">
        <v>-111.5821</v>
      </c>
      <c r="H6630">
        <v>13.61924</v>
      </c>
      <c r="I6630">
        <v>156.9674</v>
      </c>
      <c r="J6630">
        <v>-153.9496</v>
      </c>
      <c r="K6630">
        <v>1.1107670000000001</v>
      </c>
      <c r="L6630">
        <v>141.5498</v>
      </c>
      <c r="M6630">
        <v>0.99316210000000005</v>
      </c>
      <c r="N6630">
        <v>0</v>
      </c>
      <c r="O6630">
        <v>0.1161229</v>
      </c>
      <c r="P6630">
        <v>0.95416179999999995</v>
      </c>
      <c r="Q6630">
        <v>0.28998249999999998</v>
      </c>
      <c r="R6630">
        <v>7.4063749999999998E-2</v>
      </c>
      <c r="S6630">
        <v>2.8133699999999999</v>
      </c>
      <c r="T6630">
        <v>0.83033979999999996</v>
      </c>
      <c r="U6630">
        <v>1.02356</v>
      </c>
      <c r="V6630">
        <v>3.726086E-2</v>
      </c>
      <c r="W6630">
        <v>0.30145559999999899</v>
      </c>
      <c r="X6630">
        <v>0.95275189999999998</v>
      </c>
      <c r="Y6630">
        <v>-0.22631799999999999</v>
      </c>
      <c r="Z6630">
        <v>6.1554090000000001E-4</v>
      </c>
      <c r="AA6630">
        <v>0.97405330000000001</v>
      </c>
      <c r="AB6630">
        <v>2</v>
      </c>
      <c r="AC6630">
        <v>42.3675</v>
      </c>
      <c r="AD6630">
        <v>12.508473</v>
      </c>
      <c r="AE6630">
        <v>15.417599999999901</v>
      </c>
      <c r="AF6630">
        <v>-9.6502865660017303</v>
      </c>
      <c r="AG6630">
        <v>12.508473</v>
      </c>
      <c r="AH6630">
        <v>40.735780545785303</v>
      </c>
      <c r="AI6630">
        <v>73.364189506922799</v>
      </c>
      <c r="AJ6630">
        <v>103.327645727374</v>
      </c>
      <c r="AK6630">
        <v>43.692032961079597</v>
      </c>
      <c r="AL6630">
        <v>72.454949478912397</v>
      </c>
      <c r="AM6630">
        <v>87.760379604430995</v>
      </c>
      <c r="AN6630">
        <v>1.00000001670645</v>
      </c>
    </row>
    <row r="6631" spans="1:40" x14ac:dyDescent="0.25">
      <c r="A6631" t="str">
        <f>"20190312154738796"</f>
        <v>20190312154738796</v>
      </c>
      <c r="B6631" t="str">
        <f>"1552376858784627"</f>
        <v>1552376858784627</v>
      </c>
      <c r="C6631" t="s">
        <v>40</v>
      </c>
      <c r="D6631">
        <v>5.3939120000000003</v>
      </c>
      <c r="E6631">
        <v>0.402864</v>
      </c>
      <c r="F6631" t="s">
        <v>91</v>
      </c>
      <c r="G6631">
        <v>-108.68129999999999</v>
      </c>
      <c r="H6631">
        <v>12.632400000000001</v>
      </c>
      <c r="I6631">
        <v>157.857</v>
      </c>
      <c r="J6631">
        <v>-153.93299999999999</v>
      </c>
      <c r="K6631">
        <v>1.1107279999999999</v>
      </c>
      <c r="L6631">
        <v>141.55170000000001</v>
      </c>
      <c r="M6631">
        <v>0.9931683</v>
      </c>
      <c r="N6631">
        <v>0</v>
      </c>
      <c r="O6631">
        <v>0.1160708</v>
      </c>
      <c r="P6631">
        <v>0.95250639999999998</v>
      </c>
      <c r="Q6631">
        <v>0.29487400000000002</v>
      </c>
      <c r="R6631">
        <v>7.6033160000000002E-2</v>
      </c>
      <c r="S6631">
        <v>2.8445429999999998</v>
      </c>
      <c r="T6631">
        <v>0.72398940000000001</v>
      </c>
      <c r="U6631">
        <v>1.0247040000000001</v>
      </c>
      <c r="V6631">
        <v>3.5065180000000001E-2</v>
      </c>
      <c r="W6631">
        <v>0.30632280000000001</v>
      </c>
      <c r="X6631">
        <v>0.95128159999999895</v>
      </c>
      <c r="Y6631">
        <v>-0.22437380000000001</v>
      </c>
      <c r="Z6631">
        <v>7.5849330000000005E-4</v>
      </c>
      <c r="AA6631">
        <v>0.97450289999999995</v>
      </c>
      <c r="AB6631">
        <v>2</v>
      </c>
      <c r="AC6631">
        <v>45.2517</v>
      </c>
      <c r="AD6631">
        <v>11.521672000000001</v>
      </c>
      <c r="AE6631">
        <v>16.3052999999999</v>
      </c>
      <c r="AF6631">
        <v>-10.348516669969399</v>
      </c>
      <c r="AG6631">
        <v>11.521672000000001</v>
      </c>
      <c r="AH6631">
        <v>44.296831734179399</v>
      </c>
      <c r="AI6631">
        <v>75.786931203735904</v>
      </c>
      <c r="AJ6631">
        <v>103.149464156368</v>
      </c>
      <c r="AK6631">
        <v>46.926005845697397</v>
      </c>
      <c r="AL6631">
        <v>72.162234713368207</v>
      </c>
      <c r="AM6631">
        <v>87.888976696488797</v>
      </c>
      <c r="AN6631">
        <v>0.99999995357341498</v>
      </c>
    </row>
    <row r="6632" spans="1:40" x14ac:dyDescent="0.25">
      <c r="A6632" t="str">
        <f>"20190312154738822"</f>
        <v>20190312154738822</v>
      </c>
      <c r="B6632" t="str">
        <f>"1552376858814883"</f>
        <v>1552376858814883</v>
      </c>
      <c r="C6632" t="s">
        <v>40</v>
      </c>
      <c r="D6632">
        <v>5.4196929999999996</v>
      </c>
      <c r="E6632">
        <v>0.40476410000000002</v>
      </c>
      <c r="F6632" t="s">
        <v>91</v>
      </c>
      <c r="G6632">
        <v>-107.2615</v>
      </c>
      <c r="H6632">
        <v>11.84376</v>
      </c>
      <c r="I6632">
        <v>158.15889999999999</v>
      </c>
      <c r="J6632">
        <v>-153.91499999999999</v>
      </c>
      <c r="K6632">
        <v>1.1106799999999999</v>
      </c>
      <c r="L6632">
        <v>141.55369999999999</v>
      </c>
      <c r="M6632">
        <v>0.99317670000000002</v>
      </c>
      <c r="N6632">
        <v>0</v>
      </c>
      <c r="O6632">
        <v>0.1159999</v>
      </c>
      <c r="P6632">
        <v>0.95158949999999998</v>
      </c>
      <c r="Q6632">
        <v>0.29734429999999901</v>
      </c>
      <c r="R6632">
        <v>7.7871720000000005E-2</v>
      </c>
      <c r="S6632">
        <v>2.8643040000000002</v>
      </c>
      <c r="T6632">
        <v>0.65870249999999997</v>
      </c>
      <c r="U6632">
        <v>1.0192110000000001</v>
      </c>
      <c r="V6632">
        <v>3.3070540000000002E-2</v>
      </c>
      <c r="W6632">
        <v>0.308778</v>
      </c>
      <c r="X6632">
        <v>0.95055909999999999</v>
      </c>
      <c r="Y6632">
        <v>-0.22125610000000001</v>
      </c>
      <c r="Z6632">
        <v>1.0171290000000001E-3</v>
      </c>
      <c r="AA6632">
        <v>0.97521519999999995</v>
      </c>
      <c r="AB6632">
        <v>2</v>
      </c>
      <c r="AC6632">
        <v>46.653500000000001</v>
      </c>
      <c r="AD6632">
        <v>10.733079999999999</v>
      </c>
      <c r="AE6632">
        <v>16.6051999999999</v>
      </c>
      <c r="AF6632">
        <v>-10.583711514819299</v>
      </c>
      <c r="AG6632">
        <v>10.733079999999999</v>
      </c>
      <c r="AH6632">
        <v>46.099276242961899</v>
      </c>
      <c r="AI6632">
        <v>77.214860270390304</v>
      </c>
      <c r="AJ6632">
        <v>102.930190201382</v>
      </c>
      <c r="AK6632">
        <v>48.501105408436104</v>
      </c>
      <c r="AL6632">
        <v>72.014398556053195</v>
      </c>
      <c r="AM6632">
        <v>88.007447994118294</v>
      </c>
      <c r="AN6632">
        <v>1.00000005824634</v>
      </c>
    </row>
    <row r="6633" spans="1:40" x14ac:dyDescent="0.25">
      <c r="A6633" t="str">
        <f>"20190312154738860"</f>
        <v>20190312154738860</v>
      </c>
      <c r="B6633" t="str">
        <f>"1552376858854900"</f>
        <v>1552376858854900</v>
      </c>
      <c r="C6633" t="s">
        <v>40</v>
      </c>
      <c r="D6633">
        <v>5.4982059999999997</v>
      </c>
      <c r="E6633">
        <v>0.40683190000000002</v>
      </c>
      <c r="F6633" t="s">
        <v>91</v>
      </c>
      <c r="G6633">
        <v>-106.79470000000001</v>
      </c>
      <c r="H6633">
        <v>11.100849999999999</v>
      </c>
      <c r="I6633">
        <v>158.15870000000001</v>
      </c>
      <c r="J6633">
        <v>-153.88829999999999</v>
      </c>
      <c r="K6633">
        <v>1.110582</v>
      </c>
      <c r="L6633">
        <v>141.55670000000001</v>
      </c>
      <c r="M6633">
        <v>0.99319429999999997</v>
      </c>
      <c r="N6633">
        <v>0</v>
      </c>
      <c r="O6633">
        <v>0.1158505</v>
      </c>
      <c r="P6633">
        <v>0.94923489999999999</v>
      </c>
      <c r="Q6633">
        <v>0.30380269999999998</v>
      </c>
      <c r="R6633">
        <v>8.1592250000000005E-2</v>
      </c>
      <c r="S6633">
        <v>2.87886</v>
      </c>
      <c r="T6633">
        <v>0.61035869999999903</v>
      </c>
      <c r="U6633">
        <v>1.0144959999999901</v>
      </c>
      <c r="V6633">
        <v>2.8971759999999999E-2</v>
      </c>
      <c r="W6633">
        <v>0.31520520000000002</v>
      </c>
      <c r="X6633">
        <v>0.94858120000000001</v>
      </c>
      <c r="Y6633">
        <v>-0.21882560000000001</v>
      </c>
      <c r="Z6633">
        <v>1.158381E-3</v>
      </c>
      <c r="AA6633">
        <v>0.9757633</v>
      </c>
      <c r="AB6633">
        <v>2</v>
      </c>
      <c r="AC6633">
        <v>47.093599999999903</v>
      </c>
      <c r="AD6633">
        <v>9.9902679999999897</v>
      </c>
      <c r="AE6633">
        <v>16.602</v>
      </c>
      <c r="AF6633">
        <v>-10.609324918247101</v>
      </c>
      <c r="AG6633">
        <v>9.9902679999999897</v>
      </c>
      <c r="AH6633">
        <v>46.825640635653301</v>
      </c>
      <c r="AI6633">
        <v>78.245816439404393</v>
      </c>
      <c r="AJ6633">
        <v>102.766020512815</v>
      </c>
      <c r="AK6633">
        <v>49.040838602863602</v>
      </c>
      <c r="AL6633">
        <v>71.6267977811561</v>
      </c>
      <c r="AM6633">
        <v>88.250604470649805</v>
      </c>
      <c r="AN6633">
        <v>0.99999998698898795</v>
      </c>
    </row>
    <row r="6634" spans="1:40" x14ac:dyDescent="0.25">
      <c r="A6634" t="str">
        <f>"20190312154738885"</f>
        <v>20190312154738885</v>
      </c>
      <c r="B6634" t="str">
        <f>"1552376858874419"</f>
        <v>1552376858874419</v>
      </c>
      <c r="C6634" t="s">
        <v>40</v>
      </c>
      <c r="D6634">
        <v>5.4665730000000003</v>
      </c>
      <c r="E6634">
        <v>0.40775860000000003</v>
      </c>
      <c r="F6634" t="s">
        <v>91</v>
      </c>
      <c r="G6634">
        <v>-106.5859</v>
      </c>
      <c r="H6634">
        <v>10.58052</v>
      </c>
      <c r="I6634">
        <v>158.1585</v>
      </c>
      <c r="J6634">
        <v>-153.87110000000001</v>
      </c>
      <c r="K6634">
        <v>1.110533</v>
      </c>
      <c r="L6634">
        <v>141.55850000000001</v>
      </c>
      <c r="M6634">
        <v>0.9932086</v>
      </c>
      <c r="N6634">
        <v>0</v>
      </c>
      <c r="O6634">
        <v>0.11572730000000001</v>
      </c>
      <c r="P6634">
        <v>0.94863059999999999</v>
      </c>
      <c r="Q6634">
        <v>0.30559209999999998</v>
      </c>
      <c r="R6634">
        <v>8.1937689999999994E-2</v>
      </c>
      <c r="S6634">
        <v>2.8882289999999999</v>
      </c>
      <c r="T6634">
        <v>0.57822280000000004</v>
      </c>
      <c r="U6634">
        <v>1.013687</v>
      </c>
      <c r="V6634">
        <v>2.844762E-2</v>
      </c>
      <c r="W6634">
        <v>0.31698349999999997</v>
      </c>
      <c r="X6634">
        <v>0.94800430000000002</v>
      </c>
      <c r="Y6634">
        <v>-0.21794050000000001</v>
      </c>
      <c r="Z6634">
        <v>1.1574529999999999E-3</v>
      </c>
      <c r="AA6634">
        <v>0.97596139999999998</v>
      </c>
      <c r="AB6634">
        <v>2</v>
      </c>
      <c r="AC6634">
        <v>47.285200000000003</v>
      </c>
      <c r="AD6634">
        <v>9.4699869999999997</v>
      </c>
      <c r="AE6634">
        <v>16.599999999999898</v>
      </c>
      <c r="AF6634">
        <v>-10.6360664327041</v>
      </c>
      <c r="AG6634">
        <v>9.4699869999999997</v>
      </c>
      <c r="AH6634">
        <v>47.203095557279902</v>
      </c>
      <c r="AI6634">
        <v>78.926315075647395</v>
      </c>
      <c r="AJ6634">
        <v>102.69813953035499</v>
      </c>
      <c r="AK6634">
        <v>49.3045514443724</v>
      </c>
      <c r="AL6634">
        <v>71.519402124708506</v>
      </c>
      <c r="AM6634">
        <v>88.281189662160301</v>
      </c>
      <c r="AN6634">
        <v>0.99999997958720199</v>
      </c>
    </row>
    <row r="6635" spans="1:40" x14ac:dyDescent="0.25">
      <c r="A6635" t="str">
        <f>"20190312154738909"</f>
        <v>20190312154738909</v>
      </c>
      <c r="B6635" t="str">
        <f>"1552376858904676"</f>
        <v>1552376858904676</v>
      </c>
      <c r="C6635" t="s">
        <v>40</v>
      </c>
      <c r="D6635">
        <v>5.3740990000000002</v>
      </c>
      <c r="E6635">
        <v>0.40822069999999999</v>
      </c>
      <c r="F6635" t="s">
        <v>91</v>
      </c>
      <c r="G6635">
        <v>-106.2206</v>
      </c>
      <c r="H6635">
        <v>10.393319999999999</v>
      </c>
      <c r="I6635">
        <v>158.1584</v>
      </c>
      <c r="J6635">
        <v>-153.85399999999899</v>
      </c>
      <c r="K6635">
        <v>1.1104799999999999</v>
      </c>
      <c r="L6635">
        <v>141.56030000000001</v>
      </c>
      <c r="M6635">
        <v>0.99322529999999998</v>
      </c>
      <c r="N6635">
        <v>0</v>
      </c>
      <c r="O6635">
        <v>0.11558450000000001</v>
      </c>
      <c r="P6635">
        <v>0.94923259999999998</v>
      </c>
      <c r="Q6635">
        <v>0.30404300000000001</v>
      </c>
      <c r="R6635">
        <v>8.0718689999999996E-2</v>
      </c>
      <c r="S6635">
        <v>2.8937840000000001</v>
      </c>
      <c r="T6635">
        <v>0.56373830000000003</v>
      </c>
      <c r="U6635">
        <v>1.0081020000000001</v>
      </c>
      <c r="V6635">
        <v>2.9595239999999998E-2</v>
      </c>
      <c r="W6635">
        <v>0.31543690000000002</v>
      </c>
      <c r="X6635">
        <v>0.94848500000000002</v>
      </c>
      <c r="Y6635">
        <v>-0.21593970000000001</v>
      </c>
      <c r="Z6635">
        <v>1.289288E-3</v>
      </c>
      <c r="AA6635">
        <v>0.97640590000000005</v>
      </c>
      <c r="AB6635">
        <v>2</v>
      </c>
      <c r="AC6635">
        <v>47.633399999999902</v>
      </c>
      <c r="AD6635">
        <v>9.2828400000000002</v>
      </c>
      <c r="AE6635">
        <v>16.598099999999899</v>
      </c>
      <c r="AF6635">
        <v>-10.621061435970001</v>
      </c>
      <c r="AG6635">
        <v>9.2828400000000002</v>
      </c>
      <c r="AH6635">
        <v>47.619998112370197</v>
      </c>
      <c r="AI6635">
        <v>79.227609471243099</v>
      </c>
      <c r="AJ6635">
        <v>102.57333224286999</v>
      </c>
      <c r="AK6635">
        <v>49.665302623807598</v>
      </c>
      <c r="AL6635">
        <v>71.612810004466098</v>
      </c>
      <c r="AM6635">
        <v>88.212800035161706</v>
      </c>
      <c r="AN6635">
        <v>1.0000000556686299</v>
      </c>
    </row>
    <row r="6636" spans="1:40" x14ac:dyDescent="0.25">
      <c r="A6636" t="str">
        <f>"20190312154738929"</f>
        <v>20190312154738929</v>
      </c>
      <c r="B6636" t="str">
        <f>"1552376858925172"</f>
        <v>1552376858925172</v>
      </c>
      <c r="C6636" t="s">
        <v>40</v>
      </c>
      <c r="D6636">
        <v>5.3955909999999996</v>
      </c>
      <c r="E6636">
        <v>0.4083811</v>
      </c>
      <c r="F6636" t="s">
        <v>91</v>
      </c>
      <c r="G6636">
        <v>-105.7758</v>
      </c>
      <c r="H6636">
        <v>9.8637160000000002</v>
      </c>
      <c r="I6636">
        <v>158.15819999999999</v>
      </c>
      <c r="J6636">
        <v>-153.84030000000001</v>
      </c>
      <c r="K6636">
        <v>1.1104339999999999</v>
      </c>
      <c r="L6636">
        <v>141.56180000000001</v>
      </c>
      <c r="M6636">
        <v>0.99323989999999995</v>
      </c>
      <c r="N6636">
        <v>0</v>
      </c>
      <c r="O6636">
        <v>0.1154594</v>
      </c>
      <c r="P6636">
        <v>0.95152990000000004</v>
      </c>
      <c r="Q6636">
        <v>0.29740850000000002</v>
      </c>
      <c r="R6636">
        <v>7.8353980000000004E-2</v>
      </c>
      <c r="S6636">
        <v>2.9057010000000001</v>
      </c>
      <c r="T6636">
        <v>0.52901940000000003</v>
      </c>
      <c r="U6636">
        <v>1.003128</v>
      </c>
      <c r="V6636">
        <v>3.2089069999999997E-2</v>
      </c>
      <c r="W6636">
        <v>0.30882470000000001</v>
      </c>
      <c r="X6636">
        <v>0.95057749999999996</v>
      </c>
      <c r="Y6636">
        <v>-0.2135657</v>
      </c>
      <c r="Z6636">
        <v>1.3943650000000001E-3</v>
      </c>
      <c r="AA6636">
        <v>0.97692769999999995</v>
      </c>
      <c r="AB6636">
        <v>2</v>
      </c>
      <c r="AC6636">
        <v>48.064500000000002</v>
      </c>
      <c r="AD6636">
        <v>8.7532820000000005</v>
      </c>
      <c r="AE6636">
        <v>16.5963999999999</v>
      </c>
      <c r="AF6636">
        <v>-10.6207693612425</v>
      </c>
      <c r="AG6636">
        <v>8.7532820000000005</v>
      </c>
      <c r="AH6636">
        <v>48.230155914705598</v>
      </c>
      <c r="AI6636">
        <v>79.9490952722863</v>
      </c>
      <c r="AJ6636">
        <v>102.418902287793</v>
      </c>
      <c r="AK6636">
        <v>50.155444641165801</v>
      </c>
      <c r="AL6636">
        <v>72.011584150170904</v>
      </c>
      <c r="AM6636">
        <v>88.066574932484897</v>
      </c>
      <c r="AN6636">
        <v>0.99999999362490199</v>
      </c>
    </row>
    <row r="6637" spans="1:40" x14ac:dyDescent="0.25">
      <c r="A6637" t="str">
        <f>"20190312154738949"</f>
        <v>20190312154738949</v>
      </c>
      <c r="B6637" t="str">
        <f>"1552376858944692"</f>
        <v>1552376858944692</v>
      </c>
      <c r="C6637" t="s">
        <v>40</v>
      </c>
      <c r="D6637">
        <v>5.4099329999999997</v>
      </c>
      <c r="E6637">
        <v>0.40797870000000003</v>
      </c>
      <c r="F6637" t="s">
        <v>91</v>
      </c>
      <c r="G6637">
        <v>-105.2585</v>
      </c>
      <c r="H6637">
        <v>9.3317069999999998</v>
      </c>
      <c r="I6637">
        <v>158.15809999999999</v>
      </c>
      <c r="J6637">
        <v>-153.8261</v>
      </c>
      <c r="K6637">
        <v>1.1103959999999999</v>
      </c>
      <c r="L6637">
        <v>141.5633</v>
      </c>
      <c r="M6637">
        <v>0.99325560000000002</v>
      </c>
      <c r="N6637">
        <v>0</v>
      </c>
      <c r="O6637">
        <v>0.11532439999999999</v>
      </c>
      <c r="P6637">
        <v>0.95418179999999997</v>
      </c>
      <c r="Q6637">
        <v>0.28947050000000002</v>
      </c>
      <c r="R6637">
        <v>7.5790949999999996E-2</v>
      </c>
      <c r="S6637">
        <v>2.9165040000000002</v>
      </c>
      <c r="T6637">
        <v>0.4935467</v>
      </c>
      <c r="U6637">
        <v>0.99632259999999995</v>
      </c>
      <c r="V6637">
        <v>3.4808329999999998E-2</v>
      </c>
      <c r="W6637">
        <v>0.30091319999999999</v>
      </c>
      <c r="X6637">
        <v>0.95301610000000003</v>
      </c>
      <c r="Y6637">
        <v>-0.21076639999999999</v>
      </c>
      <c r="Z6637">
        <v>1.5059769999999999E-3</v>
      </c>
      <c r="AA6637">
        <v>0.9775353</v>
      </c>
      <c r="AB6637">
        <v>2</v>
      </c>
      <c r="AC6637">
        <v>48.567599999999999</v>
      </c>
      <c r="AD6637">
        <v>8.221311</v>
      </c>
      <c r="AE6637">
        <v>16.5947999999999</v>
      </c>
      <c r="AF6637">
        <v>-10.6103821571726</v>
      </c>
      <c r="AG6637">
        <v>8.221311</v>
      </c>
      <c r="AH6637">
        <v>48.902652062241799</v>
      </c>
      <c r="AI6637">
        <v>80.670042178927005</v>
      </c>
      <c r="AJ6637">
        <v>102.241692670844</v>
      </c>
      <c r="AK6637">
        <v>50.711335446827398</v>
      </c>
      <c r="AL6637">
        <v>72.487540267712504</v>
      </c>
      <c r="AM6637">
        <v>87.908236535067999</v>
      </c>
      <c r="AN6637">
        <v>1.00000003031541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2020-05-20T14:50:49Z</dcterms:created>
  <dcterms:modified xsi:type="dcterms:W3CDTF">2020-05-20T14:50:49Z</dcterms:modified>
</cp:coreProperties>
</file>